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13_ncr:1_{1133D870-BBD9-4D68-9871-3936FA642DFB}" xr6:coauthVersionLast="47" xr6:coauthVersionMax="47" xr10:uidLastSave="{00000000-0000-0000-0000-000000000000}"/>
  <bookViews>
    <workbookView xWindow="180" yWindow="225" windowWidth="27105" windowHeight="15360" xr2:uid="{00000000-000D-0000-FFFF-FFFF00000000}"/>
  </bookViews>
  <sheets>
    <sheet name="прил № 1 (01.01.24)" sheetId="141" r:id="rId1"/>
    <sheet name="1.1. фот ПП,АУП,ОП (2024)" sheetId="77" r:id="rId2"/>
    <sheet name="1.1. фот ПП,АУП,ОП (2025)" sheetId="139" r:id="rId3"/>
    <sheet name="1.1. фот ПП,АУП,ОП (2026)" sheetId="140" r:id="rId4"/>
    <sheet name="211,213 допы 2024 (контр сумма)" sheetId="165" r:id="rId5"/>
    <sheet name="211,213 допы 2024 (без овз)" sheetId="167" r:id="rId6"/>
    <sheet name="211,213 допы 2024 (с овз)" sheetId="166" r:id="rId7"/>
    <sheet name="ст-ть ночных и празд" sheetId="168" r:id="rId8"/>
    <sheet name="1.2.комм услуги (01.01.24)" sheetId="111" r:id="rId9"/>
    <sheet name="223" sheetId="158" r:id="rId10"/>
    <sheet name="1.3.расчет прочих" sheetId="112" r:id="rId11"/>
    <sheet name="1.4. часы и места для МЗ и СЗ" sheetId="163" r:id="rId12"/>
    <sheet name="1.5.свод 291" sheetId="156" r:id="rId13"/>
    <sheet name="291 имущ 2024" sheetId="159" r:id="rId14"/>
    <sheet name="291 земля 2024" sheetId="160" r:id="rId15"/>
    <sheet name="291 трансп" sheetId="161" r:id="rId16"/>
    <sheet name="коэфф платной деят-ти 2024" sheetId="162" r:id="rId17"/>
    <sheet name="целевые" sheetId="164" r:id="rId18"/>
  </sheets>
  <externalReferences>
    <externalReference r:id="rId19"/>
    <externalReference r:id="rId20"/>
    <externalReference r:id="rId21"/>
    <externalReference r:id="rId22"/>
  </externalReferences>
  <definedNames>
    <definedName name="ccc" localSheetId="11">#REF!</definedName>
    <definedName name="ccc" localSheetId="5">#REF!</definedName>
    <definedName name="ccc" localSheetId="4">#REF!</definedName>
    <definedName name="ccc" localSheetId="6">#REF!</definedName>
    <definedName name="ccc" localSheetId="9">#REF!</definedName>
    <definedName name="ccc" localSheetId="14">#REF!</definedName>
    <definedName name="ccc" localSheetId="13">#REF!</definedName>
    <definedName name="ccc" localSheetId="15">#REF!</definedName>
    <definedName name="ccc" localSheetId="7">#REF!</definedName>
    <definedName name="ccc">#REF!</definedName>
    <definedName name="dklr" localSheetId="1">#REF!</definedName>
    <definedName name="dklr" localSheetId="2">#REF!</definedName>
    <definedName name="dklr" localSheetId="3">#REF!</definedName>
    <definedName name="dklr" localSheetId="8">#REF!</definedName>
    <definedName name="dklr" localSheetId="10">#REF!</definedName>
    <definedName name="dklr" localSheetId="11">#REF!</definedName>
    <definedName name="dklr" localSheetId="5">#REF!</definedName>
    <definedName name="dklr" localSheetId="4">#REF!</definedName>
    <definedName name="dklr" localSheetId="6">#REF!</definedName>
    <definedName name="dklr" localSheetId="9">#REF!</definedName>
    <definedName name="dklr" localSheetId="14">#REF!</definedName>
    <definedName name="dklr" localSheetId="13">#REF!</definedName>
    <definedName name="dklr" localSheetId="15">#REF!</definedName>
    <definedName name="dklr" localSheetId="0">#REF!</definedName>
    <definedName name="dklr" localSheetId="7">#REF!</definedName>
    <definedName name="dklr" localSheetId="17">#REF!</definedName>
    <definedName name="dklr">#REF!</definedName>
    <definedName name="Excel_BuiltIn__FilterDatabase_1">#REF!</definedName>
    <definedName name="Excel_BuiltIn__FilterDatabase_2">#REF!</definedName>
    <definedName name="Excel_BuiltIn_Database" localSheetId="1">#REF!</definedName>
    <definedName name="Excel_BuiltIn_Database" localSheetId="2">#REF!</definedName>
    <definedName name="Excel_BuiltIn_Database" localSheetId="3">#REF!</definedName>
    <definedName name="Excel_BuiltIn_Database" localSheetId="8">#REF!</definedName>
    <definedName name="Excel_BuiltIn_Database" localSheetId="10">#REF!</definedName>
    <definedName name="Excel_BuiltIn_Database" localSheetId="11">#REF!</definedName>
    <definedName name="Excel_BuiltIn_Database" localSheetId="5">#REF!</definedName>
    <definedName name="Excel_BuiltIn_Database" localSheetId="4">#REF!</definedName>
    <definedName name="Excel_BuiltIn_Database" localSheetId="6">#REF!</definedName>
    <definedName name="Excel_BuiltIn_Database" localSheetId="9">#REF!</definedName>
    <definedName name="Excel_BuiltIn_Database" localSheetId="14">#REF!</definedName>
    <definedName name="Excel_BuiltIn_Database" localSheetId="13">#REF!</definedName>
    <definedName name="Excel_BuiltIn_Database" localSheetId="15">#REF!</definedName>
    <definedName name="Excel_BuiltIn_Database" localSheetId="0">#REF!</definedName>
    <definedName name="Excel_BuiltIn_Database" localSheetId="7">#REF!</definedName>
    <definedName name="Excel_BuiltIn_Database">#REF!</definedName>
    <definedName name="kldp" localSheetId="2">#REF!</definedName>
    <definedName name="kldp" localSheetId="3">#REF!</definedName>
    <definedName name="kldp" localSheetId="11">#REF!</definedName>
    <definedName name="kldp" localSheetId="5">#REF!</definedName>
    <definedName name="kldp" localSheetId="4">#REF!</definedName>
    <definedName name="kldp" localSheetId="6">#REF!</definedName>
    <definedName name="kldp" localSheetId="9">#REF!</definedName>
    <definedName name="kldp" localSheetId="14">#REF!</definedName>
    <definedName name="kldp" localSheetId="13">#REF!</definedName>
    <definedName name="kldp" localSheetId="15">#REF!</definedName>
    <definedName name="kldp" localSheetId="0">#REF!</definedName>
    <definedName name="kldp" localSheetId="7">#REF!</definedName>
    <definedName name="kldp">#REF!</definedName>
    <definedName name="lkj" localSheetId="11">#REF!</definedName>
    <definedName name="lkj" localSheetId="5">#REF!</definedName>
    <definedName name="lkj" localSheetId="4">#REF!</definedName>
    <definedName name="lkj" localSheetId="6">#REF!</definedName>
    <definedName name="lkj" localSheetId="9">#REF!</definedName>
    <definedName name="lkj" localSheetId="14">#REF!</definedName>
    <definedName name="lkj" localSheetId="13">#REF!</definedName>
    <definedName name="lkj" localSheetId="15">#REF!</definedName>
    <definedName name="lkj">#REF!</definedName>
    <definedName name="phgf" localSheetId="2">#REF!</definedName>
    <definedName name="phgf" localSheetId="3">#REF!</definedName>
    <definedName name="phgf" localSheetId="0">#REF!</definedName>
    <definedName name="phgf">#REF!</definedName>
    <definedName name="pokj" localSheetId="11">#REF!</definedName>
    <definedName name="pokj" localSheetId="5">#REF!</definedName>
    <definedName name="pokj" localSheetId="4">#REF!</definedName>
    <definedName name="pokj" localSheetId="6">#REF!</definedName>
    <definedName name="pokj" localSheetId="9">#REF!</definedName>
    <definedName name="pokj" localSheetId="14">#REF!</definedName>
    <definedName name="pokj" localSheetId="13">#REF!</definedName>
    <definedName name="pokj" localSheetId="15">#REF!</definedName>
    <definedName name="pokj">#REF!</definedName>
    <definedName name="polkk">#REF!</definedName>
    <definedName name="sdf" localSheetId="12">#REF!</definedName>
    <definedName name="sdf" localSheetId="16">#REF!</definedName>
    <definedName name="sdf">#REF!</definedName>
    <definedName name="T_3862822080" localSheetId="5">'211,213 допы 2024 (без овз)'!$A$12:$CV$220</definedName>
    <definedName name="T_3862822080" localSheetId="4">'211,213 допы 2024 (контр сумма)'!$A$12:$CV$220</definedName>
    <definedName name="T_3862822080" localSheetId="6">'211,213 допы 2024 (с овз)'!$A$12:$CV$220</definedName>
    <definedName name="TR_3862822080_204207469" localSheetId="5">'211,213 допы 2024 (без овз)'!$A$12:$CV$12</definedName>
    <definedName name="TR_3862822080_204207469" localSheetId="4">'211,213 допы 2024 (контр сумма)'!$A$12:$CV$12</definedName>
    <definedName name="TR_3862822080_204207469" localSheetId="6">'211,213 допы 2024 (с овз)'!$A$12:$CV$12</definedName>
    <definedName name="TR_3862822080_204207470" localSheetId="5">'211,213 допы 2024 (без овз)'!$A$13:$CV$13</definedName>
    <definedName name="TR_3862822080_204207470" localSheetId="4">'211,213 допы 2024 (контр сумма)'!$A$13:$CV$13</definedName>
    <definedName name="TR_3862822080_204207470" localSheetId="6">'211,213 допы 2024 (с овз)'!$A$13:$CV$13</definedName>
    <definedName name="TR_3862822080_204207471" localSheetId="5">'211,213 допы 2024 (без овз)'!$A$14:$CV$14</definedName>
    <definedName name="TR_3862822080_204207471" localSheetId="4">'211,213 допы 2024 (контр сумма)'!$A$14:$CV$14</definedName>
    <definedName name="TR_3862822080_204207471" localSheetId="6">'211,213 допы 2024 (с овз)'!$A$14:$CV$14</definedName>
    <definedName name="TR_3862822080_204207472" localSheetId="5">'211,213 допы 2024 (без овз)'!$A$15:$CV$15</definedName>
    <definedName name="TR_3862822080_204207472" localSheetId="4">'211,213 допы 2024 (контр сумма)'!$A$15:$CV$15</definedName>
    <definedName name="TR_3862822080_204207472" localSheetId="6">'211,213 допы 2024 (с овз)'!$A$15:$CV$15</definedName>
    <definedName name="TR_3862822080_204207473" localSheetId="5">'211,213 допы 2024 (без овз)'!$A$16:$CV$16</definedName>
    <definedName name="TR_3862822080_204207473" localSheetId="4">'211,213 допы 2024 (контр сумма)'!$A$16:$CV$16</definedName>
    <definedName name="TR_3862822080_204207473" localSheetId="6">'211,213 допы 2024 (с овз)'!$A$16:$CV$16</definedName>
    <definedName name="TR_3862822080_204207474" localSheetId="5">'211,213 допы 2024 (без овз)'!$A$17:$CV$17</definedName>
    <definedName name="TR_3862822080_204207474" localSheetId="4">'211,213 допы 2024 (контр сумма)'!$A$17:$CV$17</definedName>
    <definedName name="TR_3862822080_204207474" localSheetId="6">'211,213 допы 2024 (с овз)'!$A$17:$CV$17</definedName>
    <definedName name="TR_3862822080_204207475" localSheetId="5">'211,213 допы 2024 (без овз)'!$A$18:$CV$18</definedName>
    <definedName name="TR_3862822080_204207475" localSheetId="4">'211,213 допы 2024 (контр сумма)'!$A$18:$CV$18</definedName>
    <definedName name="TR_3862822080_204207475" localSheetId="6">'211,213 допы 2024 (с овз)'!$A$18:$CV$18</definedName>
    <definedName name="TR_3862822080_204207476" localSheetId="5">'211,213 допы 2024 (без овз)'!$A$19:$CV$19</definedName>
    <definedName name="TR_3862822080_204207476" localSheetId="4">'211,213 допы 2024 (контр сумма)'!$A$19:$CV$19</definedName>
    <definedName name="TR_3862822080_204207476" localSheetId="6">'211,213 допы 2024 (с овз)'!$A$19:$CV$19</definedName>
    <definedName name="TR_3862822080_204207477" localSheetId="5">'211,213 допы 2024 (без овз)'!$A$20:$CV$20</definedName>
    <definedName name="TR_3862822080_204207477" localSheetId="4">'211,213 допы 2024 (контр сумма)'!$A$20:$CV$20</definedName>
    <definedName name="TR_3862822080_204207477" localSheetId="6">'211,213 допы 2024 (с овз)'!$A$20:$CV$20</definedName>
    <definedName name="TR_3862822080_204207478" localSheetId="5">'211,213 допы 2024 (без овз)'!$A$21:$CV$21</definedName>
    <definedName name="TR_3862822080_204207478" localSheetId="4">'211,213 допы 2024 (контр сумма)'!$A$21:$CV$21</definedName>
    <definedName name="TR_3862822080_204207478" localSheetId="6">'211,213 допы 2024 (с овз)'!$A$21:$CV$21</definedName>
    <definedName name="TR_3862822080_204207479" localSheetId="5">'211,213 допы 2024 (без овз)'!$A$22:$CV$22</definedName>
    <definedName name="TR_3862822080_204207479" localSheetId="4">'211,213 допы 2024 (контр сумма)'!$A$22:$CV$22</definedName>
    <definedName name="TR_3862822080_204207479" localSheetId="6">'211,213 допы 2024 (с овз)'!$A$22:$CV$22</definedName>
    <definedName name="TR_3862822080_204207480" localSheetId="5">'211,213 допы 2024 (без овз)'!$A$23:$CV$23</definedName>
    <definedName name="TR_3862822080_204207480" localSheetId="4">'211,213 допы 2024 (контр сумма)'!$A$23:$CV$23</definedName>
    <definedName name="TR_3862822080_204207480" localSheetId="6">'211,213 допы 2024 (с овз)'!$A$23:$CV$23</definedName>
    <definedName name="TR_3862822080_204207481" localSheetId="5">'211,213 допы 2024 (без овз)'!$A$24:$CV$24</definedName>
    <definedName name="TR_3862822080_204207481" localSheetId="4">'211,213 допы 2024 (контр сумма)'!$A$24:$CV$24</definedName>
    <definedName name="TR_3862822080_204207481" localSheetId="6">'211,213 допы 2024 (с овз)'!$A$24:$CV$24</definedName>
    <definedName name="TR_3862822080_204207482" localSheetId="5">'211,213 допы 2024 (без овз)'!$A$25:$CV$25</definedName>
    <definedName name="TR_3862822080_204207482" localSheetId="4">'211,213 допы 2024 (контр сумма)'!$A$25:$CV$25</definedName>
    <definedName name="TR_3862822080_204207482" localSheetId="6">'211,213 допы 2024 (с овз)'!$A$25:$CV$25</definedName>
    <definedName name="TR_3862822080_204207483" localSheetId="5">'211,213 допы 2024 (без овз)'!$A$26:$CV$26</definedName>
    <definedName name="TR_3862822080_204207483" localSheetId="4">'211,213 допы 2024 (контр сумма)'!$A$26:$CV$26</definedName>
    <definedName name="TR_3862822080_204207483" localSheetId="6">'211,213 допы 2024 (с овз)'!$A$26:$CV$26</definedName>
    <definedName name="TR_3862822080_204207484" localSheetId="5">'211,213 допы 2024 (без овз)'!$A$27:$CV$27</definedName>
    <definedName name="TR_3862822080_204207484" localSheetId="4">'211,213 допы 2024 (контр сумма)'!$A$27:$CV$27</definedName>
    <definedName name="TR_3862822080_204207484" localSheetId="6">'211,213 допы 2024 (с овз)'!$A$27:$CV$27</definedName>
    <definedName name="TR_3862822080_204207485" localSheetId="5">'211,213 допы 2024 (без овз)'!$A$28:$CV$28</definedName>
    <definedName name="TR_3862822080_204207485" localSheetId="4">'211,213 допы 2024 (контр сумма)'!$A$28:$CV$28</definedName>
    <definedName name="TR_3862822080_204207485" localSheetId="6">'211,213 допы 2024 (с овз)'!$A$28:$CV$28</definedName>
    <definedName name="TR_3862822080_204207486" localSheetId="5">'211,213 допы 2024 (без овз)'!$A$29:$CV$29</definedName>
    <definedName name="TR_3862822080_204207486" localSheetId="4">'211,213 допы 2024 (контр сумма)'!$A$29:$CV$29</definedName>
    <definedName name="TR_3862822080_204207486" localSheetId="6">'211,213 допы 2024 (с овз)'!$A$29:$CV$29</definedName>
    <definedName name="TR_3862822080_204207487" localSheetId="5">'211,213 допы 2024 (без овз)'!$A$30:$CV$30</definedName>
    <definedName name="TR_3862822080_204207487" localSheetId="4">'211,213 допы 2024 (контр сумма)'!$A$30:$CV$30</definedName>
    <definedName name="TR_3862822080_204207487" localSheetId="6">'211,213 допы 2024 (с овз)'!$A$30:$CV$30</definedName>
    <definedName name="TR_3862822080_204207488" localSheetId="5">'211,213 допы 2024 (без овз)'!$A$31:$CV$31</definedName>
    <definedName name="TR_3862822080_204207488" localSheetId="4">'211,213 допы 2024 (контр сумма)'!$A$31:$CV$31</definedName>
    <definedName name="TR_3862822080_204207488" localSheetId="6">'211,213 допы 2024 (с овз)'!$A$31:$CV$31</definedName>
    <definedName name="TR_3862822080_204207489" localSheetId="5">'211,213 допы 2024 (без овз)'!$A$32:$CV$32</definedName>
    <definedName name="TR_3862822080_204207489" localSheetId="4">'211,213 допы 2024 (контр сумма)'!$A$32:$CV$32</definedName>
    <definedName name="TR_3862822080_204207489" localSheetId="6">'211,213 допы 2024 (с овз)'!$A$32:$CV$32</definedName>
    <definedName name="TR_3862822080_204207490" localSheetId="5">'211,213 допы 2024 (без овз)'!$A$33:$CV$33</definedName>
    <definedName name="TR_3862822080_204207490" localSheetId="4">'211,213 допы 2024 (контр сумма)'!$A$33:$CV$33</definedName>
    <definedName name="TR_3862822080_204207490" localSheetId="6">'211,213 допы 2024 (с овз)'!$A$33:$CV$33</definedName>
    <definedName name="TR_3862822080_204207491" localSheetId="5">'211,213 допы 2024 (без овз)'!$A$34:$CV$34</definedName>
    <definedName name="TR_3862822080_204207491" localSheetId="4">'211,213 допы 2024 (контр сумма)'!$A$34:$CV$34</definedName>
    <definedName name="TR_3862822080_204207491" localSheetId="6">'211,213 допы 2024 (с овз)'!$A$34:$CV$34</definedName>
    <definedName name="TR_3862822080_204207492" localSheetId="5">'211,213 допы 2024 (без овз)'!$A$35:$CV$35</definedName>
    <definedName name="TR_3862822080_204207492" localSheetId="4">'211,213 допы 2024 (контр сумма)'!$A$35:$CV$35</definedName>
    <definedName name="TR_3862822080_204207492" localSheetId="6">'211,213 допы 2024 (с овз)'!$A$35:$CV$35</definedName>
    <definedName name="TR_3862822080_204207493" localSheetId="5">'211,213 допы 2024 (без овз)'!$A$36:$CV$36</definedName>
    <definedName name="TR_3862822080_204207493" localSheetId="4">'211,213 допы 2024 (контр сумма)'!$A$36:$CV$36</definedName>
    <definedName name="TR_3862822080_204207493" localSheetId="6">'211,213 допы 2024 (с овз)'!$A$36:$CV$36</definedName>
    <definedName name="TR_3862822080_204207494" localSheetId="5">'211,213 допы 2024 (без овз)'!$A$37:$CV$37</definedName>
    <definedName name="TR_3862822080_204207494" localSheetId="4">'211,213 допы 2024 (контр сумма)'!$A$37:$CV$37</definedName>
    <definedName name="TR_3862822080_204207494" localSheetId="6">'211,213 допы 2024 (с овз)'!$A$37:$CV$37</definedName>
    <definedName name="TR_3862822080_204207495" localSheetId="5">'211,213 допы 2024 (без овз)'!$A$38:$CV$38</definedName>
    <definedName name="TR_3862822080_204207495" localSheetId="4">'211,213 допы 2024 (контр сумма)'!$A$38:$CV$38</definedName>
    <definedName name="TR_3862822080_204207495" localSheetId="6">'211,213 допы 2024 (с овз)'!$A$38:$CV$38</definedName>
    <definedName name="TR_3862822080_204207496" localSheetId="5">'211,213 допы 2024 (без овз)'!$A$39:$CV$39</definedName>
    <definedName name="TR_3862822080_204207496" localSheetId="4">'211,213 допы 2024 (контр сумма)'!$A$39:$CV$39</definedName>
    <definedName name="TR_3862822080_204207496" localSheetId="6">'211,213 допы 2024 (с овз)'!$A$39:$CV$39</definedName>
    <definedName name="TR_3862822080_204207497" localSheetId="5">'211,213 допы 2024 (без овз)'!$A$40:$CV$40</definedName>
    <definedName name="TR_3862822080_204207497" localSheetId="4">'211,213 допы 2024 (контр сумма)'!$A$40:$CV$40</definedName>
    <definedName name="TR_3862822080_204207497" localSheetId="6">'211,213 допы 2024 (с овз)'!$A$40:$CV$40</definedName>
    <definedName name="TR_3862822080_204207498" localSheetId="5">'211,213 допы 2024 (без овз)'!$A$41:$CV$41</definedName>
    <definedName name="TR_3862822080_204207498" localSheetId="4">'211,213 допы 2024 (контр сумма)'!$A$41:$CV$41</definedName>
    <definedName name="TR_3862822080_204207498" localSheetId="6">'211,213 допы 2024 (с овз)'!$A$41:$CV$41</definedName>
    <definedName name="TR_3862822080_204207499" localSheetId="5">'211,213 допы 2024 (без овз)'!$A$42:$CV$42</definedName>
    <definedName name="TR_3862822080_204207499" localSheetId="4">'211,213 допы 2024 (контр сумма)'!$A$42:$CV$42</definedName>
    <definedName name="TR_3862822080_204207499" localSheetId="6">'211,213 допы 2024 (с овз)'!$A$42:$CV$42</definedName>
    <definedName name="TR_3862822080_204207500" localSheetId="5">'211,213 допы 2024 (без овз)'!$A$43:$CV$43</definedName>
    <definedName name="TR_3862822080_204207500" localSheetId="4">'211,213 допы 2024 (контр сумма)'!$A$43:$CV$43</definedName>
    <definedName name="TR_3862822080_204207500" localSheetId="6">'211,213 допы 2024 (с овз)'!$A$43:$CV$43</definedName>
    <definedName name="TR_3862822080_204207501" localSheetId="5">'211,213 допы 2024 (без овз)'!$A$44:$CV$44</definedName>
    <definedName name="TR_3862822080_204207501" localSheetId="4">'211,213 допы 2024 (контр сумма)'!$A$44:$CV$44</definedName>
    <definedName name="TR_3862822080_204207501" localSheetId="6">'211,213 допы 2024 (с овз)'!$A$44:$CV$44</definedName>
    <definedName name="TR_3862822080_204207502" localSheetId="5">'211,213 допы 2024 (без овз)'!$A$45:$CV$45</definedName>
    <definedName name="TR_3862822080_204207502" localSheetId="4">'211,213 допы 2024 (контр сумма)'!$A$45:$CV$45</definedName>
    <definedName name="TR_3862822080_204207502" localSheetId="6">'211,213 допы 2024 (с овз)'!$A$45:$CV$45</definedName>
    <definedName name="TR_3862822080_204207503" localSheetId="5">'211,213 допы 2024 (без овз)'!$A$46:$CV$46</definedName>
    <definedName name="TR_3862822080_204207503" localSheetId="4">'211,213 допы 2024 (контр сумма)'!$A$46:$CV$46</definedName>
    <definedName name="TR_3862822080_204207503" localSheetId="6">'211,213 допы 2024 (с овз)'!$A$46:$CV$46</definedName>
    <definedName name="TR_3862822080_204207504" localSheetId="5">'211,213 допы 2024 (без овз)'!$A$47:$CV$47</definedName>
    <definedName name="TR_3862822080_204207504" localSheetId="4">'211,213 допы 2024 (контр сумма)'!$A$47:$CV$47</definedName>
    <definedName name="TR_3862822080_204207504" localSheetId="6">'211,213 допы 2024 (с овз)'!$A$47:$CV$47</definedName>
    <definedName name="TR_3862822080_204207506" localSheetId="5">'211,213 допы 2024 (без овз)'!$A$67:$CV$67</definedName>
    <definedName name="TR_3862822080_204207506" localSheetId="4">'211,213 допы 2024 (контр сумма)'!$A$67:$CV$67</definedName>
    <definedName name="TR_3862822080_204207506" localSheetId="6">'211,213 допы 2024 (с овз)'!$A$67:$CV$67</definedName>
    <definedName name="TR_3862822080_204207507" localSheetId="5">'211,213 допы 2024 (без овз)'!$A$68:$CV$68</definedName>
    <definedName name="TR_3862822080_204207507" localSheetId="4">'211,213 допы 2024 (контр сумма)'!$A$68:$CV$68</definedName>
    <definedName name="TR_3862822080_204207507" localSheetId="6">'211,213 допы 2024 (с овз)'!$A$68:$CV$68</definedName>
    <definedName name="TR_3862822080_204207508" localSheetId="5">'211,213 допы 2024 (без овз)'!$A$69:$CV$69</definedName>
    <definedName name="TR_3862822080_204207508" localSheetId="4">'211,213 допы 2024 (контр сумма)'!$A$69:$CV$69</definedName>
    <definedName name="TR_3862822080_204207508" localSheetId="6">'211,213 допы 2024 (с овз)'!$A$69:$CV$69</definedName>
    <definedName name="TR_3862822080_204207509" localSheetId="5">'211,213 допы 2024 (без овз)'!$A$70:$CV$70</definedName>
    <definedName name="TR_3862822080_204207509" localSheetId="4">'211,213 допы 2024 (контр сумма)'!$A$70:$CV$70</definedName>
    <definedName name="TR_3862822080_204207509" localSheetId="6">'211,213 допы 2024 (с овз)'!$A$70:$CV$70</definedName>
    <definedName name="TR_3862822080_204207510" localSheetId="5">'211,213 допы 2024 (без овз)'!$A$71:$CV$71</definedName>
    <definedName name="TR_3862822080_204207510" localSheetId="4">'211,213 допы 2024 (контр сумма)'!$A$71:$CV$71</definedName>
    <definedName name="TR_3862822080_204207510" localSheetId="6">'211,213 допы 2024 (с овз)'!$A$71:$CV$71</definedName>
    <definedName name="TR_3862822080_204207511" localSheetId="5">'211,213 допы 2024 (без овз)'!$A$72:$CV$72</definedName>
    <definedName name="TR_3862822080_204207511" localSheetId="4">'211,213 допы 2024 (контр сумма)'!$A$72:$CV$72</definedName>
    <definedName name="TR_3862822080_204207511" localSheetId="6">'211,213 допы 2024 (с овз)'!$A$72:$CV$72</definedName>
    <definedName name="TR_3862822080_204207512" localSheetId="5">'211,213 допы 2024 (без овз)'!$A$73:$CV$73</definedName>
    <definedName name="TR_3862822080_204207512" localSheetId="4">'211,213 допы 2024 (контр сумма)'!$A$73:$CV$73</definedName>
    <definedName name="TR_3862822080_204207512" localSheetId="6">'211,213 допы 2024 (с овз)'!$A$73:$CV$73</definedName>
    <definedName name="TR_3862822080_204207513" localSheetId="5">'211,213 допы 2024 (без овз)'!$A$74:$CV$74</definedName>
    <definedName name="TR_3862822080_204207513" localSheetId="4">'211,213 допы 2024 (контр сумма)'!$A$74:$CV$74</definedName>
    <definedName name="TR_3862822080_204207513" localSheetId="6">'211,213 допы 2024 (с овз)'!$A$74:$CV$74</definedName>
    <definedName name="TR_3862822080_204207514" localSheetId="5">'211,213 допы 2024 (без овз)'!$A$75:$CV$75</definedName>
    <definedName name="TR_3862822080_204207514" localSheetId="4">'211,213 допы 2024 (контр сумма)'!$A$75:$CV$75</definedName>
    <definedName name="TR_3862822080_204207514" localSheetId="6">'211,213 допы 2024 (с овз)'!$A$75:$CV$75</definedName>
    <definedName name="TR_3862822080_204207515" localSheetId="5">'211,213 допы 2024 (без овз)'!$A$76:$CV$76</definedName>
    <definedName name="TR_3862822080_204207515" localSheetId="4">'211,213 допы 2024 (контр сумма)'!$A$76:$CV$76</definedName>
    <definedName name="TR_3862822080_204207515" localSheetId="6">'211,213 допы 2024 (с овз)'!$A$76:$CV$76</definedName>
    <definedName name="TR_3862822080_204207516" localSheetId="5">'211,213 допы 2024 (без овз)'!$A$77:$CV$77</definedName>
    <definedName name="TR_3862822080_204207516" localSheetId="4">'211,213 допы 2024 (контр сумма)'!$A$77:$CV$77</definedName>
    <definedName name="TR_3862822080_204207516" localSheetId="6">'211,213 допы 2024 (с овз)'!$A$77:$CV$77</definedName>
    <definedName name="TR_3862822080_204207517" localSheetId="5">'211,213 допы 2024 (без овз)'!$A$78:$CV$78</definedName>
    <definedName name="TR_3862822080_204207517" localSheetId="4">'211,213 допы 2024 (контр сумма)'!$A$78:$CV$78</definedName>
    <definedName name="TR_3862822080_204207517" localSheetId="6">'211,213 допы 2024 (с овз)'!$A$78:$CV$78</definedName>
    <definedName name="TR_3862822080_204207519" localSheetId="5">'211,213 допы 2024 (без овз)'!$A$98:$CV$98</definedName>
    <definedName name="TR_3862822080_204207519" localSheetId="4">'211,213 допы 2024 (контр сумма)'!$A$98:$CV$98</definedName>
    <definedName name="TR_3862822080_204207519" localSheetId="6">'211,213 допы 2024 (с овз)'!$A$98:$CV$98</definedName>
    <definedName name="TR_3862822080_204207520" localSheetId="5">'211,213 допы 2024 (без овз)'!$A$99:$CV$99</definedName>
    <definedName name="TR_3862822080_204207520" localSheetId="4">'211,213 допы 2024 (контр сумма)'!$A$99:$CV$99</definedName>
    <definedName name="TR_3862822080_204207520" localSheetId="6">'211,213 допы 2024 (с овз)'!$A$99:$CV$99</definedName>
    <definedName name="TR_3862822080_204207521" localSheetId="5">'211,213 допы 2024 (без овз)'!$A$100:$CV$100</definedName>
    <definedName name="TR_3862822080_204207521" localSheetId="4">'211,213 допы 2024 (контр сумма)'!$A$100:$CV$100</definedName>
    <definedName name="TR_3862822080_204207521" localSheetId="6">'211,213 допы 2024 (с овз)'!$A$100:$CV$100</definedName>
    <definedName name="TR_3862822080_204207522" localSheetId="5">'211,213 допы 2024 (без овз)'!$A$101:$CV$101</definedName>
    <definedName name="TR_3862822080_204207522" localSheetId="4">'211,213 допы 2024 (контр сумма)'!$A$101:$CV$101</definedName>
    <definedName name="TR_3862822080_204207522" localSheetId="6">'211,213 допы 2024 (с овз)'!$A$101:$CV$101</definedName>
    <definedName name="TR_3862822080_204207523" localSheetId="5">'211,213 допы 2024 (без овз)'!$A$102:$CV$102</definedName>
    <definedName name="TR_3862822080_204207523" localSheetId="4">'211,213 допы 2024 (контр сумма)'!$A$102:$CV$102</definedName>
    <definedName name="TR_3862822080_204207523" localSheetId="6">'211,213 допы 2024 (с овз)'!$A$102:$CV$102</definedName>
    <definedName name="TR_3862822080_204207524" localSheetId="5">'211,213 допы 2024 (без овз)'!$A$103:$CV$103</definedName>
    <definedName name="TR_3862822080_204207524" localSheetId="4">'211,213 допы 2024 (контр сумма)'!$A$103:$CV$103</definedName>
    <definedName name="TR_3862822080_204207524" localSheetId="6">'211,213 допы 2024 (с овз)'!$A$103:$CV$103</definedName>
    <definedName name="TR_3862822080_204207525" localSheetId="5">'211,213 допы 2024 (без овз)'!$A$104:$CV$104</definedName>
    <definedName name="TR_3862822080_204207525" localSheetId="4">'211,213 допы 2024 (контр сумма)'!$A$104:$CV$104</definedName>
    <definedName name="TR_3862822080_204207525" localSheetId="6">'211,213 допы 2024 (с овз)'!$A$104:$CV$104</definedName>
    <definedName name="TR_3862822080_204207526" localSheetId="5">'211,213 допы 2024 (без овз)'!$A$105:$CV$105</definedName>
    <definedName name="TR_3862822080_204207526" localSheetId="4">'211,213 допы 2024 (контр сумма)'!$A$105:$CV$105</definedName>
    <definedName name="TR_3862822080_204207526" localSheetId="6">'211,213 допы 2024 (с овз)'!$A$105:$CV$105</definedName>
    <definedName name="TR_3862822080_204207527" localSheetId="5">'211,213 допы 2024 (без овз)'!$A$106:$CV$106</definedName>
    <definedName name="TR_3862822080_204207527" localSheetId="4">'211,213 допы 2024 (контр сумма)'!$A$106:$CV$106</definedName>
    <definedName name="TR_3862822080_204207527" localSheetId="6">'211,213 допы 2024 (с овз)'!$A$106:$CV$106</definedName>
    <definedName name="TR_3862822080_204207528" localSheetId="5">'211,213 допы 2024 (без овз)'!$A$107:$CV$107</definedName>
    <definedName name="TR_3862822080_204207528" localSheetId="4">'211,213 допы 2024 (контр сумма)'!$A$107:$CV$107</definedName>
    <definedName name="TR_3862822080_204207528" localSheetId="6">'211,213 допы 2024 (с овз)'!$A$107:$CV$107</definedName>
    <definedName name="TR_3862822080_204207529" localSheetId="5">'211,213 допы 2024 (без овз)'!$A$108:$CV$108</definedName>
    <definedName name="TR_3862822080_204207529" localSheetId="4">'211,213 допы 2024 (контр сумма)'!$A$108:$CV$108</definedName>
    <definedName name="TR_3862822080_204207529" localSheetId="6">'211,213 допы 2024 (с овз)'!$A$108:$CV$108</definedName>
    <definedName name="TR_3862822080_204207530" localSheetId="5">'211,213 допы 2024 (без овз)'!$A$109:$CV$109</definedName>
    <definedName name="TR_3862822080_204207530" localSheetId="4">'211,213 допы 2024 (контр сумма)'!$A$109:$CV$109</definedName>
    <definedName name="TR_3862822080_204207530" localSheetId="6">'211,213 допы 2024 (с овз)'!$A$109:$CV$109</definedName>
    <definedName name="TR_3862822080_204207531" localSheetId="5">'211,213 допы 2024 (без овз)'!$A$110:$CV$110</definedName>
    <definedName name="TR_3862822080_204207531" localSheetId="4">'211,213 допы 2024 (контр сумма)'!$A$110:$CV$110</definedName>
    <definedName name="TR_3862822080_204207531" localSheetId="6">'211,213 допы 2024 (с овз)'!$A$110:$CV$110</definedName>
    <definedName name="TR_3862822080_204207532" localSheetId="5">'211,213 допы 2024 (без овз)'!$A$111:$CV$111</definedName>
    <definedName name="TR_3862822080_204207532" localSheetId="4">'211,213 допы 2024 (контр сумма)'!$A$111:$CV$111</definedName>
    <definedName name="TR_3862822080_204207532" localSheetId="6">'211,213 допы 2024 (с овз)'!$A$111:$CV$111</definedName>
    <definedName name="TR_3862822080_204207533" localSheetId="5">'211,213 допы 2024 (без овз)'!$A$112:$CV$112</definedName>
    <definedName name="TR_3862822080_204207533" localSheetId="4">'211,213 допы 2024 (контр сумма)'!$A$112:$CV$112</definedName>
    <definedName name="TR_3862822080_204207533" localSheetId="6">'211,213 допы 2024 (с овз)'!$A$112:$CV$112</definedName>
    <definedName name="TR_3862822080_204207534" localSheetId="5">'211,213 допы 2024 (без овз)'!$A$113:$CV$113</definedName>
    <definedName name="TR_3862822080_204207534" localSheetId="4">'211,213 допы 2024 (контр сумма)'!$A$113:$CV$113</definedName>
    <definedName name="TR_3862822080_204207534" localSheetId="6">'211,213 допы 2024 (с овз)'!$A$113:$CV$113</definedName>
    <definedName name="TR_3862822080_204207535" localSheetId="5">'211,213 допы 2024 (без овз)'!$A$114:$CV$114</definedName>
    <definedName name="TR_3862822080_204207535" localSheetId="4">'211,213 допы 2024 (контр сумма)'!$A$114:$CV$114</definedName>
    <definedName name="TR_3862822080_204207535" localSheetId="6">'211,213 допы 2024 (с овз)'!$A$114:$CV$114</definedName>
    <definedName name="TR_3862822080_204207536" localSheetId="5">'211,213 допы 2024 (без овз)'!$A$115:$CV$115</definedName>
    <definedName name="TR_3862822080_204207536" localSheetId="4">'211,213 допы 2024 (контр сумма)'!$A$115:$CV$115</definedName>
    <definedName name="TR_3862822080_204207536" localSheetId="6">'211,213 допы 2024 (с овз)'!$A$115:$CV$115</definedName>
    <definedName name="TR_3862822080_204207537" localSheetId="5">'211,213 допы 2024 (без овз)'!$A$116:$CV$116</definedName>
    <definedName name="TR_3862822080_204207537" localSheetId="4">'211,213 допы 2024 (контр сумма)'!$A$116:$CV$116</definedName>
    <definedName name="TR_3862822080_204207537" localSheetId="6">'211,213 допы 2024 (с овз)'!$A$116:$CV$116</definedName>
    <definedName name="TR_3862822080_204207538" localSheetId="5">'211,213 допы 2024 (без овз)'!$A$117:$CV$117</definedName>
    <definedName name="TR_3862822080_204207538" localSheetId="4">'211,213 допы 2024 (контр сумма)'!$A$117:$CV$117</definedName>
    <definedName name="TR_3862822080_204207538" localSheetId="6">'211,213 допы 2024 (с овз)'!$A$117:$CV$117</definedName>
    <definedName name="TR_3862822080_204207539" localSheetId="5">'211,213 допы 2024 (без овз)'!$A$118:$CV$118</definedName>
    <definedName name="TR_3862822080_204207539" localSheetId="4">'211,213 допы 2024 (контр сумма)'!$A$118:$CV$118</definedName>
    <definedName name="TR_3862822080_204207539" localSheetId="6">'211,213 допы 2024 (с овз)'!$A$118:$CV$118</definedName>
    <definedName name="TR_3862822080_204207540" localSheetId="5">'211,213 допы 2024 (без овз)'!$A$119:$CV$119</definedName>
    <definedName name="TR_3862822080_204207540" localSheetId="4">'211,213 допы 2024 (контр сумма)'!$A$119:$CV$119</definedName>
    <definedName name="TR_3862822080_204207540" localSheetId="6">'211,213 допы 2024 (с овз)'!$A$119:$CV$119</definedName>
    <definedName name="TR_3862822080_204207541" localSheetId="5">'211,213 допы 2024 (без овз)'!$A$120:$CV$120</definedName>
    <definedName name="TR_3862822080_204207541" localSheetId="4">'211,213 допы 2024 (контр сумма)'!$A$120:$CV$120</definedName>
    <definedName name="TR_3862822080_204207541" localSheetId="6">'211,213 допы 2024 (с овз)'!$A$120:$CV$120</definedName>
    <definedName name="TR_3862822080_204207542" localSheetId="5">'211,213 допы 2024 (без овз)'!$A$121:$CV$121</definedName>
    <definedName name="TR_3862822080_204207542" localSheetId="4">'211,213 допы 2024 (контр сумма)'!$A$121:$CV$121</definedName>
    <definedName name="TR_3862822080_204207542" localSheetId="6">'211,213 допы 2024 (с овз)'!$A$121:$CV$121</definedName>
    <definedName name="TR_3862822080_204207543" localSheetId="5">'211,213 допы 2024 (без овз)'!$A$122:$CV$122</definedName>
    <definedName name="TR_3862822080_204207543" localSheetId="4">'211,213 допы 2024 (контр сумма)'!$A$122:$CV$122</definedName>
    <definedName name="TR_3862822080_204207543" localSheetId="6">'211,213 допы 2024 (с овз)'!$A$122:$CV$122</definedName>
    <definedName name="TR_3862822080_204207544" localSheetId="5">'211,213 допы 2024 (без овз)'!$A$123:$CV$123</definedName>
    <definedName name="TR_3862822080_204207544" localSheetId="4">'211,213 допы 2024 (контр сумма)'!$A$123:$CV$123</definedName>
    <definedName name="TR_3862822080_204207544" localSheetId="6">'211,213 допы 2024 (с овз)'!$A$123:$CV$123</definedName>
    <definedName name="TR_3862822080_204207545" localSheetId="5">'211,213 допы 2024 (без овз)'!$A$124:$CV$124</definedName>
    <definedName name="TR_3862822080_204207545" localSheetId="4">'211,213 допы 2024 (контр сумма)'!$A$124:$CV$124</definedName>
    <definedName name="TR_3862822080_204207545" localSheetId="6">'211,213 допы 2024 (с овз)'!$A$124:$CV$124</definedName>
    <definedName name="TR_3862822080_204207546" localSheetId="5">'211,213 допы 2024 (без овз)'!$A$125:$CV$125</definedName>
    <definedName name="TR_3862822080_204207546" localSheetId="4">'211,213 допы 2024 (контр сумма)'!$A$125:$CV$125</definedName>
    <definedName name="TR_3862822080_204207546" localSheetId="6">'211,213 допы 2024 (с овз)'!$A$125:$CV$125</definedName>
    <definedName name="TR_3862822080_204207547" localSheetId="5">'211,213 допы 2024 (без овз)'!$A$126:$CV$126</definedName>
    <definedName name="TR_3862822080_204207547" localSheetId="4">'211,213 допы 2024 (контр сумма)'!$A$126:$CV$126</definedName>
    <definedName name="TR_3862822080_204207547" localSheetId="6">'211,213 допы 2024 (с овз)'!$A$126:$CV$126</definedName>
    <definedName name="TR_3862822080_204207548" localSheetId="5">'211,213 допы 2024 (без овз)'!$A$127:$CV$127</definedName>
    <definedName name="TR_3862822080_204207548" localSheetId="4">'211,213 допы 2024 (контр сумма)'!$A$127:$CV$127</definedName>
    <definedName name="TR_3862822080_204207548" localSheetId="6">'211,213 допы 2024 (с овз)'!$A$127:$CV$127</definedName>
    <definedName name="TR_3862822080_204207549" localSheetId="5">'211,213 допы 2024 (без овз)'!$A$128:$CV$128</definedName>
    <definedName name="TR_3862822080_204207549" localSheetId="4">'211,213 допы 2024 (контр сумма)'!$A$128:$CV$128</definedName>
    <definedName name="TR_3862822080_204207549" localSheetId="6">'211,213 допы 2024 (с овз)'!$A$128:$CV$128</definedName>
    <definedName name="TR_3862822080_204207550" localSheetId="5">'211,213 допы 2024 (без овз)'!$A$129:$CV$129</definedName>
    <definedName name="TR_3862822080_204207550" localSheetId="4">'211,213 допы 2024 (контр сумма)'!$A$129:$CV$129</definedName>
    <definedName name="TR_3862822080_204207550" localSheetId="6">'211,213 допы 2024 (с овз)'!$A$129:$CV$129</definedName>
    <definedName name="TR_3862822080_204207551" localSheetId="5">'211,213 допы 2024 (без овз)'!$A$130:$CV$130</definedName>
    <definedName name="TR_3862822080_204207551" localSheetId="4">'211,213 допы 2024 (контр сумма)'!$A$130:$CV$130</definedName>
    <definedName name="TR_3862822080_204207551" localSheetId="6">'211,213 допы 2024 (с овз)'!$A$130:$CV$130</definedName>
    <definedName name="TR_3862822080_204207552" localSheetId="5">'211,213 допы 2024 (без овз)'!$A$131:$CV$131</definedName>
    <definedName name="TR_3862822080_204207552" localSheetId="4">'211,213 допы 2024 (контр сумма)'!$A$131:$CV$131</definedName>
    <definedName name="TR_3862822080_204207552" localSheetId="6">'211,213 допы 2024 (с овз)'!$A$131:$CV$131</definedName>
    <definedName name="TR_3862822080_204207553" localSheetId="5">'211,213 допы 2024 (без овз)'!$A$132:$CV$132</definedName>
    <definedName name="TR_3862822080_204207553" localSheetId="4">'211,213 допы 2024 (контр сумма)'!$A$132:$CV$132</definedName>
    <definedName name="TR_3862822080_204207553" localSheetId="6">'211,213 допы 2024 (с овз)'!$A$132:$CV$132</definedName>
    <definedName name="TR_3862822080_204207554" localSheetId="5">'211,213 допы 2024 (без овз)'!$A$133:$CV$133</definedName>
    <definedName name="TR_3862822080_204207554" localSheetId="4">'211,213 допы 2024 (контр сумма)'!$A$133:$CV$133</definedName>
    <definedName name="TR_3862822080_204207554" localSheetId="6">'211,213 допы 2024 (с овз)'!$A$133:$CV$133</definedName>
    <definedName name="TR_3862822080_204207556" localSheetId="5">'211,213 допы 2024 (без овз)'!$A$153:$CV$153</definedName>
    <definedName name="TR_3862822080_204207556" localSheetId="4">'211,213 допы 2024 (контр сумма)'!$A$153:$CV$153</definedName>
    <definedName name="TR_3862822080_204207556" localSheetId="6">'211,213 допы 2024 (с овз)'!$A$153:$CV$153</definedName>
    <definedName name="TR_3862822080_204207557" localSheetId="5">'211,213 допы 2024 (без овз)'!$A$154:$CV$154</definedName>
    <definedName name="TR_3862822080_204207557" localSheetId="4">'211,213 допы 2024 (контр сумма)'!$A$154:$CV$154</definedName>
    <definedName name="TR_3862822080_204207557" localSheetId="6">'211,213 допы 2024 (с овз)'!$A$154:$CV$154</definedName>
    <definedName name="TR_3862822080_204207558" localSheetId="5">'211,213 допы 2024 (без овз)'!$A$155:$CV$155</definedName>
    <definedName name="TR_3862822080_204207558" localSheetId="4">'211,213 допы 2024 (контр сумма)'!$A$155:$CV$155</definedName>
    <definedName name="TR_3862822080_204207558" localSheetId="6">'211,213 допы 2024 (с овз)'!$A$155:$CV$155</definedName>
    <definedName name="TR_3862822080_204207559" localSheetId="5">'211,213 допы 2024 (без овз)'!$A$156:$CV$156</definedName>
    <definedName name="TR_3862822080_204207559" localSheetId="4">'211,213 допы 2024 (контр сумма)'!$A$156:$CV$156</definedName>
    <definedName name="TR_3862822080_204207559" localSheetId="6">'211,213 допы 2024 (с овз)'!$A$156:$CV$156</definedName>
    <definedName name="TR_3862822080_204207560" localSheetId="5">'211,213 допы 2024 (без овз)'!$A$157:$CV$157</definedName>
    <definedName name="TR_3862822080_204207560" localSheetId="4">'211,213 допы 2024 (контр сумма)'!$A$157:$CV$157</definedName>
    <definedName name="TR_3862822080_204207560" localSheetId="6">'211,213 допы 2024 (с овз)'!$A$157:$CV$157</definedName>
    <definedName name="TR_3862822080_204207561" localSheetId="5">'211,213 допы 2024 (без овз)'!$A$158:$CV$158</definedName>
    <definedName name="TR_3862822080_204207561" localSheetId="4">'211,213 допы 2024 (контр сумма)'!$A$158:$CV$158</definedName>
    <definedName name="TR_3862822080_204207561" localSheetId="6">'211,213 допы 2024 (с овз)'!$A$158:$CV$158</definedName>
    <definedName name="TR_3862822080_204207562" localSheetId="5">'211,213 допы 2024 (без овз)'!$A$159:$CV$159</definedName>
    <definedName name="TR_3862822080_204207562" localSheetId="4">'211,213 допы 2024 (контр сумма)'!$A$159:$CV$159</definedName>
    <definedName name="TR_3862822080_204207562" localSheetId="6">'211,213 допы 2024 (с овз)'!$A$159:$CV$159</definedName>
    <definedName name="TR_3862822080_204207563" localSheetId="5">'211,213 допы 2024 (без овз)'!$A$160:$CV$160</definedName>
    <definedName name="TR_3862822080_204207563" localSheetId="4">'211,213 допы 2024 (контр сумма)'!$A$160:$CV$160</definedName>
    <definedName name="TR_3862822080_204207563" localSheetId="6">'211,213 допы 2024 (с овз)'!$A$160:$CV$160</definedName>
    <definedName name="TR_3862822080_204207564" localSheetId="5">'211,213 допы 2024 (без овз)'!$A$161:$CV$161</definedName>
    <definedName name="TR_3862822080_204207564" localSheetId="4">'211,213 допы 2024 (контр сумма)'!$A$161:$CV$161</definedName>
    <definedName name="TR_3862822080_204207564" localSheetId="6">'211,213 допы 2024 (с овз)'!$A$161:$CV$161</definedName>
    <definedName name="TR_3862822080_204207565" localSheetId="5">'211,213 допы 2024 (без овз)'!$A$162:$CV$162</definedName>
    <definedName name="TR_3862822080_204207565" localSheetId="4">'211,213 допы 2024 (контр сумма)'!$A$162:$CV$162</definedName>
    <definedName name="TR_3862822080_204207565" localSheetId="6">'211,213 допы 2024 (с овз)'!$A$162:$CV$162</definedName>
    <definedName name="TR_3862822080_204207566" localSheetId="5">'211,213 допы 2024 (без овз)'!$A$163:$CV$163</definedName>
    <definedName name="TR_3862822080_204207566" localSheetId="4">'211,213 допы 2024 (контр сумма)'!$A$163:$CV$163</definedName>
    <definedName name="TR_3862822080_204207566" localSheetId="6">'211,213 допы 2024 (с овз)'!$A$163:$CV$163</definedName>
    <definedName name="TR_3862822080_204207567" localSheetId="5">'211,213 допы 2024 (без овз)'!$A$164:$CV$164</definedName>
    <definedName name="TR_3862822080_204207567" localSheetId="4">'211,213 допы 2024 (контр сумма)'!$A$164:$CV$164</definedName>
    <definedName name="TR_3862822080_204207567" localSheetId="6">'211,213 допы 2024 (с овз)'!$A$164:$CV$164</definedName>
    <definedName name="TR_3862822080_204207568" localSheetId="5">'211,213 допы 2024 (без овз)'!$A$165:$CV$165</definedName>
    <definedName name="TR_3862822080_204207568" localSheetId="4">'211,213 допы 2024 (контр сумма)'!$A$165:$CV$165</definedName>
    <definedName name="TR_3862822080_204207568" localSheetId="6">'211,213 допы 2024 (с овз)'!$A$165:$CV$165</definedName>
    <definedName name="TR_3862822080_204207569" localSheetId="5">'211,213 допы 2024 (без овз)'!$A$166:$CV$166</definedName>
    <definedName name="TR_3862822080_204207569" localSheetId="4">'211,213 допы 2024 (контр сумма)'!$A$166:$CV$166</definedName>
    <definedName name="TR_3862822080_204207569" localSheetId="6">'211,213 допы 2024 (с овз)'!$A$166:$CV$166</definedName>
    <definedName name="TR_3862822080_204207570" localSheetId="5">'211,213 допы 2024 (без овз)'!$A$167:$CV$167</definedName>
    <definedName name="TR_3862822080_204207570" localSheetId="4">'211,213 допы 2024 (контр сумма)'!$A$167:$CV$167</definedName>
    <definedName name="TR_3862822080_204207570" localSheetId="6">'211,213 допы 2024 (с овз)'!$A$167:$CV$167</definedName>
    <definedName name="TR_3862822080_204207571" localSheetId="5">'211,213 допы 2024 (без овз)'!$A$168:$CV$168</definedName>
    <definedName name="TR_3862822080_204207571" localSheetId="4">'211,213 допы 2024 (контр сумма)'!$A$168:$CV$168</definedName>
    <definedName name="TR_3862822080_204207571" localSheetId="6">'211,213 допы 2024 (с овз)'!$A$168:$CV$168</definedName>
    <definedName name="TR_3862822080_204207572" localSheetId="5">'211,213 допы 2024 (без овз)'!$A$169:$CV$169</definedName>
    <definedName name="TR_3862822080_204207572" localSheetId="4">'211,213 допы 2024 (контр сумма)'!$A$169:$CV$169</definedName>
    <definedName name="TR_3862822080_204207572" localSheetId="6">'211,213 допы 2024 (с овз)'!$A$169:$CV$169</definedName>
    <definedName name="TR_3862822080_204207573" localSheetId="5">'211,213 допы 2024 (без овз)'!$A$170:$CV$170</definedName>
    <definedName name="TR_3862822080_204207573" localSheetId="4">'211,213 допы 2024 (контр сумма)'!$A$170:$CV$170</definedName>
    <definedName name="TR_3862822080_204207573" localSheetId="6">'211,213 допы 2024 (с овз)'!$A$170:$CV$170</definedName>
    <definedName name="TR_3862822080_204207574" localSheetId="5">'211,213 допы 2024 (без овз)'!$A$171:$CV$171</definedName>
    <definedName name="TR_3862822080_204207574" localSheetId="4">'211,213 допы 2024 (контр сумма)'!$A$171:$CV$171</definedName>
    <definedName name="TR_3862822080_204207574" localSheetId="6">'211,213 допы 2024 (с овз)'!$A$171:$CV$171</definedName>
    <definedName name="TR_3862822080_204207575" localSheetId="5">'211,213 допы 2024 (без овз)'!$A$172:$CV$172</definedName>
    <definedName name="TR_3862822080_204207575" localSheetId="4">'211,213 допы 2024 (контр сумма)'!$A$172:$CV$172</definedName>
    <definedName name="TR_3862822080_204207575" localSheetId="6">'211,213 допы 2024 (с овз)'!$A$172:$CV$172</definedName>
    <definedName name="TR_3862822080_204207576" localSheetId="5">'211,213 допы 2024 (без овз)'!$A$173:$CV$173</definedName>
    <definedName name="TR_3862822080_204207576" localSheetId="4">'211,213 допы 2024 (контр сумма)'!$A$173:$CV$173</definedName>
    <definedName name="TR_3862822080_204207576" localSheetId="6">'211,213 допы 2024 (с овз)'!$A$173:$CV$173</definedName>
    <definedName name="TR_3862822080_204207577" localSheetId="5">'211,213 допы 2024 (без овз)'!$A$174:$CV$174</definedName>
    <definedName name="TR_3862822080_204207577" localSheetId="4">'211,213 допы 2024 (контр сумма)'!$A$174:$CV$174</definedName>
    <definedName name="TR_3862822080_204207577" localSheetId="6">'211,213 допы 2024 (с овз)'!$A$174:$CV$174</definedName>
    <definedName name="TR_3862822080_204207578" localSheetId="5">'211,213 допы 2024 (без овз)'!$A$175:$CV$175</definedName>
    <definedName name="TR_3862822080_204207578" localSheetId="4">'211,213 допы 2024 (контр сумма)'!$A$175:$CV$175</definedName>
    <definedName name="TR_3862822080_204207578" localSheetId="6">'211,213 допы 2024 (с овз)'!$A$175:$CV$175</definedName>
    <definedName name="TR_3862822080_204207579" localSheetId="5">'211,213 допы 2024 (без овз)'!$A$176:$CV$176</definedName>
    <definedName name="TR_3862822080_204207579" localSheetId="4">'211,213 допы 2024 (контр сумма)'!$A$176:$CV$176</definedName>
    <definedName name="TR_3862822080_204207579" localSheetId="6">'211,213 допы 2024 (с овз)'!$A$176:$CV$176</definedName>
    <definedName name="TR_3862822080_204207580" localSheetId="5">'211,213 допы 2024 (без овз)'!$A$177:$CV$177</definedName>
    <definedName name="TR_3862822080_204207580" localSheetId="4">'211,213 допы 2024 (контр сумма)'!$A$177:$CV$177</definedName>
    <definedName name="TR_3862822080_204207580" localSheetId="6">'211,213 допы 2024 (с овз)'!$A$177:$CV$177</definedName>
    <definedName name="TR_3862822080_204207581" localSheetId="5">'211,213 допы 2024 (без овз)'!$A$178:$CV$178</definedName>
    <definedName name="TR_3862822080_204207581" localSheetId="4">'211,213 допы 2024 (контр сумма)'!$A$178:$CV$178</definedName>
    <definedName name="TR_3862822080_204207581" localSheetId="6">'211,213 допы 2024 (с овз)'!$A$178:$CV$178</definedName>
    <definedName name="TR_3862822080_204207582" localSheetId="5">'211,213 допы 2024 (без овз)'!$A$179:$CV$179</definedName>
    <definedName name="TR_3862822080_204207582" localSheetId="4">'211,213 допы 2024 (контр сумма)'!$A$179:$CV$179</definedName>
    <definedName name="TR_3862822080_204207582" localSheetId="6">'211,213 допы 2024 (с овз)'!$A$179:$CV$179</definedName>
    <definedName name="TR_3862822080_204207583" localSheetId="5">'211,213 допы 2024 (без овз)'!$A$180:$CV$180</definedName>
    <definedName name="TR_3862822080_204207583" localSheetId="4">'211,213 допы 2024 (контр сумма)'!$A$180:$CV$180</definedName>
    <definedName name="TR_3862822080_204207583" localSheetId="6">'211,213 допы 2024 (с овз)'!$A$180:$CV$180</definedName>
    <definedName name="TR_3862822080_204207584" localSheetId="5">'211,213 допы 2024 (без овз)'!$A$181:$CV$181</definedName>
    <definedName name="TR_3862822080_204207584" localSheetId="4">'211,213 допы 2024 (контр сумма)'!$A$181:$CV$181</definedName>
    <definedName name="TR_3862822080_204207584" localSheetId="6">'211,213 допы 2024 (с овз)'!$A$181:$CV$181</definedName>
    <definedName name="TR_3862822080_204207585" localSheetId="5">'211,213 допы 2024 (без овз)'!$A$182:$CV$182</definedName>
    <definedName name="TR_3862822080_204207585" localSheetId="4">'211,213 допы 2024 (контр сумма)'!$A$182:$CV$182</definedName>
    <definedName name="TR_3862822080_204207585" localSheetId="6">'211,213 допы 2024 (с овз)'!$A$182:$CV$182</definedName>
    <definedName name="TR_3862822080_204207586" localSheetId="5">'211,213 допы 2024 (без овз)'!$A$183:$CV$183</definedName>
    <definedName name="TR_3862822080_204207586" localSheetId="4">'211,213 допы 2024 (контр сумма)'!$A$183:$CV$183</definedName>
    <definedName name="TR_3862822080_204207586" localSheetId="6">'211,213 допы 2024 (с овз)'!$A$183:$CV$183</definedName>
    <definedName name="TR_3862822080_204207588" localSheetId="5">'211,213 допы 2024 (без овз)'!$A$203:$CV$203</definedName>
    <definedName name="TR_3862822080_204207588" localSheetId="4">'211,213 допы 2024 (контр сумма)'!$A$203:$CV$203</definedName>
    <definedName name="TR_3862822080_204207588" localSheetId="6">'211,213 допы 2024 (с овз)'!$A$203:$CV$203</definedName>
    <definedName name="TR_3862822080_204207589" localSheetId="5">'211,213 допы 2024 (без овз)'!$A$204:$CV$204</definedName>
    <definedName name="TR_3862822080_204207589" localSheetId="4">'211,213 допы 2024 (контр сумма)'!$A$204:$CV$204</definedName>
    <definedName name="TR_3862822080_204207589" localSheetId="6">'211,213 допы 2024 (с овз)'!$A$204:$CV$204</definedName>
    <definedName name="TR_3862822080_204207590" localSheetId="5">'211,213 допы 2024 (без овз)'!$A$205:$CV$205</definedName>
    <definedName name="TR_3862822080_204207590" localSheetId="4">'211,213 допы 2024 (контр сумма)'!$A$205:$CV$205</definedName>
    <definedName name="TR_3862822080_204207590" localSheetId="6">'211,213 допы 2024 (с овз)'!$A$205:$CV$205</definedName>
    <definedName name="TR_3862822080_204207591" localSheetId="5">'211,213 допы 2024 (без овз)'!$A$206:$CV$206</definedName>
    <definedName name="TR_3862822080_204207591" localSheetId="4">'211,213 допы 2024 (контр сумма)'!$A$206:$CV$206</definedName>
    <definedName name="TR_3862822080_204207591" localSheetId="6">'211,213 допы 2024 (с овз)'!$A$206:$CV$206</definedName>
    <definedName name="TR_3862822080_204207592" localSheetId="5">'211,213 допы 2024 (без овз)'!$A$207:$CV$207</definedName>
    <definedName name="TR_3862822080_204207592" localSheetId="4">'211,213 допы 2024 (контр сумма)'!$A$207:$CV$207</definedName>
    <definedName name="TR_3862822080_204207592" localSheetId="6">'211,213 допы 2024 (с овз)'!$A$207:$CV$207</definedName>
    <definedName name="TR_3862822080_204207593" localSheetId="5">'211,213 допы 2024 (без овз)'!$A$208:$CV$208</definedName>
    <definedName name="TR_3862822080_204207593" localSheetId="4">'211,213 допы 2024 (контр сумма)'!$A$208:$CV$208</definedName>
    <definedName name="TR_3862822080_204207593" localSheetId="6">'211,213 допы 2024 (с овз)'!$A$208:$CV$208</definedName>
    <definedName name="TR_3862822080_204207594" localSheetId="5">'211,213 допы 2024 (без овз)'!$A$209:$CV$209</definedName>
    <definedName name="TR_3862822080_204207594" localSheetId="4">'211,213 допы 2024 (контр сумма)'!$A$209:$CV$209</definedName>
    <definedName name="TR_3862822080_204207594" localSheetId="6">'211,213 допы 2024 (с овз)'!$A$209:$CV$209</definedName>
    <definedName name="TR_3862822080_204207595" localSheetId="5">'211,213 допы 2024 (без овз)'!$A$210:$CV$210</definedName>
    <definedName name="TR_3862822080_204207595" localSheetId="4">'211,213 допы 2024 (контр сумма)'!$A$210:$CV$210</definedName>
    <definedName name="TR_3862822080_204207595" localSheetId="6">'211,213 допы 2024 (с овз)'!$A$210:$CV$210</definedName>
    <definedName name="TR_3862822080_204207596" localSheetId="5">'211,213 допы 2024 (без овз)'!$A$211:$CV$211</definedName>
    <definedName name="TR_3862822080_204207596" localSheetId="4">'211,213 допы 2024 (контр сумма)'!$A$211:$CV$211</definedName>
    <definedName name="TR_3862822080_204207596" localSheetId="6">'211,213 допы 2024 (с овз)'!$A$211:$CV$211</definedName>
    <definedName name="TR_3862822080_204207597" localSheetId="5">'211,213 допы 2024 (без овз)'!$A$212:$CV$212</definedName>
    <definedName name="TR_3862822080_204207597" localSheetId="4">'211,213 допы 2024 (контр сумма)'!$A$212:$CV$212</definedName>
    <definedName name="TR_3862822080_204207597" localSheetId="6">'211,213 допы 2024 (с овз)'!$A$212:$CV$212</definedName>
    <definedName name="TR_3862822080_204207598" localSheetId="5">'211,213 допы 2024 (без овз)'!$A$213:$CV$213</definedName>
    <definedName name="TR_3862822080_204207598" localSheetId="4">'211,213 допы 2024 (контр сумма)'!$A$213:$CV$213</definedName>
    <definedName name="TR_3862822080_204207598" localSheetId="6">'211,213 допы 2024 (с овз)'!$A$213:$CV$213</definedName>
    <definedName name="TR_3862822080_204207599" localSheetId="5">'211,213 допы 2024 (без овз)'!$A$214:$CV$214</definedName>
    <definedName name="TR_3862822080_204207599" localSheetId="4">'211,213 допы 2024 (контр сумма)'!$A$214:$CV$214</definedName>
    <definedName name="TR_3862822080_204207599" localSheetId="6">'211,213 допы 2024 (с овз)'!$A$214:$CV$214</definedName>
    <definedName name="TR_3862822080_204207600" localSheetId="5">'211,213 допы 2024 (без овз)'!$A$215:$CV$215</definedName>
    <definedName name="TR_3862822080_204207600" localSheetId="4">'211,213 допы 2024 (контр сумма)'!$A$215:$CV$215</definedName>
    <definedName name="TR_3862822080_204207600" localSheetId="6">'211,213 допы 2024 (с овз)'!$A$215:$CV$215</definedName>
    <definedName name="TR_3862822080_204207601" localSheetId="5">'211,213 допы 2024 (без овз)'!$A$216:$CV$216</definedName>
    <definedName name="TR_3862822080_204207601" localSheetId="4">'211,213 допы 2024 (контр сумма)'!$A$216:$CV$216</definedName>
    <definedName name="TR_3862822080_204207601" localSheetId="6">'211,213 допы 2024 (с овз)'!$A$216:$CV$216</definedName>
    <definedName name="TR_3862822080_204207602" localSheetId="5">'211,213 допы 2024 (без овз)'!$A$217:$CV$217</definedName>
    <definedName name="TR_3862822080_204207602" localSheetId="4">'211,213 допы 2024 (контр сумма)'!$A$217:$CV$217</definedName>
    <definedName name="TR_3862822080_204207602" localSheetId="6">'211,213 допы 2024 (с овз)'!$A$217:$CV$217</definedName>
    <definedName name="TR_3862822080_204207603" localSheetId="5">'211,213 допы 2024 (без овз)'!$A$218:$CV$218</definedName>
    <definedName name="TR_3862822080_204207603" localSheetId="4">'211,213 допы 2024 (контр сумма)'!$A$218:$CV$218</definedName>
    <definedName name="TR_3862822080_204207603" localSheetId="6">'211,213 допы 2024 (с овз)'!$A$218:$CV$218</definedName>
    <definedName name="TR_3862822080_204207604" localSheetId="5">'211,213 допы 2024 (без овз)'!$A$219:$CV$219</definedName>
    <definedName name="TR_3862822080_204207604" localSheetId="4">'211,213 допы 2024 (контр сумма)'!$A$219:$CV$219</definedName>
    <definedName name="TR_3862822080_204207604" localSheetId="6">'211,213 допы 2024 (с овз)'!$A$219:$CV$219</definedName>
    <definedName name="TT_3862822080_204207505_3878101922" localSheetId="5">'211,213 допы 2024 (без овз)'!$A$48:$CV$48</definedName>
    <definedName name="TT_3862822080_204207505_3878101922" localSheetId="4">'211,213 допы 2024 (контр сумма)'!$A$48:$CV$48</definedName>
    <definedName name="TT_3862822080_204207505_3878101922" localSheetId="6">'211,213 допы 2024 (с овз)'!$A$48:$CV$48</definedName>
    <definedName name="TT_3862822080_204207518_3878101922" localSheetId="5">'211,213 допы 2024 (без овз)'!$A$79:$CV$79</definedName>
    <definedName name="TT_3862822080_204207518_3878101922" localSheetId="4">'211,213 допы 2024 (контр сумма)'!$A$79:$CV$79</definedName>
    <definedName name="TT_3862822080_204207518_3878101922" localSheetId="6">'211,213 допы 2024 (с овз)'!$A$79:$CV$79</definedName>
    <definedName name="TT_3862822080_204207555_3878101922" localSheetId="5">'211,213 допы 2024 (без овз)'!$A$134:$CV$134</definedName>
    <definedName name="TT_3862822080_204207555_3878101922" localSheetId="4">'211,213 допы 2024 (контр сумма)'!$A$134:$CV$134</definedName>
    <definedName name="TT_3862822080_204207555_3878101922" localSheetId="6">'211,213 допы 2024 (с овз)'!$A$134:$CV$134</definedName>
    <definedName name="TT_3862822080_204207587_3878101922" localSheetId="5">'211,213 допы 2024 (без овз)'!$A$184:$CV$184</definedName>
    <definedName name="TT_3862822080_204207587_3878101922" localSheetId="4">'211,213 допы 2024 (контр сумма)'!$A$184:$CV$184</definedName>
    <definedName name="TT_3862822080_204207587_3878101922" localSheetId="6">'211,213 допы 2024 (с овз)'!$A$184:$CV$184</definedName>
    <definedName name="TT_3862822080_204207605_3878101922" localSheetId="5">'211,213 допы 2024 (без овз)'!$A$220:$CV$220</definedName>
    <definedName name="TT_3862822080_204207605_3878101922" localSheetId="4">'211,213 допы 2024 (контр сумма)'!$A$220:$CV$220</definedName>
    <definedName name="TT_3862822080_204207605_3878101922" localSheetId="6">'211,213 допы 2024 (с овз)'!$A$220:$CV$220</definedName>
    <definedName name="TT_3862822080_204207606_3862822155" localSheetId="5">'211,213 допы 2024 (без овз)'!#REF!</definedName>
    <definedName name="TT_3862822080_204207606_3862822155" localSheetId="4">'211,213 допы 2024 (контр сумма)'!#REF!</definedName>
    <definedName name="TT_3862822080_204207606_3862822155" localSheetId="6">'211,213 допы 2024 (с овз)'!#REF!</definedName>
    <definedName name="xxxx" localSheetId="2">#REF!</definedName>
    <definedName name="xxxx" localSheetId="3">#REF!</definedName>
    <definedName name="xxxx" localSheetId="11">#REF!</definedName>
    <definedName name="xxxx" localSheetId="5">#REF!</definedName>
    <definedName name="xxxx" localSheetId="4">#REF!</definedName>
    <definedName name="xxxx" localSheetId="6">#REF!</definedName>
    <definedName name="xxxx" localSheetId="9">#REF!</definedName>
    <definedName name="xxxx" localSheetId="14">#REF!</definedName>
    <definedName name="xxxx" localSheetId="13">#REF!</definedName>
    <definedName name="xxxx" localSheetId="15">#REF!</definedName>
    <definedName name="xxxx" localSheetId="0">#REF!</definedName>
    <definedName name="xxxx" localSheetId="7">#REF!</definedName>
    <definedName name="xxxx">#REF!</definedName>
    <definedName name="zpl" localSheetId="1">#REF!</definedName>
    <definedName name="zpl" localSheetId="2">#REF!</definedName>
    <definedName name="zpl" localSheetId="3">#REF!</definedName>
    <definedName name="zpl" localSheetId="8">#REF!</definedName>
    <definedName name="zpl" localSheetId="10">#REF!</definedName>
    <definedName name="zpl" localSheetId="11">#REF!</definedName>
    <definedName name="zpl" localSheetId="5">#REF!</definedName>
    <definedName name="zpl" localSheetId="4">#REF!</definedName>
    <definedName name="zpl" localSheetId="6">#REF!</definedName>
    <definedName name="zpl" localSheetId="9">#REF!</definedName>
    <definedName name="zpl" localSheetId="14">#REF!</definedName>
    <definedName name="zpl" localSheetId="13">#REF!</definedName>
    <definedName name="zpl" localSheetId="15">#REF!</definedName>
    <definedName name="zpl" localSheetId="0">#REF!</definedName>
    <definedName name="zpl" localSheetId="7">#REF!</definedName>
    <definedName name="zpl">#REF!</definedName>
    <definedName name="аапроолдддд" localSheetId="11">#REF!</definedName>
    <definedName name="аапроолдддд" localSheetId="5">#REF!</definedName>
    <definedName name="аапроолдддд" localSheetId="4">#REF!</definedName>
    <definedName name="аапроолдддд" localSheetId="6">#REF!</definedName>
    <definedName name="аапроолдддд" localSheetId="9">#REF!</definedName>
    <definedName name="аапроолдддд" localSheetId="14">#REF!</definedName>
    <definedName name="аапроолдддд" localSheetId="13">#REF!</definedName>
    <definedName name="аапроолдддд" localSheetId="15">#REF!</definedName>
    <definedName name="аапроолдддд">#REF!</definedName>
    <definedName name="в" localSheetId="11">#REF!</definedName>
    <definedName name="в" localSheetId="5">#REF!</definedName>
    <definedName name="в" localSheetId="4">#REF!</definedName>
    <definedName name="в" localSheetId="6">#REF!</definedName>
    <definedName name="в" localSheetId="9">#REF!</definedName>
    <definedName name="в" localSheetId="14">#REF!</definedName>
    <definedName name="в" localSheetId="13">#REF!</definedName>
    <definedName name="в" localSheetId="15">#REF!</definedName>
    <definedName name="в">#REF!</definedName>
    <definedName name="вбдргп" localSheetId="1">#REF!</definedName>
    <definedName name="вбдргп" localSheetId="2">#REF!</definedName>
    <definedName name="вбдргп" localSheetId="3">#REF!</definedName>
    <definedName name="вбдргп" localSheetId="8">#REF!</definedName>
    <definedName name="вбдргп" localSheetId="10">#REF!</definedName>
    <definedName name="вбдргп" localSheetId="11">#REF!</definedName>
    <definedName name="вбдргп" localSheetId="5">#REF!</definedName>
    <definedName name="вбдргп" localSheetId="4">#REF!</definedName>
    <definedName name="вбдргп" localSheetId="6">#REF!</definedName>
    <definedName name="вбдргп" localSheetId="9">#REF!</definedName>
    <definedName name="вбдргп" localSheetId="14">#REF!</definedName>
    <definedName name="вбдргп" localSheetId="13">#REF!</definedName>
    <definedName name="вбдргп" localSheetId="15">#REF!</definedName>
    <definedName name="вбдргп" localSheetId="0">#REF!</definedName>
    <definedName name="вбдргп" localSheetId="7">#REF!</definedName>
    <definedName name="вбдргп">#REF!</definedName>
    <definedName name="ввввв123" localSheetId="1">#REF!</definedName>
    <definedName name="ввввв123" localSheetId="2">#REF!</definedName>
    <definedName name="ввввв123" localSheetId="3">#REF!</definedName>
    <definedName name="ввввв123" localSheetId="8">#REF!</definedName>
    <definedName name="ввввв123" localSheetId="10">#REF!</definedName>
    <definedName name="ввввв123" localSheetId="11">#REF!</definedName>
    <definedName name="ввввв123" localSheetId="5">#REF!</definedName>
    <definedName name="ввввв123" localSheetId="4">#REF!</definedName>
    <definedName name="ввввв123" localSheetId="6">#REF!</definedName>
    <definedName name="ввввв123" localSheetId="9">#REF!</definedName>
    <definedName name="ввввв123" localSheetId="14">#REF!</definedName>
    <definedName name="ввввв123" localSheetId="13">#REF!</definedName>
    <definedName name="ввввв123" localSheetId="15">#REF!</definedName>
    <definedName name="ввввв123" localSheetId="0">#REF!</definedName>
    <definedName name="ввввв123" localSheetId="7">#REF!</definedName>
    <definedName name="ввввв123">#REF!</definedName>
    <definedName name="вввввввв" localSheetId="11">#REF!</definedName>
    <definedName name="вввввввв" localSheetId="5">#REF!</definedName>
    <definedName name="вввввввв" localSheetId="4">#REF!</definedName>
    <definedName name="вввввввв" localSheetId="6">#REF!</definedName>
    <definedName name="вввввввв" localSheetId="9">#REF!</definedName>
    <definedName name="вввввввв" localSheetId="14">#REF!</definedName>
    <definedName name="вввввввв" localSheetId="13">#REF!</definedName>
    <definedName name="вввввввв" localSheetId="15">#REF!</definedName>
    <definedName name="вввввввв">#REF!</definedName>
    <definedName name="ввыыыы" localSheetId="11">#REF!</definedName>
    <definedName name="ввыыыы" localSheetId="5">#REF!</definedName>
    <definedName name="ввыыыы" localSheetId="4">#REF!</definedName>
    <definedName name="ввыыыы" localSheetId="6">#REF!</definedName>
    <definedName name="ввыыыы" localSheetId="9">#REF!</definedName>
    <definedName name="ввыыыы" localSheetId="14">#REF!</definedName>
    <definedName name="ввыыыы" localSheetId="13">#REF!</definedName>
    <definedName name="ввыыыы" localSheetId="15">#REF!</definedName>
    <definedName name="ввыыыы">#REF!</definedName>
    <definedName name="ггшшг" localSheetId="11">#REF!</definedName>
    <definedName name="ггшшг" localSheetId="5">#REF!</definedName>
    <definedName name="ггшшг" localSheetId="4">#REF!</definedName>
    <definedName name="ггшшг" localSheetId="6">#REF!</definedName>
    <definedName name="ггшшг" localSheetId="9">#REF!</definedName>
    <definedName name="ггшшг" localSheetId="14">#REF!</definedName>
    <definedName name="ггшшг" localSheetId="13">#REF!</definedName>
    <definedName name="ггшшг" localSheetId="15">#REF!</definedName>
    <definedName name="ггшшг">#REF!</definedName>
    <definedName name="гоггггээжжжжж" localSheetId="11">#REF!</definedName>
    <definedName name="гоггггээжжжжж" localSheetId="5">#REF!</definedName>
    <definedName name="гоггггээжжжжж" localSheetId="4">#REF!</definedName>
    <definedName name="гоггггээжжжжж" localSheetId="6">#REF!</definedName>
    <definedName name="гоггггээжжжжж" localSheetId="9">#REF!</definedName>
    <definedName name="гоггггээжжжжж" localSheetId="14">#REF!</definedName>
    <definedName name="гоггггээжжжжж" localSheetId="13">#REF!</definedName>
    <definedName name="гоггггээжжжжж" localSheetId="15">#REF!</definedName>
    <definedName name="гоггггээжжжжж">#REF!</definedName>
    <definedName name="д" localSheetId="11">#REF!</definedName>
    <definedName name="д" localSheetId="5">#REF!</definedName>
    <definedName name="д" localSheetId="4">#REF!</definedName>
    <definedName name="д" localSheetId="6">#REF!</definedName>
    <definedName name="д" localSheetId="9">#REF!</definedName>
    <definedName name="д" localSheetId="14">#REF!</definedName>
    <definedName name="д" localSheetId="13">#REF!</definedName>
    <definedName name="д" localSheetId="15">#REF!</definedName>
    <definedName name="д">#REF!</definedName>
    <definedName name="д999" localSheetId="11">#REF!</definedName>
    <definedName name="д999" localSheetId="5">#REF!</definedName>
    <definedName name="д999" localSheetId="4">#REF!</definedName>
    <definedName name="д999" localSheetId="6">#REF!</definedName>
    <definedName name="д999" localSheetId="9">#REF!</definedName>
    <definedName name="д999" localSheetId="14">#REF!</definedName>
    <definedName name="д999" localSheetId="13">#REF!</definedName>
    <definedName name="д999" localSheetId="15">#REF!</definedName>
    <definedName name="д999">#REF!</definedName>
    <definedName name="ДатаОтчета" localSheetId="11">#REF!</definedName>
    <definedName name="ДатаОтчета" localSheetId="5">#REF!</definedName>
    <definedName name="ДатаОтчета" localSheetId="4">#REF!</definedName>
    <definedName name="ДатаОтчета" localSheetId="6">#REF!</definedName>
    <definedName name="ДатаОтчета" localSheetId="9">#REF!</definedName>
    <definedName name="ДатаОтчета" localSheetId="14">#REF!</definedName>
    <definedName name="ДатаОтчета" localSheetId="13">#REF!</definedName>
    <definedName name="ДатаОтчета" localSheetId="15">#REF!</definedName>
    <definedName name="ДатаОтчета">#REF!</definedName>
    <definedName name="дс" localSheetId="15">'[1]291 окруж.ср и госпошлины'!$B$9</definedName>
    <definedName name="дс" localSheetId="7">'[1]291 окруж.ср и госпошлины'!$B$9</definedName>
    <definedName name="дс">[2]свод!$A$7</definedName>
    <definedName name="ж" localSheetId="11">#REF!</definedName>
    <definedName name="ж" localSheetId="5">#REF!</definedName>
    <definedName name="ж" localSheetId="4">#REF!</definedName>
    <definedName name="ж" localSheetId="6">#REF!</definedName>
    <definedName name="ж" localSheetId="9">#REF!</definedName>
    <definedName name="ж" localSheetId="14">#REF!</definedName>
    <definedName name="ж" localSheetId="13">#REF!</definedName>
    <definedName name="ж" localSheetId="15">#REF!</definedName>
    <definedName name="ж" localSheetId="7">#REF!</definedName>
    <definedName name="ж">#REF!</definedName>
    <definedName name="ждд" localSheetId="1">#REF!</definedName>
    <definedName name="ждд" localSheetId="2">#REF!</definedName>
    <definedName name="ждд" localSheetId="3">#REF!</definedName>
    <definedName name="ждд" localSheetId="8">#REF!</definedName>
    <definedName name="ждд" localSheetId="10">#REF!</definedName>
    <definedName name="ждд" localSheetId="11">#REF!</definedName>
    <definedName name="ждд" localSheetId="5">#REF!</definedName>
    <definedName name="ждд" localSheetId="4">#REF!</definedName>
    <definedName name="ждд" localSheetId="6">#REF!</definedName>
    <definedName name="ждд" localSheetId="9">#REF!</definedName>
    <definedName name="ждд" localSheetId="14">#REF!</definedName>
    <definedName name="ждд" localSheetId="13">#REF!</definedName>
    <definedName name="ждд" localSheetId="15">#REF!</definedName>
    <definedName name="ждд" localSheetId="0">#REF!</definedName>
    <definedName name="ждд" localSheetId="7">#REF!</definedName>
    <definedName name="ждд" localSheetId="17">#REF!</definedName>
    <definedName name="ждд">#REF!</definedName>
    <definedName name="жжжжжжж" localSheetId="2">#REF!</definedName>
    <definedName name="жжжжжжж" localSheetId="3">#REF!</definedName>
    <definedName name="жжжжжжж" localSheetId="11">#REF!</definedName>
    <definedName name="жжжжжжж" localSheetId="5">#REF!</definedName>
    <definedName name="жжжжжжж" localSheetId="4">#REF!</definedName>
    <definedName name="жжжжжжж" localSheetId="6">#REF!</definedName>
    <definedName name="жжжжжжж" localSheetId="9">#REF!</definedName>
    <definedName name="жжжжжжж" localSheetId="14">#REF!</definedName>
    <definedName name="жжжжжжж" localSheetId="13">#REF!</definedName>
    <definedName name="жжжжжжж" localSheetId="15">#REF!</definedName>
    <definedName name="жжжжжжж" localSheetId="0">#REF!</definedName>
    <definedName name="жжжжжжж" localSheetId="7">#REF!</definedName>
    <definedName name="жжжжжжж" localSheetId="17">#REF!</definedName>
    <definedName name="жжжжжжж">#REF!</definedName>
    <definedName name="жжжээхххъх" localSheetId="11">#REF!</definedName>
    <definedName name="жжжээхххъх" localSheetId="5">#REF!</definedName>
    <definedName name="жжжээхххъх" localSheetId="4">#REF!</definedName>
    <definedName name="жжжээхххъх" localSheetId="6">#REF!</definedName>
    <definedName name="жжжээхххъх" localSheetId="9">#REF!</definedName>
    <definedName name="жжжээхххъх" localSheetId="14">#REF!</definedName>
    <definedName name="жжжээхххъх" localSheetId="13">#REF!</definedName>
    <definedName name="жжжээхххъх" localSheetId="15">#REF!</definedName>
    <definedName name="жжжээхххъх">#REF!</definedName>
    <definedName name="жжээдйцуу" localSheetId="11">#REF!</definedName>
    <definedName name="жжээдйцуу" localSheetId="5">#REF!</definedName>
    <definedName name="жжээдйцуу" localSheetId="4">#REF!</definedName>
    <definedName name="жжээдйцуу" localSheetId="6">#REF!</definedName>
    <definedName name="жжээдйцуу" localSheetId="9">#REF!</definedName>
    <definedName name="жжээдйцуу" localSheetId="14">#REF!</definedName>
    <definedName name="жжээдйцуу" localSheetId="13">#REF!</definedName>
    <definedName name="жжээдйцуу" localSheetId="15">#REF!</definedName>
    <definedName name="жжээдйцуу">#REF!</definedName>
    <definedName name="жэддшггрнппм" localSheetId="11">#REF!</definedName>
    <definedName name="жэддшггрнппм" localSheetId="5">#REF!</definedName>
    <definedName name="жэддшггрнппм" localSheetId="4">#REF!</definedName>
    <definedName name="жэддшггрнппм" localSheetId="6">#REF!</definedName>
    <definedName name="жэддшггрнппм" localSheetId="9">#REF!</definedName>
    <definedName name="жэддшггрнппм" localSheetId="14">#REF!</definedName>
    <definedName name="жэддшггрнппм" localSheetId="13">#REF!</definedName>
    <definedName name="жэддшггрнппм" localSheetId="15">#REF!</definedName>
    <definedName name="жэддшггрнппм">#REF!</definedName>
    <definedName name="жээ" localSheetId="11">#REF!</definedName>
    <definedName name="жээ" localSheetId="5">#REF!</definedName>
    <definedName name="жээ" localSheetId="4">#REF!</definedName>
    <definedName name="жээ" localSheetId="6">#REF!</definedName>
    <definedName name="жээ" localSheetId="9">#REF!</definedName>
    <definedName name="жээ" localSheetId="14">#REF!</definedName>
    <definedName name="жээ" localSheetId="13">#REF!</definedName>
    <definedName name="жээ" localSheetId="15">#REF!</definedName>
    <definedName name="жээ">#REF!</definedName>
    <definedName name="_xlnm.Print_Titles" localSheetId="1">'1.1. фот ПП,АУП,ОП (2024)'!$A:$A</definedName>
    <definedName name="_xlnm.Print_Titles" localSheetId="2">'1.1. фот ПП,АУП,ОП (2025)'!$A:$A</definedName>
    <definedName name="_xlnm.Print_Titles" localSheetId="3">'1.1. фот ПП,АУП,ОП (2026)'!$A:$A</definedName>
    <definedName name="_xlnm.Print_Titles" localSheetId="8">'1.2.комм услуги (01.01.24)'!$A:$C</definedName>
    <definedName name="_xlnm.Print_Titles" localSheetId="10">#N/A</definedName>
    <definedName name="_xlnm.Print_Titles" localSheetId="14">'291 земля 2024'!$A:$A,'291 земля 2024'!$5:$7</definedName>
    <definedName name="_xlnm.Print_Titles" localSheetId="13">'291 имущ 2024'!$9:$13</definedName>
    <definedName name="зщшдлд" localSheetId="11">#REF!</definedName>
    <definedName name="зщшдлд" localSheetId="5">#REF!</definedName>
    <definedName name="зщшдлд" localSheetId="4">#REF!</definedName>
    <definedName name="зщшдлд" localSheetId="6">#REF!</definedName>
    <definedName name="зщшдлд" localSheetId="9">#REF!</definedName>
    <definedName name="зщшдлд" localSheetId="14">#REF!</definedName>
    <definedName name="зщшдлд" localSheetId="13">#REF!</definedName>
    <definedName name="зщшдлд" localSheetId="15">#REF!</definedName>
    <definedName name="зщшдлд" localSheetId="7">#REF!</definedName>
    <definedName name="зщшдлд">#REF!</definedName>
    <definedName name="ИмяПоказателя" localSheetId="11">#REF!</definedName>
    <definedName name="ИмяПоказателя" localSheetId="5">#REF!</definedName>
    <definedName name="ИмяПоказателя" localSheetId="4">#REF!</definedName>
    <definedName name="ИмяПоказателя" localSheetId="6">#REF!</definedName>
    <definedName name="ИмяПоказателя" localSheetId="9">#REF!</definedName>
    <definedName name="ИмяПоказателя" localSheetId="14">#REF!</definedName>
    <definedName name="ИмяПоказателя" localSheetId="13">#REF!</definedName>
    <definedName name="ИмяПоказателя" localSheetId="15">#REF!</definedName>
    <definedName name="ИмяПоказателя" localSheetId="17">#REF!</definedName>
    <definedName name="ИмяПоказателя">#REF!</definedName>
    <definedName name="ИтогоПоСтроке" localSheetId="11">#REF!</definedName>
    <definedName name="ИтогоПоСтроке" localSheetId="5">#REF!</definedName>
    <definedName name="ИтогоПоСтроке" localSheetId="4">#REF!</definedName>
    <definedName name="ИтогоПоСтроке" localSheetId="6">#REF!</definedName>
    <definedName name="ИтогоПоСтроке" localSheetId="9">#REF!</definedName>
    <definedName name="ИтогоПоСтроке" localSheetId="14">#REF!</definedName>
    <definedName name="ИтогоПоСтроке" localSheetId="13">#REF!</definedName>
    <definedName name="ИтогоПоСтроке" localSheetId="15">#REF!</definedName>
    <definedName name="ИтогоПоСтроке">#REF!</definedName>
    <definedName name="йййццееап" localSheetId="11">#REF!</definedName>
    <definedName name="йййццееап" localSheetId="5">#REF!</definedName>
    <definedName name="йййццееап" localSheetId="4">#REF!</definedName>
    <definedName name="йййццееап" localSheetId="6">#REF!</definedName>
    <definedName name="йййццееап" localSheetId="9">#REF!</definedName>
    <definedName name="йййццееап" localSheetId="14">#REF!</definedName>
    <definedName name="йййццееап" localSheetId="13">#REF!</definedName>
    <definedName name="йййццееап" localSheetId="15">#REF!</definedName>
    <definedName name="йййццееап">#REF!</definedName>
    <definedName name="кеепмт" localSheetId="11">#REF!</definedName>
    <definedName name="кеепмт" localSheetId="5">#REF!</definedName>
    <definedName name="кеепмт" localSheetId="4">#REF!</definedName>
    <definedName name="кеепмт" localSheetId="6">#REF!</definedName>
    <definedName name="кеепмт" localSheetId="9">#REF!</definedName>
    <definedName name="кеепмт" localSheetId="14">#REF!</definedName>
    <definedName name="кеепмт" localSheetId="13">#REF!</definedName>
    <definedName name="кеепмт" localSheetId="15">#REF!</definedName>
    <definedName name="кеепмт">#REF!</definedName>
    <definedName name="кенеку" localSheetId="11">#REF!</definedName>
    <definedName name="кенеку" localSheetId="5">#REF!</definedName>
    <definedName name="кенеку" localSheetId="4">#REF!</definedName>
    <definedName name="кенеку" localSheetId="6">#REF!</definedName>
    <definedName name="кенеку" localSheetId="9">#REF!</definedName>
    <definedName name="кенеку" localSheetId="14">#REF!</definedName>
    <definedName name="кенеку" localSheetId="13">#REF!</definedName>
    <definedName name="кенеку" localSheetId="15">#REF!</definedName>
    <definedName name="кенеку">#REF!</definedName>
    <definedName name="ккнгг" localSheetId="11">#REF!</definedName>
    <definedName name="ккнгг" localSheetId="5">#REF!</definedName>
    <definedName name="ккнгг" localSheetId="4">#REF!</definedName>
    <definedName name="ккнгг" localSheetId="6">#REF!</definedName>
    <definedName name="ккнгг" localSheetId="9">#REF!</definedName>
    <definedName name="ккнгг" localSheetId="14">#REF!</definedName>
    <definedName name="ккнгг" localSheetId="13">#REF!</definedName>
    <definedName name="ккнгг" localSheetId="15">#REF!</definedName>
    <definedName name="ккнгг">#REF!</definedName>
    <definedName name="Контрагент" localSheetId="11">#REF!</definedName>
    <definedName name="Контрагент" localSheetId="5">#REF!</definedName>
    <definedName name="Контрагент" localSheetId="4">#REF!</definedName>
    <definedName name="Контрагент" localSheetId="6">#REF!</definedName>
    <definedName name="Контрагент" localSheetId="9">#REF!</definedName>
    <definedName name="Контрагент" localSheetId="14">#REF!</definedName>
    <definedName name="Контрагент" localSheetId="13">#REF!</definedName>
    <definedName name="Контрагент" localSheetId="15">#REF!</definedName>
    <definedName name="Контрагент">#REF!</definedName>
    <definedName name="куукапм" localSheetId="11">#REF!</definedName>
    <definedName name="куукапм" localSheetId="5">#REF!</definedName>
    <definedName name="куукапм" localSheetId="4">#REF!</definedName>
    <definedName name="куукапм" localSheetId="6">#REF!</definedName>
    <definedName name="куукапм" localSheetId="9">#REF!</definedName>
    <definedName name="куукапм" localSheetId="14">#REF!</definedName>
    <definedName name="куукапм" localSheetId="13">#REF!</definedName>
    <definedName name="куукапм" localSheetId="15">#REF!</definedName>
    <definedName name="куукапм">#REF!</definedName>
    <definedName name="лдж" localSheetId="2">#REF!</definedName>
    <definedName name="лдж" localSheetId="3">#REF!</definedName>
    <definedName name="лдж" localSheetId="11">#REF!</definedName>
    <definedName name="лдж" localSheetId="5">#REF!</definedName>
    <definedName name="лдж" localSheetId="4">#REF!</definedName>
    <definedName name="лдж" localSheetId="6">#REF!</definedName>
    <definedName name="лдж" localSheetId="9">#REF!</definedName>
    <definedName name="лдж" localSheetId="14">#REF!</definedName>
    <definedName name="лдж" localSheetId="13">#REF!</definedName>
    <definedName name="лдж" localSheetId="15">#REF!</definedName>
    <definedName name="лдж" localSheetId="0">#REF!</definedName>
    <definedName name="лдж" localSheetId="7">#REF!</definedName>
    <definedName name="лдж">#REF!</definedName>
    <definedName name="ллджэхъшн" localSheetId="11">#REF!</definedName>
    <definedName name="ллджэхъшн" localSheetId="5">#REF!</definedName>
    <definedName name="ллджэхъшн" localSheetId="4">#REF!</definedName>
    <definedName name="ллджэхъшн" localSheetId="6">#REF!</definedName>
    <definedName name="ллджэхъшн" localSheetId="9">#REF!</definedName>
    <definedName name="ллджэхъшн" localSheetId="14">#REF!</definedName>
    <definedName name="ллджэхъшн" localSheetId="13">#REF!</definedName>
    <definedName name="ллджэхъшн" localSheetId="15">#REF!</definedName>
    <definedName name="ллджэхъшн">#REF!</definedName>
    <definedName name="ммииттттттт" localSheetId="11">#REF!</definedName>
    <definedName name="ммииттттттт" localSheetId="5">#REF!</definedName>
    <definedName name="ммииттттттт" localSheetId="4">#REF!</definedName>
    <definedName name="ммииттттттт" localSheetId="6">#REF!</definedName>
    <definedName name="ммииттттттт" localSheetId="9">#REF!</definedName>
    <definedName name="ммииттттттт" localSheetId="14">#REF!</definedName>
    <definedName name="ммииттттттт" localSheetId="13">#REF!</definedName>
    <definedName name="ммииттттттт" localSheetId="15">#REF!</definedName>
    <definedName name="ммииттттттт">#REF!</definedName>
    <definedName name="ммирнггщзъзщ" localSheetId="11">#REF!</definedName>
    <definedName name="ммирнггщзъзщ" localSheetId="5">#REF!</definedName>
    <definedName name="ммирнггщзъзщ" localSheetId="4">#REF!</definedName>
    <definedName name="ммирнггщзъзщ" localSheetId="6">#REF!</definedName>
    <definedName name="ммирнггщзъзщ" localSheetId="9">#REF!</definedName>
    <definedName name="ммирнггщзъзщ" localSheetId="14">#REF!</definedName>
    <definedName name="ммирнггщзъзщ" localSheetId="13">#REF!</definedName>
    <definedName name="ммирнггщзъзщ" localSheetId="15">#REF!</definedName>
    <definedName name="ммирнггщзъзщ">#REF!</definedName>
    <definedName name="н" localSheetId="11">#REF!</definedName>
    <definedName name="н" localSheetId="5">#REF!</definedName>
    <definedName name="н" localSheetId="4">#REF!</definedName>
    <definedName name="н" localSheetId="6">#REF!</definedName>
    <definedName name="н" localSheetId="9">#REF!</definedName>
    <definedName name="н" localSheetId="14">#REF!</definedName>
    <definedName name="н" localSheetId="13">#REF!</definedName>
    <definedName name="н" localSheetId="15">#REF!</definedName>
    <definedName name="н">#REF!</definedName>
    <definedName name="ннн" localSheetId="11">#REF!</definedName>
    <definedName name="ннн" localSheetId="5">#REF!</definedName>
    <definedName name="ннн" localSheetId="4">#REF!</definedName>
    <definedName name="ннн" localSheetId="6">#REF!</definedName>
    <definedName name="ннн" localSheetId="9">#REF!</definedName>
    <definedName name="ннн" localSheetId="14">#REF!</definedName>
    <definedName name="ннн" localSheetId="13">#REF!</definedName>
    <definedName name="ннн" localSheetId="15">#REF!</definedName>
    <definedName name="ннн">#REF!</definedName>
    <definedName name="нннн" localSheetId="11">#REF!</definedName>
    <definedName name="нннн" localSheetId="5">#REF!</definedName>
    <definedName name="нннн" localSheetId="4">#REF!</definedName>
    <definedName name="нннн" localSheetId="6">#REF!</definedName>
    <definedName name="нннн" localSheetId="9">#REF!</definedName>
    <definedName name="нннн" localSheetId="14">#REF!</definedName>
    <definedName name="нннн" localSheetId="13">#REF!</definedName>
    <definedName name="нннн" localSheetId="15">#REF!</definedName>
    <definedName name="нннн">#REF!</definedName>
    <definedName name="о" localSheetId="11">#REF!</definedName>
    <definedName name="о" localSheetId="5">#REF!</definedName>
    <definedName name="о" localSheetId="4">#REF!</definedName>
    <definedName name="о" localSheetId="6">#REF!</definedName>
    <definedName name="о" localSheetId="9">#REF!</definedName>
    <definedName name="о" localSheetId="14">#REF!</definedName>
    <definedName name="о" localSheetId="13">#REF!</definedName>
    <definedName name="о" localSheetId="15">#REF!</definedName>
    <definedName name="о">#REF!</definedName>
    <definedName name="_xlnm.Print_Area" localSheetId="1">'1.1. фот ПП,АУП,ОП (2024)'!$A$1:$HP$30</definedName>
    <definedName name="_xlnm.Print_Area" localSheetId="2">'1.1. фот ПП,АУП,ОП (2025)'!$A$1:$HP$30</definedName>
    <definedName name="_xlnm.Print_Area" localSheetId="3">'1.1. фот ПП,АУП,ОП (2026)'!$A$1:$HP$30</definedName>
    <definedName name="_xlnm.Print_Area" localSheetId="8">'1.2.комм услуги (01.01.24)'!$A$1:$BJ$100</definedName>
    <definedName name="_xlnm.Print_Area" localSheetId="10">'1.3.расчет прочих'!$A$1:$Q$266</definedName>
    <definedName name="_xlnm.Print_Area" localSheetId="14">'291 земля 2024'!$A$1:$N$115</definedName>
    <definedName name="_xlnm.Print_Area" localSheetId="13">'291 имущ 2024'!$A$1:$M$121</definedName>
    <definedName name="_xlnm.Print_Area" localSheetId="15">'291 трансп'!$A$1:$N$19</definedName>
    <definedName name="_xlnm.Print_Area" localSheetId="16">'коэфф платной деят-ти 2024'!$A$1:$G$111</definedName>
    <definedName name="_xlnm.Print_Area" localSheetId="0">'прил № 1 (01.01.24)'!$A$1:$DL$307</definedName>
    <definedName name="_xlnm.Print_Area" localSheetId="17">целевые!$A$1:$I$7</definedName>
    <definedName name="оля" localSheetId="11">#REF!</definedName>
    <definedName name="оля" localSheetId="5">#REF!</definedName>
    <definedName name="оля" localSheetId="4">#REF!</definedName>
    <definedName name="оля" localSheetId="6">#REF!</definedName>
    <definedName name="оля" localSheetId="9">#REF!</definedName>
    <definedName name="оля" localSheetId="14">#REF!</definedName>
    <definedName name="оля" localSheetId="13">#REF!</definedName>
    <definedName name="оля" localSheetId="15">#REF!</definedName>
    <definedName name="оля" localSheetId="7">#REF!</definedName>
    <definedName name="оля">#REF!</definedName>
    <definedName name="оолл" localSheetId="11">#REF!</definedName>
    <definedName name="оолл" localSheetId="5">#REF!</definedName>
    <definedName name="оолл" localSheetId="4">#REF!</definedName>
    <definedName name="оолл" localSheetId="6">#REF!</definedName>
    <definedName name="оолл" localSheetId="9">#REF!</definedName>
    <definedName name="оолл" localSheetId="14">#REF!</definedName>
    <definedName name="оолл" localSheetId="13">#REF!</definedName>
    <definedName name="оолл" localSheetId="15">#REF!</definedName>
    <definedName name="оолл" localSheetId="7">#REF!</definedName>
    <definedName name="оолл">#REF!</definedName>
    <definedName name="ооо" localSheetId="11">#REF!</definedName>
    <definedName name="ооо" localSheetId="5">#REF!</definedName>
    <definedName name="ооо" localSheetId="4">#REF!</definedName>
    <definedName name="ооо" localSheetId="6">#REF!</definedName>
    <definedName name="ооо" localSheetId="9">#REF!</definedName>
    <definedName name="ооо" localSheetId="14">#REF!</definedName>
    <definedName name="ооо" localSheetId="13">#REF!</definedName>
    <definedName name="ооо" localSheetId="15">#REF!</definedName>
    <definedName name="ооо" localSheetId="7">#REF!</definedName>
    <definedName name="ооо">#REF!</definedName>
    <definedName name="оооо" localSheetId="11">#REF!</definedName>
    <definedName name="оооо" localSheetId="5">#REF!</definedName>
    <definedName name="оооо" localSheetId="4">#REF!</definedName>
    <definedName name="оооо" localSheetId="6">#REF!</definedName>
    <definedName name="оооо" localSheetId="9">#REF!</definedName>
    <definedName name="оооо" localSheetId="14">#REF!</definedName>
    <definedName name="оооо" localSheetId="13">#REF!</definedName>
    <definedName name="оооо" localSheetId="15">#REF!</definedName>
    <definedName name="оооо">#REF!</definedName>
    <definedName name="Показатель" localSheetId="11">#REF!</definedName>
    <definedName name="Показатель" localSheetId="5">#REF!</definedName>
    <definedName name="Показатель" localSheetId="4">#REF!</definedName>
    <definedName name="Показатель" localSheetId="6">#REF!</definedName>
    <definedName name="Показатель" localSheetId="9">#REF!</definedName>
    <definedName name="Показатель" localSheetId="14">#REF!</definedName>
    <definedName name="Показатель" localSheetId="13">#REF!</definedName>
    <definedName name="Показатель" localSheetId="15">#REF!</definedName>
    <definedName name="Показатель" localSheetId="17">#REF!</definedName>
    <definedName name="Показатель">#REF!</definedName>
    <definedName name="ппппп" localSheetId="11">#REF!</definedName>
    <definedName name="ппппп" localSheetId="5">#REF!</definedName>
    <definedName name="ппппп" localSheetId="4">#REF!</definedName>
    <definedName name="ппппп" localSheetId="6">#REF!</definedName>
    <definedName name="ппппп" localSheetId="9">#REF!</definedName>
    <definedName name="ппппп" localSheetId="14">#REF!</definedName>
    <definedName name="ппппп" localSheetId="13">#REF!</definedName>
    <definedName name="ппппп" localSheetId="15">#REF!</definedName>
    <definedName name="ппппп">#REF!</definedName>
    <definedName name="про" localSheetId="11">#REF!</definedName>
    <definedName name="про" localSheetId="5">#REF!</definedName>
    <definedName name="про" localSheetId="4">#REF!</definedName>
    <definedName name="про" localSheetId="6">#REF!</definedName>
    <definedName name="про" localSheetId="9">#REF!</definedName>
    <definedName name="про" localSheetId="14">#REF!</definedName>
    <definedName name="про" localSheetId="13">#REF!</definedName>
    <definedName name="про" localSheetId="15">#REF!</definedName>
    <definedName name="про">#REF!</definedName>
    <definedName name="пролджхъъззщггкк" localSheetId="11">#REF!</definedName>
    <definedName name="пролджхъъззщггкк" localSheetId="5">#REF!</definedName>
    <definedName name="пролджхъъззщггкк" localSheetId="4">#REF!</definedName>
    <definedName name="пролджхъъззщггкк" localSheetId="6">#REF!</definedName>
    <definedName name="пролджхъъззщггкк" localSheetId="9">#REF!</definedName>
    <definedName name="пролджхъъззщггкк" localSheetId="14">#REF!</definedName>
    <definedName name="пролджхъъззщггкк" localSheetId="13">#REF!</definedName>
    <definedName name="пролджхъъззщггкк" localSheetId="15">#REF!</definedName>
    <definedName name="пролджхъъззщггкк">#REF!</definedName>
    <definedName name="Разрез" localSheetId="11">#REF!</definedName>
    <definedName name="Разрез" localSheetId="5">#REF!</definedName>
    <definedName name="Разрез" localSheetId="4">#REF!</definedName>
    <definedName name="Разрез" localSheetId="6">#REF!</definedName>
    <definedName name="Разрез" localSheetId="9">#REF!</definedName>
    <definedName name="Разрез" localSheetId="14">#REF!</definedName>
    <definedName name="Разрез" localSheetId="13">#REF!</definedName>
    <definedName name="Разрез" localSheetId="15">#REF!</definedName>
    <definedName name="Разрез" localSheetId="17">#REF!</definedName>
    <definedName name="Разрез">#REF!</definedName>
    <definedName name="расш.340.16" localSheetId="1">#REF!</definedName>
    <definedName name="расш.340.16" localSheetId="2">#REF!</definedName>
    <definedName name="расш.340.16" localSheetId="3">#REF!</definedName>
    <definedName name="расш.340.16" localSheetId="8">#REF!</definedName>
    <definedName name="расш.340.16" localSheetId="10">#REF!</definedName>
    <definedName name="расш.340.16" localSheetId="11">#REF!</definedName>
    <definedName name="расш.340.16" localSheetId="5">#REF!</definedName>
    <definedName name="расш.340.16" localSheetId="4">#REF!</definedName>
    <definedName name="расш.340.16" localSheetId="6">#REF!</definedName>
    <definedName name="расш.340.16" localSheetId="9">#REF!</definedName>
    <definedName name="расш.340.16" localSheetId="14">#REF!</definedName>
    <definedName name="расш.340.16" localSheetId="13">#REF!</definedName>
    <definedName name="расш.340.16" localSheetId="15">#REF!</definedName>
    <definedName name="расш.340.16" localSheetId="0">#REF!</definedName>
    <definedName name="расш.340.16" localSheetId="7">#REF!</definedName>
    <definedName name="расш.340.16" localSheetId="17">#REF!</definedName>
    <definedName name="расш.340.16">#REF!</definedName>
    <definedName name="ррппрр" localSheetId="11">#REF!</definedName>
    <definedName name="ррппрр" localSheetId="5">#REF!</definedName>
    <definedName name="ррппрр" localSheetId="4">#REF!</definedName>
    <definedName name="ррппрр" localSheetId="6">#REF!</definedName>
    <definedName name="ррппрр" localSheetId="9">#REF!</definedName>
    <definedName name="ррппрр" localSheetId="14">#REF!</definedName>
    <definedName name="ррппрр" localSheetId="13">#REF!</definedName>
    <definedName name="ррппрр" localSheetId="15">#REF!</definedName>
    <definedName name="ррппрр">#REF!</definedName>
    <definedName name="свод2022" localSheetId="2">#REF!</definedName>
    <definedName name="свод2022" localSheetId="3">#REF!</definedName>
    <definedName name="свод2022" localSheetId="11">#REF!</definedName>
    <definedName name="свод2022" localSheetId="5">#REF!</definedName>
    <definedName name="свод2022" localSheetId="4">#REF!</definedName>
    <definedName name="свод2022" localSheetId="6">#REF!</definedName>
    <definedName name="свод2022" localSheetId="9">#REF!</definedName>
    <definedName name="свод2022" localSheetId="14">#REF!</definedName>
    <definedName name="свод2022" localSheetId="13">#REF!</definedName>
    <definedName name="свод2022" localSheetId="15">#REF!</definedName>
    <definedName name="свод2022" localSheetId="0">#REF!</definedName>
    <definedName name="свод2022" localSheetId="7">#REF!</definedName>
    <definedName name="свод2022">#REF!</definedName>
    <definedName name="слава" localSheetId="11">#REF!</definedName>
    <definedName name="слава" localSheetId="5">#REF!</definedName>
    <definedName name="слава" localSheetId="4">#REF!</definedName>
    <definedName name="слава" localSheetId="6">#REF!</definedName>
    <definedName name="слава" localSheetId="9">#REF!</definedName>
    <definedName name="слава" localSheetId="14">#REF!</definedName>
    <definedName name="слава" localSheetId="13">#REF!</definedName>
    <definedName name="слава" localSheetId="15">#REF!</definedName>
    <definedName name="слава">#REF!</definedName>
    <definedName name="ттььт" localSheetId="11">#REF!</definedName>
    <definedName name="ттььт" localSheetId="5">#REF!</definedName>
    <definedName name="ттььт" localSheetId="4">#REF!</definedName>
    <definedName name="ттььт" localSheetId="6">#REF!</definedName>
    <definedName name="ттььт" localSheetId="9">#REF!</definedName>
    <definedName name="ттььт" localSheetId="14">#REF!</definedName>
    <definedName name="ттььт" localSheetId="13">#REF!</definedName>
    <definedName name="ттььт" localSheetId="15">#REF!</definedName>
    <definedName name="ттььт">#REF!</definedName>
    <definedName name="ууккеее" localSheetId="11">#REF!</definedName>
    <definedName name="ууккеее" localSheetId="5">#REF!</definedName>
    <definedName name="ууккеее" localSheetId="4">#REF!</definedName>
    <definedName name="ууккеее" localSheetId="6">#REF!</definedName>
    <definedName name="ууккеее" localSheetId="9">#REF!</definedName>
    <definedName name="ууккеее" localSheetId="14">#REF!</definedName>
    <definedName name="ууккеее" localSheetId="13">#REF!</definedName>
    <definedName name="ууккеее" localSheetId="15">#REF!</definedName>
    <definedName name="ууккеее">#REF!</definedName>
    <definedName name="уууууу" localSheetId="11">#REF!</definedName>
    <definedName name="уууууу" localSheetId="5">#REF!</definedName>
    <definedName name="уууууу" localSheetId="4">#REF!</definedName>
    <definedName name="уууууу" localSheetId="6">#REF!</definedName>
    <definedName name="уууууу" localSheetId="9">#REF!</definedName>
    <definedName name="уууууу" localSheetId="14">#REF!</definedName>
    <definedName name="уууууу" localSheetId="13">#REF!</definedName>
    <definedName name="уууууу" localSheetId="15">#REF!</definedName>
    <definedName name="уууууу">#REF!</definedName>
    <definedName name="ффффффваапп" localSheetId="11">#REF!</definedName>
    <definedName name="ффффффваапп" localSheetId="5">#REF!</definedName>
    <definedName name="ффффффваапп" localSheetId="4">#REF!</definedName>
    <definedName name="ффффффваапп" localSheetId="6">#REF!</definedName>
    <definedName name="ффффффваапп" localSheetId="9">#REF!</definedName>
    <definedName name="ффффффваапп" localSheetId="14">#REF!</definedName>
    <definedName name="ффффффваапп" localSheetId="13">#REF!</definedName>
    <definedName name="ффффффваапп" localSheetId="15">#REF!</definedName>
    <definedName name="ффффффваапп">#REF!</definedName>
    <definedName name="цууууууу" localSheetId="11">#REF!</definedName>
    <definedName name="цууууууу" localSheetId="5">#REF!</definedName>
    <definedName name="цууууууу" localSheetId="4">#REF!</definedName>
    <definedName name="цууууууу" localSheetId="6">#REF!</definedName>
    <definedName name="цууууууу" localSheetId="9">#REF!</definedName>
    <definedName name="цууууууу" localSheetId="14">#REF!</definedName>
    <definedName name="цууууууу" localSheetId="13">#REF!</definedName>
    <definedName name="цууууууу" localSheetId="15">#REF!</definedName>
    <definedName name="цууууууу">#REF!</definedName>
    <definedName name="ццффй" localSheetId="11">#REF!</definedName>
    <definedName name="ццффй" localSheetId="5">#REF!</definedName>
    <definedName name="ццффй" localSheetId="4">#REF!</definedName>
    <definedName name="ццффй" localSheetId="6">#REF!</definedName>
    <definedName name="ццффй" localSheetId="9">#REF!</definedName>
    <definedName name="ццффй" localSheetId="14">#REF!</definedName>
    <definedName name="ццффй" localSheetId="13">#REF!</definedName>
    <definedName name="ццффй" localSheetId="15">#REF!</definedName>
    <definedName name="ццффй">#REF!</definedName>
    <definedName name="ччсммтт" localSheetId="11">#REF!</definedName>
    <definedName name="ччсммтт" localSheetId="5">#REF!</definedName>
    <definedName name="ччсммтт" localSheetId="4">#REF!</definedName>
    <definedName name="ччсммтт" localSheetId="6">#REF!</definedName>
    <definedName name="ччсммтт" localSheetId="9">#REF!</definedName>
    <definedName name="ччсммтт" localSheetId="14">#REF!</definedName>
    <definedName name="ччсммтт" localSheetId="13">#REF!</definedName>
    <definedName name="ччсммтт" localSheetId="15">#REF!</definedName>
    <definedName name="ччсммтт">#REF!</definedName>
    <definedName name="ш" localSheetId="11">#REF!</definedName>
    <definedName name="ш" localSheetId="5">#REF!</definedName>
    <definedName name="ш" localSheetId="4">#REF!</definedName>
    <definedName name="ш" localSheetId="6">#REF!</definedName>
    <definedName name="ш" localSheetId="9">#REF!</definedName>
    <definedName name="ш" localSheetId="14">#REF!</definedName>
    <definedName name="ш" localSheetId="13">#REF!</definedName>
    <definedName name="ш" localSheetId="15">#REF!</definedName>
    <definedName name="ш">#REF!</definedName>
    <definedName name="шшшш" localSheetId="11">#REF!</definedName>
    <definedName name="шшшш" localSheetId="5">#REF!</definedName>
    <definedName name="шшшш" localSheetId="4">#REF!</definedName>
    <definedName name="шшшш" localSheetId="6">#REF!</definedName>
    <definedName name="шшшш" localSheetId="9">#REF!</definedName>
    <definedName name="шшшш" localSheetId="14">#REF!</definedName>
    <definedName name="шшшш" localSheetId="13">#REF!</definedName>
    <definedName name="шшшш" localSheetId="15">#REF!</definedName>
    <definedName name="шшшш">#REF!</definedName>
    <definedName name="шшшшш" localSheetId="11">#REF!</definedName>
    <definedName name="шшшшш" localSheetId="5">#REF!</definedName>
    <definedName name="шшшшш" localSheetId="4">#REF!</definedName>
    <definedName name="шшшшш" localSheetId="6">#REF!</definedName>
    <definedName name="шшшшш" localSheetId="9">#REF!</definedName>
    <definedName name="шшшшш" localSheetId="14">#REF!</definedName>
    <definedName name="шшшшш" localSheetId="13">#REF!</definedName>
    <definedName name="шшшшш" localSheetId="15">#REF!</definedName>
    <definedName name="шшшшш">#REF!</definedName>
    <definedName name="шшщджзхэъ" localSheetId="11">#REF!</definedName>
    <definedName name="шшщджзхэъ" localSheetId="5">#REF!</definedName>
    <definedName name="шшщджзхэъ" localSheetId="4">#REF!</definedName>
    <definedName name="шшщджзхэъ" localSheetId="6">#REF!</definedName>
    <definedName name="шшщджзхэъ" localSheetId="9">#REF!</definedName>
    <definedName name="шшщджзхэъ" localSheetId="14">#REF!</definedName>
    <definedName name="шшщджзхэъ" localSheetId="13">#REF!</definedName>
    <definedName name="шшщджзхэъ" localSheetId="15">#REF!</definedName>
    <definedName name="шшщджзхэъ">#REF!</definedName>
    <definedName name="шшщщзхх" localSheetId="11">#REF!</definedName>
    <definedName name="шшщщзхх" localSheetId="5">#REF!</definedName>
    <definedName name="шшщщзхх" localSheetId="4">#REF!</definedName>
    <definedName name="шшщщзхх" localSheetId="6">#REF!</definedName>
    <definedName name="шшщщзхх" localSheetId="9">#REF!</definedName>
    <definedName name="шшщщзхх" localSheetId="14">#REF!</definedName>
    <definedName name="шшщщзхх" localSheetId="13">#REF!</definedName>
    <definedName name="шшщщзхх" localSheetId="15">#REF!</definedName>
    <definedName name="шшщщзхх">#REF!</definedName>
    <definedName name="ьсовыа1245" localSheetId="11">#REF!</definedName>
    <definedName name="ьсовыа1245" localSheetId="5">#REF!</definedName>
    <definedName name="ьсовыа1245" localSheetId="4">#REF!</definedName>
    <definedName name="ьсовыа1245" localSheetId="6">#REF!</definedName>
    <definedName name="ьсовыа1245" localSheetId="9">#REF!</definedName>
    <definedName name="ьсовыа1245" localSheetId="14">#REF!</definedName>
    <definedName name="ьсовыа1245" localSheetId="13">#REF!</definedName>
    <definedName name="ьсовыа1245" localSheetId="15">#REF!</definedName>
    <definedName name="ьсовыа1245">#REF!</definedName>
    <definedName name="ььь" localSheetId="2">#REF!</definedName>
    <definedName name="ььь" localSheetId="3">#REF!</definedName>
    <definedName name="ььь" localSheetId="11">#REF!</definedName>
    <definedName name="ььь" localSheetId="5">#REF!</definedName>
    <definedName name="ььь" localSheetId="4">#REF!</definedName>
    <definedName name="ььь" localSheetId="6">#REF!</definedName>
    <definedName name="ььь" localSheetId="9">#REF!</definedName>
    <definedName name="ььь" localSheetId="14">#REF!</definedName>
    <definedName name="ььь" localSheetId="13">#REF!</definedName>
    <definedName name="ььь" localSheetId="15">#REF!</definedName>
    <definedName name="ььь" localSheetId="0">#REF!</definedName>
    <definedName name="ььь" localSheetId="7">#REF!</definedName>
    <definedName name="ььь">#REF!</definedName>
    <definedName name="ььььь" localSheetId="11">#REF!</definedName>
    <definedName name="ььььь" localSheetId="5">#REF!</definedName>
    <definedName name="ььььь" localSheetId="4">#REF!</definedName>
    <definedName name="ььььь" localSheetId="6">#REF!</definedName>
    <definedName name="ььььь" localSheetId="9">#REF!</definedName>
    <definedName name="ььььь" localSheetId="14">#REF!</definedName>
    <definedName name="ььььь" localSheetId="13">#REF!</definedName>
    <definedName name="ььььь" localSheetId="15">#REF!</definedName>
    <definedName name="ььььь">#REF!</definedName>
    <definedName name="ээжжж" localSheetId="11">#REF!</definedName>
    <definedName name="ээжжж" localSheetId="5">#REF!</definedName>
    <definedName name="ээжжж" localSheetId="4">#REF!</definedName>
    <definedName name="ээжжж" localSheetId="6">#REF!</definedName>
    <definedName name="ээжжж" localSheetId="9">#REF!</definedName>
    <definedName name="ээжжж" localSheetId="14">#REF!</definedName>
    <definedName name="ээжжж" localSheetId="13">#REF!</definedName>
    <definedName name="ээжжж" localSheetId="15">#REF!</definedName>
    <definedName name="ээжжж">#REF!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P27" i="168" l="1"/>
  <c r="J27" i="168"/>
  <c r="AX26" i="168"/>
  <c r="AX27" i="168" s="1"/>
  <c r="AP26" i="168"/>
  <c r="AH26" i="168"/>
  <c r="AH27" i="168" s="1"/>
  <c r="Z26" i="168"/>
  <c r="Z27" i="168" s="1"/>
  <c r="R26" i="168"/>
  <c r="R27" i="168" s="1"/>
  <c r="J26" i="168"/>
  <c r="B26" i="168"/>
  <c r="B27" i="168" s="1"/>
  <c r="AX20" i="168"/>
  <c r="R20" i="168"/>
  <c r="AX19" i="168"/>
  <c r="AP19" i="168"/>
  <c r="AP20" i="168" s="1"/>
  <c r="AH19" i="168"/>
  <c r="AH20" i="168" s="1"/>
  <c r="Z19" i="168"/>
  <c r="Z20" i="168" s="1"/>
  <c r="R19" i="168"/>
  <c r="J19" i="168"/>
  <c r="J20" i="168" s="1"/>
  <c r="B19" i="168"/>
  <c r="B20" i="168" s="1"/>
  <c r="U10" i="168"/>
  <c r="W10" i="168" s="1"/>
  <c r="Y10" i="168" s="1"/>
  <c r="O10" i="168"/>
  <c r="Q10" i="168" s="1"/>
  <c r="G10" i="168"/>
  <c r="I10" i="168" s="1"/>
  <c r="AP9" i="168"/>
  <c r="AP11" i="168" s="1"/>
  <c r="Z9" i="168"/>
  <c r="Z11" i="168" s="1"/>
  <c r="J9" i="168"/>
  <c r="J11" i="168" s="1"/>
  <c r="AX7" i="168"/>
  <c r="AX9" i="168" s="1"/>
  <c r="AX11" i="168" s="1"/>
  <c r="AP7" i="168"/>
  <c r="AH7" i="168"/>
  <c r="AH9" i="168" s="1"/>
  <c r="AH11" i="168" s="1"/>
  <c r="Z7" i="168"/>
  <c r="R7" i="168"/>
  <c r="R9" i="168" s="1"/>
  <c r="R11" i="168" s="1"/>
  <c r="J7" i="168"/>
  <c r="B7" i="168"/>
  <c r="B9" i="168" s="1"/>
  <c r="B11" i="168" s="1"/>
  <c r="J13" i="168" l="1"/>
  <c r="J15" i="168"/>
  <c r="B15" i="168"/>
  <c r="B28" i="168" s="1"/>
  <c r="B13" i="168"/>
  <c r="B21" i="168" s="1"/>
  <c r="B31" i="168" s="1"/>
  <c r="R28" i="168"/>
  <c r="AX28" i="168"/>
  <c r="AP13" i="168"/>
  <c r="AP15" i="168"/>
  <c r="AH21" i="168"/>
  <c r="J28" i="168"/>
  <c r="AH15" i="168"/>
  <c r="AH28" i="168" s="1"/>
  <c r="AH13" i="168"/>
  <c r="Z15" i="168"/>
  <c r="Z28" i="168" s="1"/>
  <c r="Z13" i="168"/>
  <c r="Z21" i="168" s="1"/>
  <c r="Z31" i="168" s="1"/>
  <c r="R13" i="168"/>
  <c r="R21" i="168" s="1"/>
  <c r="R31" i="168" s="1"/>
  <c r="R15" i="168"/>
  <c r="AX13" i="168"/>
  <c r="AX21" i="168" s="1"/>
  <c r="AX31" i="168" s="1"/>
  <c r="AX15" i="168"/>
  <c r="J21" i="168"/>
  <c r="J31" i="168" s="1"/>
  <c r="AP21" i="168"/>
  <c r="AP28" i="168"/>
  <c r="AC10" i="168"/>
  <c r="R32" i="168" l="1"/>
  <c r="R33" i="168" s="1"/>
  <c r="R34" i="168"/>
  <c r="R35" i="168" s="1"/>
  <c r="Z32" i="168"/>
  <c r="Z33" i="168" s="1"/>
  <c r="Z34" i="168"/>
  <c r="Z35" i="168" s="1"/>
  <c r="B34" i="168"/>
  <c r="B35" i="168" s="1"/>
  <c r="B32" i="168"/>
  <c r="B33" i="168" s="1"/>
  <c r="AX32" i="168"/>
  <c r="AX33" i="168" s="1"/>
  <c r="AX34" i="168"/>
  <c r="AX35" i="168" s="1"/>
  <c r="AH31" i="168"/>
  <c r="J34" i="168"/>
  <c r="J35" i="168" s="1"/>
  <c r="J32" i="168"/>
  <c r="J33" i="168" s="1"/>
  <c r="AG10" i="168"/>
  <c r="AE10" i="168"/>
  <c r="AK10" i="168"/>
  <c r="AP31" i="168"/>
  <c r="AP34" i="168" l="1"/>
  <c r="AP35" i="168" s="1"/>
  <c r="AP32" i="168"/>
  <c r="AP33" i="168" s="1"/>
  <c r="AS10" i="168"/>
  <c r="AO10" i="168"/>
  <c r="AM10" i="168"/>
  <c r="AH34" i="168"/>
  <c r="AH35" i="168" s="1"/>
  <c r="AH32" i="168"/>
  <c r="AH33" i="168" s="1"/>
  <c r="AU10" i="168" l="1"/>
  <c r="AW10" i="168"/>
  <c r="M16" i="77" l="1"/>
  <c r="M18" i="77"/>
  <c r="M19" i="77"/>
  <c r="M20" i="77"/>
  <c r="M21" i="77"/>
  <c r="M22" i="77"/>
  <c r="M23" i="77"/>
  <c r="M24" i="77"/>
  <c r="N18" i="77"/>
  <c r="L18" i="77"/>
  <c r="K18" i="77"/>
  <c r="GN17" i="77"/>
  <c r="GM17" i="77"/>
  <c r="Q172" i="166"/>
  <c r="Q104" i="166"/>
  <c r="Q106" i="166"/>
  <c r="Q109" i="166"/>
  <c r="Q110" i="166"/>
  <c r="Q31" i="166"/>
  <c r="FE48" i="165"/>
  <c r="FD48" i="165"/>
  <c r="FC48" i="165"/>
  <c r="FB48" i="165"/>
  <c r="FB49" i="165"/>
  <c r="FB50" i="165"/>
  <c r="FB51" i="165"/>
  <c r="FB52" i="165"/>
  <c r="BB52" i="165"/>
  <c r="BB51" i="165"/>
  <c r="BB50" i="165"/>
  <c r="BB49" i="165"/>
  <c r="BB53" i="165" s="1"/>
  <c r="HE12" i="140" l="1"/>
  <c r="HG11" i="140"/>
  <c r="HE11" i="140"/>
  <c r="HD11" i="140"/>
  <c r="HA11" i="140"/>
  <c r="GZ11" i="140"/>
  <c r="GX11" i="140"/>
  <c r="HE12" i="139"/>
  <c r="HG11" i="139"/>
  <c r="HE11" i="139"/>
  <c r="HD11" i="139"/>
  <c r="HA11" i="139"/>
  <c r="GZ11" i="139"/>
  <c r="GX11" i="139"/>
  <c r="FT12" i="140"/>
  <c r="FV11" i="140"/>
  <c r="FT11" i="140"/>
  <c r="FS11" i="140"/>
  <c r="FP11" i="140"/>
  <c r="FO11" i="140"/>
  <c r="FM11" i="140"/>
  <c r="FT12" i="139"/>
  <c r="FV11" i="139"/>
  <c r="FT11" i="139"/>
  <c r="FS11" i="139"/>
  <c r="FP11" i="139"/>
  <c r="FO11" i="139"/>
  <c r="FM11" i="139"/>
  <c r="EI12" i="140"/>
  <c r="EK11" i="140"/>
  <c r="EI11" i="140"/>
  <c r="EH11" i="140"/>
  <c r="EE11" i="140"/>
  <c r="ED11" i="140"/>
  <c r="EB11" i="140"/>
  <c r="EI12" i="139"/>
  <c r="EK11" i="139"/>
  <c r="EI11" i="139"/>
  <c r="EH11" i="139"/>
  <c r="EE11" i="139"/>
  <c r="ED11" i="139"/>
  <c r="EB11" i="139"/>
  <c r="CX12" i="140"/>
  <c r="CZ11" i="140"/>
  <c r="CX11" i="140"/>
  <c r="CW11" i="140"/>
  <c r="CT11" i="140"/>
  <c r="CS11" i="140"/>
  <c r="CQ11" i="140"/>
  <c r="CX12" i="139"/>
  <c r="CZ11" i="139"/>
  <c r="CX11" i="139"/>
  <c r="CW11" i="139"/>
  <c r="CT11" i="139"/>
  <c r="CS11" i="139"/>
  <c r="CQ11" i="139"/>
  <c r="BM12" i="140"/>
  <c r="BO11" i="140"/>
  <c r="BM11" i="140"/>
  <c r="BL11" i="140"/>
  <c r="BI11" i="140"/>
  <c r="BH11" i="140"/>
  <c r="BF11" i="140"/>
  <c r="BM12" i="139"/>
  <c r="BO11" i="139"/>
  <c r="BM11" i="139"/>
  <c r="BL11" i="139"/>
  <c r="BI11" i="139"/>
  <c r="BH11" i="139"/>
  <c r="BF11" i="139"/>
  <c r="AD11" i="140"/>
  <c r="AD11" i="139"/>
  <c r="AA11" i="140"/>
  <c r="X11" i="140"/>
  <c r="W11" i="140"/>
  <c r="U11" i="140"/>
  <c r="AA11" i="139"/>
  <c r="X11" i="139"/>
  <c r="W11" i="139"/>
  <c r="U11" i="139"/>
  <c r="HD11" i="77"/>
  <c r="HG11" i="77"/>
  <c r="HA11" i="77"/>
  <c r="GZ11" i="77"/>
  <c r="GX11" i="77"/>
  <c r="FS11" i="77"/>
  <c r="FV11" i="77"/>
  <c r="FP11" i="77"/>
  <c r="FO11" i="77"/>
  <c r="FM11" i="77"/>
  <c r="EH11" i="77"/>
  <c r="EK11" i="77"/>
  <c r="EE11" i="77"/>
  <c r="ED11" i="77"/>
  <c r="EB11" i="77"/>
  <c r="CW11" i="77"/>
  <c r="CZ11" i="77"/>
  <c r="CT11" i="77"/>
  <c r="CS11" i="77"/>
  <c r="CQ11" i="77"/>
  <c r="BL11" i="77"/>
  <c r="BO11" i="77"/>
  <c r="BI11" i="77"/>
  <c r="BH11" i="77"/>
  <c r="BF11" i="77"/>
  <c r="AA11" i="77"/>
  <c r="AD11" i="77"/>
  <c r="X11" i="77"/>
  <c r="W11" i="77"/>
  <c r="U11" i="77"/>
  <c r="DZ258" i="167"/>
  <c r="CW258" i="167"/>
  <c r="C258" i="167"/>
  <c r="C262" i="167" s="1"/>
  <c r="ET239" i="167"/>
  <c r="ES239" i="167"/>
  <c r="ER239" i="167"/>
  <c r="EQ239" i="167" s="1"/>
  <c r="EP239" i="167" s="1"/>
  <c r="EL239" i="167"/>
  <c r="EK239" i="167"/>
  <c r="EG239" i="167"/>
  <c r="EF239" i="167"/>
  <c r="EB239" i="167"/>
  <c r="EA239" i="167"/>
  <c r="DW239" i="167"/>
  <c r="DV239" i="167"/>
  <c r="DO239" i="167"/>
  <c r="DP239" i="167" s="1"/>
  <c r="DN239" i="167"/>
  <c r="DM239" i="167"/>
  <c r="DJ239" i="167"/>
  <c r="DG239" i="167"/>
  <c r="DD239" i="167"/>
  <c r="DA239" i="167"/>
  <c r="BZ239" i="167"/>
  <c r="BV239" i="167"/>
  <c r="BG239" i="167"/>
  <c r="C224" i="167"/>
  <c r="C223" i="167"/>
  <c r="AU222" i="167"/>
  <c r="C222" i="167"/>
  <c r="AU221" i="167"/>
  <c r="C221" i="167"/>
  <c r="CU220" i="167"/>
  <c r="CT220" i="167"/>
  <c r="CV220" i="167" s="1"/>
  <c r="CN220" i="167"/>
  <c r="CO220" i="167" s="1"/>
  <c r="CM220" i="167"/>
  <c r="BP220" i="167"/>
  <c r="BG220" i="167"/>
  <c r="BC220" i="167"/>
  <c r="AS220" i="167"/>
  <c r="AP220" i="167"/>
  <c r="AN220" i="167"/>
  <c r="AL220" i="167"/>
  <c r="AI220" i="167"/>
  <c r="AF220" i="167"/>
  <c r="AC220" i="167"/>
  <c r="Z220" i="167"/>
  <c r="W220" i="167"/>
  <c r="T220" i="167"/>
  <c r="N220" i="167"/>
  <c r="K220" i="167"/>
  <c r="G220" i="167"/>
  <c r="E220" i="167"/>
  <c r="D220" i="167"/>
  <c r="C220" i="167"/>
  <c r="C225" i="167" s="1"/>
  <c r="BN219" i="167"/>
  <c r="BO219" i="167" s="1"/>
  <c r="BG219" i="167"/>
  <c r="AQ219" i="167"/>
  <c r="AK219" i="167"/>
  <c r="AH219" i="167"/>
  <c r="AE219" i="167"/>
  <c r="AB219" i="167"/>
  <c r="Y219" i="167"/>
  <c r="V219" i="167"/>
  <c r="S219" i="167"/>
  <c r="P219" i="167"/>
  <c r="M219" i="167"/>
  <c r="J219" i="167"/>
  <c r="H219" i="167"/>
  <c r="I219" i="167" s="1"/>
  <c r="F219" i="167"/>
  <c r="BN218" i="167"/>
  <c r="BO218" i="167" s="1"/>
  <c r="BG218" i="167"/>
  <c r="AQ218" i="167"/>
  <c r="AK218" i="167"/>
  <c r="AH218" i="167"/>
  <c r="AE218" i="167"/>
  <c r="AB218" i="167"/>
  <c r="Y218" i="167"/>
  <c r="V218" i="167"/>
  <c r="S218" i="167"/>
  <c r="P218" i="167"/>
  <c r="M218" i="167"/>
  <c r="J218" i="167"/>
  <c r="H218" i="167"/>
  <c r="I218" i="167" s="1"/>
  <c r="F218" i="167"/>
  <c r="BN217" i="167"/>
  <c r="BO217" i="167" s="1"/>
  <c r="BG217" i="167"/>
  <c r="AQ217" i="167"/>
  <c r="AK217" i="167"/>
  <c r="AH217" i="167"/>
  <c r="AE217" i="167"/>
  <c r="AB217" i="167"/>
  <c r="Y217" i="167"/>
  <c r="V217" i="167"/>
  <c r="S217" i="167"/>
  <c r="P217" i="167"/>
  <c r="M217" i="167"/>
  <c r="J217" i="167"/>
  <c r="F217" i="167"/>
  <c r="H217" i="167" s="1"/>
  <c r="I217" i="167" s="1"/>
  <c r="BN216" i="167"/>
  <c r="BO216" i="167" s="1"/>
  <c r="BG216" i="167"/>
  <c r="AQ216" i="167"/>
  <c r="AK216" i="167"/>
  <c r="AH216" i="167"/>
  <c r="AE216" i="167"/>
  <c r="AB216" i="167"/>
  <c r="Y216" i="167"/>
  <c r="X216" i="167"/>
  <c r="V216" i="167"/>
  <c r="S216" i="167"/>
  <c r="P216" i="167"/>
  <c r="M216" i="167"/>
  <c r="J216" i="167"/>
  <c r="F216" i="167"/>
  <c r="H216" i="167" s="1"/>
  <c r="I216" i="167" s="1"/>
  <c r="BO215" i="167"/>
  <c r="BN215" i="167"/>
  <c r="BG215" i="167"/>
  <c r="AQ215" i="167"/>
  <c r="AK215" i="167"/>
  <c r="AH215" i="167"/>
  <c r="AE215" i="167"/>
  <c r="AB215" i="167"/>
  <c r="Y215" i="167"/>
  <c r="V215" i="167"/>
  <c r="S215" i="167"/>
  <c r="P215" i="167"/>
  <c r="M215" i="167"/>
  <c r="J215" i="167"/>
  <c r="H215" i="167"/>
  <c r="I215" i="167" s="1"/>
  <c r="F215" i="167"/>
  <c r="BU214" i="167"/>
  <c r="BO214" i="167"/>
  <c r="BN214" i="167"/>
  <c r="BG214" i="167"/>
  <c r="AQ214" i="167"/>
  <c r="AK214" i="167"/>
  <c r="AH214" i="167"/>
  <c r="AE214" i="167"/>
  <c r="AB214" i="167"/>
  <c r="Y214" i="167"/>
  <c r="V214" i="167"/>
  <c r="S214" i="167"/>
  <c r="P214" i="167"/>
  <c r="M214" i="167"/>
  <c r="J214" i="167"/>
  <c r="I214" i="167"/>
  <c r="O214" i="167" s="1"/>
  <c r="H214" i="167"/>
  <c r="F214" i="167"/>
  <c r="BU213" i="167"/>
  <c r="BO213" i="167"/>
  <c r="BN213" i="167"/>
  <c r="BG213" i="167"/>
  <c r="AQ213" i="167"/>
  <c r="AK213" i="167"/>
  <c r="AH213" i="167"/>
  <c r="AG213" i="167"/>
  <c r="AE213" i="167"/>
  <c r="AB213" i="167"/>
  <c r="Y213" i="167"/>
  <c r="V213" i="167"/>
  <c r="S213" i="167"/>
  <c r="P213" i="167"/>
  <c r="M213" i="167"/>
  <c r="J213" i="167"/>
  <c r="F213" i="167"/>
  <c r="H213" i="167" s="1"/>
  <c r="I213" i="167" s="1"/>
  <c r="BU212" i="167"/>
  <c r="BN212" i="167"/>
  <c r="BO212" i="167" s="1"/>
  <c r="BG212" i="167"/>
  <c r="AQ212" i="167"/>
  <c r="AQ221" i="167" s="1"/>
  <c r="AK212" i="167"/>
  <c r="AH212" i="167"/>
  <c r="AE212" i="167"/>
  <c r="AB212" i="167"/>
  <c r="Y212" i="167"/>
  <c r="V212" i="167"/>
  <c r="S212" i="167"/>
  <c r="P212" i="167"/>
  <c r="M212" i="167"/>
  <c r="J212" i="167"/>
  <c r="F212" i="167"/>
  <c r="H212" i="167" s="1"/>
  <c r="BO211" i="167"/>
  <c r="BN211" i="167"/>
  <c r="BG211" i="167"/>
  <c r="AQ211" i="167"/>
  <c r="AK211" i="167"/>
  <c r="AH211" i="167"/>
  <c r="AE211" i="167"/>
  <c r="AB211" i="167"/>
  <c r="Y211" i="167"/>
  <c r="V211" i="167"/>
  <c r="S211" i="167"/>
  <c r="P211" i="167"/>
  <c r="M211" i="167"/>
  <c r="J211" i="167"/>
  <c r="I211" i="167"/>
  <c r="H211" i="167"/>
  <c r="F211" i="167"/>
  <c r="BU210" i="167"/>
  <c r="BU220" i="167" s="1"/>
  <c r="BW220" i="167" s="1"/>
  <c r="BO210" i="167"/>
  <c r="BN210" i="167"/>
  <c r="BG210" i="167"/>
  <c r="AQ210" i="167"/>
  <c r="AQ222" i="167" s="1"/>
  <c r="AK210" i="167"/>
  <c r="AH210" i="167"/>
  <c r="AE210" i="167"/>
  <c r="AB210" i="167"/>
  <c r="Y210" i="167"/>
  <c r="V210" i="167"/>
  <c r="S210" i="167"/>
  <c r="P210" i="167"/>
  <c r="M210" i="167"/>
  <c r="J210" i="167"/>
  <c r="F210" i="167"/>
  <c r="H210" i="167" s="1"/>
  <c r="BO209" i="167"/>
  <c r="BN209" i="167"/>
  <c r="BG209" i="167"/>
  <c r="AQ209" i="167"/>
  <c r="AK209" i="167"/>
  <c r="AH209" i="167"/>
  <c r="AE209" i="167"/>
  <c r="AB209" i="167"/>
  <c r="Y209" i="167"/>
  <c r="V209" i="167"/>
  <c r="S209" i="167"/>
  <c r="P209" i="167"/>
  <c r="M209" i="167"/>
  <c r="J209" i="167"/>
  <c r="F209" i="167"/>
  <c r="H209" i="167" s="1"/>
  <c r="I209" i="167" s="1"/>
  <c r="BO208" i="167"/>
  <c r="BN208" i="167"/>
  <c r="BG208" i="167"/>
  <c r="AQ208" i="167"/>
  <c r="AK208" i="167"/>
  <c r="AH208" i="167"/>
  <c r="AE208" i="167"/>
  <c r="AB208" i="167"/>
  <c r="Y208" i="167"/>
  <c r="V208" i="167"/>
  <c r="S208" i="167"/>
  <c r="P208" i="167"/>
  <c r="O208" i="167"/>
  <c r="M208" i="167"/>
  <c r="J208" i="167"/>
  <c r="H208" i="167"/>
  <c r="I208" i="167" s="1"/>
  <c r="F208" i="167"/>
  <c r="BN207" i="167"/>
  <c r="BO207" i="167" s="1"/>
  <c r="BG207" i="167"/>
  <c r="AQ207" i="167"/>
  <c r="AM207" i="167"/>
  <c r="AK207" i="167"/>
  <c r="AH207" i="167"/>
  <c r="AE207" i="167"/>
  <c r="AB207" i="167"/>
  <c r="AA207" i="167"/>
  <c r="Y207" i="167"/>
  <c r="V207" i="167"/>
  <c r="S207" i="167"/>
  <c r="P207" i="167"/>
  <c r="M207" i="167"/>
  <c r="J207" i="167"/>
  <c r="H207" i="167"/>
  <c r="I207" i="167" s="1"/>
  <c r="F207" i="167"/>
  <c r="BN206" i="167"/>
  <c r="BO206" i="167" s="1"/>
  <c r="BG206" i="167"/>
  <c r="AQ206" i="167"/>
  <c r="AK206" i="167"/>
  <c r="AJ206" i="167"/>
  <c r="AH206" i="167"/>
  <c r="AE206" i="167"/>
  <c r="AB206" i="167"/>
  <c r="Y206" i="167"/>
  <c r="X206" i="167"/>
  <c r="V206" i="167"/>
  <c r="S206" i="167"/>
  <c r="P206" i="167"/>
  <c r="M206" i="167"/>
  <c r="J206" i="167"/>
  <c r="H206" i="167"/>
  <c r="I206" i="167" s="1"/>
  <c r="F206" i="167"/>
  <c r="BO205" i="167"/>
  <c r="BN205" i="167"/>
  <c r="BG205" i="167"/>
  <c r="AQ205" i="167"/>
  <c r="AK205" i="167"/>
  <c r="AH205" i="167"/>
  <c r="AE205" i="167"/>
  <c r="AB205" i="167"/>
  <c r="Y205" i="167"/>
  <c r="V205" i="167"/>
  <c r="S205" i="167"/>
  <c r="P205" i="167"/>
  <c r="M205" i="167"/>
  <c r="J205" i="167"/>
  <c r="F205" i="167"/>
  <c r="H205" i="167" s="1"/>
  <c r="I205" i="167" s="1"/>
  <c r="BN204" i="167"/>
  <c r="BO204" i="167" s="1"/>
  <c r="BG204" i="167"/>
  <c r="AQ204" i="167"/>
  <c r="AK204" i="167"/>
  <c r="AJ204" i="167"/>
  <c r="AH204" i="167"/>
  <c r="AE204" i="167"/>
  <c r="AB204" i="167"/>
  <c r="Y204" i="167"/>
  <c r="V204" i="167"/>
  <c r="S204" i="167"/>
  <c r="P204" i="167"/>
  <c r="M204" i="167"/>
  <c r="L204" i="167"/>
  <c r="J204" i="167"/>
  <c r="F204" i="167"/>
  <c r="H204" i="167" s="1"/>
  <c r="I204" i="167" s="1"/>
  <c r="AD204" i="167" s="1"/>
  <c r="BO203" i="167"/>
  <c r="BN203" i="167"/>
  <c r="BG203" i="167"/>
  <c r="AQ203" i="167"/>
  <c r="AK203" i="167"/>
  <c r="AK220" i="167" s="1"/>
  <c r="AH203" i="167"/>
  <c r="AE203" i="167"/>
  <c r="AB203" i="167"/>
  <c r="AB220" i="167" s="1"/>
  <c r="Y203" i="167"/>
  <c r="Y220" i="167" s="1"/>
  <c r="V203" i="167"/>
  <c r="S203" i="167"/>
  <c r="P203" i="167"/>
  <c r="M203" i="167"/>
  <c r="M220" i="167" s="1"/>
  <c r="J203" i="167"/>
  <c r="H203" i="167"/>
  <c r="F203" i="167"/>
  <c r="C188" i="167"/>
  <c r="C187" i="167"/>
  <c r="AU186" i="167"/>
  <c r="C186" i="167"/>
  <c r="AU185" i="167"/>
  <c r="C185" i="167"/>
  <c r="CU184" i="167"/>
  <c r="CV184" i="167" s="1"/>
  <c r="CT184" i="167"/>
  <c r="CM184" i="167"/>
  <c r="BP184" i="167"/>
  <c r="BG184" i="167"/>
  <c r="BC184" i="167"/>
  <c r="AS184" i="167"/>
  <c r="AP184" i="167"/>
  <c r="AN184" i="167"/>
  <c r="AL184" i="167"/>
  <c r="AI184" i="167"/>
  <c r="AF184" i="167"/>
  <c r="AC184" i="167"/>
  <c r="Z184" i="167"/>
  <c r="W184" i="167"/>
  <c r="T184" i="167"/>
  <c r="N184" i="167"/>
  <c r="K184" i="167"/>
  <c r="G184" i="167"/>
  <c r="E184" i="167"/>
  <c r="D184" i="167"/>
  <c r="C184" i="167"/>
  <c r="C189" i="167" s="1"/>
  <c r="BN183" i="167"/>
  <c r="BO183" i="167" s="1"/>
  <c r="BG183" i="167"/>
  <c r="AQ183" i="167"/>
  <c r="AK183" i="167"/>
  <c r="AJ183" i="167"/>
  <c r="AH183" i="167"/>
  <c r="AE183" i="167"/>
  <c r="AB183" i="167"/>
  <c r="Y183" i="167"/>
  <c r="V183" i="167"/>
  <c r="S183" i="167"/>
  <c r="P183" i="167"/>
  <c r="M183" i="167"/>
  <c r="L183" i="167"/>
  <c r="J183" i="167"/>
  <c r="F183" i="167"/>
  <c r="H183" i="167" s="1"/>
  <c r="I183" i="167" s="1"/>
  <c r="AD183" i="167" s="1"/>
  <c r="BO182" i="167"/>
  <c r="BN182" i="167"/>
  <c r="BG182" i="167"/>
  <c r="AQ182" i="167"/>
  <c r="AK182" i="167"/>
  <c r="AH182" i="167"/>
  <c r="AE182" i="167"/>
  <c r="AB182" i="167"/>
  <c r="Y182" i="167"/>
  <c r="V182" i="167"/>
  <c r="S182" i="167"/>
  <c r="P182" i="167"/>
  <c r="M182" i="167"/>
  <c r="J182" i="167"/>
  <c r="H182" i="167"/>
  <c r="I182" i="167" s="1"/>
  <c r="F182" i="167"/>
  <c r="BN181" i="167"/>
  <c r="BO181" i="167" s="1"/>
  <c r="BG181" i="167"/>
  <c r="AQ181" i="167"/>
  <c r="AK181" i="167"/>
  <c r="AH181" i="167"/>
  <c r="AE181" i="167"/>
  <c r="AB181" i="167"/>
  <c r="Y181" i="167"/>
  <c r="V181" i="167"/>
  <c r="S181" i="167"/>
  <c r="P181" i="167"/>
  <c r="M181" i="167"/>
  <c r="J181" i="167"/>
  <c r="F181" i="167"/>
  <c r="H181" i="167" s="1"/>
  <c r="I181" i="167" s="1"/>
  <c r="BN180" i="167"/>
  <c r="BO180" i="167" s="1"/>
  <c r="BG180" i="167"/>
  <c r="AQ180" i="167"/>
  <c r="AK180" i="167"/>
  <c r="AH180" i="167"/>
  <c r="AE180" i="167"/>
  <c r="AB180" i="167"/>
  <c r="Y180" i="167"/>
  <c r="V180" i="167"/>
  <c r="S180" i="167"/>
  <c r="P180" i="167"/>
  <c r="M180" i="167"/>
  <c r="J180" i="167"/>
  <c r="H180" i="167"/>
  <c r="I180" i="167" s="1"/>
  <c r="F180" i="167"/>
  <c r="BN179" i="167"/>
  <c r="BO179" i="167" s="1"/>
  <c r="BG179" i="167"/>
  <c r="AQ179" i="167"/>
  <c r="AK179" i="167"/>
  <c r="AH179" i="167"/>
  <c r="AE179" i="167"/>
  <c r="AD179" i="167"/>
  <c r="AB179" i="167"/>
  <c r="Y179" i="167"/>
  <c r="V179" i="167"/>
  <c r="S179" i="167"/>
  <c r="P179" i="167"/>
  <c r="M179" i="167"/>
  <c r="J179" i="167"/>
  <c r="F179" i="167"/>
  <c r="H179" i="167" s="1"/>
  <c r="I179" i="167" s="1"/>
  <c r="BU178" i="167"/>
  <c r="BN178" i="167"/>
  <c r="BO178" i="167" s="1"/>
  <c r="BG178" i="167"/>
  <c r="AQ178" i="167"/>
  <c r="AK178" i="167"/>
  <c r="AH178" i="167"/>
  <c r="AE178" i="167"/>
  <c r="AB178" i="167"/>
  <c r="Y178" i="167"/>
  <c r="X178" i="167"/>
  <c r="V178" i="167"/>
  <c r="S178" i="167"/>
  <c r="P178" i="167"/>
  <c r="M178" i="167"/>
  <c r="J178" i="167"/>
  <c r="H178" i="167"/>
  <c r="I178" i="167" s="1"/>
  <c r="F178" i="167"/>
  <c r="BN177" i="167"/>
  <c r="BO177" i="167" s="1"/>
  <c r="BG177" i="167"/>
  <c r="AQ177" i="167"/>
  <c r="AK177" i="167"/>
  <c r="AH177" i="167"/>
  <c r="AE177" i="167"/>
  <c r="AB177" i="167"/>
  <c r="Y177" i="167"/>
  <c r="V177" i="167"/>
  <c r="U177" i="167"/>
  <c r="S177" i="167"/>
  <c r="P177" i="167"/>
  <c r="M177" i="167"/>
  <c r="J177" i="167"/>
  <c r="F177" i="167"/>
  <c r="H177" i="167" s="1"/>
  <c r="I177" i="167" s="1"/>
  <c r="BO176" i="167"/>
  <c r="BN176" i="167"/>
  <c r="BG176" i="167"/>
  <c r="AQ176" i="167"/>
  <c r="AK176" i="167"/>
  <c r="AH176" i="167"/>
  <c r="AE176" i="167"/>
  <c r="AB176" i="167"/>
  <c r="Y176" i="167"/>
  <c r="V176" i="167"/>
  <c r="S176" i="167"/>
  <c r="P176" i="167"/>
  <c r="M176" i="167"/>
  <c r="J176" i="167"/>
  <c r="H176" i="167"/>
  <c r="I176" i="167" s="1"/>
  <c r="F176" i="167"/>
  <c r="BN175" i="167"/>
  <c r="BO175" i="167" s="1"/>
  <c r="BG175" i="167"/>
  <c r="AQ175" i="167"/>
  <c r="AK175" i="167"/>
  <c r="AJ175" i="167"/>
  <c r="AH175" i="167"/>
  <c r="AE175" i="167"/>
  <c r="AB175" i="167"/>
  <c r="Y175" i="167"/>
  <c r="V175" i="167"/>
  <c r="S175" i="167"/>
  <c r="P175" i="167"/>
  <c r="M175" i="167"/>
  <c r="L175" i="167"/>
  <c r="J175" i="167"/>
  <c r="F175" i="167"/>
  <c r="H175" i="167" s="1"/>
  <c r="I175" i="167" s="1"/>
  <c r="AD175" i="167" s="1"/>
  <c r="BU174" i="167"/>
  <c r="BN174" i="167"/>
  <c r="BO174" i="167" s="1"/>
  <c r="BG174" i="167"/>
  <c r="AQ174" i="167"/>
  <c r="AK174" i="167"/>
  <c r="AH174" i="167"/>
  <c r="AE174" i="167"/>
  <c r="AD174" i="167"/>
  <c r="AB174" i="167"/>
  <c r="Y174" i="167"/>
  <c r="V174" i="167"/>
  <c r="S174" i="167"/>
  <c r="P174" i="167"/>
  <c r="M174" i="167"/>
  <c r="J174" i="167"/>
  <c r="H174" i="167"/>
  <c r="I174" i="167" s="1"/>
  <c r="F174" i="167"/>
  <c r="BU173" i="167"/>
  <c r="BO173" i="167"/>
  <c r="BN173" i="167"/>
  <c r="BG173" i="167"/>
  <c r="AQ173" i="167"/>
  <c r="AK173" i="167"/>
  <c r="AH173" i="167"/>
  <c r="AE173" i="167"/>
  <c r="AB173" i="167"/>
  <c r="Y173" i="167"/>
  <c r="V173" i="167"/>
  <c r="S173" i="167"/>
  <c r="P173" i="167"/>
  <c r="M173" i="167"/>
  <c r="J173" i="167"/>
  <c r="F173" i="167"/>
  <c r="H173" i="167" s="1"/>
  <c r="I173" i="167" s="1"/>
  <c r="BU172" i="167"/>
  <c r="BN172" i="167"/>
  <c r="BO172" i="167" s="1"/>
  <c r="BG172" i="167"/>
  <c r="AQ172" i="167"/>
  <c r="AQ185" i="167" s="1"/>
  <c r="AK172" i="167"/>
  <c r="AH172" i="167"/>
  <c r="AE172" i="167"/>
  <c r="AB172" i="167"/>
  <c r="Y172" i="167"/>
  <c r="V172" i="167"/>
  <c r="S172" i="167"/>
  <c r="P172" i="167"/>
  <c r="M172" i="167"/>
  <c r="J172" i="167"/>
  <c r="H172" i="167"/>
  <c r="H185" i="167" s="1"/>
  <c r="F172" i="167"/>
  <c r="BN171" i="167"/>
  <c r="BO171" i="167" s="1"/>
  <c r="BG171" i="167"/>
  <c r="AQ171" i="167"/>
  <c r="AK171" i="167"/>
  <c r="AH171" i="167"/>
  <c r="AE171" i="167"/>
  <c r="AB171" i="167"/>
  <c r="Y171" i="167"/>
  <c r="V171" i="167"/>
  <c r="S171" i="167"/>
  <c r="P171" i="167"/>
  <c r="M171" i="167"/>
  <c r="J171" i="167"/>
  <c r="H171" i="167"/>
  <c r="I171" i="167" s="1"/>
  <c r="F171" i="167"/>
  <c r="BN170" i="167"/>
  <c r="BO170" i="167" s="1"/>
  <c r="BG170" i="167"/>
  <c r="AQ170" i="167"/>
  <c r="AK170" i="167"/>
  <c r="AH170" i="167"/>
  <c r="AE170" i="167"/>
  <c r="AB170" i="167"/>
  <c r="Y170" i="167"/>
  <c r="V170" i="167"/>
  <c r="S170" i="167"/>
  <c r="P170" i="167"/>
  <c r="M170" i="167"/>
  <c r="J170" i="167"/>
  <c r="H170" i="167"/>
  <c r="F170" i="167"/>
  <c r="BN169" i="167"/>
  <c r="BO169" i="167" s="1"/>
  <c r="BG169" i="167"/>
  <c r="AQ169" i="167"/>
  <c r="AK169" i="167"/>
  <c r="AJ169" i="167"/>
  <c r="AH169" i="167"/>
  <c r="AE169" i="167"/>
  <c r="AD169" i="167"/>
  <c r="AB169" i="167"/>
  <c r="Y169" i="167"/>
  <c r="V169" i="167"/>
  <c r="S169" i="167"/>
  <c r="R169" i="167"/>
  <c r="P169" i="167"/>
  <c r="M169" i="167"/>
  <c r="L169" i="167"/>
  <c r="J169" i="167"/>
  <c r="F169" i="167"/>
  <c r="H169" i="167" s="1"/>
  <c r="I169" i="167" s="1"/>
  <c r="BU168" i="167"/>
  <c r="BN168" i="167"/>
  <c r="BO168" i="167" s="1"/>
  <c r="BG168" i="167"/>
  <c r="AQ168" i="167"/>
  <c r="AK168" i="167"/>
  <c r="AH168" i="167"/>
  <c r="AE168" i="167"/>
  <c r="AB168" i="167"/>
  <c r="Y168" i="167"/>
  <c r="V168" i="167"/>
  <c r="S168" i="167"/>
  <c r="P168" i="167"/>
  <c r="M168" i="167"/>
  <c r="J168" i="167"/>
  <c r="H168" i="167"/>
  <c r="F168" i="167"/>
  <c r="BN167" i="167"/>
  <c r="BO167" i="167" s="1"/>
  <c r="BG167" i="167"/>
  <c r="AQ167" i="167"/>
  <c r="AK167" i="167"/>
  <c r="AH167" i="167"/>
  <c r="AE167" i="167"/>
  <c r="AB167" i="167"/>
  <c r="Y167" i="167"/>
  <c r="V167" i="167"/>
  <c r="S167" i="167"/>
  <c r="P167" i="167"/>
  <c r="M167" i="167"/>
  <c r="J167" i="167"/>
  <c r="I167" i="167"/>
  <c r="F167" i="167"/>
  <c r="H167" i="167" s="1"/>
  <c r="BO166" i="167"/>
  <c r="BN166" i="167"/>
  <c r="BG166" i="167"/>
  <c r="AQ166" i="167"/>
  <c r="AK166" i="167"/>
  <c r="AH166" i="167"/>
  <c r="AE166" i="167"/>
  <c r="AB166" i="167"/>
  <c r="Y166" i="167"/>
  <c r="V166" i="167"/>
  <c r="S166" i="167"/>
  <c r="P166" i="167"/>
  <c r="M166" i="167"/>
  <c r="J166" i="167"/>
  <c r="H166" i="167"/>
  <c r="I166" i="167" s="1"/>
  <c r="F166" i="167"/>
  <c r="BN165" i="167"/>
  <c r="BO165" i="167" s="1"/>
  <c r="BG165" i="167"/>
  <c r="AQ165" i="167"/>
  <c r="AK165" i="167"/>
  <c r="AH165" i="167"/>
  <c r="AE165" i="167"/>
  <c r="AB165" i="167"/>
  <c r="Y165" i="167"/>
  <c r="V165" i="167"/>
  <c r="S165" i="167"/>
  <c r="P165" i="167"/>
  <c r="M165" i="167"/>
  <c r="J165" i="167"/>
  <c r="F165" i="167"/>
  <c r="H165" i="167" s="1"/>
  <c r="I165" i="167" s="1"/>
  <c r="BO164" i="167"/>
  <c r="BN164" i="167"/>
  <c r="BG164" i="167"/>
  <c r="AQ164" i="167"/>
  <c r="AK164" i="167"/>
  <c r="AH164" i="167"/>
  <c r="AE164" i="167"/>
  <c r="AB164" i="167"/>
  <c r="Y164" i="167"/>
  <c r="V164" i="167"/>
  <c r="S164" i="167"/>
  <c r="P164" i="167"/>
  <c r="O164" i="167"/>
  <c r="M164" i="167"/>
  <c r="J164" i="167"/>
  <c r="I164" i="167"/>
  <c r="F164" i="167"/>
  <c r="H164" i="167" s="1"/>
  <c r="BO163" i="167"/>
  <c r="BN163" i="167"/>
  <c r="BG163" i="167"/>
  <c r="AQ163" i="167"/>
  <c r="AK163" i="167"/>
  <c r="AH163" i="167"/>
  <c r="AE163" i="167"/>
  <c r="AB163" i="167"/>
  <c r="Y163" i="167"/>
  <c r="V163" i="167"/>
  <c r="S163" i="167"/>
  <c r="P163" i="167"/>
  <c r="M163" i="167"/>
  <c r="J163" i="167"/>
  <c r="F163" i="167"/>
  <c r="H163" i="167" s="1"/>
  <c r="I163" i="167" s="1"/>
  <c r="BO162" i="167"/>
  <c r="BN162" i="167"/>
  <c r="BG162" i="167"/>
  <c r="AQ162" i="167"/>
  <c r="AK162" i="167"/>
  <c r="AH162" i="167"/>
  <c r="AE162" i="167"/>
  <c r="AD162" i="167"/>
  <c r="AB162" i="167"/>
  <c r="Y162" i="167"/>
  <c r="V162" i="167"/>
  <c r="S162" i="167"/>
  <c r="P162" i="167"/>
  <c r="R162" i="167" s="1"/>
  <c r="M162" i="167"/>
  <c r="J162" i="167"/>
  <c r="F162" i="167"/>
  <c r="H162" i="167" s="1"/>
  <c r="I162" i="167" s="1"/>
  <c r="BO161" i="167"/>
  <c r="BN161" i="167"/>
  <c r="BG161" i="167"/>
  <c r="AQ161" i="167"/>
  <c r="AK161" i="167"/>
  <c r="AH161" i="167"/>
  <c r="AE161" i="167"/>
  <c r="AB161" i="167"/>
  <c r="Y161" i="167"/>
  <c r="V161" i="167"/>
  <c r="S161" i="167"/>
  <c r="P161" i="167"/>
  <c r="M161" i="167"/>
  <c r="J161" i="167"/>
  <c r="H161" i="167"/>
  <c r="I161" i="167" s="1"/>
  <c r="F161" i="167"/>
  <c r="BN160" i="167"/>
  <c r="BO160" i="167" s="1"/>
  <c r="BG160" i="167"/>
  <c r="AQ160" i="167"/>
  <c r="AK160" i="167"/>
  <c r="AH160" i="167"/>
  <c r="AE160" i="167"/>
  <c r="AB160" i="167"/>
  <c r="Y160" i="167"/>
  <c r="V160" i="167"/>
  <c r="S160" i="167"/>
  <c r="P160" i="167"/>
  <c r="M160" i="167"/>
  <c r="J160" i="167"/>
  <c r="I160" i="167"/>
  <c r="F160" i="167"/>
  <c r="H160" i="167" s="1"/>
  <c r="BO159" i="167"/>
  <c r="BN159" i="167"/>
  <c r="BG159" i="167"/>
  <c r="AQ159" i="167"/>
  <c r="AK159" i="167"/>
  <c r="AH159" i="167"/>
  <c r="AE159" i="167"/>
  <c r="AB159" i="167"/>
  <c r="Y159" i="167"/>
  <c r="V159" i="167"/>
  <c r="S159" i="167"/>
  <c r="P159" i="167"/>
  <c r="M159" i="167"/>
  <c r="J159" i="167"/>
  <c r="F159" i="167"/>
  <c r="H159" i="167" s="1"/>
  <c r="I159" i="167" s="1"/>
  <c r="BO158" i="167"/>
  <c r="BN158" i="167"/>
  <c r="BG158" i="167"/>
  <c r="AQ158" i="167"/>
  <c r="AK158" i="167"/>
  <c r="AH158" i="167"/>
  <c r="AE158" i="167"/>
  <c r="AB158" i="167"/>
  <c r="Y158" i="167"/>
  <c r="V158" i="167"/>
  <c r="S158" i="167"/>
  <c r="P158" i="167"/>
  <c r="M158" i="167"/>
  <c r="J158" i="167"/>
  <c r="I158" i="167"/>
  <c r="F158" i="167"/>
  <c r="H158" i="167" s="1"/>
  <c r="BO157" i="167"/>
  <c r="BN157" i="167"/>
  <c r="BG157" i="167"/>
  <c r="AQ157" i="167"/>
  <c r="AK157" i="167"/>
  <c r="AH157" i="167"/>
  <c r="AE157" i="167"/>
  <c r="AB157" i="167"/>
  <c r="Y157" i="167"/>
  <c r="V157" i="167"/>
  <c r="S157" i="167"/>
  <c r="P157" i="167"/>
  <c r="M157" i="167"/>
  <c r="J157" i="167"/>
  <c r="H157" i="167"/>
  <c r="I157" i="167" s="1"/>
  <c r="F157" i="167"/>
  <c r="BN156" i="167"/>
  <c r="BO156" i="167" s="1"/>
  <c r="BG156" i="167"/>
  <c r="AQ156" i="167"/>
  <c r="AK156" i="167"/>
  <c r="AH156" i="167"/>
  <c r="AE156" i="167"/>
  <c r="AB156" i="167"/>
  <c r="Y156" i="167"/>
  <c r="V156" i="167"/>
  <c r="S156" i="167"/>
  <c r="P156" i="167"/>
  <c r="M156" i="167"/>
  <c r="J156" i="167"/>
  <c r="H156" i="167"/>
  <c r="I156" i="167" s="1"/>
  <c r="F156" i="167"/>
  <c r="BN155" i="167"/>
  <c r="BO155" i="167" s="1"/>
  <c r="BG155" i="167"/>
  <c r="AQ155" i="167"/>
  <c r="AK155" i="167"/>
  <c r="AH155" i="167"/>
  <c r="AE155" i="167"/>
  <c r="AB155" i="167"/>
  <c r="Y155" i="167"/>
  <c r="V155" i="167"/>
  <c r="U155" i="167"/>
  <c r="S155" i="167"/>
  <c r="P155" i="167"/>
  <c r="M155" i="167"/>
  <c r="J155" i="167"/>
  <c r="I155" i="167"/>
  <c r="AM155" i="167" s="1"/>
  <c r="F155" i="167"/>
  <c r="H155" i="167" s="1"/>
  <c r="BO154" i="167"/>
  <c r="BN154" i="167"/>
  <c r="BG154" i="167"/>
  <c r="AQ154" i="167"/>
  <c r="AK154" i="167"/>
  <c r="AH154" i="167"/>
  <c r="AE154" i="167"/>
  <c r="AB154" i="167"/>
  <c r="Y154" i="167"/>
  <c r="V154" i="167"/>
  <c r="S154" i="167"/>
  <c r="P154" i="167"/>
  <c r="M154" i="167"/>
  <c r="J154" i="167"/>
  <c r="H154" i="167"/>
  <c r="I154" i="167" s="1"/>
  <c r="F154" i="167"/>
  <c r="BN153" i="167"/>
  <c r="BG153" i="167"/>
  <c r="AQ153" i="167"/>
  <c r="AK153" i="167"/>
  <c r="AH153" i="167"/>
  <c r="AE153" i="167"/>
  <c r="AB153" i="167"/>
  <c r="Y153" i="167"/>
  <c r="V153" i="167"/>
  <c r="S153" i="167"/>
  <c r="P153" i="167"/>
  <c r="M153" i="167"/>
  <c r="J153" i="167"/>
  <c r="F153" i="167"/>
  <c r="C138" i="167"/>
  <c r="C137" i="167"/>
  <c r="AU136" i="167"/>
  <c r="C136" i="167"/>
  <c r="AU135" i="167"/>
  <c r="C135" i="167"/>
  <c r="CT134" i="167"/>
  <c r="CO134" i="167"/>
  <c r="CM134" i="167"/>
  <c r="CN134" i="167" s="1"/>
  <c r="BP134" i="167"/>
  <c r="BG134" i="167"/>
  <c r="BC134" i="167"/>
  <c r="AS134" i="167"/>
  <c r="AP134" i="167"/>
  <c r="AN134" i="167"/>
  <c r="AL134" i="167"/>
  <c r="AI134" i="167"/>
  <c r="AF134" i="167"/>
  <c r="AC134" i="167"/>
  <c r="Z134" i="167"/>
  <c r="W134" i="167"/>
  <c r="T134" i="167"/>
  <c r="N134" i="167"/>
  <c r="K134" i="167"/>
  <c r="G134" i="167"/>
  <c r="E134" i="167"/>
  <c r="D134" i="167"/>
  <c r="C134" i="167"/>
  <c r="C139" i="167" s="1"/>
  <c r="BO133" i="167"/>
  <c r="BN133" i="167"/>
  <c r="BG133" i="167"/>
  <c r="AQ133" i="167"/>
  <c r="AK133" i="167"/>
  <c r="AH133" i="167"/>
  <c r="AE133" i="167"/>
  <c r="AB133" i="167"/>
  <c r="Y133" i="167"/>
  <c r="V133" i="167"/>
  <c r="S133" i="167"/>
  <c r="P133" i="167"/>
  <c r="M133" i="167"/>
  <c r="J133" i="167"/>
  <c r="H133" i="167"/>
  <c r="I133" i="167" s="1"/>
  <c r="F133" i="167"/>
  <c r="BN132" i="167"/>
  <c r="BO132" i="167" s="1"/>
  <c r="BG132" i="167"/>
  <c r="AQ132" i="167"/>
  <c r="AK132" i="167"/>
  <c r="AH132" i="167"/>
  <c r="AE132" i="167"/>
  <c r="AB132" i="167"/>
  <c r="Y132" i="167"/>
  <c r="V132" i="167"/>
  <c r="S132" i="167"/>
  <c r="P132" i="167"/>
  <c r="M132" i="167"/>
  <c r="J132" i="167"/>
  <c r="F132" i="167"/>
  <c r="H132" i="167" s="1"/>
  <c r="I132" i="167" s="1"/>
  <c r="BO131" i="167"/>
  <c r="BN131" i="167"/>
  <c r="BG131" i="167"/>
  <c r="AQ131" i="167"/>
  <c r="AK131" i="167"/>
  <c r="AH131" i="167"/>
  <c r="AE131" i="167"/>
  <c r="AB131" i="167"/>
  <c r="Y131" i="167"/>
  <c r="V131" i="167"/>
  <c r="S131" i="167"/>
  <c r="P131" i="167"/>
  <c r="M131" i="167"/>
  <c r="J131" i="167"/>
  <c r="H131" i="167"/>
  <c r="I131" i="167" s="1"/>
  <c r="F131" i="167"/>
  <c r="BN130" i="167"/>
  <c r="BO130" i="167" s="1"/>
  <c r="BG130" i="167"/>
  <c r="AQ130" i="167"/>
  <c r="AK130" i="167"/>
  <c r="AH130" i="167"/>
  <c r="AE130" i="167"/>
  <c r="AB130" i="167"/>
  <c r="Y130" i="167"/>
  <c r="V130" i="167"/>
  <c r="S130" i="167"/>
  <c r="P130" i="167"/>
  <c r="M130" i="167"/>
  <c r="J130" i="167"/>
  <c r="F130" i="167"/>
  <c r="H130" i="167" s="1"/>
  <c r="I130" i="167" s="1"/>
  <c r="BU129" i="167"/>
  <c r="BN129" i="167"/>
  <c r="BO129" i="167" s="1"/>
  <c r="BG129" i="167"/>
  <c r="AQ129" i="167"/>
  <c r="AM129" i="167"/>
  <c r="AK129" i="167"/>
  <c r="AH129" i="167"/>
  <c r="AE129" i="167"/>
  <c r="AB129" i="167"/>
  <c r="Y129" i="167"/>
  <c r="V129" i="167"/>
  <c r="U129" i="167"/>
  <c r="S129" i="167"/>
  <c r="P129" i="167"/>
  <c r="M129" i="167"/>
  <c r="J129" i="167"/>
  <c r="H129" i="167"/>
  <c r="I129" i="167" s="1"/>
  <c r="AA129" i="167" s="1"/>
  <c r="F129" i="167"/>
  <c r="BN128" i="167"/>
  <c r="BO128" i="167" s="1"/>
  <c r="BG128" i="167"/>
  <c r="AQ128" i="167"/>
  <c r="AK128" i="167"/>
  <c r="AH128" i="167"/>
  <c r="AE128" i="167"/>
  <c r="AB128" i="167"/>
  <c r="Y128" i="167"/>
  <c r="V128" i="167"/>
  <c r="S128" i="167"/>
  <c r="P128" i="167"/>
  <c r="M128" i="167"/>
  <c r="J128" i="167"/>
  <c r="F128" i="167"/>
  <c r="H128" i="167" s="1"/>
  <c r="I128" i="167" s="1"/>
  <c r="AD128" i="167" s="1"/>
  <c r="BO127" i="167"/>
  <c r="BN127" i="167"/>
  <c r="BG127" i="167"/>
  <c r="AQ127" i="167"/>
  <c r="AK127" i="167"/>
  <c r="AH127" i="167"/>
  <c r="AE127" i="167"/>
  <c r="AB127" i="167"/>
  <c r="Y127" i="167"/>
  <c r="V127" i="167"/>
  <c r="S127" i="167"/>
  <c r="P127" i="167"/>
  <c r="M127" i="167"/>
  <c r="J127" i="167"/>
  <c r="I127" i="167"/>
  <c r="AM127" i="167" s="1"/>
  <c r="F127" i="167"/>
  <c r="H127" i="167" s="1"/>
  <c r="BO126" i="167"/>
  <c r="BN126" i="167"/>
  <c r="BG126" i="167"/>
  <c r="AQ126" i="167"/>
  <c r="AK126" i="167"/>
  <c r="AH126" i="167"/>
  <c r="AE126" i="167"/>
  <c r="AB126" i="167"/>
  <c r="Y126" i="167"/>
  <c r="V126" i="167"/>
  <c r="S126" i="167"/>
  <c r="P126" i="167"/>
  <c r="M126" i="167"/>
  <c r="J126" i="167"/>
  <c r="H126" i="167"/>
  <c r="I126" i="167" s="1"/>
  <c r="F126" i="167"/>
  <c r="BN125" i="167"/>
  <c r="BO125" i="167" s="1"/>
  <c r="BG125" i="167"/>
  <c r="AQ125" i="167"/>
  <c r="AK125" i="167"/>
  <c r="AH125" i="167"/>
  <c r="AE125" i="167"/>
  <c r="AB125" i="167"/>
  <c r="Y125" i="167"/>
  <c r="V125" i="167"/>
  <c r="S125" i="167"/>
  <c r="P125" i="167"/>
  <c r="M125" i="167"/>
  <c r="J125" i="167"/>
  <c r="F125" i="167"/>
  <c r="H125" i="167" s="1"/>
  <c r="I125" i="167" s="1"/>
  <c r="AD125" i="167" s="1"/>
  <c r="BU124" i="167"/>
  <c r="BN124" i="167"/>
  <c r="BO124" i="167" s="1"/>
  <c r="BG124" i="167"/>
  <c r="AQ124" i="167"/>
  <c r="AQ136" i="167" s="1"/>
  <c r="AK124" i="167"/>
  <c r="AH124" i="167"/>
  <c r="AE124" i="167"/>
  <c r="AB124" i="167"/>
  <c r="Y124" i="167"/>
  <c r="V124" i="167"/>
  <c r="S124" i="167"/>
  <c r="R124" i="167"/>
  <c r="P124" i="167"/>
  <c r="M124" i="167"/>
  <c r="J124" i="167"/>
  <c r="H124" i="167"/>
  <c r="I124" i="167" s="1"/>
  <c r="AD124" i="167" s="1"/>
  <c r="F124" i="167"/>
  <c r="BN123" i="167"/>
  <c r="BO123" i="167" s="1"/>
  <c r="BG123" i="167"/>
  <c r="AQ123" i="167"/>
  <c r="AK123" i="167"/>
  <c r="AH123" i="167"/>
  <c r="AE123" i="167"/>
  <c r="AB123" i="167"/>
  <c r="Y123" i="167"/>
  <c r="V123" i="167"/>
  <c r="S123" i="167"/>
  <c r="P123" i="167"/>
  <c r="M123" i="167"/>
  <c r="J123" i="167"/>
  <c r="F123" i="167"/>
  <c r="H123" i="167" s="1"/>
  <c r="I123" i="167" s="1"/>
  <c r="BO122" i="167"/>
  <c r="BN122" i="167"/>
  <c r="BG122" i="167"/>
  <c r="AQ122" i="167"/>
  <c r="AK122" i="167"/>
  <c r="AH122" i="167"/>
  <c r="AE122" i="167"/>
  <c r="AB122" i="167"/>
  <c r="Y122" i="167"/>
  <c r="V122" i="167"/>
  <c r="S122" i="167"/>
  <c r="P122" i="167"/>
  <c r="M122" i="167"/>
  <c r="J122" i="167"/>
  <c r="H122" i="167"/>
  <c r="I122" i="167" s="1"/>
  <c r="F122" i="167"/>
  <c r="BN121" i="167"/>
  <c r="BO121" i="167" s="1"/>
  <c r="BG121" i="167"/>
  <c r="AQ121" i="167"/>
  <c r="AK121" i="167"/>
  <c r="AH121" i="167"/>
  <c r="AE121" i="167"/>
  <c r="AB121" i="167"/>
  <c r="Y121" i="167"/>
  <c r="V121" i="167"/>
  <c r="S121" i="167"/>
  <c r="P121" i="167"/>
  <c r="M121" i="167"/>
  <c r="J121" i="167"/>
  <c r="H121" i="167"/>
  <c r="I121" i="167" s="1"/>
  <c r="F121" i="167"/>
  <c r="BN120" i="167"/>
  <c r="BO120" i="167" s="1"/>
  <c r="BG120" i="167"/>
  <c r="AQ120" i="167"/>
  <c r="AK120" i="167"/>
  <c r="AH120" i="167"/>
  <c r="AE120" i="167"/>
  <c r="AB120" i="167"/>
  <c r="AA120" i="167"/>
  <c r="Y120" i="167"/>
  <c r="V120" i="167"/>
  <c r="S120" i="167"/>
  <c r="P120" i="167"/>
  <c r="M120" i="167"/>
  <c r="J120" i="167"/>
  <c r="I120" i="167"/>
  <c r="AM120" i="167" s="1"/>
  <c r="F120" i="167"/>
  <c r="H120" i="167" s="1"/>
  <c r="BU119" i="167"/>
  <c r="BN119" i="167"/>
  <c r="BO119" i="167" s="1"/>
  <c r="BG119" i="167"/>
  <c r="AQ119" i="167"/>
  <c r="AK119" i="167"/>
  <c r="AH119" i="167"/>
  <c r="AE119" i="167"/>
  <c r="AB119" i="167"/>
  <c r="AA119" i="167"/>
  <c r="Y119" i="167"/>
  <c r="V119" i="167"/>
  <c r="S119" i="167"/>
  <c r="P119" i="167"/>
  <c r="M119" i="167"/>
  <c r="J119" i="167"/>
  <c r="H119" i="167"/>
  <c r="I119" i="167" s="1"/>
  <c r="AM119" i="167" s="1"/>
  <c r="F119" i="167"/>
  <c r="BU118" i="167"/>
  <c r="BO118" i="167"/>
  <c r="BN118" i="167"/>
  <c r="BG118" i="167"/>
  <c r="AQ118" i="167"/>
  <c r="AK118" i="167"/>
  <c r="AH118" i="167"/>
  <c r="AE118" i="167"/>
  <c r="AB118" i="167"/>
  <c r="Y118" i="167"/>
  <c r="V118" i="167"/>
  <c r="S118" i="167"/>
  <c r="P118" i="167"/>
  <c r="M118" i="167"/>
  <c r="J118" i="167"/>
  <c r="F118" i="167"/>
  <c r="H118" i="167" s="1"/>
  <c r="I118" i="167" s="1"/>
  <c r="L118" i="167" s="1"/>
  <c r="BU117" i="167"/>
  <c r="BN117" i="167"/>
  <c r="BO117" i="167" s="1"/>
  <c r="BG117" i="167"/>
  <c r="AQ117" i="167"/>
  <c r="AQ135" i="167" s="1"/>
  <c r="AK117" i="167"/>
  <c r="AH117" i="167"/>
  <c r="AE117" i="167"/>
  <c r="AB117" i="167"/>
  <c r="Y117" i="167"/>
  <c r="V117" i="167"/>
  <c r="S117" i="167"/>
  <c r="P117" i="167"/>
  <c r="M117" i="167"/>
  <c r="J117" i="167"/>
  <c r="H117" i="167"/>
  <c r="F117" i="167"/>
  <c r="BU116" i="167"/>
  <c r="BO116" i="167"/>
  <c r="BN116" i="167"/>
  <c r="BG116" i="167"/>
  <c r="AQ116" i="167"/>
  <c r="AK116" i="167"/>
  <c r="AH116" i="167"/>
  <c r="AE116" i="167"/>
  <c r="AB116" i="167"/>
  <c r="Y116" i="167"/>
  <c r="V116" i="167"/>
  <c r="S116" i="167"/>
  <c r="P116" i="167"/>
  <c r="M116" i="167"/>
  <c r="J116" i="167"/>
  <c r="F116" i="167"/>
  <c r="H116" i="167" s="1"/>
  <c r="I116" i="167" s="1"/>
  <c r="BO115" i="167"/>
  <c r="BN115" i="167"/>
  <c r="BG115" i="167"/>
  <c r="AQ115" i="167"/>
  <c r="AK115" i="167"/>
  <c r="AH115" i="167"/>
  <c r="AE115" i="167"/>
  <c r="AB115" i="167"/>
  <c r="Y115" i="167"/>
  <c r="V115" i="167"/>
  <c r="S115" i="167"/>
  <c r="P115" i="167"/>
  <c r="R115" i="167" s="1"/>
  <c r="M115" i="167"/>
  <c r="J115" i="167"/>
  <c r="F115" i="167"/>
  <c r="H115" i="167" s="1"/>
  <c r="I115" i="167" s="1"/>
  <c r="AD115" i="167" s="1"/>
  <c r="BO114" i="167"/>
  <c r="BN114" i="167"/>
  <c r="BG114" i="167"/>
  <c r="AQ114" i="167"/>
  <c r="AK114" i="167"/>
  <c r="AH114" i="167"/>
  <c r="AE114" i="167"/>
  <c r="AB114" i="167"/>
  <c r="AA114" i="167"/>
  <c r="Y114" i="167"/>
  <c r="V114" i="167"/>
  <c r="S114" i="167"/>
  <c r="P114" i="167"/>
  <c r="M114" i="167"/>
  <c r="J114" i="167"/>
  <c r="I114" i="167"/>
  <c r="AM114" i="167" s="1"/>
  <c r="F114" i="167"/>
  <c r="H114" i="167" s="1"/>
  <c r="BU113" i="167"/>
  <c r="BN113" i="167"/>
  <c r="BO113" i="167" s="1"/>
  <c r="BG113" i="167"/>
  <c r="AQ113" i="167"/>
  <c r="AK113" i="167"/>
  <c r="AH113" i="167"/>
  <c r="AE113" i="167"/>
  <c r="AB113" i="167"/>
  <c r="Y113" i="167"/>
  <c r="V113" i="167"/>
  <c r="S113" i="167"/>
  <c r="P113" i="167"/>
  <c r="M113" i="167"/>
  <c r="J113" i="167"/>
  <c r="H113" i="167"/>
  <c r="F113" i="167"/>
  <c r="BN112" i="167"/>
  <c r="BO112" i="167" s="1"/>
  <c r="BG112" i="167"/>
  <c r="AQ112" i="167"/>
  <c r="AK112" i="167"/>
  <c r="AJ112" i="167"/>
  <c r="AH112" i="167"/>
  <c r="AE112" i="167"/>
  <c r="AD112" i="167"/>
  <c r="AB112" i="167"/>
  <c r="Y112" i="167"/>
  <c r="V112" i="167"/>
  <c r="S112" i="167"/>
  <c r="P112" i="167"/>
  <c r="R112" i="167" s="1"/>
  <c r="M112" i="167"/>
  <c r="L112" i="167"/>
  <c r="J112" i="167"/>
  <c r="F112" i="167"/>
  <c r="H112" i="167" s="1"/>
  <c r="I112" i="167" s="1"/>
  <c r="BO111" i="167"/>
  <c r="BN111" i="167"/>
  <c r="BG111" i="167"/>
  <c r="AQ111" i="167"/>
  <c r="AK111" i="167"/>
  <c r="AH111" i="167"/>
  <c r="AE111" i="167"/>
  <c r="AB111" i="167"/>
  <c r="Y111" i="167"/>
  <c r="V111" i="167"/>
  <c r="S111" i="167"/>
  <c r="P111" i="167"/>
  <c r="M111" i="167"/>
  <c r="J111" i="167"/>
  <c r="H111" i="167"/>
  <c r="I111" i="167" s="1"/>
  <c r="F111" i="167"/>
  <c r="BN110" i="167"/>
  <c r="BO110" i="167" s="1"/>
  <c r="BG110" i="167"/>
  <c r="AQ110" i="167"/>
  <c r="AM110" i="167"/>
  <c r="AK110" i="167"/>
  <c r="AH110" i="167"/>
  <c r="AE110" i="167"/>
  <c r="AB110" i="167"/>
  <c r="Y110" i="167"/>
  <c r="V110" i="167"/>
  <c r="S110" i="167"/>
  <c r="P110" i="167"/>
  <c r="M110" i="167"/>
  <c r="J110" i="167"/>
  <c r="H110" i="167"/>
  <c r="I110" i="167" s="1"/>
  <c r="U110" i="167" s="1"/>
  <c r="F110" i="167"/>
  <c r="BN109" i="167"/>
  <c r="BO109" i="167" s="1"/>
  <c r="BG109" i="167"/>
  <c r="AQ109" i="167"/>
  <c r="AK109" i="167"/>
  <c r="AH109" i="167"/>
  <c r="AE109" i="167"/>
  <c r="AB109" i="167"/>
  <c r="Y109" i="167"/>
  <c r="V109" i="167"/>
  <c r="S109" i="167"/>
  <c r="P109" i="167"/>
  <c r="M109" i="167"/>
  <c r="J109" i="167"/>
  <c r="H109" i="167"/>
  <c r="I109" i="167" s="1"/>
  <c r="AD109" i="167" s="1"/>
  <c r="F109" i="167"/>
  <c r="BN108" i="167"/>
  <c r="BO108" i="167" s="1"/>
  <c r="BG108" i="167"/>
  <c r="AQ108" i="167"/>
  <c r="AK108" i="167"/>
  <c r="AH108" i="167"/>
  <c r="AE108" i="167"/>
  <c r="AB108" i="167"/>
  <c r="Y108" i="167"/>
  <c r="V108" i="167"/>
  <c r="S108" i="167"/>
  <c r="P108" i="167"/>
  <c r="M108" i="167"/>
  <c r="J108" i="167"/>
  <c r="F108" i="167"/>
  <c r="H108" i="167" s="1"/>
  <c r="I108" i="167" s="1"/>
  <c r="U108" i="167" s="1"/>
  <c r="BO107" i="167"/>
  <c r="BN107" i="167"/>
  <c r="BG107" i="167"/>
  <c r="AQ107" i="167"/>
  <c r="AK107" i="167"/>
  <c r="AH107" i="167"/>
  <c r="AE107" i="167"/>
  <c r="AB107" i="167"/>
  <c r="Y107" i="167"/>
  <c r="V107" i="167"/>
  <c r="S107" i="167"/>
  <c r="P107" i="167"/>
  <c r="M107" i="167"/>
  <c r="J107" i="167"/>
  <c r="H107" i="167"/>
  <c r="I107" i="167" s="1"/>
  <c r="F107" i="167"/>
  <c r="BN106" i="167"/>
  <c r="BO106" i="167" s="1"/>
  <c r="BG106" i="167"/>
  <c r="AQ106" i="167"/>
  <c r="AK106" i="167"/>
  <c r="AJ106" i="167"/>
  <c r="AH106" i="167"/>
  <c r="AE106" i="167"/>
  <c r="AD106" i="167"/>
  <c r="AB106" i="167"/>
  <c r="Y106" i="167"/>
  <c r="V106" i="167"/>
  <c r="S106" i="167"/>
  <c r="R106" i="167"/>
  <c r="P106" i="167"/>
  <c r="M106" i="167"/>
  <c r="J106" i="167"/>
  <c r="H106" i="167"/>
  <c r="I106" i="167" s="1"/>
  <c r="F106" i="167"/>
  <c r="BN105" i="167"/>
  <c r="BO105" i="167" s="1"/>
  <c r="BG105" i="167"/>
  <c r="AQ105" i="167"/>
  <c r="AK105" i="167"/>
  <c r="AH105" i="167"/>
  <c r="AG105" i="167"/>
  <c r="AE105" i="167"/>
  <c r="AB105" i="167"/>
  <c r="Y105" i="167"/>
  <c r="V105" i="167"/>
  <c r="S105" i="167"/>
  <c r="P105" i="167"/>
  <c r="M105" i="167"/>
  <c r="J105" i="167"/>
  <c r="I105" i="167"/>
  <c r="F105" i="167"/>
  <c r="H105" i="167" s="1"/>
  <c r="BO104" i="167"/>
  <c r="BN104" i="167"/>
  <c r="BG104" i="167"/>
  <c r="AQ104" i="167"/>
  <c r="AK104" i="167"/>
  <c r="AH104" i="167"/>
  <c r="AE104" i="167"/>
  <c r="AB104" i="167"/>
  <c r="Y104" i="167"/>
  <c r="V104" i="167"/>
  <c r="S104" i="167"/>
  <c r="M104" i="167"/>
  <c r="J104" i="167"/>
  <c r="F104" i="167"/>
  <c r="H104" i="167" s="1"/>
  <c r="I104" i="167" s="1"/>
  <c r="BO103" i="167"/>
  <c r="BN103" i="167"/>
  <c r="BG103" i="167"/>
  <c r="AQ103" i="167"/>
  <c r="AK103" i="167"/>
  <c r="AH103" i="167"/>
  <c r="AE103" i="167"/>
  <c r="AB103" i="167"/>
  <c r="Y103" i="167"/>
  <c r="V103" i="167"/>
  <c r="S103" i="167"/>
  <c r="P103" i="167"/>
  <c r="M103" i="167"/>
  <c r="J103" i="167"/>
  <c r="I103" i="167"/>
  <c r="F103" i="167"/>
  <c r="H103" i="167" s="1"/>
  <c r="BO102" i="167"/>
  <c r="BN102" i="167"/>
  <c r="BG102" i="167"/>
  <c r="AQ102" i="167"/>
  <c r="AK102" i="167"/>
  <c r="AH102" i="167"/>
  <c r="AE102" i="167"/>
  <c r="AB102" i="167"/>
  <c r="Y102" i="167"/>
  <c r="V102" i="167"/>
  <c r="S102" i="167"/>
  <c r="P102" i="167"/>
  <c r="M102" i="167"/>
  <c r="J102" i="167"/>
  <c r="H102" i="167"/>
  <c r="I102" i="167" s="1"/>
  <c r="F102" i="167"/>
  <c r="BN101" i="167"/>
  <c r="BO101" i="167" s="1"/>
  <c r="BG101" i="167"/>
  <c r="AQ101" i="167"/>
  <c r="AK101" i="167"/>
  <c r="AH101" i="167"/>
  <c r="AE101" i="167"/>
  <c r="AB101" i="167"/>
  <c r="Y101" i="167"/>
  <c r="V101" i="167"/>
  <c r="S101" i="167"/>
  <c r="P101" i="167"/>
  <c r="M101" i="167"/>
  <c r="J101" i="167"/>
  <c r="I101" i="167"/>
  <c r="O101" i="167" s="1"/>
  <c r="F101" i="167"/>
  <c r="H101" i="167" s="1"/>
  <c r="BO100" i="167"/>
  <c r="BN100" i="167"/>
  <c r="BG100" i="167"/>
  <c r="AQ100" i="167"/>
  <c r="AK100" i="167"/>
  <c r="AH100" i="167"/>
  <c r="AE100" i="167"/>
  <c r="AB100" i="167"/>
  <c r="Y100" i="167"/>
  <c r="V100" i="167"/>
  <c r="S100" i="167"/>
  <c r="P100" i="167"/>
  <c r="M100" i="167"/>
  <c r="J100" i="167"/>
  <c r="F100" i="167"/>
  <c r="H100" i="167" s="1"/>
  <c r="I100" i="167" s="1"/>
  <c r="BO99" i="167"/>
  <c r="BN99" i="167"/>
  <c r="BG99" i="167"/>
  <c r="AQ99" i="167"/>
  <c r="AQ138" i="167" s="1"/>
  <c r="AK99" i="167"/>
  <c r="AH99" i="167"/>
  <c r="AE99" i="167"/>
  <c r="AB99" i="167"/>
  <c r="Y99" i="167"/>
  <c r="V99" i="167"/>
  <c r="S99" i="167"/>
  <c r="P99" i="167"/>
  <c r="M99" i="167"/>
  <c r="J99" i="167"/>
  <c r="F99" i="167"/>
  <c r="H99" i="167" s="1"/>
  <c r="H138" i="167" s="1"/>
  <c r="BO98" i="167"/>
  <c r="BO134" i="167" s="1"/>
  <c r="BN98" i="167"/>
  <c r="BG98" i="167"/>
  <c r="AQ98" i="167"/>
  <c r="AK98" i="167"/>
  <c r="AK134" i="167" s="1"/>
  <c r="AH98" i="167"/>
  <c r="AH134" i="167" s="1"/>
  <c r="AE98" i="167"/>
  <c r="AE134" i="167" s="1"/>
  <c r="AB98" i="167"/>
  <c r="Y98" i="167"/>
  <c r="Y134" i="167" s="1"/>
  <c r="V98" i="167"/>
  <c r="V134" i="167" s="1"/>
  <c r="S98" i="167"/>
  <c r="S134" i="167" s="1"/>
  <c r="P98" i="167"/>
  <c r="M98" i="167"/>
  <c r="M134" i="167" s="1"/>
  <c r="J98" i="167"/>
  <c r="J134" i="167" s="1"/>
  <c r="H98" i="167"/>
  <c r="F98" i="167"/>
  <c r="AW89" i="167"/>
  <c r="C82" i="167"/>
  <c r="AU81" i="167"/>
  <c r="C81" i="167"/>
  <c r="AU80" i="167"/>
  <c r="C80" i="167"/>
  <c r="CU79" i="167"/>
  <c r="CV79" i="167" s="1"/>
  <c r="CT79" i="167"/>
  <c r="CM79" i="167"/>
  <c r="CN79" i="167" s="1"/>
  <c r="BP79" i="167"/>
  <c r="BG79" i="167"/>
  <c r="BC79" i="167"/>
  <c r="AS79" i="167"/>
  <c r="AP79" i="167"/>
  <c r="AN79" i="167"/>
  <c r="AL79" i="167"/>
  <c r="AI79" i="167"/>
  <c r="AF79" i="167"/>
  <c r="AC79" i="167"/>
  <c r="Z79" i="167"/>
  <c r="W79" i="167"/>
  <c r="T79" i="167"/>
  <c r="N79" i="167"/>
  <c r="K79" i="167"/>
  <c r="G79" i="167"/>
  <c r="E79" i="167"/>
  <c r="D79" i="167"/>
  <c r="C79" i="167"/>
  <c r="C84" i="167" s="1"/>
  <c r="BO78" i="167"/>
  <c r="BN78" i="167"/>
  <c r="BG78" i="167"/>
  <c r="AQ78" i="167"/>
  <c r="AK78" i="167"/>
  <c r="AH78" i="167"/>
  <c r="AE78" i="167"/>
  <c r="AB78" i="167"/>
  <c r="Y78" i="167"/>
  <c r="V78" i="167"/>
  <c r="S78" i="167"/>
  <c r="P78" i="167"/>
  <c r="M78" i="167"/>
  <c r="J78" i="167"/>
  <c r="I78" i="167"/>
  <c r="H78" i="167"/>
  <c r="F78" i="167"/>
  <c r="BN77" i="167"/>
  <c r="BO77" i="167" s="1"/>
  <c r="BG77" i="167"/>
  <c r="AQ77" i="167"/>
  <c r="AK77" i="167"/>
  <c r="AH77" i="167"/>
  <c r="AE77" i="167"/>
  <c r="AB77" i="167"/>
  <c r="Y77" i="167"/>
  <c r="V77" i="167"/>
  <c r="S77" i="167"/>
  <c r="P77" i="167"/>
  <c r="M77" i="167"/>
  <c r="J77" i="167"/>
  <c r="F77" i="167"/>
  <c r="H77" i="167" s="1"/>
  <c r="I77" i="167" s="1"/>
  <c r="BN76" i="167"/>
  <c r="BO76" i="167" s="1"/>
  <c r="BG76" i="167"/>
  <c r="AQ76" i="167"/>
  <c r="AK76" i="167"/>
  <c r="AH76" i="167"/>
  <c r="AE76" i="167"/>
  <c r="AB76" i="167"/>
  <c r="Y76" i="167"/>
  <c r="V76" i="167"/>
  <c r="S76" i="167"/>
  <c r="P76" i="167"/>
  <c r="M76" i="167"/>
  <c r="J76" i="167"/>
  <c r="F76" i="167"/>
  <c r="H76" i="167" s="1"/>
  <c r="I76" i="167" s="1"/>
  <c r="BU75" i="167"/>
  <c r="BN75" i="167"/>
  <c r="BO75" i="167" s="1"/>
  <c r="BG75" i="167"/>
  <c r="AQ75" i="167"/>
  <c r="AK75" i="167"/>
  <c r="AH75" i="167"/>
  <c r="AE75" i="167"/>
  <c r="AB75" i="167"/>
  <c r="Y75" i="167"/>
  <c r="V75" i="167"/>
  <c r="S75" i="167"/>
  <c r="P75" i="167"/>
  <c r="M75" i="167"/>
  <c r="J75" i="167"/>
  <c r="H75" i="167"/>
  <c r="I75" i="167" s="1"/>
  <c r="F75" i="167"/>
  <c r="BU74" i="167"/>
  <c r="BO74" i="167"/>
  <c r="BN74" i="167"/>
  <c r="BG74" i="167"/>
  <c r="AQ74" i="167"/>
  <c r="AQ80" i="167" s="1"/>
  <c r="AK74" i="167"/>
  <c r="AH74" i="167"/>
  <c r="AE74" i="167"/>
  <c r="AB74" i="167"/>
  <c r="Y74" i="167"/>
  <c r="V74" i="167"/>
  <c r="S74" i="167"/>
  <c r="P74" i="167"/>
  <c r="M74" i="167"/>
  <c r="J74" i="167"/>
  <c r="I74" i="167"/>
  <c r="AM74" i="167" s="1"/>
  <c r="AM80" i="167" s="1"/>
  <c r="H74" i="167"/>
  <c r="H80" i="167" s="1"/>
  <c r="F74" i="167"/>
  <c r="BU73" i="167"/>
  <c r="BU79" i="167" s="1"/>
  <c r="BW79" i="167" s="1"/>
  <c r="BO73" i="167"/>
  <c r="BN73" i="167"/>
  <c r="BG73" i="167"/>
  <c r="AQ73" i="167"/>
  <c r="AQ81" i="167" s="1"/>
  <c r="AK73" i="167"/>
  <c r="AH73" i="167"/>
  <c r="AE73" i="167"/>
  <c r="AB73" i="167"/>
  <c r="Y73" i="167"/>
  <c r="V73" i="167"/>
  <c r="S73" i="167"/>
  <c r="P73" i="167"/>
  <c r="M73" i="167"/>
  <c r="J73" i="167"/>
  <c r="F73" i="167"/>
  <c r="H73" i="167" s="1"/>
  <c r="BN72" i="167"/>
  <c r="BO72" i="167" s="1"/>
  <c r="BG72" i="167"/>
  <c r="AQ72" i="167"/>
  <c r="AK72" i="167"/>
  <c r="AH72" i="167"/>
  <c r="AE72" i="167"/>
  <c r="AB72" i="167"/>
  <c r="Y72" i="167"/>
  <c r="V72" i="167"/>
  <c r="S72" i="167"/>
  <c r="P72" i="167"/>
  <c r="M72" i="167"/>
  <c r="J72" i="167"/>
  <c r="F72" i="167"/>
  <c r="H72" i="167" s="1"/>
  <c r="I72" i="167" s="1"/>
  <c r="BO71" i="167"/>
  <c r="BN71" i="167"/>
  <c r="BG71" i="167"/>
  <c r="AQ71" i="167"/>
  <c r="AK71" i="167"/>
  <c r="AH71" i="167"/>
  <c r="AE71" i="167"/>
  <c r="AB71" i="167"/>
  <c r="Y71" i="167"/>
  <c r="V71" i="167"/>
  <c r="S71" i="167"/>
  <c r="P71" i="167"/>
  <c r="M71" i="167"/>
  <c r="J71" i="167"/>
  <c r="I71" i="167"/>
  <c r="O71" i="167" s="1"/>
  <c r="H71" i="167"/>
  <c r="F71" i="167"/>
  <c r="BN70" i="167"/>
  <c r="BO70" i="167" s="1"/>
  <c r="BG70" i="167"/>
  <c r="AQ70" i="167"/>
  <c r="AK70" i="167"/>
  <c r="AH70" i="167"/>
  <c r="AE70" i="167"/>
  <c r="AB70" i="167"/>
  <c r="Y70" i="167"/>
  <c r="V70" i="167"/>
  <c r="S70" i="167"/>
  <c r="P70" i="167"/>
  <c r="M70" i="167"/>
  <c r="J70" i="167"/>
  <c r="F70" i="167"/>
  <c r="H70" i="167" s="1"/>
  <c r="I70" i="167" s="1"/>
  <c r="BN69" i="167"/>
  <c r="BO69" i="167" s="1"/>
  <c r="BG69" i="167"/>
  <c r="AQ69" i="167"/>
  <c r="AK69" i="167"/>
  <c r="AH69" i="167"/>
  <c r="AE69" i="167"/>
  <c r="AB69" i="167"/>
  <c r="Y69" i="167"/>
  <c r="V69" i="167"/>
  <c r="S69" i="167"/>
  <c r="M69" i="167"/>
  <c r="J69" i="167"/>
  <c r="H69" i="167"/>
  <c r="I69" i="167" s="1"/>
  <c r="F69" i="167"/>
  <c r="BO68" i="167"/>
  <c r="BN68" i="167"/>
  <c r="BG68" i="167"/>
  <c r="AQ68" i="167"/>
  <c r="AK68" i="167"/>
  <c r="AH68" i="167"/>
  <c r="AE68" i="167"/>
  <c r="AB68" i="167"/>
  <c r="Y68" i="167"/>
  <c r="V68" i="167"/>
  <c r="U68" i="167"/>
  <c r="S68" i="167"/>
  <c r="P68" i="167"/>
  <c r="M68" i="167"/>
  <c r="J68" i="167"/>
  <c r="I68" i="167"/>
  <c r="H68" i="167"/>
  <c r="F68" i="167"/>
  <c r="BN67" i="167"/>
  <c r="BG67" i="167"/>
  <c r="AQ67" i="167"/>
  <c r="AK67" i="167"/>
  <c r="AH67" i="167"/>
  <c r="AH79" i="167" s="1"/>
  <c r="AE67" i="167"/>
  <c r="AB67" i="167"/>
  <c r="Y67" i="167"/>
  <c r="V67" i="167"/>
  <c r="V79" i="167" s="1"/>
  <c r="S67" i="167"/>
  <c r="P67" i="167"/>
  <c r="M67" i="167"/>
  <c r="J67" i="167"/>
  <c r="J79" i="167" s="1"/>
  <c r="F67" i="167"/>
  <c r="F79" i="167" s="1"/>
  <c r="C52" i="167"/>
  <c r="C243" i="167" s="1"/>
  <c r="C51" i="167"/>
  <c r="C242" i="167" s="1"/>
  <c r="AU50" i="167"/>
  <c r="AU241" i="167" s="1"/>
  <c r="C50" i="167"/>
  <c r="C241" i="167" s="1"/>
  <c r="AU49" i="167"/>
  <c r="AU240" i="167" s="1"/>
  <c r="C49" i="167"/>
  <c r="C240" i="167" s="1"/>
  <c r="CT48" i="167"/>
  <c r="CM48" i="167"/>
  <c r="BP48" i="167"/>
  <c r="BP239" i="167" s="1"/>
  <c r="BG48" i="167"/>
  <c r="BC48" i="167"/>
  <c r="BC239" i="167" s="1"/>
  <c r="AS48" i="167"/>
  <c r="AS239" i="167" s="1"/>
  <c r="AP48" i="167"/>
  <c r="AP239" i="167" s="1"/>
  <c r="AN48" i="167"/>
  <c r="AN239" i="167" s="1"/>
  <c r="AL48" i="167"/>
  <c r="AL239" i="167" s="1"/>
  <c r="AI48" i="167"/>
  <c r="AI239" i="167" s="1"/>
  <c r="AF48" i="167"/>
  <c r="AF239" i="167" s="1"/>
  <c r="AC48" i="167"/>
  <c r="AC239" i="167" s="1"/>
  <c r="Z48" i="167"/>
  <c r="Z239" i="167" s="1"/>
  <c r="W48" i="167"/>
  <c r="W239" i="167" s="1"/>
  <c r="T48" i="167"/>
  <c r="T239" i="167" s="1"/>
  <c r="N48" i="167"/>
  <c r="N239" i="167" s="1"/>
  <c r="K48" i="167"/>
  <c r="K239" i="167" s="1"/>
  <c r="G48" i="167"/>
  <c r="G239" i="167" s="1"/>
  <c r="E48" i="167"/>
  <c r="E239" i="167" s="1"/>
  <c r="D48" i="167"/>
  <c r="D239" i="167" s="1"/>
  <c r="C48" i="167"/>
  <c r="C239" i="167" s="1"/>
  <c r="C244" i="167" s="1"/>
  <c r="BO47" i="167"/>
  <c r="BN47" i="167"/>
  <c r="BG47" i="167"/>
  <c r="AQ47" i="167"/>
  <c r="AK47" i="167"/>
  <c r="AH47" i="167"/>
  <c r="AE47" i="167"/>
  <c r="AB47" i="167"/>
  <c r="Y47" i="167"/>
  <c r="V47" i="167"/>
  <c r="S47" i="167"/>
  <c r="P47" i="167"/>
  <c r="M47" i="167"/>
  <c r="J47" i="167"/>
  <c r="H47" i="167"/>
  <c r="I47" i="167" s="1"/>
  <c r="F47" i="167"/>
  <c r="BN46" i="167"/>
  <c r="BO46" i="167" s="1"/>
  <c r="BG46" i="167"/>
  <c r="AQ46" i="167"/>
  <c r="AK46" i="167"/>
  <c r="AH46" i="167"/>
  <c r="AE46" i="167"/>
  <c r="AB46" i="167"/>
  <c r="Y46" i="167"/>
  <c r="V46" i="167"/>
  <c r="S46" i="167"/>
  <c r="P46" i="167"/>
  <c r="M46" i="167"/>
  <c r="J46" i="167"/>
  <c r="F46" i="167"/>
  <c r="H46" i="167" s="1"/>
  <c r="I46" i="167" s="1"/>
  <c r="BO45" i="167"/>
  <c r="BN45" i="167"/>
  <c r="BG45" i="167"/>
  <c r="AQ45" i="167"/>
  <c r="AK45" i="167"/>
  <c r="AH45" i="167"/>
  <c r="AE45" i="167"/>
  <c r="AB45" i="167"/>
  <c r="Y45" i="167"/>
  <c r="V45" i="167"/>
  <c r="S45" i="167"/>
  <c r="P45" i="167"/>
  <c r="M45" i="167"/>
  <c r="J45" i="167"/>
  <c r="H45" i="167"/>
  <c r="I45" i="167" s="1"/>
  <c r="F45" i="167"/>
  <c r="BN44" i="167"/>
  <c r="BO44" i="167" s="1"/>
  <c r="BG44" i="167"/>
  <c r="AQ44" i="167"/>
  <c r="AK44" i="167"/>
  <c r="AH44" i="167"/>
  <c r="AE44" i="167"/>
  <c r="AB44" i="167"/>
  <c r="Y44" i="167"/>
  <c r="V44" i="167"/>
  <c r="S44" i="167"/>
  <c r="P44" i="167"/>
  <c r="M44" i="167"/>
  <c r="J44" i="167"/>
  <c r="H44" i="167"/>
  <c r="I44" i="167" s="1"/>
  <c r="F44" i="167"/>
  <c r="BU43" i="167"/>
  <c r="BO43" i="167"/>
  <c r="BN43" i="167"/>
  <c r="BG43" i="167"/>
  <c r="AQ43" i="167"/>
  <c r="AK43" i="167"/>
  <c r="AH43" i="167"/>
  <c r="AE43" i="167"/>
  <c r="AB43" i="167"/>
  <c r="Y43" i="167"/>
  <c r="V43" i="167"/>
  <c r="S43" i="167"/>
  <c r="P43" i="167"/>
  <c r="M43" i="167"/>
  <c r="J43" i="167"/>
  <c r="F43" i="167"/>
  <c r="H43" i="167" s="1"/>
  <c r="I43" i="167" s="1"/>
  <c r="BO42" i="167"/>
  <c r="BN42" i="167"/>
  <c r="BG42" i="167"/>
  <c r="AQ42" i="167"/>
  <c r="AK42" i="167"/>
  <c r="AH42" i="167"/>
  <c r="AE42" i="167"/>
  <c r="AB42" i="167"/>
  <c r="Y42" i="167"/>
  <c r="V42" i="167"/>
  <c r="S42" i="167"/>
  <c r="P42" i="167"/>
  <c r="M42" i="167"/>
  <c r="J42" i="167"/>
  <c r="F42" i="167"/>
  <c r="H42" i="167" s="1"/>
  <c r="I42" i="167" s="1"/>
  <c r="BO41" i="167"/>
  <c r="BN41" i="167"/>
  <c r="BG41" i="167"/>
  <c r="AQ41" i="167"/>
  <c r="AK41" i="167"/>
  <c r="AH41" i="167"/>
  <c r="AE41" i="167"/>
  <c r="AB41" i="167"/>
  <c r="Y41" i="167"/>
  <c r="V41" i="167"/>
  <c r="S41" i="167"/>
  <c r="P41" i="167"/>
  <c r="M41" i="167"/>
  <c r="J41" i="167"/>
  <c r="H41" i="167"/>
  <c r="I41" i="167" s="1"/>
  <c r="F41" i="167"/>
  <c r="BN40" i="167"/>
  <c r="BO40" i="167" s="1"/>
  <c r="BG40" i="167"/>
  <c r="AQ40" i="167"/>
  <c r="AK40" i="167"/>
  <c r="AH40" i="167"/>
  <c r="AE40" i="167"/>
  <c r="AB40" i="167"/>
  <c r="Y40" i="167"/>
  <c r="V40" i="167"/>
  <c r="S40" i="167"/>
  <c r="P40" i="167"/>
  <c r="M40" i="167"/>
  <c r="J40" i="167"/>
  <c r="F40" i="167"/>
  <c r="H40" i="167" s="1"/>
  <c r="I40" i="167" s="1"/>
  <c r="BU39" i="167"/>
  <c r="BN39" i="167"/>
  <c r="BO39" i="167" s="1"/>
  <c r="BG39" i="167"/>
  <c r="AQ39" i="167"/>
  <c r="AK39" i="167"/>
  <c r="AH39" i="167"/>
  <c r="AE39" i="167"/>
  <c r="AB39" i="167"/>
  <c r="Y39" i="167"/>
  <c r="V39" i="167"/>
  <c r="S39" i="167"/>
  <c r="P39" i="167"/>
  <c r="M39" i="167"/>
  <c r="J39" i="167"/>
  <c r="H39" i="167"/>
  <c r="I39" i="167" s="1"/>
  <c r="F39" i="167"/>
  <c r="BN38" i="167"/>
  <c r="BO38" i="167" s="1"/>
  <c r="BG38" i="167"/>
  <c r="AQ38" i="167"/>
  <c r="AK38" i="167"/>
  <c r="AH38" i="167"/>
  <c r="AE38" i="167"/>
  <c r="AB38" i="167"/>
  <c r="Y38" i="167"/>
  <c r="V38" i="167"/>
  <c r="S38" i="167"/>
  <c r="P38" i="167"/>
  <c r="M38" i="167"/>
  <c r="J38" i="167"/>
  <c r="F38" i="167"/>
  <c r="H38" i="167" s="1"/>
  <c r="I38" i="167" s="1"/>
  <c r="BO37" i="167"/>
  <c r="BN37" i="167"/>
  <c r="BG37" i="167"/>
  <c r="AQ37" i="167"/>
  <c r="AK37" i="167"/>
  <c r="AH37" i="167"/>
  <c r="AE37" i="167"/>
  <c r="AB37" i="167"/>
  <c r="Y37" i="167"/>
  <c r="V37" i="167"/>
  <c r="S37" i="167"/>
  <c r="P37" i="167"/>
  <c r="M37" i="167"/>
  <c r="J37" i="167"/>
  <c r="H37" i="167"/>
  <c r="I37" i="167" s="1"/>
  <c r="F37" i="167"/>
  <c r="BN36" i="167"/>
  <c r="BO36" i="167" s="1"/>
  <c r="BG36" i="167"/>
  <c r="AQ36" i="167"/>
  <c r="AK36" i="167"/>
  <c r="AH36" i="167"/>
  <c r="AE36" i="167"/>
  <c r="AB36" i="167"/>
  <c r="Y36" i="167"/>
  <c r="V36" i="167"/>
  <c r="S36" i="167"/>
  <c r="P36" i="167"/>
  <c r="M36" i="167"/>
  <c r="J36" i="167"/>
  <c r="F36" i="167"/>
  <c r="H36" i="167" s="1"/>
  <c r="I36" i="167" s="1"/>
  <c r="BO35" i="167"/>
  <c r="BN35" i="167"/>
  <c r="BG35" i="167"/>
  <c r="AQ35" i="167"/>
  <c r="AK35" i="167"/>
  <c r="AH35" i="167"/>
  <c r="AE35" i="167"/>
  <c r="AB35" i="167"/>
  <c r="Y35" i="167"/>
  <c r="V35" i="167"/>
  <c r="S35" i="167"/>
  <c r="P35" i="167"/>
  <c r="M35" i="167"/>
  <c r="J35" i="167"/>
  <c r="H35" i="167"/>
  <c r="I35" i="167" s="1"/>
  <c r="F35" i="167"/>
  <c r="BN34" i="167"/>
  <c r="BO34" i="167" s="1"/>
  <c r="BG34" i="167"/>
  <c r="AQ34" i="167"/>
  <c r="AQ52" i="167" s="1"/>
  <c r="AK34" i="167"/>
  <c r="AH34" i="167"/>
  <c r="AE34" i="167"/>
  <c r="AB34" i="167"/>
  <c r="Y34" i="167"/>
  <c r="V34" i="167"/>
  <c r="S34" i="167"/>
  <c r="P34" i="167"/>
  <c r="M34" i="167"/>
  <c r="J34" i="167"/>
  <c r="F34" i="167"/>
  <c r="H34" i="167" s="1"/>
  <c r="BU33" i="167"/>
  <c r="BN33" i="167"/>
  <c r="BO33" i="167" s="1"/>
  <c r="BG33" i="167"/>
  <c r="AQ33" i="167"/>
  <c r="AK33" i="167"/>
  <c r="AH33" i="167"/>
  <c r="AE33" i="167"/>
  <c r="AB33" i="167"/>
  <c r="Y33" i="167"/>
  <c r="V33" i="167"/>
  <c r="S33" i="167"/>
  <c r="P33" i="167"/>
  <c r="M33" i="167"/>
  <c r="J33" i="167"/>
  <c r="H33" i="167"/>
  <c r="I33" i="167" s="1"/>
  <c r="F33" i="167"/>
  <c r="BU32" i="167"/>
  <c r="BO32" i="167"/>
  <c r="BN32" i="167"/>
  <c r="BG32" i="167"/>
  <c r="AQ32" i="167"/>
  <c r="AK32" i="167"/>
  <c r="AH32" i="167"/>
  <c r="AE32" i="167"/>
  <c r="AB32" i="167"/>
  <c r="Y32" i="167"/>
  <c r="V32" i="167"/>
  <c r="S32" i="167"/>
  <c r="P32" i="167"/>
  <c r="M32" i="167"/>
  <c r="J32" i="167"/>
  <c r="F32" i="167"/>
  <c r="H32" i="167" s="1"/>
  <c r="I32" i="167" s="1"/>
  <c r="BU31" i="167"/>
  <c r="BN31" i="167"/>
  <c r="BO31" i="167" s="1"/>
  <c r="BG31" i="167"/>
  <c r="AQ31" i="167"/>
  <c r="AQ49" i="167" s="1"/>
  <c r="AQ240" i="167" s="1"/>
  <c r="AK31" i="167"/>
  <c r="AH31" i="167"/>
  <c r="AE31" i="167"/>
  <c r="AB31" i="167"/>
  <c r="Y31" i="167"/>
  <c r="V31" i="167"/>
  <c r="S31" i="167"/>
  <c r="P31" i="167"/>
  <c r="M31" i="167"/>
  <c r="J31" i="167"/>
  <c r="H31" i="167"/>
  <c r="I31" i="167" s="1"/>
  <c r="F31" i="167"/>
  <c r="BN30" i="167"/>
  <c r="BO30" i="167" s="1"/>
  <c r="BG30" i="167"/>
  <c r="AQ30" i="167"/>
  <c r="AK30" i="167"/>
  <c r="AH30" i="167"/>
  <c r="AE30" i="167"/>
  <c r="AB30" i="167"/>
  <c r="Y30" i="167"/>
  <c r="V30" i="167"/>
  <c r="S30" i="167"/>
  <c r="P30" i="167"/>
  <c r="M30" i="167"/>
  <c r="J30" i="167"/>
  <c r="F30" i="167"/>
  <c r="H30" i="167" s="1"/>
  <c r="I30" i="167" s="1"/>
  <c r="BU29" i="167"/>
  <c r="BN29" i="167"/>
  <c r="BO29" i="167" s="1"/>
  <c r="BG29" i="167"/>
  <c r="AQ29" i="167"/>
  <c r="AK29" i="167"/>
  <c r="AH29" i="167"/>
  <c r="AE29" i="167"/>
  <c r="AB29" i="167"/>
  <c r="Y29" i="167"/>
  <c r="V29" i="167"/>
  <c r="S29" i="167"/>
  <c r="P29" i="167"/>
  <c r="M29" i="167"/>
  <c r="J29" i="167"/>
  <c r="H29" i="167"/>
  <c r="I29" i="167" s="1"/>
  <c r="F29" i="167"/>
  <c r="BO28" i="167"/>
  <c r="BN28" i="167"/>
  <c r="BG28" i="167"/>
  <c r="AQ28" i="167"/>
  <c r="AK28" i="167"/>
  <c r="AH28" i="167"/>
  <c r="AE28" i="167"/>
  <c r="AB28" i="167"/>
  <c r="Y28" i="167"/>
  <c r="V28" i="167"/>
  <c r="S28" i="167"/>
  <c r="P28" i="167"/>
  <c r="M28" i="167"/>
  <c r="J28" i="167"/>
  <c r="H28" i="167"/>
  <c r="I28" i="167" s="1"/>
  <c r="F28" i="167"/>
  <c r="BU27" i="167"/>
  <c r="BO27" i="167"/>
  <c r="BN27" i="167"/>
  <c r="BG27" i="167"/>
  <c r="AQ27" i="167"/>
  <c r="AK27" i="167"/>
  <c r="AH27" i="167"/>
  <c r="AE27" i="167"/>
  <c r="AB27" i="167"/>
  <c r="Y27" i="167"/>
  <c r="V27" i="167"/>
  <c r="S27" i="167"/>
  <c r="P27" i="167"/>
  <c r="M27" i="167"/>
  <c r="J27" i="167"/>
  <c r="F27" i="167"/>
  <c r="H27" i="167" s="1"/>
  <c r="I27" i="167" s="1"/>
  <c r="BU26" i="167"/>
  <c r="BU48" i="167" s="1"/>
  <c r="BN26" i="167"/>
  <c r="BO26" i="167" s="1"/>
  <c r="BG26" i="167"/>
  <c r="AQ26" i="167"/>
  <c r="AQ50" i="167" s="1"/>
  <c r="AK26" i="167"/>
  <c r="AH26" i="167"/>
  <c r="AE26" i="167"/>
  <c r="AB26" i="167"/>
  <c r="Y26" i="167"/>
  <c r="V26" i="167"/>
  <c r="S26" i="167"/>
  <c r="P26" i="167"/>
  <c r="M26" i="167"/>
  <c r="J26" i="167"/>
  <c r="H26" i="167"/>
  <c r="H50" i="167" s="1"/>
  <c r="F26" i="167"/>
  <c r="BN25" i="167"/>
  <c r="BO25" i="167" s="1"/>
  <c r="BG25" i="167"/>
  <c r="AQ25" i="167"/>
  <c r="AK25" i="167"/>
  <c r="AH25" i="167"/>
  <c r="AE25" i="167"/>
  <c r="AB25" i="167"/>
  <c r="Y25" i="167"/>
  <c r="V25" i="167"/>
  <c r="S25" i="167"/>
  <c r="P25" i="167"/>
  <c r="M25" i="167"/>
  <c r="J25" i="167"/>
  <c r="F25" i="167"/>
  <c r="H25" i="167" s="1"/>
  <c r="I25" i="167" s="1"/>
  <c r="BO24" i="167"/>
  <c r="BN24" i="167"/>
  <c r="BG24" i="167"/>
  <c r="AQ24" i="167"/>
  <c r="AK24" i="167"/>
  <c r="AH24" i="167"/>
  <c r="AE24" i="167"/>
  <c r="AB24" i="167"/>
  <c r="Y24" i="167"/>
  <c r="V24" i="167"/>
  <c r="S24" i="167"/>
  <c r="P24" i="167"/>
  <c r="M24" i="167"/>
  <c r="J24" i="167"/>
  <c r="H24" i="167"/>
  <c r="I24" i="167" s="1"/>
  <c r="F24" i="167"/>
  <c r="BN23" i="167"/>
  <c r="BO23" i="167" s="1"/>
  <c r="BG23" i="167"/>
  <c r="AQ23" i="167"/>
  <c r="AK23" i="167"/>
  <c r="AH23" i="167"/>
  <c r="AE23" i="167"/>
  <c r="AB23" i="167"/>
  <c r="Y23" i="167"/>
  <c r="V23" i="167"/>
  <c r="S23" i="167"/>
  <c r="P23" i="167"/>
  <c r="M23" i="167"/>
  <c r="J23" i="167"/>
  <c r="F23" i="167"/>
  <c r="H23" i="167" s="1"/>
  <c r="I23" i="167" s="1"/>
  <c r="BO22" i="167"/>
  <c r="BN22" i="167"/>
  <c r="BG22" i="167"/>
  <c r="AQ22" i="167"/>
  <c r="AK22" i="167"/>
  <c r="AH22" i="167"/>
  <c r="AE22" i="167"/>
  <c r="AB22" i="167"/>
  <c r="Y22" i="167"/>
  <c r="V22" i="167"/>
  <c r="S22" i="167"/>
  <c r="P22" i="167"/>
  <c r="M22" i="167"/>
  <c r="J22" i="167"/>
  <c r="F22" i="167"/>
  <c r="H22" i="167" s="1"/>
  <c r="I22" i="167" s="1"/>
  <c r="BO21" i="167"/>
  <c r="BN21" i="167"/>
  <c r="BG21" i="167"/>
  <c r="AQ21" i="167"/>
  <c r="AK21" i="167"/>
  <c r="AH21" i="167"/>
  <c r="AE21" i="167"/>
  <c r="AB21" i="167"/>
  <c r="Y21" i="167"/>
  <c r="V21" i="167"/>
  <c r="S21" i="167"/>
  <c r="P21" i="167"/>
  <c r="M21" i="167"/>
  <c r="J21" i="167"/>
  <c r="H21" i="167"/>
  <c r="I21" i="167" s="1"/>
  <c r="F21" i="167"/>
  <c r="BN20" i="167"/>
  <c r="BO20" i="167" s="1"/>
  <c r="BG20" i="167"/>
  <c r="AQ20" i="167"/>
  <c r="AK20" i="167"/>
  <c r="AH20" i="167"/>
  <c r="AE20" i="167"/>
  <c r="AB20" i="167"/>
  <c r="Y20" i="167"/>
  <c r="V20" i="167"/>
  <c r="S20" i="167"/>
  <c r="P20" i="167"/>
  <c r="M20" i="167"/>
  <c r="J20" i="167"/>
  <c r="H20" i="167"/>
  <c r="I20" i="167" s="1"/>
  <c r="F20" i="167"/>
  <c r="BN19" i="167"/>
  <c r="BO19" i="167" s="1"/>
  <c r="BG19" i="167"/>
  <c r="AQ19" i="167"/>
  <c r="AK19" i="167"/>
  <c r="AH19" i="167"/>
  <c r="AE19" i="167"/>
  <c r="AB19" i="167"/>
  <c r="Y19" i="167"/>
  <c r="V19" i="167"/>
  <c r="S19" i="167"/>
  <c r="P19" i="167"/>
  <c r="M19" i="167"/>
  <c r="J19" i="167"/>
  <c r="I19" i="167"/>
  <c r="F19" i="167"/>
  <c r="H19" i="167" s="1"/>
  <c r="BO18" i="167"/>
  <c r="BN18" i="167"/>
  <c r="BG18" i="167"/>
  <c r="AQ18" i="167"/>
  <c r="AK18" i="167"/>
  <c r="AH18" i="167"/>
  <c r="AE18" i="167"/>
  <c r="AB18" i="167"/>
  <c r="Y18" i="167"/>
  <c r="V18" i="167"/>
  <c r="S18" i="167"/>
  <c r="P18" i="167"/>
  <c r="M18" i="167"/>
  <c r="J18" i="167"/>
  <c r="I18" i="167"/>
  <c r="F18" i="167"/>
  <c r="H18" i="167" s="1"/>
  <c r="BO17" i="167"/>
  <c r="BN17" i="167"/>
  <c r="BG17" i="167"/>
  <c r="AQ17" i="167"/>
  <c r="AK17" i="167"/>
  <c r="AH17" i="167"/>
  <c r="AE17" i="167"/>
  <c r="AB17" i="167"/>
  <c r="Y17" i="167"/>
  <c r="V17" i="167"/>
  <c r="S17" i="167"/>
  <c r="P17" i="167"/>
  <c r="M17" i="167"/>
  <c r="J17" i="167"/>
  <c r="I17" i="167"/>
  <c r="AJ17" i="167" s="1"/>
  <c r="H17" i="167"/>
  <c r="F17" i="167"/>
  <c r="BO16" i="167"/>
  <c r="BN16" i="167"/>
  <c r="BG16" i="167"/>
  <c r="AQ16" i="167"/>
  <c r="AK16" i="167"/>
  <c r="AH16" i="167"/>
  <c r="AE16" i="167"/>
  <c r="AB16" i="167"/>
  <c r="Y16" i="167"/>
  <c r="V16" i="167"/>
  <c r="S16" i="167"/>
  <c r="P16" i="167"/>
  <c r="M16" i="167"/>
  <c r="J16" i="167"/>
  <c r="H16" i="167"/>
  <c r="I16" i="167" s="1"/>
  <c r="F16" i="167"/>
  <c r="BN15" i="167"/>
  <c r="BO15" i="167" s="1"/>
  <c r="BG15" i="167"/>
  <c r="AQ15" i="167"/>
  <c r="AK15" i="167"/>
  <c r="AH15" i="167"/>
  <c r="AE15" i="167"/>
  <c r="AB15" i="167"/>
  <c r="Y15" i="167"/>
  <c r="V15" i="167"/>
  <c r="S15" i="167"/>
  <c r="P15" i="167"/>
  <c r="M15" i="167"/>
  <c r="J15" i="167"/>
  <c r="H15" i="167"/>
  <c r="I15" i="167" s="1"/>
  <c r="F15" i="167"/>
  <c r="BN14" i="167"/>
  <c r="BO14" i="167" s="1"/>
  <c r="BG14" i="167"/>
  <c r="AQ14" i="167"/>
  <c r="AK14" i="167"/>
  <c r="AH14" i="167"/>
  <c r="AE14" i="167"/>
  <c r="AB14" i="167"/>
  <c r="Y14" i="167"/>
  <c r="V14" i="167"/>
  <c r="S14" i="167"/>
  <c r="P14" i="167"/>
  <c r="M14" i="167"/>
  <c r="J14" i="167"/>
  <c r="F14" i="167"/>
  <c r="H14" i="167" s="1"/>
  <c r="I14" i="167" s="1"/>
  <c r="BO13" i="167"/>
  <c r="BN13" i="167"/>
  <c r="BG13" i="167"/>
  <c r="AQ13" i="167"/>
  <c r="AK13" i="167"/>
  <c r="AH13" i="167"/>
  <c r="AE13" i="167"/>
  <c r="AB13" i="167"/>
  <c r="Y13" i="167"/>
  <c r="V13" i="167"/>
  <c r="S13" i="167"/>
  <c r="P13" i="167"/>
  <c r="M13" i="167"/>
  <c r="J13" i="167"/>
  <c r="H13" i="167"/>
  <c r="I13" i="167" s="1"/>
  <c r="F13" i="167"/>
  <c r="BN12" i="167"/>
  <c r="BN48" i="167" s="1"/>
  <c r="BG12" i="167"/>
  <c r="AQ12" i="167"/>
  <c r="AK12" i="167"/>
  <c r="AH12" i="167"/>
  <c r="AE12" i="167"/>
  <c r="AB12" i="167"/>
  <c r="Y12" i="167"/>
  <c r="V12" i="167"/>
  <c r="S12" i="167"/>
  <c r="P12" i="167"/>
  <c r="M12" i="167"/>
  <c r="J12" i="167"/>
  <c r="F12" i="167"/>
  <c r="F48" i="167" s="1"/>
  <c r="BG11" i="167"/>
  <c r="G11" i="167"/>
  <c r="Q22" i="166"/>
  <c r="Q163" i="166"/>
  <c r="Q220" i="166"/>
  <c r="Q158" i="166"/>
  <c r="P158" i="166" s="1"/>
  <c r="R158" i="166" s="1"/>
  <c r="Q164" i="166"/>
  <c r="Q159" i="166"/>
  <c r="Q20" i="166"/>
  <c r="Q18" i="166"/>
  <c r="Q17" i="166"/>
  <c r="DZ258" i="166"/>
  <c r="CW258" i="166"/>
  <c r="C258" i="166"/>
  <c r="C262" i="166" s="1"/>
  <c r="ET239" i="166"/>
  <c r="ES239" i="166"/>
  <c r="ER239" i="166"/>
  <c r="EL239" i="166"/>
  <c r="EK239" i="166"/>
  <c r="EG239" i="166"/>
  <c r="EF239" i="166" s="1"/>
  <c r="EB239" i="166"/>
  <c r="EA239" i="166" s="1"/>
  <c r="DW239" i="166"/>
  <c r="DV239" i="166" s="1"/>
  <c r="DO239" i="166"/>
  <c r="DP239" i="166" s="1"/>
  <c r="DN239" i="166"/>
  <c r="DM239" i="166"/>
  <c r="DJ239" i="166"/>
  <c r="DG239" i="166"/>
  <c r="DD239" i="166"/>
  <c r="DA239" i="166"/>
  <c r="BZ239" i="166"/>
  <c r="BV239" i="166"/>
  <c r="BG239" i="166"/>
  <c r="C224" i="166"/>
  <c r="C223" i="166"/>
  <c r="AU222" i="166"/>
  <c r="C222" i="166"/>
  <c r="AU221" i="166"/>
  <c r="AQ221" i="166"/>
  <c r="C221" i="166"/>
  <c r="CT220" i="166"/>
  <c r="CO220" i="166"/>
  <c r="CN220" i="166"/>
  <c r="CM220" i="166"/>
  <c r="BW220" i="166"/>
  <c r="BP220" i="166"/>
  <c r="BG220" i="166"/>
  <c r="BC220" i="166"/>
  <c r="AS220" i="166"/>
  <c r="AP220" i="166"/>
  <c r="AN220" i="166"/>
  <c r="AL220" i="166"/>
  <c r="AI220" i="166"/>
  <c r="AF220" i="166"/>
  <c r="AC220" i="166"/>
  <c r="Z220" i="166"/>
  <c r="W220" i="166"/>
  <c r="T220" i="166"/>
  <c r="N220" i="166"/>
  <c r="K220" i="166"/>
  <c r="J220" i="166"/>
  <c r="G220" i="166"/>
  <c r="E220" i="166"/>
  <c r="D220" i="166"/>
  <c r="C220" i="166"/>
  <c r="C225" i="166" s="1"/>
  <c r="BN219" i="166"/>
  <c r="BO219" i="166" s="1"/>
  <c r="BG219" i="166"/>
  <c r="AQ219" i="166"/>
  <c r="AK219" i="166"/>
  <c r="AH219" i="166"/>
  <c r="AE219" i="166"/>
  <c r="AB219" i="166"/>
  <c r="Y219" i="166"/>
  <c r="V219" i="166"/>
  <c r="S219" i="166"/>
  <c r="P219" i="166"/>
  <c r="M219" i="166"/>
  <c r="J219" i="166"/>
  <c r="H219" i="166"/>
  <c r="I219" i="166" s="1"/>
  <c r="X219" i="166" s="1"/>
  <c r="F219" i="166"/>
  <c r="BO218" i="166"/>
  <c r="BN218" i="166"/>
  <c r="BG218" i="166"/>
  <c r="AQ218" i="166"/>
  <c r="AK218" i="166"/>
  <c r="AH218" i="166"/>
  <c r="AE218" i="166"/>
  <c r="AB218" i="166"/>
  <c r="Y218" i="166"/>
  <c r="V218" i="166"/>
  <c r="S218" i="166"/>
  <c r="P218" i="166"/>
  <c r="M218" i="166"/>
  <c r="J218" i="166"/>
  <c r="F218" i="166"/>
  <c r="H218" i="166" s="1"/>
  <c r="I218" i="166" s="1"/>
  <c r="AA218" i="166" s="1"/>
  <c r="BN217" i="166"/>
  <c r="BO217" i="166" s="1"/>
  <c r="BG217" i="166"/>
  <c r="AQ217" i="166"/>
  <c r="AK217" i="166"/>
  <c r="AH217" i="166"/>
  <c r="AE217" i="166"/>
  <c r="AB217" i="166"/>
  <c r="Y217" i="166"/>
  <c r="V217" i="166"/>
  <c r="S217" i="166"/>
  <c r="P217" i="166"/>
  <c r="R217" i="166" s="1"/>
  <c r="M217" i="166"/>
  <c r="L217" i="166"/>
  <c r="J217" i="166"/>
  <c r="F217" i="166"/>
  <c r="H217" i="166" s="1"/>
  <c r="I217" i="166" s="1"/>
  <c r="BO216" i="166"/>
  <c r="BN216" i="166"/>
  <c r="BG216" i="166"/>
  <c r="AQ216" i="166"/>
  <c r="AK216" i="166"/>
  <c r="AH216" i="166"/>
  <c r="AE216" i="166"/>
  <c r="AB216" i="166"/>
  <c r="Y216" i="166"/>
  <c r="V216" i="166"/>
  <c r="S216" i="166"/>
  <c r="P216" i="166"/>
  <c r="M216" i="166"/>
  <c r="J216" i="166"/>
  <c r="I216" i="166"/>
  <c r="H216" i="166"/>
  <c r="F216" i="166"/>
  <c r="BO215" i="166"/>
  <c r="BN215" i="166"/>
  <c r="BG215" i="166"/>
  <c r="AQ215" i="166"/>
  <c r="AM215" i="166"/>
  <c r="AK215" i="166"/>
  <c r="AH215" i="166"/>
  <c r="AE215" i="166"/>
  <c r="AB215" i="166"/>
  <c r="Y215" i="166"/>
  <c r="V215" i="166"/>
  <c r="S215" i="166"/>
  <c r="P215" i="166"/>
  <c r="M215" i="166"/>
  <c r="J215" i="166"/>
  <c r="I215" i="166"/>
  <c r="H215" i="166"/>
  <c r="F215" i="166"/>
  <c r="BU214" i="166"/>
  <c r="BO214" i="166"/>
  <c r="BN214" i="166"/>
  <c r="BG214" i="166"/>
  <c r="AQ214" i="166"/>
  <c r="AK214" i="166"/>
  <c r="AH214" i="166"/>
  <c r="AE214" i="166"/>
  <c r="AB214" i="166"/>
  <c r="AA214" i="166"/>
  <c r="Y214" i="166"/>
  <c r="V214" i="166"/>
  <c r="U214" i="166"/>
  <c r="S214" i="166"/>
  <c r="P214" i="166"/>
  <c r="M214" i="166"/>
  <c r="J214" i="166"/>
  <c r="I214" i="166"/>
  <c r="AM214" i="166" s="1"/>
  <c r="H214" i="166"/>
  <c r="F214" i="166"/>
  <c r="BU213" i="166"/>
  <c r="BO213" i="166"/>
  <c r="BN213" i="166"/>
  <c r="BG213" i="166"/>
  <c r="AQ213" i="166"/>
  <c r="AK213" i="166"/>
  <c r="AH213" i="166"/>
  <c r="AE213" i="166"/>
  <c r="AB213" i="166"/>
  <c r="Y213" i="166"/>
  <c r="V213" i="166"/>
  <c r="S213" i="166"/>
  <c r="P213" i="166"/>
  <c r="M213" i="166"/>
  <c r="J213" i="166"/>
  <c r="I213" i="166"/>
  <c r="AM213" i="166" s="1"/>
  <c r="H213" i="166"/>
  <c r="F213" i="166"/>
  <c r="BU212" i="166"/>
  <c r="BO212" i="166"/>
  <c r="BN212" i="166"/>
  <c r="BG212" i="166"/>
  <c r="AQ212" i="166"/>
  <c r="AK212" i="166"/>
  <c r="AH212" i="166"/>
  <c r="AE212" i="166"/>
  <c r="AB212" i="166"/>
  <c r="AA212" i="166"/>
  <c r="AA221" i="166" s="1"/>
  <c r="Y212" i="166"/>
  <c r="V212" i="166"/>
  <c r="U212" i="166"/>
  <c r="U221" i="166" s="1"/>
  <c r="S212" i="166"/>
  <c r="P212" i="166"/>
  <c r="M212" i="166"/>
  <c r="J212" i="166"/>
  <c r="I212" i="166"/>
  <c r="AM212" i="166" s="1"/>
  <c r="AM221" i="166" s="1"/>
  <c r="H212" i="166"/>
  <c r="H221" i="166" s="1"/>
  <c r="F212" i="166"/>
  <c r="BN211" i="166"/>
  <c r="BO211" i="166" s="1"/>
  <c r="BG211" i="166"/>
  <c r="AQ211" i="166"/>
  <c r="AQ224" i="166" s="1"/>
  <c r="AK211" i="166"/>
  <c r="AH211" i="166"/>
  <c r="AE211" i="166"/>
  <c r="AB211" i="166"/>
  <c r="Y211" i="166"/>
  <c r="V211" i="166"/>
  <c r="S211" i="166"/>
  <c r="P211" i="166"/>
  <c r="M211" i="166"/>
  <c r="J211" i="166"/>
  <c r="F211" i="166"/>
  <c r="H211" i="166" s="1"/>
  <c r="BU210" i="166"/>
  <c r="BU220" i="166" s="1"/>
  <c r="BN210" i="166"/>
  <c r="BO210" i="166" s="1"/>
  <c r="BG210" i="166"/>
  <c r="AQ210" i="166"/>
  <c r="AQ222" i="166" s="1"/>
  <c r="AK210" i="166"/>
  <c r="AH210" i="166"/>
  <c r="AE210" i="166"/>
  <c r="AB210" i="166"/>
  <c r="Y210" i="166"/>
  <c r="V210" i="166"/>
  <c r="S210" i="166"/>
  <c r="P210" i="166"/>
  <c r="M210" i="166"/>
  <c r="J210" i="166"/>
  <c r="F210" i="166"/>
  <c r="H210" i="166" s="1"/>
  <c r="BO209" i="166"/>
  <c r="BN209" i="166"/>
  <c r="BG209" i="166"/>
  <c r="AQ209" i="166"/>
  <c r="AK209" i="166"/>
  <c r="AH209" i="166"/>
  <c r="AE209" i="166"/>
  <c r="AD209" i="166"/>
  <c r="AB209" i="166"/>
  <c r="Y209" i="166"/>
  <c r="X209" i="166"/>
  <c r="V209" i="166"/>
  <c r="S209" i="166"/>
  <c r="P209" i="166"/>
  <c r="M209" i="166"/>
  <c r="J209" i="166"/>
  <c r="F209" i="166"/>
  <c r="H209" i="166" s="1"/>
  <c r="I209" i="166" s="1"/>
  <c r="BO208" i="166"/>
  <c r="BN208" i="166"/>
  <c r="BG208" i="166"/>
  <c r="AQ208" i="166"/>
  <c r="AK208" i="166"/>
  <c r="AH208" i="166"/>
  <c r="AG208" i="166"/>
  <c r="AE208" i="166"/>
  <c r="AB208" i="166"/>
  <c r="Y208" i="166"/>
  <c r="V208" i="166"/>
  <c r="S208" i="166"/>
  <c r="P208" i="166"/>
  <c r="M208" i="166"/>
  <c r="J208" i="166"/>
  <c r="I208" i="166"/>
  <c r="AA208" i="166" s="1"/>
  <c r="H208" i="166"/>
  <c r="F208" i="166"/>
  <c r="BN207" i="166"/>
  <c r="BO207" i="166" s="1"/>
  <c r="BG207" i="166"/>
  <c r="AQ207" i="166"/>
  <c r="AK207" i="166"/>
  <c r="AH207" i="166"/>
  <c r="AE207" i="166"/>
  <c r="AB207" i="166"/>
  <c r="AA207" i="166"/>
  <c r="Y207" i="166"/>
  <c r="V207" i="166"/>
  <c r="S207" i="166"/>
  <c r="P207" i="166"/>
  <c r="M207" i="166"/>
  <c r="J207" i="166"/>
  <c r="I207" i="166"/>
  <c r="F207" i="166"/>
  <c r="H207" i="166" s="1"/>
  <c r="BO206" i="166"/>
  <c r="BN206" i="166"/>
  <c r="BG206" i="166"/>
  <c r="AQ206" i="166"/>
  <c r="AK206" i="166"/>
  <c r="AH206" i="166"/>
  <c r="AE206" i="166"/>
  <c r="AB206" i="166"/>
  <c r="Y206" i="166"/>
  <c r="V206" i="166"/>
  <c r="S206" i="166"/>
  <c r="P206" i="166"/>
  <c r="M206" i="166"/>
  <c r="J206" i="166"/>
  <c r="F206" i="166"/>
  <c r="H206" i="166" s="1"/>
  <c r="I206" i="166" s="1"/>
  <c r="BN205" i="166"/>
  <c r="BO205" i="166" s="1"/>
  <c r="BG205" i="166"/>
  <c r="AQ205" i="166"/>
  <c r="AK205" i="166"/>
  <c r="AH205" i="166"/>
  <c r="AE205" i="166"/>
  <c r="AB205" i="166"/>
  <c r="Y205" i="166"/>
  <c r="V205" i="166"/>
  <c r="S205" i="166"/>
  <c r="P205" i="166"/>
  <c r="O205" i="166"/>
  <c r="M205" i="166"/>
  <c r="J205" i="166"/>
  <c r="F205" i="166"/>
  <c r="H205" i="166" s="1"/>
  <c r="I205" i="166" s="1"/>
  <c r="BN204" i="166"/>
  <c r="BO204" i="166" s="1"/>
  <c r="BG204" i="166"/>
  <c r="AQ204" i="166"/>
  <c r="AK204" i="166"/>
  <c r="AJ204" i="166"/>
  <c r="AH204" i="166"/>
  <c r="AE204" i="166"/>
  <c r="AB204" i="166"/>
  <c r="AD204" i="166" s="1"/>
  <c r="Y204" i="166"/>
  <c r="V204" i="166"/>
  <c r="S204" i="166"/>
  <c r="P204" i="166"/>
  <c r="R204" i="166" s="1"/>
  <c r="M204" i="166"/>
  <c r="L204" i="166"/>
  <c r="J204" i="166"/>
  <c r="F204" i="166"/>
  <c r="H204" i="166" s="1"/>
  <c r="I204" i="166" s="1"/>
  <c r="BO203" i="166"/>
  <c r="BN203" i="166"/>
  <c r="BG203" i="166"/>
  <c r="AQ203" i="166"/>
  <c r="AK203" i="166"/>
  <c r="AH203" i="166"/>
  <c r="AE203" i="166"/>
  <c r="AB203" i="166"/>
  <c r="Y203" i="166"/>
  <c r="V203" i="166"/>
  <c r="V220" i="166" s="1"/>
  <c r="S203" i="166"/>
  <c r="P203" i="166"/>
  <c r="M203" i="166"/>
  <c r="M220" i="166" s="1"/>
  <c r="J203" i="166"/>
  <c r="H203" i="166"/>
  <c r="F203" i="166"/>
  <c r="C188" i="166"/>
  <c r="C187" i="166"/>
  <c r="AU186" i="166"/>
  <c r="C186" i="166"/>
  <c r="AU185" i="166"/>
  <c r="C185" i="166"/>
  <c r="CU184" i="166"/>
  <c r="CT184" i="166"/>
  <c r="CM184" i="166"/>
  <c r="CN184" i="166" s="1"/>
  <c r="CO184" i="166" s="1"/>
  <c r="BP184" i="166"/>
  <c r="BG184" i="166"/>
  <c r="BC184" i="166"/>
  <c r="AS184" i="166"/>
  <c r="AP184" i="166"/>
  <c r="AN184" i="166"/>
  <c r="AL184" i="166"/>
  <c r="AI184" i="166"/>
  <c r="AF184" i="166"/>
  <c r="AC184" i="166"/>
  <c r="Z184" i="166"/>
  <c r="W184" i="166"/>
  <c r="T184" i="166"/>
  <c r="Q184" i="166"/>
  <c r="N184" i="166"/>
  <c r="K184" i="166"/>
  <c r="G184" i="166"/>
  <c r="E184" i="166"/>
  <c r="D184" i="166"/>
  <c r="C184" i="166"/>
  <c r="C189" i="166" s="1"/>
  <c r="BO183" i="166"/>
  <c r="BN183" i="166"/>
  <c r="BG183" i="166"/>
  <c r="AQ183" i="166"/>
  <c r="AK183" i="166"/>
  <c r="AH183" i="166"/>
  <c r="AE183" i="166"/>
  <c r="AD183" i="166"/>
  <c r="AB183" i="166"/>
  <c r="Y183" i="166"/>
  <c r="V183" i="166"/>
  <c r="S183" i="166"/>
  <c r="P183" i="166"/>
  <c r="M183" i="166"/>
  <c r="J183" i="166"/>
  <c r="F183" i="166"/>
  <c r="H183" i="166" s="1"/>
  <c r="I183" i="166" s="1"/>
  <c r="BO182" i="166"/>
  <c r="BN182" i="166"/>
  <c r="BG182" i="166"/>
  <c r="AQ182" i="166"/>
  <c r="AK182" i="166"/>
  <c r="AH182" i="166"/>
  <c r="AE182" i="166"/>
  <c r="AB182" i="166"/>
  <c r="Y182" i="166"/>
  <c r="V182" i="166"/>
  <c r="S182" i="166"/>
  <c r="P182" i="166"/>
  <c r="M182" i="166"/>
  <c r="J182" i="166"/>
  <c r="H182" i="166"/>
  <c r="I182" i="166" s="1"/>
  <c r="F182" i="166"/>
  <c r="BO181" i="166"/>
  <c r="BN181" i="166"/>
  <c r="BG181" i="166"/>
  <c r="AQ181" i="166"/>
  <c r="AK181" i="166"/>
  <c r="AH181" i="166"/>
  <c r="AE181" i="166"/>
  <c r="AB181" i="166"/>
  <c r="Y181" i="166"/>
  <c r="V181" i="166"/>
  <c r="S181" i="166"/>
  <c r="P181" i="166"/>
  <c r="M181" i="166"/>
  <c r="J181" i="166"/>
  <c r="I181" i="166"/>
  <c r="H181" i="166"/>
  <c r="F181" i="166"/>
  <c r="BN180" i="166"/>
  <c r="BO180" i="166" s="1"/>
  <c r="BG180" i="166"/>
  <c r="AQ180" i="166"/>
  <c r="AK180" i="166"/>
  <c r="AH180" i="166"/>
  <c r="AE180" i="166"/>
  <c r="AB180" i="166"/>
  <c r="Y180" i="166"/>
  <c r="V180" i="166"/>
  <c r="S180" i="166"/>
  <c r="R180" i="166"/>
  <c r="P180" i="166"/>
  <c r="M180" i="166"/>
  <c r="J180" i="166"/>
  <c r="H180" i="166"/>
  <c r="I180" i="166" s="1"/>
  <c r="AD180" i="166" s="1"/>
  <c r="F180" i="166"/>
  <c r="BO179" i="166"/>
  <c r="BN179" i="166"/>
  <c r="BG179" i="166"/>
  <c r="AQ179" i="166"/>
  <c r="AK179" i="166"/>
  <c r="AH179" i="166"/>
  <c r="AE179" i="166"/>
  <c r="AB179" i="166"/>
  <c r="Y179" i="166"/>
  <c r="V179" i="166"/>
  <c r="S179" i="166"/>
  <c r="P179" i="166"/>
  <c r="M179" i="166"/>
  <c r="J179" i="166"/>
  <c r="I179" i="166"/>
  <c r="H179" i="166"/>
  <c r="F179" i="166"/>
  <c r="BU178" i="166"/>
  <c r="BO178" i="166"/>
  <c r="BN178" i="166"/>
  <c r="BG178" i="166"/>
  <c r="AQ178" i="166"/>
  <c r="AK178" i="166"/>
  <c r="AH178" i="166"/>
  <c r="AE178" i="166"/>
  <c r="AB178" i="166"/>
  <c r="Y178" i="166"/>
  <c r="V178" i="166"/>
  <c r="S178" i="166"/>
  <c r="P178" i="166"/>
  <c r="M178" i="166"/>
  <c r="J178" i="166"/>
  <c r="H178" i="166"/>
  <c r="I178" i="166" s="1"/>
  <c r="F178" i="166"/>
  <c r="BO177" i="166"/>
  <c r="BN177" i="166"/>
  <c r="BG177" i="166"/>
  <c r="AQ177" i="166"/>
  <c r="AK177" i="166"/>
  <c r="AH177" i="166"/>
  <c r="AE177" i="166"/>
  <c r="AB177" i="166"/>
  <c r="AA177" i="166"/>
  <c r="Y177" i="166"/>
  <c r="V177" i="166"/>
  <c r="S177" i="166"/>
  <c r="P177" i="166"/>
  <c r="M177" i="166"/>
  <c r="J177" i="166"/>
  <c r="I177" i="166"/>
  <c r="AM177" i="166" s="1"/>
  <c r="H177" i="166"/>
  <c r="F177" i="166"/>
  <c r="BN176" i="166"/>
  <c r="BO176" i="166" s="1"/>
  <c r="BG176" i="166"/>
  <c r="AQ176" i="166"/>
  <c r="AK176" i="166"/>
  <c r="AJ176" i="166"/>
  <c r="AH176" i="166"/>
  <c r="AE176" i="166"/>
  <c r="AB176" i="166"/>
  <c r="AD176" i="166" s="1"/>
  <c r="Y176" i="166"/>
  <c r="V176" i="166"/>
  <c r="S176" i="166"/>
  <c r="P176" i="166"/>
  <c r="R176" i="166" s="1"/>
  <c r="M176" i="166"/>
  <c r="L176" i="166"/>
  <c r="J176" i="166"/>
  <c r="F176" i="166"/>
  <c r="H176" i="166" s="1"/>
  <c r="I176" i="166" s="1"/>
  <c r="BO175" i="166"/>
  <c r="BN175" i="166"/>
  <c r="BG175" i="166"/>
  <c r="AQ175" i="166"/>
  <c r="AK175" i="166"/>
  <c r="AH175" i="166"/>
  <c r="AE175" i="166"/>
  <c r="AB175" i="166"/>
  <c r="Y175" i="166"/>
  <c r="V175" i="166"/>
  <c r="S175" i="166"/>
  <c r="P175" i="166"/>
  <c r="M175" i="166"/>
  <c r="J175" i="166"/>
  <c r="F175" i="166"/>
  <c r="H175" i="166" s="1"/>
  <c r="I175" i="166" s="1"/>
  <c r="BU174" i="166"/>
  <c r="BN174" i="166"/>
  <c r="BO174" i="166" s="1"/>
  <c r="BG174" i="166"/>
  <c r="AQ174" i="166"/>
  <c r="AK174" i="166"/>
  <c r="AJ174" i="166"/>
  <c r="AH174" i="166"/>
  <c r="AE174" i="166"/>
  <c r="AB174" i="166"/>
  <c r="Y174" i="166"/>
  <c r="V174" i="166"/>
  <c r="S174" i="166"/>
  <c r="P174" i="166"/>
  <c r="M174" i="166"/>
  <c r="L174" i="166"/>
  <c r="J174" i="166"/>
  <c r="F174" i="166"/>
  <c r="H174" i="166" s="1"/>
  <c r="I174" i="166" s="1"/>
  <c r="BU173" i="166"/>
  <c r="BN173" i="166"/>
  <c r="BO173" i="166" s="1"/>
  <c r="BG173" i="166"/>
  <c r="AQ173" i="166"/>
  <c r="AK173" i="166"/>
  <c r="AH173" i="166"/>
  <c r="AE173" i="166"/>
  <c r="AB173" i="166"/>
  <c r="Y173" i="166"/>
  <c r="X173" i="166"/>
  <c r="V173" i="166"/>
  <c r="S173" i="166"/>
  <c r="P173" i="166"/>
  <c r="M173" i="166"/>
  <c r="J173" i="166"/>
  <c r="H173" i="166"/>
  <c r="I173" i="166" s="1"/>
  <c r="F173" i="166"/>
  <c r="BU172" i="166"/>
  <c r="BO172" i="166"/>
  <c r="BN172" i="166"/>
  <c r="BG172" i="166"/>
  <c r="AQ172" i="166"/>
  <c r="AQ185" i="166" s="1"/>
  <c r="AK172" i="166"/>
  <c r="AH172" i="166"/>
  <c r="AE172" i="166"/>
  <c r="AB172" i="166"/>
  <c r="Y172" i="166"/>
  <c r="V172" i="166"/>
  <c r="S172" i="166"/>
  <c r="P172" i="166"/>
  <c r="M172" i="166"/>
  <c r="J172" i="166"/>
  <c r="F172" i="166"/>
  <c r="H172" i="166" s="1"/>
  <c r="BO171" i="166"/>
  <c r="BN171" i="166"/>
  <c r="BG171" i="166"/>
  <c r="AQ171" i="166"/>
  <c r="AM171" i="166"/>
  <c r="AK171" i="166"/>
  <c r="AH171" i="166"/>
  <c r="AG171" i="166"/>
  <c r="AE171" i="166"/>
  <c r="AB171" i="166"/>
  <c r="Y171" i="166"/>
  <c r="V171" i="166"/>
  <c r="S171" i="166"/>
  <c r="P171" i="166"/>
  <c r="O171" i="166"/>
  <c r="M171" i="166"/>
  <c r="J171" i="166"/>
  <c r="I171" i="166"/>
  <c r="H171" i="166"/>
  <c r="F171" i="166"/>
  <c r="BN170" i="166"/>
  <c r="BO170" i="166" s="1"/>
  <c r="BG170" i="166"/>
  <c r="AQ170" i="166"/>
  <c r="AQ188" i="166" s="1"/>
  <c r="AK170" i="166"/>
  <c r="AH170" i="166"/>
  <c r="AE170" i="166"/>
  <c r="AB170" i="166"/>
  <c r="Y170" i="166"/>
  <c r="V170" i="166"/>
  <c r="S170" i="166"/>
  <c r="P170" i="166"/>
  <c r="M170" i="166"/>
  <c r="J170" i="166"/>
  <c r="H170" i="166"/>
  <c r="F170" i="166"/>
  <c r="BO169" i="166"/>
  <c r="BN169" i="166"/>
  <c r="BG169" i="166"/>
  <c r="AQ169" i="166"/>
  <c r="AK169" i="166"/>
  <c r="AH169" i="166"/>
  <c r="AE169" i="166"/>
  <c r="AB169" i="166"/>
  <c r="Y169" i="166"/>
  <c r="V169" i="166"/>
  <c r="S169" i="166"/>
  <c r="P169" i="166"/>
  <c r="M169" i="166"/>
  <c r="J169" i="166"/>
  <c r="H169" i="166"/>
  <c r="I169" i="166" s="1"/>
  <c r="AM169" i="166" s="1"/>
  <c r="F169" i="166"/>
  <c r="BU168" i="166"/>
  <c r="BU184" i="166" s="1"/>
  <c r="BW184" i="166" s="1"/>
  <c r="BO168" i="166"/>
  <c r="BN168" i="166"/>
  <c r="BG168" i="166"/>
  <c r="AQ168" i="166"/>
  <c r="AK168" i="166"/>
  <c r="AH168" i="166"/>
  <c r="AE168" i="166"/>
  <c r="AB168" i="166"/>
  <c r="Y168" i="166"/>
  <c r="V168" i="166"/>
  <c r="S168" i="166"/>
  <c r="P168" i="166"/>
  <c r="M168" i="166"/>
  <c r="J168" i="166"/>
  <c r="H168" i="166"/>
  <c r="F168" i="166"/>
  <c r="BO167" i="166"/>
  <c r="BN167" i="166"/>
  <c r="BG167" i="166"/>
  <c r="AQ167" i="166"/>
  <c r="AK167" i="166"/>
  <c r="AH167" i="166"/>
  <c r="AG167" i="166"/>
  <c r="AE167" i="166"/>
  <c r="AB167" i="166"/>
  <c r="Y167" i="166"/>
  <c r="V167" i="166"/>
  <c r="U167" i="166"/>
  <c r="S167" i="166"/>
  <c r="P167" i="166"/>
  <c r="M167" i="166"/>
  <c r="J167" i="166"/>
  <c r="I167" i="166"/>
  <c r="H167" i="166"/>
  <c r="F167" i="166"/>
  <c r="BN166" i="166"/>
  <c r="BO166" i="166" s="1"/>
  <c r="BG166" i="166"/>
  <c r="AQ166" i="166"/>
  <c r="AK166" i="166"/>
  <c r="AH166" i="166"/>
  <c r="AE166" i="166"/>
  <c r="AB166" i="166"/>
  <c r="Y166" i="166"/>
  <c r="V166" i="166"/>
  <c r="S166" i="166"/>
  <c r="P166" i="166"/>
  <c r="M166" i="166"/>
  <c r="J166" i="166"/>
  <c r="F166" i="166"/>
  <c r="H166" i="166" s="1"/>
  <c r="I166" i="166" s="1"/>
  <c r="BN165" i="166"/>
  <c r="BO165" i="166" s="1"/>
  <c r="BG165" i="166"/>
  <c r="AQ165" i="166"/>
  <c r="AK165" i="166"/>
  <c r="AH165" i="166"/>
  <c r="AE165" i="166"/>
  <c r="AB165" i="166"/>
  <c r="Y165" i="166"/>
  <c r="X165" i="166"/>
  <c r="V165" i="166"/>
  <c r="S165" i="166"/>
  <c r="P165" i="166"/>
  <c r="M165" i="166"/>
  <c r="J165" i="166"/>
  <c r="H165" i="166"/>
  <c r="I165" i="166" s="1"/>
  <c r="F165" i="166"/>
  <c r="BO164" i="166"/>
  <c r="BN164" i="166"/>
  <c r="BG164" i="166"/>
  <c r="AQ164" i="166"/>
  <c r="AK164" i="166"/>
  <c r="AH164" i="166"/>
  <c r="AE164" i="166"/>
  <c r="AB164" i="166"/>
  <c r="Y164" i="166"/>
  <c r="V164" i="166"/>
  <c r="S164" i="166"/>
  <c r="P164" i="166"/>
  <c r="M164" i="166"/>
  <c r="J164" i="166"/>
  <c r="H164" i="166"/>
  <c r="I164" i="166" s="1"/>
  <c r="O164" i="166" s="1"/>
  <c r="F164" i="166"/>
  <c r="BO163" i="166"/>
  <c r="BN163" i="166"/>
  <c r="BG163" i="166"/>
  <c r="AQ163" i="166"/>
  <c r="AM163" i="166"/>
  <c r="AK163" i="166"/>
  <c r="AH163" i="166"/>
  <c r="AE163" i="166"/>
  <c r="AB163" i="166"/>
  <c r="Y163" i="166"/>
  <c r="V163" i="166"/>
  <c r="U163" i="166"/>
  <c r="S163" i="166"/>
  <c r="P163" i="166"/>
  <c r="O163" i="166"/>
  <c r="M163" i="166"/>
  <c r="J163" i="166"/>
  <c r="I163" i="166"/>
  <c r="H163" i="166"/>
  <c r="F163" i="166"/>
  <c r="BN162" i="166"/>
  <c r="BO162" i="166" s="1"/>
  <c r="BG162" i="166"/>
  <c r="AQ162" i="166"/>
  <c r="AK162" i="166"/>
  <c r="AH162" i="166"/>
  <c r="AE162" i="166"/>
  <c r="AD162" i="166"/>
  <c r="AB162" i="166"/>
  <c r="Y162" i="166"/>
  <c r="V162" i="166"/>
  <c r="S162" i="166"/>
  <c r="P162" i="166"/>
  <c r="M162" i="166"/>
  <c r="J162" i="166"/>
  <c r="F162" i="166"/>
  <c r="H162" i="166" s="1"/>
  <c r="I162" i="166" s="1"/>
  <c r="BN161" i="166"/>
  <c r="BO161" i="166" s="1"/>
  <c r="BG161" i="166"/>
  <c r="AQ161" i="166"/>
  <c r="AK161" i="166"/>
  <c r="AH161" i="166"/>
  <c r="AE161" i="166"/>
  <c r="AB161" i="166"/>
  <c r="Y161" i="166"/>
  <c r="V161" i="166"/>
  <c r="S161" i="166"/>
  <c r="P161" i="166"/>
  <c r="M161" i="166"/>
  <c r="J161" i="166"/>
  <c r="H161" i="166"/>
  <c r="I161" i="166" s="1"/>
  <c r="X161" i="166" s="1"/>
  <c r="F161" i="166"/>
  <c r="BO160" i="166"/>
  <c r="BN160" i="166"/>
  <c r="BG160" i="166"/>
  <c r="AQ160" i="166"/>
  <c r="AK160" i="166"/>
  <c r="AH160" i="166"/>
  <c r="AE160" i="166"/>
  <c r="AB160" i="166"/>
  <c r="Y160" i="166"/>
  <c r="V160" i="166"/>
  <c r="S160" i="166"/>
  <c r="P160" i="166"/>
  <c r="M160" i="166"/>
  <c r="J160" i="166"/>
  <c r="H160" i="166"/>
  <c r="I160" i="166" s="1"/>
  <c r="F160" i="166"/>
  <c r="BO159" i="166"/>
  <c r="BN159" i="166"/>
  <c r="BG159" i="166"/>
  <c r="AQ159" i="166"/>
  <c r="AK159" i="166"/>
  <c r="AH159" i="166"/>
  <c r="AE159" i="166"/>
  <c r="AB159" i="166"/>
  <c r="Y159" i="166"/>
  <c r="V159" i="166"/>
  <c r="S159" i="166"/>
  <c r="P159" i="166"/>
  <c r="M159" i="166"/>
  <c r="J159" i="166"/>
  <c r="H159" i="166"/>
  <c r="I159" i="166" s="1"/>
  <c r="F159" i="166"/>
  <c r="BN158" i="166"/>
  <c r="BO158" i="166" s="1"/>
  <c r="BG158" i="166"/>
  <c r="AQ158" i="166"/>
  <c r="AK158" i="166"/>
  <c r="AJ158" i="166"/>
  <c r="AH158" i="166"/>
  <c r="AE158" i="166"/>
  <c r="AD158" i="166"/>
  <c r="AB158" i="166"/>
  <c r="Y158" i="166"/>
  <c r="V158" i="166"/>
  <c r="S158" i="166"/>
  <c r="M158" i="166"/>
  <c r="L158" i="166"/>
  <c r="J158" i="166"/>
  <c r="F158" i="166"/>
  <c r="H158" i="166" s="1"/>
  <c r="I158" i="166" s="1"/>
  <c r="BN157" i="166"/>
  <c r="BO157" i="166" s="1"/>
  <c r="BG157" i="166"/>
  <c r="AQ157" i="166"/>
  <c r="AK157" i="166"/>
  <c r="AH157" i="166"/>
  <c r="AE157" i="166"/>
  <c r="AB157" i="166"/>
  <c r="Y157" i="166"/>
  <c r="V157" i="166"/>
  <c r="S157" i="166"/>
  <c r="P157" i="166"/>
  <c r="M157" i="166"/>
  <c r="J157" i="166"/>
  <c r="F157" i="166"/>
  <c r="H157" i="166" s="1"/>
  <c r="I157" i="166" s="1"/>
  <c r="BN156" i="166"/>
  <c r="BO156" i="166" s="1"/>
  <c r="BG156" i="166"/>
  <c r="AQ156" i="166"/>
  <c r="AK156" i="166"/>
  <c r="AH156" i="166"/>
  <c r="AE156" i="166"/>
  <c r="AB156" i="166"/>
  <c r="Y156" i="166"/>
  <c r="V156" i="166"/>
  <c r="S156" i="166"/>
  <c r="P156" i="166"/>
  <c r="M156" i="166"/>
  <c r="J156" i="166"/>
  <c r="H156" i="166"/>
  <c r="I156" i="166" s="1"/>
  <c r="F156" i="166"/>
  <c r="BN155" i="166"/>
  <c r="BO155" i="166" s="1"/>
  <c r="BG155" i="166"/>
  <c r="AQ155" i="166"/>
  <c r="AK155" i="166"/>
  <c r="AH155" i="166"/>
  <c r="AE155" i="166"/>
  <c r="AB155" i="166"/>
  <c r="Y155" i="166"/>
  <c r="V155" i="166"/>
  <c r="U155" i="166"/>
  <c r="S155" i="166"/>
  <c r="P155" i="166"/>
  <c r="M155" i="166"/>
  <c r="J155" i="166"/>
  <c r="I155" i="166"/>
  <c r="AM155" i="166" s="1"/>
  <c r="F155" i="166"/>
  <c r="H155" i="166" s="1"/>
  <c r="BN154" i="166"/>
  <c r="BO154" i="166" s="1"/>
  <c r="BG154" i="166"/>
  <c r="AQ154" i="166"/>
  <c r="AK154" i="166"/>
  <c r="AH154" i="166"/>
  <c r="AE154" i="166"/>
  <c r="AB154" i="166"/>
  <c r="Y154" i="166"/>
  <c r="V154" i="166"/>
  <c r="S154" i="166"/>
  <c r="P154" i="166"/>
  <c r="M154" i="166"/>
  <c r="J154" i="166"/>
  <c r="F154" i="166"/>
  <c r="H154" i="166" s="1"/>
  <c r="I154" i="166" s="1"/>
  <c r="BN153" i="166"/>
  <c r="BG153" i="166"/>
  <c r="AQ153" i="166"/>
  <c r="AK153" i="166"/>
  <c r="AH153" i="166"/>
  <c r="AE153" i="166"/>
  <c r="AB153" i="166"/>
  <c r="Y153" i="166"/>
  <c r="V153" i="166"/>
  <c r="V184" i="166" s="1"/>
  <c r="S153" i="166"/>
  <c r="P153" i="166"/>
  <c r="M153" i="166"/>
  <c r="J153" i="166"/>
  <c r="F153" i="166"/>
  <c r="C138" i="166"/>
  <c r="C137" i="166"/>
  <c r="AU136" i="166"/>
  <c r="C136" i="166"/>
  <c r="AU135" i="166"/>
  <c r="C135" i="166"/>
  <c r="CT134" i="166"/>
  <c r="CO134" i="166"/>
  <c r="CM134" i="166"/>
  <c r="CN134" i="166" s="1"/>
  <c r="BP134" i="166"/>
  <c r="BG134" i="166"/>
  <c r="BC134" i="166"/>
  <c r="AS134" i="166"/>
  <c r="AP134" i="166"/>
  <c r="AN134" i="166"/>
  <c r="AL134" i="166"/>
  <c r="AI134" i="166"/>
  <c r="AF134" i="166"/>
  <c r="AC134" i="166"/>
  <c r="Z134" i="166"/>
  <c r="W134" i="166"/>
  <c r="T134" i="166"/>
  <c r="Q134" i="166"/>
  <c r="N134" i="166"/>
  <c r="K134" i="166"/>
  <c r="G134" i="166"/>
  <c r="E134" i="166"/>
  <c r="D134" i="166"/>
  <c r="C134" i="166"/>
  <c r="C139" i="166" s="1"/>
  <c r="BN133" i="166"/>
  <c r="BO133" i="166" s="1"/>
  <c r="BG133" i="166"/>
  <c r="AQ133" i="166"/>
  <c r="AK133" i="166"/>
  <c r="AJ133" i="166"/>
  <c r="AH133" i="166"/>
  <c r="AE133" i="166"/>
  <c r="AB133" i="166"/>
  <c r="Y133" i="166"/>
  <c r="V133" i="166"/>
  <c r="S133" i="166"/>
  <c r="P133" i="166"/>
  <c r="M133" i="166"/>
  <c r="L133" i="166"/>
  <c r="J133" i="166"/>
  <c r="F133" i="166"/>
  <c r="H133" i="166" s="1"/>
  <c r="I133" i="166" s="1"/>
  <c r="AD133" i="166" s="1"/>
  <c r="BO132" i="166"/>
  <c r="BN132" i="166"/>
  <c r="BG132" i="166"/>
  <c r="AQ132" i="166"/>
  <c r="AK132" i="166"/>
  <c r="AH132" i="166"/>
  <c r="AE132" i="166"/>
  <c r="AB132" i="166"/>
  <c r="Y132" i="166"/>
  <c r="V132" i="166"/>
  <c r="S132" i="166"/>
  <c r="P132" i="166"/>
  <c r="M132" i="166"/>
  <c r="J132" i="166"/>
  <c r="H132" i="166"/>
  <c r="I132" i="166" s="1"/>
  <c r="F132" i="166"/>
  <c r="BO131" i="166"/>
  <c r="BN131" i="166"/>
  <c r="BG131" i="166"/>
  <c r="AQ131" i="166"/>
  <c r="AK131" i="166"/>
  <c r="AH131" i="166"/>
  <c r="AE131" i="166"/>
  <c r="AB131" i="166"/>
  <c r="Y131" i="166"/>
  <c r="V131" i="166"/>
  <c r="S131" i="166"/>
  <c r="P131" i="166"/>
  <c r="M131" i="166"/>
  <c r="J131" i="166"/>
  <c r="I131" i="166"/>
  <c r="H131" i="166"/>
  <c r="F131" i="166"/>
  <c r="BO130" i="166"/>
  <c r="BN130" i="166"/>
  <c r="BG130" i="166"/>
  <c r="AQ130" i="166"/>
  <c r="AK130" i="166"/>
  <c r="AH130" i="166"/>
  <c r="AE130" i="166"/>
  <c r="AB130" i="166"/>
  <c r="Y130" i="166"/>
  <c r="X130" i="166"/>
  <c r="V130" i="166"/>
  <c r="S130" i="166"/>
  <c r="P130" i="166"/>
  <c r="M130" i="166"/>
  <c r="J130" i="166"/>
  <c r="F130" i="166"/>
  <c r="H130" i="166" s="1"/>
  <c r="I130" i="166" s="1"/>
  <c r="BU129" i="166"/>
  <c r="BN129" i="166"/>
  <c r="BO129" i="166" s="1"/>
  <c r="BG129" i="166"/>
  <c r="AQ129" i="166"/>
  <c r="AK129" i="166"/>
  <c r="AH129" i="166"/>
  <c r="AE129" i="166"/>
  <c r="AD129" i="166"/>
  <c r="AB129" i="166"/>
  <c r="Y129" i="166"/>
  <c r="V129" i="166"/>
  <c r="S129" i="166"/>
  <c r="P129" i="166"/>
  <c r="R129" i="166" s="1"/>
  <c r="M129" i="166"/>
  <c r="J129" i="166"/>
  <c r="F129" i="166"/>
  <c r="H129" i="166" s="1"/>
  <c r="I129" i="166" s="1"/>
  <c r="AJ129" i="166" s="1"/>
  <c r="BO128" i="166"/>
  <c r="BN128" i="166"/>
  <c r="BG128" i="166"/>
  <c r="AQ128" i="166"/>
  <c r="AK128" i="166"/>
  <c r="AH128" i="166"/>
  <c r="AE128" i="166"/>
  <c r="AB128" i="166"/>
  <c r="Y128" i="166"/>
  <c r="V128" i="166"/>
  <c r="S128" i="166"/>
  <c r="P128" i="166"/>
  <c r="M128" i="166"/>
  <c r="J128" i="166"/>
  <c r="H128" i="166"/>
  <c r="I128" i="166" s="1"/>
  <c r="F128" i="166"/>
  <c r="BO127" i="166"/>
  <c r="BN127" i="166"/>
  <c r="BG127" i="166"/>
  <c r="AQ127" i="166"/>
  <c r="AK127" i="166"/>
  <c r="AH127" i="166"/>
  <c r="AE127" i="166"/>
  <c r="AB127" i="166"/>
  <c r="Y127" i="166"/>
  <c r="V127" i="166"/>
  <c r="S127" i="166"/>
  <c r="P127" i="166"/>
  <c r="M127" i="166"/>
  <c r="J127" i="166"/>
  <c r="I127" i="166"/>
  <c r="AM127" i="166" s="1"/>
  <c r="H127" i="166"/>
  <c r="F127" i="166"/>
  <c r="BN126" i="166"/>
  <c r="BO126" i="166" s="1"/>
  <c r="BG126" i="166"/>
  <c r="AQ126" i="166"/>
  <c r="AK126" i="166"/>
  <c r="AH126" i="166"/>
  <c r="AE126" i="166"/>
  <c r="AD126" i="166"/>
  <c r="AB126" i="166"/>
  <c r="Y126" i="166"/>
  <c r="V126" i="166"/>
  <c r="S126" i="166"/>
  <c r="P126" i="166"/>
  <c r="R126" i="166" s="1"/>
  <c r="M126" i="166"/>
  <c r="J126" i="166"/>
  <c r="F126" i="166"/>
  <c r="H126" i="166" s="1"/>
  <c r="I126" i="166" s="1"/>
  <c r="AJ126" i="166" s="1"/>
  <c r="BO125" i="166"/>
  <c r="BN125" i="166"/>
  <c r="BG125" i="166"/>
  <c r="AQ125" i="166"/>
  <c r="AK125" i="166"/>
  <c r="AH125" i="166"/>
  <c r="AE125" i="166"/>
  <c r="AB125" i="166"/>
  <c r="Y125" i="166"/>
  <c r="V125" i="166"/>
  <c r="S125" i="166"/>
  <c r="P125" i="166"/>
  <c r="M125" i="166"/>
  <c r="J125" i="166"/>
  <c r="H125" i="166"/>
  <c r="I125" i="166" s="1"/>
  <c r="F125" i="166"/>
  <c r="BU124" i="166"/>
  <c r="BO124" i="166"/>
  <c r="BN124" i="166"/>
  <c r="BG124" i="166"/>
  <c r="AQ124" i="166"/>
  <c r="AK124" i="166"/>
  <c r="AH124" i="166"/>
  <c r="AE124" i="166"/>
  <c r="AB124" i="166"/>
  <c r="Y124" i="166"/>
  <c r="V124" i="166"/>
  <c r="S124" i="166"/>
  <c r="P124" i="166"/>
  <c r="M124" i="166"/>
  <c r="J124" i="166"/>
  <c r="H124" i="166"/>
  <c r="I124" i="166" s="1"/>
  <c r="F124" i="166"/>
  <c r="BO123" i="166"/>
  <c r="BN123" i="166"/>
  <c r="BG123" i="166"/>
  <c r="AQ123" i="166"/>
  <c r="AK123" i="166"/>
  <c r="AH123" i="166"/>
  <c r="AE123" i="166"/>
  <c r="AB123" i="166"/>
  <c r="Y123" i="166"/>
  <c r="V123" i="166"/>
  <c r="S123" i="166"/>
  <c r="P123" i="166"/>
  <c r="M123" i="166"/>
  <c r="J123" i="166"/>
  <c r="I123" i="166"/>
  <c r="H123" i="166"/>
  <c r="F123" i="166"/>
  <c r="BO122" i="166"/>
  <c r="BN122" i="166"/>
  <c r="BG122" i="166"/>
  <c r="AQ122" i="166"/>
  <c r="AK122" i="166"/>
  <c r="AH122" i="166"/>
  <c r="AE122" i="166"/>
  <c r="AB122" i="166"/>
  <c r="Y122" i="166"/>
  <c r="V122" i="166"/>
  <c r="S122" i="166"/>
  <c r="P122" i="166"/>
  <c r="M122" i="166"/>
  <c r="J122" i="166"/>
  <c r="I122" i="166"/>
  <c r="AM122" i="166" s="1"/>
  <c r="H122" i="166"/>
  <c r="F122" i="166"/>
  <c r="BN121" i="166"/>
  <c r="BO121" i="166" s="1"/>
  <c r="BG121" i="166"/>
  <c r="AQ121" i="166"/>
  <c r="AK121" i="166"/>
  <c r="AH121" i="166"/>
  <c r="AE121" i="166"/>
  <c r="AB121" i="166"/>
  <c r="Y121" i="166"/>
  <c r="V121" i="166"/>
  <c r="S121" i="166"/>
  <c r="P121" i="166"/>
  <c r="M121" i="166"/>
  <c r="J121" i="166"/>
  <c r="H121" i="166"/>
  <c r="I121" i="166" s="1"/>
  <c r="F121" i="166"/>
  <c r="BO120" i="166"/>
  <c r="BN120" i="166"/>
  <c r="BG120" i="166"/>
  <c r="AQ120" i="166"/>
  <c r="AM120" i="166"/>
  <c r="AK120" i="166"/>
  <c r="AH120" i="166"/>
  <c r="AE120" i="166"/>
  <c r="AB120" i="166"/>
  <c r="AA120" i="166"/>
  <c r="Y120" i="166"/>
  <c r="V120" i="166"/>
  <c r="S120" i="166"/>
  <c r="P120" i="166"/>
  <c r="O120" i="166"/>
  <c r="M120" i="166"/>
  <c r="J120" i="166"/>
  <c r="I120" i="166"/>
  <c r="U120" i="166" s="1"/>
  <c r="H120" i="166"/>
  <c r="F120" i="166"/>
  <c r="BU119" i="166"/>
  <c r="BO119" i="166"/>
  <c r="BN119" i="166"/>
  <c r="BG119" i="166"/>
  <c r="AQ119" i="166"/>
  <c r="AM119" i="166"/>
  <c r="AK119" i="166"/>
  <c r="AH119" i="166"/>
  <c r="AE119" i="166"/>
  <c r="AB119" i="166"/>
  <c r="AA119" i="166"/>
  <c r="Y119" i="166"/>
  <c r="V119" i="166"/>
  <c r="U119" i="166"/>
  <c r="S119" i="166"/>
  <c r="P119" i="166"/>
  <c r="O119" i="166"/>
  <c r="M119" i="166"/>
  <c r="J119" i="166"/>
  <c r="I119" i="166"/>
  <c r="H119" i="166"/>
  <c r="F119" i="166"/>
  <c r="BU118" i="166"/>
  <c r="BO118" i="166"/>
  <c r="BN118" i="166"/>
  <c r="BG118" i="166"/>
  <c r="AQ118" i="166"/>
  <c r="AM118" i="166"/>
  <c r="AK118" i="166"/>
  <c r="AH118" i="166"/>
  <c r="AE118" i="166"/>
  <c r="AB118" i="166"/>
  <c r="AA118" i="166"/>
  <c r="Y118" i="166"/>
  <c r="V118" i="166"/>
  <c r="S118" i="166"/>
  <c r="P118" i="166"/>
  <c r="O118" i="166"/>
  <c r="M118" i="166"/>
  <c r="J118" i="166"/>
  <c r="I118" i="166"/>
  <c r="U118" i="166" s="1"/>
  <c r="H118" i="166"/>
  <c r="F118" i="166"/>
  <c r="BU117" i="166"/>
  <c r="BO117" i="166"/>
  <c r="BN117" i="166"/>
  <c r="BG117" i="166"/>
  <c r="AQ117" i="166"/>
  <c r="AQ135" i="166" s="1"/>
  <c r="AM117" i="166"/>
  <c r="AK117" i="166"/>
  <c r="AH117" i="166"/>
  <c r="AE117" i="166"/>
  <c r="AB117" i="166"/>
  <c r="AA117" i="166"/>
  <c r="Y117" i="166"/>
  <c r="V117" i="166"/>
  <c r="U117" i="166"/>
  <c r="S117" i="166"/>
  <c r="P117" i="166"/>
  <c r="O117" i="166"/>
  <c r="M117" i="166"/>
  <c r="J117" i="166"/>
  <c r="I117" i="166"/>
  <c r="H117" i="166"/>
  <c r="F117" i="166"/>
  <c r="BU116" i="166"/>
  <c r="BO116" i="166"/>
  <c r="BN116" i="166"/>
  <c r="BG116" i="166"/>
  <c r="AQ116" i="166"/>
  <c r="AM116" i="166"/>
  <c r="AK116" i="166"/>
  <c r="AH116" i="166"/>
  <c r="AE116" i="166"/>
  <c r="AB116" i="166"/>
  <c r="AA116" i="166"/>
  <c r="Y116" i="166"/>
  <c r="V116" i="166"/>
  <c r="S116" i="166"/>
  <c r="P116" i="166"/>
  <c r="O116" i="166"/>
  <c r="M116" i="166"/>
  <c r="J116" i="166"/>
  <c r="I116" i="166"/>
  <c r="U116" i="166" s="1"/>
  <c r="H116" i="166"/>
  <c r="F116" i="166"/>
  <c r="BN115" i="166"/>
  <c r="BO115" i="166" s="1"/>
  <c r="BG115" i="166"/>
  <c r="AQ115" i="166"/>
  <c r="AK115" i="166"/>
  <c r="AH115" i="166"/>
  <c r="AE115" i="166"/>
  <c r="AB115" i="166"/>
  <c r="Y115" i="166"/>
  <c r="X115" i="166"/>
  <c r="V115" i="166"/>
  <c r="S115" i="166"/>
  <c r="P115" i="166"/>
  <c r="M115" i="166"/>
  <c r="J115" i="166"/>
  <c r="F115" i="166"/>
  <c r="H115" i="166" s="1"/>
  <c r="I115" i="166" s="1"/>
  <c r="BO114" i="166"/>
  <c r="BN114" i="166"/>
  <c r="BG114" i="166"/>
  <c r="AQ114" i="166"/>
  <c r="AK114" i="166"/>
  <c r="AH114" i="166"/>
  <c r="AE114" i="166"/>
  <c r="AB114" i="166"/>
  <c r="Y114" i="166"/>
  <c r="V114" i="166"/>
  <c r="S114" i="166"/>
  <c r="P114" i="166"/>
  <c r="M114" i="166"/>
  <c r="J114" i="166"/>
  <c r="I114" i="166"/>
  <c r="H114" i="166"/>
  <c r="F114" i="166"/>
  <c r="BU113" i="166"/>
  <c r="BO113" i="166"/>
  <c r="BN113" i="166"/>
  <c r="BG113" i="166"/>
  <c r="AQ113" i="166"/>
  <c r="AQ136" i="166" s="1"/>
  <c r="AK113" i="166"/>
  <c r="AH113" i="166"/>
  <c r="AE113" i="166"/>
  <c r="AB113" i="166"/>
  <c r="Y113" i="166"/>
  <c r="V113" i="166"/>
  <c r="U113" i="166"/>
  <c r="S113" i="166"/>
  <c r="P113" i="166"/>
  <c r="M113" i="166"/>
  <c r="J113" i="166"/>
  <c r="I113" i="166"/>
  <c r="AM113" i="166" s="1"/>
  <c r="H113" i="166"/>
  <c r="F113" i="166"/>
  <c r="BN112" i="166"/>
  <c r="BO112" i="166" s="1"/>
  <c r="BG112" i="166"/>
  <c r="AQ112" i="166"/>
  <c r="AK112" i="166"/>
  <c r="AH112" i="166"/>
  <c r="AE112" i="166"/>
  <c r="AB112" i="166"/>
  <c r="Y112" i="166"/>
  <c r="V112" i="166"/>
  <c r="S112" i="166"/>
  <c r="P112" i="166"/>
  <c r="M112" i="166"/>
  <c r="J112" i="166"/>
  <c r="F112" i="166"/>
  <c r="H112" i="166" s="1"/>
  <c r="I112" i="166" s="1"/>
  <c r="BN111" i="166"/>
  <c r="BO111" i="166" s="1"/>
  <c r="BG111" i="166"/>
  <c r="AQ111" i="166"/>
  <c r="AK111" i="166"/>
  <c r="AH111" i="166"/>
  <c r="AE111" i="166"/>
  <c r="AD111" i="166"/>
  <c r="AB111" i="166"/>
  <c r="Y111" i="166"/>
  <c r="V111" i="166"/>
  <c r="S111" i="166"/>
  <c r="P111" i="166"/>
  <c r="R111" i="166" s="1"/>
  <c r="M111" i="166"/>
  <c r="J111" i="166"/>
  <c r="F111" i="166"/>
  <c r="H111" i="166" s="1"/>
  <c r="I111" i="166" s="1"/>
  <c r="AJ111" i="166" s="1"/>
  <c r="BO110" i="166"/>
  <c r="BN110" i="166"/>
  <c r="BG110" i="166"/>
  <c r="AQ110" i="166"/>
  <c r="AK110" i="166"/>
  <c r="AH110" i="166"/>
  <c r="AE110" i="166"/>
  <c r="AB110" i="166"/>
  <c r="Y110" i="166"/>
  <c r="V110" i="166"/>
  <c r="S110" i="166"/>
  <c r="P110" i="166"/>
  <c r="M110" i="166"/>
  <c r="J110" i="166"/>
  <c r="H110" i="166"/>
  <c r="I110" i="166" s="1"/>
  <c r="F110" i="166"/>
  <c r="BO109" i="166"/>
  <c r="BN109" i="166"/>
  <c r="BG109" i="166"/>
  <c r="AQ109" i="166"/>
  <c r="AM109" i="166"/>
  <c r="AK109" i="166"/>
  <c r="AH109" i="166"/>
  <c r="AE109" i="166"/>
  <c r="AB109" i="166"/>
  <c r="AA109" i="166"/>
  <c r="Y109" i="166"/>
  <c r="V109" i="166"/>
  <c r="U109" i="166"/>
  <c r="S109" i="166"/>
  <c r="P109" i="166"/>
  <c r="O109" i="166"/>
  <c r="M109" i="166"/>
  <c r="J109" i="166"/>
  <c r="I109" i="166"/>
  <c r="H109" i="166"/>
  <c r="F109" i="166"/>
  <c r="BN108" i="166"/>
  <c r="BO108" i="166" s="1"/>
  <c r="BG108" i="166"/>
  <c r="AQ108" i="166"/>
  <c r="AK108" i="166"/>
  <c r="AH108" i="166"/>
  <c r="AE108" i="166"/>
  <c r="AB108" i="166"/>
  <c r="Y108" i="166"/>
  <c r="V108" i="166"/>
  <c r="S108" i="166"/>
  <c r="P108" i="166"/>
  <c r="M108" i="166"/>
  <c r="J108" i="166"/>
  <c r="F108" i="166"/>
  <c r="H108" i="166" s="1"/>
  <c r="I108" i="166" s="1"/>
  <c r="BN107" i="166"/>
  <c r="BO107" i="166" s="1"/>
  <c r="BG107" i="166"/>
  <c r="AQ107" i="166"/>
  <c r="AK107" i="166"/>
  <c r="AJ107" i="166"/>
  <c r="AH107" i="166"/>
  <c r="AE107" i="166"/>
  <c r="AB107" i="166"/>
  <c r="Y107" i="166"/>
  <c r="V107" i="166"/>
  <c r="S107" i="166"/>
  <c r="P107" i="166"/>
  <c r="M107" i="166"/>
  <c r="L107" i="166"/>
  <c r="J107" i="166"/>
  <c r="F107" i="166"/>
  <c r="H107" i="166" s="1"/>
  <c r="I107" i="166" s="1"/>
  <c r="AD107" i="166" s="1"/>
  <c r="BO106" i="166"/>
  <c r="BN106" i="166"/>
  <c r="BG106" i="166"/>
  <c r="AQ106" i="166"/>
  <c r="AK106" i="166"/>
  <c r="AH106" i="166"/>
  <c r="AE106" i="166"/>
  <c r="AB106" i="166"/>
  <c r="Y106" i="166"/>
  <c r="V106" i="166"/>
  <c r="S106" i="166"/>
  <c r="P106" i="166"/>
  <c r="M106" i="166"/>
  <c r="J106" i="166"/>
  <c r="H106" i="166"/>
  <c r="I106" i="166" s="1"/>
  <c r="F106" i="166"/>
  <c r="BO105" i="166"/>
  <c r="BN105" i="166"/>
  <c r="BG105" i="166"/>
  <c r="AQ105" i="166"/>
  <c r="AK105" i="166"/>
  <c r="AH105" i="166"/>
  <c r="AG105" i="166"/>
  <c r="AE105" i="166"/>
  <c r="AB105" i="166"/>
  <c r="Y105" i="166"/>
  <c r="V105" i="166"/>
  <c r="S105" i="166"/>
  <c r="P105" i="166"/>
  <c r="M105" i="166"/>
  <c r="J105" i="166"/>
  <c r="I105" i="166"/>
  <c r="H105" i="166"/>
  <c r="F105" i="166"/>
  <c r="BN104" i="166"/>
  <c r="BO104" i="166" s="1"/>
  <c r="BG104" i="166"/>
  <c r="AQ104" i="166"/>
  <c r="AK104" i="166"/>
  <c r="AH104" i="166"/>
  <c r="AE104" i="166"/>
  <c r="AB104" i="166"/>
  <c r="Y104" i="166"/>
  <c r="V104" i="166"/>
  <c r="S104" i="166"/>
  <c r="P104" i="166"/>
  <c r="M104" i="166"/>
  <c r="J104" i="166"/>
  <c r="F104" i="166"/>
  <c r="H104" i="166" s="1"/>
  <c r="I104" i="166" s="1"/>
  <c r="BN103" i="166"/>
  <c r="BO103" i="166" s="1"/>
  <c r="BG103" i="166"/>
  <c r="AQ103" i="166"/>
  <c r="AK103" i="166"/>
  <c r="AH103" i="166"/>
  <c r="AE103" i="166"/>
  <c r="AB103" i="166"/>
  <c r="Y103" i="166"/>
  <c r="V103" i="166"/>
  <c r="S103" i="166"/>
  <c r="P103" i="166"/>
  <c r="M103" i="166"/>
  <c r="J103" i="166"/>
  <c r="H103" i="166"/>
  <c r="I103" i="166" s="1"/>
  <c r="F103" i="166"/>
  <c r="BO102" i="166"/>
  <c r="BN102" i="166"/>
  <c r="BG102" i="166"/>
  <c r="AQ102" i="166"/>
  <c r="AK102" i="166"/>
  <c r="AH102" i="166"/>
  <c r="AE102" i="166"/>
  <c r="AB102" i="166"/>
  <c r="Y102" i="166"/>
  <c r="V102" i="166"/>
  <c r="U102" i="166"/>
  <c r="S102" i="166"/>
  <c r="P102" i="166"/>
  <c r="M102" i="166"/>
  <c r="J102" i="166"/>
  <c r="I102" i="166"/>
  <c r="AM102" i="166" s="1"/>
  <c r="H102" i="166"/>
  <c r="F102" i="166"/>
  <c r="BN101" i="166"/>
  <c r="BO101" i="166" s="1"/>
  <c r="BG101" i="166"/>
  <c r="AQ101" i="166"/>
  <c r="AK101" i="166"/>
  <c r="AH101" i="166"/>
  <c r="AE101" i="166"/>
  <c r="AB101" i="166"/>
  <c r="Y101" i="166"/>
  <c r="V101" i="166"/>
  <c r="S101" i="166"/>
  <c r="P101" i="166"/>
  <c r="M101" i="166"/>
  <c r="J101" i="166"/>
  <c r="I101" i="166"/>
  <c r="AM101" i="166" s="1"/>
  <c r="H101" i="166"/>
  <c r="F101" i="166"/>
  <c r="BN100" i="166"/>
  <c r="BO100" i="166" s="1"/>
  <c r="BG100" i="166"/>
  <c r="AQ100" i="166"/>
  <c r="AK100" i="166"/>
  <c r="AH100" i="166"/>
  <c r="AE100" i="166"/>
  <c r="AB100" i="166"/>
  <c r="Y100" i="166"/>
  <c r="V100" i="166"/>
  <c r="S100" i="166"/>
  <c r="P100" i="166"/>
  <c r="M100" i="166"/>
  <c r="J100" i="166"/>
  <c r="F100" i="166"/>
  <c r="H100" i="166" s="1"/>
  <c r="I100" i="166" s="1"/>
  <c r="BO99" i="166"/>
  <c r="BN99" i="166"/>
  <c r="BG99" i="166"/>
  <c r="AQ99" i="166"/>
  <c r="AQ138" i="166" s="1"/>
  <c r="AK99" i="166"/>
  <c r="AH99" i="166"/>
  <c r="AE99" i="166"/>
  <c r="AB99" i="166"/>
  <c r="Y99" i="166"/>
  <c r="V99" i="166"/>
  <c r="S99" i="166"/>
  <c r="P99" i="166"/>
  <c r="M99" i="166"/>
  <c r="J99" i="166"/>
  <c r="F99" i="166"/>
  <c r="H99" i="166" s="1"/>
  <c r="H138" i="166" s="1"/>
  <c r="BO98" i="166"/>
  <c r="BN98" i="166"/>
  <c r="BG98" i="166"/>
  <c r="AQ98" i="166"/>
  <c r="AK98" i="166"/>
  <c r="AH98" i="166"/>
  <c r="AE98" i="166"/>
  <c r="AB98" i="166"/>
  <c r="Y98" i="166"/>
  <c r="V98" i="166"/>
  <c r="S98" i="166"/>
  <c r="P98" i="166"/>
  <c r="M98" i="166"/>
  <c r="J98" i="166"/>
  <c r="H98" i="166"/>
  <c r="F98" i="166"/>
  <c r="F134" i="166" s="1"/>
  <c r="AW89" i="166"/>
  <c r="C82" i="166"/>
  <c r="AU81" i="166"/>
  <c r="C81" i="166"/>
  <c r="AU80" i="166"/>
  <c r="C80" i="166"/>
  <c r="CU79" i="166"/>
  <c r="CV79" i="166" s="1"/>
  <c r="CT79" i="166"/>
  <c r="CN79" i="166"/>
  <c r="CM79" i="166"/>
  <c r="CO79" i="166" s="1"/>
  <c r="BP79" i="166"/>
  <c r="BG79" i="166"/>
  <c r="BC79" i="166"/>
  <c r="AS79" i="166"/>
  <c r="AP79" i="166"/>
  <c r="AN79" i="166"/>
  <c r="AL79" i="166"/>
  <c r="AI79" i="166"/>
  <c r="AF79" i="166"/>
  <c r="AC79" i="166"/>
  <c r="Z79" i="166"/>
  <c r="W79" i="166"/>
  <c r="T79" i="166"/>
  <c r="Q79" i="166"/>
  <c r="N79" i="166"/>
  <c r="K79" i="166"/>
  <c r="G79" i="166"/>
  <c r="E79" i="166"/>
  <c r="D79" i="166"/>
  <c r="C79" i="166"/>
  <c r="C84" i="166" s="1"/>
  <c r="BN78" i="166"/>
  <c r="BO78" i="166" s="1"/>
  <c r="BG78" i="166"/>
  <c r="AQ78" i="166"/>
  <c r="AK78" i="166"/>
  <c r="AH78" i="166"/>
  <c r="AE78" i="166"/>
  <c r="AB78" i="166"/>
  <c r="Y78" i="166"/>
  <c r="V78" i="166"/>
  <c r="S78" i="166"/>
  <c r="P78" i="166"/>
  <c r="M78" i="166"/>
  <c r="J78" i="166"/>
  <c r="H78" i="166"/>
  <c r="I78" i="166" s="1"/>
  <c r="F78" i="166"/>
  <c r="BN77" i="166"/>
  <c r="BO77" i="166" s="1"/>
  <c r="BG77" i="166"/>
  <c r="AQ77" i="166"/>
  <c r="AK77" i="166"/>
  <c r="AJ77" i="166"/>
  <c r="AH77" i="166"/>
  <c r="AE77" i="166"/>
  <c r="AD77" i="166"/>
  <c r="AB77" i="166"/>
  <c r="Y77" i="166"/>
  <c r="V77" i="166"/>
  <c r="S77" i="166"/>
  <c r="P77" i="166"/>
  <c r="M77" i="166"/>
  <c r="L77" i="166"/>
  <c r="J77" i="166"/>
  <c r="F77" i="166"/>
  <c r="H77" i="166" s="1"/>
  <c r="I77" i="166" s="1"/>
  <c r="BO76" i="166"/>
  <c r="BN76" i="166"/>
  <c r="BG76" i="166"/>
  <c r="AQ76" i="166"/>
  <c r="AK76" i="166"/>
  <c r="AH76" i="166"/>
  <c r="AE76" i="166"/>
  <c r="AB76" i="166"/>
  <c r="Y76" i="166"/>
  <c r="V76" i="166"/>
  <c r="S76" i="166"/>
  <c r="P76" i="166"/>
  <c r="M76" i="166"/>
  <c r="J76" i="166"/>
  <c r="H76" i="166"/>
  <c r="I76" i="166" s="1"/>
  <c r="F76" i="166"/>
  <c r="BU75" i="166"/>
  <c r="BO75" i="166"/>
  <c r="BN75" i="166"/>
  <c r="BG75" i="166"/>
  <c r="AQ75" i="166"/>
  <c r="AK75" i="166"/>
  <c r="AH75" i="166"/>
  <c r="AE75" i="166"/>
  <c r="AB75" i="166"/>
  <c r="Y75" i="166"/>
  <c r="V75" i="166"/>
  <c r="S75" i="166"/>
  <c r="P75" i="166"/>
  <c r="M75" i="166"/>
  <c r="J75" i="166"/>
  <c r="H75" i="166"/>
  <c r="I75" i="166" s="1"/>
  <c r="F75" i="166"/>
  <c r="BU74" i="166"/>
  <c r="BU79" i="166" s="1"/>
  <c r="BW79" i="166" s="1"/>
  <c r="BO74" i="166"/>
  <c r="BN74" i="166"/>
  <c r="BG74" i="166"/>
  <c r="AQ74" i="166"/>
  <c r="AQ80" i="166" s="1"/>
  <c r="AK74" i="166"/>
  <c r="AH74" i="166"/>
  <c r="AE74" i="166"/>
  <c r="AB74" i="166"/>
  <c r="Y74" i="166"/>
  <c r="V74" i="166"/>
  <c r="S74" i="166"/>
  <c r="P74" i="166"/>
  <c r="M74" i="166"/>
  <c r="J74" i="166"/>
  <c r="H74" i="166"/>
  <c r="I74" i="166" s="1"/>
  <c r="F74" i="166"/>
  <c r="BU73" i="166"/>
  <c r="BO73" i="166"/>
  <c r="BN73" i="166"/>
  <c r="BG73" i="166"/>
  <c r="AQ73" i="166"/>
  <c r="AQ81" i="166" s="1"/>
  <c r="AK73" i="166"/>
  <c r="AH73" i="166"/>
  <c r="AE73" i="166"/>
  <c r="AB73" i="166"/>
  <c r="Y73" i="166"/>
  <c r="V73" i="166"/>
  <c r="S73" i="166"/>
  <c r="P73" i="166"/>
  <c r="M73" i="166"/>
  <c r="J73" i="166"/>
  <c r="H73" i="166"/>
  <c r="I73" i="166" s="1"/>
  <c r="F73" i="166"/>
  <c r="BN72" i="166"/>
  <c r="BO72" i="166" s="1"/>
  <c r="BG72" i="166"/>
  <c r="AQ72" i="166"/>
  <c r="AK72" i="166"/>
  <c r="AH72" i="166"/>
  <c r="AE72" i="166"/>
  <c r="AB72" i="166"/>
  <c r="Y72" i="166"/>
  <c r="V72" i="166"/>
  <c r="S72" i="166"/>
  <c r="P72" i="166"/>
  <c r="M72" i="166"/>
  <c r="J72" i="166"/>
  <c r="F72" i="166"/>
  <c r="H72" i="166" s="1"/>
  <c r="I72" i="166" s="1"/>
  <c r="BO71" i="166"/>
  <c r="BN71" i="166"/>
  <c r="BG71" i="166"/>
  <c r="AQ71" i="166"/>
  <c r="AK71" i="166"/>
  <c r="AH71" i="166"/>
  <c r="AE71" i="166"/>
  <c r="AB71" i="166"/>
  <c r="Y71" i="166"/>
  <c r="V71" i="166"/>
  <c r="S71" i="166"/>
  <c r="P71" i="166"/>
  <c r="M71" i="166"/>
  <c r="J71" i="166"/>
  <c r="H71" i="166"/>
  <c r="I71" i="166" s="1"/>
  <c r="F71" i="166"/>
  <c r="BN70" i="166"/>
  <c r="BO70" i="166" s="1"/>
  <c r="BG70" i="166"/>
  <c r="AQ70" i="166"/>
  <c r="AK70" i="166"/>
  <c r="AJ70" i="166"/>
  <c r="AH70" i="166"/>
  <c r="AE70" i="166"/>
  <c r="AD70" i="166"/>
  <c r="AB70" i="166"/>
  <c r="Y70" i="166"/>
  <c r="V70" i="166"/>
  <c r="S70" i="166"/>
  <c r="P70" i="166"/>
  <c r="M70" i="166"/>
  <c r="L70" i="166"/>
  <c r="J70" i="166"/>
  <c r="F70" i="166"/>
  <c r="H70" i="166" s="1"/>
  <c r="I70" i="166" s="1"/>
  <c r="BO69" i="166"/>
  <c r="BN69" i="166"/>
  <c r="BG69" i="166"/>
  <c r="AQ69" i="166"/>
  <c r="AK69" i="166"/>
  <c r="AH69" i="166"/>
  <c r="AE69" i="166"/>
  <c r="AB69" i="166"/>
  <c r="Y69" i="166"/>
  <c r="V69" i="166"/>
  <c r="S69" i="166"/>
  <c r="P69" i="166"/>
  <c r="M69" i="166"/>
  <c r="J69" i="166"/>
  <c r="H69" i="166"/>
  <c r="I69" i="166" s="1"/>
  <c r="F69" i="166"/>
  <c r="BN68" i="166"/>
  <c r="BO68" i="166" s="1"/>
  <c r="BG68" i="166"/>
  <c r="AQ68" i="166"/>
  <c r="AK68" i="166"/>
  <c r="AH68" i="166"/>
  <c r="AE68" i="166"/>
  <c r="AB68" i="166"/>
  <c r="Y68" i="166"/>
  <c r="V68" i="166"/>
  <c r="S68" i="166"/>
  <c r="P68" i="166"/>
  <c r="M68" i="166"/>
  <c r="J68" i="166"/>
  <c r="F68" i="166"/>
  <c r="H68" i="166" s="1"/>
  <c r="H82" i="166" s="1"/>
  <c r="BO67" i="166"/>
  <c r="BN67" i="166"/>
  <c r="BG67" i="166"/>
  <c r="AQ67" i="166"/>
  <c r="AQ79" i="166" s="1"/>
  <c r="AK67" i="166"/>
  <c r="AK79" i="166" s="1"/>
  <c r="AH67" i="166"/>
  <c r="AE67" i="166"/>
  <c r="AB67" i="166"/>
  <c r="AB79" i="166" s="1"/>
  <c r="Y67" i="166"/>
  <c r="Y79" i="166" s="1"/>
  <c r="V67" i="166"/>
  <c r="S67" i="166"/>
  <c r="P67" i="166"/>
  <c r="M67" i="166"/>
  <c r="M79" i="166" s="1"/>
  <c r="J67" i="166"/>
  <c r="H67" i="166"/>
  <c r="I67" i="166" s="1"/>
  <c r="F67" i="166"/>
  <c r="F79" i="166" s="1"/>
  <c r="C52" i="166"/>
  <c r="C243" i="166" s="1"/>
  <c r="C51" i="166"/>
  <c r="C242" i="166" s="1"/>
  <c r="AU50" i="166"/>
  <c r="AU241" i="166" s="1"/>
  <c r="C50" i="166"/>
  <c r="C241" i="166" s="1"/>
  <c r="AU49" i="166"/>
  <c r="AU240" i="166" s="1"/>
  <c r="C49" i="166"/>
  <c r="C240" i="166" s="1"/>
  <c r="CU48" i="166"/>
  <c r="CT48" i="166"/>
  <c r="CN48" i="166"/>
  <c r="CM48" i="166"/>
  <c r="CO48" i="166" s="1"/>
  <c r="BP48" i="166"/>
  <c r="BP239" i="166" s="1"/>
  <c r="BG48" i="166"/>
  <c r="BC48" i="166"/>
  <c r="BC239" i="166" s="1"/>
  <c r="AS48" i="166"/>
  <c r="AS239" i="166" s="1"/>
  <c r="AP48" i="166"/>
  <c r="AP239" i="166" s="1"/>
  <c r="AN48" i="166"/>
  <c r="AL48" i="166"/>
  <c r="AL239" i="166" s="1"/>
  <c r="AI48" i="166"/>
  <c r="AI239" i="166" s="1"/>
  <c r="AF48" i="166"/>
  <c r="AC48" i="166"/>
  <c r="AC239" i="166" s="1"/>
  <c r="Z48" i="166"/>
  <c r="Z239" i="166" s="1"/>
  <c r="W48" i="166"/>
  <c r="W239" i="166" s="1"/>
  <c r="T48" i="166"/>
  <c r="T239" i="166" s="1"/>
  <c r="Q48" i="166"/>
  <c r="N48" i="166"/>
  <c r="N239" i="166" s="1"/>
  <c r="K48" i="166"/>
  <c r="K239" i="166" s="1"/>
  <c r="G48" i="166"/>
  <c r="G239" i="166" s="1"/>
  <c r="E48" i="166"/>
  <c r="E239" i="166" s="1"/>
  <c r="D48" i="166"/>
  <c r="D239" i="166" s="1"/>
  <c r="C48" i="166"/>
  <c r="C239" i="166" s="1"/>
  <c r="C244" i="166" s="1"/>
  <c r="BN47" i="166"/>
  <c r="BO47" i="166" s="1"/>
  <c r="BG47" i="166"/>
  <c r="AQ47" i="166"/>
  <c r="AK47" i="166"/>
  <c r="AJ47" i="166"/>
  <c r="AH47" i="166"/>
  <c r="AE47" i="166"/>
  <c r="AD47" i="166"/>
  <c r="AB47" i="166"/>
  <c r="Y47" i="166"/>
  <c r="X47" i="166"/>
  <c r="V47" i="166"/>
  <c r="S47" i="166"/>
  <c r="R47" i="166"/>
  <c r="P47" i="166"/>
  <c r="M47" i="166"/>
  <c r="L47" i="166"/>
  <c r="J47" i="166"/>
  <c r="I47" i="166"/>
  <c r="F47" i="166"/>
  <c r="H47" i="166" s="1"/>
  <c r="BO46" i="166"/>
  <c r="BN46" i="166"/>
  <c r="BG46" i="166"/>
  <c r="AQ46" i="166"/>
  <c r="AK46" i="166"/>
  <c r="AH46" i="166"/>
  <c r="AE46" i="166"/>
  <c r="AB46" i="166"/>
  <c r="Y46" i="166"/>
  <c r="V46" i="166"/>
  <c r="S46" i="166"/>
  <c r="P46" i="166"/>
  <c r="M46" i="166"/>
  <c r="J46" i="166"/>
  <c r="H46" i="166"/>
  <c r="I46" i="166" s="1"/>
  <c r="F46" i="166"/>
  <c r="BN45" i="166"/>
  <c r="BO45" i="166" s="1"/>
  <c r="BG45" i="166"/>
  <c r="AQ45" i="166"/>
  <c r="AK45" i="166"/>
  <c r="AH45" i="166"/>
  <c r="AE45" i="166"/>
  <c r="AB45" i="166"/>
  <c r="Y45" i="166"/>
  <c r="V45" i="166"/>
  <c r="S45" i="166"/>
  <c r="P45" i="166"/>
  <c r="M45" i="166"/>
  <c r="J45" i="166"/>
  <c r="F45" i="166"/>
  <c r="H45" i="166" s="1"/>
  <c r="I45" i="166" s="1"/>
  <c r="BO44" i="166"/>
  <c r="BN44" i="166"/>
  <c r="BG44" i="166"/>
  <c r="AQ44" i="166"/>
  <c r="AK44" i="166"/>
  <c r="AH44" i="166"/>
  <c r="AE44" i="166"/>
  <c r="AB44" i="166"/>
  <c r="Y44" i="166"/>
  <c r="V44" i="166"/>
  <c r="S44" i="166"/>
  <c r="P44" i="166"/>
  <c r="M44" i="166"/>
  <c r="J44" i="166"/>
  <c r="F44" i="166"/>
  <c r="H44" i="166" s="1"/>
  <c r="I44" i="166" s="1"/>
  <c r="BU43" i="166"/>
  <c r="BN43" i="166"/>
  <c r="BO43" i="166" s="1"/>
  <c r="BG43" i="166"/>
  <c r="AQ43" i="166"/>
  <c r="AK43" i="166"/>
  <c r="AH43" i="166"/>
  <c r="AE43" i="166"/>
  <c r="AB43" i="166"/>
  <c r="Y43" i="166"/>
  <c r="V43" i="166"/>
  <c r="S43" i="166"/>
  <c r="P43" i="166"/>
  <c r="M43" i="166"/>
  <c r="J43" i="166"/>
  <c r="F43" i="166"/>
  <c r="H43" i="166" s="1"/>
  <c r="I43" i="166" s="1"/>
  <c r="BO42" i="166"/>
  <c r="BN42" i="166"/>
  <c r="BG42" i="166"/>
  <c r="AQ42" i="166"/>
  <c r="AK42" i="166"/>
  <c r="AH42" i="166"/>
  <c r="AE42" i="166"/>
  <c r="AB42" i="166"/>
  <c r="Y42" i="166"/>
  <c r="V42" i="166"/>
  <c r="S42" i="166"/>
  <c r="P42" i="166"/>
  <c r="M42" i="166"/>
  <c r="J42" i="166"/>
  <c r="F42" i="166"/>
  <c r="H42" i="166" s="1"/>
  <c r="I42" i="166" s="1"/>
  <c r="BO41" i="166"/>
  <c r="BN41" i="166"/>
  <c r="BG41" i="166"/>
  <c r="AQ41" i="166"/>
  <c r="AK41" i="166"/>
  <c r="AH41" i="166"/>
  <c r="AE41" i="166"/>
  <c r="AB41" i="166"/>
  <c r="Y41" i="166"/>
  <c r="V41" i="166"/>
  <c r="S41" i="166"/>
  <c r="P41" i="166"/>
  <c r="M41" i="166"/>
  <c r="J41" i="166"/>
  <c r="F41" i="166"/>
  <c r="H41" i="166" s="1"/>
  <c r="I41" i="166" s="1"/>
  <c r="BO40" i="166"/>
  <c r="BN40" i="166"/>
  <c r="BG40" i="166"/>
  <c r="AQ40" i="166"/>
  <c r="AK40" i="166"/>
  <c r="AH40" i="166"/>
  <c r="AE40" i="166"/>
  <c r="AB40" i="166"/>
  <c r="Y40" i="166"/>
  <c r="V40" i="166"/>
  <c r="S40" i="166"/>
  <c r="P40" i="166"/>
  <c r="M40" i="166"/>
  <c r="J40" i="166"/>
  <c r="H40" i="166"/>
  <c r="I40" i="166" s="1"/>
  <c r="F40" i="166"/>
  <c r="BU39" i="166"/>
  <c r="BO39" i="166"/>
  <c r="BN39" i="166"/>
  <c r="BG39" i="166"/>
  <c r="AQ39" i="166"/>
  <c r="AK39" i="166"/>
  <c r="AH39" i="166"/>
  <c r="AE39" i="166"/>
  <c r="AB39" i="166"/>
  <c r="Y39" i="166"/>
  <c r="V39" i="166"/>
  <c r="S39" i="166"/>
  <c r="P39" i="166"/>
  <c r="M39" i="166"/>
  <c r="J39" i="166"/>
  <c r="H39" i="166"/>
  <c r="I39" i="166" s="1"/>
  <c r="F39" i="166"/>
  <c r="BN38" i="166"/>
  <c r="BO38" i="166" s="1"/>
  <c r="BG38" i="166"/>
  <c r="AQ38" i="166"/>
  <c r="AK38" i="166"/>
  <c r="AH38" i="166"/>
  <c r="AE38" i="166"/>
  <c r="AB38" i="166"/>
  <c r="Y38" i="166"/>
  <c r="V38" i="166"/>
  <c r="S38" i="166"/>
  <c r="P38" i="166"/>
  <c r="M38" i="166"/>
  <c r="J38" i="166"/>
  <c r="F38" i="166"/>
  <c r="H38" i="166" s="1"/>
  <c r="I38" i="166" s="1"/>
  <c r="AD38" i="166" s="1"/>
  <c r="BO37" i="166"/>
  <c r="BN37" i="166"/>
  <c r="BG37" i="166"/>
  <c r="AQ37" i="166"/>
  <c r="AK37" i="166"/>
  <c r="AH37" i="166"/>
  <c r="AE37" i="166"/>
  <c r="AB37" i="166"/>
  <c r="Y37" i="166"/>
  <c r="V37" i="166"/>
  <c r="S37" i="166"/>
  <c r="P37" i="166"/>
  <c r="M37" i="166"/>
  <c r="J37" i="166"/>
  <c r="H37" i="166"/>
  <c r="I37" i="166" s="1"/>
  <c r="F37" i="166"/>
  <c r="BN36" i="166"/>
  <c r="BO36" i="166" s="1"/>
  <c r="BG36" i="166"/>
  <c r="AQ36" i="166"/>
  <c r="AK36" i="166"/>
  <c r="AH36" i="166"/>
  <c r="AE36" i="166"/>
  <c r="AB36" i="166"/>
  <c r="Y36" i="166"/>
  <c r="V36" i="166"/>
  <c r="S36" i="166"/>
  <c r="P36" i="166"/>
  <c r="M36" i="166"/>
  <c r="J36" i="166"/>
  <c r="F36" i="166"/>
  <c r="H36" i="166" s="1"/>
  <c r="I36" i="166" s="1"/>
  <c r="BO35" i="166"/>
  <c r="BN35" i="166"/>
  <c r="BG35" i="166"/>
  <c r="AQ35" i="166"/>
  <c r="AK35" i="166"/>
  <c r="AH35" i="166"/>
  <c r="AE35" i="166"/>
  <c r="AB35" i="166"/>
  <c r="Y35" i="166"/>
  <c r="V35" i="166"/>
  <c r="S35" i="166"/>
  <c r="P35" i="166"/>
  <c r="M35" i="166"/>
  <c r="J35" i="166"/>
  <c r="H35" i="166"/>
  <c r="I35" i="166" s="1"/>
  <c r="F35" i="166"/>
  <c r="BN34" i="166"/>
  <c r="BO34" i="166" s="1"/>
  <c r="BG34" i="166"/>
  <c r="AQ34" i="166"/>
  <c r="AQ52" i="166" s="1"/>
  <c r="AQ243" i="166" s="1"/>
  <c r="AK34" i="166"/>
  <c r="AH34" i="166"/>
  <c r="AE34" i="166"/>
  <c r="AB34" i="166"/>
  <c r="Y34" i="166"/>
  <c r="V34" i="166"/>
  <c r="S34" i="166"/>
  <c r="P34" i="166"/>
  <c r="M34" i="166"/>
  <c r="J34" i="166"/>
  <c r="F34" i="166"/>
  <c r="H34" i="166" s="1"/>
  <c r="BU33" i="166"/>
  <c r="BN33" i="166"/>
  <c r="BO33" i="166" s="1"/>
  <c r="BG33" i="166"/>
  <c r="AQ33" i="166"/>
  <c r="AK33" i="166"/>
  <c r="AH33" i="166"/>
  <c r="AE33" i="166"/>
  <c r="AB33" i="166"/>
  <c r="Y33" i="166"/>
  <c r="V33" i="166"/>
  <c r="S33" i="166"/>
  <c r="P33" i="166"/>
  <c r="M33" i="166"/>
  <c r="J33" i="166"/>
  <c r="F33" i="166"/>
  <c r="H33" i="166" s="1"/>
  <c r="I33" i="166" s="1"/>
  <c r="AD33" i="166" s="1"/>
  <c r="BU32" i="166"/>
  <c r="BN32" i="166"/>
  <c r="BO32" i="166" s="1"/>
  <c r="BG32" i="166"/>
  <c r="AQ32" i="166"/>
  <c r="AK32" i="166"/>
  <c r="AH32" i="166"/>
  <c r="AE32" i="166"/>
  <c r="AB32" i="166"/>
  <c r="Y32" i="166"/>
  <c r="V32" i="166"/>
  <c r="S32" i="166"/>
  <c r="P32" i="166"/>
  <c r="M32" i="166"/>
  <c r="J32" i="166"/>
  <c r="F32" i="166"/>
  <c r="H32" i="166" s="1"/>
  <c r="I32" i="166" s="1"/>
  <c r="BU31" i="166"/>
  <c r="BN31" i="166"/>
  <c r="BO31" i="166" s="1"/>
  <c r="BG31" i="166"/>
  <c r="AQ31" i="166"/>
  <c r="AQ49" i="166" s="1"/>
  <c r="AQ240" i="166" s="1"/>
  <c r="AK31" i="166"/>
  <c r="AH31" i="166"/>
  <c r="AE31" i="166"/>
  <c r="AB31" i="166"/>
  <c r="Y31" i="166"/>
  <c r="V31" i="166"/>
  <c r="S31" i="166"/>
  <c r="P31" i="166"/>
  <c r="M31" i="166"/>
  <c r="J31" i="166"/>
  <c r="H31" i="166"/>
  <c r="H49" i="166" s="1"/>
  <c r="F31" i="166"/>
  <c r="BO30" i="166"/>
  <c r="BN30" i="166"/>
  <c r="BG30" i="166"/>
  <c r="AQ30" i="166"/>
  <c r="AK30" i="166"/>
  <c r="AH30" i="166"/>
  <c r="AE30" i="166"/>
  <c r="AB30" i="166"/>
  <c r="Y30" i="166"/>
  <c r="V30" i="166"/>
  <c r="S30" i="166"/>
  <c r="P30" i="166"/>
  <c r="M30" i="166"/>
  <c r="J30" i="166"/>
  <c r="I30" i="166"/>
  <c r="AM30" i="166" s="1"/>
  <c r="H30" i="166"/>
  <c r="F30" i="166"/>
  <c r="BU29" i="166"/>
  <c r="BO29" i="166"/>
  <c r="BN29" i="166"/>
  <c r="BG29" i="166"/>
  <c r="AQ29" i="166"/>
  <c r="AK29" i="166"/>
  <c r="AH29" i="166"/>
  <c r="AE29" i="166"/>
  <c r="AB29" i="166"/>
  <c r="Y29" i="166"/>
  <c r="V29" i="166"/>
  <c r="U29" i="166"/>
  <c r="S29" i="166"/>
  <c r="P29" i="166"/>
  <c r="M29" i="166"/>
  <c r="J29" i="166"/>
  <c r="I29" i="166"/>
  <c r="AM29" i="166" s="1"/>
  <c r="H29" i="166"/>
  <c r="F29" i="166"/>
  <c r="BO28" i="166"/>
  <c r="BN28" i="166"/>
  <c r="BG28" i="166"/>
  <c r="AQ28" i="166"/>
  <c r="AK28" i="166"/>
  <c r="AH28" i="166"/>
  <c r="AE28" i="166"/>
  <c r="AB28" i="166"/>
  <c r="Y28" i="166"/>
  <c r="V28" i="166"/>
  <c r="S28" i="166"/>
  <c r="P28" i="166"/>
  <c r="M28" i="166"/>
  <c r="J28" i="166"/>
  <c r="F28" i="166"/>
  <c r="H28" i="166" s="1"/>
  <c r="I28" i="166" s="1"/>
  <c r="BU27" i="166"/>
  <c r="BN27" i="166"/>
  <c r="BO27" i="166" s="1"/>
  <c r="BG27" i="166"/>
  <c r="AQ27" i="166"/>
  <c r="AK27" i="166"/>
  <c r="AH27" i="166"/>
  <c r="AE27" i="166"/>
  <c r="AB27" i="166"/>
  <c r="Y27" i="166"/>
  <c r="V27" i="166"/>
  <c r="S27" i="166"/>
  <c r="P27" i="166"/>
  <c r="M27" i="166"/>
  <c r="J27" i="166"/>
  <c r="H27" i="166"/>
  <c r="I27" i="166" s="1"/>
  <c r="AD27" i="166" s="1"/>
  <c r="F27" i="166"/>
  <c r="BU26" i="166"/>
  <c r="BU48" i="166" s="1"/>
  <c r="BN26" i="166"/>
  <c r="BO26" i="166" s="1"/>
  <c r="BG26" i="166"/>
  <c r="AQ26" i="166"/>
  <c r="AQ50" i="166" s="1"/>
  <c r="AK26" i="166"/>
  <c r="AH26" i="166"/>
  <c r="AE26" i="166"/>
  <c r="AB26" i="166"/>
  <c r="Y26" i="166"/>
  <c r="V26" i="166"/>
  <c r="S26" i="166"/>
  <c r="P26" i="166"/>
  <c r="M26" i="166"/>
  <c r="J26" i="166"/>
  <c r="F26" i="166"/>
  <c r="H26" i="166" s="1"/>
  <c r="BN25" i="166"/>
  <c r="BO25" i="166" s="1"/>
  <c r="BG25" i="166"/>
  <c r="AQ25" i="166"/>
  <c r="AK25" i="166"/>
  <c r="AH25" i="166"/>
  <c r="AE25" i="166"/>
  <c r="AB25" i="166"/>
  <c r="Y25" i="166"/>
  <c r="V25" i="166"/>
  <c r="S25" i="166"/>
  <c r="P25" i="166"/>
  <c r="M25" i="166"/>
  <c r="J25" i="166"/>
  <c r="F25" i="166"/>
  <c r="H25" i="166" s="1"/>
  <c r="I25" i="166" s="1"/>
  <c r="BO24" i="166"/>
  <c r="BN24" i="166"/>
  <c r="BG24" i="166"/>
  <c r="AQ24" i="166"/>
  <c r="AK24" i="166"/>
  <c r="AH24" i="166"/>
  <c r="AE24" i="166"/>
  <c r="AB24" i="166"/>
  <c r="Y24" i="166"/>
  <c r="V24" i="166"/>
  <c r="S24" i="166"/>
  <c r="P24" i="166"/>
  <c r="M24" i="166"/>
  <c r="J24" i="166"/>
  <c r="H24" i="166"/>
  <c r="I24" i="166" s="1"/>
  <c r="F24" i="166"/>
  <c r="BN23" i="166"/>
  <c r="BO23" i="166" s="1"/>
  <c r="BG23" i="166"/>
  <c r="AQ23" i="166"/>
  <c r="AK23" i="166"/>
  <c r="AH23" i="166"/>
  <c r="AE23" i="166"/>
  <c r="AB23" i="166"/>
  <c r="Y23" i="166"/>
  <c r="V23" i="166"/>
  <c r="S23" i="166"/>
  <c r="P23" i="166"/>
  <c r="M23" i="166"/>
  <c r="J23" i="166"/>
  <c r="H23" i="166"/>
  <c r="I23" i="166" s="1"/>
  <c r="F23" i="166"/>
  <c r="BN22" i="166"/>
  <c r="BO22" i="166" s="1"/>
  <c r="BG22" i="166"/>
  <c r="AQ22" i="166"/>
  <c r="AK22" i="166"/>
  <c r="AH22" i="166"/>
  <c r="AE22" i="166"/>
  <c r="AB22" i="166"/>
  <c r="Y22" i="166"/>
  <c r="V22" i="166"/>
  <c r="S22" i="166"/>
  <c r="P22" i="166"/>
  <c r="M22" i="166"/>
  <c r="J22" i="166"/>
  <c r="F22" i="166"/>
  <c r="H22" i="166" s="1"/>
  <c r="I22" i="166" s="1"/>
  <c r="BO21" i="166"/>
  <c r="BN21" i="166"/>
  <c r="BG21" i="166"/>
  <c r="AQ21" i="166"/>
  <c r="AK21" i="166"/>
  <c r="AH21" i="166"/>
  <c r="AE21" i="166"/>
  <c r="AB21" i="166"/>
  <c r="Y21" i="166"/>
  <c r="V21" i="166"/>
  <c r="S21" i="166"/>
  <c r="P21" i="166"/>
  <c r="M21" i="166"/>
  <c r="J21" i="166"/>
  <c r="H21" i="166"/>
  <c r="I21" i="166" s="1"/>
  <c r="F21" i="166"/>
  <c r="BN20" i="166"/>
  <c r="BO20" i="166" s="1"/>
  <c r="BG20" i="166"/>
  <c r="AQ20" i="166"/>
  <c r="AK20" i="166"/>
  <c r="AH20" i="166"/>
  <c r="AE20" i="166"/>
  <c r="AB20" i="166"/>
  <c r="Y20" i="166"/>
  <c r="V20" i="166"/>
  <c r="S20" i="166"/>
  <c r="P20" i="166"/>
  <c r="M20" i="166"/>
  <c r="J20" i="166"/>
  <c r="F20" i="166"/>
  <c r="H20" i="166" s="1"/>
  <c r="I20" i="166" s="1"/>
  <c r="BO19" i="166"/>
  <c r="BN19" i="166"/>
  <c r="BG19" i="166"/>
  <c r="AQ19" i="166"/>
  <c r="AK19" i="166"/>
  <c r="AH19" i="166"/>
  <c r="AE19" i="166"/>
  <c r="AB19" i="166"/>
  <c r="Y19" i="166"/>
  <c r="V19" i="166"/>
  <c r="S19" i="166"/>
  <c r="P19" i="166"/>
  <c r="M19" i="166"/>
  <c r="J19" i="166"/>
  <c r="H19" i="166"/>
  <c r="I19" i="166" s="1"/>
  <c r="F19" i="166"/>
  <c r="BN18" i="166"/>
  <c r="BO18" i="166" s="1"/>
  <c r="BG18" i="166"/>
  <c r="AQ18" i="166"/>
  <c r="AK18" i="166"/>
  <c r="AH18" i="166"/>
  <c r="AE18" i="166"/>
  <c r="AB18" i="166"/>
  <c r="Y18" i="166"/>
  <c r="V18" i="166"/>
  <c r="S18" i="166"/>
  <c r="P18" i="166"/>
  <c r="M18" i="166"/>
  <c r="J18" i="166"/>
  <c r="F18" i="166"/>
  <c r="H18" i="166" s="1"/>
  <c r="I18" i="166" s="1"/>
  <c r="BO17" i="166"/>
  <c r="BN17" i="166"/>
  <c r="BG17" i="166"/>
  <c r="AQ17" i="166"/>
  <c r="AK17" i="166"/>
  <c r="AH17" i="166"/>
  <c r="AE17" i="166"/>
  <c r="AB17" i="166"/>
  <c r="Y17" i="166"/>
  <c r="V17" i="166"/>
  <c r="S17" i="166"/>
  <c r="P17" i="166"/>
  <c r="M17" i="166"/>
  <c r="J17" i="166"/>
  <c r="H17" i="166"/>
  <c r="I17" i="166" s="1"/>
  <c r="F17" i="166"/>
  <c r="BN16" i="166"/>
  <c r="BO16" i="166" s="1"/>
  <c r="BG16" i="166"/>
  <c r="AQ16" i="166"/>
  <c r="AK16" i="166"/>
  <c r="AH16" i="166"/>
  <c r="AE16" i="166"/>
  <c r="AB16" i="166"/>
  <c r="Y16" i="166"/>
  <c r="V16" i="166"/>
  <c r="S16" i="166"/>
  <c r="P16" i="166"/>
  <c r="M16" i="166"/>
  <c r="J16" i="166"/>
  <c r="F16" i="166"/>
  <c r="H16" i="166" s="1"/>
  <c r="I16" i="166" s="1"/>
  <c r="BO15" i="166"/>
  <c r="BN15" i="166"/>
  <c r="BG15" i="166"/>
  <c r="AQ15" i="166"/>
  <c r="AK15" i="166"/>
  <c r="AH15" i="166"/>
  <c r="AE15" i="166"/>
  <c r="AB15" i="166"/>
  <c r="Y15" i="166"/>
  <c r="V15" i="166"/>
  <c r="S15" i="166"/>
  <c r="P15" i="166"/>
  <c r="M15" i="166"/>
  <c r="J15" i="166"/>
  <c r="F15" i="166"/>
  <c r="H15" i="166" s="1"/>
  <c r="I15" i="166" s="1"/>
  <c r="BO14" i="166"/>
  <c r="BN14" i="166"/>
  <c r="BG14" i="166"/>
  <c r="AQ14" i="166"/>
  <c r="AK14" i="166"/>
  <c r="AH14" i="166"/>
  <c r="AE14" i="166"/>
  <c r="AB14" i="166"/>
  <c r="Y14" i="166"/>
  <c r="V14" i="166"/>
  <c r="S14" i="166"/>
  <c r="P14" i="166"/>
  <c r="M14" i="166"/>
  <c r="J14" i="166"/>
  <c r="H14" i="166"/>
  <c r="I14" i="166" s="1"/>
  <c r="F14" i="166"/>
  <c r="BN13" i="166"/>
  <c r="BO13" i="166" s="1"/>
  <c r="BG13" i="166"/>
  <c r="AQ13" i="166"/>
  <c r="AK13" i="166"/>
  <c r="AH13" i="166"/>
  <c r="AE13" i="166"/>
  <c r="AB13" i="166"/>
  <c r="Y13" i="166"/>
  <c r="V13" i="166"/>
  <c r="S13" i="166"/>
  <c r="P13" i="166"/>
  <c r="M13" i="166"/>
  <c r="J13" i="166"/>
  <c r="F13" i="166"/>
  <c r="H13" i="166" s="1"/>
  <c r="I13" i="166" s="1"/>
  <c r="BO12" i="166"/>
  <c r="BO48" i="166" s="1"/>
  <c r="BN12" i="166"/>
  <c r="BG12" i="166"/>
  <c r="AQ12" i="166"/>
  <c r="AK12" i="166"/>
  <c r="AK48" i="166" s="1"/>
  <c r="AH12" i="166"/>
  <c r="AH48" i="166" s="1"/>
  <c r="AE12" i="166"/>
  <c r="AE48" i="166" s="1"/>
  <c r="AB12" i="166"/>
  <c r="AB48" i="166" s="1"/>
  <c r="Y12" i="166"/>
  <c r="Y48" i="166" s="1"/>
  <c r="V12" i="166"/>
  <c r="V48" i="166" s="1"/>
  <c r="S12" i="166"/>
  <c r="S48" i="166" s="1"/>
  <c r="P12" i="166"/>
  <c r="M12" i="166"/>
  <c r="M48" i="166" s="1"/>
  <c r="J12" i="166"/>
  <c r="J48" i="166" s="1"/>
  <c r="F12" i="166"/>
  <c r="F48" i="166" s="1"/>
  <c r="BG11" i="166"/>
  <c r="G11" i="166"/>
  <c r="AW243" i="165"/>
  <c r="AV243" i="165"/>
  <c r="AU243" i="165"/>
  <c r="AT243" i="165"/>
  <c r="AW242" i="165"/>
  <c r="AV242" i="165"/>
  <c r="AU242" i="165"/>
  <c r="AT242" i="165"/>
  <c r="AW241" i="165"/>
  <c r="AV241" i="165"/>
  <c r="AU241" i="165"/>
  <c r="AT241" i="165"/>
  <c r="AW240" i="165"/>
  <c r="AV240" i="165"/>
  <c r="AU240" i="165"/>
  <c r="AT240" i="165"/>
  <c r="AR243" i="165"/>
  <c r="AQ243" i="165"/>
  <c r="AR242" i="165"/>
  <c r="AQ242" i="165"/>
  <c r="AR241" i="165"/>
  <c r="AQ241" i="165"/>
  <c r="AR240" i="165"/>
  <c r="AQ240" i="165"/>
  <c r="AO243" i="165"/>
  <c r="AO242" i="165"/>
  <c r="AO241" i="165"/>
  <c r="AO240" i="165"/>
  <c r="AM243" i="165"/>
  <c r="AM242" i="165"/>
  <c r="AM241" i="165"/>
  <c r="AM240" i="165"/>
  <c r="AJ243" i="165"/>
  <c r="AJ242" i="165"/>
  <c r="AJ241" i="165"/>
  <c r="AJ240" i="165"/>
  <c r="AG243" i="165"/>
  <c r="AG242" i="165"/>
  <c r="AG241" i="165"/>
  <c r="AG240" i="165"/>
  <c r="AD243" i="165"/>
  <c r="AD242" i="165"/>
  <c r="AD241" i="165"/>
  <c r="AD240" i="165"/>
  <c r="AA243" i="165"/>
  <c r="AA242" i="165"/>
  <c r="AA241" i="165"/>
  <c r="AA240" i="165"/>
  <c r="X243" i="165"/>
  <c r="X242" i="165"/>
  <c r="X241" i="165"/>
  <c r="X240" i="165"/>
  <c r="U243" i="165"/>
  <c r="U242" i="165"/>
  <c r="U241" i="165"/>
  <c r="U240" i="165"/>
  <c r="R243" i="165"/>
  <c r="R242" i="165"/>
  <c r="R241" i="165"/>
  <c r="R240" i="165"/>
  <c r="O243" i="165"/>
  <c r="O242" i="165"/>
  <c r="O241" i="165"/>
  <c r="O240" i="165"/>
  <c r="L243" i="165"/>
  <c r="L242" i="165"/>
  <c r="L241" i="165"/>
  <c r="L240" i="165"/>
  <c r="I243" i="165"/>
  <c r="H243" i="165"/>
  <c r="I242" i="165"/>
  <c r="H242" i="165"/>
  <c r="I241" i="165"/>
  <c r="H241" i="165"/>
  <c r="I240" i="165"/>
  <c r="H240" i="165"/>
  <c r="C243" i="165"/>
  <c r="C242" i="165"/>
  <c r="C241" i="165"/>
  <c r="C240" i="165"/>
  <c r="AW224" i="165"/>
  <c r="AV224" i="165"/>
  <c r="AU224" i="165"/>
  <c r="AT224" i="165"/>
  <c r="AW223" i="165"/>
  <c r="AV223" i="165"/>
  <c r="AU223" i="165"/>
  <c r="AT223" i="165"/>
  <c r="AW222" i="165"/>
  <c r="AV222" i="165"/>
  <c r="AU222" i="165"/>
  <c r="AT222" i="165"/>
  <c r="AW221" i="165"/>
  <c r="AV221" i="165"/>
  <c r="AU221" i="165"/>
  <c r="AT221" i="165"/>
  <c r="AR224" i="165"/>
  <c r="AQ224" i="165"/>
  <c r="AR223" i="165"/>
  <c r="AQ223" i="165"/>
  <c r="AR222" i="165"/>
  <c r="AQ222" i="165"/>
  <c r="AR221" i="165"/>
  <c r="AQ221" i="165"/>
  <c r="AO224" i="165"/>
  <c r="AO223" i="165"/>
  <c r="AO222" i="165"/>
  <c r="AO221" i="165"/>
  <c r="AM224" i="165"/>
  <c r="AM223" i="165"/>
  <c r="AM222" i="165"/>
  <c r="AM221" i="165"/>
  <c r="AJ224" i="165"/>
  <c r="AJ223" i="165"/>
  <c r="AJ222" i="165"/>
  <c r="AJ221" i="165"/>
  <c r="AG224" i="165"/>
  <c r="AG223" i="165"/>
  <c r="AG222" i="165"/>
  <c r="AG221" i="165"/>
  <c r="AD224" i="165"/>
  <c r="AD223" i="165"/>
  <c r="AD222" i="165"/>
  <c r="AD221" i="165"/>
  <c r="AA224" i="165"/>
  <c r="AA223" i="165"/>
  <c r="AA222" i="165"/>
  <c r="AA221" i="165"/>
  <c r="X224" i="165"/>
  <c r="X223" i="165"/>
  <c r="X222" i="165"/>
  <c r="X221" i="165"/>
  <c r="U224" i="165"/>
  <c r="U223" i="165"/>
  <c r="U222" i="165"/>
  <c r="U221" i="165"/>
  <c r="R224" i="165"/>
  <c r="R223" i="165"/>
  <c r="R222" i="165"/>
  <c r="R221" i="165"/>
  <c r="O224" i="165"/>
  <c r="O223" i="165"/>
  <c r="O222" i="165"/>
  <c r="O221" i="165"/>
  <c r="L224" i="165"/>
  <c r="L223" i="165"/>
  <c r="L222" i="165"/>
  <c r="L221" i="165"/>
  <c r="I224" i="165"/>
  <c r="H224" i="165"/>
  <c r="I223" i="165"/>
  <c r="H223" i="165"/>
  <c r="I222" i="165"/>
  <c r="H222" i="165"/>
  <c r="I221" i="165"/>
  <c r="H221" i="165"/>
  <c r="C224" i="165"/>
  <c r="C223" i="165"/>
  <c r="C222" i="165"/>
  <c r="C221" i="165"/>
  <c r="AW188" i="165"/>
  <c r="AV188" i="165"/>
  <c r="AU188" i="165"/>
  <c r="AT188" i="165"/>
  <c r="AW187" i="165"/>
  <c r="AV187" i="165"/>
  <c r="AU187" i="165"/>
  <c r="AT187" i="165"/>
  <c r="AW186" i="165"/>
  <c r="AV186" i="165"/>
  <c r="AU186" i="165"/>
  <c r="AT186" i="165"/>
  <c r="AW185" i="165"/>
  <c r="AW189" i="165" s="1"/>
  <c r="AV185" i="165"/>
  <c r="AV189" i="165" s="1"/>
  <c r="AU185" i="165"/>
  <c r="AU189" i="165" s="1"/>
  <c r="AT185" i="165"/>
  <c r="AR188" i="165"/>
  <c r="AQ188" i="165"/>
  <c r="AR187" i="165"/>
  <c r="AQ187" i="165"/>
  <c r="AR186" i="165"/>
  <c r="AQ186" i="165"/>
  <c r="AR185" i="165"/>
  <c r="AR189" i="165" s="1"/>
  <c r="AQ185" i="165"/>
  <c r="AO188" i="165"/>
  <c r="AO187" i="165"/>
  <c r="AO186" i="165"/>
  <c r="AO185" i="165"/>
  <c r="AO189" i="165" s="1"/>
  <c r="AM188" i="165"/>
  <c r="AM187" i="165"/>
  <c r="AM186" i="165"/>
  <c r="AM185" i="165"/>
  <c r="AM189" i="165" s="1"/>
  <c r="AJ188" i="165"/>
  <c r="AJ187" i="165"/>
  <c r="AJ186" i="165"/>
  <c r="AJ185" i="165"/>
  <c r="AJ189" i="165" s="1"/>
  <c r="AG188" i="165"/>
  <c r="AG187" i="165"/>
  <c r="AG186" i="165"/>
  <c r="AG185" i="165"/>
  <c r="AG189" i="165" s="1"/>
  <c r="AD188" i="165"/>
  <c r="AD187" i="165"/>
  <c r="AD186" i="165"/>
  <c r="AD185" i="165"/>
  <c r="AD189" i="165" s="1"/>
  <c r="AA188" i="165"/>
  <c r="AA187" i="165"/>
  <c r="AA186" i="165"/>
  <c r="AA185" i="165"/>
  <c r="AA189" i="165" s="1"/>
  <c r="X188" i="165"/>
  <c r="X187" i="165"/>
  <c r="X186" i="165"/>
  <c r="X185" i="165"/>
  <c r="X189" i="165" s="1"/>
  <c r="U188" i="165"/>
  <c r="U187" i="165"/>
  <c r="U186" i="165"/>
  <c r="U185" i="165"/>
  <c r="U189" i="165" s="1"/>
  <c r="R188" i="165"/>
  <c r="R187" i="165"/>
  <c r="R186" i="165"/>
  <c r="R185" i="165"/>
  <c r="R189" i="165" s="1"/>
  <c r="O188" i="165"/>
  <c r="O187" i="165"/>
  <c r="O186" i="165"/>
  <c r="O185" i="165"/>
  <c r="O189" i="165" s="1"/>
  <c r="L188" i="165"/>
  <c r="L187" i="165"/>
  <c r="L186" i="165"/>
  <c r="L185" i="165"/>
  <c r="L189" i="165" s="1"/>
  <c r="I188" i="165"/>
  <c r="I187" i="165"/>
  <c r="I186" i="165"/>
  <c r="I185" i="165"/>
  <c r="I189" i="165" s="1"/>
  <c r="H188" i="165"/>
  <c r="H187" i="165"/>
  <c r="H186" i="165"/>
  <c r="H185" i="165"/>
  <c r="H189" i="165" s="1"/>
  <c r="C188" i="165"/>
  <c r="C187" i="165"/>
  <c r="C186" i="165"/>
  <c r="C185" i="165"/>
  <c r="AW138" i="165"/>
  <c r="AV138" i="165"/>
  <c r="AU138" i="165"/>
  <c r="AT138" i="165"/>
  <c r="AW137" i="165"/>
  <c r="AV137" i="165"/>
  <c r="AU137" i="165"/>
  <c r="AT137" i="165"/>
  <c r="AW136" i="165"/>
  <c r="AV136" i="165"/>
  <c r="AU136" i="165"/>
  <c r="AT136" i="165"/>
  <c r="AW135" i="165"/>
  <c r="AW139" i="165" s="1"/>
  <c r="AV135" i="165"/>
  <c r="AV139" i="165" s="1"/>
  <c r="AU135" i="165"/>
  <c r="AU139" i="165" s="1"/>
  <c r="AT135" i="165"/>
  <c r="AT139" i="165" s="1"/>
  <c r="AR138" i="165"/>
  <c r="AQ138" i="165"/>
  <c r="AR137" i="165"/>
  <c r="AQ137" i="165"/>
  <c r="AR136" i="165"/>
  <c r="AQ136" i="165"/>
  <c r="AR135" i="165"/>
  <c r="AR139" i="165" s="1"/>
  <c r="AQ135" i="165"/>
  <c r="AQ139" i="165" s="1"/>
  <c r="AO138" i="165"/>
  <c r="AO137" i="165"/>
  <c r="AO136" i="165"/>
  <c r="AW142" i="165" s="1"/>
  <c r="AO135" i="165"/>
  <c r="AO139" i="165" s="1"/>
  <c r="AM138" i="165"/>
  <c r="AM137" i="165"/>
  <c r="AM136" i="165"/>
  <c r="AM135" i="165"/>
  <c r="AM139" i="165" s="1"/>
  <c r="AJ138" i="165"/>
  <c r="AJ137" i="165"/>
  <c r="AJ136" i="165"/>
  <c r="AJ135" i="165"/>
  <c r="AJ139" i="165" s="1"/>
  <c r="AG138" i="165"/>
  <c r="AG137" i="165"/>
  <c r="AG136" i="165"/>
  <c r="AG135" i="165"/>
  <c r="AG139" i="165" s="1"/>
  <c r="AD138" i="165"/>
  <c r="AD137" i="165"/>
  <c r="AD136" i="165"/>
  <c r="AD135" i="165"/>
  <c r="AD139" i="165" s="1"/>
  <c r="AA138" i="165"/>
  <c r="AA137" i="165"/>
  <c r="AA136" i="165"/>
  <c r="AA135" i="165"/>
  <c r="AA139" i="165" s="1"/>
  <c r="X138" i="165"/>
  <c r="X137" i="165"/>
  <c r="X136" i="165"/>
  <c r="X135" i="165"/>
  <c r="X139" i="165" s="1"/>
  <c r="U138" i="165"/>
  <c r="U137" i="165"/>
  <c r="U136" i="165"/>
  <c r="U135" i="165"/>
  <c r="U139" i="165" s="1"/>
  <c r="R138" i="165"/>
  <c r="R137" i="165"/>
  <c r="R136" i="165"/>
  <c r="R135" i="165"/>
  <c r="R139" i="165" s="1"/>
  <c r="O138" i="165"/>
  <c r="O137" i="165"/>
  <c r="O136" i="165"/>
  <c r="O135" i="165"/>
  <c r="O139" i="165" s="1"/>
  <c r="L138" i="165"/>
  <c r="L137" i="165"/>
  <c r="L136" i="165"/>
  <c r="L135" i="165"/>
  <c r="L139" i="165" s="1"/>
  <c r="I138" i="165"/>
  <c r="I137" i="165"/>
  <c r="I136" i="165"/>
  <c r="I135" i="165"/>
  <c r="I139" i="165" s="1"/>
  <c r="H138" i="165"/>
  <c r="H137" i="165"/>
  <c r="H136" i="165"/>
  <c r="H135" i="165"/>
  <c r="H139" i="165" s="1"/>
  <c r="C138" i="165"/>
  <c r="C137" i="165"/>
  <c r="C136" i="165"/>
  <c r="C135" i="165"/>
  <c r="AW82" i="165"/>
  <c r="AV82" i="165"/>
  <c r="AU82" i="165"/>
  <c r="AT82" i="165"/>
  <c r="AW81" i="165"/>
  <c r="AV81" i="165"/>
  <c r="AU81" i="165"/>
  <c r="AT81" i="165"/>
  <c r="AW80" i="165"/>
  <c r="AV80" i="165"/>
  <c r="AU80" i="165"/>
  <c r="AT80" i="165"/>
  <c r="AT84" i="165" s="1"/>
  <c r="AR82" i="165"/>
  <c r="AQ82" i="165"/>
  <c r="AR81" i="165"/>
  <c r="AQ81" i="165"/>
  <c r="AQ84" i="165" s="1"/>
  <c r="AR80" i="165"/>
  <c r="AQ80" i="165"/>
  <c r="AO82" i="165"/>
  <c r="AO81" i="165"/>
  <c r="AO80" i="165"/>
  <c r="AM82" i="165"/>
  <c r="AM81" i="165"/>
  <c r="AM80" i="165"/>
  <c r="AJ82" i="165"/>
  <c r="AJ81" i="165"/>
  <c r="AJ80" i="165"/>
  <c r="AG82" i="165"/>
  <c r="AG81" i="165"/>
  <c r="AG80" i="165"/>
  <c r="AG84" i="165" s="1"/>
  <c r="AD82" i="165"/>
  <c r="AD81" i="165"/>
  <c r="AD80" i="165"/>
  <c r="AA82" i="165"/>
  <c r="AA81" i="165"/>
  <c r="AA80" i="165"/>
  <c r="X82" i="165"/>
  <c r="X81" i="165"/>
  <c r="X80" i="165"/>
  <c r="U82" i="165"/>
  <c r="U81" i="165"/>
  <c r="U80" i="165"/>
  <c r="R82" i="165"/>
  <c r="R81" i="165"/>
  <c r="R80" i="165"/>
  <c r="O82" i="165"/>
  <c r="O81" i="165"/>
  <c r="O80" i="165"/>
  <c r="L82" i="165"/>
  <c r="L81" i="165"/>
  <c r="L80" i="165"/>
  <c r="I82" i="165"/>
  <c r="H82" i="165"/>
  <c r="I81" i="165"/>
  <c r="H81" i="165"/>
  <c r="H84" i="165" s="1"/>
  <c r="I80" i="165"/>
  <c r="H80" i="165"/>
  <c r="C82" i="165"/>
  <c r="C81" i="165"/>
  <c r="C80" i="165"/>
  <c r="AW245" i="165"/>
  <c r="AW256" i="165" s="1"/>
  <c r="AW226" i="165"/>
  <c r="AW237" i="165" s="1"/>
  <c r="AW230" i="165"/>
  <c r="AW194" i="165"/>
  <c r="AW192" i="165"/>
  <c r="AW190" i="165"/>
  <c r="AW201" i="165" s="1"/>
  <c r="AW191" i="165"/>
  <c r="AW196" i="165" s="1"/>
  <c r="AW140" i="165"/>
  <c r="AW151" i="165" s="1"/>
  <c r="AW144" i="165"/>
  <c r="AW141" i="165"/>
  <c r="AW146" i="165" s="1"/>
  <c r="AW96" i="165"/>
  <c r="AW87" i="165"/>
  <c r="AW85" i="165"/>
  <c r="AW89" i="165"/>
  <c r="AW88" i="165"/>
  <c r="AV84" i="165"/>
  <c r="AU84" i="165"/>
  <c r="AR84" i="165"/>
  <c r="AO84" i="165"/>
  <c r="AM84" i="165"/>
  <c r="AJ84" i="165"/>
  <c r="AD84" i="165"/>
  <c r="AA84" i="165"/>
  <c r="X84" i="165"/>
  <c r="U84" i="165"/>
  <c r="R84" i="165"/>
  <c r="O84" i="165"/>
  <c r="L84" i="165"/>
  <c r="I84" i="165"/>
  <c r="AW60" i="165"/>
  <c r="AW58" i="165"/>
  <c r="AW57" i="165"/>
  <c r="AW56" i="165"/>
  <c r="AW55" i="165"/>
  <c r="AW54" i="165"/>
  <c r="AW65" i="165" s="1"/>
  <c r="AW52" i="165"/>
  <c r="AV52" i="165"/>
  <c r="AU52" i="165"/>
  <c r="AT52" i="165"/>
  <c r="AW51" i="165"/>
  <c r="AV51" i="165"/>
  <c r="AU51" i="165"/>
  <c r="AT51" i="165"/>
  <c r="AW50" i="165"/>
  <c r="AV50" i="165"/>
  <c r="AU50" i="165"/>
  <c r="AT50" i="165"/>
  <c r="AW49" i="165"/>
  <c r="AW53" i="165" s="1"/>
  <c r="AV49" i="165"/>
  <c r="AV53" i="165" s="1"/>
  <c r="AU49" i="165"/>
  <c r="AU53" i="165" s="1"/>
  <c r="AT49" i="165"/>
  <c r="AT53" i="165" s="1"/>
  <c r="AR52" i="165"/>
  <c r="AR51" i="165"/>
  <c r="AR50" i="165"/>
  <c r="AR49" i="165"/>
  <c r="AR53" i="165" s="1"/>
  <c r="AQ52" i="165"/>
  <c r="AQ51" i="165"/>
  <c r="AQ50" i="165"/>
  <c r="AQ49" i="165"/>
  <c r="AQ53" i="165" s="1"/>
  <c r="AO52" i="165"/>
  <c r="AO51" i="165"/>
  <c r="AO50" i="165"/>
  <c r="AO49" i="165"/>
  <c r="AO53" i="165" s="1"/>
  <c r="AM53" i="165"/>
  <c r="AM52" i="165"/>
  <c r="AM51" i="165"/>
  <c r="AM50" i="165"/>
  <c r="AM49" i="165"/>
  <c r="AJ52" i="165"/>
  <c r="AJ51" i="165"/>
  <c r="AJ50" i="165"/>
  <c r="AJ49" i="165"/>
  <c r="AJ53" i="165" s="1"/>
  <c r="AG52" i="165"/>
  <c r="AG51" i="165"/>
  <c r="AG50" i="165"/>
  <c r="AG49" i="165"/>
  <c r="AG53" i="165" s="1"/>
  <c r="AD52" i="165"/>
  <c r="AD51" i="165"/>
  <c r="AD50" i="165"/>
  <c r="AD49" i="165"/>
  <c r="AD53" i="165" s="1"/>
  <c r="AA52" i="165"/>
  <c r="AA51" i="165"/>
  <c r="AA50" i="165"/>
  <c r="AA49" i="165"/>
  <c r="AA53" i="165" s="1"/>
  <c r="X52" i="165"/>
  <c r="X51" i="165"/>
  <c r="X50" i="165"/>
  <c r="X49" i="165"/>
  <c r="X53" i="165" s="1"/>
  <c r="U52" i="165"/>
  <c r="U51" i="165"/>
  <c r="U50" i="165"/>
  <c r="U49" i="165"/>
  <c r="U53" i="165" s="1"/>
  <c r="R52" i="165"/>
  <c r="R51" i="165"/>
  <c r="R50" i="165"/>
  <c r="R49" i="165"/>
  <c r="R53" i="165" s="1"/>
  <c r="O52" i="165"/>
  <c r="O51" i="165"/>
  <c r="O50" i="165"/>
  <c r="O49" i="165"/>
  <c r="O53" i="165" s="1"/>
  <c r="L52" i="165"/>
  <c r="L51" i="165"/>
  <c r="L50" i="165"/>
  <c r="L49" i="165"/>
  <c r="L53" i="165" s="1"/>
  <c r="I52" i="165"/>
  <c r="I51" i="165"/>
  <c r="I50" i="165"/>
  <c r="I49" i="165"/>
  <c r="I53" i="165" s="1"/>
  <c r="H52" i="165"/>
  <c r="H51" i="165"/>
  <c r="H50" i="165"/>
  <c r="H49" i="165"/>
  <c r="H53" i="165" s="1"/>
  <c r="C53" i="165"/>
  <c r="C50" i="165"/>
  <c r="C52" i="165"/>
  <c r="C51" i="165"/>
  <c r="C49" i="165"/>
  <c r="AM13" i="167" l="1"/>
  <c r="AG13" i="167"/>
  <c r="AA13" i="167"/>
  <c r="U13" i="167"/>
  <c r="O13" i="167"/>
  <c r="AJ13" i="167"/>
  <c r="AD13" i="167"/>
  <c r="X13" i="167"/>
  <c r="R13" i="167"/>
  <c r="AO13" i="167" s="1"/>
  <c r="L13" i="167"/>
  <c r="AM16" i="167"/>
  <c r="AG16" i="167"/>
  <c r="AA16" i="167"/>
  <c r="U16" i="167"/>
  <c r="O16" i="167"/>
  <c r="AJ16" i="167"/>
  <c r="AD16" i="167"/>
  <c r="X16" i="167"/>
  <c r="R16" i="167"/>
  <c r="L16" i="167"/>
  <c r="AJ15" i="167"/>
  <c r="AD15" i="167"/>
  <c r="X15" i="167"/>
  <c r="R15" i="167"/>
  <c r="L15" i="167"/>
  <c r="AM15" i="167"/>
  <c r="AG15" i="167"/>
  <c r="AA15" i="167"/>
  <c r="U15" i="167"/>
  <c r="O15" i="167"/>
  <c r="AJ14" i="167"/>
  <c r="AD14" i="167"/>
  <c r="X14" i="167"/>
  <c r="R14" i="167"/>
  <c r="L14" i="167"/>
  <c r="AO14" i="167" s="1"/>
  <c r="AM14" i="167"/>
  <c r="AG14" i="167"/>
  <c r="AA14" i="167"/>
  <c r="U14" i="167"/>
  <c r="O14" i="167"/>
  <c r="AQ51" i="167"/>
  <c r="AQ242" i="167" s="1"/>
  <c r="AQ48" i="167"/>
  <c r="O17" i="167"/>
  <c r="O19" i="167"/>
  <c r="U19" i="167"/>
  <c r="AA19" i="167"/>
  <c r="AG19" i="167"/>
  <c r="AM19" i="167"/>
  <c r="L20" i="167"/>
  <c r="O20" i="167"/>
  <c r="AJ22" i="167"/>
  <c r="AD22" i="167"/>
  <c r="X22" i="167"/>
  <c r="R22" i="167"/>
  <c r="L22" i="167"/>
  <c r="AM22" i="167"/>
  <c r="AG22" i="167"/>
  <c r="AA22" i="167"/>
  <c r="AO22" i="167" s="1"/>
  <c r="U22" i="167"/>
  <c r="O22" i="167"/>
  <c r="AM27" i="167"/>
  <c r="AG27" i="167"/>
  <c r="AA27" i="167"/>
  <c r="U27" i="167"/>
  <c r="O27" i="167"/>
  <c r="AJ27" i="167"/>
  <c r="AD27" i="167"/>
  <c r="X27" i="167"/>
  <c r="R27" i="167"/>
  <c r="AO27" i="167"/>
  <c r="L27" i="167"/>
  <c r="AR27" i="167" s="1"/>
  <c r="AT27" i="167" s="1"/>
  <c r="O31" i="167"/>
  <c r="I49" i="167"/>
  <c r="AJ31" i="167"/>
  <c r="AD31" i="167"/>
  <c r="X31" i="167"/>
  <c r="R31" i="167"/>
  <c r="L31" i="167"/>
  <c r="AM31" i="167"/>
  <c r="AG31" i="167"/>
  <c r="AG49" i="167" s="1"/>
  <c r="AA31" i="167"/>
  <c r="U31" i="167"/>
  <c r="AJ32" i="167"/>
  <c r="AD32" i="167"/>
  <c r="X32" i="167"/>
  <c r="R32" i="167"/>
  <c r="L32" i="167"/>
  <c r="AM32" i="167"/>
  <c r="AG32" i="167"/>
  <c r="AA32" i="167"/>
  <c r="U32" i="167"/>
  <c r="O32" i="167"/>
  <c r="AM35" i="167"/>
  <c r="AG35" i="167"/>
  <c r="AA35" i="167"/>
  <c r="U35" i="167"/>
  <c r="O35" i="167"/>
  <c r="AJ35" i="167"/>
  <c r="AD35" i="167"/>
  <c r="X35" i="167"/>
  <c r="R35" i="167"/>
  <c r="L35" i="167"/>
  <c r="O39" i="167"/>
  <c r="AJ39" i="167"/>
  <c r="AD39" i="167"/>
  <c r="X39" i="167"/>
  <c r="R39" i="167"/>
  <c r="L39" i="167"/>
  <c r="AM39" i="167"/>
  <c r="AG39" i="167"/>
  <c r="AA39" i="167"/>
  <c r="U39" i="167"/>
  <c r="AJ40" i="167"/>
  <c r="AD40" i="167"/>
  <c r="X40" i="167"/>
  <c r="R40" i="167"/>
  <c r="L40" i="167"/>
  <c r="AM40" i="167"/>
  <c r="AG40" i="167"/>
  <c r="AA40" i="167"/>
  <c r="U40" i="167"/>
  <c r="O40" i="167"/>
  <c r="AJ46" i="167"/>
  <c r="AD46" i="167"/>
  <c r="X46" i="167"/>
  <c r="R46" i="167"/>
  <c r="L46" i="167"/>
  <c r="AM46" i="167"/>
  <c r="AG46" i="167"/>
  <c r="AA46" i="167"/>
  <c r="U46" i="167"/>
  <c r="O46" i="167"/>
  <c r="AJ70" i="167"/>
  <c r="AD70" i="167"/>
  <c r="X70" i="167"/>
  <c r="AM70" i="167"/>
  <c r="AG70" i="167"/>
  <c r="R70" i="167"/>
  <c r="L70" i="167"/>
  <c r="AO70" i="167"/>
  <c r="AR70" i="167" s="1"/>
  <c r="AT70" i="167" s="1"/>
  <c r="U70" i="167"/>
  <c r="O70" i="167"/>
  <c r="AA70" i="167"/>
  <c r="H12" i="167"/>
  <c r="M48" i="167"/>
  <c r="S48" i="167"/>
  <c r="Y48" i="167"/>
  <c r="AE48" i="167"/>
  <c r="AK48" i="167"/>
  <c r="BO12" i="167"/>
  <c r="BO48" i="167" s="1"/>
  <c r="U17" i="167"/>
  <c r="AA17" i="167"/>
  <c r="AG17" i="167"/>
  <c r="AM17" i="167"/>
  <c r="L18" i="167"/>
  <c r="R20" i="167"/>
  <c r="AO20" i="167" s="1"/>
  <c r="X20" i="167"/>
  <c r="AD20" i="167"/>
  <c r="AJ20" i="167"/>
  <c r="AJ25" i="167"/>
  <c r="AD25" i="167"/>
  <c r="X25" i="167"/>
  <c r="R25" i="167"/>
  <c r="L25" i="167"/>
  <c r="AM25" i="167"/>
  <c r="AG25" i="167"/>
  <c r="AA25" i="167"/>
  <c r="U25" i="167"/>
  <c r="O25" i="167"/>
  <c r="AM28" i="167"/>
  <c r="AG28" i="167"/>
  <c r="AA28" i="167"/>
  <c r="U28" i="167"/>
  <c r="O28" i="167"/>
  <c r="AJ28" i="167"/>
  <c r="AD28" i="167"/>
  <c r="X28" i="167"/>
  <c r="R28" i="167"/>
  <c r="L28" i="167"/>
  <c r="L29" i="167"/>
  <c r="AM29" i="167"/>
  <c r="AG29" i="167"/>
  <c r="AA29" i="167"/>
  <c r="AO29" i="167" s="1"/>
  <c r="U29" i="167"/>
  <c r="O29" i="167"/>
  <c r="AJ29" i="167"/>
  <c r="AD29" i="167"/>
  <c r="X29" i="167"/>
  <c r="R29" i="167"/>
  <c r="AM30" i="167"/>
  <c r="AG30" i="167"/>
  <c r="AA30" i="167"/>
  <c r="U30" i="167"/>
  <c r="O30" i="167"/>
  <c r="AJ30" i="167"/>
  <c r="AD30" i="167"/>
  <c r="X30" i="167"/>
  <c r="R30" i="167"/>
  <c r="L30" i="167"/>
  <c r="L33" i="167"/>
  <c r="AM33" i="167"/>
  <c r="AG33" i="167"/>
  <c r="AA33" i="167"/>
  <c r="AO33" i="167" s="1"/>
  <c r="U33" i="167"/>
  <c r="O33" i="167"/>
  <c r="AJ33" i="167"/>
  <c r="AD33" i="167"/>
  <c r="X33" i="167"/>
  <c r="R33" i="167"/>
  <c r="I34" i="167"/>
  <c r="H52" i="167"/>
  <c r="AM38" i="167"/>
  <c r="AG38" i="167"/>
  <c r="AA38" i="167"/>
  <c r="U38" i="167"/>
  <c r="O38" i="167"/>
  <c r="AJ38" i="167"/>
  <c r="AD38" i="167"/>
  <c r="X38" i="167"/>
  <c r="R38" i="167"/>
  <c r="L38" i="167"/>
  <c r="AJ43" i="167"/>
  <c r="AD43" i="167"/>
  <c r="X43" i="167"/>
  <c r="R43" i="167"/>
  <c r="L43" i="167"/>
  <c r="AM43" i="167"/>
  <c r="AG43" i="167"/>
  <c r="AA43" i="167"/>
  <c r="U43" i="167"/>
  <c r="O43" i="167"/>
  <c r="AM45" i="167"/>
  <c r="AG45" i="167"/>
  <c r="AA45" i="167"/>
  <c r="U45" i="167"/>
  <c r="O45" i="167"/>
  <c r="AJ45" i="167"/>
  <c r="AD45" i="167"/>
  <c r="X45" i="167"/>
  <c r="R45" i="167"/>
  <c r="L45" i="167"/>
  <c r="AO45" i="167" s="1"/>
  <c r="L17" i="167"/>
  <c r="Q48" i="167"/>
  <c r="L19" i="167"/>
  <c r="R19" i="167"/>
  <c r="X19" i="167"/>
  <c r="AD19" i="167"/>
  <c r="AJ19" i="167"/>
  <c r="AM24" i="167"/>
  <c r="AG24" i="167"/>
  <c r="AA24" i="167"/>
  <c r="U24" i="167"/>
  <c r="O24" i="167"/>
  <c r="AJ24" i="167"/>
  <c r="AD24" i="167"/>
  <c r="X24" i="167"/>
  <c r="R24" i="167"/>
  <c r="L24" i="167"/>
  <c r="AJ37" i="167"/>
  <c r="AD37" i="167"/>
  <c r="X37" i="167"/>
  <c r="R37" i="167"/>
  <c r="L37" i="167"/>
  <c r="AM37" i="167"/>
  <c r="AG37" i="167"/>
  <c r="AA37" i="167"/>
  <c r="U37" i="167"/>
  <c r="O37" i="167"/>
  <c r="AM42" i="167"/>
  <c r="AG42" i="167"/>
  <c r="AA42" i="167"/>
  <c r="U42" i="167"/>
  <c r="O42" i="167"/>
  <c r="AJ42" i="167"/>
  <c r="AD42" i="167"/>
  <c r="X42" i="167"/>
  <c r="R42" i="167"/>
  <c r="L42" i="167"/>
  <c r="AJ44" i="167"/>
  <c r="AD44" i="167"/>
  <c r="X44" i="167"/>
  <c r="R44" i="167"/>
  <c r="L44" i="167"/>
  <c r="AM44" i="167"/>
  <c r="AG44" i="167"/>
  <c r="AA44" i="167"/>
  <c r="U44" i="167"/>
  <c r="O44" i="167"/>
  <c r="AM69" i="167"/>
  <c r="AG69" i="167"/>
  <c r="AA69" i="167"/>
  <c r="U69" i="167"/>
  <c r="AD69" i="167"/>
  <c r="O69" i="167"/>
  <c r="AJ69" i="167"/>
  <c r="L69" i="167"/>
  <c r="X69" i="167"/>
  <c r="J48" i="167"/>
  <c r="P48" i="167"/>
  <c r="V48" i="167"/>
  <c r="AB48" i="167"/>
  <c r="AH48" i="167"/>
  <c r="R17" i="167"/>
  <c r="X17" i="167"/>
  <c r="AD17" i="167"/>
  <c r="AM18" i="167"/>
  <c r="AG18" i="167"/>
  <c r="AA18" i="167"/>
  <c r="U18" i="167"/>
  <c r="AJ18" i="167"/>
  <c r="AD18" i="167"/>
  <c r="X18" i="167"/>
  <c r="R18" i="167"/>
  <c r="O18" i="167"/>
  <c r="U20" i="167"/>
  <c r="AA20" i="167"/>
  <c r="AG20" i="167"/>
  <c r="AM20" i="167"/>
  <c r="AM21" i="167"/>
  <c r="AG21" i="167"/>
  <c r="AA21" i="167"/>
  <c r="U21" i="167"/>
  <c r="O21" i="167"/>
  <c r="AJ21" i="167"/>
  <c r="AD21" i="167"/>
  <c r="X21" i="167"/>
  <c r="R21" i="167"/>
  <c r="L21" i="167"/>
  <c r="AM23" i="167"/>
  <c r="AG23" i="167"/>
  <c r="AA23" i="167"/>
  <c r="U23" i="167"/>
  <c r="O23" i="167"/>
  <c r="AJ23" i="167"/>
  <c r="AD23" i="167"/>
  <c r="X23" i="167"/>
  <c r="R23" i="167"/>
  <c r="L23" i="167"/>
  <c r="BW48" i="167"/>
  <c r="AJ36" i="167"/>
  <c r="AD36" i="167"/>
  <c r="X36" i="167"/>
  <c r="R36" i="167"/>
  <c r="L36" i="167"/>
  <c r="AM36" i="167"/>
  <c r="AG36" i="167"/>
  <c r="AA36" i="167"/>
  <c r="U36" i="167"/>
  <c r="O36" i="167"/>
  <c r="AJ41" i="167"/>
  <c r="AD41" i="167"/>
  <c r="X41" i="167"/>
  <c r="R41" i="167"/>
  <c r="L41" i="167"/>
  <c r="AM41" i="167"/>
  <c r="AG41" i="167"/>
  <c r="AA41" i="167"/>
  <c r="U41" i="167"/>
  <c r="O41" i="167"/>
  <c r="AJ47" i="167"/>
  <c r="AD47" i="167"/>
  <c r="X47" i="167"/>
  <c r="R47" i="167"/>
  <c r="L47" i="167"/>
  <c r="AM47" i="167"/>
  <c r="AG47" i="167"/>
  <c r="AA47" i="167"/>
  <c r="U47" i="167"/>
  <c r="O47" i="167"/>
  <c r="CM239" i="167"/>
  <c r="CM259" i="167"/>
  <c r="C53" i="167"/>
  <c r="AJ68" i="167"/>
  <c r="AD68" i="167"/>
  <c r="X68" i="167"/>
  <c r="R68" i="167"/>
  <c r="AO68" i="167" s="1"/>
  <c r="L68" i="167"/>
  <c r="AG68" i="167"/>
  <c r="Q79" i="167"/>
  <c r="P69" i="167"/>
  <c r="R69" i="167" s="1"/>
  <c r="AJ72" i="167"/>
  <c r="AD72" i="167"/>
  <c r="X72" i="167"/>
  <c r="R72" i="167"/>
  <c r="L72" i="167"/>
  <c r="AM72" i="167"/>
  <c r="AG72" i="167"/>
  <c r="AA72" i="167"/>
  <c r="U72" i="167"/>
  <c r="O72" i="167"/>
  <c r="AJ77" i="167"/>
  <c r="AD77" i="167"/>
  <c r="X77" i="167"/>
  <c r="R77" i="167"/>
  <c r="L77" i="167"/>
  <c r="AO77" i="167" s="1"/>
  <c r="AM77" i="167"/>
  <c r="AG77" i="167"/>
  <c r="AA77" i="167"/>
  <c r="U77" i="167"/>
  <c r="O77" i="167"/>
  <c r="I26" i="167"/>
  <c r="CN48" i="167"/>
  <c r="H49" i="167"/>
  <c r="H240" i="167" s="1"/>
  <c r="P79" i="167"/>
  <c r="AB79" i="167"/>
  <c r="AA68" i="167"/>
  <c r="CO48" i="167"/>
  <c r="CT259" i="167"/>
  <c r="CT239" i="167"/>
  <c r="AQ82" i="167"/>
  <c r="AQ79" i="167"/>
  <c r="AQ84" i="167" s="1"/>
  <c r="BN79" i="167"/>
  <c r="BN239" i="167" s="1"/>
  <c r="BO67" i="167"/>
  <c r="BO79" i="167" s="1"/>
  <c r="AM71" i="167"/>
  <c r="AG71" i="167"/>
  <c r="AA71" i="167"/>
  <c r="U71" i="167"/>
  <c r="AJ71" i="167"/>
  <c r="AD71" i="167"/>
  <c r="X71" i="167"/>
  <c r="R71" i="167"/>
  <c r="L71" i="167"/>
  <c r="H81" i="167"/>
  <c r="I73" i="167"/>
  <c r="AJ76" i="167"/>
  <c r="AD76" i="167"/>
  <c r="X76" i="167"/>
  <c r="R76" i="167"/>
  <c r="L76" i="167"/>
  <c r="AM76" i="167"/>
  <c r="AG76" i="167"/>
  <c r="AA76" i="167"/>
  <c r="U76" i="167"/>
  <c r="O76" i="167"/>
  <c r="AJ100" i="167"/>
  <c r="AD100" i="167"/>
  <c r="X100" i="167"/>
  <c r="R100" i="167"/>
  <c r="AO100" i="167" s="1"/>
  <c r="L100" i="167"/>
  <c r="AA100" i="167"/>
  <c r="AG100" i="167"/>
  <c r="AM100" i="167"/>
  <c r="O100" i="167"/>
  <c r="U100" i="167"/>
  <c r="CU48" i="167"/>
  <c r="H67" i="167"/>
  <c r="M79" i="167"/>
  <c r="S79" i="167"/>
  <c r="Y79" i="167"/>
  <c r="AE79" i="167"/>
  <c r="AK79" i="167"/>
  <c r="O68" i="167"/>
  <c r="AM68" i="167"/>
  <c r="O75" i="167"/>
  <c r="AJ75" i="167"/>
  <c r="AD75" i="167"/>
  <c r="X75" i="167"/>
  <c r="R75" i="167"/>
  <c r="L75" i="167"/>
  <c r="AO75" i="167" s="1"/>
  <c r="AM75" i="167"/>
  <c r="AG75" i="167"/>
  <c r="AA75" i="167"/>
  <c r="U75" i="167"/>
  <c r="L74" i="167"/>
  <c r="L80" i="167" s="1"/>
  <c r="L78" i="167"/>
  <c r="R78" i="167"/>
  <c r="X78" i="167"/>
  <c r="AO78" i="167" s="1"/>
  <c r="AD78" i="167"/>
  <c r="AJ78" i="167"/>
  <c r="CO79" i="167"/>
  <c r="I80" i="167"/>
  <c r="AB134" i="167"/>
  <c r="I99" i="167"/>
  <c r="AJ105" i="167"/>
  <c r="AD105" i="167"/>
  <c r="X105" i="167"/>
  <c r="R105" i="167"/>
  <c r="L105" i="167"/>
  <c r="AA105" i="167"/>
  <c r="AM105" i="167"/>
  <c r="O105" i="167"/>
  <c r="U105" i="167"/>
  <c r="AO105" i="167" s="1"/>
  <c r="R74" i="167"/>
  <c r="R80" i="167" s="1"/>
  <c r="X74" i="167"/>
  <c r="X80" i="167" s="1"/>
  <c r="AD74" i="167"/>
  <c r="AD80" i="167" s="1"/>
  <c r="AJ74" i="167"/>
  <c r="AJ80" i="167" s="1"/>
  <c r="H137" i="167"/>
  <c r="H134" i="167"/>
  <c r="I98" i="167"/>
  <c r="AM101" i="167"/>
  <c r="AJ101" i="167"/>
  <c r="AD101" i="167"/>
  <c r="AO101" i="167" s="1"/>
  <c r="X101" i="167"/>
  <c r="R101" i="167"/>
  <c r="L101" i="167"/>
  <c r="AG101" i="167"/>
  <c r="P104" i="167"/>
  <c r="P134" i="167" s="1"/>
  <c r="Q134" i="167"/>
  <c r="AJ116" i="167"/>
  <c r="AD116" i="167"/>
  <c r="X116" i="167"/>
  <c r="R116" i="167"/>
  <c r="L116" i="167"/>
  <c r="AM116" i="167"/>
  <c r="AG116" i="167"/>
  <c r="AA116" i="167"/>
  <c r="AO116" i="167" s="1"/>
  <c r="U116" i="167"/>
  <c r="O116" i="167"/>
  <c r="O74" i="167"/>
  <c r="O80" i="167" s="1"/>
  <c r="O78" i="167"/>
  <c r="U78" i="167"/>
  <c r="AA78" i="167"/>
  <c r="AG78" i="167"/>
  <c r="AM78" i="167"/>
  <c r="AA101" i="167"/>
  <c r="AJ103" i="167"/>
  <c r="AD103" i="167"/>
  <c r="X103" i="167"/>
  <c r="R103" i="167"/>
  <c r="L103" i="167"/>
  <c r="AO103" i="167" s="1"/>
  <c r="AA103" i="167"/>
  <c r="AM103" i="167"/>
  <c r="O103" i="167"/>
  <c r="U103" i="167"/>
  <c r="AM104" i="167"/>
  <c r="AG104" i="167"/>
  <c r="AA104" i="167"/>
  <c r="U104" i="167"/>
  <c r="O104" i="167"/>
  <c r="AJ104" i="167"/>
  <c r="AD104" i="167"/>
  <c r="X104" i="167"/>
  <c r="R104" i="167"/>
  <c r="L104" i="167"/>
  <c r="AO104" i="167" s="1"/>
  <c r="AJ130" i="167"/>
  <c r="AD130" i="167"/>
  <c r="X130" i="167"/>
  <c r="R130" i="167"/>
  <c r="L130" i="167"/>
  <c r="AG130" i="167"/>
  <c r="AM130" i="167"/>
  <c r="O130" i="167"/>
  <c r="U130" i="167"/>
  <c r="AA130" i="167"/>
  <c r="U74" i="167"/>
  <c r="U80" i="167" s="1"/>
  <c r="AA74" i="167"/>
  <c r="AA80" i="167" s="1"/>
  <c r="AG74" i="167"/>
  <c r="AG80" i="167" s="1"/>
  <c r="U101" i="167"/>
  <c r="AG103" i="167"/>
  <c r="AJ108" i="167"/>
  <c r="AD108" i="167"/>
  <c r="X108" i="167"/>
  <c r="R108" i="167"/>
  <c r="L108" i="167"/>
  <c r="AO108" i="167" s="1"/>
  <c r="AM108" i="167"/>
  <c r="O108" i="167"/>
  <c r="AA108" i="167"/>
  <c r="AG108" i="167"/>
  <c r="AJ123" i="167"/>
  <c r="AD123" i="167"/>
  <c r="X123" i="167"/>
  <c r="R123" i="167"/>
  <c r="L123" i="167"/>
  <c r="AG123" i="167"/>
  <c r="AM123" i="167"/>
  <c r="O123" i="167"/>
  <c r="U123" i="167"/>
  <c r="AA123" i="167"/>
  <c r="L106" i="167"/>
  <c r="AO106" i="167" s="1"/>
  <c r="AM106" i="167"/>
  <c r="AR106" i="167" s="1"/>
  <c r="AT106" i="167" s="1"/>
  <c r="AG106" i="167"/>
  <c r="AA106" i="167"/>
  <c r="U106" i="167"/>
  <c r="O106" i="167"/>
  <c r="X106" i="167"/>
  <c r="AJ109" i="167"/>
  <c r="AA110" i="167"/>
  <c r="AM112" i="167"/>
  <c r="AG112" i="167"/>
  <c r="AA112" i="167"/>
  <c r="U112" i="167"/>
  <c r="AO112" i="167" s="1"/>
  <c r="O112" i="167"/>
  <c r="X112" i="167"/>
  <c r="O114" i="167"/>
  <c r="O120" i="167"/>
  <c r="AM122" i="167"/>
  <c r="AG122" i="167"/>
  <c r="AA122" i="167"/>
  <c r="U122" i="167"/>
  <c r="O122" i="167"/>
  <c r="AJ122" i="167"/>
  <c r="AD122" i="167"/>
  <c r="X122" i="167"/>
  <c r="R122" i="167"/>
  <c r="L122" i="167"/>
  <c r="L125" i="167"/>
  <c r="AJ125" i="167"/>
  <c r="U127" i="167"/>
  <c r="L128" i="167"/>
  <c r="AJ128" i="167"/>
  <c r="AM107" i="167"/>
  <c r="AG107" i="167"/>
  <c r="AA107" i="167"/>
  <c r="U107" i="167"/>
  <c r="O107" i="167"/>
  <c r="AJ107" i="167"/>
  <c r="AD107" i="167"/>
  <c r="X107" i="167"/>
  <c r="R107" i="167"/>
  <c r="L107" i="167"/>
  <c r="AO107" i="167" s="1"/>
  <c r="AJ111" i="167"/>
  <c r="AD111" i="167"/>
  <c r="X111" i="167"/>
  <c r="R111" i="167"/>
  <c r="L111" i="167"/>
  <c r="AM111" i="167"/>
  <c r="AG111" i="167"/>
  <c r="AA111" i="167"/>
  <c r="U111" i="167"/>
  <c r="O111" i="167"/>
  <c r="AJ114" i="167"/>
  <c r="AD114" i="167"/>
  <c r="X114" i="167"/>
  <c r="R114" i="167"/>
  <c r="AO114" i="167" s="1"/>
  <c r="L114" i="167"/>
  <c r="AG114" i="167"/>
  <c r="AM115" i="167"/>
  <c r="AG115" i="167"/>
  <c r="AA115" i="167"/>
  <c r="U115" i="167"/>
  <c r="O115" i="167"/>
  <c r="X115" i="167"/>
  <c r="O119" i="167"/>
  <c r="AJ119" i="167"/>
  <c r="AD119" i="167"/>
  <c r="X119" i="167"/>
  <c r="R119" i="167"/>
  <c r="L119" i="167"/>
  <c r="AG119" i="167"/>
  <c r="AJ120" i="167"/>
  <c r="AD120" i="167"/>
  <c r="X120" i="167"/>
  <c r="R120" i="167"/>
  <c r="L120" i="167"/>
  <c r="AG120" i="167"/>
  <c r="L124" i="167"/>
  <c r="AM124" i="167"/>
  <c r="AG124" i="167"/>
  <c r="AA124" i="167"/>
  <c r="U124" i="167"/>
  <c r="O124" i="167"/>
  <c r="X124" i="167"/>
  <c r="O127" i="167"/>
  <c r="AJ131" i="167"/>
  <c r="AD131" i="167"/>
  <c r="X131" i="167"/>
  <c r="R131" i="167"/>
  <c r="AO131" i="167" s="1"/>
  <c r="L131" i="167"/>
  <c r="AM131" i="167"/>
  <c r="AG131" i="167"/>
  <c r="AA131" i="167"/>
  <c r="U131" i="167"/>
  <c r="O131" i="167"/>
  <c r="L109" i="167"/>
  <c r="AM109" i="167"/>
  <c r="AG109" i="167"/>
  <c r="AA109" i="167"/>
  <c r="U109" i="167"/>
  <c r="O109" i="167"/>
  <c r="X109" i="167"/>
  <c r="H135" i="167"/>
  <c r="I117" i="167"/>
  <c r="AM125" i="167"/>
  <c r="AG125" i="167"/>
  <c r="AA125" i="167"/>
  <c r="U125" i="167"/>
  <c r="O125" i="167"/>
  <c r="X125" i="167"/>
  <c r="AJ127" i="167"/>
  <c r="AD127" i="167"/>
  <c r="X127" i="167"/>
  <c r="R127" i="167"/>
  <c r="L127" i="167"/>
  <c r="AO127" i="167" s="1"/>
  <c r="AG127" i="167"/>
  <c r="AM128" i="167"/>
  <c r="AG128" i="167"/>
  <c r="AA128" i="167"/>
  <c r="U128" i="167"/>
  <c r="O128" i="167"/>
  <c r="X128" i="167"/>
  <c r="AM132" i="167"/>
  <c r="AG132" i="167"/>
  <c r="AA132" i="167"/>
  <c r="U132" i="167"/>
  <c r="O132" i="167"/>
  <c r="AJ132" i="167"/>
  <c r="AD132" i="167"/>
  <c r="X132" i="167"/>
  <c r="R132" i="167"/>
  <c r="L132" i="167"/>
  <c r="AM102" i="167"/>
  <c r="AG102" i="167"/>
  <c r="AA102" i="167"/>
  <c r="U102" i="167"/>
  <c r="O102" i="167"/>
  <c r="AJ102" i="167"/>
  <c r="AD102" i="167"/>
  <c r="X102" i="167"/>
  <c r="R102" i="167"/>
  <c r="L102" i="167"/>
  <c r="R109" i="167"/>
  <c r="O110" i="167"/>
  <c r="AJ110" i="167"/>
  <c r="AD110" i="167"/>
  <c r="X110" i="167"/>
  <c r="R110" i="167"/>
  <c r="L110" i="167"/>
  <c r="AO110" i="167" s="1"/>
  <c r="AG110" i="167"/>
  <c r="U114" i="167"/>
  <c r="L115" i="167"/>
  <c r="AO115" i="167" s="1"/>
  <c r="AJ115" i="167"/>
  <c r="AM118" i="167"/>
  <c r="AG118" i="167"/>
  <c r="AA118" i="167"/>
  <c r="U118" i="167"/>
  <c r="O118" i="167"/>
  <c r="AJ118" i="167"/>
  <c r="AD118" i="167"/>
  <c r="X118" i="167"/>
  <c r="R118" i="167"/>
  <c r="U119" i="167"/>
  <c r="U120" i="167"/>
  <c r="AJ121" i="167"/>
  <c r="AD121" i="167"/>
  <c r="X121" i="167"/>
  <c r="R121" i="167"/>
  <c r="L121" i="167"/>
  <c r="AO121" i="167" s="1"/>
  <c r="AM121" i="167"/>
  <c r="AG121" i="167"/>
  <c r="AA121" i="167"/>
  <c r="U121" i="167"/>
  <c r="O121" i="167"/>
  <c r="AJ124" i="167"/>
  <c r="R125" i="167"/>
  <c r="AM126" i="167"/>
  <c r="AG126" i="167"/>
  <c r="AA126" i="167"/>
  <c r="U126" i="167"/>
  <c r="O126" i="167"/>
  <c r="AJ126" i="167"/>
  <c r="AD126" i="167"/>
  <c r="X126" i="167"/>
  <c r="R126" i="167"/>
  <c r="L126" i="167"/>
  <c r="AA127" i="167"/>
  <c r="R128" i="167"/>
  <c r="O129" i="167"/>
  <c r="AJ129" i="167"/>
  <c r="AD129" i="167"/>
  <c r="X129" i="167"/>
  <c r="R129" i="167"/>
  <c r="L129" i="167"/>
  <c r="AG129" i="167"/>
  <c r="BN184" i="167"/>
  <c r="BO153" i="167"/>
  <c r="BO184" i="167" s="1"/>
  <c r="AJ156" i="167"/>
  <c r="AD156" i="167"/>
  <c r="X156" i="167"/>
  <c r="R156" i="167"/>
  <c r="L156" i="167"/>
  <c r="AM156" i="167"/>
  <c r="AG156" i="167"/>
  <c r="AA156" i="167"/>
  <c r="U156" i="167"/>
  <c r="AO156" i="167" s="1"/>
  <c r="O156" i="167"/>
  <c r="AJ158" i="167"/>
  <c r="AD158" i="167"/>
  <c r="X158" i="167"/>
  <c r="R158" i="167"/>
  <c r="L158" i="167"/>
  <c r="AM158" i="167"/>
  <c r="AG158" i="167"/>
  <c r="AA158" i="167"/>
  <c r="U158" i="167"/>
  <c r="AM159" i="167"/>
  <c r="AG159" i="167"/>
  <c r="AA159" i="167"/>
  <c r="U159" i="167"/>
  <c r="O159" i="167"/>
  <c r="AJ159" i="167"/>
  <c r="AD159" i="167"/>
  <c r="X159" i="167"/>
  <c r="R159" i="167"/>
  <c r="AJ160" i="167"/>
  <c r="AD160" i="167"/>
  <c r="X160" i="167"/>
  <c r="R160" i="167"/>
  <c r="L160" i="167"/>
  <c r="AO160" i="167" s="1"/>
  <c r="AG160" i="167"/>
  <c r="AM163" i="167"/>
  <c r="AG163" i="167"/>
  <c r="AA163" i="167"/>
  <c r="U163" i="167"/>
  <c r="AO163" i="167"/>
  <c r="AR163" i="167" s="1"/>
  <c r="AT163" i="167" s="1"/>
  <c r="X163" i="167"/>
  <c r="AD163" i="167"/>
  <c r="O163" i="167"/>
  <c r="AJ163" i="167"/>
  <c r="CU134" i="167"/>
  <c r="CV134" i="167" s="1"/>
  <c r="V184" i="167"/>
  <c r="O155" i="167"/>
  <c r="AM157" i="167"/>
  <c r="AG157" i="167"/>
  <c r="AA157" i="167"/>
  <c r="U157" i="167"/>
  <c r="O157" i="167"/>
  <c r="AJ157" i="167"/>
  <c r="AD157" i="167"/>
  <c r="X157" i="167"/>
  <c r="R157" i="167"/>
  <c r="L157" i="167"/>
  <c r="AA160" i="167"/>
  <c r="AM162" i="167"/>
  <c r="AG162" i="167"/>
  <c r="AA162" i="167"/>
  <c r="U162" i="167"/>
  <c r="O162" i="167"/>
  <c r="X162" i="167"/>
  <c r="R163" i="167"/>
  <c r="AJ173" i="167"/>
  <c r="AD173" i="167"/>
  <c r="X173" i="167"/>
  <c r="R173" i="167"/>
  <c r="L173" i="167"/>
  <c r="AM173" i="167"/>
  <c r="AG173" i="167"/>
  <c r="AA173" i="167"/>
  <c r="AO173" i="167" s="1"/>
  <c r="U173" i="167"/>
  <c r="O173" i="167"/>
  <c r="L178" i="167"/>
  <c r="AM178" i="167"/>
  <c r="AG178" i="167"/>
  <c r="AA178" i="167"/>
  <c r="U178" i="167"/>
  <c r="O178" i="167"/>
  <c r="AD178" i="167"/>
  <c r="AJ178" i="167"/>
  <c r="R178" i="167"/>
  <c r="AM209" i="167"/>
  <c r="AG209" i="167"/>
  <c r="AA209" i="167"/>
  <c r="U209" i="167"/>
  <c r="AJ209" i="167"/>
  <c r="R209" i="167"/>
  <c r="L209" i="167"/>
  <c r="X209" i="167"/>
  <c r="AD209" i="167"/>
  <c r="O209" i="167"/>
  <c r="H136" i="167"/>
  <c r="F184" i="167"/>
  <c r="H153" i="167"/>
  <c r="AQ187" i="167"/>
  <c r="AQ184" i="167"/>
  <c r="AJ155" i="167"/>
  <c r="AD155" i="167"/>
  <c r="X155" i="167"/>
  <c r="R155" i="167"/>
  <c r="L155" i="167"/>
  <c r="AO155" i="167" s="1"/>
  <c r="AG155" i="167"/>
  <c r="L159" i="167"/>
  <c r="U160" i="167"/>
  <c r="AJ161" i="167"/>
  <c r="AD161" i="167"/>
  <c r="X161" i="167"/>
  <c r="R161" i="167"/>
  <c r="L161" i="167"/>
  <c r="AM161" i="167"/>
  <c r="AG161" i="167"/>
  <c r="AA161" i="167"/>
  <c r="U161" i="167"/>
  <c r="O161" i="167"/>
  <c r="L163" i="167"/>
  <c r="AJ165" i="167"/>
  <c r="AD165" i="167"/>
  <c r="X165" i="167"/>
  <c r="R165" i="167"/>
  <c r="L165" i="167"/>
  <c r="AM165" i="167"/>
  <c r="AG165" i="167"/>
  <c r="AA165" i="167"/>
  <c r="U165" i="167"/>
  <c r="O165" i="167"/>
  <c r="AJ167" i="167"/>
  <c r="AD167" i="167"/>
  <c r="X167" i="167"/>
  <c r="R167" i="167"/>
  <c r="L167" i="167"/>
  <c r="AM167" i="167"/>
  <c r="O167" i="167"/>
  <c r="U167" i="167"/>
  <c r="AA167" i="167"/>
  <c r="F134" i="167"/>
  <c r="F239" i="167" s="1"/>
  <c r="AQ134" i="167"/>
  <c r="BN134" i="167"/>
  <c r="I113" i="167"/>
  <c r="BU134" i="167"/>
  <c r="BW134" i="167" s="1"/>
  <c r="AM133" i="167"/>
  <c r="AG133" i="167"/>
  <c r="AA133" i="167"/>
  <c r="U133" i="167"/>
  <c r="O133" i="167"/>
  <c r="AJ133" i="167"/>
  <c r="AD133" i="167"/>
  <c r="X133" i="167"/>
  <c r="R133" i="167"/>
  <c r="L133" i="167"/>
  <c r="AQ137" i="167"/>
  <c r="AM154" i="167"/>
  <c r="AG154" i="167"/>
  <c r="AA154" i="167"/>
  <c r="U154" i="167"/>
  <c r="O154" i="167"/>
  <c r="AJ154" i="167"/>
  <c r="AD154" i="167"/>
  <c r="X154" i="167"/>
  <c r="R154" i="167"/>
  <c r="L154" i="167"/>
  <c r="AA155" i="167"/>
  <c r="O158" i="167"/>
  <c r="O160" i="167"/>
  <c r="AM160" i="167"/>
  <c r="L162" i="167"/>
  <c r="AJ162" i="167"/>
  <c r="AJ164" i="167"/>
  <c r="AD164" i="167"/>
  <c r="X164" i="167"/>
  <c r="R164" i="167"/>
  <c r="AM164" i="167"/>
  <c r="AG164" i="167"/>
  <c r="AA164" i="167"/>
  <c r="U164" i="167"/>
  <c r="L164" i="167"/>
  <c r="AO164" i="167" s="1"/>
  <c r="AG167" i="167"/>
  <c r="AJ177" i="167"/>
  <c r="AD177" i="167"/>
  <c r="X177" i="167"/>
  <c r="R177" i="167"/>
  <c r="L177" i="167"/>
  <c r="AO177" i="167" s="1"/>
  <c r="AA177" i="167"/>
  <c r="AG177" i="167"/>
  <c r="AM177" i="167"/>
  <c r="O177" i="167"/>
  <c r="M184" i="167"/>
  <c r="S184" i="167"/>
  <c r="Y184" i="167"/>
  <c r="AE184" i="167"/>
  <c r="AK184" i="167"/>
  <c r="AM166" i="167"/>
  <c r="AG166" i="167"/>
  <c r="AA166" i="167"/>
  <c r="U166" i="167"/>
  <c r="O166" i="167"/>
  <c r="AJ166" i="167"/>
  <c r="AD166" i="167"/>
  <c r="X166" i="167"/>
  <c r="R166" i="167"/>
  <c r="L166" i="167"/>
  <c r="L174" i="167"/>
  <c r="AO174" i="167" s="1"/>
  <c r="AR174" i="167" s="1"/>
  <c r="AT174" i="167" s="1"/>
  <c r="AM174" i="167"/>
  <c r="AG174" i="167"/>
  <c r="AA174" i="167"/>
  <c r="U174" i="167"/>
  <c r="O174" i="167"/>
  <c r="X174" i="167"/>
  <c r="AM179" i="167"/>
  <c r="AG179" i="167"/>
  <c r="AA179" i="167"/>
  <c r="U179" i="167"/>
  <c r="O179" i="167"/>
  <c r="X179" i="167"/>
  <c r="Q184" i="167"/>
  <c r="H186" i="167"/>
  <c r="H241" i="167" s="1"/>
  <c r="I168" i="167"/>
  <c r="AQ186" i="167"/>
  <c r="AQ241" i="167" s="1"/>
  <c r="AJ171" i="167"/>
  <c r="AD171" i="167"/>
  <c r="X171" i="167"/>
  <c r="R171" i="167"/>
  <c r="L171" i="167"/>
  <c r="AM171" i="167"/>
  <c r="AG171" i="167"/>
  <c r="AA171" i="167"/>
  <c r="U171" i="167"/>
  <c r="O171" i="167"/>
  <c r="R174" i="167"/>
  <c r="AM175" i="167"/>
  <c r="AG175" i="167"/>
  <c r="AA175" i="167"/>
  <c r="U175" i="167"/>
  <c r="O175" i="167"/>
  <c r="X175" i="167"/>
  <c r="R179" i="167"/>
  <c r="J184" i="167"/>
  <c r="P184" i="167"/>
  <c r="AB184" i="167"/>
  <c r="AH184" i="167"/>
  <c r="AM169" i="167"/>
  <c r="AG169" i="167"/>
  <c r="AA169" i="167"/>
  <c r="U169" i="167"/>
  <c r="O169" i="167"/>
  <c r="AO169" i="167" s="1"/>
  <c r="AR169" i="167" s="1"/>
  <c r="AT169" i="167" s="1"/>
  <c r="X169" i="167"/>
  <c r="AJ174" i="167"/>
  <c r="R175" i="167"/>
  <c r="AM176" i="167"/>
  <c r="AG176" i="167"/>
  <c r="AA176" i="167"/>
  <c r="U176" i="167"/>
  <c r="O176" i="167"/>
  <c r="AJ176" i="167"/>
  <c r="AD176" i="167"/>
  <c r="X176" i="167"/>
  <c r="R176" i="167"/>
  <c r="L176" i="167"/>
  <c r="L179" i="167"/>
  <c r="AJ179" i="167"/>
  <c r="BU184" i="167"/>
  <c r="BW184" i="167" s="1"/>
  <c r="AQ188" i="167"/>
  <c r="AQ243" i="167" s="1"/>
  <c r="AJ180" i="167"/>
  <c r="AD180" i="167"/>
  <c r="X180" i="167"/>
  <c r="R180" i="167"/>
  <c r="L180" i="167"/>
  <c r="AM180" i="167"/>
  <c r="AG180" i="167"/>
  <c r="AA180" i="167"/>
  <c r="U180" i="167"/>
  <c r="O180" i="167"/>
  <c r="AM181" i="167"/>
  <c r="AG181" i="167"/>
  <c r="AA181" i="167"/>
  <c r="U181" i="167"/>
  <c r="O181" i="167"/>
  <c r="AJ181" i="167"/>
  <c r="AD181" i="167"/>
  <c r="X181" i="167"/>
  <c r="R181" i="167"/>
  <c r="L181" i="167"/>
  <c r="BO220" i="167"/>
  <c r="L206" i="167"/>
  <c r="AM206" i="167"/>
  <c r="AG206" i="167"/>
  <c r="AA206" i="167"/>
  <c r="U206" i="167"/>
  <c r="O206" i="167"/>
  <c r="R206" i="167"/>
  <c r="O207" i="167"/>
  <c r="AJ207" i="167"/>
  <c r="AD207" i="167"/>
  <c r="X207" i="167"/>
  <c r="R207" i="167"/>
  <c r="L207" i="167"/>
  <c r="AG207" i="167"/>
  <c r="AM217" i="167"/>
  <c r="AG217" i="167"/>
  <c r="AA217" i="167"/>
  <c r="U217" i="167"/>
  <c r="O217" i="167"/>
  <c r="AJ217" i="167"/>
  <c r="AD217" i="167"/>
  <c r="X217" i="167"/>
  <c r="R217" i="167"/>
  <c r="L217" i="167"/>
  <c r="H188" i="167"/>
  <c r="AM183" i="167"/>
  <c r="AG183" i="167"/>
  <c r="AA183" i="167"/>
  <c r="U183" i="167"/>
  <c r="O183" i="167"/>
  <c r="X183" i="167"/>
  <c r="AM204" i="167"/>
  <c r="AG204" i="167"/>
  <c r="AA204" i="167"/>
  <c r="U204" i="167"/>
  <c r="O204" i="167"/>
  <c r="X204" i="167"/>
  <c r="AM205" i="167"/>
  <c r="AG205" i="167"/>
  <c r="AA205" i="167"/>
  <c r="U205" i="167"/>
  <c r="O205" i="167"/>
  <c r="AJ205" i="167"/>
  <c r="AD205" i="167"/>
  <c r="X205" i="167"/>
  <c r="R205" i="167"/>
  <c r="L205" i="167"/>
  <c r="AO205" i="167" s="1"/>
  <c r="I224" i="167"/>
  <c r="AJ211" i="167"/>
  <c r="AJ224" i="167" s="1"/>
  <c r="AD211" i="167"/>
  <c r="X211" i="167"/>
  <c r="R211" i="167"/>
  <c r="L211" i="167"/>
  <c r="L224" i="167" s="1"/>
  <c r="AM211" i="167"/>
  <c r="O211" i="167"/>
  <c r="U211" i="167"/>
  <c r="U224" i="167" s="1"/>
  <c r="AA211" i="167"/>
  <c r="H221" i="167"/>
  <c r="I212" i="167"/>
  <c r="AM216" i="167"/>
  <c r="AG216" i="167"/>
  <c r="AA216" i="167"/>
  <c r="U216" i="167"/>
  <c r="AO216" i="167" s="1"/>
  <c r="O216" i="167"/>
  <c r="AD216" i="167"/>
  <c r="AJ216" i="167"/>
  <c r="L216" i="167"/>
  <c r="AR216" i="167" s="1"/>
  <c r="AT216" i="167" s="1"/>
  <c r="R216" i="167"/>
  <c r="I170" i="167"/>
  <c r="I172" i="167"/>
  <c r="AJ182" i="167"/>
  <c r="AD182" i="167"/>
  <c r="X182" i="167"/>
  <c r="R182" i="167"/>
  <c r="L182" i="167"/>
  <c r="AO182" i="167" s="1"/>
  <c r="AR182" i="167" s="1"/>
  <c r="AT182" i="167" s="1"/>
  <c r="AM182" i="167"/>
  <c r="AG182" i="167"/>
  <c r="AA182" i="167"/>
  <c r="U182" i="167"/>
  <c r="O182" i="167"/>
  <c r="R183" i="167"/>
  <c r="H223" i="167"/>
  <c r="H220" i="167"/>
  <c r="I203" i="167"/>
  <c r="S220" i="167"/>
  <c r="AE220" i="167"/>
  <c r="R204" i="167"/>
  <c r="AD206" i="167"/>
  <c r="U207" i="167"/>
  <c r="AJ208" i="167"/>
  <c r="AD208" i="167"/>
  <c r="X208" i="167"/>
  <c r="R208" i="167"/>
  <c r="AO208" i="167" s="1"/>
  <c r="L208" i="167"/>
  <c r="U208" i="167"/>
  <c r="AR208" i="167" s="1"/>
  <c r="AT208" i="167" s="1"/>
  <c r="AA208" i="167"/>
  <c r="AG208" i="167"/>
  <c r="AM208" i="167"/>
  <c r="AG211" i="167"/>
  <c r="O213" i="167"/>
  <c r="AJ213" i="167"/>
  <c r="AD213" i="167"/>
  <c r="X213" i="167"/>
  <c r="R213" i="167"/>
  <c r="L213" i="167"/>
  <c r="AM213" i="167"/>
  <c r="U213" i="167"/>
  <c r="AA213" i="167"/>
  <c r="AO213" i="167" s="1"/>
  <c r="AJ215" i="167"/>
  <c r="AD215" i="167"/>
  <c r="X215" i="167"/>
  <c r="R215" i="167"/>
  <c r="L215" i="167"/>
  <c r="AM215" i="167"/>
  <c r="AG215" i="167"/>
  <c r="AA215" i="167"/>
  <c r="U215" i="167"/>
  <c r="O215" i="167"/>
  <c r="CN184" i="167"/>
  <c r="CO184" i="167" s="1"/>
  <c r="J220" i="167"/>
  <c r="P220" i="167"/>
  <c r="V220" i="167"/>
  <c r="AH220" i="167"/>
  <c r="I210" i="167"/>
  <c r="H222" i="167"/>
  <c r="AJ214" i="167"/>
  <c r="AD214" i="167"/>
  <c r="X214" i="167"/>
  <c r="R214" i="167"/>
  <c r="L214" i="167"/>
  <c r="AM214" i="167"/>
  <c r="AG214" i="167"/>
  <c r="AA214" i="167"/>
  <c r="AO214" i="167" s="1"/>
  <c r="U214" i="167"/>
  <c r="F220" i="167"/>
  <c r="AQ220" i="167"/>
  <c r="AQ225" i="167" s="1"/>
  <c r="AQ223" i="167"/>
  <c r="BN220" i="167"/>
  <c r="Q220" i="167"/>
  <c r="AQ224" i="167"/>
  <c r="AM219" i="167"/>
  <c r="AG219" i="167"/>
  <c r="AA219" i="167"/>
  <c r="U219" i="167"/>
  <c r="O219" i="167"/>
  <c r="AJ219" i="167"/>
  <c r="AD219" i="167"/>
  <c r="X219" i="167"/>
  <c r="R219" i="167"/>
  <c r="L219" i="167"/>
  <c r="H224" i="167"/>
  <c r="AJ218" i="167"/>
  <c r="AD218" i="167"/>
  <c r="X218" i="167"/>
  <c r="R218" i="167"/>
  <c r="L218" i="167"/>
  <c r="AM218" i="167"/>
  <c r="AG218" i="167"/>
  <c r="AA218" i="167"/>
  <c r="U218" i="167"/>
  <c r="O218" i="167"/>
  <c r="C266" i="167"/>
  <c r="P79" i="166"/>
  <c r="Q239" i="166"/>
  <c r="P48" i="166"/>
  <c r="AM13" i="166"/>
  <c r="AG13" i="166"/>
  <c r="AA13" i="166"/>
  <c r="U13" i="166"/>
  <c r="O13" i="166"/>
  <c r="AJ13" i="166"/>
  <c r="AD13" i="166"/>
  <c r="X13" i="166"/>
  <c r="R13" i="166"/>
  <c r="L13" i="166"/>
  <c r="AO13" i="166" s="1"/>
  <c r="AM17" i="166"/>
  <c r="AG17" i="166"/>
  <c r="AA17" i="166"/>
  <c r="U17" i="166"/>
  <c r="O17" i="166"/>
  <c r="AJ17" i="166"/>
  <c r="AD17" i="166"/>
  <c r="X17" i="166"/>
  <c r="R17" i="166"/>
  <c r="L17" i="166"/>
  <c r="AM21" i="166"/>
  <c r="AG21" i="166"/>
  <c r="AA21" i="166"/>
  <c r="U21" i="166"/>
  <c r="O21" i="166"/>
  <c r="AJ21" i="166"/>
  <c r="AD21" i="166"/>
  <c r="X21" i="166"/>
  <c r="R21" i="166"/>
  <c r="L21" i="166"/>
  <c r="AO21" i="166" s="1"/>
  <c r="AM25" i="166"/>
  <c r="AG25" i="166"/>
  <c r="AA25" i="166"/>
  <c r="U25" i="166"/>
  <c r="O25" i="166"/>
  <c r="AJ25" i="166"/>
  <c r="AD25" i="166"/>
  <c r="X25" i="166"/>
  <c r="R25" i="166"/>
  <c r="L25" i="166"/>
  <c r="AO25" i="166" s="1"/>
  <c r="AM32" i="166"/>
  <c r="AG32" i="166"/>
  <c r="AA32" i="166"/>
  <c r="X32" i="166"/>
  <c r="R32" i="166"/>
  <c r="L32" i="166"/>
  <c r="AD32" i="166"/>
  <c r="AJ32" i="166"/>
  <c r="U32" i="166"/>
  <c r="O32" i="166"/>
  <c r="AJ36" i="166"/>
  <c r="AD36" i="166"/>
  <c r="X36" i="166"/>
  <c r="R36" i="166"/>
  <c r="L36" i="166"/>
  <c r="AM36" i="166"/>
  <c r="O36" i="166"/>
  <c r="U36" i="166"/>
  <c r="AA36" i="166"/>
  <c r="AO36" i="166" s="1"/>
  <c r="AG36" i="166"/>
  <c r="AJ16" i="166"/>
  <c r="AD16" i="166"/>
  <c r="X16" i="166"/>
  <c r="R16" i="166"/>
  <c r="L16" i="166"/>
  <c r="AM16" i="166"/>
  <c r="AG16" i="166"/>
  <c r="AA16" i="166"/>
  <c r="U16" i="166"/>
  <c r="O16" i="166"/>
  <c r="AO16" i="166" s="1"/>
  <c r="AJ20" i="166"/>
  <c r="AD20" i="166"/>
  <c r="X20" i="166"/>
  <c r="R20" i="166"/>
  <c r="L20" i="166"/>
  <c r="AM20" i="166"/>
  <c r="AG20" i="166"/>
  <c r="AA20" i="166"/>
  <c r="U20" i="166"/>
  <c r="O20" i="166"/>
  <c r="AJ24" i="166"/>
  <c r="AD24" i="166"/>
  <c r="X24" i="166"/>
  <c r="R24" i="166"/>
  <c r="L24" i="166"/>
  <c r="AM24" i="166"/>
  <c r="O24" i="166"/>
  <c r="AR24" i="166" s="1"/>
  <c r="AT24" i="166" s="1"/>
  <c r="U24" i="166"/>
  <c r="AA24" i="166"/>
  <c r="AO24" i="166" s="1"/>
  <c r="AG24" i="166"/>
  <c r="AM28" i="166"/>
  <c r="AG28" i="166"/>
  <c r="AA28" i="166"/>
  <c r="U28" i="166"/>
  <c r="O28" i="166"/>
  <c r="R28" i="166"/>
  <c r="X28" i="166"/>
  <c r="AD28" i="166"/>
  <c r="AJ28" i="166"/>
  <c r="L28" i="166"/>
  <c r="AJ41" i="166"/>
  <c r="AM41" i="166"/>
  <c r="AD41" i="166"/>
  <c r="X41" i="166"/>
  <c r="R41" i="166"/>
  <c r="L41" i="166"/>
  <c r="AR41" i="166" s="1"/>
  <c r="AT41" i="166" s="1"/>
  <c r="AA41" i="166"/>
  <c r="AG41" i="166"/>
  <c r="AO41" i="166"/>
  <c r="O41" i="166"/>
  <c r="U41" i="166"/>
  <c r="H12" i="166"/>
  <c r="AM15" i="166"/>
  <c r="AG15" i="166"/>
  <c r="AA15" i="166"/>
  <c r="U15" i="166"/>
  <c r="O15" i="166"/>
  <c r="AJ15" i="166"/>
  <c r="AD15" i="166"/>
  <c r="X15" i="166"/>
  <c r="R15" i="166"/>
  <c r="L15" i="166"/>
  <c r="AJ19" i="166"/>
  <c r="AD19" i="166"/>
  <c r="X19" i="166"/>
  <c r="R19" i="166"/>
  <c r="L19" i="166"/>
  <c r="AM19" i="166"/>
  <c r="AG19" i="166"/>
  <c r="AA19" i="166"/>
  <c r="U19" i="166"/>
  <c r="AO19" i="166" s="1"/>
  <c r="O19" i="166"/>
  <c r="AJ23" i="166"/>
  <c r="AD23" i="166"/>
  <c r="X23" i="166"/>
  <c r="R23" i="166"/>
  <c r="L23" i="166"/>
  <c r="AM23" i="166"/>
  <c r="AG23" i="166"/>
  <c r="AA23" i="166"/>
  <c r="U23" i="166"/>
  <c r="AO23" i="166" s="1"/>
  <c r="O23" i="166"/>
  <c r="I26" i="166"/>
  <c r="H50" i="166"/>
  <c r="AM14" i="166"/>
  <c r="AG14" i="166"/>
  <c r="AA14" i="166"/>
  <c r="U14" i="166"/>
  <c r="O14" i="166"/>
  <c r="AO14" i="166" s="1"/>
  <c r="AJ14" i="166"/>
  <c r="AD14" i="166"/>
  <c r="X14" i="166"/>
  <c r="R14" i="166"/>
  <c r="L14" i="166"/>
  <c r="AM18" i="166"/>
  <c r="AG18" i="166"/>
  <c r="AA18" i="166"/>
  <c r="U18" i="166"/>
  <c r="O18" i="166"/>
  <c r="AJ18" i="166"/>
  <c r="AD18" i="166"/>
  <c r="X18" i="166"/>
  <c r="R18" i="166"/>
  <c r="L18" i="166"/>
  <c r="AO18" i="166" s="1"/>
  <c r="AM22" i="166"/>
  <c r="AG22" i="166"/>
  <c r="AA22" i="166"/>
  <c r="U22" i="166"/>
  <c r="O22" i="166"/>
  <c r="AJ22" i="166"/>
  <c r="AD22" i="166"/>
  <c r="X22" i="166"/>
  <c r="R22" i="166"/>
  <c r="L22" i="166"/>
  <c r="BW48" i="166"/>
  <c r="R27" i="166"/>
  <c r="O29" i="166"/>
  <c r="AA30" i="166"/>
  <c r="R33" i="166"/>
  <c r="I34" i="166"/>
  <c r="H52" i="166"/>
  <c r="AJ42" i="166"/>
  <c r="AD42" i="166"/>
  <c r="X42" i="166"/>
  <c r="R42" i="166"/>
  <c r="AO42" i="166" s="1"/>
  <c r="L42" i="166"/>
  <c r="AM42" i="166"/>
  <c r="AG42" i="166"/>
  <c r="AA42" i="166"/>
  <c r="U42" i="166"/>
  <c r="O42" i="166"/>
  <c r="AJ72" i="166"/>
  <c r="AD72" i="166"/>
  <c r="X72" i="166"/>
  <c r="R72" i="166"/>
  <c r="L72" i="166"/>
  <c r="AA72" i="166"/>
  <c r="AG72" i="166"/>
  <c r="AM72" i="166"/>
  <c r="O72" i="166"/>
  <c r="U72" i="166"/>
  <c r="L27" i="166"/>
  <c r="AJ27" i="166"/>
  <c r="AJ29" i="166"/>
  <c r="AD29" i="166"/>
  <c r="X29" i="166"/>
  <c r="R29" i="166"/>
  <c r="L29" i="166"/>
  <c r="AG29" i="166"/>
  <c r="U30" i="166"/>
  <c r="L33" i="166"/>
  <c r="AJ33" i="166"/>
  <c r="AM35" i="166"/>
  <c r="AG35" i="166"/>
  <c r="AA35" i="166"/>
  <c r="U35" i="166"/>
  <c r="O35" i="166"/>
  <c r="AJ35" i="166"/>
  <c r="AD35" i="166"/>
  <c r="X35" i="166"/>
  <c r="R35" i="166"/>
  <c r="L35" i="166"/>
  <c r="AO35" i="166" s="1"/>
  <c r="AM38" i="166"/>
  <c r="AG38" i="166"/>
  <c r="AA38" i="166"/>
  <c r="U38" i="166"/>
  <c r="O38" i="166"/>
  <c r="X38" i="166"/>
  <c r="AM45" i="166"/>
  <c r="AG45" i="166"/>
  <c r="AA45" i="166"/>
  <c r="U45" i="166"/>
  <c r="O45" i="166"/>
  <c r="AJ45" i="166"/>
  <c r="AD45" i="166"/>
  <c r="X45" i="166"/>
  <c r="R45" i="166"/>
  <c r="L45" i="166"/>
  <c r="AO45" i="166" s="1"/>
  <c r="AQ48" i="166"/>
  <c r="AQ51" i="166"/>
  <c r="BN48" i="166"/>
  <c r="AA29" i="166"/>
  <c r="O30" i="166"/>
  <c r="I31" i="166"/>
  <c r="AJ37" i="166"/>
  <c r="AD37" i="166"/>
  <c r="X37" i="166"/>
  <c r="R37" i="166"/>
  <c r="L37" i="166"/>
  <c r="AM37" i="166"/>
  <c r="AG37" i="166"/>
  <c r="AA37" i="166"/>
  <c r="U37" i="166"/>
  <c r="O37" i="166"/>
  <c r="R38" i="166"/>
  <c r="AM39" i="166"/>
  <c r="AG39" i="166"/>
  <c r="AA39" i="166"/>
  <c r="U39" i="166"/>
  <c r="O39" i="166"/>
  <c r="AJ39" i="166"/>
  <c r="AD39" i="166"/>
  <c r="X39" i="166"/>
  <c r="R39" i="166"/>
  <c r="L39" i="166"/>
  <c r="AM44" i="166"/>
  <c r="AG44" i="166"/>
  <c r="AA44" i="166"/>
  <c r="U44" i="166"/>
  <c r="O44" i="166"/>
  <c r="AJ44" i="166"/>
  <c r="AD44" i="166"/>
  <c r="X44" i="166"/>
  <c r="R44" i="166"/>
  <c r="L44" i="166"/>
  <c r="AM27" i="166"/>
  <c r="AG27" i="166"/>
  <c r="AA27" i="166"/>
  <c r="U27" i="166"/>
  <c r="O27" i="166"/>
  <c r="AO27" i="166" s="1"/>
  <c r="X27" i="166"/>
  <c r="AJ30" i="166"/>
  <c r="AD30" i="166"/>
  <c r="X30" i="166"/>
  <c r="R30" i="166"/>
  <c r="L30" i="166"/>
  <c r="AO30" i="166" s="1"/>
  <c r="AG30" i="166"/>
  <c r="AM33" i="166"/>
  <c r="AG33" i="166"/>
  <c r="AA33" i="166"/>
  <c r="U33" i="166"/>
  <c r="O33" i="166"/>
  <c r="X33" i="166"/>
  <c r="L38" i="166"/>
  <c r="AO38" i="166" s="1"/>
  <c r="AJ38" i="166"/>
  <c r="AM40" i="166"/>
  <c r="AG40" i="166"/>
  <c r="AA40" i="166"/>
  <c r="U40" i="166"/>
  <c r="O40" i="166"/>
  <c r="AJ40" i="166"/>
  <c r="AD40" i="166"/>
  <c r="X40" i="166"/>
  <c r="R40" i="166"/>
  <c r="L40" i="166"/>
  <c r="AJ43" i="166"/>
  <c r="AD43" i="166"/>
  <c r="X43" i="166"/>
  <c r="R43" i="166"/>
  <c r="L43" i="166"/>
  <c r="AM43" i="166"/>
  <c r="AG43" i="166"/>
  <c r="AA43" i="166"/>
  <c r="U43" i="166"/>
  <c r="O43" i="166"/>
  <c r="AJ73" i="166"/>
  <c r="AD73" i="166"/>
  <c r="X73" i="166"/>
  <c r="R73" i="166"/>
  <c r="L73" i="166"/>
  <c r="I81" i="166"/>
  <c r="AM73" i="166"/>
  <c r="AG73" i="166"/>
  <c r="AA73" i="166"/>
  <c r="U73" i="166"/>
  <c r="O73" i="166"/>
  <c r="H79" i="166"/>
  <c r="AJ110" i="166"/>
  <c r="AD110" i="166"/>
  <c r="X110" i="166"/>
  <c r="R110" i="166"/>
  <c r="L110" i="166"/>
  <c r="AM110" i="166"/>
  <c r="AG110" i="166"/>
  <c r="AA110" i="166"/>
  <c r="U110" i="166"/>
  <c r="O110" i="166"/>
  <c r="AJ123" i="166"/>
  <c r="AD123" i="166"/>
  <c r="X123" i="166"/>
  <c r="R123" i="166"/>
  <c r="L123" i="166"/>
  <c r="AM123" i="166"/>
  <c r="O123" i="166"/>
  <c r="U123" i="166"/>
  <c r="AA123" i="166"/>
  <c r="AJ131" i="166"/>
  <c r="AD131" i="166"/>
  <c r="X131" i="166"/>
  <c r="R131" i="166"/>
  <c r="L131" i="166"/>
  <c r="AM131" i="166"/>
  <c r="O131" i="166"/>
  <c r="U131" i="166"/>
  <c r="AA131" i="166"/>
  <c r="BN79" i="166"/>
  <c r="I68" i="166"/>
  <c r="AJ74" i="166"/>
  <c r="AJ80" i="166" s="1"/>
  <c r="AD74" i="166"/>
  <c r="AD80" i="166" s="1"/>
  <c r="X74" i="166"/>
  <c r="X80" i="166" s="1"/>
  <c r="R74" i="166"/>
  <c r="R80" i="166" s="1"/>
  <c r="L74" i="166"/>
  <c r="L80" i="166" s="1"/>
  <c r="I80" i="166"/>
  <c r="AM74" i="166"/>
  <c r="AM80" i="166" s="1"/>
  <c r="AG74" i="166"/>
  <c r="AG80" i="166" s="1"/>
  <c r="AA74" i="166"/>
  <c r="AA80" i="166" s="1"/>
  <c r="U74" i="166"/>
  <c r="U80" i="166" s="1"/>
  <c r="O74" i="166"/>
  <c r="O80" i="166" s="1"/>
  <c r="H80" i="166"/>
  <c r="H240" i="166" s="1"/>
  <c r="J134" i="166"/>
  <c r="V134" i="166"/>
  <c r="AH134" i="166"/>
  <c r="AG123" i="166"/>
  <c r="AG131" i="166"/>
  <c r="AJ156" i="166"/>
  <c r="AD156" i="166"/>
  <c r="X156" i="166"/>
  <c r="R156" i="166"/>
  <c r="L156" i="166"/>
  <c r="AM156" i="166"/>
  <c r="AG156" i="166"/>
  <c r="AA156" i="166"/>
  <c r="U156" i="166"/>
  <c r="O156" i="166"/>
  <c r="O47" i="166"/>
  <c r="U47" i="166"/>
  <c r="AO47" i="166" s="1"/>
  <c r="AA47" i="166"/>
  <c r="AG47" i="166"/>
  <c r="AM47" i="166"/>
  <c r="AF239" i="166"/>
  <c r="CO259" i="166"/>
  <c r="CO239" i="166"/>
  <c r="AM67" i="166"/>
  <c r="AG67" i="166"/>
  <c r="AA67" i="166"/>
  <c r="U67" i="166"/>
  <c r="O67" i="166"/>
  <c r="I82" i="166"/>
  <c r="I79" i="166"/>
  <c r="AJ67" i="166"/>
  <c r="AD67" i="166"/>
  <c r="X67" i="166"/>
  <c r="R67" i="166"/>
  <c r="L67" i="166"/>
  <c r="S79" i="166"/>
  <c r="S239" i="166" s="1"/>
  <c r="AE79" i="166"/>
  <c r="AE239" i="166" s="1"/>
  <c r="BO79" i="166"/>
  <c r="BO239" i="166" s="1"/>
  <c r="AM70" i="166"/>
  <c r="AG70" i="166"/>
  <c r="AA70" i="166"/>
  <c r="U70" i="166"/>
  <c r="O70" i="166"/>
  <c r="X70" i="166"/>
  <c r="AJ75" i="166"/>
  <c r="AD75" i="166"/>
  <c r="X75" i="166"/>
  <c r="R75" i="166"/>
  <c r="L75" i="166"/>
  <c r="AM75" i="166"/>
  <c r="AG75" i="166"/>
  <c r="AA75" i="166"/>
  <c r="U75" i="166"/>
  <c r="O75" i="166"/>
  <c r="AM77" i="166"/>
  <c r="AG77" i="166"/>
  <c r="AA77" i="166"/>
  <c r="U77" i="166"/>
  <c r="O77" i="166"/>
  <c r="X77" i="166"/>
  <c r="Y134" i="166"/>
  <c r="Y239" i="166" s="1"/>
  <c r="AJ114" i="166"/>
  <c r="AD114" i="166"/>
  <c r="X114" i="166"/>
  <c r="R114" i="166"/>
  <c r="L114" i="166"/>
  <c r="AM114" i="166"/>
  <c r="O114" i="166"/>
  <c r="U114" i="166"/>
  <c r="AA114" i="166"/>
  <c r="AM115" i="166"/>
  <c r="AG115" i="166"/>
  <c r="AA115" i="166"/>
  <c r="U115" i="166"/>
  <c r="O115" i="166"/>
  <c r="AD115" i="166"/>
  <c r="AJ115" i="166"/>
  <c r="L115" i="166"/>
  <c r="R115" i="166"/>
  <c r="AJ128" i="166"/>
  <c r="AD128" i="166"/>
  <c r="X128" i="166"/>
  <c r="R128" i="166"/>
  <c r="L128" i="166"/>
  <c r="AM128" i="166"/>
  <c r="AG128" i="166"/>
  <c r="AA128" i="166"/>
  <c r="U128" i="166"/>
  <c r="O128" i="166"/>
  <c r="AM130" i="166"/>
  <c r="AG130" i="166"/>
  <c r="AA130" i="166"/>
  <c r="U130" i="166"/>
  <c r="O130" i="166"/>
  <c r="AD130" i="166"/>
  <c r="AJ130" i="166"/>
  <c r="L130" i="166"/>
  <c r="R130" i="166"/>
  <c r="AM46" i="166"/>
  <c r="AG46" i="166"/>
  <c r="AA46" i="166"/>
  <c r="U46" i="166"/>
  <c r="O46" i="166"/>
  <c r="AJ46" i="166"/>
  <c r="AD46" i="166"/>
  <c r="X46" i="166"/>
  <c r="R46" i="166"/>
  <c r="L46" i="166"/>
  <c r="AN239" i="166"/>
  <c r="CN239" i="166"/>
  <c r="CN259" i="166"/>
  <c r="CU259" i="166"/>
  <c r="CV48" i="166"/>
  <c r="J79" i="166"/>
  <c r="J239" i="166" s="1"/>
  <c r="V79" i="166"/>
  <c r="V239" i="166" s="1"/>
  <c r="AH79" i="166"/>
  <c r="AH239" i="166" s="1"/>
  <c r="AJ69" i="166"/>
  <c r="AD69" i="166"/>
  <c r="X69" i="166"/>
  <c r="R69" i="166"/>
  <c r="L69" i="166"/>
  <c r="AM69" i="166"/>
  <c r="AG69" i="166"/>
  <c r="AA69" i="166"/>
  <c r="U69" i="166"/>
  <c r="O69" i="166"/>
  <c r="R70" i="166"/>
  <c r="AM71" i="166"/>
  <c r="AG71" i="166"/>
  <c r="AA71" i="166"/>
  <c r="U71" i="166"/>
  <c r="O71" i="166"/>
  <c r="AJ71" i="166"/>
  <c r="AD71" i="166"/>
  <c r="X71" i="166"/>
  <c r="R71" i="166"/>
  <c r="L71" i="166"/>
  <c r="AJ76" i="166"/>
  <c r="AD76" i="166"/>
  <c r="X76" i="166"/>
  <c r="R76" i="166"/>
  <c r="L76" i="166"/>
  <c r="AM76" i="166"/>
  <c r="AG76" i="166"/>
  <c r="AA76" i="166"/>
  <c r="U76" i="166"/>
  <c r="O76" i="166"/>
  <c r="R77" i="166"/>
  <c r="AM78" i="166"/>
  <c r="AG78" i="166"/>
  <c r="AA78" i="166"/>
  <c r="U78" i="166"/>
  <c r="O78" i="166"/>
  <c r="AJ78" i="166"/>
  <c r="AD78" i="166"/>
  <c r="X78" i="166"/>
  <c r="R78" i="166"/>
  <c r="L78" i="166"/>
  <c r="H81" i="166"/>
  <c r="P134" i="166"/>
  <c r="AB134" i="166"/>
  <c r="AB239" i="166" s="1"/>
  <c r="I99" i="166"/>
  <c r="AM100" i="166"/>
  <c r="AG100" i="166"/>
  <c r="AA100" i="166"/>
  <c r="U100" i="166"/>
  <c r="O100" i="166"/>
  <c r="AJ100" i="166"/>
  <c r="L100" i="166"/>
  <c r="R100" i="166"/>
  <c r="X100" i="166"/>
  <c r="AD100" i="166"/>
  <c r="AJ105" i="166"/>
  <c r="AD105" i="166"/>
  <c r="X105" i="166"/>
  <c r="R105" i="166"/>
  <c r="L105" i="166"/>
  <c r="AM105" i="166"/>
  <c r="O105" i="166"/>
  <c r="U105" i="166"/>
  <c r="AA105" i="166"/>
  <c r="AG114" i="166"/>
  <c r="AJ125" i="166"/>
  <c r="AD125" i="166"/>
  <c r="X125" i="166"/>
  <c r="R125" i="166"/>
  <c r="L125" i="166"/>
  <c r="AM125" i="166"/>
  <c r="AG125" i="166"/>
  <c r="AA125" i="166"/>
  <c r="U125" i="166"/>
  <c r="O125" i="166"/>
  <c r="AJ160" i="166"/>
  <c r="AD160" i="166"/>
  <c r="X160" i="166"/>
  <c r="R160" i="166"/>
  <c r="L160" i="166"/>
  <c r="AR160" i="166" s="1"/>
  <c r="AT160" i="166" s="1"/>
  <c r="U160" i="166"/>
  <c r="AA160" i="166"/>
  <c r="AG160" i="166"/>
  <c r="AO160" i="166" s="1"/>
  <c r="O160" i="166"/>
  <c r="AM160" i="166"/>
  <c r="CT259" i="166"/>
  <c r="CT239" i="166"/>
  <c r="CT258" i="166" s="1"/>
  <c r="AQ82" i="166"/>
  <c r="AQ84" i="166" s="1"/>
  <c r="AQ134" i="166"/>
  <c r="AQ137" i="166"/>
  <c r="BN134" i="166"/>
  <c r="O102" i="166"/>
  <c r="AJ103" i="166"/>
  <c r="AD103" i="166"/>
  <c r="X103" i="166"/>
  <c r="R103" i="166"/>
  <c r="L103" i="166"/>
  <c r="AM103" i="166"/>
  <c r="AG103" i="166"/>
  <c r="AA103" i="166"/>
  <c r="U103" i="166"/>
  <c r="O103" i="166"/>
  <c r="AM104" i="166"/>
  <c r="AG104" i="166"/>
  <c r="AA104" i="166"/>
  <c r="U104" i="166"/>
  <c r="O104" i="166"/>
  <c r="AJ104" i="166"/>
  <c r="AD104" i="166"/>
  <c r="X104" i="166"/>
  <c r="R104" i="166"/>
  <c r="L104" i="166"/>
  <c r="AJ109" i="166"/>
  <c r="AD109" i="166"/>
  <c r="X109" i="166"/>
  <c r="R109" i="166"/>
  <c r="L109" i="166"/>
  <c r="AG109" i="166"/>
  <c r="L111" i="166"/>
  <c r="O113" i="166"/>
  <c r="AJ117" i="166"/>
  <c r="AJ135" i="166" s="1"/>
  <c r="AD117" i="166"/>
  <c r="AD135" i="166" s="1"/>
  <c r="X117" i="166"/>
  <c r="R117" i="166"/>
  <c r="R135" i="166" s="1"/>
  <c r="L117" i="166"/>
  <c r="AG117" i="166"/>
  <c r="AJ119" i="166"/>
  <c r="AD119" i="166"/>
  <c r="X119" i="166"/>
  <c r="R119" i="166"/>
  <c r="L119" i="166"/>
  <c r="AG119" i="166"/>
  <c r="L126" i="166"/>
  <c r="L129" i="166"/>
  <c r="H137" i="166"/>
  <c r="H134" i="166"/>
  <c r="M134" i="166"/>
  <c r="M239" i="166" s="1"/>
  <c r="S134" i="166"/>
  <c r="AE134" i="166"/>
  <c r="AK134" i="166"/>
  <c r="AK239" i="166" s="1"/>
  <c r="BO134" i="166"/>
  <c r="AJ102" i="166"/>
  <c r="AD102" i="166"/>
  <c r="X102" i="166"/>
  <c r="R102" i="166"/>
  <c r="L102" i="166"/>
  <c r="AG102" i="166"/>
  <c r="AM107" i="166"/>
  <c r="AG107" i="166"/>
  <c r="AA107" i="166"/>
  <c r="U107" i="166"/>
  <c r="O107" i="166"/>
  <c r="X107" i="166"/>
  <c r="AM108" i="166"/>
  <c r="AG108" i="166"/>
  <c r="AA108" i="166"/>
  <c r="U108" i="166"/>
  <c r="O108" i="166"/>
  <c r="AJ108" i="166"/>
  <c r="AD108" i="166"/>
  <c r="X108" i="166"/>
  <c r="R108" i="166"/>
  <c r="L108" i="166"/>
  <c r="I136" i="166"/>
  <c r="AJ113" i="166"/>
  <c r="AD113" i="166"/>
  <c r="X113" i="166"/>
  <c r="R113" i="166"/>
  <c r="L113" i="166"/>
  <c r="AG113" i="166"/>
  <c r="AJ121" i="166"/>
  <c r="AD121" i="166"/>
  <c r="X121" i="166"/>
  <c r="R121" i="166"/>
  <c r="L121" i="166"/>
  <c r="AM121" i="166"/>
  <c r="AG121" i="166"/>
  <c r="AA121" i="166"/>
  <c r="U121" i="166"/>
  <c r="O121" i="166"/>
  <c r="AM133" i="166"/>
  <c r="AG133" i="166"/>
  <c r="AA133" i="166"/>
  <c r="U133" i="166"/>
  <c r="O133" i="166"/>
  <c r="X133" i="166"/>
  <c r="AM154" i="166"/>
  <c r="AG154" i="166"/>
  <c r="AA154" i="166"/>
  <c r="U154" i="166"/>
  <c r="O154" i="166"/>
  <c r="AJ154" i="166"/>
  <c r="AD154" i="166"/>
  <c r="X154" i="166"/>
  <c r="R154" i="166"/>
  <c r="L154" i="166"/>
  <c r="AR154" i="166" s="1"/>
  <c r="AT154" i="166" s="1"/>
  <c r="AO154" i="166"/>
  <c r="CM239" i="166"/>
  <c r="CM258" i="166" s="1"/>
  <c r="CM259" i="166"/>
  <c r="C53" i="166"/>
  <c r="I98" i="166"/>
  <c r="AA102" i="166"/>
  <c r="AJ106" i="166"/>
  <c r="AD106" i="166"/>
  <c r="X106" i="166"/>
  <c r="R106" i="166"/>
  <c r="L106" i="166"/>
  <c r="AM106" i="166"/>
  <c r="AG106" i="166"/>
  <c r="AA106" i="166"/>
  <c r="U106" i="166"/>
  <c r="O106" i="166"/>
  <c r="R107" i="166"/>
  <c r="AM111" i="166"/>
  <c r="AG111" i="166"/>
  <c r="AA111" i="166"/>
  <c r="U111" i="166"/>
  <c r="O111" i="166"/>
  <c r="AO111" i="166" s="1"/>
  <c r="X111" i="166"/>
  <c r="AM112" i="166"/>
  <c r="AG112" i="166"/>
  <c r="AA112" i="166"/>
  <c r="U112" i="166"/>
  <c r="O112" i="166"/>
  <c r="AJ112" i="166"/>
  <c r="AD112" i="166"/>
  <c r="X112" i="166"/>
  <c r="R112" i="166"/>
  <c r="L112" i="166"/>
  <c r="AA113" i="166"/>
  <c r="AJ116" i="166"/>
  <c r="AD116" i="166"/>
  <c r="X116" i="166"/>
  <c r="R116" i="166"/>
  <c r="L116" i="166"/>
  <c r="AG116" i="166"/>
  <c r="AJ118" i="166"/>
  <c r="AD118" i="166"/>
  <c r="X118" i="166"/>
  <c r="R118" i="166"/>
  <c r="L118" i="166"/>
  <c r="AG118" i="166"/>
  <c r="AJ120" i="166"/>
  <c r="AD120" i="166"/>
  <c r="X120" i="166"/>
  <c r="R120" i="166"/>
  <c r="L120" i="166"/>
  <c r="AG120" i="166"/>
  <c r="AJ124" i="166"/>
  <c r="AD124" i="166"/>
  <c r="X124" i="166"/>
  <c r="R124" i="166"/>
  <c r="L124" i="166"/>
  <c r="AM124" i="166"/>
  <c r="AM136" i="166" s="1"/>
  <c r="AG124" i="166"/>
  <c r="AA124" i="166"/>
  <c r="U124" i="166"/>
  <c r="U136" i="166" s="1"/>
  <c r="O124" i="166"/>
  <c r="AM126" i="166"/>
  <c r="AG126" i="166"/>
  <c r="AA126" i="166"/>
  <c r="U126" i="166"/>
  <c r="AO126" i="166" s="1"/>
  <c r="O126" i="166"/>
  <c r="X126" i="166"/>
  <c r="AM129" i="166"/>
  <c r="AM135" i="166" s="1"/>
  <c r="AG129" i="166"/>
  <c r="AA129" i="166"/>
  <c r="AA135" i="166" s="1"/>
  <c r="U129" i="166"/>
  <c r="U135" i="166" s="1"/>
  <c r="O129" i="166"/>
  <c r="O135" i="166" s="1"/>
  <c r="X129" i="166"/>
  <c r="AJ132" i="166"/>
  <c r="AD132" i="166"/>
  <c r="X132" i="166"/>
  <c r="R132" i="166"/>
  <c r="L132" i="166"/>
  <c r="AM132" i="166"/>
  <c r="AG132" i="166"/>
  <c r="AA132" i="166"/>
  <c r="U132" i="166"/>
  <c r="O132" i="166"/>
  <c r="R133" i="166"/>
  <c r="I135" i="166"/>
  <c r="F184" i="166"/>
  <c r="F239" i="166" s="1"/>
  <c r="H153" i="166"/>
  <c r="AQ184" i="166"/>
  <c r="AQ187" i="166"/>
  <c r="AJ159" i="166"/>
  <c r="AD159" i="166"/>
  <c r="X159" i="166"/>
  <c r="R159" i="166"/>
  <c r="L159" i="166"/>
  <c r="AA159" i="166"/>
  <c r="AG159" i="166"/>
  <c r="AM159" i="166"/>
  <c r="O159" i="166"/>
  <c r="AO159" i="166" s="1"/>
  <c r="U159" i="166"/>
  <c r="L101" i="166"/>
  <c r="R101" i="166"/>
  <c r="X101" i="166"/>
  <c r="AD101" i="166"/>
  <c r="AJ101" i="166"/>
  <c r="L122" i="166"/>
  <c r="R122" i="166"/>
  <c r="X122" i="166"/>
  <c r="AD122" i="166"/>
  <c r="AJ122" i="166"/>
  <c r="L127" i="166"/>
  <c r="R127" i="166"/>
  <c r="X127" i="166"/>
  <c r="AD127" i="166"/>
  <c r="AJ127" i="166"/>
  <c r="O155" i="166"/>
  <c r="AM158" i="166"/>
  <c r="AG158" i="166"/>
  <c r="AA158" i="166"/>
  <c r="U158" i="166"/>
  <c r="O158" i="166"/>
  <c r="X158" i="166"/>
  <c r="BN184" i="166"/>
  <c r="BO153" i="166"/>
  <c r="BO184" i="166" s="1"/>
  <c r="AJ155" i="166"/>
  <c r="AD155" i="166"/>
  <c r="X155" i="166"/>
  <c r="R155" i="166"/>
  <c r="L155" i="166"/>
  <c r="AG155" i="166"/>
  <c r="AM157" i="166"/>
  <c r="AG157" i="166"/>
  <c r="AA157" i="166"/>
  <c r="U157" i="166"/>
  <c r="O157" i="166"/>
  <c r="AJ157" i="166"/>
  <c r="L157" i="166"/>
  <c r="R157" i="166"/>
  <c r="AO157" i="166"/>
  <c r="AR157" i="166" s="1"/>
  <c r="AT157" i="166" s="1"/>
  <c r="X157" i="166"/>
  <c r="AD157" i="166"/>
  <c r="AM165" i="166"/>
  <c r="AG165" i="166"/>
  <c r="AA165" i="166"/>
  <c r="U165" i="166"/>
  <c r="O165" i="166"/>
  <c r="AD165" i="166"/>
  <c r="AJ165" i="166"/>
  <c r="L165" i="166"/>
  <c r="AO165" i="166" s="1"/>
  <c r="AR165" i="166" s="1"/>
  <c r="AT165" i="166" s="1"/>
  <c r="R165" i="166"/>
  <c r="AJ169" i="166"/>
  <c r="AD169" i="166"/>
  <c r="X169" i="166"/>
  <c r="R169" i="166"/>
  <c r="L169" i="166"/>
  <c r="U169" i="166"/>
  <c r="AA169" i="166"/>
  <c r="AG169" i="166"/>
  <c r="O169" i="166"/>
  <c r="AO169" i="166" s="1"/>
  <c r="AH220" i="166"/>
  <c r="O101" i="166"/>
  <c r="U101" i="166"/>
  <c r="AA101" i="166"/>
  <c r="AG101" i="166"/>
  <c r="H136" i="166"/>
  <c r="BU134" i="166"/>
  <c r="BW134" i="166" s="1"/>
  <c r="H135" i="166"/>
  <c r="O122" i="166"/>
  <c r="U122" i="166"/>
  <c r="AA122" i="166"/>
  <c r="AG122" i="166"/>
  <c r="O127" i="166"/>
  <c r="U127" i="166"/>
  <c r="AA127" i="166"/>
  <c r="AG127" i="166"/>
  <c r="CV134" i="166"/>
  <c r="CU134" i="166"/>
  <c r="CU239" i="166" s="1"/>
  <c r="CU258" i="166" s="1"/>
  <c r="AA155" i="166"/>
  <c r="AM161" i="166"/>
  <c r="AG161" i="166"/>
  <c r="AA161" i="166"/>
  <c r="U161" i="166"/>
  <c r="O161" i="166"/>
  <c r="AD161" i="166"/>
  <c r="AJ161" i="166"/>
  <c r="L161" i="166"/>
  <c r="AO161" i="166" s="1"/>
  <c r="R161" i="166"/>
  <c r="AJ164" i="166"/>
  <c r="AD164" i="166"/>
  <c r="X164" i="166"/>
  <c r="R164" i="166"/>
  <c r="L164" i="166"/>
  <c r="U164" i="166"/>
  <c r="AA164" i="166"/>
  <c r="AG164" i="166"/>
  <c r="AM164" i="166"/>
  <c r="H185" i="166"/>
  <c r="I172" i="166"/>
  <c r="AJ178" i="166"/>
  <c r="AD178" i="166"/>
  <c r="X178" i="166"/>
  <c r="R178" i="166"/>
  <c r="L178" i="166"/>
  <c r="AA178" i="166"/>
  <c r="AG178" i="166"/>
  <c r="AM178" i="166"/>
  <c r="O178" i="166"/>
  <c r="U178" i="166"/>
  <c r="AQ223" i="166"/>
  <c r="AQ220" i="166"/>
  <c r="H224" i="166"/>
  <c r="I211" i="166"/>
  <c r="M184" i="166"/>
  <c r="S184" i="166"/>
  <c r="Y184" i="166"/>
  <c r="AE184" i="166"/>
  <c r="AK184" i="166"/>
  <c r="AM162" i="166"/>
  <c r="AG162" i="166"/>
  <c r="AA162" i="166"/>
  <c r="U162" i="166"/>
  <c r="O162" i="166"/>
  <c r="X162" i="166"/>
  <c r="AM166" i="166"/>
  <c r="AG166" i="166"/>
  <c r="AA166" i="166"/>
  <c r="U166" i="166"/>
  <c r="O166" i="166"/>
  <c r="X166" i="166"/>
  <c r="H188" i="166"/>
  <c r="I170" i="166"/>
  <c r="AM175" i="166"/>
  <c r="AG175" i="166"/>
  <c r="AA175" i="166"/>
  <c r="U175" i="166"/>
  <c r="O175" i="166"/>
  <c r="AO175" i="166" s="1"/>
  <c r="AJ175" i="166"/>
  <c r="L175" i="166"/>
  <c r="R175" i="166"/>
  <c r="X175" i="166"/>
  <c r="AD175" i="166"/>
  <c r="AM182" i="166"/>
  <c r="AG182" i="166"/>
  <c r="AA182" i="166"/>
  <c r="U182" i="166"/>
  <c r="O182" i="166"/>
  <c r="AD182" i="166"/>
  <c r="AJ182" i="166"/>
  <c r="L182" i="166"/>
  <c r="AO182" i="166" s="1"/>
  <c r="R182" i="166"/>
  <c r="R162" i="166"/>
  <c r="AJ163" i="166"/>
  <c r="AD163" i="166"/>
  <c r="X163" i="166"/>
  <c r="R163" i="166"/>
  <c r="L163" i="166"/>
  <c r="AG163" i="166"/>
  <c r="R166" i="166"/>
  <c r="AJ166" i="166"/>
  <c r="AJ171" i="166"/>
  <c r="AD171" i="166"/>
  <c r="X171" i="166"/>
  <c r="R171" i="166"/>
  <c r="L171" i="166"/>
  <c r="U171" i="166"/>
  <c r="AA171" i="166"/>
  <c r="AM173" i="166"/>
  <c r="AG173" i="166"/>
  <c r="AA173" i="166"/>
  <c r="U173" i="166"/>
  <c r="O173" i="166"/>
  <c r="AD173" i="166"/>
  <c r="AJ173" i="166"/>
  <c r="L173" i="166"/>
  <c r="R173" i="166"/>
  <c r="AM174" i="166"/>
  <c r="AG174" i="166"/>
  <c r="AA174" i="166"/>
  <c r="U174" i="166"/>
  <c r="O174" i="166"/>
  <c r="R174" i="166"/>
  <c r="X174" i="166"/>
  <c r="AD174" i="166"/>
  <c r="AJ179" i="166"/>
  <c r="AD179" i="166"/>
  <c r="X179" i="166"/>
  <c r="R179" i="166"/>
  <c r="L179" i="166"/>
  <c r="AO179" i="166" s="1"/>
  <c r="AM179" i="166"/>
  <c r="O179" i="166"/>
  <c r="U179" i="166"/>
  <c r="AA179" i="166"/>
  <c r="AJ181" i="166"/>
  <c r="AD181" i="166"/>
  <c r="X181" i="166"/>
  <c r="R181" i="166"/>
  <c r="AR181" i="166" s="1"/>
  <c r="AT181" i="166" s="1"/>
  <c r="L181" i="166"/>
  <c r="AO181" i="166" s="1"/>
  <c r="AM181" i="166"/>
  <c r="O181" i="166"/>
  <c r="U181" i="166"/>
  <c r="AA181" i="166"/>
  <c r="J184" i="166"/>
  <c r="P184" i="166"/>
  <c r="AB184" i="166"/>
  <c r="AH184" i="166"/>
  <c r="L162" i="166"/>
  <c r="AJ162" i="166"/>
  <c r="AA163" i="166"/>
  <c r="L166" i="166"/>
  <c r="AD166" i="166"/>
  <c r="AJ167" i="166"/>
  <c r="AD167" i="166"/>
  <c r="X167" i="166"/>
  <c r="R167" i="166"/>
  <c r="L167" i="166"/>
  <c r="AM167" i="166"/>
  <c r="O167" i="166"/>
  <c r="AA167" i="166"/>
  <c r="H186" i="166"/>
  <c r="I168" i="166"/>
  <c r="AG179" i="166"/>
  <c r="AG181" i="166"/>
  <c r="X182" i="166"/>
  <c r="AR182" i="166" s="1"/>
  <c r="AT182" i="166" s="1"/>
  <c r="U177" i="166"/>
  <c r="L180" i="166"/>
  <c r="AJ180" i="166"/>
  <c r="AM183" i="166"/>
  <c r="AG183" i="166"/>
  <c r="AA183" i="166"/>
  <c r="U183" i="166"/>
  <c r="O183" i="166"/>
  <c r="X183" i="166"/>
  <c r="AE220" i="166"/>
  <c r="AJ205" i="166"/>
  <c r="AD205" i="166"/>
  <c r="X205" i="166"/>
  <c r="R205" i="166"/>
  <c r="AO205" i="166" s="1"/>
  <c r="L205" i="166"/>
  <c r="AA205" i="166"/>
  <c r="AG205" i="166"/>
  <c r="AM206" i="166"/>
  <c r="AG206" i="166"/>
  <c r="AA206" i="166"/>
  <c r="U206" i="166"/>
  <c r="O206" i="166"/>
  <c r="X206" i="166"/>
  <c r="AD206" i="166"/>
  <c r="L206" i="166"/>
  <c r="R206" i="166"/>
  <c r="AO206" i="166" s="1"/>
  <c r="AJ207" i="166"/>
  <c r="AD207" i="166"/>
  <c r="X207" i="166"/>
  <c r="R207" i="166"/>
  <c r="AO207" i="166" s="1"/>
  <c r="L207" i="166"/>
  <c r="AM207" i="166"/>
  <c r="O207" i="166"/>
  <c r="U207" i="166"/>
  <c r="H222" i="166"/>
  <c r="I210" i="166"/>
  <c r="AJ215" i="166"/>
  <c r="AD215" i="166"/>
  <c r="X215" i="166"/>
  <c r="R215" i="166"/>
  <c r="AO215" i="166" s="1"/>
  <c r="L215" i="166"/>
  <c r="U215" i="166"/>
  <c r="AA215" i="166"/>
  <c r="O215" i="166"/>
  <c r="AG215" i="166"/>
  <c r="AJ216" i="166"/>
  <c r="AD216" i="166"/>
  <c r="X216" i="166"/>
  <c r="R216" i="166"/>
  <c r="L216" i="166"/>
  <c r="AM216" i="166"/>
  <c r="O216" i="166"/>
  <c r="U216" i="166"/>
  <c r="AA216" i="166"/>
  <c r="AG216" i="166"/>
  <c r="AQ186" i="166"/>
  <c r="AQ241" i="166" s="1"/>
  <c r="AM176" i="166"/>
  <c r="AG176" i="166"/>
  <c r="AA176" i="166"/>
  <c r="U176" i="166"/>
  <c r="O176" i="166"/>
  <c r="AO176" i="166" s="1"/>
  <c r="X176" i="166"/>
  <c r="O177" i="166"/>
  <c r="R183" i="166"/>
  <c r="F220" i="166"/>
  <c r="BO220" i="166"/>
  <c r="AM205" i="166"/>
  <c r="AJ177" i="166"/>
  <c r="AD177" i="166"/>
  <c r="X177" i="166"/>
  <c r="R177" i="166"/>
  <c r="L177" i="166"/>
  <c r="AO177" i="166" s="1"/>
  <c r="AG177" i="166"/>
  <c r="AM180" i="166"/>
  <c r="AG180" i="166"/>
  <c r="AA180" i="166"/>
  <c r="U180" i="166"/>
  <c r="AO180" i="166" s="1"/>
  <c r="O180" i="166"/>
  <c r="X180" i="166"/>
  <c r="L183" i="166"/>
  <c r="AO183" i="166" s="1"/>
  <c r="AJ183" i="166"/>
  <c r="CV184" i="166"/>
  <c r="H223" i="166"/>
  <c r="H220" i="166"/>
  <c r="H225" i="166" s="1"/>
  <c r="I203" i="166"/>
  <c r="AK220" i="166"/>
  <c r="U205" i="166"/>
  <c r="AJ206" i="166"/>
  <c r="AG207" i="166"/>
  <c r="AM209" i="166"/>
  <c r="AG209" i="166"/>
  <c r="AA209" i="166"/>
  <c r="U209" i="166"/>
  <c r="O209" i="166"/>
  <c r="AJ209" i="166"/>
  <c r="L209" i="166"/>
  <c r="R209" i="166"/>
  <c r="AJ213" i="166"/>
  <c r="AD213" i="166"/>
  <c r="X213" i="166"/>
  <c r="R213" i="166"/>
  <c r="AO213" i="166" s="1"/>
  <c r="L213" i="166"/>
  <c r="U213" i="166"/>
  <c r="AA213" i="166"/>
  <c r="O213" i="166"/>
  <c r="AG213" i="166"/>
  <c r="AJ218" i="166"/>
  <c r="AD218" i="166"/>
  <c r="X218" i="166"/>
  <c r="R218" i="166"/>
  <c r="AM218" i="166"/>
  <c r="O218" i="166"/>
  <c r="U218" i="166"/>
  <c r="AG218" i="166"/>
  <c r="L218" i="166"/>
  <c r="Y220" i="166"/>
  <c r="AM204" i="166"/>
  <c r="AG204" i="166"/>
  <c r="AA204" i="166"/>
  <c r="U204" i="166"/>
  <c r="O204" i="166"/>
  <c r="X204" i="166"/>
  <c r="AO204" i="166" s="1"/>
  <c r="CU220" i="166"/>
  <c r="CV220" i="166" s="1"/>
  <c r="S220" i="166"/>
  <c r="BN220" i="166"/>
  <c r="AJ208" i="166"/>
  <c r="AD208" i="166"/>
  <c r="X208" i="166"/>
  <c r="R208" i="166"/>
  <c r="L208" i="166"/>
  <c r="AM208" i="166"/>
  <c r="O208" i="166"/>
  <c r="U208" i="166"/>
  <c r="AM217" i="166"/>
  <c r="AG217" i="166"/>
  <c r="AA217" i="166"/>
  <c r="U217" i="166"/>
  <c r="O217" i="166"/>
  <c r="X217" i="166"/>
  <c r="AD217" i="166"/>
  <c r="AJ217" i="166"/>
  <c r="O212" i="166"/>
  <c r="O221" i="166" s="1"/>
  <c r="O214" i="166"/>
  <c r="P220" i="166"/>
  <c r="AB220" i="166"/>
  <c r="I221" i="166"/>
  <c r="AJ212" i="166"/>
  <c r="AJ221" i="166" s="1"/>
  <c r="AD212" i="166"/>
  <c r="AD221" i="166" s="1"/>
  <c r="X212" i="166"/>
  <c r="X221" i="166" s="1"/>
  <c r="R212" i="166"/>
  <c r="R221" i="166" s="1"/>
  <c r="L212" i="166"/>
  <c r="L221" i="166" s="1"/>
  <c r="AG212" i="166"/>
  <c r="AG221" i="166" s="1"/>
  <c r="AJ214" i="166"/>
  <c r="AD214" i="166"/>
  <c r="X214" i="166"/>
  <c r="R214" i="166"/>
  <c r="AO214" i="166" s="1"/>
  <c r="L214" i="166"/>
  <c r="AG214" i="166"/>
  <c r="AM219" i="166"/>
  <c r="AG219" i="166"/>
  <c r="AA219" i="166"/>
  <c r="U219" i="166"/>
  <c r="O219" i="166"/>
  <c r="AD219" i="166"/>
  <c r="AJ219" i="166"/>
  <c r="L219" i="166"/>
  <c r="R219" i="166"/>
  <c r="EQ239" i="166"/>
  <c r="EP239" i="166" s="1"/>
  <c r="C266" i="166"/>
  <c r="AW227" i="165"/>
  <c r="AW232" i="165"/>
  <c r="AT189" i="165"/>
  <c r="AU225" i="165"/>
  <c r="AU244" i="165" s="1"/>
  <c r="AV225" i="165"/>
  <c r="AV244" i="165" s="1"/>
  <c r="AQ189" i="165"/>
  <c r="AR244" i="165"/>
  <c r="AR225" i="165"/>
  <c r="AO225" i="165"/>
  <c r="AJ225" i="165"/>
  <c r="AJ244" i="165" s="1"/>
  <c r="AG225" i="165"/>
  <c r="AG244" i="165" s="1"/>
  <c r="AD225" i="165"/>
  <c r="AA225" i="165"/>
  <c r="AA244" i="165" s="1"/>
  <c r="U225" i="165"/>
  <c r="U244" i="165" s="1"/>
  <c r="O225" i="165"/>
  <c r="I225" i="165"/>
  <c r="I244" i="165" s="1"/>
  <c r="H225" i="165"/>
  <c r="C189" i="165"/>
  <c r="AW143" i="165"/>
  <c r="C139" i="165"/>
  <c r="AW86" i="165"/>
  <c r="AW91" i="165" s="1"/>
  <c r="AW93" i="165"/>
  <c r="C84" i="165"/>
  <c r="AW236" i="165"/>
  <c r="AW198" i="165"/>
  <c r="AW200" i="165"/>
  <c r="AW149" i="165"/>
  <c r="AW150" i="165"/>
  <c r="AW148" i="165"/>
  <c r="AW94" i="165"/>
  <c r="AW95" i="165"/>
  <c r="AW84" i="165"/>
  <c r="AW64" i="165"/>
  <c r="AW62" i="165"/>
  <c r="AW63" i="165"/>
  <c r="DZ258" i="165"/>
  <c r="CW258" i="165"/>
  <c r="C258" i="165"/>
  <c r="C262" i="165" s="1"/>
  <c r="ET239" i="165"/>
  <c r="ES239" i="165"/>
  <c r="ER239" i="165"/>
  <c r="EL239" i="165"/>
  <c r="EK239" i="165" s="1"/>
  <c r="EG239" i="165"/>
  <c r="EF239" i="165" s="1"/>
  <c r="EB239" i="165"/>
  <c r="EA239" i="165" s="1"/>
  <c r="DW239" i="165"/>
  <c r="DV239" i="165" s="1"/>
  <c r="DO239" i="165"/>
  <c r="DN239" i="165"/>
  <c r="DM239" i="165"/>
  <c r="DJ239" i="165"/>
  <c r="DG239" i="165"/>
  <c r="DD239" i="165"/>
  <c r="DA239" i="165"/>
  <c r="BZ239" i="165"/>
  <c r="BV239" i="165"/>
  <c r="BG239" i="165"/>
  <c r="CT220" i="165"/>
  <c r="CM220" i="165"/>
  <c r="CN220" i="165" s="1"/>
  <c r="CO220" i="165" s="1"/>
  <c r="BP220" i="165"/>
  <c r="BG220" i="165"/>
  <c r="BC220" i="165"/>
  <c r="AS220" i="165"/>
  <c r="AP220" i="165"/>
  <c r="AN220" i="165"/>
  <c r="AL220" i="165"/>
  <c r="AI220" i="165"/>
  <c r="AF220" i="165"/>
  <c r="AC220" i="165"/>
  <c r="Z220" i="165"/>
  <c r="W220" i="165"/>
  <c r="T220" i="165"/>
  <c r="Q220" i="165"/>
  <c r="N220" i="165"/>
  <c r="K220" i="165"/>
  <c r="G220" i="165"/>
  <c r="E220" i="165"/>
  <c r="D220" i="165"/>
  <c r="C220" i="165"/>
  <c r="BN219" i="165"/>
  <c r="BO219" i="165" s="1"/>
  <c r="BG219" i="165"/>
  <c r="AQ219" i="165"/>
  <c r="AK219" i="165"/>
  <c r="AH219" i="165"/>
  <c r="AE219" i="165"/>
  <c r="AB219" i="165"/>
  <c r="Y219" i="165"/>
  <c r="V219" i="165"/>
  <c r="S219" i="165"/>
  <c r="P219" i="165"/>
  <c r="M219" i="165"/>
  <c r="J219" i="165"/>
  <c r="F219" i="165"/>
  <c r="H219" i="165" s="1"/>
  <c r="I219" i="165" s="1"/>
  <c r="BN218" i="165"/>
  <c r="BO218" i="165" s="1"/>
  <c r="BG218" i="165"/>
  <c r="AQ218" i="165"/>
  <c r="AK218" i="165"/>
  <c r="AH218" i="165"/>
  <c r="AE218" i="165"/>
  <c r="AB218" i="165"/>
  <c r="Y218" i="165"/>
  <c r="V218" i="165"/>
  <c r="S218" i="165"/>
  <c r="P218" i="165"/>
  <c r="M218" i="165"/>
  <c r="J218" i="165"/>
  <c r="F218" i="165"/>
  <c r="H218" i="165" s="1"/>
  <c r="I218" i="165" s="1"/>
  <c r="BN217" i="165"/>
  <c r="BO217" i="165" s="1"/>
  <c r="BG217" i="165"/>
  <c r="AQ217" i="165"/>
  <c r="AK217" i="165"/>
  <c r="AH217" i="165"/>
  <c r="AE217" i="165"/>
  <c r="AB217" i="165"/>
  <c r="Y217" i="165"/>
  <c r="V217" i="165"/>
  <c r="S217" i="165"/>
  <c r="P217" i="165"/>
  <c r="M217" i="165"/>
  <c r="J217" i="165"/>
  <c r="F217" i="165"/>
  <c r="H217" i="165" s="1"/>
  <c r="I217" i="165" s="1"/>
  <c r="AD217" i="165" s="1"/>
  <c r="BN216" i="165"/>
  <c r="BO216" i="165" s="1"/>
  <c r="BG216" i="165"/>
  <c r="AQ216" i="165"/>
  <c r="AK216" i="165"/>
  <c r="AH216" i="165"/>
  <c r="AE216" i="165"/>
  <c r="AB216" i="165"/>
  <c r="Y216" i="165"/>
  <c r="V216" i="165"/>
  <c r="S216" i="165"/>
  <c r="P216" i="165"/>
  <c r="M216" i="165"/>
  <c r="J216" i="165"/>
  <c r="F216" i="165"/>
  <c r="H216" i="165" s="1"/>
  <c r="I216" i="165" s="1"/>
  <c r="BN215" i="165"/>
  <c r="BO215" i="165" s="1"/>
  <c r="BG215" i="165"/>
  <c r="AQ215" i="165"/>
  <c r="AK215" i="165"/>
  <c r="AH215" i="165"/>
  <c r="AE215" i="165"/>
  <c r="AB215" i="165"/>
  <c r="Y215" i="165"/>
  <c r="V215" i="165"/>
  <c r="S215" i="165"/>
  <c r="P215" i="165"/>
  <c r="M215" i="165"/>
  <c r="J215" i="165"/>
  <c r="H215" i="165"/>
  <c r="I215" i="165" s="1"/>
  <c r="F215" i="165"/>
  <c r="BU214" i="165"/>
  <c r="BN214" i="165"/>
  <c r="BO214" i="165" s="1"/>
  <c r="BG214" i="165"/>
  <c r="AQ214" i="165"/>
  <c r="AK214" i="165"/>
  <c r="AH214" i="165"/>
  <c r="AE214" i="165"/>
  <c r="AB214" i="165"/>
  <c r="Y214" i="165"/>
  <c r="V214" i="165"/>
  <c r="S214" i="165"/>
  <c r="P214" i="165"/>
  <c r="M214" i="165"/>
  <c r="J214" i="165"/>
  <c r="F214" i="165"/>
  <c r="H214" i="165" s="1"/>
  <c r="I214" i="165" s="1"/>
  <c r="AA214" i="165" s="1"/>
  <c r="BU213" i="165"/>
  <c r="BN213" i="165"/>
  <c r="BO213" i="165" s="1"/>
  <c r="BG213" i="165"/>
  <c r="AQ213" i="165"/>
  <c r="AK213" i="165"/>
  <c r="AH213" i="165"/>
  <c r="AE213" i="165"/>
  <c r="AB213" i="165"/>
  <c r="Y213" i="165"/>
  <c r="V213" i="165"/>
  <c r="S213" i="165"/>
  <c r="P213" i="165"/>
  <c r="M213" i="165"/>
  <c r="J213" i="165"/>
  <c r="F213" i="165"/>
  <c r="H213" i="165" s="1"/>
  <c r="I213" i="165" s="1"/>
  <c r="BU212" i="165"/>
  <c r="BN212" i="165"/>
  <c r="BO212" i="165" s="1"/>
  <c r="BG212" i="165"/>
  <c r="AQ212" i="165"/>
  <c r="AK212" i="165"/>
  <c r="AH212" i="165"/>
  <c r="AE212" i="165"/>
  <c r="AB212" i="165"/>
  <c r="Y212" i="165"/>
  <c r="V212" i="165"/>
  <c r="S212" i="165"/>
  <c r="P212" i="165"/>
  <c r="M212" i="165"/>
  <c r="J212" i="165"/>
  <c r="F212" i="165"/>
  <c r="H212" i="165" s="1"/>
  <c r="I212" i="165" s="1"/>
  <c r="U212" i="165" s="1"/>
  <c r="BN211" i="165"/>
  <c r="BO211" i="165" s="1"/>
  <c r="BG211" i="165"/>
  <c r="AQ211" i="165"/>
  <c r="AK211" i="165"/>
  <c r="AH211" i="165"/>
  <c r="AE211" i="165"/>
  <c r="AB211" i="165"/>
  <c r="Y211" i="165"/>
  <c r="V211" i="165"/>
  <c r="S211" i="165"/>
  <c r="P211" i="165"/>
  <c r="M211" i="165"/>
  <c r="J211" i="165"/>
  <c r="F211" i="165"/>
  <c r="H211" i="165" s="1"/>
  <c r="I211" i="165" s="1"/>
  <c r="BU210" i="165"/>
  <c r="BN210" i="165"/>
  <c r="BO210" i="165" s="1"/>
  <c r="BG210" i="165"/>
  <c r="AQ210" i="165"/>
  <c r="AK210" i="165"/>
  <c r="AH210" i="165"/>
  <c r="AE210" i="165"/>
  <c r="AB210" i="165"/>
  <c r="Y210" i="165"/>
  <c r="V210" i="165"/>
  <c r="S210" i="165"/>
  <c r="P210" i="165"/>
  <c r="M210" i="165"/>
  <c r="J210" i="165"/>
  <c r="F210" i="165"/>
  <c r="H210" i="165" s="1"/>
  <c r="I210" i="165" s="1"/>
  <c r="BN209" i="165"/>
  <c r="BO209" i="165" s="1"/>
  <c r="BG209" i="165"/>
  <c r="AQ209" i="165"/>
  <c r="AK209" i="165"/>
  <c r="AH209" i="165"/>
  <c r="AE209" i="165"/>
  <c r="AB209" i="165"/>
  <c r="Y209" i="165"/>
  <c r="V209" i="165"/>
  <c r="S209" i="165"/>
  <c r="P209" i="165"/>
  <c r="M209" i="165"/>
  <c r="J209" i="165"/>
  <c r="F209" i="165"/>
  <c r="H209" i="165" s="1"/>
  <c r="I209" i="165" s="1"/>
  <c r="BN208" i="165"/>
  <c r="BO208" i="165" s="1"/>
  <c r="BG208" i="165"/>
  <c r="AQ208" i="165"/>
  <c r="AK208" i="165"/>
  <c r="AH208" i="165"/>
  <c r="AE208" i="165"/>
  <c r="AB208" i="165"/>
  <c r="Y208" i="165"/>
  <c r="V208" i="165"/>
  <c r="S208" i="165"/>
  <c r="P208" i="165"/>
  <c r="M208" i="165"/>
  <c r="J208" i="165"/>
  <c r="F208" i="165"/>
  <c r="H208" i="165" s="1"/>
  <c r="I208" i="165" s="1"/>
  <c r="AG208" i="165" s="1"/>
  <c r="BN207" i="165"/>
  <c r="BO207" i="165" s="1"/>
  <c r="BG207" i="165"/>
  <c r="AQ207" i="165"/>
  <c r="AK207" i="165"/>
  <c r="AH207" i="165"/>
  <c r="AE207" i="165"/>
  <c r="AB207" i="165"/>
  <c r="Y207" i="165"/>
  <c r="V207" i="165"/>
  <c r="S207" i="165"/>
  <c r="P207" i="165"/>
  <c r="M207" i="165"/>
  <c r="J207" i="165"/>
  <c r="F207" i="165"/>
  <c r="H207" i="165" s="1"/>
  <c r="I207" i="165" s="1"/>
  <c r="BN206" i="165"/>
  <c r="BO206" i="165" s="1"/>
  <c r="BG206" i="165"/>
  <c r="AQ206" i="165"/>
  <c r="AK206" i="165"/>
  <c r="AH206" i="165"/>
  <c r="AE206" i="165"/>
  <c r="AB206" i="165"/>
  <c r="Y206" i="165"/>
  <c r="V206" i="165"/>
  <c r="S206" i="165"/>
  <c r="P206" i="165"/>
  <c r="M206" i="165"/>
  <c r="J206" i="165"/>
  <c r="F206" i="165"/>
  <c r="H206" i="165" s="1"/>
  <c r="I206" i="165" s="1"/>
  <c r="BN205" i="165"/>
  <c r="BO205" i="165" s="1"/>
  <c r="BG205" i="165"/>
  <c r="AQ205" i="165"/>
  <c r="AK205" i="165"/>
  <c r="AH205" i="165"/>
  <c r="AE205" i="165"/>
  <c r="AB205" i="165"/>
  <c r="Y205" i="165"/>
  <c r="V205" i="165"/>
  <c r="S205" i="165"/>
  <c r="P205" i="165"/>
  <c r="M205" i="165"/>
  <c r="J205" i="165"/>
  <c r="F205" i="165"/>
  <c r="H205" i="165" s="1"/>
  <c r="I205" i="165" s="1"/>
  <c r="BN204" i="165"/>
  <c r="BO204" i="165" s="1"/>
  <c r="BG204" i="165"/>
  <c r="AQ204" i="165"/>
  <c r="AK204" i="165"/>
  <c r="AH204" i="165"/>
  <c r="AE204" i="165"/>
  <c r="AB204" i="165"/>
  <c r="Y204" i="165"/>
  <c r="V204" i="165"/>
  <c r="S204" i="165"/>
  <c r="P204" i="165"/>
  <c r="M204" i="165"/>
  <c r="J204" i="165"/>
  <c r="F204" i="165"/>
  <c r="H204" i="165" s="1"/>
  <c r="I204" i="165" s="1"/>
  <c r="BN203" i="165"/>
  <c r="BO203" i="165" s="1"/>
  <c r="BG203" i="165"/>
  <c r="AQ203" i="165"/>
  <c r="AK203" i="165"/>
  <c r="AH203" i="165"/>
  <c r="AE203" i="165"/>
  <c r="AB203" i="165"/>
  <c r="Y203" i="165"/>
  <c r="V203" i="165"/>
  <c r="S203" i="165"/>
  <c r="P203" i="165"/>
  <c r="M203" i="165"/>
  <c r="J203" i="165"/>
  <c r="F203" i="165"/>
  <c r="H203" i="165" s="1"/>
  <c r="CT184" i="165"/>
  <c r="CU184" i="165" s="1"/>
  <c r="CV184" i="165" s="1"/>
  <c r="CM184" i="165"/>
  <c r="CN184" i="165" s="1"/>
  <c r="BP184" i="165"/>
  <c r="BG184" i="165"/>
  <c r="BC184" i="165"/>
  <c r="AS184" i="165"/>
  <c r="AP184" i="165"/>
  <c r="AN184" i="165"/>
  <c r="AL184" i="165"/>
  <c r="AI184" i="165"/>
  <c r="AF184" i="165"/>
  <c r="AC184" i="165"/>
  <c r="Z184" i="165"/>
  <c r="W184" i="165"/>
  <c r="T184" i="165"/>
  <c r="Q184" i="165"/>
  <c r="N184" i="165"/>
  <c r="K184" i="165"/>
  <c r="G184" i="165"/>
  <c r="E184" i="165"/>
  <c r="D184" i="165"/>
  <c r="C184" i="165"/>
  <c r="BN183" i="165"/>
  <c r="BO183" i="165" s="1"/>
  <c r="BG183" i="165"/>
  <c r="AQ183" i="165"/>
  <c r="AK183" i="165"/>
  <c r="AH183" i="165"/>
  <c r="AE183" i="165"/>
  <c r="AB183" i="165"/>
  <c r="Y183" i="165"/>
  <c r="V183" i="165"/>
  <c r="S183" i="165"/>
  <c r="P183" i="165"/>
  <c r="M183" i="165"/>
  <c r="J183" i="165"/>
  <c r="F183" i="165"/>
  <c r="H183" i="165" s="1"/>
  <c r="I183" i="165" s="1"/>
  <c r="BN182" i="165"/>
  <c r="BO182" i="165" s="1"/>
  <c r="BG182" i="165"/>
  <c r="AQ182" i="165"/>
  <c r="AK182" i="165"/>
  <c r="AH182" i="165"/>
  <c r="AE182" i="165"/>
  <c r="AB182" i="165"/>
  <c r="Y182" i="165"/>
  <c r="V182" i="165"/>
  <c r="S182" i="165"/>
  <c r="P182" i="165"/>
  <c r="M182" i="165"/>
  <c r="J182" i="165"/>
  <c r="F182" i="165"/>
  <c r="H182" i="165" s="1"/>
  <c r="I182" i="165" s="1"/>
  <c r="BN181" i="165"/>
  <c r="BO181" i="165" s="1"/>
  <c r="BG181" i="165"/>
  <c r="AQ181" i="165"/>
  <c r="AK181" i="165"/>
  <c r="AH181" i="165"/>
  <c r="AE181" i="165"/>
  <c r="AB181" i="165"/>
  <c r="Y181" i="165"/>
  <c r="V181" i="165"/>
  <c r="S181" i="165"/>
  <c r="P181" i="165"/>
  <c r="M181" i="165"/>
  <c r="J181" i="165"/>
  <c r="F181" i="165"/>
  <c r="H181" i="165" s="1"/>
  <c r="I181" i="165" s="1"/>
  <c r="BN180" i="165"/>
  <c r="BO180" i="165" s="1"/>
  <c r="BG180" i="165"/>
  <c r="AQ180" i="165"/>
  <c r="AK180" i="165"/>
  <c r="AH180" i="165"/>
  <c r="AE180" i="165"/>
  <c r="AB180" i="165"/>
  <c r="Y180" i="165"/>
  <c r="V180" i="165"/>
  <c r="S180" i="165"/>
  <c r="P180" i="165"/>
  <c r="M180" i="165"/>
  <c r="J180" i="165"/>
  <c r="F180" i="165"/>
  <c r="H180" i="165" s="1"/>
  <c r="I180" i="165" s="1"/>
  <c r="BN179" i="165"/>
  <c r="BO179" i="165" s="1"/>
  <c r="BG179" i="165"/>
  <c r="AQ179" i="165"/>
  <c r="AK179" i="165"/>
  <c r="AH179" i="165"/>
  <c r="AE179" i="165"/>
  <c r="AB179" i="165"/>
  <c r="Y179" i="165"/>
  <c r="V179" i="165"/>
  <c r="S179" i="165"/>
  <c r="P179" i="165"/>
  <c r="M179" i="165"/>
  <c r="J179" i="165"/>
  <c r="F179" i="165"/>
  <c r="H179" i="165" s="1"/>
  <c r="I179" i="165" s="1"/>
  <c r="BU178" i="165"/>
  <c r="BN178" i="165"/>
  <c r="BO178" i="165" s="1"/>
  <c r="BG178" i="165"/>
  <c r="AQ178" i="165"/>
  <c r="AK178" i="165"/>
  <c r="AH178" i="165"/>
  <c r="AE178" i="165"/>
  <c r="AB178" i="165"/>
  <c r="Y178" i="165"/>
  <c r="V178" i="165"/>
  <c r="S178" i="165"/>
  <c r="P178" i="165"/>
  <c r="M178" i="165"/>
  <c r="J178" i="165"/>
  <c r="F178" i="165"/>
  <c r="H178" i="165" s="1"/>
  <c r="I178" i="165" s="1"/>
  <c r="BN177" i="165"/>
  <c r="BO177" i="165" s="1"/>
  <c r="BG177" i="165"/>
  <c r="AQ177" i="165"/>
  <c r="AK177" i="165"/>
  <c r="AH177" i="165"/>
  <c r="AE177" i="165"/>
  <c r="AB177" i="165"/>
  <c r="Y177" i="165"/>
  <c r="V177" i="165"/>
  <c r="S177" i="165"/>
  <c r="P177" i="165"/>
  <c r="M177" i="165"/>
  <c r="J177" i="165"/>
  <c r="F177" i="165"/>
  <c r="H177" i="165" s="1"/>
  <c r="I177" i="165" s="1"/>
  <c r="BN176" i="165"/>
  <c r="BO176" i="165" s="1"/>
  <c r="BG176" i="165"/>
  <c r="AQ176" i="165"/>
  <c r="AK176" i="165"/>
  <c r="AH176" i="165"/>
  <c r="AE176" i="165"/>
  <c r="AB176" i="165"/>
  <c r="Y176" i="165"/>
  <c r="V176" i="165"/>
  <c r="S176" i="165"/>
  <c r="P176" i="165"/>
  <c r="M176" i="165"/>
  <c r="J176" i="165"/>
  <c r="F176" i="165"/>
  <c r="H176" i="165" s="1"/>
  <c r="I176" i="165" s="1"/>
  <c r="BN175" i="165"/>
  <c r="BO175" i="165" s="1"/>
  <c r="BG175" i="165"/>
  <c r="AQ175" i="165"/>
  <c r="AK175" i="165"/>
  <c r="AH175" i="165"/>
  <c r="AE175" i="165"/>
  <c r="AB175" i="165"/>
  <c r="Y175" i="165"/>
  <c r="V175" i="165"/>
  <c r="S175" i="165"/>
  <c r="P175" i="165"/>
  <c r="M175" i="165"/>
  <c r="J175" i="165"/>
  <c r="F175" i="165"/>
  <c r="H175" i="165" s="1"/>
  <c r="I175" i="165" s="1"/>
  <c r="BU174" i="165"/>
  <c r="BN174" i="165"/>
  <c r="BO174" i="165" s="1"/>
  <c r="BG174" i="165"/>
  <c r="AQ174" i="165"/>
  <c r="AK174" i="165"/>
  <c r="AH174" i="165"/>
  <c r="AE174" i="165"/>
  <c r="AB174" i="165"/>
  <c r="Y174" i="165"/>
  <c r="V174" i="165"/>
  <c r="S174" i="165"/>
  <c r="P174" i="165"/>
  <c r="M174" i="165"/>
  <c r="J174" i="165"/>
  <c r="F174" i="165"/>
  <c r="H174" i="165" s="1"/>
  <c r="I174" i="165" s="1"/>
  <c r="BU173" i="165"/>
  <c r="BN173" i="165"/>
  <c r="BO173" i="165" s="1"/>
  <c r="BG173" i="165"/>
  <c r="AQ173" i="165"/>
  <c r="AK173" i="165"/>
  <c r="AH173" i="165"/>
  <c r="AE173" i="165"/>
  <c r="AB173" i="165"/>
  <c r="Y173" i="165"/>
  <c r="V173" i="165"/>
  <c r="S173" i="165"/>
  <c r="P173" i="165"/>
  <c r="M173" i="165"/>
  <c r="J173" i="165"/>
  <c r="F173" i="165"/>
  <c r="H173" i="165" s="1"/>
  <c r="I173" i="165" s="1"/>
  <c r="BU172" i="165"/>
  <c r="BN172" i="165"/>
  <c r="BO172" i="165" s="1"/>
  <c r="BG172" i="165"/>
  <c r="AQ172" i="165"/>
  <c r="AK172" i="165"/>
  <c r="AH172" i="165"/>
  <c r="AE172" i="165"/>
  <c r="AB172" i="165"/>
  <c r="Y172" i="165"/>
  <c r="V172" i="165"/>
  <c r="S172" i="165"/>
  <c r="P172" i="165"/>
  <c r="M172" i="165"/>
  <c r="J172" i="165"/>
  <c r="F172" i="165"/>
  <c r="H172" i="165" s="1"/>
  <c r="I172" i="165" s="1"/>
  <c r="BN171" i="165"/>
  <c r="BO171" i="165" s="1"/>
  <c r="BG171" i="165"/>
  <c r="AQ171" i="165"/>
  <c r="AK171" i="165"/>
  <c r="AH171" i="165"/>
  <c r="AE171" i="165"/>
  <c r="AB171" i="165"/>
  <c r="Y171" i="165"/>
  <c r="V171" i="165"/>
  <c r="S171" i="165"/>
  <c r="P171" i="165"/>
  <c r="M171" i="165"/>
  <c r="J171" i="165"/>
  <c r="F171" i="165"/>
  <c r="H171" i="165" s="1"/>
  <c r="I171" i="165" s="1"/>
  <c r="BN170" i="165"/>
  <c r="BO170" i="165" s="1"/>
  <c r="BG170" i="165"/>
  <c r="AQ170" i="165"/>
  <c r="AK170" i="165"/>
  <c r="AH170" i="165"/>
  <c r="AE170" i="165"/>
  <c r="AB170" i="165"/>
  <c r="Y170" i="165"/>
  <c r="V170" i="165"/>
  <c r="S170" i="165"/>
  <c r="P170" i="165"/>
  <c r="M170" i="165"/>
  <c r="J170" i="165"/>
  <c r="F170" i="165"/>
  <c r="H170" i="165" s="1"/>
  <c r="I170" i="165" s="1"/>
  <c r="BN169" i="165"/>
  <c r="BO169" i="165" s="1"/>
  <c r="BG169" i="165"/>
  <c r="AQ169" i="165"/>
  <c r="AK169" i="165"/>
  <c r="AH169" i="165"/>
  <c r="AE169" i="165"/>
  <c r="AB169" i="165"/>
  <c r="Y169" i="165"/>
  <c r="V169" i="165"/>
  <c r="S169" i="165"/>
  <c r="P169" i="165"/>
  <c r="M169" i="165"/>
  <c r="J169" i="165"/>
  <c r="F169" i="165"/>
  <c r="H169" i="165" s="1"/>
  <c r="I169" i="165" s="1"/>
  <c r="BU168" i="165"/>
  <c r="BN168" i="165"/>
  <c r="BO168" i="165" s="1"/>
  <c r="BG168" i="165"/>
  <c r="AQ168" i="165"/>
  <c r="AK168" i="165"/>
  <c r="AH168" i="165"/>
  <c r="AE168" i="165"/>
  <c r="AB168" i="165"/>
  <c r="Y168" i="165"/>
  <c r="V168" i="165"/>
  <c r="S168" i="165"/>
  <c r="P168" i="165"/>
  <c r="M168" i="165"/>
  <c r="J168" i="165"/>
  <c r="F168" i="165"/>
  <c r="H168" i="165" s="1"/>
  <c r="I168" i="165" s="1"/>
  <c r="BN167" i="165"/>
  <c r="BO167" i="165" s="1"/>
  <c r="BG167" i="165"/>
  <c r="AQ167" i="165"/>
  <c r="AK167" i="165"/>
  <c r="AH167" i="165"/>
  <c r="AE167" i="165"/>
  <c r="AB167" i="165"/>
  <c r="Y167" i="165"/>
  <c r="V167" i="165"/>
  <c r="S167" i="165"/>
  <c r="P167" i="165"/>
  <c r="M167" i="165"/>
  <c r="J167" i="165"/>
  <c r="F167" i="165"/>
  <c r="H167" i="165" s="1"/>
  <c r="I167" i="165" s="1"/>
  <c r="BN166" i="165"/>
  <c r="BO166" i="165" s="1"/>
  <c r="BG166" i="165"/>
  <c r="AQ166" i="165"/>
  <c r="AK166" i="165"/>
  <c r="AH166" i="165"/>
  <c r="AE166" i="165"/>
  <c r="AB166" i="165"/>
  <c r="Y166" i="165"/>
  <c r="V166" i="165"/>
  <c r="S166" i="165"/>
  <c r="P166" i="165"/>
  <c r="M166" i="165"/>
  <c r="J166" i="165"/>
  <c r="F166" i="165"/>
  <c r="H166" i="165" s="1"/>
  <c r="I166" i="165" s="1"/>
  <c r="BN165" i="165"/>
  <c r="BO165" i="165" s="1"/>
  <c r="BG165" i="165"/>
  <c r="AQ165" i="165"/>
  <c r="AK165" i="165"/>
  <c r="AH165" i="165"/>
  <c r="AE165" i="165"/>
  <c r="AB165" i="165"/>
  <c r="Y165" i="165"/>
  <c r="V165" i="165"/>
  <c r="S165" i="165"/>
  <c r="P165" i="165"/>
  <c r="M165" i="165"/>
  <c r="J165" i="165"/>
  <c r="F165" i="165"/>
  <c r="H165" i="165" s="1"/>
  <c r="I165" i="165" s="1"/>
  <c r="BN164" i="165"/>
  <c r="BO164" i="165" s="1"/>
  <c r="BG164" i="165"/>
  <c r="AQ164" i="165"/>
  <c r="AK164" i="165"/>
  <c r="AH164" i="165"/>
  <c r="AE164" i="165"/>
  <c r="AB164" i="165"/>
  <c r="Y164" i="165"/>
  <c r="V164" i="165"/>
  <c r="S164" i="165"/>
  <c r="P164" i="165"/>
  <c r="M164" i="165"/>
  <c r="J164" i="165"/>
  <c r="F164" i="165"/>
  <c r="H164" i="165" s="1"/>
  <c r="I164" i="165" s="1"/>
  <c r="BN163" i="165"/>
  <c r="BO163" i="165" s="1"/>
  <c r="BG163" i="165"/>
  <c r="AQ163" i="165"/>
  <c r="AK163" i="165"/>
  <c r="AH163" i="165"/>
  <c r="AE163" i="165"/>
  <c r="AB163" i="165"/>
  <c r="Y163" i="165"/>
  <c r="V163" i="165"/>
  <c r="S163" i="165"/>
  <c r="P163" i="165"/>
  <c r="M163" i="165"/>
  <c r="J163" i="165"/>
  <c r="F163" i="165"/>
  <c r="H163" i="165" s="1"/>
  <c r="I163" i="165" s="1"/>
  <c r="BN162" i="165"/>
  <c r="BO162" i="165" s="1"/>
  <c r="BG162" i="165"/>
  <c r="AQ162" i="165"/>
  <c r="AK162" i="165"/>
  <c r="AH162" i="165"/>
  <c r="AE162" i="165"/>
  <c r="AB162" i="165"/>
  <c r="Y162" i="165"/>
  <c r="V162" i="165"/>
  <c r="S162" i="165"/>
  <c r="P162" i="165"/>
  <c r="M162" i="165"/>
  <c r="J162" i="165"/>
  <c r="F162" i="165"/>
  <c r="H162" i="165" s="1"/>
  <c r="I162" i="165" s="1"/>
  <c r="BN161" i="165"/>
  <c r="BO161" i="165" s="1"/>
  <c r="BG161" i="165"/>
  <c r="AQ161" i="165"/>
  <c r="AK161" i="165"/>
  <c r="AH161" i="165"/>
  <c r="AE161" i="165"/>
  <c r="AB161" i="165"/>
  <c r="Y161" i="165"/>
  <c r="V161" i="165"/>
  <c r="S161" i="165"/>
  <c r="P161" i="165"/>
  <c r="M161" i="165"/>
  <c r="J161" i="165"/>
  <c r="F161" i="165"/>
  <c r="H161" i="165" s="1"/>
  <c r="I161" i="165" s="1"/>
  <c r="BN160" i="165"/>
  <c r="BO160" i="165" s="1"/>
  <c r="BG160" i="165"/>
  <c r="AQ160" i="165"/>
  <c r="AK160" i="165"/>
  <c r="AH160" i="165"/>
  <c r="AE160" i="165"/>
  <c r="AB160" i="165"/>
  <c r="Y160" i="165"/>
  <c r="V160" i="165"/>
  <c r="S160" i="165"/>
  <c r="P160" i="165"/>
  <c r="M160" i="165"/>
  <c r="J160" i="165"/>
  <c r="F160" i="165"/>
  <c r="H160" i="165" s="1"/>
  <c r="I160" i="165" s="1"/>
  <c r="BN159" i="165"/>
  <c r="BO159" i="165" s="1"/>
  <c r="BG159" i="165"/>
  <c r="AQ159" i="165"/>
  <c r="AK159" i="165"/>
  <c r="AH159" i="165"/>
  <c r="AE159" i="165"/>
  <c r="AB159" i="165"/>
  <c r="Y159" i="165"/>
  <c r="V159" i="165"/>
  <c r="S159" i="165"/>
  <c r="P159" i="165"/>
  <c r="M159" i="165"/>
  <c r="J159" i="165"/>
  <c r="F159" i="165"/>
  <c r="H159" i="165" s="1"/>
  <c r="I159" i="165" s="1"/>
  <c r="BN158" i="165"/>
  <c r="BO158" i="165" s="1"/>
  <c r="BG158" i="165"/>
  <c r="AQ158" i="165"/>
  <c r="AK158" i="165"/>
  <c r="AH158" i="165"/>
  <c r="AE158" i="165"/>
  <c r="AB158" i="165"/>
  <c r="Y158" i="165"/>
  <c r="V158" i="165"/>
  <c r="S158" i="165"/>
  <c r="P158" i="165"/>
  <c r="M158" i="165"/>
  <c r="J158" i="165"/>
  <c r="F158" i="165"/>
  <c r="H158" i="165" s="1"/>
  <c r="I158" i="165" s="1"/>
  <c r="BN157" i="165"/>
  <c r="BO157" i="165" s="1"/>
  <c r="BG157" i="165"/>
  <c r="AQ157" i="165"/>
  <c r="AK157" i="165"/>
  <c r="AH157" i="165"/>
  <c r="AE157" i="165"/>
  <c r="AB157" i="165"/>
  <c r="Y157" i="165"/>
  <c r="V157" i="165"/>
  <c r="S157" i="165"/>
  <c r="P157" i="165"/>
  <c r="M157" i="165"/>
  <c r="J157" i="165"/>
  <c r="F157" i="165"/>
  <c r="H157" i="165" s="1"/>
  <c r="I157" i="165" s="1"/>
  <c r="BN156" i="165"/>
  <c r="BO156" i="165" s="1"/>
  <c r="BG156" i="165"/>
  <c r="AQ156" i="165"/>
  <c r="AK156" i="165"/>
  <c r="AH156" i="165"/>
  <c r="AE156" i="165"/>
  <c r="AB156" i="165"/>
  <c r="Y156" i="165"/>
  <c r="V156" i="165"/>
  <c r="S156" i="165"/>
  <c r="P156" i="165"/>
  <c r="M156" i="165"/>
  <c r="J156" i="165"/>
  <c r="F156" i="165"/>
  <c r="H156" i="165" s="1"/>
  <c r="I156" i="165" s="1"/>
  <c r="BN155" i="165"/>
  <c r="BO155" i="165" s="1"/>
  <c r="BG155" i="165"/>
  <c r="AQ155" i="165"/>
  <c r="AK155" i="165"/>
  <c r="AH155" i="165"/>
  <c r="AE155" i="165"/>
  <c r="AB155" i="165"/>
  <c r="Y155" i="165"/>
  <c r="V155" i="165"/>
  <c r="S155" i="165"/>
  <c r="P155" i="165"/>
  <c r="M155" i="165"/>
  <c r="J155" i="165"/>
  <c r="F155" i="165"/>
  <c r="H155" i="165" s="1"/>
  <c r="I155" i="165" s="1"/>
  <c r="BN154" i="165"/>
  <c r="BO154" i="165" s="1"/>
  <c r="BG154" i="165"/>
  <c r="AQ154" i="165"/>
  <c r="AK154" i="165"/>
  <c r="AH154" i="165"/>
  <c r="AE154" i="165"/>
  <c r="AB154" i="165"/>
  <c r="Y154" i="165"/>
  <c r="V154" i="165"/>
  <c r="S154" i="165"/>
  <c r="P154" i="165"/>
  <c r="M154" i="165"/>
  <c r="J154" i="165"/>
  <c r="F154" i="165"/>
  <c r="H154" i="165" s="1"/>
  <c r="I154" i="165" s="1"/>
  <c r="BN153" i="165"/>
  <c r="BO153" i="165" s="1"/>
  <c r="BG153" i="165"/>
  <c r="AQ153" i="165"/>
  <c r="AK153" i="165"/>
  <c r="AH153" i="165"/>
  <c r="AE153" i="165"/>
  <c r="AB153" i="165"/>
  <c r="Y153" i="165"/>
  <c r="V153" i="165"/>
  <c r="S153" i="165"/>
  <c r="P153" i="165"/>
  <c r="M153" i="165"/>
  <c r="J153" i="165"/>
  <c r="F153" i="165"/>
  <c r="H153" i="165" s="1"/>
  <c r="I153" i="165" s="1"/>
  <c r="CT134" i="165"/>
  <c r="CM134" i="165"/>
  <c r="BP134" i="165"/>
  <c r="BG134" i="165"/>
  <c r="BC134" i="165"/>
  <c r="AS134" i="165"/>
  <c r="AP134" i="165"/>
  <c r="AN134" i="165"/>
  <c r="AL134" i="165"/>
  <c r="AI134" i="165"/>
  <c r="AF134" i="165"/>
  <c r="AC134" i="165"/>
  <c r="Z134" i="165"/>
  <c r="W134" i="165"/>
  <c r="T134" i="165"/>
  <c r="Q134" i="165"/>
  <c r="N134" i="165"/>
  <c r="K134" i="165"/>
  <c r="G134" i="165"/>
  <c r="E134" i="165"/>
  <c r="D134" i="165"/>
  <c r="C134" i="165"/>
  <c r="BN133" i="165"/>
  <c r="BO133" i="165" s="1"/>
  <c r="BG133" i="165"/>
  <c r="AQ133" i="165"/>
  <c r="AK133" i="165"/>
  <c r="AH133" i="165"/>
  <c r="AE133" i="165"/>
  <c r="AB133" i="165"/>
  <c r="Y133" i="165"/>
  <c r="V133" i="165"/>
  <c r="S133" i="165"/>
  <c r="P133" i="165"/>
  <c r="M133" i="165"/>
  <c r="J133" i="165"/>
  <c r="F133" i="165"/>
  <c r="H133" i="165" s="1"/>
  <c r="I133" i="165" s="1"/>
  <c r="BN132" i="165"/>
  <c r="BO132" i="165" s="1"/>
  <c r="BG132" i="165"/>
  <c r="AQ132" i="165"/>
  <c r="AK132" i="165"/>
  <c r="AH132" i="165"/>
  <c r="AE132" i="165"/>
  <c r="AB132" i="165"/>
  <c r="Y132" i="165"/>
  <c r="V132" i="165"/>
  <c r="S132" i="165"/>
  <c r="P132" i="165"/>
  <c r="M132" i="165"/>
  <c r="J132" i="165"/>
  <c r="F132" i="165"/>
  <c r="H132" i="165" s="1"/>
  <c r="I132" i="165" s="1"/>
  <c r="BN131" i="165"/>
  <c r="BO131" i="165" s="1"/>
  <c r="BG131" i="165"/>
  <c r="AQ131" i="165"/>
  <c r="AK131" i="165"/>
  <c r="AH131" i="165"/>
  <c r="AE131" i="165"/>
  <c r="AB131" i="165"/>
  <c r="Y131" i="165"/>
  <c r="V131" i="165"/>
  <c r="S131" i="165"/>
  <c r="P131" i="165"/>
  <c r="M131" i="165"/>
  <c r="J131" i="165"/>
  <c r="F131" i="165"/>
  <c r="H131" i="165" s="1"/>
  <c r="I131" i="165" s="1"/>
  <c r="BN130" i="165"/>
  <c r="BO130" i="165" s="1"/>
  <c r="BG130" i="165"/>
  <c r="AQ130" i="165"/>
  <c r="AK130" i="165"/>
  <c r="AH130" i="165"/>
  <c r="AE130" i="165"/>
  <c r="AB130" i="165"/>
  <c r="Y130" i="165"/>
  <c r="V130" i="165"/>
  <c r="S130" i="165"/>
  <c r="P130" i="165"/>
  <c r="M130" i="165"/>
  <c r="J130" i="165"/>
  <c r="F130" i="165"/>
  <c r="H130" i="165" s="1"/>
  <c r="I130" i="165" s="1"/>
  <c r="BU129" i="165"/>
  <c r="BN129" i="165"/>
  <c r="BO129" i="165" s="1"/>
  <c r="BG129" i="165"/>
  <c r="AQ129" i="165"/>
  <c r="AK129" i="165"/>
  <c r="AH129" i="165"/>
  <c r="AE129" i="165"/>
  <c r="AB129" i="165"/>
  <c r="Y129" i="165"/>
  <c r="V129" i="165"/>
  <c r="S129" i="165"/>
  <c r="P129" i="165"/>
  <c r="M129" i="165"/>
  <c r="J129" i="165"/>
  <c r="F129" i="165"/>
  <c r="H129" i="165" s="1"/>
  <c r="I129" i="165" s="1"/>
  <c r="BN128" i="165"/>
  <c r="BO128" i="165" s="1"/>
  <c r="BG128" i="165"/>
  <c r="AQ128" i="165"/>
  <c r="AK128" i="165"/>
  <c r="AH128" i="165"/>
  <c r="AE128" i="165"/>
  <c r="AB128" i="165"/>
  <c r="Y128" i="165"/>
  <c r="V128" i="165"/>
  <c r="S128" i="165"/>
  <c r="P128" i="165"/>
  <c r="M128" i="165"/>
  <c r="J128" i="165"/>
  <c r="F128" i="165"/>
  <c r="H128" i="165" s="1"/>
  <c r="I128" i="165" s="1"/>
  <c r="BN127" i="165"/>
  <c r="BO127" i="165" s="1"/>
  <c r="BG127" i="165"/>
  <c r="AQ127" i="165"/>
  <c r="AK127" i="165"/>
  <c r="AH127" i="165"/>
  <c r="AE127" i="165"/>
  <c r="AB127" i="165"/>
  <c r="Y127" i="165"/>
  <c r="V127" i="165"/>
  <c r="S127" i="165"/>
  <c r="P127" i="165"/>
  <c r="M127" i="165"/>
  <c r="J127" i="165"/>
  <c r="F127" i="165"/>
  <c r="H127" i="165" s="1"/>
  <c r="I127" i="165" s="1"/>
  <c r="BN126" i="165"/>
  <c r="BO126" i="165" s="1"/>
  <c r="BG126" i="165"/>
  <c r="AQ126" i="165"/>
  <c r="AK126" i="165"/>
  <c r="AH126" i="165"/>
  <c r="AE126" i="165"/>
  <c r="AB126" i="165"/>
  <c r="Y126" i="165"/>
  <c r="V126" i="165"/>
  <c r="S126" i="165"/>
  <c r="P126" i="165"/>
  <c r="M126" i="165"/>
  <c r="J126" i="165"/>
  <c r="F126" i="165"/>
  <c r="H126" i="165" s="1"/>
  <c r="I126" i="165" s="1"/>
  <c r="BN125" i="165"/>
  <c r="BO125" i="165" s="1"/>
  <c r="BG125" i="165"/>
  <c r="AQ125" i="165"/>
  <c r="AK125" i="165"/>
  <c r="AH125" i="165"/>
  <c r="AE125" i="165"/>
  <c r="AB125" i="165"/>
  <c r="Y125" i="165"/>
  <c r="V125" i="165"/>
  <c r="S125" i="165"/>
  <c r="P125" i="165"/>
  <c r="M125" i="165"/>
  <c r="J125" i="165"/>
  <c r="F125" i="165"/>
  <c r="H125" i="165" s="1"/>
  <c r="I125" i="165" s="1"/>
  <c r="BU124" i="165"/>
  <c r="BN124" i="165"/>
  <c r="BO124" i="165" s="1"/>
  <c r="BG124" i="165"/>
  <c r="AQ124" i="165"/>
  <c r="AK124" i="165"/>
  <c r="AH124" i="165"/>
  <c r="AE124" i="165"/>
  <c r="AB124" i="165"/>
  <c r="Y124" i="165"/>
  <c r="V124" i="165"/>
  <c r="S124" i="165"/>
  <c r="P124" i="165"/>
  <c r="M124" i="165"/>
  <c r="J124" i="165"/>
  <c r="F124" i="165"/>
  <c r="H124" i="165" s="1"/>
  <c r="I124" i="165" s="1"/>
  <c r="BN123" i="165"/>
  <c r="BO123" i="165" s="1"/>
  <c r="BG123" i="165"/>
  <c r="AQ123" i="165"/>
  <c r="AK123" i="165"/>
  <c r="AH123" i="165"/>
  <c r="AE123" i="165"/>
  <c r="AB123" i="165"/>
  <c r="Y123" i="165"/>
  <c r="V123" i="165"/>
  <c r="S123" i="165"/>
  <c r="P123" i="165"/>
  <c r="M123" i="165"/>
  <c r="J123" i="165"/>
  <c r="F123" i="165"/>
  <c r="H123" i="165" s="1"/>
  <c r="I123" i="165" s="1"/>
  <c r="BN122" i="165"/>
  <c r="BO122" i="165" s="1"/>
  <c r="BG122" i="165"/>
  <c r="AQ122" i="165"/>
  <c r="AK122" i="165"/>
  <c r="AH122" i="165"/>
  <c r="AE122" i="165"/>
  <c r="AB122" i="165"/>
  <c r="Y122" i="165"/>
  <c r="V122" i="165"/>
  <c r="S122" i="165"/>
  <c r="P122" i="165"/>
  <c r="M122" i="165"/>
  <c r="J122" i="165"/>
  <c r="F122" i="165"/>
  <c r="H122" i="165" s="1"/>
  <c r="I122" i="165" s="1"/>
  <c r="BN121" i="165"/>
  <c r="BO121" i="165" s="1"/>
  <c r="BG121" i="165"/>
  <c r="AQ121" i="165"/>
  <c r="AK121" i="165"/>
  <c r="AH121" i="165"/>
  <c r="AE121" i="165"/>
  <c r="AB121" i="165"/>
  <c r="Y121" i="165"/>
  <c r="V121" i="165"/>
  <c r="S121" i="165"/>
  <c r="P121" i="165"/>
  <c r="M121" i="165"/>
  <c r="J121" i="165"/>
  <c r="F121" i="165"/>
  <c r="H121" i="165" s="1"/>
  <c r="I121" i="165" s="1"/>
  <c r="BN120" i="165"/>
  <c r="BO120" i="165" s="1"/>
  <c r="BG120" i="165"/>
  <c r="AQ120" i="165"/>
  <c r="AK120" i="165"/>
  <c r="AH120" i="165"/>
  <c r="AE120" i="165"/>
  <c r="AB120" i="165"/>
  <c r="Y120" i="165"/>
  <c r="V120" i="165"/>
  <c r="S120" i="165"/>
  <c r="P120" i="165"/>
  <c r="M120" i="165"/>
  <c r="J120" i="165"/>
  <c r="F120" i="165"/>
  <c r="H120" i="165" s="1"/>
  <c r="I120" i="165" s="1"/>
  <c r="BU119" i="165"/>
  <c r="BN119" i="165"/>
  <c r="BO119" i="165" s="1"/>
  <c r="BG119" i="165"/>
  <c r="AQ119" i="165"/>
  <c r="AK119" i="165"/>
  <c r="AH119" i="165"/>
  <c r="AE119" i="165"/>
  <c r="AB119" i="165"/>
  <c r="Y119" i="165"/>
  <c r="V119" i="165"/>
  <c r="S119" i="165"/>
  <c r="P119" i="165"/>
  <c r="M119" i="165"/>
  <c r="J119" i="165"/>
  <c r="F119" i="165"/>
  <c r="H119" i="165" s="1"/>
  <c r="I119" i="165" s="1"/>
  <c r="BU118" i="165"/>
  <c r="BN118" i="165"/>
  <c r="BO118" i="165" s="1"/>
  <c r="BG118" i="165"/>
  <c r="AQ118" i="165"/>
  <c r="AK118" i="165"/>
  <c r="AH118" i="165"/>
  <c r="AE118" i="165"/>
  <c r="AB118" i="165"/>
  <c r="Y118" i="165"/>
  <c r="V118" i="165"/>
  <c r="S118" i="165"/>
  <c r="P118" i="165"/>
  <c r="M118" i="165"/>
  <c r="J118" i="165"/>
  <c r="F118" i="165"/>
  <c r="H118" i="165" s="1"/>
  <c r="I118" i="165" s="1"/>
  <c r="BU117" i="165"/>
  <c r="BN117" i="165"/>
  <c r="BO117" i="165" s="1"/>
  <c r="BG117" i="165"/>
  <c r="AQ117" i="165"/>
  <c r="AK117" i="165"/>
  <c r="AH117" i="165"/>
  <c r="AE117" i="165"/>
  <c r="AB117" i="165"/>
  <c r="Y117" i="165"/>
  <c r="V117" i="165"/>
  <c r="S117" i="165"/>
  <c r="P117" i="165"/>
  <c r="M117" i="165"/>
  <c r="J117" i="165"/>
  <c r="F117" i="165"/>
  <c r="H117" i="165" s="1"/>
  <c r="I117" i="165" s="1"/>
  <c r="BU116" i="165"/>
  <c r="BN116" i="165"/>
  <c r="BO116" i="165" s="1"/>
  <c r="BG116" i="165"/>
  <c r="AQ116" i="165"/>
  <c r="AK116" i="165"/>
  <c r="AH116" i="165"/>
  <c r="AE116" i="165"/>
  <c r="AB116" i="165"/>
  <c r="Y116" i="165"/>
  <c r="V116" i="165"/>
  <c r="S116" i="165"/>
  <c r="P116" i="165"/>
  <c r="M116" i="165"/>
  <c r="J116" i="165"/>
  <c r="F116" i="165"/>
  <c r="H116" i="165" s="1"/>
  <c r="I116" i="165" s="1"/>
  <c r="BN115" i="165"/>
  <c r="BO115" i="165" s="1"/>
  <c r="BG115" i="165"/>
  <c r="AQ115" i="165"/>
  <c r="AK115" i="165"/>
  <c r="AH115" i="165"/>
  <c r="AE115" i="165"/>
  <c r="AB115" i="165"/>
  <c r="Y115" i="165"/>
  <c r="V115" i="165"/>
  <c r="S115" i="165"/>
  <c r="P115" i="165"/>
  <c r="M115" i="165"/>
  <c r="J115" i="165"/>
  <c r="F115" i="165"/>
  <c r="H115" i="165" s="1"/>
  <c r="I115" i="165" s="1"/>
  <c r="BN114" i="165"/>
  <c r="BO114" i="165" s="1"/>
  <c r="BG114" i="165"/>
  <c r="AQ114" i="165"/>
  <c r="AK114" i="165"/>
  <c r="AH114" i="165"/>
  <c r="AE114" i="165"/>
  <c r="AB114" i="165"/>
  <c r="Y114" i="165"/>
  <c r="V114" i="165"/>
  <c r="S114" i="165"/>
  <c r="P114" i="165"/>
  <c r="M114" i="165"/>
  <c r="J114" i="165"/>
  <c r="F114" i="165"/>
  <c r="H114" i="165" s="1"/>
  <c r="I114" i="165" s="1"/>
  <c r="BU113" i="165"/>
  <c r="BO113" i="165"/>
  <c r="BN113" i="165"/>
  <c r="BG113" i="165"/>
  <c r="AQ113" i="165"/>
  <c r="AK113" i="165"/>
  <c r="AH113" i="165"/>
  <c r="AE113" i="165"/>
  <c r="AB113" i="165"/>
  <c r="Y113" i="165"/>
  <c r="V113" i="165"/>
  <c r="S113" i="165"/>
  <c r="P113" i="165"/>
  <c r="M113" i="165"/>
  <c r="J113" i="165"/>
  <c r="F113" i="165"/>
  <c r="H113" i="165" s="1"/>
  <c r="I113" i="165" s="1"/>
  <c r="BN112" i="165"/>
  <c r="BO112" i="165" s="1"/>
  <c r="BG112" i="165"/>
  <c r="AQ112" i="165"/>
  <c r="AK112" i="165"/>
  <c r="AH112" i="165"/>
  <c r="AE112" i="165"/>
  <c r="AB112" i="165"/>
  <c r="Y112" i="165"/>
  <c r="V112" i="165"/>
  <c r="S112" i="165"/>
  <c r="P112" i="165"/>
  <c r="M112" i="165"/>
  <c r="J112" i="165"/>
  <c r="F112" i="165"/>
  <c r="H112" i="165" s="1"/>
  <c r="I112" i="165" s="1"/>
  <c r="BN111" i="165"/>
  <c r="BO111" i="165" s="1"/>
  <c r="BG111" i="165"/>
  <c r="AQ111" i="165"/>
  <c r="AK111" i="165"/>
  <c r="AH111" i="165"/>
  <c r="AE111" i="165"/>
  <c r="AB111" i="165"/>
  <c r="Y111" i="165"/>
  <c r="V111" i="165"/>
  <c r="S111" i="165"/>
  <c r="P111" i="165"/>
  <c r="M111" i="165"/>
  <c r="J111" i="165"/>
  <c r="F111" i="165"/>
  <c r="H111" i="165" s="1"/>
  <c r="I111" i="165" s="1"/>
  <c r="BN110" i="165"/>
  <c r="BO110" i="165" s="1"/>
  <c r="BG110" i="165"/>
  <c r="AQ110" i="165"/>
  <c r="AK110" i="165"/>
  <c r="AH110" i="165"/>
  <c r="AE110" i="165"/>
  <c r="AB110" i="165"/>
  <c r="Y110" i="165"/>
  <c r="V110" i="165"/>
  <c r="S110" i="165"/>
  <c r="P110" i="165"/>
  <c r="M110" i="165"/>
  <c r="J110" i="165"/>
  <c r="F110" i="165"/>
  <c r="H110" i="165" s="1"/>
  <c r="I110" i="165" s="1"/>
  <c r="BN109" i="165"/>
  <c r="BO109" i="165" s="1"/>
  <c r="BG109" i="165"/>
  <c r="AQ109" i="165"/>
  <c r="AK109" i="165"/>
  <c r="AH109" i="165"/>
  <c r="AE109" i="165"/>
  <c r="AB109" i="165"/>
  <c r="Y109" i="165"/>
  <c r="V109" i="165"/>
  <c r="S109" i="165"/>
  <c r="P109" i="165"/>
  <c r="M109" i="165"/>
  <c r="J109" i="165"/>
  <c r="F109" i="165"/>
  <c r="H109" i="165" s="1"/>
  <c r="I109" i="165" s="1"/>
  <c r="BN108" i="165"/>
  <c r="BO108" i="165" s="1"/>
  <c r="BG108" i="165"/>
  <c r="AQ108" i="165"/>
  <c r="AK108" i="165"/>
  <c r="AH108" i="165"/>
  <c r="AE108" i="165"/>
  <c r="AB108" i="165"/>
  <c r="Y108" i="165"/>
  <c r="V108" i="165"/>
  <c r="S108" i="165"/>
  <c r="P108" i="165"/>
  <c r="M108" i="165"/>
  <c r="J108" i="165"/>
  <c r="F108" i="165"/>
  <c r="H108" i="165" s="1"/>
  <c r="I108" i="165" s="1"/>
  <c r="BN107" i="165"/>
  <c r="BO107" i="165" s="1"/>
  <c r="BG107" i="165"/>
  <c r="AQ107" i="165"/>
  <c r="AK107" i="165"/>
  <c r="AH107" i="165"/>
  <c r="AE107" i="165"/>
  <c r="AB107" i="165"/>
  <c r="Y107" i="165"/>
  <c r="V107" i="165"/>
  <c r="S107" i="165"/>
  <c r="P107" i="165"/>
  <c r="M107" i="165"/>
  <c r="J107" i="165"/>
  <c r="F107" i="165"/>
  <c r="H107" i="165" s="1"/>
  <c r="I107" i="165" s="1"/>
  <c r="BN106" i="165"/>
  <c r="BO106" i="165" s="1"/>
  <c r="BG106" i="165"/>
  <c r="AQ106" i="165"/>
  <c r="AK106" i="165"/>
  <c r="AH106" i="165"/>
  <c r="AE106" i="165"/>
  <c r="AB106" i="165"/>
  <c r="Y106" i="165"/>
  <c r="V106" i="165"/>
  <c r="S106" i="165"/>
  <c r="P106" i="165"/>
  <c r="M106" i="165"/>
  <c r="J106" i="165"/>
  <c r="F106" i="165"/>
  <c r="H106" i="165" s="1"/>
  <c r="I106" i="165" s="1"/>
  <c r="BN105" i="165"/>
  <c r="BO105" i="165" s="1"/>
  <c r="BG105" i="165"/>
  <c r="AQ105" i="165"/>
  <c r="AK105" i="165"/>
  <c r="AH105" i="165"/>
  <c r="AE105" i="165"/>
  <c r="AB105" i="165"/>
  <c r="Y105" i="165"/>
  <c r="V105" i="165"/>
  <c r="S105" i="165"/>
  <c r="P105" i="165"/>
  <c r="M105" i="165"/>
  <c r="J105" i="165"/>
  <c r="F105" i="165"/>
  <c r="H105" i="165" s="1"/>
  <c r="I105" i="165" s="1"/>
  <c r="BN104" i="165"/>
  <c r="BO104" i="165" s="1"/>
  <c r="BG104" i="165"/>
  <c r="AQ104" i="165"/>
  <c r="AK104" i="165"/>
  <c r="AH104" i="165"/>
  <c r="AE104" i="165"/>
  <c r="AB104" i="165"/>
  <c r="Y104" i="165"/>
  <c r="V104" i="165"/>
  <c r="S104" i="165"/>
  <c r="P104" i="165"/>
  <c r="M104" i="165"/>
  <c r="J104" i="165"/>
  <c r="F104" i="165"/>
  <c r="H104" i="165" s="1"/>
  <c r="I104" i="165" s="1"/>
  <c r="BN103" i="165"/>
  <c r="BO103" i="165" s="1"/>
  <c r="BG103" i="165"/>
  <c r="AQ103" i="165"/>
  <c r="AK103" i="165"/>
  <c r="AH103" i="165"/>
  <c r="AE103" i="165"/>
  <c r="AB103" i="165"/>
  <c r="Y103" i="165"/>
  <c r="V103" i="165"/>
  <c r="S103" i="165"/>
  <c r="P103" i="165"/>
  <c r="M103" i="165"/>
  <c r="J103" i="165"/>
  <c r="F103" i="165"/>
  <c r="H103" i="165" s="1"/>
  <c r="I103" i="165" s="1"/>
  <c r="BN102" i="165"/>
  <c r="BO102" i="165" s="1"/>
  <c r="BG102" i="165"/>
  <c r="AQ102" i="165"/>
  <c r="AK102" i="165"/>
  <c r="AH102" i="165"/>
  <c r="AE102" i="165"/>
  <c r="AB102" i="165"/>
  <c r="Y102" i="165"/>
  <c r="V102" i="165"/>
  <c r="S102" i="165"/>
  <c r="P102" i="165"/>
  <c r="M102" i="165"/>
  <c r="J102" i="165"/>
  <c r="F102" i="165"/>
  <c r="H102" i="165" s="1"/>
  <c r="I102" i="165" s="1"/>
  <c r="BN101" i="165"/>
  <c r="BO101" i="165" s="1"/>
  <c r="BG101" i="165"/>
  <c r="AQ101" i="165"/>
  <c r="AK101" i="165"/>
  <c r="AH101" i="165"/>
  <c r="AE101" i="165"/>
  <c r="AB101" i="165"/>
  <c r="Y101" i="165"/>
  <c r="V101" i="165"/>
  <c r="S101" i="165"/>
  <c r="P101" i="165"/>
  <c r="M101" i="165"/>
  <c r="J101" i="165"/>
  <c r="F101" i="165"/>
  <c r="H101" i="165" s="1"/>
  <c r="I101" i="165" s="1"/>
  <c r="BN100" i="165"/>
  <c r="BO100" i="165" s="1"/>
  <c r="BG100" i="165"/>
  <c r="AQ100" i="165"/>
  <c r="AK100" i="165"/>
  <c r="AH100" i="165"/>
  <c r="AE100" i="165"/>
  <c r="AB100" i="165"/>
  <c r="Y100" i="165"/>
  <c r="V100" i="165"/>
  <c r="S100" i="165"/>
  <c r="P100" i="165"/>
  <c r="M100" i="165"/>
  <c r="J100" i="165"/>
  <c r="F100" i="165"/>
  <c r="H100" i="165" s="1"/>
  <c r="I100" i="165" s="1"/>
  <c r="BN99" i="165"/>
  <c r="BO99" i="165" s="1"/>
  <c r="BG99" i="165"/>
  <c r="AQ99" i="165"/>
  <c r="AK99" i="165"/>
  <c r="AH99" i="165"/>
  <c r="AE99" i="165"/>
  <c r="AB99" i="165"/>
  <c r="Y99" i="165"/>
  <c r="V99" i="165"/>
  <c r="S99" i="165"/>
  <c r="P99" i="165"/>
  <c r="M99" i="165"/>
  <c r="J99" i="165"/>
  <c r="F99" i="165"/>
  <c r="H99" i="165" s="1"/>
  <c r="I99" i="165" s="1"/>
  <c r="BN98" i="165"/>
  <c r="BG98" i="165"/>
  <c r="AQ98" i="165"/>
  <c r="AK98" i="165"/>
  <c r="AH98" i="165"/>
  <c r="AE98" i="165"/>
  <c r="AB98" i="165"/>
  <c r="Y98" i="165"/>
  <c r="V98" i="165"/>
  <c r="S98" i="165"/>
  <c r="P98" i="165"/>
  <c r="M98" i="165"/>
  <c r="J98" i="165"/>
  <c r="F98" i="165"/>
  <c r="CT79" i="165"/>
  <c r="CM79" i="165"/>
  <c r="BP79" i="165"/>
  <c r="BG79" i="165"/>
  <c r="BC79" i="165"/>
  <c r="AS79" i="165"/>
  <c r="AP79" i="165"/>
  <c r="AN79" i="165"/>
  <c r="AL79" i="165"/>
  <c r="AI79" i="165"/>
  <c r="AF79" i="165"/>
  <c r="AC79" i="165"/>
  <c r="Z79" i="165"/>
  <c r="W79" i="165"/>
  <c r="T79" i="165"/>
  <c r="Q79" i="165"/>
  <c r="N79" i="165"/>
  <c r="K79" i="165"/>
  <c r="G79" i="165"/>
  <c r="E79" i="165"/>
  <c r="D79" i="165"/>
  <c r="C79" i="165"/>
  <c r="BN78" i="165"/>
  <c r="BO78" i="165" s="1"/>
  <c r="BG78" i="165"/>
  <c r="AQ78" i="165"/>
  <c r="AK78" i="165"/>
  <c r="AH78" i="165"/>
  <c r="AE78" i="165"/>
  <c r="AB78" i="165"/>
  <c r="Y78" i="165"/>
  <c r="V78" i="165"/>
  <c r="S78" i="165"/>
  <c r="P78" i="165"/>
  <c r="M78" i="165"/>
  <c r="J78" i="165"/>
  <c r="F78" i="165"/>
  <c r="H78" i="165" s="1"/>
  <c r="I78" i="165" s="1"/>
  <c r="BN77" i="165"/>
  <c r="BO77" i="165" s="1"/>
  <c r="BG77" i="165"/>
  <c r="AQ77" i="165"/>
  <c r="AK77" i="165"/>
  <c r="AH77" i="165"/>
  <c r="AE77" i="165"/>
  <c r="AB77" i="165"/>
  <c r="Y77" i="165"/>
  <c r="V77" i="165"/>
  <c r="S77" i="165"/>
  <c r="P77" i="165"/>
  <c r="M77" i="165"/>
  <c r="J77" i="165"/>
  <c r="F77" i="165"/>
  <c r="H77" i="165" s="1"/>
  <c r="I77" i="165" s="1"/>
  <c r="BN76" i="165"/>
  <c r="BO76" i="165" s="1"/>
  <c r="BG76" i="165"/>
  <c r="AQ76" i="165"/>
  <c r="AK76" i="165"/>
  <c r="AH76" i="165"/>
  <c r="AE76" i="165"/>
  <c r="AB76" i="165"/>
  <c r="Y76" i="165"/>
  <c r="V76" i="165"/>
  <c r="S76" i="165"/>
  <c r="P76" i="165"/>
  <c r="M76" i="165"/>
  <c r="J76" i="165"/>
  <c r="F76" i="165"/>
  <c r="H76" i="165" s="1"/>
  <c r="I76" i="165" s="1"/>
  <c r="BU75" i="165"/>
  <c r="BN75" i="165"/>
  <c r="BO75" i="165" s="1"/>
  <c r="BG75" i="165"/>
  <c r="AQ75" i="165"/>
  <c r="AK75" i="165"/>
  <c r="AH75" i="165"/>
  <c r="AE75" i="165"/>
  <c r="AB75" i="165"/>
  <c r="Y75" i="165"/>
  <c r="V75" i="165"/>
  <c r="S75" i="165"/>
  <c r="P75" i="165"/>
  <c r="M75" i="165"/>
  <c r="J75" i="165"/>
  <c r="F75" i="165"/>
  <c r="H75" i="165" s="1"/>
  <c r="I75" i="165" s="1"/>
  <c r="BU74" i="165"/>
  <c r="BN74" i="165"/>
  <c r="BO74" i="165" s="1"/>
  <c r="BG74" i="165"/>
  <c r="AQ74" i="165"/>
  <c r="AK74" i="165"/>
  <c r="AH74" i="165"/>
  <c r="AE74" i="165"/>
  <c r="AB74" i="165"/>
  <c r="Y74" i="165"/>
  <c r="V74" i="165"/>
  <c r="S74" i="165"/>
  <c r="P74" i="165"/>
  <c r="M74" i="165"/>
  <c r="J74" i="165"/>
  <c r="F74" i="165"/>
  <c r="H74" i="165" s="1"/>
  <c r="I74" i="165" s="1"/>
  <c r="BU73" i="165"/>
  <c r="BN73" i="165"/>
  <c r="BO73" i="165" s="1"/>
  <c r="BG73" i="165"/>
  <c r="AQ73" i="165"/>
  <c r="AK73" i="165"/>
  <c r="AH73" i="165"/>
  <c r="AE73" i="165"/>
  <c r="AB73" i="165"/>
  <c r="Y73" i="165"/>
  <c r="V73" i="165"/>
  <c r="S73" i="165"/>
  <c r="P73" i="165"/>
  <c r="M73" i="165"/>
  <c r="J73" i="165"/>
  <c r="F73" i="165"/>
  <c r="H73" i="165" s="1"/>
  <c r="I73" i="165" s="1"/>
  <c r="BN72" i="165"/>
  <c r="BO72" i="165" s="1"/>
  <c r="BG72" i="165"/>
  <c r="AQ72" i="165"/>
  <c r="AK72" i="165"/>
  <c r="AH72" i="165"/>
  <c r="AE72" i="165"/>
  <c r="AB72" i="165"/>
  <c r="Y72" i="165"/>
  <c r="V72" i="165"/>
  <c r="S72" i="165"/>
  <c r="P72" i="165"/>
  <c r="M72" i="165"/>
  <c r="J72" i="165"/>
  <c r="F72" i="165"/>
  <c r="H72" i="165" s="1"/>
  <c r="I72" i="165" s="1"/>
  <c r="BN71" i="165"/>
  <c r="BO71" i="165" s="1"/>
  <c r="BG71" i="165"/>
  <c r="AQ71" i="165"/>
  <c r="AK71" i="165"/>
  <c r="AH71" i="165"/>
  <c r="AE71" i="165"/>
  <c r="AB71" i="165"/>
  <c r="Y71" i="165"/>
  <c r="V71" i="165"/>
  <c r="S71" i="165"/>
  <c r="P71" i="165"/>
  <c r="M71" i="165"/>
  <c r="J71" i="165"/>
  <c r="F71" i="165"/>
  <c r="H71" i="165" s="1"/>
  <c r="I71" i="165" s="1"/>
  <c r="BN70" i="165"/>
  <c r="BO70" i="165" s="1"/>
  <c r="BG70" i="165"/>
  <c r="AQ70" i="165"/>
  <c r="AK70" i="165"/>
  <c r="AH70" i="165"/>
  <c r="AE70" i="165"/>
  <c r="AB70" i="165"/>
  <c r="Y70" i="165"/>
  <c r="V70" i="165"/>
  <c r="S70" i="165"/>
  <c r="P70" i="165"/>
  <c r="M70" i="165"/>
  <c r="J70" i="165"/>
  <c r="F70" i="165"/>
  <c r="H70" i="165" s="1"/>
  <c r="I70" i="165" s="1"/>
  <c r="BN69" i="165"/>
  <c r="BO69" i="165" s="1"/>
  <c r="BG69" i="165"/>
  <c r="AQ69" i="165"/>
  <c r="AK69" i="165"/>
  <c r="AH69" i="165"/>
  <c r="AE69" i="165"/>
  <c r="AB69" i="165"/>
  <c r="Y69" i="165"/>
  <c r="V69" i="165"/>
  <c r="S69" i="165"/>
  <c r="P69" i="165"/>
  <c r="M69" i="165"/>
  <c r="J69" i="165"/>
  <c r="F69" i="165"/>
  <c r="H69" i="165" s="1"/>
  <c r="I69" i="165" s="1"/>
  <c r="BN68" i="165"/>
  <c r="BO68" i="165" s="1"/>
  <c r="BG68" i="165"/>
  <c r="AQ68" i="165"/>
  <c r="AK68" i="165"/>
  <c r="AH68" i="165"/>
  <c r="AE68" i="165"/>
  <c r="AB68" i="165"/>
  <c r="Y68" i="165"/>
  <c r="V68" i="165"/>
  <c r="S68" i="165"/>
  <c r="P68" i="165"/>
  <c r="M68" i="165"/>
  <c r="J68" i="165"/>
  <c r="F68" i="165"/>
  <c r="H68" i="165" s="1"/>
  <c r="I68" i="165" s="1"/>
  <c r="BN67" i="165"/>
  <c r="BO67" i="165" s="1"/>
  <c r="BG67" i="165"/>
  <c r="AQ67" i="165"/>
  <c r="AK67" i="165"/>
  <c r="AH67" i="165"/>
  <c r="AE67" i="165"/>
  <c r="AB67" i="165"/>
  <c r="Y67" i="165"/>
  <c r="V67" i="165"/>
  <c r="S67" i="165"/>
  <c r="P67" i="165"/>
  <c r="M67" i="165"/>
  <c r="J67" i="165"/>
  <c r="F67" i="165"/>
  <c r="H67" i="165" s="1"/>
  <c r="CT48" i="165"/>
  <c r="CU48" i="165" s="1"/>
  <c r="CM48" i="165"/>
  <c r="BP48" i="165"/>
  <c r="BG48" i="165"/>
  <c r="BC48" i="165"/>
  <c r="AS48" i="165"/>
  <c r="AP48" i="165"/>
  <c r="AN48" i="165"/>
  <c r="AL48" i="165"/>
  <c r="AI48" i="165"/>
  <c r="AF48" i="165"/>
  <c r="AC48" i="165"/>
  <c r="Z48" i="165"/>
  <c r="W48" i="165"/>
  <c r="T48" i="165"/>
  <c r="Q48" i="165"/>
  <c r="N48" i="165"/>
  <c r="K48" i="165"/>
  <c r="G48" i="165"/>
  <c r="E48" i="165"/>
  <c r="D48" i="165"/>
  <c r="C48" i="165"/>
  <c r="BN47" i="165"/>
  <c r="BO47" i="165" s="1"/>
  <c r="BG47" i="165"/>
  <c r="AQ47" i="165"/>
  <c r="AK47" i="165"/>
  <c r="AH47" i="165"/>
  <c r="AE47" i="165"/>
  <c r="AB47" i="165"/>
  <c r="Y47" i="165"/>
  <c r="V47" i="165"/>
  <c r="S47" i="165"/>
  <c r="P47" i="165"/>
  <c r="M47" i="165"/>
  <c r="J47" i="165"/>
  <c r="F47" i="165"/>
  <c r="H47" i="165" s="1"/>
  <c r="I47" i="165" s="1"/>
  <c r="BN46" i="165"/>
  <c r="BO46" i="165" s="1"/>
  <c r="BG46" i="165"/>
  <c r="AQ46" i="165"/>
  <c r="AK46" i="165"/>
  <c r="AH46" i="165"/>
  <c r="AE46" i="165"/>
  <c r="AB46" i="165"/>
  <c r="Y46" i="165"/>
  <c r="V46" i="165"/>
  <c r="S46" i="165"/>
  <c r="P46" i="165"/>
  <c r="M46" i="165"/>
  <c r="J46" i="165"/>
  <c r="F46" i="165"/>
  <c r="H46" i="165" s="1"/>
  <c r="I46" i="165" s="1"/>
  <c r="BN45" i="165"/>
  <c r="BO45" i="165" s="1"/>
  <c r="BG45" i="165"/>
  <c r="AQ45" i="165"/>
  <c r="AK45" i="165"/>
  <c r="AH45" i="165"/>
  <c r="AE45" i="165"/>
  <c r="AB45" i="165"/>
  <c r="Y45" i="165"/>
  <c r="V45" i="165"/>
  <c r="S45" i="165"/>
  <c r="P45" i="165"/>
  <c r="M45" i="165"/>
  <c r="J45" i="165"/>
  <c r="F45" i="165"/>
  <c r="H45" i="165" s="1"/>
  <c r="I45" i="165" s="1"/>
  <c r="BN44" i="165"/>
  <c r="BO44" i="165" s="1"/>
  <c r="BG44" i="165"/>
  <c r="AQ44" i="165"/>
  <c r="AK44" i="165"/>
  <c r="AH44" i="165"/>
  <c r="AE44" i="165"/>
  <c r="AB44" i="165"/>
  <c r="Y44" i="165"/>
  <c r="V44" i="165"/>
  <c r="S44" i="165"/>
  <c r="P44" i="165"/>
  <c r="M44" i="165"/>
  <c r="J44" i="165"/>
  <c r="F44" i="165"/>
  <c r="H44" i="165" s="1"/>
  <c r="I44" i="165" s="1"/>
  <c r="BU43" i="165"/>
  <c r="BN43" i="165"/>
  <c r="BO43" i="165" s="1"/>
  <c r="BG43" i="165"/>
  <c r="AQ43" i="165"/>
  <c r="AK43" i="165"/>
  <c r="AH43" i="165"/>
  <c r="AE43" i="165"/>
  <c r="AB43" i="165"/>
  <c r="Y43" i="165"/>
  <c r="V43" i="165"/>
  <c r="S43" i="165"/>
  <c r="P43" i="165"/>
  <c r="M43" i="165"/>
  <c r="J43" i="165"/>
  <c r="F43" i="165"/>
  <c r="H43" i="165" s="1"/>
  <c r="I43" i="165" s="1"/>
  <c r="BN42" i="165"/>
  <c r="BO42" i="165" s="1"/>
  <c r="BG42" i="165"/>
  <c r="AQ42" i="165"/>
  <c r="AK42" i="165"/>
  <c r="AH42" i="165"/>
  <c r="AE42" i="165"/>
  <c r="AB42" i="165"/>
  <c r="Y42" i="165"/>
  <c r="V42" i="165"/>
  <c r="S42" i="165"/>
  <c r="P42" i="165"/>
  <c r="M42" i="165"/>
  <c r="J42" i="165"/>
  <c r="F42" i="165"/>
  <c r="H42" i="165" s="1"/>
  <c r="I42" i="165" s="1"/>
  <c r="BN41" i="165"/>
  <c r="BO41" i="165" s="1"/>
  <c r="BG41" i="165"/>
  <c r="AQ41" i="165"/>
  <c r="AK41" i="165"/>
  <c r="AH41" i="165"/>
  <c r="AE41" i="165"/>
  <c r="AB41" i="165"/>
  <c r="Y41" i="165"/>
  <c r="V41" i="165"/>
  <c r="S41" i="165"/>
  <c r="P41" i="165"/>
  <c r="M41" i="165"/>
  <c r="J41" i="165"/>
  <c r="F41" i="165"/>
  <c r="H41" i="165" s="1"/>
  <c r="I41" i="165" s="1"/>
  <c r="BN40" i="165"/>
  <c r="BO40" i="165" s="1"/>
  <c r="BG40" i="165"/>
  <c r="AQ40" i="165"/>
  <c r="AK40" i="165"/>
  <c r="AH40" i="165"/>
  <c r="AE40" i="165"/>
  <c r="AB40" i="165"/>
  <c r="Y40" i="165"/>
  <c r="V40" i="165"/>
  <c r="S40" i="165"/>
  <c r="P40" i="165"/>
  <c r="M40" i="165"/>
  <c r="J40" i="165"/>
  <c r="F40" i="165"/>
  <c r="H40" i="165" s="1"/>
  <c r="I40" i="165" s="1"/>
  <c r="BU39" i="165"/>
  <c r="BN39" i="165"/>
  <c r="BO39" i="165" s="1"/>
  <c r="BG39" i="165"/>
  <c r="AQ39" i="165"/>
  <c r="AK39" i="165"/>
  <c r="AH39" i="165"/>
  <c r="AE39" i="165"/>
  <c r="AB39" i="165"/>
  <c r="Y39" i="165"/>
  <c r="V39" i="165"/>
  <c r="S39" i="165"/>
  <c r="P39" i="165"/>
  <c r="M39" i="165"/>
  <c r="J39" i="165"/>
  <c r="F39" i="165"/>
  <c r="H39" i="165" s="1"/>
  <c r="I39" i="165" s="1"/>
  <c r="BN38" i="165"/>
  <c r="BO38" i="165" s="1"/>
  <c r="BG38" i="165"/>
  <c r="AQ38" i="165"/>
  <c r="AK38" i="165"/>
  <c r="AH38" i="165"/>
  <c r="AE38" i="165"/>
  <c r="AB38" i="165"/>
  <c r="Y38" i="165"/>
  <c r="V38" i="165"/>
  <c r="S38" i="165"/>
  <c r="P38" i="165"/>
  <c r="M38" i="165"/>
  <c r="J38" i="165"/>
  <c r="F38" i="165"/>
  <c r="H38" i="165" s="1"/>
  <c r="I38" i="165" s="1"/>
  <c r="BN37" i="165"/>
  <c r="BO37" i="165" s="1"/>
  <c r="BG37" i="165"/>
  <c r="AQ37" i="165"/>
  <c r="AK37" i="165"/>
  <c r="AH37" i="165"/>
  <c r="AE37" i="165"/>
  <c r="AB37" i="165"/>
  <c r="Y37" i="165"/>
  <c r="V37" i="165"/>
  <c r="S37" i="165"/>
  <c r="P37" i="165"/>
  <c r="M37" i="165"/>
  <c r="J37" i="165"/>
  <c r="F37" i="165"/>
  <c r="H37" i="165" s="1"/>
  <c r="I37" i="165" s="1"/>
  <c r="BN36" i="165"/>
  <c r="BO36" i="165" s="1"/>
  <c r="BG36" i="165"/>
  <c r="AQ36" i="165"/>
  <c r="AK36" i="165"/>
  <c r="AH36" i="165"/>
  <c r="AE36" i="165"/>
  <c r="AB36" i="165"/>
  <c r="Y36" i="165"/>
  <c r="V36" i="165"/>
  <c r="S36" i="165"/>
  <c r="P36" i="165"/>
  <c r="M36" i="165"/>
  <c r="J36" i="165"/>
  <c r="F36" i="165"/>
  <c r="H36" i="165" s="1"/>
  <c r="I36" i="165" s="1"/>
  <c r="BN35" i="165"/>
  <c r="BO35" i="165" s="1"/>
  <c r="BG35" i="165"/>
  <c r="AQ35" i="165"/>
  <c r="AK35" i="165"/>
  <c r="AH35" i="165"/>
  <c r="AE35" i="165"/>
  <c r="AB35" i="165"/>
  <c r="Y35" i="165"/>
  <c r="V35" i="165"/>
  <c r="S35" i="165"/>
  <c r="P35" i="165"/>
  <c r="M35" i="165"/>
  <c r="J35" i="165"/>
  <c r="F35" i="165"/>
  <c r="H35" i="165" s="1"/>
  <c r="I35" i="165" s="1"/>
  <c r="BN34" i="165"/>
  <c r="BO34" i="165" s="1"/>
  <c r="BG34" i="165"/>
  <c r="AQ34" i="165"/>
  <c r="AK34" i="165"/>
  <c r="AH34" i="165"/>
  <c r="AE34" i="165"/>
  <c r="AB34" i="165"/>
  <c r="Y34" i="165"/>
  <c r="V34" i="165"/>
  <c r="S34" i="165"/>
  <c r="P34" i="165"/>
  <c r="M34" i="165"/>
  <c r="J34" i="165"/>
  <c r="F34" i="165"/>
  <c r="H34" i="165" s="1"/>
  <c r="I34" i="165" s="1"/>
  <c r="BU33" i="165"/>
  <c r="BN33" i="165"/>
  <c r="BO33" i="165" s="1"/>
  <c r="BG33" i="165"/>
  <c r="AQ33" i="165"/>
  <c r="AK33" i="165"/>
  <c r="AH33" i="165"/>
  <c r="AE33" i="165"/>
  <c r="AB33" i="165"/>
  <c r="Y33" i="165"/>
  <c r="V33" i="165"/>
  <c r="S33" i="165"/>
  <c r="P33" i="165"/>
  <c r="M33" i="165"/>
  <c r="J33" i="165"/>
  <c r="F33" i="165"/>
  <c r="H33" i="165" s="1"/>
  <c r="I33" i="165" s="1"/>
  <c r="BU32" i="165"/>
  <c r="BN32" i="165"/>
  <c r="BO32" i="165" s="1"/>
  <c r="BG32" i="165"/>
  <c r="AQ32" i="165"/>
  <c r="AK32" i="165"/>
  <c r="AH32" i="165"/>
  <c r="AE32" i="165"/>
  <c r="AB32" i="165"/>
  <c r="Y32" i="165"/>
  <c r="V32" i="165"/>
  <c r="S32" i="165"/>
  <c r="P32" i="165"/>
  <c r="M32" i="165"/>
  <c r="J32" i="165"/>
  <c r="F32" i="165"/>
  <c r="H32" i="165" s="1"/>
  <c r="I32" i="165" s="1"/>
  <c r="BU31" i="165"/>
  <c r="BN31" i="165"/>
  <c r="BO31" i="165" s="1"/>
  <c r="BG31" i="165"/>
  <c r="AQ31" i="165"/>
  <c r="AK31" i="165"/>
  <c r="AH31" i="165"/>
  <c r="AE31" i="165"/>
  <c r="AB31" i="165"/>
  <c r="Y31" i="165"/>
  <c r="V31" i="165"/>
  <c r="S31" i="165"/>
  <c r="P31" i="165"/>
  <c r="M31" i="165"/>
  <c r="J31" i="165"/>
  <c r="F31" i="165"/>
  <c r="H31" i="165" s="1"/>
  <c r="I31" i="165" s="1"/>
  <c r="BN30" i="165"/>
  <c r="BO30" i="165" s="1"/>
  <c r="BG30" i="165"/>
  <c r="AQ30" i="165"/>
  <c r="AK30" i="165"/>
  <c r="AH30" i="165"/>
  <c r="AE30" i="165"/>
  <c r="AB30" i="165"/>
  <c r="Y30" i="165"/>
  <c r="V30" i="165"/>
  <c r="S30" i="165"/>
  <c r="P30" i="165"/>
  <c r="M30" i="165"/>
  <c r="J30" i="165"/>
  <c r="F30" i="165"/>
  <c r="H30" i="165" s="1"/>
  <c r="I30" i="165" s="1"/>
  <c r="BU29" i="165"/>
  <c r="BN29" i="165"/>
  <c r="BO29" i="165" s="1"/>
  <c r="BG29" i="165"/>
  <c r="AQ29" i="165"/>
  <c r="AK29" i="165"/>
  <c r="AH29" i="165"/>
  <c r="AE29" i="165"/>
  <c r="AB29" i="165"/>
  <c r="Y29" i="165"/>
  <c r="V29" i="165"/>
  <c r="S29" i="165"/>
  <c r="P29" i="165"/>
  <c r="M29" i="165"/>
  <c r="J29" i="165"/>
  <c r="F29" i="165"/>
  <c r="H29" i="165" s="1"/>
  <c r="I29" i="165" s="1"/>
  <c r="BN28" i="165"/>
  <c r="BO28" i="165" s="1"/>
  <c r="BG28" i="165"/>
  <c r="AQ28" i="165"/>
  <c r="AK28" i="165"/>
  <c r="AH28" i="165"/>
  <c r="AE28" i="165"/>
  <c r="AB28" i="165"/>
  <c r="Y28" i="165"/>
  <c r="V28" i="165"/>
  <c r="S28" i="165"/>
  <c r="P28" i="165"/>
  <c r="M28" i="165"/>
  <c r="J28" i="165"/>
  <c r="F28" i="165"/>
  <c r="H28" i="165" s="1"/>
  <c r="I28" i="165" s="1"/>
  <c r="BU27" i="165"/>
  <c r="BN27" i="165"/>
  <c r="BO27" i="165" s="1"/>
  <c r="BG27" i="165"/>
  <c r="AQ27" i="165"/>
  <c r="AK27" i="165"/>
  <c r="AH27" i="165"/>
  <c r="AE27" i="165"/>
  <c r="AB27" i="165"/>
  <c r="Y27" i="165"/>
  <c r="V27" i="165"/>
  <c r="S27" i="165"/>
  <c r="P27" i="165"/>
  <c r="M27" i="165"/>
  <c r="J27" i="165"/>
  <c r="F27" i="165"/>
  <c r="H27" i="165" s="1"/>
  <c r="I27" i="165" s="1"/>
  <c r="BU26" i="165"/>
  <c r="BN26" i="165"/>
  <c r="BO26" i="165" s="1"/>
  <c r="BG26" i="165"/>
  <c r="AQ26" i="165"/>
  <c r="AK26" i="165"/>
  <c r="AH26" i="165"/>
  <c r="AE26" i="165"/>
  <c r="AB26" i="165"/>
  <c r="Y26" i="165"/>
  <c r="V26" i="165"/>
  <c r="S26" i="165"/>
  <c r="P26" i="165"/>
  <c r="M26" i="165"/>
  <c r="J26" i="165"/>
  <c r="F26" i="165"/>
  <c r="H26" i="165" s="1"/>
  <c r="I26" i="165" s="1"/>
  <c r="BN25" i="165"/>
  <c r="BO25" i="165" s="1"/>
  <c r="BG25" i="165"/>
  <c r="AQ25" i="165"/>
  <c r="AK25" i="165"/>
  <c r="AH25" i="165"/>
  <c r="AE25" i="165"/>
  <c r="AB25" i="165"/>
  <c r="Y25" i="165"/>
  <c r="V25" i="165"/>
  <c r="S25" i="165"/>
  <c r="P25" i="165"/>
  <c r="M25" i="165"/>
  <c r="J25" i="165"/>
  <c r="F25" i="165"/>
  <c r="H25" i="165" s="1"/>
  <c r="I25" i="165" s="1"/>
  <c r="BN24" i="165"/>
  <c r="BO24" i="165" s="1"/>
  <c r="BG24" i="165"/>
  <c r="AQ24" i="165"/>
  <c r="AK24" i="165"/>
  <c r="AH24" i="165"/>
  <c r="AE24" i="165"/>
  <c r="AB24" i="165"/>
  <c r="Y24" i="165"/>
  <c r="V24" i="165"/>
  <c r="S24" i="165"/>
  <c r="P24" i="165"/>
  <c r="M24" i="165"/>
  <c r="J24" i="165"/>
  <c r="F24" i="165"/>
  <c r="H24" i="165" s="1"/>
  <c r="I24" i="165" s="1"/>
  <c r="BN23" i="165"/>
  <c r="BO23" i="165" s="1"/>
  <c r="BG23" i="165"/>
  <c r="AQ23" i="165"/>
  <c r="AK23" i="165"/>
  <c r="AH23" i="165"/>
  <c r="AE23" i="165"/>
  <c r="AB23" i="165"/>
  <c r="Y23" i="165"/>
  <c r="V23" i="165"/>
  <c r="S23" i="165"/>
  <c r="P23" i="165"/>
  <c r="M23" i="165"/>
  <c r="J23" i="165"/>
  <c r="F23" i="165"/>
  <c r="H23" i="165" s="1"/>
  <c r="I23" i="165" s="1"/>
  <c r="BN22" i="165"/>
  <c r="BO22" i="165" s="1"/>
  <c r="BG22" i="165"/>
  <c r="AQ22" i="165"/>
  <c r="AK22" i="165"/>
  <c r="AH22" i="165"/>
  <c r="AE22" i="165"/>
  <c r="AB22" i="165"/>
  <c r="Y22" i="165"/>
  <c r="V22" i="165"/>
  <c r="S22" i="165"/>
  <c r="P22" i="165"/>
  <c r="M22" i="165"/>
  <c r="J22" i="165"/>
  <c r="F22" i="165"/>
  <c r="H22" i="165" s="1"/>
  <c r="I22" i="165" s="1"/>
  <c r="BN21" i="165"/>
  <c r="BO21" i="165" s="1"/>
  <c r="BG21" i="165"/>
  <c r="AQ21" i="165"/>
  <c r="AK21" i="165"/>
  <c r="AH21" i="165"/>
  <c r="AE21" i="165"/>
  <c r="AB21" i="165"/>
  <c r="Y21" i="165"/>
  <c r="V21" i="165"/>
  <c r="S21" i="165"/>
  <c r="P21" i="165"/>
  <c r="M21" i="165"/>
  <c r="J21" i="165"/>
  <c r="F21" i="165"/>
  <c r="H21" i="165" s="1"/>
  <c r="I21" i="165" s="1"/>
  <c r="BN20" i="165"/>
  <c r="BO20" i="165" s="1"/>
  <c r="BG20" i="165"/>
  <c r="AQ20" i="165"/>
  <c r="AK20" i="165"/>
  <c r="AH20" i="165"/>
  <c r="AE20" i="165"/>
  <c r="AB20" i="165"/>
  <c r="Y20" i="165"/>
  <c r="V20" i="165"/>
  <c r="S20" i="165"/>
  <c r="P20" i="165"/>
  <c r="M20" i="165"/>
  <c r="J20" i="165"/>
  <c r="F20" i="165"/>
  <c r="H20" i="165" s="1"/>
  <c r="I20" i="165" s="1"/>
  <c r="BN19" i="165"/>
  <c r="BO19" i="165" s="1"/>
  <c r="BG19" i="165"/>
  <c r="AQ19" i="165"/>
  <c r="AK19" i="165"/>
  <c r="AH19" i="165"/>
  <c r="AE19" i="165"/>
  <c r="AB19" i="165"/>
  <c r="Y19" i="165"/>
  <c r="V19" i="165"/>
  <c r="S19" i="165"/>
  <c r="P19" i="165"/>
  <c r="M19" i="165"/>
  <c r="J19" i="165"/>
  <c r="F19" i="165"/>
  <c r="H19" i="165" s="1"/>
  <c r="I19" i="165" s="1"/>
  <c r="BN18" i="165"/>
  <c r="BO18" i="165" s="1"/>
  <c r="BG18" i="165"/>
  <c r="AQ18" i="165"/>
  <c r="AK18" i="165"/>
  <c r="AH18" i="165"/>
  <c r="AE18" i="165"/>
  <c r="AB18" i="165"/>
  <c r="Y18" i="165"/>
  <c r="V18" i="165"/>
  <c r="S18" i="165"/>
  <c r="P18" i="165"/>
  <c r="M18" i="165"/>
  <c r="J18" i="165"/>
  <c r="F18" i="165"/>
  <c r="H18" i="165" s="1"/>
  <c r="I18" i="165" s="1"/>
  <c r="BN17" i="165"/>
  <c r="BO17" i="165" s="1"/>
  <c r="BG17" i="165"/>
  <c r="AQ17" i="165"/>
  <c r="AK17" i="165"/>
  <c r="AH17" i="165"/>
  <c r="AE17" i="165"/>
  <c r="AB17" i="165"/>
  <c r="Y17" i="165"/>
  <c r="V17" i="165"/>
  <c r="S17" i="165"/>
  <c r="P17" i="165"/>
  <c r="M17" i="165"/>
  <c r="J17" i="165"/>
  <c r="F17" i="165"/>
  <c r="H17" i="165" s="1"/>
  <c r="I17" i="165" s="1"/>
  <c r="BN16" i="165"/>
  <c r="BO16" i="165" s="1"/>
  <c r="BG16" i="165"/>
  <c r="AQ16" i="165"/>
  <c r="AK16" i="165"/>
  <c r="AH16" i="165"/>
  <c r="AE16" i="165"/>
  <c r="AB16" i="165"/>
  <c r="Y16" i="165"/>
  <c r="V16" i="165"/>
  <c r="S16" i="165"/>
  <c r="P16" i="165"/>
  <c r="M16" i="165"/>
  <c r="J16" i="165"/>
  <c r="F16" i="165"/>
  <c r="H16" i="165" s="1"/>
  <c r="I16" i="165" s="1"/>
  <c r="BN15" i="165"/>
  <c r="BO15" i="165" s="1"/>
  <c r="BG15" i="165"/>
  <c r="AQ15" i="165"/>
  <c r="AK15" i="165"/>
  <c r="AH15" i="165"/>
  <c r="AE15" i="165"/>
  <c r="AB15" i="165"/>
  <c r="Y15" i="165"/>
  <c r="V15" i="165"/>
  <c r="S15" i="165"/>
  <c r="P15" i="165"/>
  <c r="M15" i="165"/>
  <c r="J15" i="165"/>
  <c r="F15" i="165"/>
  <c r="H15" i="165" s="1"/>
  <c r="I15" i="165" s="1"/>
  <c r="BN14" i="165"/>
  <c r="BO14" i="165" s="1"/>
  <c r="BG14" i="165"/>
  <c r="AQ14" i="165"/>
  <c r="AK14" i="165"/>
  <c r="AH14" i="165"/>
  <c r="AE14" i="165"/>
  <c r="AB14" i="165"/>
  <c r="Y14" i="165"/>
  <c r="V14" i="165"/>
  <c r="S14" i="165"/>
  <c r="P14" i="165"/>
  <c r="M14" i="165"/>
  <c r="J14" i="165"/>
  <c r="F14" i="165"/>
  <c r="H14" i="165" s="1"/>
  <c r="I14" i="165" s="1"/>
  <c r="BN13" i="165"/>
  <c r="BO13" i="165" s="1"/>
  <c r="BG13" i="165"/>
  <c r="AQ13" i="165"/>
  <c r="AK13" i="165"/>
  <c r="AH13" i="165"/>
  <c r="AE13" i="165"/>
  <c r="AB13" i="165"/>
  <c r="Y13" i="165"/>
  <c r="V13" i="165"/>
  <c r="S13" i="165"/>
  <c r="P13" i="165"/>
  <c r="M13" i="165"/>
  <c r="J13" i="165"/>
  <c r="F13" i="165"/>
  <c r="H13" i="165" s="1"/>
  <c r="I13" i="165" s="1"/>
  <c r="BN12" i="165"/>
  <c r="BG12" i="165"/>
  <c r="AQ12" i="165"/>
  <c r="AK12" i="165"/>
  <c r="AH12" i="165"/>
  <c r="AE12" i="165"/>
  <c r="AB12" i="165"/>
  <c r="Y12" i="165"/>
  <c r="V12" i="165"/>
  <c r="S12" i="165"/>
  <c r="P12" i="165"/>
  <c r="M12" i="165"/>
  <c r="J12" i="165"/>
  <c r="F12" i="165"/>
  <c r="BG11" i="165"/>
  <c r="G11" i="165"/>
  <c r="FE24" i="140"/>
  <c r="FE23" i="140"/>
  <c r="FE22" i="140"/>
  <c r="FE21" i="140"/>
  <c r="FE20" i="140"/>
  <c r="FE19" i="140"/>
  <c r="FE18" i="140"/>
  <c r="FE16" i="140"/>
  <c r="FE14" i="140"/>
  <c r="FE13" i="140"/>
  <c r="FE24" i="139"/>
  <c r="FE23" i="139"/>
  <c r="FE22" i="139"/>
  <c r="FE21" i="139"/>
  <c r="FE20" i="139"/>
  <c r="FE19" i="139"/>
  <c r="FE18" i="139"/>
  <c r="FE16" i="139"/>
  <c r="FE14" i="139"/>
  <c r="FE13" i="139"/>
  <c r="DT24" i="140"/>
  <c r="DT23" i="140"/>
  <c r="DT22" i="140"/>
  <c r="DT21" i="140"/>
  <c r="DT20" i="140"/>
  <c r="DT19" i="140"/>
  <c r="DT18" i="140"/>
  <c r="DT16" i="140"/>
  <c r="DT14" i="140"/>
  <c r="DT13" i="140"/>
  <c r="DT24" i="139"/>
  <c r="DT23" i="139"/>
  <c r="DT22" i="139"/>
  <c r="DT21" i="139"/>
  <c r="DT20" i="139"/>
  <c r="DT19" i="139"/>
  <c r="DT18" i="139"/>
  <c r="DT16" i="139"/>
  <c r="DT14" i="139"/>
  <c r="DT13" i="139"/>
  <c r="CI24" i="140"/>
  <c r="CI23" i="140"/>
  <c r="CI22" i="140"/>
  <c r="CI21" i="140"/>
  <c r="CI20" i="140"/>
  <c r="CI19" i="140"/>
  <c r="CI18" i="140"/>
  <c r="CI16" i="140"/>
  <c r="CI14" i="140"/>
  <c r="CI13" i="140"/>
  <c r="CI24" i="139"/>
  <c r="CI23" i="139"/>
  <c r="CI22" i="139"/>
  <c r="CI21" i="139"/>
  <c r="CI20" i="139"/>
  <c r="CI19" i="139"/>
  <c r="CI18" i="139"/>
  <c r="CI16" i="139"/>
  <c r="CI14" i="139"/>
  <c r="CI13" i="139"/>
  <c r="AX24" i="140"/>
  <c r="AX23" i="140"/>
  <c r="AX22" i="140"/>
  <c r="AX21" i="140"/>
  <c r="AX20" i="140"/>
  <c r="AX19" i="140"/>
  <c r="AX18" i="140"/>
  <c r="AX16" i="140"/>
  <c r="AX14" i="140"/>
  <c r="AX13" i="140"/>
  <c r="AX24" i="139"/>
  <c r="AX23" i="139"/>
  <c r="AX22" i="139"/>
  <c r="AX21" i="139"/>
  <c r="AX20" i="139"/>
  <c r="AX19" i="139"/>
  <c r="AX18" i="139"/>
  <c r="AX16" i="139"/>
  <c r="AX14" i="139"/>
  <c r="AX13" i="139"/>
  <c r="M24" i="140"/>
  <c r="M23" i="140"/>
  <c r="M22" i="140"/>
  <c r="M21" i="140"/>
  <c r="M20" i="140"/>
  <c r="M19" i="140"/>
  <c r="M18" i="140"/>
  <c r="M16" i="140"/>
  <c r="M14" i="140"/>
  <c r="M13" i="140"/>
  <c r="M24" i="139"/>
  <c r="M23" i="139"/>
  <c r="M22" i="139"/>
  <c r="M21" i="139"/>
  <c r="M20" i="139"/>
  <c r="M19" i="139"/>
  <c r="M18" i="139"/>
  <c r="M16" i="139"/>
  <c r="M14" i="139"/>
  <c r="M13" i="139"/>
  <c r="AR177" i="166" l="1"/>
  <c r="AT177" i="166" s="1"/>
  <c r="AO105" i="166"/>
  <c r="AO130" i="166"/>
  <c r="AO212" i="166"/>
  <c r="AO221" i="166" s="1"/>
  <c r="AO216" i="166"/>
  <c r="AR216" i="166" s="1"/>
  <c r="AT216" i="166" s="1"/>
  <c r="AR215" i="166"/>
  <c r="AT215" i="166" s="1"/>
  <c r="AR205" i="166"/>
  <c r="AT205" i="166" s="1"/>
  <c r="AO76" i="166"/>
  <c r="AO77" i="166"/>
  <c r="AO70" i="166"/>
  <c r="AO120" i="166"/>
  <c r="AR120" i="166" s="1"/>
  <c r="AT120" i="166" s="1"/>
  <c r="AV120" i="166" s="1"/>
  <c r="AW120" i="166" s="1"/>
  <c r="AO121" i="166"/>
  <c r="AR121" i="166" s="1"/>
  <c r="AT121" i="166" s="1"/>
  <c r="AO108" i="166"/>
  <c r="AO115" i="166"/>
  <c r="AR115" i="166" s="1"/>
  <c r="AT115" i="166" s="1"/>
  <c r="AR130" i="166"/>
  <c r="AT130" i="166" s="1"/>
  <c r="AO107" i="166"/>
  <c r="AR107" i="166" s="1"/>
  <c r="AT107" i="166" s="1"/>
  <c r="AO109" i="166"/>
  <c r="AR109" i="166" s="1"/>
  <c r="AT109" i="166" s="1"/>
  <c r="AV109" i="166" s="1"/>
  <c r="AW109" i="166" s="1"/>
  <c r="AO114" i="166"/>
  <c r="AR114" i="166" s="1"/>
  <c r="AT114" i="166" s="1"/>
  <c r="AO102" i="166"/>
  <c r="AO103" i="166"/>
  <c r="AO125" i="166"/>
  <c r="AR125" i="166" s="1"/>
  <c r="AT125" i="166" s="1"/>
  <c r="AO100" i="166"/>
  <c r="AR100" i="166" s="1"/>
  <c r="AT100" i="166" s="1"/>
  <c r="AO110" i="166"/>
  <c r="AR110" i="166" s="1"/>
  <c r="AT110" i="166" s="1"/>
  <c r="AO131" i="166"/>
  <c r="AR131" i="166" s="1"/>
  <c r="AT131" i="166" s="1"/>
  <c r="AO215" i="167"/>
  <c r="AO207" i="167"/>
  <c r="AR207" i="167" s="1"/>
  <c r="AT207" i="167" s="1"/>
  <c r="AR215" i="167"/>
  <c r="AT215" i="167" s="1"/>
  <c r="AO218" i="167"/>
  <c r="AO183" i="167"/>
  <c r="AR183" i="167" s="1"/>
  <c r="AT183" i="167" s="1"/>
  <c r="AV183" i="167" s="1"/>
  <c r="AW183" i="167" s="1"/>
  <c r="AO175" i="167"/>
  <c r="AR175" i="167" s="1"/>
  <c r="AT175" i="167" s="1"/>
  <c r="AV175" i="167" s="1"/>
  <c r="AW175" i="167" s="1"/>
  <c r="AO154" i="167"/>
  <c r="AO165" i="167"/>
  <c r="AO178" i="167"/>
  <c r="AR178" i="167" s="1"/>
  <c r="AT178" i="167" s="1"/>
  <c r="AR165" i="167"/>
  <c r="AT165" i="167" s="1"/>
  <c r="AO180" i="167"/>
  <c r="AO171" i="167"/>
  <c r="AO167" i="167"/>
  <c r="AO157" i="167"/>
  <c r="AR160" i="167"/>
  <c r="AT160" i="167" s="1"/>
  <c r="AO129" i="167"/>
  <c r="AO118" i="167"/>
  <c r="AR118" i="167" s="1"/>
  <c r="AT118" i="167" s="1"/>
  <c r="AV118" i="167" s="1"/>
  <c r="AW118" i="167" s="1"/>
  <c r="AR127" i="167"/>
  <c r="AT127" i="167" s="1"/>
  <c r="AR119" i="167"/>
  <c r="AT119" i="167" s="1"/>
  <c r="AO119" i="167"/>
  <c r="AO123" i="167"/>
  <c r="AO130" i="167"/>
  <c r="AR101" i="167"/>
  <c r="AT101" i="167" s="1"/>
  <c r="AO132" i="167"/>
  <c r="AO109" i="167"/>
  <c r="AR129" i="167"/>
  <c r="AT129" i="167" s="1"/>
  <c r="AO128" i="167"/>
  <c r="AR128" i="167" s="1"/>
  <c r="AT128" i="167" s="1"/>
  <c r="AV128" i="167" s="1"/>
  <c r="AW128" i="167" s="1"/>
  <c r="AO125" i="167"/>
  <c r="AR125" i="167" s="1"/>
  <c r="AT125" i="167" s="1"/>
  <c r="AV125" i="167" s="1"/>
  <c r="AW125" i="167" s="1"/>
  <c r="AO120" i="167"/>
  <c r="AR114" i="167"/>
  <c r="AT114" i="167" s="1"/>
  <c r="AU114" i="167" s="1"/>
  <c r="AW114" i="167" s="1"/>
  <c r="AR75" i="167"/>
  <c r="AT75" i="167" s="1"/>
  <c r="AO76" i="167"/>
  <c r="AO72" i="167"/>
  <c r="AR72" i="167" s="1"/>
  <c r="AT72" i="167" s="1"/>
  <c r="AR78" i="167"/>
  <c r="AT78" i="167" s="1"/>
  <c r="AU78" i="167" s="1"/>
  <c r="AO41" i="167"/>
  <c r="AO23" i="167"/>
  <c r="AO42" i="167"/>
  <c r="AO24" i="167"/>
  <c r="AR24" i="167" s="1"/>
  <c r="AT24" i="167" s="1"/>
  <c r="AO43" i="167"/>
  <c r="AR43" i="167" s="1"/>
  <c r="AT43" i="167" s="1"/>
  <c r="AO40" i="167"/>
  <c r="AR40" i="167" s="1"/>
  <c r="AT40" i="167" s="1"/>
  <c r="AO38" i="167"/>
  <c r="AO30" i="167"/>
  <c r="AO35" i="167"/>
  <c r="AR35" i="167" s="1"/>
  <c r="AT35" i="167" s="1"/>
  <c r="R49" i="167"/>
  <c r="AO16" i="167"/>
  <c r="AR16" i="167" s="1"/>
  <c r="AT16" i="167" s="1"/>
  <c r="AR30" i="167"/>
  <c r="AT30" i="167" s="1"/>
  <c r="AO47" i="167"/>
  <c r="AO36" i="167"/>
  <c r="AO46" i="167"/>
  <c r="AR46" i="167" s="1"/>
  <c r="AT46" i="167" s="1"/>
  <c r="AV46" i="167" s="1"/>
  <c r="AW46" i="167" s="1"/>
  <c r="AO39" i="167"/>
  <c r="AR13" i="167"/>
  <c r="AT13" i="167" s="1"/>
  <c r="AR131" i="167"/>
  <c r="AT131" i="167" s="1"/>
  <c r="AV106" i="167"/>
  <c r="AW106" i="167"/>
  <c r="AV30" i="167"/>
  <c r="AW30" i="167"/>
  <c r="AW208" i="167"/>
  <c r="AV208" i="167"/>
  <c r="AV182" i="167"/>
  <c r="AW182" i="167" s="1"/>
  <c r="AV216" i="167"/>
  <c r="AW216" i="167" s="1"/>
  <c r="AV174" i="167"/>
  <c r="AW174" i="167" s="1"/>
  <c r="AV163" i="167"/>
  <c r="AW163" i="167" s="1"/>
  <c r="AV129" i="167"/>
  <c r="AW129" i="167" s="1"/>
  <c r="AR121" i="167"/>
  <c r="AT121" i="167" s="1"/>
  <c r="AR132" i="167"/>
  <c r="AT132" i="167" s="1"/>
  <c r="AR115" i="167"/>
  <c r="AT115" i="167" s="1"/>
  <c r="AV114" i="167"/>
  <c r="AR107" i="167"/>
  <c r="AT107" i="167" s="1"/>
  <c r="AR105" i="167"/>
  <c r="AT105" i="167" s="1"/>
  <c r="AV75" i="167"/>
  <c r="AW75" i="167" s="1"/>
  <c r="AR41" i="167"/>
  <c r="AT41" i="167" s="1"/>
  <c r="AV43" i="167"/>
  <c r="AW43" i="167" s="1"/>
  <c r="AV40" i="167"/>
  <c r="AW40" i="167" s="1"/>
  <c r="AR39" i="167"/>
  <c r="AT39" i="167" s="1"/>
  <c r="AR20" i="167"/>
  <c r="AT20" i="167" s="1"/>
  <c r="AR180" i="167"/>
  <c r="AT180" i="167" s="1"/>
  <c r="AR171" i="167"/>
  <c r="AT171" i="167" s="1"/>
  <c r="AR205" i="167"/>
  <c r="AT205" i="167" s="1"/>
  <c r="AV169" i="167"/>
  <c r="AW169" i="167" s="1"/>
  <c r="AR155" i="167"/>
  <c r="AT155" i="167" s="1"/>
  <c r="AR110" i="167"/>
  <c r="AT110" i="167" s="1"/>
  <c r="AO69" i="167"/>
  <c r="AR69" i="167" s="1"/>
  <c r="AT69" i="167" s="1"/>
  <c r="AR42" i="167"/>
  <c r="AT42" i="167" s="1"/>
  <c r="AR33" i="167"/>
  <c r="AT33" i="167" s="1"/>
  <c r="AR29" i="167"/>
  <c r="AT29" i="167" s="1"/>
  <c r="AW160" i="167"/>
  <c r="AV160" i="167"/>
  <c r="AV27" i="167"/>
  <c r="AW27" i="167" s="1"/>
  <c r="AR213" i="167"/>
  <c r="AT213" i="167" s="1"/>
  <c r="AV165" i="167"/>
  <c r="AW165" i="167" s="1"/>
  <c r="AR156" i="167"/>
  <c r="AT156" i="167" s="1"/>
  <c r="AV127" i="167"/>
  <c r="AU127" i="167"/>
  <c r="AW127" i="167" s="1"/>
  <c r="AV119" i="167"/>
  <c r="AW119" i="167" s="1"/>
  <c r="AR123" i="167"/>
  <c r="AT123" i="167" s="1"/>
  <c r="AR130" i="167"/>
  <c r="AT130" i="167" s="1"/>
  <c r="AR103" i="167"/>
  <c r="AT103" i="167" s="1"/>
  <c r="AR116" i="167"/>
  <c r="AT116" i="167" s="1"/>
  <c r="AV101" i="167"/>
  <c r="AW101" i="167" s="1"/>
  <c r="AR100" i="167"/>
  <c r="AT100" i="167" s="1"/>
  <c r="AR47" i="167"/>
  <c r="AT47" i="167" s="1"/>
  <c r="AR17" i="167"/>
  <c r="AT17" i="167" s="1"/>
  <c r="AR38" i="167"/>
  <c r="AT38" i="167" s="1"/>
  <c r="AV70" i="167"/>
  <c r="AW70" i="167" s="1"/>
  <c r="AR22" i="167"/>
  <c r="AT22" i="167" s="1"/>
  <c r="AV13" i="167"/>
  <c r="AW13" i="167" s="1"/>
  <c r="AO133" i="167"/>
  <c r="AR133" i="167" s="1"/>
  <c r="AT133" i="167" s="1"/>
  <c r="CO259" i="167"/>
  <c r="CO239" i="167"/>
  <c r="V239" i="167"/>
  <c r="AO17" i="167"/>
  <c r="AE239" i="167"/>
  <c r="AO219" i="167"/>
  <c r="AR219" i="167" s="1"/>
  <c r="AT219" i="167" s="1"/>
  <c r="H225" i="167"/>
  <c r="I188" i="167"/>
  <c r="AM170" i="167"/>
  <c r="AM188" i="167" s="1"/>
  <c r="AG170" i="167"/>
  <c r="AG188" i="167" s="1"/>
  <c r="AA170" i="167"/>
  <c r="AA188" i="167" s="1"/>
  <c r="U170" i="167"/>
  <c r="U188" i="167" s="1"/>
  <c r="O170" i="167"/>
  <c r="O188" i="167" s="1"/>
  <c r="AJ170" i="167"/>
  <c r="AJ188" i="167" s="1"/>
  <c r="AD170" i="167"/>
  <c r="AD188" i="167" s="1"/>
  <c r="X170" i="167"/>
  <c r="X188" i="167" s="1"/>
  <c r="R170" i="167"/>
  <c r="R188" i="167" s="1"/>
  <c r="L170" i="167"/>
  <c r="L188" i="167" s="1"/>
  <c r="I221" i="167"/>
  <c r="AM212" i="167"/>
  <c r="AM221" i="167" s="1"/>
  <c r="AG212" i="167"/>
  <c r="AG221" i="167" s="1"/>
  <c r="AA212" i="167"/>
  <c r="AA221" i="167" s="1"/>
  <c r="U212" i="167"/>
  <c r="U221" i="167" s="1"/>
  <c r="O212" i="167"/>
  <c r="O221" i="167" s="1"/>
  <c r="AJ212" i="167"/>
  <c r="AJ221" i="167" s="1"/>
  <c r="AD212" i="167"/>
  <c r="AD221" i="167" s="1"/>
  <c r="X212" i="167"/>
  <c r="X221" i="167" s="1"/>
  <c r="R212" i="167"/>
  <c r="R221" i="167" s="1"/>
  <c r="L212" i="167"/>
  <c r="L221" i="167" s="1"/>
  <c r="O224" i="167"/>
  <c r="R224" i="167"/>
  <c r="AO204" i="167"/>
  <c r="AR204" i="167" s="1"/>
  <c r="AT204" i="167" s="1"/>
  <c r="AO206" i="167"/>
  <c r="AR206" i="167" s="1"/>
  <c r="AT206" i="167" s="1"/>
  <c r="AO179" i="167"/>
  <c r="AR179" i="167" s="1"/>
  <c r="AT179" i="167" s="1"/>
  <c r="AR177" i="167"/>
  <c r="AT177" i="167" s="1"/>
  <c r="AR164" i="167"/>
  <c r="AT164" i="167" s="1"/>
  <c r="AR154" i="167"/>
  <c r="AT154" i="167" s="1"/>
  <c r="AQ139" i="167"/>
  <c r="AR167" i="167"/>
  <c r="AT167" i="167" s="1"/>
  <c r="AO161" i="167"/>
  <c r="AR161" i="167" s="1"/>
  <c r="AT161" i="167" s="1"/>
  <c r="AQ189" i="167"/>
  <c r="AO209" i="167"/>
  <c r="AR209" i="167" s="1"/>
  <c r="AT209" i="167" s="1"/>
  <c r="AR173" i="167"/>
  <c r="AT173" i="167" s="1"/>
  <c r="AO162" i="167"/>
  <c r="AR162" i="167" s="1"/>
  <c r="AT162" i="167" s="1"/>
  <c r="AR157" i="167"/>
  <c r="AT157" i="167" s="1"/>
  <c r="AO159" i="167"/>
  <c r="AR159" i="167" s="1"/>
  <c r="AT159" i="167" s="1"/>
  <c r="AO158" i="167"/>
  <c r="AR158" i="167" s="1"/>
  <c r="AT158" i="167" s="1"/>
  <c r="L117" i="167"/>
  <c r="L135" i="167" s="1"/>
  <c r="I135" i="167"/>
  <c r="AM117" i="167"/>
  <c r="AM135" i="167" s="1"/>
  <c r="AG117" i="167"/>
  <c r="AG135" i="167" s="1"/>
  <c r="AG240" i="167" s="1"/>
  <c r="AA117" i="167"/>
  <c r="AA135" i="167" s="1"/>
  <c r="U117" i="167"/>
  <c r="U135" i="167" s="1"/>
  <c r="O117" i="167"/>
  <c r="O135" i="167" s="1"/>
  <c r="R117" i="167"/>
  <c r="R135" i="167" s="1"/>
  <c r="X117" i="167"/>
  <c r="X135" i="167" s="1"/>
  <c r="AD117" i="167"/>
  <c r="AD135" i="167" s="1"/>
  <c r="AJ117" i="167"/>
  <c r="AJ135" i="167" s="1"/>
  <c r="AR109" i="167"/>
  <c r="AT109" i="167" s="1"/>
  <c r="AO124" i="167"/>
  <c r="AR124" i="167" s="1"/>
  <c r="AT124" i="167" s="1"/>
  <c r="AR120" i="167"/>
  <c r="AT120" i="167" s="1"/>
  <c r="AO111" i="167"/>
  <c r="AR111" i="167" s="1"/>
  <c r="AT111" i="167" s="1"/>
  <c r="AR112" i="167"/>
  <c r="AT112" i="167" s="1"/>
  <c r="AR108" i="167"/>
  <c r="AT108" i="167" s="1"/>
  <c r="AR104" i="167"/>
  <c r="AT104" i="167" s="1"/>
  <c r="AJ98" i="167"/>
  <c r="AD98" i="167"/>
  <c r="X98" i="167"/>
  <c r="R98" i="167"/>
  <c r="L98" i="167"/>
  <c r="I134" i="167"/>
  <c r="I139" i="167" s="1"/>
  <c r="AM98" i="167"/>
  <c r="AG98" i="167"/>
  <c r="AA98" i="167"/>
  <c r="U98" i="167"/>
  <c r="O98" i="167"/>
  <c r="I137" i="167"/>
  <c r="CU239" i="167"/>
  <c r="CU259" i="167"/>
  <c r="CV48" i="167"/>
  <c r="AR76" i="167"/>
  <c r="AT76" i="167" s="1"/>
  <c r="AO71" i="167"/>
  <c r="AR71" i="167" s="1"/>
  <c r="AT71" i="167" s="1"/>
  <c r="CN239" i="167"/>
  <c r="CN258" i="167" s="1"/>
  <c r="CN259" i="167"/>
  <c r="AR77" i="167"/>
  <c r="AT77" i="167" s="1"/>
  <c r="CM258" i="167"/>
  <c r="AR36" i="167"/>
  <c r="AT36" i="167" s="1"/>
  <c r="AR23" i="167"/>
  <c r="AT23" i="167" s="1"/>
  <c r="P239" i="167"/>
  <c r="AO44" i="167"/>
  <c r="AR44" i="167" s="1"/>
  <c r="AT44" i="167" s="1"/>
  <c r="AO37" i="167"/>
  <c r="AR37" i="167" s="1"/>
  <c r="AT37" i="167" s="1"/>
  <c r="Q239" i="167"/>
  <c r="AR45" i="167"/>
  <c r="AT45" i="167" s="1"/>
  <c r="AO28" i="167"/>
  <c r="AR28" i="167" s="1"/>
  <c r="AT28" i="167" s="1"/>
  <c r="AO18" i="167"/>
  <c r="Y239" i="167"/>
  <c r="AO32" i="167"/>
  <c r="AR32" i="167" s="1"/>
  <c r="AT32" i="167" s="1"/>
  <c r="AM49" i="167"/>
  <c r="X49" i="167"/>
  <c r="O49" i="167"/>
  <c r="O240" i="167" s="1"/>
  <c r="AR14" i="167"/>
  <c r="AT14" i="167" s="1"/>
  <c r="AO15" i="167"/>
  <c r="AR15" i="167" s="1"/>
  <c r="AT15" i="167" s="1"/>
  <c r="I220" i="167"/>
  <c r="I223" i="167"/>
  <c r="AJ203" i="167"/>
  <c r="AD203" i="167"/>
  <c r="X203" i="167"/>
  <c r="R203" i="167"/>
  <c r="L203" i="167"/>
  <c r="AM203" i="167"/>
  <c r="AG203" i="167"/>
  <c r="AA203" i="167"/>
  <c r="U203" i="167"/>
  <c r="O203" i="167"/>
  <c r="I185" i="167"/>
  <c r="O172" i="167"/>
  <c r="O185" i="167" s="1"/>
  <c r="AJ172" i="167"/>
  <c r="AJ185" i="167" s="1"/>
  <c r="AD172" i="167"/>
  <c r="AD185" i="167" s="1"/>
  <c r="X172" i="167"/>
  <c r="X185" i="167" s="1"/>
  <c r="R172" i="167"/>
  <c r="R185" i="167" s="1"/>
  <c r="L172" i="167"/>
  <c r="L185" i="167" s="1"/>
  <c r="AG172" i="167"/>
  <c r="AG185" i="167" s="1"/>
  <c r="AM172" i="167"/>
  <c r="AM185" i="167" s="1"/>
  <c r="U172" i="167"/>
  <c r="U185" i="167" s="1"/>
  <c r="AA172" i="167"/>
  <c r="AA185" i="167" s="1"/>
  <c r="I138" i="167"/>
  <c r="AJ99" i="167"/>
  <c r="AJ138" i="167" s="1"/>
  <c r="AD99" i="167"/>
  <c r="AD138" i="167" s="1"/>
  <c r="X99" i="167"/>
  <c r="X138" i="167" s="1"/>
  <c r="R99" i="167"/>
  <c r="R138" i="167" s="1"/>
  <c r="L99" i="167"/>
  <c r="L138" i="167" s="1"/>
  <c r="AM99" i="167"/>
  <c r="AM138" i="167" s="1"/>
  <c r="AG99" i="167"/>
  <c r="AG138" i="167" s="1"/>
  <c r="AA99" i="167"/>
  <c r="AA138" i="167" s="1"/>
  <c r="U99" i="167"/>
  <c r="U138" i="167" s="1"/>
  <c r="O99" i="167"/>
  <c r="O138" i="167" s="1"/>
  <c r="H82" i="167"/>
  <c r="H79" i="167"/>
  <c r="H84" i="167" s="1"/>
  <c r="I67" i="167"/>
  <c r="I52" i="167"/>
  <c r="I243" i="167" s="1"/>
  <c r="AM34" i="167"/>
  <c r="AM52" i="167" s="1"/>
  <c r="AG34" i="167"/>
  <c r="AG52" i="167" s="1"/>
  <c r="AA34" i="167"/>
  <c r="AA52" i="167" s="1"/>
  <c r="U34" i="167"/>
  <c r="U52" i="167" s="1"/>
  <c r="U243" i="167" s="1"/>
  <c r="O34" i="167"/>
  <c r="O52" i="167" s="1"/>
  <c r="AJ34" i="167"/>
  <c r="AJ52" i="167" s="1"/>
  <c r="AD34" i="167"/>
  <c r="AD52" i="167" s="1"/>
  <c r="AD243" i="167" s="1"/>
  <c r="X34" i="167"/>
  <c r="X52" i="167" s="1"/>
  <c r="R34" i="167"/>
  <c r="R52" i="167" s="1"/>
  <c r="L34" i="167"/>
  <c r="L52" i="167" s="1"/>
  <c r="I222" i="167"/>
  <c r="O210" i="167"/>
  <c r="O222" i="167" s="1"/>
  <c r="AJ210" i="167"/>
  <c r="AJ222" i="167" s="1"/>
  <c r="AD210" i="167"/>
  <c r="AD222" i="167" s="1"/>
  <c r="X210" i="167"/>
  <c r="X222" i="167" s="1"/>
  <c r="R210" i="167"/>
  <c r="R222" i="167" s="1"/>
  <c r="L210" i="167"/>
  <c r="L222" i="167" s="1"/>
  <c r="AA210" i="167"/>
  <c r="AA222" i="167" s="1"/>
  <c r="AG210" i="167"/>
  <c r="AG222" i="167" s="1"/>
  <c r="AM210" i="167"/>
  <c r="AM222" i="167" s="1"/>
  <c r="U210" i="167"/>
  <c r="U222" i="167" s="1"/>
  <c r="AM224" i="167"/>
  <c r="X224" i="167"/>
  <c r="AO217" i="167"/>
  <c r="AR217" i="167" s="1"/>
  <c r="AT217" i="167" s="1"/>
  <c r="AO176" i="167"/>
  <c r="AR176" i="167" s="1"/>
  <c r="AT176" i="167" s="1"/>
  <c r="AO102" i="167"/>
  <c r="AR102" i="167" s="1"/>
  <c r="AT102" i="167" s="1"/>
  <c r="H139" i="167"/>
  <c r="L73" i="167"/>
  <c r="L81" i="167" s="1"/>
  <c r="AM73" i="167"/>
  <c r="AM81" i="167" s="1"/>
  <c r="AG73" i="167"/>
  <c r="AG81" i="167" s="1"/>
  <c r="AA73" i="167"/>
  <c r="AA81" i="167" s="1"/>
  <c r="U73" i="167"/>
  <c r="U81" i="167" s="1"/>
  <c r="O73" i="167"/>
  <c r="O81" i="167" s="1"/>
  <c r="I81" i="167"/>
  <c r="AJ73" i="167"/>
  <c r="AJ81" i="167" s="1"/>
  <c r="AD73" i="167"/>
  <c r="AD81" i="167" s="1"/>
  <c r="X73" i="167"/>
  <c r="X81" i="167" s="1"/>
  <c r="R73" i="167"/>
  <c r="R81" i="167" s="1"/>
  <c r="CT258" i="167"/>
  <c r="L26" i="167"/>
  <c r="L50" i="167" s="1"/>
  <c r="L241" i="167" s="1"/>
  <c r="I50" i="167"/>
  <c r="AM26" i="167"/>
  <c r="AM50" i="167" s="1"/>
  <c r="AG26" i="167"/>
  <c r="AG50" i="167" s="1"/>
  <c r="AA26" i="167"/>
  <c r="AA50" i="167" s="1"/>
  <c r="AA241" i="167" s="1"/>
  <c r="U26" i="167"/>
  <c r="U50" i="167" s="1"/>
  <c r="O26" i="167"/>
  <c r="O50" i="167" s="1"/>
  <c r="AJ26" i="167"/>
  <c r="AJ50" i="167" s="1"/>
  <c r="AJ241" i="167" s="1"/>
  <c r="AD26" i="167"/>
  <c r="AD50" i="167" s="1"/>
  <c r="X26" i="167"/>
  <c r="X50" i="167" s="1"/>
  <c r="R26" i="167"/>
  <c r="R50" i="167" s="1"/>
  <c r="AR68" i="167"/>
  <c r="AT68" i="167" s="1"/>
  <c r="BW239" i="167"/>
  <c r="AH239" i="167"/>
  <c r="J239" i="167"/>
  <c r="AO25" i="167"/>
  <c r="AR25" i="167" s="1"/>
  <c r="AT25" i="167" s="1"/>
  <c r="BO239" i="167"/>
  <c r="S239" i="167"/>
  <c r="U49" i="167"/>
  <c r="L49" i="167"/>
  <c r="L240" i="167" s="1"/>
  <c r="AD49" i="167"/>
  <c r="AD240" i="167" s="1"/>
  <c r="AO19" i="167"/>
  <c r="AR19" i="167" s="1"/>
  <c r="AT19" i="167" s="1"/>
  <c r="AR18" i="167"/>
  <c r="AT18" i="167" s="1"/>
  <c r="H51" i="167"/>
  <c r="H48" i="167"/>
  <c r="I12" i="167"/>
  <c r="R240" i="167"/>
  <c r="I240" i="167"/>
  <c r="AR218" i="167"/>
  <c r="AT218" i="167" s="1"/>
  <c r="AR214" i="167"/>
  <c r="AT214" i="167" s="1"/>
  <c r="AG224" i="167"/>
  <c r="AA224" i="167"/>
  <c r="AO211" i="167"/>
  <c r="AO224" i="167" s="1"/>
  <c r="AD224" i="167"/>
  <c r="AO181" i="167"/>
  <c r="AR181" i="167" s="1"/>
  <c r="AT181" i="167" s="1"/>
  <c r="I186" i="167"/>
  <c r="L168" i="167"/>
  <c r="L186" i="167" s="1"/>
  <c r="AM168" i="167"/>
  <c r="AM186" i="167" s="1"/>
  <c r="AG168" i="167"/>
  <c r="AG186" i="167" s="1"/>
  <c r="AA168" i="167"/>
  <c r="AA186" i="167" s="1"/>
  <c r="U168" i="167"/>
  <c r="U186" i="167" s="1"/>
  <c r="O168" i="167"/>
  <c r="O186" i="167" s="1"/>
  <c r="R168" i="167"/>
  <c r="R186" i="167" s="1"/>
  <c r="X168" i="167"/>
  <c r="X186" i="167" s="1"/>
  <c r="AD168" i="167"/>
  <c r="AD186" i="167" s="1"/>
  <c r="AJ168" i="167"/>
  <c r="AJ186" i="167" s="1"/>
  <c r="AO166" i="167"/>
  <c r="AR166" i="167" s="1"/>
  <c r="AT166" i="167" s="1"/>
  <c r="O113" i="167"/>
  <c r="O136" i="167" s="1"/>
  <c r="AJ113" i="167"/>
  <c r="AJ136" i="167" s="1"/>
  <c r="AD113" i="167"/>
  <c r="AD136" i="167" s="1"/>
  <c r="X113" i="167"/>
  <c r="X136" i="167" s="1"/>
  <c r="R113" i="167"/>
  <c r="R136" i="167" s="1"/>
  <c r="I136" i="167"/>
  <c r="L113" i="167"/>
  <c r="L136" i="167" s="1"/>
  <c r="U113" i="167"/>
  <c r="U136" i="167" s="1"/>
  <c r="AA113" i="167"/>
  <c r="AA136" i="167" s="1"/>
  <c r="AG113" i="167"/>
  <c r="AG136" i="167" s="1"/>
  <c r="AM113" i="167"/>
  <c r="AM136" i="167" s="1"/>
  <c r="H187" i="167"/>
  <c r="H184" i="167"/>
  <c r="I153" i="167"/>
  <c r="AO126" i="167"/>
  <c r="AR126" i="167" s="1"/>
  <c r="AT126" i="167" s="1"/>
  <c r="AO122" i="167"/>
  <c r="AR122" i="167" s="1"/>
  <c r="AT122" i="167" s="1"/>
  <c r="AO74" i="167"/>
  <c r="AO80" i="167" s="1"/>
  <c r="BU239" i="167"/>
  <c r="AB239" i="167"/>
  <c r="H243" i="167"/>
  <c r="AK239" i="167"/>
  <c r="M239" i="167"/>
  <c r="AA49" i="167"/>
  <c r="AA240" i="167" s="1"/>
  <c r="AO31" i="167"/>
  <c r="AO49" i="167" s="1"/>
  <c r="AJ49" i="167"/>
  <c r="AQ239" i="167"/>
  <c r="AQ244" i="167" s="1"/>
  <c r="AQ53" i="167"/>
  <c r="AO21" i="167"/>
  <c r="AR21" i="167" s="1"/>
  <c r="AT21" i="167" s="1"/>
  <c r="AO22" i="166"/>
  <c r="AO163" i="166"/>
  <c r="AO209" i="166"/>
  <c r="AR214" i="166"/>
  <c r="AT214" i="166" s="1"/>
  <c r="AR213" i="166"/>
  <c r="AT213" i="166" s="1"/>
  <c r="AO174" i="166"/>
  <c r="AO164" i="166"/>
  <c r="AR164" i="166"/>
  <c r="AT164" i="166" s="1"/>
  <c r="P239" i="166"/>
  <c r="AO118" i="166"/>
  <c r="AR118" i="166" s="1"/>
  <c r="AT118" i="166" s="1"/>
  <c r="AV118" i="166" s="1"/>
  <c r="AW118" i="166" s="1"/>
  <c r="AO117" i="166"/>
  <c r="AR117" i="166" s="1"/>
  <c r="AR108" i="166"/>
  <c r="AT108" i="166" s="1"/>
  <c r="AV108" i="166" s="1"/>
  <c r="AW108" i="166" s="1"/>
  <c r="AR18" i="166"/>
  <c r="AT18" i="166" s="1"/>
  <c r="AV18" i="166" s="1"/>
  <c r="AW18" i="166" s="1"/>
  <c r="AO106" i="166"/>
  <c r="AR106" i="166" s="1"/>
  <c r="AT106" i="166" s="1"/>
  <c r="AO104" i="166"/>
  <c r="AR104" i="166" s="1"/>
  <c r="AT104" i="166" s="1"/>
  <c r="AO73" i="166"/>
  <c r="AR73" i="166" s="1"/>
  <c r="AO43" i="166"/>
  <c r="AR43" i="166" s="1"/>
  <c r="AT43" i="166" s="1"/>
  <c r="AV43" i="166" s="1"/>
  <c r="AO75" i="166"/>
  <c r="AR75" i="166" s="1"/>
  <c r="AT75" i="166" s="1"/>
  <c r="AO69" i="166"/>
  <c r="AO20" i="166"/>
  <c r="AR20" i="166" s="1"/>
  <c r="AT20" i="166" s="1"/>
  <c r="AO29" i="166"/>
  <c r="AR29" i="166" s="1"/>
  <c r="AT29" i="166" s="1"/>
  <c r="AV29" i="166" s="1"/>
  <c r="AW29" i="166" s="1"/>
  <c r="AO32" i="166"/>
  <c r="AR32" i="166" s="1"/>
  <c r="AT32" i="166" s="1"/>
  <c r="AO33" i="166"/>
  <c r="AR33" i="166" s="1"/>
  <c r="AT33" i="166" s="1"/>
  <c r="AO17" i="166"/>
  <c r="AR204" i="166"/>
  <c r="AT204" i="166" s="1"/>
  <c r="AV216" i="166"/>
  <c r="AW216" i="166" s="1"/>
  <c r="AV215" i="166"/>
  <c r="AW215" i="166" s="1"/>
  <c r="AV205" i="166"/>
  <c r="AU205" i="166"/>
  <c r="AW205" i="166" s="1"/>
  <c r="AV165" i="166"/>
  <c r="AW165" i="166" s="1"/>
  <c r="AR102" i="166"/>
  <c r="AT102" i="166" s="1"/>
  <c r="AR47" i="166"/>
  <c r="AT47" i="166" s="1"/>
  <c r="AR19" i="166"/>
  <c r="AT19" i="166" s="1"/>
  <c r="AV24" i="166"/>
  <c r="AW24" i="166" s="1"/>
  <c r="AR36" i="166"/>
  <c r="AT36" i="166" s="1"/>
  <c r="AV177" i="166"/>
  <c r="AW177" i="166" s="1"/>
  <c r="AV181" i="166"/>
  <c r="AW181" i="166" s="1"/>
  <c r="AU181" i="166"/>
  <c r="AV164" i="166"/>
  <c r="AW164" i="166" s="1"/>
  <c r="AV154" i="166"/>
  <c r="AW154" i="166" s="1"/>
  <c r="AV160" i="166"/>
  <c r="AW160" i="166" s="1"/>
  <c r="AR105" i="166"/>
  <c r="AT105" i="166" s="1"/>
  <c r="AU130" i="166"/>
  <c r="AV130" i="166"/>
  <c r="AR27" i="166"/>
  <c r="AT27" i="166" s="1"/>
  <c r="AV41" i="166"/>
  <c r="AW41" i="166" s="1"/>
  <c r="AV214" i="166"/>
  <c r="AW214" i="166" s="1"/>
  <c r="AV213" i="166"/>
  <c r="AW213" i="166" s="1"/>
  <c r="AR206" i="166"/>
  <c r="AT206" i="166" s="1"/>
  <c r="AV182" i="166"/>
  <c r="AW182" i="166"/>
  <c r="AV157" i="166"/>
  <c r="AW157" i="166" s="1"/>
  <c r="AR159" i="166"/>
  <c r="AT159" i="166" s="1"/>
  <c r="AR126" i="166"/>
  <c r="AT126" i="166" s="1"/>
  <c r="AV121" i="166"/>
  <c r="AU121" i="166"/>
  <c r="AR45" i="166"/>
  <c r="AT45" i="166" s="1"/>
  <c r="AR35" i="166"/>
  <c r="AT35" i="166" s="1"/>
  <c r="AR22" i="166"/>
  <c r="AT22" i="166" s="1"/>
  <c r="AR23" i="166"/>
  <c r="AT23" i="166" s="1"/>
  <c r="AO219" i="166"/>
  <c r="AR219" i="166" s="1"/>
  <c r="AT219" i="166" s="1"/>
  <c r="AR209" i="166"/>
  <c r="AT209" i="166" s="1"/>
  <c r="AR176" i="166"/>
  <c r="AT176" i="166" s="1"/>
  <c r="AO167" i="166"/>
  <c r="AR167" i="166" s="1"/>
  <c r="AT167" i="166" s="1"/>
  <c r="AR174" i="166"/>
  <c r="AT174" i="166" s="1"/>
  <c r="AO173" i="166"/>
  <c r="AR173" i="166" s="1"/>
  <c r="AT173" i="166" s="1"/>
  <c r="AQ225" i="166"/>
  <c r="AO178" i="166"/>
  <c r="AR178" i="166" s="1"/>
  <c r="AT178" i="166" s="1"/>
  <c r="AR161" i="166"/>
  <c r="AT161" i="166" s="1"/>
  <c r="AR169" i="166"/>
  <c r="AT169" i="166" s="1"/>
  <c r="AO155" i="166"/>
  <c r="AR155" i="166" s="1"/>
  <c r="AT155" i="166" s="1"/>
  <c r="AO132" i="166"/>
  <c r="AR132" i="166" s="1"/>
  <c r="AT132" i="166" s="1"/>
  <c r="AO124" i="166"/>
  <c r="AR124" i="166" s="1"/>
  <c r="AT124" i="166" s="1"/>
  <c r="AO116" i="166"/>
  <c r="AR116" i="166" s="1"/>
  <c r="AT116" i="166" s="1"/>
  <c r="AO112" i="166"/>
  <c r="AR112" i="166" s="1"/>
  <c r="AT112" i="166" s="1"/>
  <c r="AR111" i="166"/>
  <c r="AT111" i="166" s="1"/>
  <c r="AO133" i="166"/>
  <c r="AR133" i="166" s="1"/>
  <c r="AT133" i="166" s="1"/>
  <c r="L136" i="166"/>
  <c r="AJ136" i="166"/>
  <c r="AO119" i="166"/>
  <c r="AR119" i="166" s="1"/>
  <c r="AT119" i="166" s="1"/>
  <c r="AR103" i="166"/>
  <c r="AT103" i="166" s="1"/>
  <c r="AJ99" i="166"/>
  <c r="AJ138" i="166" s="1"/>
  <c r="AD99" i="166"/>
  <c r="AD138" i="166" s="1"/>
  <c r="X99" i="166"/>
  <c r="X138" i="166" s="1"/>
  <c r="R99" i="166"/>
  <c r="R138" i="166" s="1"/>
  <c r="L99" i="166"/>
  <c r="L138" i="166" s="1"/>
  <c r="AG99" i="166"/>
  <c r="AG138" i="166" s="1"/>
  <c r="I138" i="166"/>
  <c r="AM99" i="166"/>
  <c r="AM138" i="166" s="1"/>
  <c r="O99" i="166"/>
  <c r="O138" i="166" s="1"/>
  <c r="U99" i="166"/>
  <c r="U138" i="166" s="1"/>
  <c r="AA99" i="166"/>
  <c r="AA138" i="166" s="1"/>
  <c r="AO78" i="166"/>
  <c r="AR78" i="166" s="1"/>
  <c r="AT78" i="166" s="1"/>
  <c r="AR76" i="166"/>
  <c r="AT76" i="166" s="1"/>
  <c r="AO71" i="166"/>
  <c r="AR71" i="166" s="1"/>
  <c r="AT71" i="166" s="1"/>
  <c r="AR69" i="166"/>
  <c r="AT69" i="166" s="1"/>
  <c r="AO128" i="166"/>
  <c r="AR128" i="166" s="1"/>
  <c r="AT128" i="166" s="1"/>
  <c r="AR77" i="166"/>
  <c r="AT77" i="166" s="1"/>
  <c r="AR70" i="166"/>
  <c r="AT70" i="166" s="1"/>
  <c r="I84" i="166"/>
  <c r="CO258" i="166"/>
  <c r="AO156" i="166"/>
  <c r="AR156" i="166" s="1"/>
  <c r="AT156" i="166" s="1"/>
  <c r="AO123" i="166"/>
  <c r="AR123" i="166" s="1"/>
  <c r="AT123" i="166" s="1"/>
  <c r="H84" i="166"/>
  <c r="AA81" i="166"/>
  <c r="AD81" i="166"/>
  <c r="AO44" i="166"/>
  <c r="AR44" i="166" s="1"/>
  <c r="AT44" i="166" s="1"/>
  <c r="AO37" i="166"/>
  <c r="AR37" i="166" s="1"/>
  <c r="AT37" i="166" s="1"/>
  <c r="AO72" i="166"/>
  <c r="AR72" i="166" s="1"/>
  <c r="AT72" i="166" s="1"/>
  <c r="I52" i="166"/>
  <c r="AM34" i="166"/>
  <c r="AM52" i="166" s="1"/>
  <c r="AG34" i="166"/>
  <c r="AG52" i="166" s="1"/>
  <c r="AA34" i="166"/>
  <c r="AA52" i="166" s="1"/>
  <c r="U34" i="166"/>
  <c r="U52" i="166" s="1"/>
  <c r="O34" i="166"/>
  <c r="O52" i="166" s="1"/>
  <c r="AD34" i="166"/>
  <c r="AD52" i="166" s="1"/>
  <c r="AJ34" i="166"/>
  <c r="AJ52" i="166" s="1"/>
  <c r="L34" i="166"/>
  <c r="L52" i="166" s="1"/>
  <c r="R34" i="166"/>
  <c r="R52" i="166" s="1"/>
  <c r="X34" i="166"/>
  <c r="X52" i="166" s="1"/>
  <c r="AR14" i="166"/>
  <c r="AT14" i="166" s="1"/>
  <c r="AO15" i="166"/>
  <c r="AR16" i="166"/>
  <c r="AT16" i="166" s="1"/>
  <c r="AR212" i="166"/>
  <c r="I223" i="166"/>
  <c r="AM203" i="166"/>
  <c r="AG203" i="166"/>
  <c r="AA203" i="166"/>
  <c r="U203" i="166"/>
  <c r="O203" i="166"/>
  <c r="AJ203" i="166"/>
  <c r="L203" i="166"/>
  <c r="R203" i="166"/>
  <c r="I220" i="166"/>
  <c r="X203" i="166"/>
  <c r="AD203" i="166"/>
  <c r="AR207" i="166"/>
  <c r="AT207" i="166" s="1"/>
  <c r="AO162" i="166"/>
  <c r="AR162" i="166" s="1"/>
  <c r="AT162" i="166" s="1"/>
  <c r="AO127" i="166"/>
  <c r="AR127" i="166" s="1"/>
  <c r="AT127" i="166" s="1"/>
  <c r="AQ189" i="166"/>
  <c r="AO129" i="166"/>
  <c r="AR129" i="166" s="1"/>
  <c r="AT129" i="166" s="1"/>
  <c r="I134" i="166"/>
  <c r="I137" i="166"/>
  <c r="AM98" i="166"/>
  <c r="AG98" i="166"/>
  <c r="AA98" i="166"/>
  <c r="U98" i="166"/>
  <c r="O98" i="166"/>
  <c r="AJ98" i="166"/>
  <c r="AD98" i="166"/>
  <c r="X98" i="166"/>
  <c r="R98" i="166"/>
  <c r="L98" i="166"/>
  <c r="R136" i="166"/>
  <c r="L135" i="166"/>
  <c r="AO46" i="166"/>
  <c r="AR46" i="166"/>
  <c r="AT46" i="166" s="1"/>
  <c r="AO74" i="166"/>
  <c r="AO80" i="166" s="1"/>
  <c r="AG81" i="166"/>
  <c r="L81" i="166"/>
  <c r="AJ81" i="166"/>
  <c r="BN239" i="166"/>
  <c r="AR38" i="166"/>
  <c r="AT38" i="166" s="1"/>
  <c r="AR42" i="166"/>
  <c r="AT42" i="166" s="1"/>
  <c r="BW239" i="166"/>
  <c r="AO40" i="166"/>
  <c r="AR40" i="166" s="1"/>
  <c r="AT40" i="166" s="1"/>
  <c r="AO28" i="166"/>
  <c r="AR28" i="166" s="1"/>
  <c r="AT28" i="166" s="1"/>
  <c r="AR25" i="166"/>
  <c r="AT25" i="166" s="1"/>
  <c r="AR21" i="166"/>
  <c r="AT21" i="166" s="1"/>
  <c r="AR17" i="166"/>
  <c r="AT17" i="166" s="1"/>
  <c r="AO217" i="166"/>
  <c r="AR217" i="166" s="1"/>
  <c r="AT217" i="166" s="1"/>
  <c r="AO218" i="166"/>
  <c r="AR218" i="166" s="1"/>
  <c r="AT218" i="166" s="1"/>
  <c r="AR180" i="166"/>
  <c r="AT180" i="166" s="1"/>
  <c r="AR163" i="166"/>
  <c r="AT163" i="166" s="1"/>
  <c r="AR175" i="166"/>
  <c r="AT175" i="166" s="1"/>
  <c r="AO166" i="166"/>
  <c r="AR166" i="166" s="1"/>
  <c r="AT166" i="166" s="1"/>
  <c r="I224" i="166"/>
  <c r="AM211" i="166"/>
  <c r="AM224" i="166" s="1"/>
  <c r="AG211" i="166"/>
  <c r="AG224" i="166" s="1"/>
  <c r="AA211" i="166"/>
  <c r="AA224" i="166" s="1"/>
  <c r="U211" i="166"/>
  <c r="U224" i="166" s="1"/>
  <c r="O211" i="166"/>
  <c r="O224" i="166" s="1"/>
  <c r="R211" i="166"/>
  <c r="R224" i="166" s="1"/>
  <c r="X211" i="166"/>
  <c r="X224" i="166" s="1"/>
  <c r="L211" i="166"/>
  <c r="L224" i="166" s="1"/>
  <c r="AJ211" i="166"/>
  <c r="AJ224" i="166" s="1"/>
  <c r="AD211" i="166"/>
  <c r="AD224" i="166" s="1"/>
  <c r="AM172" i="166"/>
  <c r="AM185" i="166" s="1"/>
  <c r="AG172" i="166"/>
  <c r="AG185" i="166" s="1"/>
  <c r="AA172" i="166"/>
  <c r="AA185" i="166" s="1"/>
  <c r="U172" i="166"/>
  <c r="U185" i="166" s="1"/>
  <c r="O172" i="166"/>
  <c r="O185" i="166" s="1"/>
  <c r="AJ172" i="166"/>
  <c r="AJ185" i="166" s="1"/>
  <c r="L172" i="166"/>
  <c r="L185" i="166" s="1"/>
  <c r="I185" i="166"/>
  <c r="AD172" i="166"/>
  <c r="AD185" i="166" s="1"/>
  <c r="R172" i="166"/>
  <c r="R185" i="166" s="1"/>
  <c r="X172" i="166"/>
  <c r="X185" i="166" s="1"/>
  <c r="AO158" i="166"/>
  <c r="AR158" i="166" s="1"/>
  <c r="AT158" i="166" s="1"/>
  <c r="AO122" i="166"/>
  <c r="AR122" i="166" s="1"/>
  <c r="AT122" i="166" s="1"/>
  <c r="H187" i="166"/>
  <c r="H184" i="166"/>
  <c r="I153" i="166"/>
  <c r="AG136" i="166"/>
  <c r="X136" i="166"/>
  <c r="AR74" i="166"/>
  <c r="O81" i="166"/>
  <c r="AM81" i="166"/>
  <c r="R81" i="166"/>
  <c r="AO39" i="166"/>
  <c r="AR39" i="166" s="1"/>
  <c r="AT39" i="166" s="1"/>
  <c r="I49" i="166"/>
  <c r="I240" i="166" s="1"/>
  <c r="AM31" i="166"/>
  <c r="AM49" i="166" s="1"/>
  <c r="AM240" i="166" s="1"/>
  <c r="AG31" i="166"/>
  <c r="AG49" i="166" s="1"/>
  <c r="AA31" i="166"/>
  <c r="AA49" i="166" s="1"/>
  <c r="AA240" i="166" s="1"/>
  <c r="U31" i="166"/>
  <c r="U49" i="166" s="1"/>
  <c r="U240" i="166" s="1"/>
  <c r="O31" i="166"/>
  <c r="O49" i="166" s="1"/>
  <c r="O240" i="166" s="1"/>
  <c r="AJ31" i="166"/>
  <c r="AJ49" i="166" s="1"/>
  <c r="AJ240" i="166" s="1"/>
  <c r="AD31" i="166"/>
  <c r="AD49" i="166" s="1"/>
  <c r="AD240" i="166" s="1"/>
  <c r="X31" i="166"/>
  <c r="X49" i="166" s="1"/>
  <c r="R31" i="166"/>
  <c r="R49" i="166" s="1"/>
  <c r="L31" i="166"/>
  <c r="L49" i="166" s="1"/>
  <c r="L240" i="166" s="1"/>
  <c r="AQ242" i="166"/>
  <c r="AR30" i="166"/>
  <c r="AT30" i="166" s="1"/>
  <c r="BU239" i="166"/>
  <c r="H241" i="166"/>
  <c r="H51" i="166"/>
  <c r="H242" i="166" s="1"/>
  <c r="H48" i="166"/>
  <c r="I12" i="166"/>
  <c r="AR13" i="166"/>
  <c r="AT13" i="166" s="1"/>
  <c r="AO208" i="166"/>
  <c r="AR208" i="166" s="1"/>
  <c r="AT208" i="166" s="1"/>
  <c r="AR183" i="166"/>
  <c r="AT183" i="166" s="1"/>
  <c r="I222" i="166"/>
  <c r="AM210" i="166"/>
  <c r="AM222" i="166" s="1"/>
  <c r="AG210" i="166"/>
  <c r="AG222" i="166" s="1"/>
  <c r="AA210" i="166"/>
  <c r="AA222" i="166" s="1"/>
  <c r="U210" i="166"/>
  <c r="U222" i="166" s="1"/>
  <c r="O210" i="166"/>
  <c r="O222" i="166" s="1"/>
  <c r="X210" i="166"/>
  <c r="X222" i="166" s="1"/>
  <c r="AD210" i="166"/>
  <c r="AD222" i="166" s="1"/>
  <c r="L210" i="166"/>
  <c r="L222" i="166" s="1"/>
  <c r="R210" i="166"/>
  <c r="R222" i="166" s="1"/>
  <c r="AJ210" i="166"/>
  <c r="AJ222" i="166" s="1"/>
  <c r="AJ168" i="166"/>
  <c r="AJ186" i="166" s="1"/>
  <c r="AD168" i="166"/>
  <c r="AD186" i="166" s="1"/>
  <c r="X168" i="166"/>
  <c r="X186" i="166" s="1"/>
  <c r="R168" i="166"/>
  <c r="R186" i="166" s="1"/>
  <c r="L168" i="166"/>
  <c r="L186" i="166" s="1"/>
  <c r="I186" i="166"/>
  <c r="AG168" i="166"/>
  <c r="AG186" i="166" s="1"/>
  <c r="O168" i="166"/>
  <c r="O186" i="166" s="1"/>
  <c r="AM168" i="166"/>
  <c r="AM186" i="166" s="1"/>
  <c r="U168" i="166"/>
  <c r="U186" i="166" s="1"/>
  <c r="AA168" i="166"/>
  <c r="AA186" i="166" s="1"/>
  <c r="AR179" i="166"/>
  <c r="AT179" i="166" s="1"/>
  <c r="AO171" i="166"/>
  <c r="AR171" i="166" s="1"/>
  <c r="AT171" i="166" s="1"/>
  <c r="AM170" i="166"/>
  <c r="AM188" i="166" s="1"/>
  <c r="AG170" i="166"/>
  <c r="AG188" i="166" s="1"/>
  <c r="AA170" i="166"/>
  <c r="AA188" i="166" s="1"/>
  <c r="U170" i="166"/>
  <c r="U188" i="166" s="1"/>
  <c r="O170" i="166"/>
  <c r="O188" i="166" s="1"/>
  <c r="I188" i="166"/>
  <c r="AD170" i="166"/>
  <c r="AD188" i="166" s="1"/>
  <c r="L170" i="166"/>
  <c r="L188" i="166" s="1"/>
  <c r="AJ170" i="166"/>
  <c r="AJ188" i="166" s="1"/>
  <c r="R170" i="166"/>
  <c r="R188" i="166" s="1"/>
  <c r="X170" i="166"/>
  <c r="X188" i="166" s="1"/>
  <c r="AO101" i="166"/>
  <c r="AR101" i="166" s="1"/>
  <c r="AT101" i="166" s="1"/>
  <c r="AA136" i="166"/>
  <c r="AO113" i="166"/>
  <c r="AD136" i="166"/>
  <c r="H139" i="166"/>
  <c r="AG135" i="166"/>
  <c r="X135" i="166"/>
  <c r="O136" i="166"/>
  <c r="AQ139" i="166"/>
  <c r="CV239" i="166"/>
  <c r="CV259" i="166"/>
  <c r="CN258" i="166"/>
  <c r="AO67" i="166"/>
  <c r="AR67" i="166" s="1"/>
  <c r="O79" i="166"/>
  <c r="AJ68" i="166"/>
  <c r="AJ82" i="166" s="1"/>
  <c r="AD68" i="166"/>
  <c r="AD79" i="166" s="1"/>
  <c r="X68" i="166"/>
  <c r="X82" i="166" s="1"/>
  <c r="R68" i="166"/>
  <c r="R82" i="166" s="1"/>
  <c r="L68" i="166"/>
  <c r="L79" i="166" s="1"/>
  <c r="U68" i="166"/>
  <c r="U82" i="166" s="1"/>
  <c r="AA68" i="166"/>
  <c r="AA82" i="166" s="1"/>
  <c r="AG68" i="166"/>
  <c r="AG79" i="166" s="1"/>
  <c r="AM68" i="166"/>
  <c r="AM82" i="166" s="1"/>
  <c r="O68" i="166"/>
  <c r="O82" i="166" s="1"/>
  <c r="U81" i="166"/>
  <c r="X81" i="166"/>
  <c r="AQ239" i="166"/>
  <c r="AQ244" i="166" s="1"/>
  <c r="AQ53" i="166"/>
  <c r="H243" i="166"/>
  <c r="I50" i="166"/>
  <c r="I241" i="166" s="1"/>
  <c r="AM26" i="166"/>
  <c r="AM50" i="166" s="1"/>
  <c r="AM241" i="166" s="1"/>
  <c r="AG26" i="166"/>
  <c r="AG50" i="166" s="1"/>
  <c r="AG241" i="166" s="1"/>
  <c r="AA26" i="166"/>
  <c r="AA50" i="166" s="1"/>
  <c r="AA241" i="166" s="1"/>
  <c r="U26" i="166"/>
  <c r="U50" i="166" s="1"/>
  <c r="U241" i="166" s="1"/>
  <c r="O26" i="166"/>
  <c r="O50" i="166" s="1"/>
  <c r="O241" i="166" s="1"/>
  <c r="AD26" i="166"/>
  <c r="AD50" i="166" s="1"/>
  <c r="AD241" i="166" s="1"/>
  <c r="AJ26" i="166"/>
  <c r="AJ50" i="166" s="1"/>
  <c r="AJ241" i="166" s="1"/>
  <c r="L26" i="166"/>
  <c r="L50" i="166" s="1"/>
  <c r="L241" i="166" s="1"/>
  <c r="R26" i="166"/>
  <c r="R50" i="166" s="1"/>
  <c r="X26" i="166"/>
  <c r="X50" i="166" s="1"/>
  <c r="X241" i="166" s="1"/>
  <c r="AO244" i="165"/>
  <c r="AD244" i="165"/>
  <c r="O244" i="165"/>
  <c r="H244" i="165"/>
  <c r="AT225" i="165"/>
  <c r="AQ225" i="165"/>
  <c r="AM225" i="165"/>
  <c r="AM244" i="165" s="1"/>
  <c r="X244" i="165"/>
  <c r="X225" i="165"/>
  <c r="R225" i="165"/>
  <c r="R244" i="165" s="1"/>
  <c r="L225" i="165"/>
  <c r="L244" i="165" s="1"/>
  <c r="C225" i="165"/>
  <c r="X216" i="165"/>
  <c r="EQ239" i="165"/>
  <c r="EP239" i="165" s="1"/>
  <c r="AA204" i="165"/>
  <c r="AD183" i="165"/>
  <c r="X124" i="165"/>
  <c r="AD155" i="165"/>
  <c r="AD206" i="165"/>
  <c r="X39" i="165"/>
  <c r="AJ207" i="165"/>
  <c r="AD44" i="165"/>
  <c r="AD77" i="165"/>
  <c r="AD125" i="165"/>
  <c r="L44" i="165"/>
  <c r="AJ44" i="165"/>
  <c r="AA122" i="165"/>
  <c r="AA209" i="165"/>
  <c r="X30" i="165"/>
  <c r="AN239" i="165"/>
  <c r="AJ103" i="165"/>
  <c r="R34" i="165"/>
  <c r="D239" i="165"/>
  <c r="N239" i="165"/>
  <c r="Z239" i="165"/>
  <c r="AL239" i="165"/>
  <c r="BC239" i="165"/>
  <c r="AD103" i="165"/>
  <c r="AJ158" i="165"/>
  <c r="AD158" i="165"/>
  <c r="AD166" i="165"/>
  <c r="O169" i="165"/>
  <c r="DP239" i="165"/>
  <c r="R30" i="165"/>
  <c r="AD207" i="165"/>
  <c r="AJ30" i="165"/>
  <c r="AD47" i="165"/>
  <c r="AD70" i="165"/>
  <c r="O78" i="165"/>
  <c r="L103" i="165"/>
  <c r="R125" i="165"/>
  <c r="AJ125" i="165"/>
  <c r="L155" i="165"/>
  <c r="O168" i="165"/>
  <c r="L30" i="165"/>
  <c r="J79" i="165"/>
  <c r="AH79" i="165"/>
  <c r="L125" i="165"/>
  <c r="AJ132" i="165"/>
  <c r="AJ155" i="165"/>
  <c r="AD162" i="165"/>
  <c r="AM215" i="165"/>
  <c r="AM110" i="165"/>
  <c r="U110" i="165"/>
  <c r="AA110" i="165"/>
  <c r="O110" i="165"/>
  <c r="R27" i="165"/>
  <c r="AD27" i="165"/>
  <c r="AJ27" i="165"/>
  <c r="L27" i="165"/>
  <c r="X27" i="165"/>
  <c r="AM36" i="165"/>
  <c r="U36" i="165"/>
  <c r="AA36" i="165"/>
  <c r="O36" i="165"/>
  <c r="AM179" i="165"/>
  <c r="U179" i="165"/>
  <c r="AD210" i="165"/>
  <c r="L210" i="165"/>
  <c r="AJ210" i="165"/>
  <c r="AJ29" i="165"/>
  <c r="U29" i="165"/>
  <c r="AA68" i="165"/>
  <c r="AM68" i="165"/>
  <c r="U68" i="165"/>
  <c r="O68" i="165"/>
  <c r="E239" i="165"/>
  <c r="Q239" i="165"/>
  <c r="AC239" i="165"/>
  <c r="AQ79" i="165"/>
  <c r="CU79" i="165"/>
  <c r="CV79" i="165" s="1"/>
  <c r="M134" i="165"/>
  <c r="AK134" i="165"/>
  <c r="AD132" i="165"/>
  <c r="CN134" i="165"/>
  <c r="CO134" i="165" s="1"/>
  <c r="L162" i="165"/>
  <c r="L183" i="165"/>
  <c r="J220" i="165"/>
  <c r="V220" i="165"/>
  <c r="AH220" i="165"/>
  <c r="L206" i="165"/>
  <c r="R132" i="165"/>
  <c r="AD30" i="165"/>
  <c r="AJ33" i="165"/>
  <c r="AD34" i="165"/>
  <c r="R44" i="165"/>
  <c r="G239" i="165"/>
  <c r="T239" i="165"/>
  <c r="AF239" i="165"/>
  <c r="AP239" i="165"/>
  <c r="BP239" i="165"/>
  <c r="AE79" i="165"/>
  <c r="S79" i="165"/>
  <c r="AB134" i="165"/>
  <c r="AA102" i="165"/>
  <c r="AJ162" i="165"/>
  <c r="AJ183" i="165"/>
  <c r="AJ206" i="165"/>
  <c r="AQ48" i="165"/>
  <c r="F48" i="165"/>
  <c r="BN48" i="165"/>
  <c r="C239" i="165"/>
  <c r="K239" i="165"/>
  <c r="W239" i="165"/>
  <c r="AI239" i="165"/>
  <c r="AS239" i="165"/>
  <c r="F134" i="165"/>
  <c r="S134" i="165"/>
  <c r="R158" i="165"/>
  <c r="CO184" i="165"/>
  <c r="AB220" i="165"/>
  <c r="R207" i="165"/>
  <c r="AM24" i="165"/>
  <c r="AG24" i="165"/>
  <c r="AA24" i="165"/>
  <c r="U24" i="165"/>
  <c r="O24" i="165"/>
  <c r="AJ24" i="165"/>
  <c r="AD24" i="165"/>
  <c r="X24" i="165"/>
  <c r="R24" i="165"/>
  <c r="L24" i="165"/>
  <c r="X19" i="165"/>
  <c r="AM19" i="165"/>
  <c r="AG19" i="165"/>
  <c r="AA19" i="165"/>
  <c r="U19" i="165"/>
  <c r="O19" i="165"/>
  <c r="AD19" i="165"/>
  <c r="L19" i="165"/>
  <c r="AJ19" i="165"/>
  <c r="R19" i="165"/>
  <c r="AJ14" i="165"/>
  <c r="AD14" i="165"/>
  <c r="X14" i="165"/>
  <c r="R14" i="165"/>
  <c r="L14" i="165"/>
  <c r="AG14" i="165"/>
  <c r="AA14" i="165"/>
  <c r="O14" i="165"/>
  <c r="AM14" i="165"/>
  <c r="U14" i="165"/>
  <c r="AJ18" i="165"/>
  <c r="AD18" i="165"/>
  <c r="X18" i="165"/>
  <c r="R18" i="165"/>
  <c r="L18" i="165"/>
  <c r="AM18" i="165"/>
  <c r="AG18" i="165"/>
  <c r="AA18" i="165"/>
  <c r="U18" i="165"/>
  <c r="O18" i="165"/>
  <c r="AJ22" i="165"/>
  <c r="AD22" i="165"/>
  <c r="X22" i="165"/>
  <c r="R22" i="165"/>
  <c r="L22" i="165"/>
  <c r="AM22" i="165"/>
  <c r="AG22" i="165"/>
  <c r="AA22" i="165"/>
  <c r="U22" i="165"/>
  <c r="O22" i="165"/>
  <c r="AM16" i="165"/>
  <c r="AG16" i="165"/>
  <c r="AA16" i="165"/>
  <c r="U16" i="165"/>
  <c r="O16" i="165"/>
  <c r="AJ16" i="165"/>
  <c r="AD16" i="165"/>
  <c r="X16" i="165"/>
  <c r="R16" i="165"/>
  <c r="L16" i="165"/>
  <c r="AJ15" i="165"/>
  <c r="AD15" i="165"/>
  <c r="X15" i="165"/>
  <c r="R15" i="165"/>
  <c r="L15" i="165"/>
  <c r="AM15" i="165"/>
  <c r="AG15" i="165"/>
  <c r="AA15" i="165"/>
  <c r="U15" i="165"/>
  <c r="O15" i="165"/>
  <c r="AJ23" i="165"/>
  <c r="X23" i="165"/>
  <c r="R23" i="165"/>
  <c r="AM23" i="165"/>
  <c r="AG23" i="165"/>
  <c r="AA23" i="165"/>
  <c r="U23" i="165"/>
  <c r="O23" i="165"/>
  <c r="AD23" i="165"/>
  <c r="L23" i="165"/>
  <c r="AM13" i="165"/>
  <c r="AG13" i="165"/>
  <c r="AA13" i="165"/>
  <c r="U13" i="165"/>
  <c r="O13" i="165"/>
  <c r="AJ13" i="165"/>
  <c r="AD13" i="165"/>
  <c r="X13" i="165"/>
  <c r="R13" i="165"/>
  <c r="L13" i="165"/>
  <c r="AJ17" i="165"/>
  <c r="AD17" i="165"/>
  <c r="X17" i="165"/>
  <c r="R17" i="165"/>
  <c r="L17" i="165"/>
  <c r="AM17" i="165"/>
  <c r="O17" i="165"/>
  <c r="AG17" i="165"/>
  <c r="AA17" i="165"/>
  <c r="U17" i="165"/>
  <c r="AM21" i="165"/>
  <c r="AA21" i="165"/>
  <c r="O21" i="165"/>
  <c r="AJ21" i="165"/>
  <c r="AD21" i="165"/>
  <c r="X21" i="165"/>
  <c r="R21" i="165"/>
  <c r="L21" i="165"/>
  <c r="AG21" i="165"/>
  <c r="U21" i="165"/>
  <c r="AM20" i="165"/>
  <c r="AG20" i="165"/>
  <c r="AA20" i="165"/>
  <c r="U20" i="165"/>
  <c r="O20" i="165"/>
  <c r="AJ20" i="165"/>
  <c r="AD20" i="165"/>
  <c r="X20" i="165"/>
  <c r="R20" i="165"/>
  <c r="L20" i="165"/>
  <c r="X25" i="165"/>
  <c r="U26" i="165"/>
  <c r="AA26" i="165"/>
  <c r="AG26" i="165"/>
  <c r="AM26" i="165"/>
  <c r="U28" i="165"/>
  <c r="AG28" i="165"/>
  <c r="AM40" i="165"/>
  <c r="AG40" i="165"/>
  <c r="AA40" i="165"/>
  <c r="U40" i="165"/>
  <c r="O40" i="165"/>
  <c r="R40" i="165"/>
  <c r="X40" i="165"/>
  <c r="AD40" i="165"/>
  <c r="AJ40" i="165"/>
  <c r="L40" i="165"/>
  <c r="H12" i="165"/>
  <c r="M48" i="165"/>
  <c r="S48" i="165"/>
  <c r="Y48" i="165"/>
  <c r="AE48" i="165"/>
  <c r="AK48" i="165"/>
  <c r="BO12" i="165"/>
  <c r="BO48" i="165" s="1"/>
  <c r="R25" i="165"/>
  <c r="R33" i="165"/>
  <c r="AM34" i="165"/>
  <c r="AG34" i="165"/>
  <c r="AA34" i="165"/>
  <c r="U34" i="165"/>
  <c r="O34" i="165"/>
  <c r="X34" i="165"/>
  <c r="AM35" i="165"/>
  <c r="AG35" i="165"/>
  <c r="AA35" i="165"/>
  <c r="U35" i="165"/>
  <c r="O35" i="165"/>
  <c r="X35" i="165"/>
  <c r="AD35" i="165"/>
  <c r="AJ35" i="165"/>
  <c r="L35" i="165"/>
  <c r="R35" i="165"/>
  <c r="AJ36" i="165"/>
  <c r="AD36" i="165"/>
  <c r="X36" i="165"/>
  <c r="R36" i="165"/>
  <c r="L36" i="165"/>
  <c r="AG36" i="165"/>
  <c r="AJ42" i="165"/>
  <c r="AD42" i="165"/>
  <c r="X42" i="165"/>
  <c r="R42" i="165"/>
  <c r="L42" i="165"/>
  <c r="AG42" i="165"/>
  <c r="AM42" i="165"/>
  <c r="O42" i="165"/>
  <c r="U42" i="165"/>
  <c r="AA42" i="165"/>
  <c r="L25" i="165"/>
  <c r="AJ25" i="165"/>
  <c r="L26" i="165"/>
  <c r="R26" i="165"/>
  <c r="X26" i="165"/>
  <c r="AD26" i="165"/>
  <c r="AJ26" i="165"/>
  <c r="O27" i="165"/>
  <c r="U27" i="165"/>
  <c r="AA27" i="165"/>
  <c r="AG27" i="165"/>
  <c r="AM27" i="165"/>
  <c r="L28" i="165"/>
  <c r="R28" i="165"/>
  <c r="X28" i="165"/>
  <c r="AD28" i="165"/>
  <c r="AJ28" i="165"/>
  <c r="L29" i="165"/>
  <c r="R29" i="165"/>
  <c r="X29" i="165"/>
  <c r="AD29" i="165"/>
  <c r="O30" i="165"/>
  <c r="U30" i="165"/>
  <c r="AA30" i="165"/>
  <c r="AG30" i="165"/>
  <c r="AM30" i="165"/>
  <c r="AM31" i="165"/>
  <c r="AG31" i="165"/>
  <c r="AA31" i="165"/>
  <c r="U31" i="165"/>
  <c r="O31" i="165"/>
  <c r="AJ31" i="165"/>
  <c r="AD31" i="165"/>
  <c r="X31" i="165"/>
  <c r="R31" i="165"/>
  <c r="L31" i="165"/>
  <c r="AM32" i="165"/>
  <c r="AG32" i="165"/>
  <c r="AA32" i="165"/>
  <c r="U32" i="165"/>
  <c r="O32" i="165"/>
  <c r="AJ32" i="165"/>
  <c r="AD32" i="165"/>
  <c r="X32" i="165"/>
  <c r="R32" i="165"/>
  <c r="L32" i="165"/>
  <c r="L33" i="165"/>
  <c r="AJ37" i="165"/>
  <c r="AD37" i="165"/>
  <c r="X37" i="165"/>
  <c r="R37" i="165"/>
  <c r="L37" i="165"/>
  <c r="AM37" i="165"/>
  <c r="O37" i="165"/>
  <c r="U37" i="165"/>
  <c r="AA37" i="165"/>
  <c r="AM41" i="165"/>
  <c r="AG41" i="165"/>
  <c r="AA41" i="165"/>
  <c r="U41" i="165"/>
  <c r="O41" i="165"/>
  <c r="AJ41" i="165"/>
  <c r="AD41" i="165"/>
  <c r="X41" i="165"/>
  <c r="R41" i="165"/>
  <c r="L41" i="165"/>
  <c r="AJ45" i="165"/>
  <c r="AD45" i="165"/>
  <c r="X45" i="165"/>
  <c r="R45" i="165"/>
  <c r="L45" i="165"/>
  <c r="U45" i="165"/>
  <c r="AA45" i="165"/>
  <c r="AG45" i="165"/>
  <c r="AM45" i="165"/>
  <c r="O45" i="165"/>
  <c r="AM25" i="165"/>
  <c r="AG25" i="165"/>
  <c r="AA25" i="165"/>
  <c r="U25" i="165"/>
  <c r="O25" i="165"/>
  <c r="O26" i="165"/>
  <c r="O28" i="165"/>
  <c r="AA28" i="165"/>
  <c r="AM28" i="165"/>
  <c r="O29" i="165"/>
  <c r="AA29" i="165"/>
  <c r="AG29" i="165"/>
  <c r="AM29" i="165"/>
  <c r="AM33" i="165"/>
  <c r="AG33" i="165"/>
  <c r="AA33" i="165"/>
  <c r="U33" i="165"/>
  <c r="O33" i="165"/>
  <c r="X33" i="165"/>
  <c r="AM38" i="165"/>
  <c r="AG38" i="165"/>
  <c r="AA38" i="165"/>
  <c r="U38" i="165"/>
  <c r="O38" i="165"/>
  <c r="AJ38" i="165"/>
  <c r="AD38" i="165"/>
  <c r="X38" i="165"/>
  <c r="R38" i="165"/>
  <c r="L38" i="165"/>
  <c r="J48" i="165"/>
  <c r="P48" i="165"/>
  <c r="V48" i="165"/>
  <c r="AB48" i="165"/>
  <c r="AH48" i="165"/>
  <c r="AD25" i="165"/>
  <c r="AD33" i="165"/>
  <c r="L34" i="165"/>
  <c r="AJ34" i="165"/>
  <c r="AG37" i="165"/>
  <c r="AM39" i="165"/>
  <c r="AG39" i="165"/>
  <c r="AA39" i="165"/>
  <c r="U39" i="165"/>
  <c r="O39" i="165"/>
  <c r="AD39" i="165"/>
  <c r="AJ39" i="165"/>
  <c r="L39" i="165"/>
  <c r="R39" i="165"/>
  <c r="AM43" i="165"/>
  <c r="AG43" i="165"/>
  <c r="AA43" i="165"/>
  <c r="U43" i="165"/>
  <c r="O43" i="165"/>
  <c r="AJ43" i="165"/>
  <c r="L43" i="165"/>
  <c r="R43" i="165"/>
  <c r="X43" i="165"/>
  <c r="AD43" i="165"/>
  <c r="AM46" i="165"/>
  <c r="AG46" i="165"/>
  <c r="AA46" i="165"/>
  <c r="U46" i="165"/>
  <c r="O46" i="165"/>
  <c r="X46" i="165"/>
  <c r="CU259" i="165"/>
  <c r="H79" i="165"/>
  <c r="I67" i="165"/>
  <c r="AJ72" i="165"/>
  <c r="AD72" i="165"/>
  <c r="X72" i="165"/>
  <c r="R72" i="165"/>
  <c r="L72" i="165"/>
  <c r="AG72" i="165"/>
  <c r="AJ74" i="165"/>
  <c r="AD74" i="165"/>
  <c r="X74" i="165"/>
  <c r="R74" i="165"/>
  <c r="L74" i="165"/>
  <c r="AM74" i="165"/>
  <c r="AG74" i="165"/>
  <c r="AA74" i="165"/>
  <c r="U74" i="165"/>
  <c r="O74" i="165"/>
  <c r="AJ104" i="165"/>
  <c r="AD104" i="165"/>
  <c r="X104" i="165"/>
  <c r="R104" i="165"/>
  <c r="L104" i="165"/>
  <c r="AG104" i="165"/>
  <c r="R46" i="165"/>
  <c r="AM47" i="165"/>
  <c r="AG47" i="165"/>
  <c r="AA47" i="165"/>
  <c r="U47" i="165"/>
  <c r="O47" i="165"/>
  <c r="X47" i="165"/>
  <c r="V79" i="165"/>
  <c r="AM70" i="165"/>
  <c r="AG70" i="165"/>
  <c r="AA70" i="165"/>
  <c r="U70" i="165"/>
  <c r="O70" i="165"/>
  <c r="X70" i="165"/>
  <c r="AM71" i="165"/>
  <c r="AG71" i="165"/>
  <c r="AA71" i="165"/>
  <c r="U71" i="165"/>
  <c r="O71" i="165"/>
  <c r="AJ71" i="165"/>
  <c r="AD71" i="165"/>
  <c r="X71" i="165"/>
  <c r="R71" i="165"/>
  <c r="L71" i="165"/>
  <c r="AA72" i="165"/>
  <c r="AJ75" i="165"/>
  <c r="AD75" i="165"/>
  <c r="X75" i="165"/>
  <c r="R75" i="165"/>
  <c r="L75" i="165"/>
  <c r="AM75" i="165"/>
  <c r="AG75" i="165"/>
  <c r="AA75" i="165"/>
  <c r="U75" i="165"/>
  <c r="O75" i="165"/>
  <c r="AM77" i="165"/>
  <c r="AG77" i="165"/>
  <c r="AA77" i="165"/>
  <c r="U77" i="165"/>
  <c r="O77" i="165"/>
  <c r="X77" i="165"/>
  <c r="AM103" i="165"/>
  <c r="AG103" i="165"/>
  <c r="AA103" i="165"/>
  <c r="U103" i="165"/>
  <c r="O103" i="165"/>
  <c r="X103" i="165"/>
  <c r="AA104" i="165"/>
  <c r="BU48" i="165"/>
  <c r="L46" i="165"/>
  <c r="AJ46" i="165"/>
  <c r="R47" i="165"/>
  <c r="AJ69" i="165"/>
  <c r="AD69" i="165"/>
  <c r="X69" i="165"/>
  <c r="R69" i="165"/>
  <c r="L69" i="165"/>
  <c r="AM69" i="165"/>
  <c r="AG69" i="165"/>
  <c r="AA69" i="165"/>
  <c r="U69" i="165"/>
  <c r="O69" i="165"/>
  <c r="R70" i="165"/>
  <c r="U72" i="165"/>
  <c r="BU79" i="165"/>
  <c r="BW79" i="165" s="1"/>
  <c r="AJ76" i="165"/>
  <c r="AD76" i="165"/>
  <c r="X76" i="165"/>
  <c r="R76" i="165"/>
  <c r="L76" i="165"/>
  <c r="AM76" i="165"/>
  <c r="AG76" i="165"/>
  <c r="AA76" i="165"/>
  <c r="U76" i="165"/>
  <c r="O76" i="165"/>
  <c r="R77" i="165"/>
  <c r="AJ78" i="165"/>
  <c r="AD78" i="165"/>
  <c r="X78" i="165"/>
  <c r="R78" i="165"/>
  <c r="L78" i="165"/>
  <c r="U78" i="165"/>
  <c r="AA78" i="165"/>
  <c r="AG78" i="165"/>
  <c r="AM78" i="165"/>
  <c r="AM100" i="165"/>
  <c r="AG100" i="165"/>
  <c r="AA100" i="165"/>
  <c r="U100" i="165"/>
  <c r="O100" i="165"/>
  <c r="AJ100" i="165"/>
  <c r="AD100" i="165"/>
  <c r="X100" i="165"/>
  <c r="R100" i="165"/>
  <c r="L100" i="165"/>
  <c r="AJ102" i="165"/>
  <c r="AD102" i="165"/>
  <c r="X102" i="165"/>
  <c r="R102" i="165"/>
  <c r="L102" i="165"/>
  <c r="U102" i="165"/>
  <c r="AG102" i="165"/>
  <c r="O102" i="165"/>
  <c r="AM102" i="165"/>
  <c r="R103" i="165"/>
  <c r="U104" i="165"/>
  <c r="AM44" i="165"/>
  <c r="AG44" i="165"/>
  <c r="AA44" i="165"/>
  <c r="U44" i="165"/>
  <c r="O44" i="165"/>
  <c r="X44" i="165"/>
  <c r="AD46" i="165"/>
  <c r="L47" i="165"/>
  <c r="AJ47" i="165"/>
  <c r="CV48" i="165"/>
  <c r="P79" i="165"/>
  <c r="AB79" i="165"/>
  <c r="BO79" i="165"/>
  <c r="AJ68" i="165"/>
  <c r="AD68" i="165"/>
  <c r="X68" i="165"/>
  <c r="R68" i="165"/>
  <c r="L68" i="165"/>
  <c r="AG68" i="165"/>
  <c r="L70" i="165"/>
  <c r="AJ70" i="165"/>
  <c r="O72" i="165"/>
  <c r="AM72" i="165"/>
  <c r="AJ73" i="165"/>
  <c r="AD73" i="165"/>
  <c r="X73" i="165"/>
  <c r="R73" i="165"/>
  <c r="L73" i="165"/>
  <c r="AM73" i="165"/>
  <c r="AG73" i="165"/>
  <c r="AA73" i="165"/>
  <c r="U73" i="165"/>
  <c r="O73" i="165"/>
  <c r="L77" i="165"/>
  <c r="AJ77" i="165"/>
  <c r="O104" i="165"/>
  <c r="AM104" i="165"/>
  <c r="AM107" i="165"/>
  <c r="AG107" i="165"/>
  <c r="AA107" i="165"/>
  <c r="U107" i="165"/>
  <c r="O107" i="165"/>
  <c r="R107" i="165"/>
  <c r="AD107" i="165"/>
  <c r="AJ107" i="165"/>
  <c r="L107" i="165"/>
  <c r="X107" i="165"/>
  <c r="AM111" i="165"/>
  <c r="AG111" i="165"/>
  <c r="AA111" i="165"/>
  <c r="U111" i="165"/>
  <c r="O111" i="165"/>
  <c r="AJ111" i="165"/>
  <c r="AD111" i="165"/>
  <c r="X111" i="165"/>
  <c r="R111" i="165"/>
  <c r="L111" i="165"/>
  <c r="AJ114" i="165"/>
  <c r="AD114" i="165"/>
  <c r="X114" i="165"/>
  <c r="R114" i="165"/>
  <c r="L114" i="165"/>
  <c r="AM114" i="165"/>
  <c r="AG114" i="165"/>
  <c r="AA114" i="165"/>
  <c r="U114" i="165"/>
  <c r="O114" i="165"/>
  <c r="AM115" i="165"/>
  <c r="AG115" i="165"/>
  <c r="AA115" i="165"/>
  <c r="U115" i="165"/>
  <c r="O115" i="165"/>
  <c r="AJ115" i="165"/>
  <c r="AD115" i="165"/>
  <c r="X115" i="165"/>
  <c r="R115" i="165"/>
  <c r="L115" i="165"/>
  <c r="AJ116" i="165"/>
  <c r="AD116" i="165"/>
  <c r="X116" i="165"/>
  <c r="R116" i="165"/>
  <c r="L116" i="165"/>
  <c r="AM116" i="165"/>
  <c r="AG116" i="165"/>
  <c r="AA116" i="165"/>
  <c r="U116" i="165"/>
  <c r="O116" i="165"/>
  <c r="AJ120" i="165"/>
  <c r="AD120" i="165"/>
  <c r="X120" i="165"/>
  <c r="R120" i="165"/>
  <c r="L120" i="165"/>
  <c r="AM120" i="165"/>
  <c r="AG120" i="165"/>
  <c r="AA120" i="165"/>
  <c r="U120" i="165"/>
  <c r="O120" i="165"/>
  <c r="CM259" i="165"/>
  <c r="CM239" i="165"/>
  <c r="F79" i="165"/>
  <c r="BN79" i="165"/>
  <c r="V134" i="165"/>
  <c r="AJ105" i="165"/>
  <c r="AD105" i="165"/>
  <c r="X105" i="165"/>
  <c r="R105" i="165"/>
  <c r="L105" i="165"/>
  <c r="AA105" i="165"/>
  <c r="AM105" i="165"/>
  <c r="O105" i="165"/>
  <c r="AJ106" i="165"/>
  <c r="AD106" i="165"/>
  <c r="X106" i="165"/>
  <c r="R106" i="165"/>
  <c r="L106" i="165"/>
  <c r="AM106" i="165"/>
  <c r="AG106" i="165"/>
  <c r="AA106" i="165"/>
  <c r="U106" i="165"/>
  <c r="O106" i="165"/>
  <c r="AJ112" i="165"/>
  <c r="AD112" i="165"/>
  <c r="X112" i="165"/>
  <c r="R112" i="165"/>
  <c r="L112" i="165"/>
  <c r="AM112" i="165"/>
  <c r="AG112" i="165"/>
  <c r="AA112" i="165"/>
  <c r="U112" i="165"/>
  <c r="O112" i="165"/>
  <c r="AJ121" i="165"/>
  <c r="AD121" i="165"/>
  <c r="X121" i="165"/>
  <c r="R121" i="165"/>
  <c r="L121" i="165"/>
  <c r="AM121" i="165"/>
  <c r="AG121" i="165"/>
  <c r="AA121" i="165"/>
  <c r="U121" i="165"/>
  <c r="O121" i="165"/>
  <c r="AJ160" i="165"/>
  <c r="AD160" i="165"/>
  <c r="X160" i="165"/>
  <c r="R160" i="165"/>
  <c r="L160" i="165"/>
  <c r="U160" i="165"/>
  <c r="AA160" i="165"/>
  <c r="AG160" i="165"/>
  <c r="AM160" i="165"/>
  <c r="O160" i="165"/>
  <c r="CN48" i="165"/>
  <c r="M79" i="165"/>
  <c r="Y79" i="165"/>
  <c r="AK79" i="165"/>
  <c r="CN79" i="165"/>
  <c r="CO79" i="165" s="1"/>
  <c r="H98" i="165"/>
  <c r="P134" i="165"/>
  <c r="AE134" i="165"/>
  <c r="AM99" i="165"/>
  <c r="AG99" i="165"/>
  <c r="AA99" i="165"/>
  <c r="U99" i="165"/>
  <c r="O99" i="165"/>
  <c r="AJ99" i="165"/>
  <c r="AD99" i="165"/>
  <c r="X99" i="165"/>
  <c r="R99" i="165"/>
  <c r="L99" i="165"/>
  <c r="AJ101" i="165"/>
  <c r="AD101" i="165"/>
  <c r="X101" i="165"/>
  <c r="R101" i="165"/>
  <c r="L101" i="165"/>
  <c r="AM101" i="165"/>
  <c r="AG101" i="165"/>
  <c r="AA101" i="165"/>
  <c r="U101" i="165"/>
  <c r="O101" i="165"/>
  <c r="U105" i="165"/>
  <c r="AJ122" i="165"/>
  <c r="AD122" i="165"/>
  <c r="X122" i="165"/>
  <c r="R122" i="165"/>
  <c r="L122" i="165"/>
  <c r="U122" i="165"/>
  <c r="AG122" i="165"/>
  <c r="AM122" i="165"/>
  <c r="O122" i="165"/>
  <c r="AM128" i="165"/>
  <c r="AG128" i="165"/>
  <c r="AA128" i="165"/>
  <c r="U128" i="165"/>
  <c r="O128" i="165"/>
  <c r="AJ128" i="165"/>
  <c r="AD128" i="165"/>
  <c r="X128" i="165"/>
  <c r="R128" i="165"/>
  <c r="L128" i="165"/>
  <c r="CT259" i="165"/>
  <c r="CT239" i="165"/>
  <c r="J134" i="165"/>
  <c r="BN134" i="165"/>
  <c r="BO98" i="165"/>
  <c r="BO134" i="165" s="1"/>
  <c r="AG105" i="165"/>
  <c r="AM108" i="165"/>
  <c r="AG108" i="165"/>
  <c r="AA108" i="165"/>
  <c r="U108" i="165"/>
  <c r="O108" i="165"/>
  <c r="AJ108" i="165"/>
  <c r="AD108" i="165"/>
  <c r="X108" i="165"/>
  <c r="R108" i="165"/>
  <c r="L108" i="165"/>
  <c r="AJ110" i="165"/>
  <c r="AD110" i="165"/>
  <c r="X110" i="165"/>
  <c r="R110" i="165"/>
  <c r="L110" i="165"/>
  <c r="AG110" i="165"/>
  <c r="AM124" i="165"/>
  <c r="AG124" i="165"/>
  <c r="AA124" i="165"/>
  <c r="U124" i="165"/>
  <c r="O124" i="165"/>
  <c r="R124" i="165"/>
  <c r="AD124" i="165"/>
  <c r="AJ124" i="165"/>
  <c r="L124" i="165"/>
  <c r="AJ118" i="165"/>
  <c r="AD118" i="165"/>
  <c r="X118" i="165"/>
  <c r="R118" i="165"/>
  <c r="L118" i="165"/>
  <c r="AM118" i="165"/>
  <c r="AG118" i="165"/>
  <c r="AA118" i="165"/>
  <c r="U118" i="165"/>
  <c r="O118" i="165"/>
  <c r="I184" i="165"/>
  <c r="AJ153" i="165"/>
  <c r="AD153" i="165"/>
  <c r="X153" i="165"/>
  <c r="R153" i="165"/>
  <c r="L153" i="165"/>
  <c r="AM153" i="165"/>
  <c r="O153" i="165"/>
  <c r="U153" i="165"/>
  <c r="AA153" i="165"/>
  <c r="AJ113" i="165"/>
  <c r="AD113" i="165"/>
  <c r="X113" i="165"/>
  <c r="R113" i="165"/>
  <c r="L113" i="165"/>
  <c r="AM113" i="165"/>
  <c r="AG113" i="165"/>
  <c r="AA113" i="165"/>
  <c r="U113" i="165"/>
  <c r="O113" i="165"/>
  <c r="AJ119" i="165"/>
  <c r="AD119" i="165"/>
  <c r="X119" i="165"/>
  <c r="R119" i="165"/>
  <c r="L119" i="165"/>
  <c r="AM119" i="165"/>
  <c r="AG119" i="165"/>
  <c r="AA119" i="165"/>
  <c r="U119" i="165"/>
  <c r="O119" i="165"/>
  <c r="AM127" i="165"/>
  <c r="AG127" i="165"/>
  <c r="AA127" i="165"/>
  <c r="U127" i="165"/>
  <c r="O127" i="165"/>
  <c r="AJ127" i="165"/>
  <c r="AD127" i="165"/>
  <c r="X127" i="165"/>
  <c r="R127" i="165"/>
  <c r="L127" i="165"/>
  <c r="AM130" i="165"/>
  <c r="AG130" i="165"/>
  <c r="AA130" i="165"/>
  <c r="U130" i="165"/>
  <c r="O130" i="165"/>
  <c r="AJ130" i="165"/>
  <c r="AD130" i="165"/>
  <c r="X130" i="165"/>
  <c r="R130" i="165"/>
  <c r="L130" i="165"/>
  <c r="AJ131" i="165"/>
  <c r="AD131" i="165"/>
  <c r="X131" i="165"/>
  <c r="R131" i="165"/>
  <c r="L131" i="165"/>
  <c r="AM131" i="165"/>
  <c r="AG131" i="165"/>
  <c r="AA131" i="165"/>
  <c r="U131" i="165"/>
  <c r="O131" i="165"/>
  <c r="AM133" i="165"/>
  <c r="AG133" i="165"/>
  <c r="AA133" i="165"/>
  <c r="U133" i="165"/>
  <c r="O133" i="165"/>
  <c r="AJ133" i="165"/>
  <c r="AD133" i="165"/>
  <c r="X133" i="165"/>
  <c r="R133" i="165"/>
  <c r="L133" i="165"/>
  <c r="AG153" i="165"/>
  <c r="Y134" i="165"/>
  <c r="AH134" i="165"/>
  <c r="AQ134" i="165"/>
  <c r="AJ109" i="165"/>
  <c r="AD109" i="165"/>
  <c r="X109" i="165"/>
  <c r="R109" i="165"/>
  <c r="L109" i="165"/>
  <c r="AM109" i="165"/>
  <c r="AG109" i="165"/>
  <c r="AA109" i="165"/>
  <c r="U109" i="165"/>
  <c r="O109" i="165"/>
  <c r="BU134" i="165"/>
  <c r="BW134" i="165" s="1"/>
  <c r="AJ117" i="165"/>
  <c r="AD117" i="165"/>
  <c r="X117" i="165"/>
  <c r="R117" i="165"/>
  <c r="L117" i="165"/>
  <c r="AM117" i="165"/>
  <c r="AG117" i="165"/>
  <c r="AA117" i="165"/>
  <c r="U117" i="165"/>
  <c r="O117" i="165"/>
  <c r="AJ123" i="165"/>
  <c r="AD123" i="165"/>
  <c r="X123" i="165"/>
  <c r="R123" i="165"/>
  <c r="L123" i="165"/>
  <c r="AM123" i="165"/>
  <c r="AG123" i="165"/>
  <c r="AA123" i="165"/>
  <c r="U123" i="165"/>
  <c r="O123" i="165"/>
  <c r="AM125" i="165"/>
  <c r="AG125" i="165"/>
  <c r="AA125" i="165"/>
  <c r="U125" i="165"/>
  <c r="O125" i="165"/>
  <c r="X125" i="165"/>
  <c r="AM126" i="165"/>
  <c r="AG126" i="165"/>
  <c r="AA126" i="165"/>
  <c r="U126" i="165"/>
  <c r="O126" i="165"/>
  <c r="X126" i="165"/>
  <c r="AD126" i="165"/>
  <c r="AJ126" i="165"/>
  <c r="L126" i="165"/>
  <c r="R126" i="165"/>
  <c r="AJ157" i="165"/>
  <c r="AD157" i="165"/>
  <c r="X157" i="165"/>
  <c r="R157" i="165"/>
  <c r="L157" i="165"/>
  <c r="AM157" i="165"/>
  <c r="AG157" i="165"/>
  <c r="AA157" i="165"/>
  <c r="U157" i="165"/>
  <c r="O157" i="165"/>
  <c r="L132" i="165"/>
  <c r="L158" i="165"/>
  <c r="AJ168" i="165"/>
  <c r="AD168" i="165"/>
  <c r="X168" i="165"/>
  <c r="R168" i="165"/>
  <c r="L168" i="165"/>
  <c r="U168" i="165"/>
  <c r="AA168" i="165"/>
  <c r="AG168" i="165"/>
  <c r="AM168" i="165"/>
  <c r="AJ180" i="165"/>
  <c r="AD180" i="165"/>
  <c r="X180" i="165"/>
  <c r="R180" i="165"/>
  <c r="L180" i="165"/>
  <c r="AM180" i="165"/>
  <c r="AG180" i="165"/>
  <c r="AA180" i="165"/>
  <c r="U180" i="165"/>
  <c r="O180" i="165"/>
  <c r="CU134" i="165"/>
  <c r="AM155" i="165"/>
  <c r="AG155" i="165"/>
  <c r="AA155" i="165"/>
  <c r="U155" i="165"/>
  <c r="O155" i="165"/>
  <c r="X155" i="165"/>
  <c r="AM156" i="165"/>
  <c r="AG156" i="165"/>
  <c r="AA156" i="165"/>
  <c r="U156" i="165"/>
  <c r="O156" i="165"/>
  <c r="AJ156" i="165"/>
  <c r="AD156" i="165"/>
  <c r="X156" i="165"/>
  <c r="R156" i="165"/>
  <c r="L156" i="165"/>
  <c r="AM162" i="165"/>
  <c r="AG162" i="165"/>
  <c r="AA162" i="165"/>
  <c r="U162" i="165"/>
  <c r="O162" i="165"/>
  <c r="X162" i="165"/>
  <c r="AM163" i="165"/>
  <c r="AG163" i="165"/>
  <c r="AA163" i="165"/>
  <c r="U163" i="165"/>
  <c r="O163" i="165"/>
  <c r="AJ163" i="165"/>
  <c r="AD163" i="165"/>
  <c r="X163" i="165"/>
  <c r="R163" i="165"/>
  <c r="L163" i="165"/>
  <c r="AM171" i="165"/>
  <c r="AG171" i="165"/>
  <c r="AA171" i="165"/>
  <c r="U171" i="165"/>
  <c r="O171" i="165"/>
  <c r="AJ171" i="165"/>
  <c r="AD171" i="165"/>
  <c r="X171" i="165"/>
  <c r="R171" i="165"/>
  <c r="L171" i="165"/>
  <c r="AJ174" i="165"/>
  <c r="AD174" i="165"/>
  <c r="X174" i="165"/>
  <c r="R174" i="165"/>
  <c r="L174" i="165"/>
  <c r="AM174" i="165"/>
  <c r="AG174" i="165"/>
  <c r="AA174" i="165"/>
  <c r="U174" i="165"/>
  <c r="O174" i="165"/>
  <c r="AM129" i="165"/>
  <c r="AG129" i="165"/>
  <c r="AA129" i="165"/>
  <c r="U129" i="165"/>
  <c r="O129" i="165"/>
  <c r="AJ129" i="165"/>
  <c r="AD129" i="165"/>
  <c r="X129" i="165"/>
  <c r="R129" i="165"/>
  <c r="L129" i="165"/>
  <c r="AM132" i="165"/>
  <c r="AG132" i="165"/>
  <c r="AA132" i="165"/>
  <c r="U132" i="165"/>
  <c r="O132" i="165"/>
  <c r="X132" i="165"/>
  <c r="BN184" i="165"/>
  <c r="AJ154" i="165"/>
  <c r="AD154" i="165"/>
  <c r="X154" i="165"/>
  <c r="R154" i="165"/>
  <c r="L154" i="165"/>
  <c r="AM154" i="165"/>
  <c r="AG154" i="165"/>
  <c r="AA154" i="165"/>
  <c r="U154" i="165"/>
  <c r="O154" i="165"/>
  <c r="R155" i="165"/>
  <c r="AM158" i="165"/>
  <c r="AG158" i="165"/>
  <c r="AA158" i="165"/>
  <c r="U158" i="165"/>
  <c r="O158" i="165"/>
  <c r="X158" i="165"/>
  <c r="AM159" i="165"/>
  <c r="AG159" i="165"/>
  <c r="AA159" i="165"/>
  <c r="U159" i="165"/>
  <c r="O159" i="165"/>
  <c r="AJ159" i="165"/>
  <c r="AD159" i="165"/>
  <c r="X159" i="165"/>
  <c r="R159" i="165"/>
  <c r="L159" i="165"/>
  <c r="AJ161" i="165"/>
  <c r="AD161" i="165"/>
  <c r="X161" i="165"/>
  <c r="R161" i="165"/>
  <c r="L161" i="165"/>
  <c r="AM161" i="165"/>
  <c r="AG161" i="165"/>
  <c r="AA161" i="165"/>
  <c r="U161" i="165"/>
  <c r="O161" i="165"/>
  <c r="R162" i="165"/>
  <c r="AJ164" i="165"/>
  <c r="AD164" i="165"/>
  <c r="X164" i="165"/>
  <c r="R164" i="165"/>
  <c r="L164" i="165"/>
  <c r="AM164" i="165"/>
  <c r="AG164" i="165"/>
  <c r="AA164" i="165"/>
  <c r="U164" i="165"/>
  <c r="O164" i="165"/>
  <c r="AJ169" i="165"/>
  <c r="AD169" i="165"/>
  <c r="X169" i="165"/>
  <c r="R169" i="165"/>
  <c r="L169" i="165"/>
  <c r="U169" i="165"/>
  <c r="AA169" i="165"/>
  <c r="AG169" i="165"/>
  <c r="AM169" i="165"/>
  <c r="J184" i="165"/>
  <c r="P184" i="165"/>
  <c r="V184" i="165"/>
  <c r="AB184" i="165"/>
  <c r="AH184" i="165"/>
  <c r="AJ165" i="165"/>
  <c r="AD165" i="165"/>
  <c r="X165" i="165"/>
  <c r="R165" i="165"/>
  <c r="L165" i="165"/>
  <c r="AM165" i="165"/>
  <c r="AG165" i="165"/>
  <c r="AA165" i="165"/>
  <c r="U165" i="165"/>
  <c r="O165" i="165"/>
  <c r="AM166" i="165"/>
  <c r="AG166" i="165"/>
  <c r="AA166" i="165"/>
  <c r="U166" i="165"/>
  <c r="O166" i="165"/>
  <c r="X166" i="165"/>
  <c r="AJ175" i="165"/>
  <c r="AD175" i="165"/>
  <c r="X175" i="165"/>
  <c r="R175" i="165"/>
  <c r="L175" i="165"/>
  <c r="AM175" i="165"/>
  <c r="AG175" i="165"/>
  <c r="AA175" i="165"/>
  <c r="U175" i="165"/>
  <c r="O175" i="165"/>
  <c r="AJ204" i="165"/>
  <c r="AD204" i="165"/>
  <c r="X204" i="165"/>
  <c r="R204" i="165"/>
  <c r="L204" i="165"/>
  <c r="AG204" i="165"/>
  <c r="AM204" i="165"/>
  <c r="O204" i="165"/>
  <c r="U204" i="165"/>
  <c r="F184" i="165"/>
  <c r="AQ184" i="165"/>
  <c r="R166" i="165"/>
  <c r="AM167" i="165"/>
  <c r="AG167" i="165"/>
  <c r="AA167" i="165"/>
  <c r="U167" i="165"/>
  <c r="O167" i="165"/>
  <c r="AJ167" i="165"/>
  <c r="AD167" i="165"/>
  <c r="X167" i="165"/>
  <c r="R167" i="165"/>
  <c r="L167" i="165"/>
  <c r="AJ172" i="165"/>
  <c r="AD172" i="165"/>
  <c r="X172" i="165"/>
  <c r="R172" i="165"/>
  <c r="L172" i="165"/>
  <c r="AM172" i="165"/>
  <c r="AG172" i="165"/>
  <c r="AA172" i="165"/>
  <c r="U172" i="165"/>
  <c r="O172" i="165"/>
  <c r="AM176" i="165"/>
  <c r="AG176" i="165"/>
  <c r="AA176" i="165"/>
  <c r="U176" i="165"/>
  <c r="O176" i="165"/>
  <c r="AJ176" i="165"/>
  <c r="AD176" i="165"/>
  <c r="X176" i="165"/>
  <c r="R176" i="165"/>
  <c r="L176" i="165"/>
  <c r="AJ178" i="165"/>
  <c r="AD178" i="165"/>
  <c r="X178" i="165"/>
  <c r="R178" i="165"/>
  <c r="L178" i="165"/>
  <c r="AA178" i="165"/>
  <c r="AG178" i="165"/>
  <c r="AM178" i="165"/>
  <c r="O178" i="165"/>
  <c r="H184" i="165"/>
  <c r="M184" i="165"/>
  <c r="S184" i="165"/>
  <c r="Y184" i="165"/>
  <c r="AE184" i="165"/>
  <c r="AK184" i="165"/>
  <c r="BO184" i="165"/>
  <c r="L166" i="165"/>
  <c r="AJ166" i="165"/>
  <c r="AJ170" i="165"/>
  <c r="AD170" i="165"/>
  <c r="X170" i="165"/>
  <c r="R170" i="165"/>
  <c r="L170" i="165"/>
  <c r="AM170" i="165"/>
  <c r="AG170" i="165"/>
  <c r="AA170" i="165"/>
  <c r="U170" i="165"/>
  <c r="O170" i="165"/>
  <c r="AJ173" i="165"/>
  <c r="AD173" i="165"/>
  <c r="X173" i="165"/>
  <c r="R173" i="165"/>
  <c r="L173" i="165"/>
  <c r="AM173" i="165"/>
  <c r="AG173" i="165"/>
  <c r="AA173" i="165"/>
  <c r="U173" i="165"/>
  <c r="O173" i="165"/>
  <c r="U178" i="165"/>
  <c r="O179" i="165"/>
  <c r="AM181" i="165"/>
  <c r="AG181" i="165"/>
  <c r="AA181" i="165"/>
  <c r="U181" i="165"/>
  <c r="O181" i="165"/>
  <c r="AJ181" i="165"/>
  <c r="AD181" i="165"/>
  <c r="X181" i="165"/>
  <c r="R181" i="165"/>
  <c r="L181" i="165"/>
  <c r="AJ205" i="165"/>
  <c r="AD205" i="165"/>
  <c r="X205" i="165"/>
  <c r="R205" i="165"/>
  <c r="L205" i="165"/>
  <c r="AM205" i="165"/>
  <c r="AG205" i="165"/>
  <c r="AA205" i="165"/>
  <c r="U205" i="165"/>
  <c r="O205" i="165"/>
  <c r="AJ208" i="165"/>
  <c r="AD208" i="165"/>
  <c r="X208" i="165"/>
  <c r="R208" i="165"/>
  <c r="L208" i="165"/>
  <c r="AM208" i="165"/>
  <c r="O208" i="165"/>
  <c r="U208" i="165"/>
  <c r="AA208" i="165"/>
  <c r="AJ213" i="165"/>
  <c r="AD213" i="165"/>
  <c r="X213" i="165"/>
  <c r="R213" i="165"/>
  <c r="L213" i="165"/>
  <c r="U213" i="165"/>
  <c r="AA213" i="165"/>
  <c r="O213" i="165"/>
  <c r="AG213" i="165"/>
  <c r="AM213" i="165"/>
  <c r="X217" i="165"/>
  <c r="AJ179" i="165"/>
  <c r="AD179" i="165"/>
  <c r="X179" i="165"/>
  <c r="R179" i="165"/>
  <c r="L179" i="165"/>
  <c r="AG179" i="165"/>
  <c r="AM183" i="165"/>
  <c r="AG183" i="165"/>
  <c r="AA183" i="165"/>
  <c r="U183" i="165"/>
  <c r="O183" i="165"/>
  <c r="X183" i="165"/>
  <c r="AJ209" i="165"/>
  <c r="AD209" i="165"/>
  <c r="X209" i="165"/>
  <c r="R209" i="165"/>
  <c r="L209" i="165"/>
  <c r="AG209" i="165"/>
  <c r="AM209" i="165"/>
  <c r="O209" i="165"/>
  <c r="U209" i="165"/>
  <c r="AM211" i="165"/>
  <c r="AG211" i="165"/>
  <c r="AA211" i="165"/>
  <c r="U211" i="165"/>
  <c r="O211" i="165"/>
  <c r="AJ211" i="165"/>
  <c r="L211" i="165"/>
  <c r="R211" i="165"/>
  <c r="X211" i="165"/>
  <c r="AD211" i="165"/>
  <c r="BU184" i="165"/>
  <c r="BW184" i="165" s="1"/>
  <c r="AM177" i="165"/>
  <c r="AG177" i="165"/>
  <c r="AA177" i="165"/>
  <c r="U177" i="165"/>
  <c r="O177" i="165"/>
  <c r="AJ177" i="165"/>
  <c r="AD177" i="165"/>
  <c r="X177" i="165"/>
  <c r="R177" i="165"/>
  <c r="L177" i="165"/>
  <c r="AA179" i="165"/>
  <c r="AJ182" i="165"/>
  <c r="AD182" i="165"/>
  <c r="X182" i="165"/>
  <c r="R182" i="165"/>
  <c r="L182" i="165"/>
  <c r="AM182" i="165"/>
  <c r="AG182" i="165"/>
  <c r="AA182" i="165"/>
  <c r="U182" i="165"/>
  <c r="O182" i="165"/>
  <c r="R183" i="165"/>
  <c r="P220" i="165"/>
  <c r="AJ214" i="165"/>
  <c r="AD214" i="165"/>
  <c r="X214" i="165"/>
  <c r="R214" i="165"/>
  <c r="L214" i="165"/>
  <c r="AG214" i="165"/>
  <c r="AM214" i="165"/>
  <c r="O214" i="165"/>
  <c r="U214" i="165"/>
  <c r="AJ215" i="165"/>
  <c r="AD215" i="165"/>
  <c r="X215" i="165"/>
  <c r="R215" i="165"/>
  <c r="L215" i="165"/>
  <c r="U215" i="165"/>
  <c r="AA215" i="165"/>
  <c r="O215" i="165"/>
  <c r="AG215" i="165"/>
  <c r="F220" i="165"/>
  <c r="AQ220" i="165"/>
  <c r="BN220" i="165"/>
  <c r="L207" i="165"/>
  <c r="AJ212" i="165"/>
  <c r="AD212" i="165"/>
  <c r="X212" i="165"/>
  <c r="R212" i="165"/>
  <c r="L212" i="165"/>
  <c r="AG212" i="165"/>
  <c r="AM212" i="165"/>
  <c r="O212" i="165"/>
  <c r="AA212" i="165"/>
  <c r="AM216" i="165"/>
  <c r="AG216" i="165"/>
  <c r="AA216" i="165"/>
  <c r="U216" i="165"/>
  <c r="O216" i="165"/>
  <c r="AD216" i="165"/>
  <c r="AJ216" i="165"/>
  <c r="L216" i="165"/>
  <c r="R216" i="165"/>
  <c r="H220" i="165"/>
  <c r="M220" i="165"/>
  <c r="S220" i="165"/>
  <c r="Y220" i="165"/>
  <c r="AE220" i="165"/>
  <c r="AK220" i="165"/>
  <c r="BO220" i="165"/>
  <c r="AM206" i="165"/>
  <c r="AG206" i="165"/>
  <c r="AA206" i="165"/>
  <c r="U206" i="165"/>
  <c r="O206" i="165"/>
  <c r="X206" i="165"/>
  <c r="AM210" i="165"/>
  <c r="AG210" i="165"/>
  <c r="AA210" i="165"/>
  <c r="U210" i="165"/>
  <c r="O210" i="165"/>
  <c r="X210" i="165"/>
  <c r="I203" i="165"/>
  <c r="R206" i="165"/>
  <c r="AM207" i="165"/>
  <c r="AG207" i="165"/>
  <c r="AA207" i="165"/>
  <c r="U207" i="165"/>
  <c r="O207" i="165"/>
  <c r="X207" i="165"/>
  <c r="R210" i="165"/>
  <c r="BU220" i="165"/>
  <c r="BW220" i="165" s="1"/>
  <c r="AM217" i="165"/>
  <c r="AG217" i="165"/>
  <c r="AA217" i="165"/>
  <c r="U217" i="165"/>
  <c r="O217" i="165"/>
  <c r="AJ217" i="165"/>
  <c r="L217" i="165"/>
  <c r="R217" i="165"/>
  <c r="AJ218" i="165"/>
  <c r="AD218" i="165"/>
  <c r="X218" i="165"/>
  <c r="R218" i="165"/>
  <c r="L218" i="165"/>
  <c r="AM218" i="165"/>
  <c r="AG218" i="165"/>
  <c r="AA218" i="165"/>
  <c r="U218" i="165"/>
  <c r="O218" i="165"/>
  <c r="AM219" i="165"/>
  <c r="AG219" i="165"/>
  <c r="AA219" i="165"/>
  <c r="U219" i="165"/>
  <c r="O219" i="165"/>
  <c r="AJ219" i="165"/>
  <c r="AD219" i="165"/>
  <c r="X219" i="165"/>
  <c r="R219" i="165"/>
  <c r="L219" i="165"/>
  <c r="C266" i="165"/>
  <c r="CU220" i="165"/>
  <c r="CV220" i="165" s="1"/>
  <c r="AV115" i="166" l="1"/>
  <c r="AU115" i="166"/>
  <c r="AW130" i="166"/>
  <c r="AV114" i="166"/>
  <c r="AU114" i="166"/>
  <c r="AV107" i="166"/>
  <c r="AW107" i="166" s="1"/>
  <c r="AZ107" i="166" s="1"/>
  <c r="AU100" i="166"/>
  <c r="AV100" i="166"/>
  <c r="AW100" i="166" s="1"/>
  <c r="AW121" i="166"/>
  <c r="AZ121" i="166" s="1"/>
  <c r="AW115" i="166"/>
  <c r="AV207" i="167"/>
  <c r="AW207" i="167"/>
  <c r="AX207" i="167" s="1"/>
  <c r="AY207" i="167" s="1"/>
  <c r="AV215" i="167"/>
  <c r="AW215" i="167" s="1"/>
  <c r="AV178" i="167"/>
  <c r="AW178" i="167" s="1"/>
  <c r="AV78" i="167"/>
  <c r="AW78" i="167" s="1"/>
  <c r="AV16" i="167"/>
  <c r="AW16" i="167" s="1"/>
  <c r="AR31" i="167"/>
  <c r="AV126" i="167"/>
  <c r="AW126" i="167" s="1"/>
  <c r="AV19" i="167"/>
  <c r="AW19" i="167"/>
  <c r="AV102" i="167"/>
  <c r="AW102" i="167" s="1"/>
  <c r="AV15" i="167"/>
  <c r="AU15" i="167"/>
  <c r="AV28" i="167"/>
  <c r="AW28" i="167" s="1"/>
  <c r="AV158" i="167"/>
  <c r="AW158" i="167" s="1"/>
  <c r="AZ125" i="167"/>
  <c r="AX125" i="167"/>
  <c r="AY125" i="167" s="1"/>
  <c r="AX46" i="167"/>
  <c r="AZ46" i="167"/>
  <c r="AY46" i="167"/>
  <c r="AV122" i="167"/>
  <c r="AW122" i="167" s="1"/>
  <c r="AV181" i="167"/>
  <c r="AU181" i="167"/>
  <c r="AV124" i="167"/>
  <c r="AW124" i="167" s="1"/>
  <c r="AV204" i="167"/>
  <c r="AW204" i="167"/>
  <c r="AV133" i="167"/>
  <c r="AW133" i="167" s="1"/>
  <c r="AX70" i="167"/>
  <c r="AY70" i="167" s="1"/>
  <c r="AZ70" i="167"/>
  <c r="BX27" i="167"/>
  <c r="AX27" i="167"/>
  <c r="AY27" i="167" s="1"/>
  <c r="AZ27" i="167"/>
  <c r="AX40" i="167"/>
  <c r="AZ40" i="167"/>
  <c r="AY40" i="167"/>
  <c r="AZ114" i="167"/>
  <c r="AY114" i="167"/>
  <c r="AX114" i="167"/>
  <c r="AZ175" i="167"/>
  <c r="AX175" i="167"/>
  <c r="AY175" i="167" s="1"/>
  <c r="AZ216" i="167"/>
  <c r="AX216" i="167"/>
  <c r="AY216" i="167" s="1"/>
  <c r="AV32" i="167"/>
  <c r="AW32" i="167" s="1"/>
  <c r="AV44" i="167"/>
  <c r="AW44" i="167" s="1"/>
  <c r="AU44" i="167"/>
  <c r="AV71" i="167"/>
  <c r="AW71" i="167" s="1"/>
  <c r="AV111" i="167"/>
  <c r="AW111" i="167" s="1"/>
  <c r="AV159" i="167"/>
  <c r="AW159" i="167" s="1"/>
  <c r="AV209" i="167"/>
  <c r="AW209" i="167" s="1"/>
  <c r="AV179" i="167"/>
  <c r="AW179" i="167" s="1"/>
  <c r="AV219" i="167"/>
  <c r="AU219" i="167"/>
  <c r="AW219" i="167" s="1"/>
  <c r="AZ101" i="167"/>
  <c r="AX101" i="167"/>
  <c r="AY101" i="167" s="1"/>
  <c r="AZ43" i="167"/>
  <c r="BX43" i="167"/>
  <c r="AY43" i="167"/>
  <c r="AX43" i="167"/>
  <c r="AZ128" i="167"/>
  <c r="AX128" i="167"/>
  <c r="AY128" i="167" s="1"/>
  <c r="AV21" i="167"/>
  <c r="AW21" i="167" s="1"/>
  <c r="AV25" i="167"/>
  <c r="AW25" i="167" s="1"/>
  <c r="AV206" i="167"/>
  <c r="AW206" i="167" s="1"/>
  <c r="AV69" i="167"/>
  <c r="AW69" i="167" s="1"/>
  <c r="AZ163" i="167"/>
  <c r="AX163" i="167"/>
  <c r="AY163" i="167" s="1"/>
  <c r="AZ174" i="167"/>
  <c r="BX174" i="167"/>
  <c r="AX174" i="167"/>
  <c r="AY174" i="167" s="1"/>
  <c r="AZ183" i="167"/>
  <c r="AY183" i="167"/>
  <c r="AX183" i="167"/>
  <c r="BX118" i="167"/>
  <c r="AX118" i="167"/>
  <c r="AY118" i="167" s="1"/>
  <c r="AZ118" i="167"/>
  <c r="AW68" i="167"/>
  <c r="AV68" i="167"/>
  <c r="AG220" i="167"/>
  <c r="AG223" i="167"/>
  <c r="R220" i="167"/>
  <c r="R223" i="167"/>
  <c r="AV77" i="167"/>
  <c r="AW77" i="167" s="1"/>
  <c r="U137" i="167"/>
  <c r="U134" i="167"/>
  <c r="U139" i="167" s="1"/>
  <c r="AV112" i="167"/>
  <c r="AW112" i="167"/>
  <c r="AU100" i="167"/>
  <c r="AV100" i="167"/>
  <c r="AZ127" i="167"/>
  <c r="AX127" i="167"/>
  <c r="AY127" i="167" s="1"/>
  <c r="AU42" i="167"/>
  <c r="AU52" i="167" s="1"/>
  <c r="AV42" i="167"/>
  <c r="AV110" i="167"/>
  <c r="AW110" i="167" s="1"/>
  <c r="AV176" i="167"/>
  <c r="AW176" i="167" s="1"/>
  <c r="AV161" i="167"/>
  <c r="AW161" i="167" s="1"/>
  <c r="AV217" i="167"/>
  <c r="AW217" i="167"/>
  <c r="AX75" i="167"/>
  <c r="AY75" i="167" s="1"/>
  <c r="AZ75" i="167"/>
  <c r="BX75" i="167"/>
  <c r="AZ182" i="167"/>
  <c r="AX182" i="167"/>
  <c r="AY182" i="167" s="1"/>
  <c r="AZ106" i="167"/>
  <c r="AX106" i="167"/>
  <c r="AY106" i="167" s="1"/>
  <c r="AV214" i="167"/>
  <c r="AW214" i="167" s="1"/>
  <c r="I51" i="167"/>
  <c r="I48" i="167"/>
  <c r="AM12" i="167"/>
  <c r="AG12" i="167"/>
  <c r="AA12" i="167"/>
  <c r="U12" i="167"/>
  <c r="O12" i="167"/>
  <c r="AJ12" i="167"/>
  <c r="AD12" i="167"/>
  <c r="X12" i="167"/>
  <c r="R12" i="167"/>
  <c r="L12" i="167"/>
  <c r="U240" i="167"/>
  <c r="R241" i="167"/>
  <c r="O241" i="167"/>
  <c r="AG241" i="167"/>
  <c r="AO26" i="167"/>
  <c r="AO50" i="167" s="1"/>
  <c r="L243" i="167"/>
  <c r="AJ243" i="167"/>
  <c r="AA243" i="167"/>
  <c r="AO34" i="167"/>
  <c r="O223" i="167"/>
  <c r="O220" i="167"/>
  <c r="AM223" i="167"/>
  <c r="AM220" i="167"/>
  <c r="AM225" i="167" s="1"/>
  <c r="X223" i="167"/>
  <c r="X220" i="167"/>
  <c r="I225" i="167"/>
  <c r="X240" i="167"/>
  <c r="AW24" i="167"/>
  <c r="AV24" i="167"/>
  <c r="AV23" i="167"/>
  <c r="AW23" i="167"/>
  <c r="CV239" i="167"/>
  <c r="CV258" i="167" s="1"/>
  <c r="CV259" i="167"/>
  <c r="AA137" i="167"/>
  <c r="AA134" i="167"/>
  <c r="AA139" i="167" s="1"/>
  <c r="L134" i="167"/>
  <c r="L139" i="167" s="1"/>
  <c r="L137" i="167"/>
  <c r="AJ134" i="167"/>
  <c r="AJ137" i="167"/>
  <c r="AO117" i="167"/>
  <c r="AO135" i="167" s="1"/>
  <c r="AW164" i="167"/>
  <c r="AV164" i="167"/>
  <c r="AO212" i="167"/>
  <c r="AO221" i="167" s="1"/>
  <c r="CO258" i="167"/>
  <c r="AV130" i="167"/>
  <c r="AU130" i="167"/>
  <c r="AW130" i="167" s="1"/>
  <c r="AV156" i="167"/>
  <c r="AU156" i="167"/>
  <c r="AW156" i="167" s="1"/>
  <c r="AV155" i="167"/>
  <c r="AW155" i="167" s="1"/>
  <c r="AV171" i="167"/>
  <c r="AU171" i="167"/>
  <c r="AW171" i="167"/>
  <c r="AV20" i="167"/>
  <c r="AW20" i="167" s="1"/>
  <c r="AV105" i="167"/>
  <c r="AW105" i="167" s="1"/>
  <c r="AO172" i="167"/>
  <c r="AO185" i="167" s="1"/>
  <c r="AV109" i="167"/>
  <c r="AW109" i="167" s="1"/>
  <c r="AV154" i="167"/>
  <c r="AW154" i="167" s="1"/>
  <c r="AV103" i="167"/>
  <c r="AU103" i="167"/>
  <c r="AV121" i="167"/>
  <c r="AW121" i="167" s="1"/>
  <c r="AU121" i="167"/>
  <c r="AJ240" i="167"/>
  <c r="I187" i="167"/>
  <c r="I184" i="167"/>
  <c r="AM153" i="167"/>
  <c r="AG153" i="167"/>
  <c r="AA153" i="167"/>
  <c r="U153" i="167"/>
  <c r="O153" i="167"/>
  <c r="R153" i="167"/>
  <c r="X153" i="167"/>
  <c r="AD153" i="167"/>
  <c r="AJ153" i="167"/>
  <c r="L153" i="167"/>
  <c r="AO113" i="167"/>
  <c r="AO136" i="167" s="1"/>
  <c r="AW166" i="167"/>
  <c r="AV166" i="167"/>
  <c r="AO168" i="167"/>
  <c r="AO186" i="167" s="1"/>
  <c r="AV218" i="167"/>
  <c r="AU218" i="167"/>
  <c r="AW218" i="167" s="1"/>
  <c r="H239" i="167"/>
  <c r="H53" i="167"/>
  <c r="AR49" i="167"/>
  <c r="AT31" i="167"/>
  <c r="X241" i="167"/>
  <c r="AR26" i="167"/>
  <c r="AM241" i="167"/>
  <c r="R243" i="167"/>
  <c r="AG243" i="167"/>
  <c r="AO99" i="167"/>
  <c r="AO138" i="167" s="1"/>
  <c r="U223" i="167"/>
  <c r="U220" i="167"/>
  <c r="U225" i="167" s="1"/>
  <c r="AO203" i="167"/>
  <c r="AD223" i="167"/>
  <c r="AD220" i="167"/>
  <c r="AM240" i="167"/>
  <c r="AV36" i="167"/>
  <c r="AW36" i="167" s="1"/>
  <c r="AG137" i="167"/>
  <c r="AG134" i="167"/>
  <c r="AG139" i="167" s="1"/>
  <c r="R137" i="167"/>
  <c r="R134" i="167"/>
  <c r="AV104" i="167"/>
  <c r="AW104" i="167" s="1"/>
  <c r="AV120" i="167"/>
  <c r="AW120" i="167" s="1"/>
  <c r="AV173" i="167"/>
  <c r="AW173" i="167" s="1"/>
  <c r="AV167" i="167"/>
  <c r="AW167" i="167" s="1"/>
  <c r="AV177" i="167"/>
  <c r="AW177" i="167" s="1"/>
  <c r="AR211" i="167"/>
  <c r="AO170" i="167"/>
  <c r="AO188" i="167" s="1"/>
  <c r="AX13" i="167"/>
  <c r="AY13" i="167" s="1"/>
  <c r="AZ13" i="167"/>
  <c r="AV38" i="167"/>
  <c r="AW38" i="167" s="1"/>
  <c r="AV17" i="167"/>
  <c r="AW17" i="167" s="1"/>
  <c r="AV123" i="167"/>
  <c r="AW123" i="167" s="1"/>
  <c r="AV29" i="167"/>
  <c r="AW29" i="167" s="1"/>
  <c r="AU82" i="167"/>
  <c r="AU79" i="167"/>
  <c r="AU84" i="167" s="1"/>
  <c r="AZ169" i="167"/>
  <c r="AX169" i="167"/>
  <c r="AY169" i="167" s="1"/>
  <c r="AV205" i="167"/>
  <c r="AU205" i="167"/>
  <c r="AV35" i="167"/>
  <c r="AW35" i="167" s="1"/>
  <c r="AV41" i="167"/>
  <c r="AW41" i="167" s="1"/>
  <c r="AV107" i="167"/>
  <c r="AW107" i="167" s="1"/>
  <c r="AU115" i="167"/>
  <c r="AV115" i="167"/>
  <c r="AX129" i="167"/>
  <c r="AY129" i="167" s="1"/>
  <c r="AZ129" i="167"/>
  <c r="BX129" i="167"/>
  <c r="AX208" i="167"/>
  <c r="AY208" i="167" s="1"/>
  <c r="AZ208" i="167"/>
  <c r="AZ30" i="167"/>
  <c r="AX30" i="167"/>
  <c r="AY30" i="167" s="1"/>
  <c r="AV131" i="167"/>
  <c r="AW131" i="167" s="1"/>
  <c r="AR168" i="167"/>
  <c r="AV18" i="167"/>
  <c r="AW18" i="167" s="1"/>
  <c r="AV76" i="167"/>
  <c r="AW76" i="167" s="1"/>
  <c r="AO98" i="167"/>
  <c r="AD137" i="167"/>
  <c r="AD134" i="167"/>
  <c r="AD139" i="167" s="1"/>
  <c r="AW157" i="167"/>
  <c r="AV157" i="167"/>
  <c r="AV37" i="167"/>
  <c r="AW37" i="167" s="1"/>
  <c r="AX119" i="167"/>
  <c r="AY119" i="167" s="1"/>
  <c r="AZ119" i="167"/>
  <c r="BX119" i="167"/>
  <c r="AZ165" i="167"/>
  <c r="AX165" i="167"/>
  <c r="AY165" i="167"/>
  <c r="AX160" i="167"/>
  <c r="AY160" i="167" s="1"/>
  <c r="AZ160" i="167"/>
  <c r="AV162" i="167"/>
  <c r="AW162" i="167" s="1"/>
  <c r="AR74" i="167"/>
  <c r="H189" i="167"/>
  <c r="H242" i="167"/>
  <c r="AD241" i="167"/>
  <c r="U241" i="167"/>
  <c r="I241" i="167"/>
  <c r="AO73" i="167"/>
  <c r="AO81" i="167" s="1"/>
  <c r="AO210" i="167"/>
  <c r="AO222" i="167" s="1"/>
  <c r="X243" i="167"/>
  <c r="O243" i="167"/>
  <c r="AM243" i="167"/>
  <c r="I82" i="167"/>
  <c r="I79" i="167"/>
  <c r="AJ67" i="167"/>
  <c r="AD67" i="167"/>
  <c r="X67" i="167"/>
  <c r="R67" i="167"/>
  <c r="L67" i="167"/>
  <c r="AM67" i="167"/>
  <c r="AG67" i="167"/>
  <c r="AA67" i="167"/>
  <c r="U67" i="167"/>
  <c r="O67" i="167"/>
  <c r="AA223" i="167"/>
  <c r="AA220" i="167"/>
  <c r="AA225" i="167" s="1"/>
  <c r="L223" i="167"/>
  <c r="L220" i="167"/>
  <c r="AJ223" i="167"/>
  <c r="AJ220" i="167"/>
  <c r="AJ225" i="167" s="1"/>
  <c r="AV14" i="167"/>
  <c r="AW14" i="167" s="1"/>
  <c r="AV45" i="167"/>
  <c r="AW45" i="167" s="1"/>
  <c r="CU258" i="167"/>
  <c r="O137" i="167"/>
  <c r="O134" i="167"/>
  <c r="O139" i="167" s="1"/>
  <c r="AM137" i="167"/>
  <c r="AM134" i="167"/>
  <c r="X134" i="167"/>
  <c r="X137" i="167"/>
  <c r="AW108" i="167"/>
  <c r="AV108" i="167"/>
  <c r="AV22" i="167"/>
  <c r="AW22" i="167" s="1"/>
  <c r="AW47" i="167"/>
  <c r="AV47" i="167"/>
  <c r="AV116" i="167"/>
  <c r="AW116" i="167" s="1"/>
  <c r="AV213" i="167"/>
  <c r="AW213" i="167" s="1"/>
  <c r="AV33" i="167"/>
  <c r="AW33" i="167" s="1"/>
  <c r="AW72" i="167"/>
  <c r="AV72" i="167"/>
  <c r="AV180" i="167"/>
  <c r="AU180" i="167"/>
  <c r="AW180" i="167" s="1"/>
  <c r="AV39" i="167"/>
  <c r="AW39" i="167" s="1"/>
  <c r="AV132" i="167"/>
  <c r="AW132" i="167"/>
  <c r="R240" i="166"/>
  <c r="AO135" i="166"/>
  <c r="AO136" i="166"/>
  <c r="AO81" i="166"/>
  <c r="R241" i="166"/>
  <c r="AW43" i="166"/>
  <c r="AV101" i="166"/>
  <c r="AW101" i="166" s="1"/>
  <c r="AV171" i="166"/>
  <c r="AU171" i="166"/>
  <c r="AW171" i="166" s="1"/>
  <c r="AV123" i="166"/>
  <c r="AW123" i="166" s="1"/>
  <c r="AV71" i="166"/>
  <c r="AW71" i="166" s="1"/>
  <c r="AV132" i="166"/>
  <c r="AW132" i="166" s="1"/>
  <c r="AV178" i="166"/>
  <c r="AW178" i="166" s="1"/>
  <c r="AU219" i="166"/>
  <c r="AV219" i="166"/>
  <c r="AZ164" i="166"/>
  <c r="AX164" i="166"/>
  <c r="AY164" i="166" s="1"/>
  <c r="AX215" i="166"/>
  <c r="AY215" i="166" s="1"/>
  <c r="AZ215" i="166"/>
  <c r="AV208" i="166"/>
  <c r="AW208" i="166" s="1"/>
  <c r="AV122" i="166"/>
  <c r="AW122" i="166" s="1"/>
  <c r="AV166" i="166"/>
  <c r="AW166" i="166" s="1"/>
  <c r="AV218" i="166"/>
  <c r="AU218" i="166"/>
  <c r="AW218" i="166" s="1"/>
  <c r="AW72" i="166"/>
  <c r="AV72" i="166"/>
  <c r="AV156" i="166"/>
  <c r="AU156" i="166"/>
  <c r="AW156" i="166" s="1"/>
  <c r="AV112" i="166"/>
  <c r="AW112" i="166" s="1"/>
  <c r="AV155" i="166"/>
  <c r="AW155" i="166" s="1"/>
  <c r="AW167" i="166"/>
  <c r="AV167" i="166"/>
  <c r="AZ24" i="166"/>
  <c r="AX24" i="166"/>
  <c r="AY24" i="166" s="1"/>
  <c r="AZ165" i="166"/>
  <c r="AX165" i="166"/>
  <c r="AY165" i="166" s="1"/>
  <c r="AZ216" i="166"/>
  <c r="AX216" i="166"/>
  <c r="AY216" i="166" s="1"/>
  <c r="AX108" i="166"/>
  <c r="AY108" i="166" s="1"/>
  <c r="AZ108" i="166"/>
  <c r="AV158" i="166"/>
  <c r="AW158" i="166" s="1"/>
  <c r="AV217" i="166"/>
  <c r="AW217" i="166" s="1"/>
  <c r="AV28" i="166"/>
  <c r="AW28" i="166" s="1"/>
  <c r="AV127" i="166"/>
  <c r="AU127" i="166"/>
  <c r="AW37" i="166"/>
  <c r="AV37" i="166"/>
  <c r="AV128" i="166"/>
  <c r="AW128" i="166" s="1"/>
  <c r="AV78" i="166"/>
  <c r="AU78" i="166"/>
  <c r="AW78" i="166" s="1"/>
  <c r="AV133" i="166"/>
  <c r="AW133" i="166" s="1"/>
  <c r="AV116" i="166"/>
  <c r="AW116" i="166" s="1"/>
  <c r="AZ41" i="166"/>
  <c r="AX41" i="166"/>
  <c r="AY41" i="166" s="1"/>
  <c r="AX130" i="166"/>
  <c r="AY130" i="166" s="1"/>
  <c r="AZ130" i="166"/>
  <c r="AZ160" i="166"/>
  <c r="AX160" i="166"/>
  <c r="AY160" i="166" s="1"/>
  <c r="AY154" i="166"/>
  <c r="AX154" i="166"/>
  <c r="AZ154" i="166"/>
  <c r="AZ181" i="166"/>
  <c r="AY181" i="166"/>
  <c r="AX181" i="166"/>
  <c r="AZ205" i="166"/>
  <c r="AX205" i="166"/>
  <c r="AY205" i="166" s="1"/>
  <c r="BX29" i="166"/>
  <c r="AX29" i="166"/>
  <c r="AY29" i="166" s="1"/>
  <c r="AZ29" i="166"/>
  <c r="AX120" i="166"/>
  <c r="AY120" i="166" s="1"/>
  <c r="AZ120" i="166"/>
  <c r="AT67" i="166"/>
  <c r="AV40" i="166"/>
  <c r="AW40" i="166" s="1"/>
  <c r="AV162" i="166"/>
  <c r="AW162" i="166" s="1"/>
  <c r="AU44" i="166"/>
  <c r="AW44" i="166" s="1"/>
  <c r="AV44" i="166"/>
  <c r="AV119" i="166"/>
  <c r="AW119" i="166" s="1"/>
  <c r="AV124" i="166"/>
  <c r="AW124" i="166" s="1"/>
  <c r="AY157" i="166"/>
  <c r="AZ157" i="166"/>
  <c r="AX157" i="166"/>
  <c r="AX213" i="166"/>
  <c r="AY213" i="166" s="1"/>
  <c r="BX213" i="166"/>
  <c r="AZ213" i="166"/>
  <c r="AX100" i="166"/>
  <c r="AY100" i="166" s="1"/>
  <c r="AZ100" i="166"/>
  <c r="AX109" i="166"/>
  <c r="AY109" i="166" s="1"/>
  <c r="AZ109" i="166"/>
  <c r="AX118" i="166"/>
  <c r="AY118" i="166" s="1"/>
  <c r="AZ118" i="166"/>
  <c r="BX118" i="166"/>
  <c r="AX177" i="166"/>
  <c r="AY177" i="166"/>
  <c r="AZ177" i="166"/>
  <c r="AY18" i="166"/>
  <c r="AX18" i="166"/>
  <c r="AZ18" i="166"/>
  <c r="AV32" i="166"/>
  <c r="AW32" i="166" s="1"/>
  <c r="AM79" i="166"/>
  <c r="AM84" i="166" s="1"/>
  <c r="AJ79" i="166"/>
  <c r="AJ84" i="166" s="1"/>
  <c r="L82" i="166"/>
  <c r="L84" i="166" s="1"/>
  <c r="AV129" i="166"/>
  <c r="AW129" i="166" s="1"/>
  <c r="AV179" i="166"/>
  <c r="AW179" i="166" s="1"/>
  <c r="AO168" i="166"/>
  <c r="AO186" i="166" s="1"/>
  <c r="AO31" i="166"/>
  <c r="AO49" i="166" s="1"/>
  <c r="AG82" i="166"/>
  <c r="AG84" i="166" s="1"/>
  <c r="AV104" i="166"/>
  <c r="AW104" i="166" s="1"/>
  <c r="I184" i="166"/>
  <c r="AM153" i="166"/>
  <c r="AG153" i="166"/>
  <c r="AA153" i="166"/>
  <c r="U153" i="166"/>
  <c r="O153" i="166"/>
  <c r="I187" i="166"/>
  <c r="AD153" i="166"/>
  <c r="AJ153" i="166"/>
  <c r="L153" i="166"/>
  <c r="R153" i="166"/>
  <c r="X153" i="166"/>
  <c r="AV175" i="166"/>
  <c r="AW175" i="166"/>
  <c r="AV38" i="166"/>
  <c r="AW38" i="166" s="1"/>
  <c r="X79" i="166"/>
  <c r="X84" i="166" s="1"/>
  <c r="L137" i="166"/>
  <c r="L134" i="166"/>
  <c r="AJ134" i="166"/>
  <c r="AJ137" i="166"/>
  <c r="AA137" i="166"/>
  <c r="AA134" i="166"/>
  <c r="I139" i="166"/>
  <c r="I225" i="166"/>
  <c r="AJ223" i="166"/>
  <c r="AJ220" i="166"/>
  <c r="AG223" i="166"/>
  <c r="AG220" i="166"/>
  <c r="AG225" i="166" s="1"/>
  <c r="AR221" i="166"/>
  <c r="AT212" i="166"/>
  <c r="AV14" i="166"/>
  <c r="AW14" i="166"/>
  <c r="AJ243" i="166"/>
  <c r="U243" i="166"/>
  <c r="AO34" i="166"/>
  <c r="AO52" i="166" s="1"/>
  <c r="U79" i="166"/>
  <c r="U84" i="166" s="1"/>
  <c r="R79" i="166"/>
  <c r="R84" i="166" s="1"/>
  <c r="AV69" i="166"/>
  <c r="AW69" i="166" s="1"/>
  <c r="AV45" i="166"/>
  <c r="AW45" i="166" s="1"/>
  <c r="AZ182" i="166"/>
  <c r="AX182" i="166"/>
  <c r="AY182" i="166" s="1"/>
  <c r="AR81" i="166"/>
  <c r="AT73" i="166"/>
  <c r="AV39" i="166"/>
  <c r="AW39" i="166" s="1"/>
  <c r="AO68" i="166"/>
  <c r="AV13" i="166"/>
  <c r="AW13" i="166" s="1"/>
  <c r="AG240" i="166"/>
  <c r="AR135" i="166"/>
  <c r="AT117" i="166"/>
  <c r="H189" i="166"/>
  <c r="AO172" i="166"/>
  <c r="AO185" i="166" s="1"/>
  <c r="AO211" i="166"/>
  <c r="AO224" i="166" s="1"/>
  <c r="AV163" i="166"/>
  <c r="AW163" i="166" s="1"/>
  <c r="AV17" i="166"/>
  <c r="AW17" i="166"/>
  <c r="AR113" i="166"/>
  <c r="R137" i="166"/>
  <c r="R134" i="166"/>
  <c r="AG137" i="166"/>
  <c r="AG134" i="166"/>
  <c r="AV207" i="166"/>
  <c r="AW207" i="166" s="1"/>
  <c r="R223" i="166"/>
  <c r="R220" i="166"/>
  <c r="O223" i="166"/>
  <c r="O220" i="166"/>
  <c r="O225" i="166" s="1"/>
  <c r="AM220" i="166"/>
  <c r="AM225" i="166" s="1"/>
  <c r="AM223" i="166"/>
  <c r="AV16" i="166"/>
  <c r="AW16" i="166" s="1"/>
  <c r="X243" i="166"/>
  <c r="AD243" i="166"/>
  <c r="AA243" i="166"/>
  <c r="I243" i="166"/>
  <c r="AV33" i="166"/>
  <c r="AW33" i="166" s="1"/>
  <c r="AV70" i="166"/>
  <c r="AW70" i="166"/>
  <c r="AV103" i="166"/>
  <c r="AU103" i="166"/>
  <c r="AU137" i="166" s="1"/>
  <c r="AV169" i="166"/>
  <c r="AW169" i="166" s="1"/>
  <c r="AW176" i="166"/>
  <c r="AV176" i="166"/>
  <c r="AV23" i="166"/>
  <c r="AW23" i="166" s="1"/>
  <c r="AV126" i="166"/>
  <c r="AW126" i="166" s="1"/>
  <c r="AV75" i="166"/>
  <c r="AW75" i="166" s="1"/>
  <c r="AV105" i="166"/>
  <c r="AW105" i="166" s="1"/>
  <c r="AV47" i="166"/>
  <c r="AW47" i="166"/>
  <c r="AO26" i="166"/>
  <c r="AO50" i="166" s="1"/>
  <c r="O84" i="166"/>
  <c r="AO79" i="166"/>
  <c r="AO82" i="166"/>
  <c r="AO170" i="166"/>
  <c r="AO188" i="166" s="1"/>
  <c r="AO210" i="166"/>
  <c r="I51" i="166"/>
  <c r="I242" i="166" s="1"/>
  <c r="I48" i="166"/>
  <c r="AJ12" i="166"/>
  <c r="AD12" i="166"/>
  <c r="X12" i="166"/>
  <c r="R12" i="166"/>
  <c r="AO12" i="166" s="1"/>
  <c r="L12" i="166"/>
  <c r="AG12" i="166"/>
  <c r="AM12" i="166"/>
  <c r="O12" i="166"/>
  <c r="U12" i="166"/>
  <c r="AA12" i="166"/>
  <c r="AR80" i="166"/>
  <c r="AT74" i="166"/>
  <c r="AD82" i="166"/>
  <c r="AD84" i="166" s="1"/>
  <c r="AU180" i="166"/>
  <c r="AW180" i="166" s="1"/>
  <c r="AV180" i="166"/>
  <c r="AV21" i="166"/>
  <c r="AW21" i="166" s="1"/>
  <c r="AA79" i="166"/>
  <c r="AA84" i="166" s="1"/>
  <c r="AV46" i="166"/>
  <c r="AW46" i="166" s="1"/>
  <c r="X134" i="166"/>
  <c r="X139" i="166" s="1"/>
  <c r="X137" i="166"/>
  <c r="O137" i="166"/>
  <c r="O134" i="166"/>
  <c r="O139" i="166" s="1"/>
  <c r="AM137" i="166"/>
  <c r="AM134" i="166"/>
  <c r="AD223" i="166"/>
  <c r="AD220" i="166"/>
  <c r="AD225" i="166" s="1"/>
  <c r="U220" i="166"/>
  <c r="U223" i="166"/>
  <c r="AO203" i="166"/>
  <c r="AV20" i="166"/>
  <c r="AW20" i="166" s="1"/>
  <c r="R243" i="166"/>
  <c r="AR34" i="166"/>
  <c r="AG243" i="166"/>
  <c r="AV77" i="166"/>
  <c r="AW77" i="166"/>
  <c r="AV76" i="166"/>
  <c r="AW76" i="166" s="1"/>
  <c r="AO99" i="166"/>
  <c r="AO138" i="166" s="1"/>
  <c r="AV106" i="166"/>
  <c r="AW106" i="166" s="1"/>
  <c r="AV161" i="166"/>
  <c r="AW161" i="166" s="1"/>
  <c r="AV173" i="166"/>
  <c r="AW173" i="166" s="1"/>
  <c r="AV209" i="166"/>
  <c r="AW209" i="166" s="1"/>
  <c r="AV22" i="166"/>
  <c r="AW22" i="166" s="1"/>
  <c r="AV206" i="166"/>
  <c r="AW206" i="166" s="1"/>
  <c r="AX214" i="166"/>
  <c r="AY214" i="166" s="1"/>
  <c r="AZ214" i="166"/>
  <c r="BX214" i="166"/>
  <c r="AR15" i="166"/>
  <c r="AT15" i="166" s="1"/>
  <c r="AV102" i="166"/>
  <c r="AW102" i="166" s="1"/>
  <c r="AX43" i="166"/>
  <c r="AY43" i="166" s="1"/>
  <c r="AZ43" i="166"/>
  <c r="BX43" i="166"/>
  <c r="AV110" i="166"/>
  <c r="AW110" i="166" s="1"/>
  <c r="AV204" i="166"/>
  <c r="AW204" i="166" s="1"/>
  <c r="AR68" i="166"/>
  <c r="AT68" i="166" s="1"/>
  <c r="CV258" i="166"/>
  <c r="AR170" i="166"/>
  <c r="AW183" i="166"/>
  <c r="AV183" i="166"/>
  <c r="H239" i="166"/>
  <c r="H244" i="166" s="1"/>
  <c r="H53" i="166"/>
  <c r="AW30" i="166"/>
  <c r="AV30" i="166"/>
  <c r="X240" i="166"/>
  <c r="AV25" i="166"/>
  <c r="AW25" i="166" s="1"/>
  <c r="AU42" i="166"/>
  <c r="AU52" i="166" s="1"/>
  <c r="AV42" i="166"/>
  <c r="AO98" i="166"/>
  <c r="AR98" i="166" s="1"/>
  <c r="AD137" i="166"/>
  <c r="AD134" i="166"/>
  <c r="AD139" i="166" s="1"/>
  <c r="U137" i="166"/>
  <c r="U134" i="166"/>
  <c r="X223" i="166"/>
  <c r="X220" i="166"/>
  <c r="X225" i="166" s="1"/>
  <c r="L220" i="166"/>
  <c r="L225" i="166" s="1"/>
  <c r="L223" i="166"/>
  <c r="AA220" i="166"/>
  <c r="AA223" i="166"/>
  <c r="L243" i="166"/>
  <c r="O243" i="166"/>
  <c r="AM243" i="166"/>
  <c r="AV111" i="166"/>
  <c r="AW111" i="166" s="1"/>
  <c r="AV174" i="166"/>
  <c r="AW174" i="166" s="1"/>
  <c r="AW35" i="166"/>
  <c r="AV35" i="166"/>
  <c r="AV159" i="166"/>
  <c r="AW159" i="166" s="1"/>
  <c r="AV27" i="166"/>
  <c r="AW27" i="166" s="1"/>
  <c r="AV36" i="166"/>
  <c r="AW36" i="166" s="1"/>
  <c r="AW19" i="166"/>
  <c r="AV19" i="166"/>
  <c r="AV131" i="166"/>
  <c r="AW131" i="166" s="1"/>
  <c r="AU223" i="166"/>
  <c r="AV125" i="166"/>
  <c r="AW125" i="166" s="1"/>
  <c r="AT244" i="165"/>
  <c r="AQ244" i="165"/>
  <c r="C244" i="165"/>
  <c r="AW193" i="165"/>
  <c r="AW199" i="165" s="1"/>
  <c r="AO41" i="165"/>
  <c r="AR41" i="165" s="1"/>
  <c r="AT41" i="165" s="1"/>
  <c r="AV41" i="165" s="1"/>
  <c r="AW41" i="165" s="1"/>
  <c r="AO31" i="165"/>
  <c r="AO37" i="165"/>
  <c r="AR37" i="165" s="1"/>
  <c r="AT37" i="165" s="1"/>
  <c r="AV37" i="165" s="1"/>
  <c r="AW37" i="165" s="1"/>
  <c r="AO100" i="165"/>
  <c r="AR100" i="165" s="1"/>
  <c r="AT100" i="165" s="1"/>
  <c r="AU100" i="165" s="1"/>
  <c r="AO74" i="165"/>
  <c r="AR74" i="165" s="1"/>
  <c r="AT74" i="165" s="1"/>
  <c r="AV74" i="165" s="1"/>
  <c r="AW74" i="165" s="1"/>
  <c r="AO33" i="165"/>
  <c r="AO179" i="165"/>
  <c r="AR179" i="165" s="1"/>
  <c r="AT179" i="165" s="1"/>
  <c r="AO183" i="165"/>
  <c r="AR183" i="165" s="1"/>
  <c r="AT183" i="165" s="1"/>
  <c r="AV183" i="165" s="1"/>
  <c r="AW183" i="165" s="1"/>
  <c r="AO204" i="165"/>
  <c r="AR204" i="165" s="1"/>
  <c r="AT204" i="165" s="1"/>
  <c r="AO132" i="165"/>
  <c r="AO171" i="165"/>
  <c r="AR171" i="165" s="1"/>
  <c r="AT171" i="165" s="1"/>
  <c r="AO128" i="165"/>
  <c r="AR128" i="165" s="1"/>
  <c r="AT128" i="165" s="1"/>
  <c r="AO16" i="165"/>
  <c r="AR16" i="165" s="1"/>
  <c r="AT16" i="165" s="1"/>
  <c r="AO14" i="165"/>
  <c r="AR14" i="165" s="1"/>
  <c r="AT14" i="165" s="1"/>
  <c r="AO206" i="165"/>
  <c r="AR206" i="165" s="1"/>
  <c r="AT206" i="165" s="1"/>
  <c r="AV206" i="165" s="1"/>
  <c r="AW206" i="165" s="1"/>
  <c r="AO219" i="165"/>
  <c r="AR219" i="165" s="1"/>
  <c r="AT219" i="165" s="1"/>
  <c r="AV219" i="165" s="1"/>
  <c r="AO154" i="165"/>
  <c r="AR154" i="165" s="1"/>
  <c r="AT154" i="165" s="1"/>
  <c r="AV154" i="165" s="1"/>
  <c r="AW154" i="165" s="1"/>
  <c r="AO69" i="165"/>
  <c r="AR69" i="165" s="1"/>
  <c r="AT69" i="165" s="1"/>
  <c r="AO103" i="165"/>
  <c r="AR103" i="165" s="1"/>
  <c r="AT103" i="165" s="1"/>
  <c r="AV103" i="165" s="1"/>
  <c r="AO218" i="165"/>
  <c r="AR218" i="165" s="1"/>
  <c r="AT218" i="165" s="1"/>
  <c r="AU218" i="165" s="1"/>
  <c r="AO207" i="165"/>
  <c r="AR207" i="165" s="1"/>
  <c r="AT207" i="165" s="1"/>
  <c r="AV207" i="165" s="1"/>
  <c r="AW207" i="165" s="1"/>
  <c r="AO216" i="165"/>
  <c r="AO213" i="165"/>
  <c r="AR213" i="165" s="1"/>
  <c r="AT213" i="165" s="1"/>
  <c r="AV213" i="165" s="1"/>
  <c r="AW213" i="165" s="1"/>
  <c r="AO208" i="165"/>
  <c r="AR208" i="165" s="1"/>
  <c r="AT208" i="165" s="1"/>
  <c r="AV208" i="165" s="1"/>
  <c r="AW208" i="165" s="1"/>
  <c r="AO173" i="165"/>
  <c r="AR173" i="165" s="1"/>
  <c r="AT173" i="165" s="1"/>
  <c r="AO172" i="165"/>
  <c r="AR172" i="165" s="1"/>
  <c r="AT172" i="165" s="1"/>
  <c r="AV172" i="165" s="1"/>
  <c r="AW172" i="165" s="1"/>
  <c r="AO161" i="165"/>
  <c r="AR161" i="165" s="1"/>
  <c r="AT161" i="165" s="1"/>
  <c r="AV161" i="165" s="1"/>
  <c r="AW161" i="165" s="1"/>
  <c r="AO158" i="165"/>
  <c r="AR158" i="165" s="1"/>
  <c r="AT158" i="165" s="1"/>
  <c r="AV158" i="165" s="1"/>
  <c r="AW158" i="165" s="1"/>
  <c r="AO168" i="165"/>
  <c r="AR168" i="165" s="1"/>
  <c r="AT168" i="165" s="1"/>
  <c r="AO157" i="165"/>
  <c r="AR157" i="165" s="1"/>
  <c r="AT157" i="165" s="1"/>
  <c r="AV157" i="165" s="1"/>
  <c r="AW157" i="165" s="1"/>
  <c r="AQ239" i="165"/>
  <c r="AO133" i="165"/>
  <c r="AR133" i="165" s="1"/>
  <c r="AT133" i="165" s="1"/>
  <c r="AO110" i="165"/>
  <c r="AR110" i="165" s="1"/>
  <c r="AT110" i="165" s="1"/>
  <c r="AV110" i="165" s="1"/>
  <c r="AW110" i="165" s="1"/>
  <c r="AO160" i="165"/>
  <c r="AO107" i="165"/>
  <c r="AR107" i="165" s="1"/>
  <c r="AT107" i="165" s="1"/>
  <c r="AV107" i="165" s="1"/>
  <c r="AW107" i="165" s="1"/>
  <c r="AO77" i="165"/>
  <c r="AR77" i="165" s="1"/>
  <c r="AT77" i="165" s="1"/>
  <c r="AO68" i="165"/>
  <c r="AR68" i="165" s="1"/>
  <c r="AT68" i="165" s="1"/>
  <c r="AV68" i="165" s="1"/>
  <c r="AO44" i="165"/>
  <c r="AR44" i="165" s="1"/>
  <c r="AT44" i="165" s="1"/>
  <c r="AO78" i="165"/>
  <c r="AR78" i="165" s="1"/>
  <c r="AT78" i="165" s="1"/>
  <c r="AO34" i="165"/>
  <c r="AR34" i="165" s="1"/>
  <c r="AT34" i="165" s="1"/>
  <c r="AO17" i="165"/>
  <c r="AR17" i="165" s="1"/>
  <c r="AT17" i="165" s="1"/>
  <c r="AO18" i="165"/>
  <c r="AR18" i="165" s="1"/>
  <c r="AT18" i="165" s="1"/>
  <c r="AO209" i="165"/>
  <c r="AR209" i="165" s="1"/>
  <c r="AT209" i="165" s="1"/>
  <c r="AO166" i="165"/>
  <c r="AR166" i="165" s="1"/>
  <c r="AT166" i="165" s="1"/>
  <c r="AO178" i="165"/>
  <c r="AR178" i="165" s="1"/>
  <c r="AT178" i="165" s="1"/>
  <c r="AO175" i="165"/>
  <c r="AR175" i="165" s="1"/>
  <c r="AT175" i="165" s="1"/>
  <c r="AO159" i="165"/>
  <c r="AR159" i="165" s="1"/>
  <c r="AT159" i="165" s="1"/>
  <c r="AO163" i="165"/>
  <c r="AR163" i="165" s="1"/>
  <c r="AT163" i="165" s="1"/>
  <c r="AO155" i="165"/>
  <c r="AR155" i="165" s="1"/>
  <c r="AT155" i="165" s="1"/>
  <c r="CU239" i="165"/>
  <c r="CU258" i="165" s="1"/>
  <c r="AO124" i="165"/>
  <c r="AR124" i="165" s="1"/>
  <c r="AT124" i="165" s="1"/>
  <c r="AO108" i="165"/>
  <c r="AR108" i="165" s="1"/>
  <c r="AT108" i="165" s="1"/>
  <c r="CT258" i="165"/>
  <c r="AO122" i="165"/>
  <c r="AR122" i="165" s="1"/>
  <c r="AT122" i="165" s="1"/>
  <c r="AO99" i="165"/>
  <c r="AR99" i="165" s="1"/>
  <c r="AT99" i="165" s="1"/>
  <c r="BN239" i="165"/>
  <c r="AO29" i="165"/>
  <c r="AR29" i="165" s="1"/>
  <c r="AT29" i="165" s="1"/>
  <c r="AO30" i="165"/>
  <c r="AR30" i="165" s="1"/>
  <c r="AT30" i="165" s="1"/>
  <c r="AO42" i="165"/>
  <c r="AR42" i="165" s="1"/>
  <c r="AT42" i="165" s="1"/>
  <c r="AO22" i="165"/>
  <c r="AR22" i="165" s="1"/>
  <c r="AT22" i="165" s="1"/>
  <c r="AO72" i="165"/>
  <c r="AR72" i="165" s="1"/>
  <c r="AT72" i="165" s="1"/>
  <c r="AV72" i="165" s="1"/>
  <c r="AW72" i="165" s="1"/>
  <c r="AO210" i="165"/>
  <c r="AR210" i="165" s="1"/>
  <c r="AT210" i="165" s="1"/>
  <c r="AV210" i="165" s="1"/>
  <c r="AW210" i="165" s="1"/>
  <c r="AO212" i="165"/>
  <c r="AR212" i="165" s="1"/>
  <c r="AT212" i="165" s="1"/>
  <c r="AO215" i="165"/>
  <c r="AR215" i="165" s="1"/>
  <c r="AT215" i="165" s="1"/>
  <c r="AV215" i="165" s="1"/>
  <c r="AW215" i="165" s="1"/>
  <c r="AO214" i="165"/>
  <c r="AR214" i="165" s="1"/>
  <c r="AT214" i="165" s="1"/>
  <c r="AO182" i="165"/>
  <c r="AR182" i="165" s="1"/>
  <c r="AT182" i="165" s="1"/>
  <c r="AV182" i="165" s="1"/>
  <c r="AW182" i="165" s="1"/>
  <c r="AO170" i="165"/>
  <c r="AR170" i="165" s="1"/>
  <c r="AT170" i="165" s="1"/>
  <c r="AV170" i="165" s="1"/>
  <c r="AO176" i="165"/>
  <c r="AR176" i="165" s="1"/>
  <c r="AT176" i="165" s="1"/>
  <c r="AO169" i="165"/>
  <c r="AR169" i="165" s="1"/>
  <c r="AT169" i="165" s="1"/>
  <c r="AO174" i="165"/>
  <c r="AR174" i="165" s="1"/>
  <c r="AT174" i="165" s="1"/>
  <c r="AO156" i="165"/>
  <c r="AR156" i="165" s="1"/>
  <c r="AT156" i="165" s="1"/>
  <c r="AR132" i="165"/>
  <c r="AT132" i="165" s="1"/>
  <c r="AV132" i="165" s="1"/>
  <c r="AW132" i="165" s="1"/>
  <c r="AO126" i="165"/>
  <c r="AR126" i="165" s="1"/>
  <c r="AT126" i="165" s="1"/>
  <c r="AV126" i="165" s="1"/>
  <c r="AW126" i="165" s="1"/>
  <c r="AO123" i="165"/>
  <c r="AR123" i="165" s="1"/>
  <c r="AT123" i="165" s="1"/>
  <c r="AV123" i="165" s="1"/>
  <c r="AW123" i="165" s="1"/>
  <c r="AO118" i="165"/>
  <c r="AR118" i="165" s="1"/>
  <c r="AT118" i="165" s="1"/>
  <c r="AO105" i="165"/>
  <c r="AR105" i="165" s="1"/>
  <c r="AT105" i="165" s="1"/>
  <c r="AO121" i="165"/>
  <c r="AR121" i="165" s="1"/>
  <c r="AT121" i="165" s="1"/>
  <c r="AO106" i="165"/>
  <c r="AR106" i="165" s="1"/>
  <c r="AT106" i="165" s="1"/>
  <c r="F239" i="165"/>
  <c r="AO73" i="165"/>
  <c r="AR73" i="165" s="1"/>
  <c r="AT73" i="165" s="1"/>
  <c r="AO70" i="165"/>
  <c r="AR70" i="165" s="1"/>
  <c r="AT70" i="165" s="1"/>
  <c r="AO47" i="165"/>
  <c r="AR47" i="165" s="1"/>
  <c r="AT47" i="165" s="1"/>
  <c r="AO76" i="165"/>
  <c r="AR76" i="165" s="1"/>
  <c r="AT76" i="165" s="1"/>
  <c r="AO46" i="165"/>
  <c r="AR46" i="165" s="1"/>
  <c r="AT46" i="165" s="1"/>
  <c r="AO75" i="165"/>
  <c r="AR75" i="165" s="1"/>
  <c r="AT75" i="165" s="1"/>
  <c r="AV75" i="165" s="1"/>
  <c r="AW75" i="165" s="1"/>
  <c r="AO39" i="165"/>
  <c r="AR39" i="165" s="1"/>
  <c r="AT39" i="165" s="1"/>
  <c r="AO38" i="165"/>
  <c r="AR38" i="165" s="1"/>
  <c r="AT38" i="165" s="1"/>
  <c r="AO36" i="165"/>
  <c r="AR36" i="165" s="1"/>
  <c r="AT36" i="165" s="1"/>
  <c r="AV36" i="165" s="1"/>
  <c r="AW36" i="165" s="1"/>
  <c r="AO20" i="165"/>
  <c r="AR20" i="165" s="1"/>
  <c r="AT20" i="165" s="1"/>
  <c r="AO21" i="165"/>
  <c r="AR21" i="165" s="1"/>
  <c r="AT21" i="165" s="1"/>
  <c r="AV21" i="165" s="1"/>
  <c r="AW21" i="165" s="1"/>
  <c r="AO15" i="165"/>
  <c r="AR15" i="165" s="1"/>
  <c r="AT15" i="165" s="1"/>
  <c r="AO24" i="165"/>
  <c r="AR24" i="165" s="1"/>
  <c r="AT24" i="165" s="1"/>
  <c r="AU103" i="165"/>
  <c r="AR160" i="165"/>
  <c r="AT160" i="165" s="1"/>
  <c r="AR33" i="165"/>
  <c r="AT33" i="165" s="1"/>
  <c r="AR31" i="165"/>
  <c r="AT31" i="165" s="1"/>
  <c r="AO205" i="165"/>
  <c r="AR205" i="165" s="1"/>
  <c r="AT205" i="165" s="1"/>
  <c r="AO109" i="165"/>
  <c r="AR109" i="165" s="1"/>
  <c r="AT109" i="165" s="1"/>
  <c r="AO119" i="165"/>
  <c r="AR119" i="165" s="1"/>
  <c r="AT119" i="165" s="1"/>
  <c r="AA184" i="165"/>
  <c r="AO211" i="165"/>
  <c r="AR211" i="165" s="1"/>
  <c r="AT211" i="165" s="1"/>
  <c r="AO164" i="165"/>
  <c r="AR164" i="165" s="1"/>
  <c r="AT164" i="165" s="1"/>
  <c r="AO129" i="165"/>
  <c r="AR129" i="165" s="1"/>
  <c r="AT129" i="165" s="1"/>
  <c r="AO162" i="165"/>
  <c r="AR162" i="165" s="1"/>
  <c r="AT162" i="165" s="1"/>
  <c r="AO180" i="165"/>
  <c r="AR180" i="165" s="1"/>
  <c r="AT180" i="165" s="1"/>
  <c r="AO117" i="165"/>
  <c r="AR117" i="165" s="1"/>
  <c r="AT117" i="165" s="1"/>
  <c r="AO131" i="165"/>
  <c r="AR131" i="165" s="1"/>
  <c r="AT131" i="165" s="1"/>
  <c r="AO127" i="165"/>
  <c r="AR127" i="165" s="1"/>
  <c r="AT127" i="165" s="1"/>
  <c r="U184" i="165"/>
  <c r="L184" i="165"/>
  <c r="AJ184" i="165"/>
  <c r="H134" i="165"/>
  <c r="I98" i="165"/>
  <c r="AO112" i="165"/>
  <c r="AR112" i="165" s="1"/>
  <c r="AT112" i="165" s="1"/>
  <c r="AO120" i="165"/>
  <c r="AR120" i="165" s="1"/>
  <c r="AT120" i="165" s="1"/>
  <c r="AO116" i="165"/>
  <c r="AR116" i="165" s="1"/>
  <c r="AT116" i="165" s="1"/>
  <c r="AO115" i="165"/>
  <c r="AR115" i="165" s="1"/>
  <c r="AT115" i="165" s="1"/>
  <c r="AO114" i="165"/>
  <c r="AR114" i="165" s="1"/>
  <c r="AT114" i="165" s="1"/>
  <c r="AO111" i="165"/>
  <c r="AR111" i="165" s="1"/>
  <c r="AT111" i="165" s="1"/>
  <c r="AO102" i="165"/>
  <c r="AR102" i="165" s="1"/>
  <c r="AT102" i="165" s="1"/>
  <c r="AO71" i="165"/>
  <c r="AR71" i="165" s="1"/>
  <c r="AT71" i="165" s="1"/>
  <c r="AO104" i="165"/>
  <c r="AR104" i="165" s="1"/>
  <c r="AT104" i="165" s="1"/>
  <c r="V239" i="165"/>
  <c r="AO45" i="165"/>
  <c r="AR45" i="165" s="1"/>
  <c r="AT45" i="165" s="1"/>
  <c r="AO27" i="165"/>
  <c r="AR27" i="165" s="1"/>
  <c r="AT27" i="165" s="1"/>
  <c r="AO35" i="165"/>
  <c r="AR35" i="165" s="1"/>
  <c r="AT35" i="165" s="1"/>
  <c r="BO239" i="165"/>
  <c r="S239" i="165"/>
  <c r="AO26" i="165"/>
  <c r="AR26" i="165" s="1"/>
  <c r="AT26" i="165" s="1"/>
  <c r="AO217" i="165"/>
  <c r="AR217" i="165" s="1"/>
  <c r="AT217" i="165" s="1"/>
  <c r="AR216" i="165"/>
  <c r="AT216" i="165" s="1"/>
  <c r="AO177" i="165"/>
  <c r="AR177" i="165" s="1"/>
  <c r="AT177" i="165" s="1"/>
  <c r="AO167" i="165"/>
  <c r="AR167" i="165" s="1"/>
  <c r="AT167" i="165" s="1"/>
  <c r="AO130" i="165"/>
  <c r="AR130" i="165" s="1"/>
  <c r="AT130" i="165" s="1"/>
  <c r="AO153" i="165"/>
  <c r="AR153" i="165" s="1"/>
  <c r="AO181" i="165"/>
  <c r="AR181" i="165" s="1"/>
  <c r="AT181" i="165" s="1"/>
  <c r="AO165" i="165"/>
  <c r="AR165" i="165" s="1"/>
  <c r="AT165" i="165" s="1"/>
  <c r="CV134" i="165"/>
  <c r="CV239" i="165" s="1"/>
  <c r="AO125" i="165"/>
  <c r="AR125" i="165" s="1"/>
  <c r="AT125" i="165" s="1"/>
  <c r="AG184" i="165"/>
  <c r="O184" i="165"/>
  <c r="R184" i="165"/>
  <c r="AO101" i="165"/>
  <c r="AR101" i="165" s="1"/>
  <c r="AT101" i="165" s="1"/>
  <c r="CN259" i="165"/>
  <c r="CN239" i="165"/>
  <c r="CO48" i="165"/>
  <c r="P239" i="165"/>
  <c r="AK239" i="165"/>
  <c r="M239" i="165"/>
  <c r="AO40" i="165"/>
  <c r="AR40" i="165" s="1"/>
  <c r="AT40" i="165" s="1"/>
  <c r="AO13" i="165"/>
  <c r="AR13" i="165" s="1"/>
  <c r="AT13" i="165" s="1"/>
  <c r="AO23" i="165"/>
  <c r="AR23" i="165" s="1"/>
  <c r="AT23" i="165" s="1"/>
  <c r="I220" i="165"/>
  <c r="AM203" i="165"/>
  <c r="AM220" i="165" s="1"/>
  <c r="AG203" i="165"/>
  <c r="AG220" i="165" s="1"/>
  <c r="AA203" i="165"/>
  <c r="AA220" i="165" s="1"/>
  <c r="U203" i="165"/>
  <c r="U220" i="165" s="1"/>
  <c r="O203" i="165"/>
  <c r="O220" i="165" s="1"/>
  <c r="AJ203" i="165"/>
  <c r="AJ220" i="165" s="1"/>
  <c r="AD203" i="165"/>
  <c r="AD220" i="165" s="1"/>
  <c r="X203" i="165"/>
  <c r="X220" i="165" s="1"/>
  <c r="R203" i="165"/>
  <c r="R220" i="165" s="1"/>
  <c r="L203" i="165"/>
  <c r="L220" i="165" s="1"/>
  <c r="AO113" i="165"/>
  <c r="AR113" i="165" s="1"/>
  <c r="AT113" i="165" s="1"/>
  <c r="AM184" i="165"/>
  <c r="X184" i="165"/>
  <c r="CM258" i="165"/>
  <c r="CV259" i="165"/>
  <c r="BU239" i="165"/>
  <c r="BW48" i="165"/>
  <c r="BW239" i="165" s="1"/>
  <c r="I79" i="165"/>
  <c r="AM67" i="165"/>
  <c r="AM79" i="165" s="1"/>
  <c r="AG67" i="165"/>
  <c r="AG79" i="165" s="1"/>
  <c r="AA67" i="165"/>
  <c r="AA79" i="165" s="1"/>
  <c r="U67" i="165"/>
  <c r="U79" i="165" s="1"/>
  <c r="O67" i="165"/>
  <c r="O79" i="165" s="1"/>
  <c r="AJ67" i="165"/>
  <c r="AJ79" i="165" s="1"/>
  <c r="AD67" i="165"/>
  <c r="AD79" i="165" s="1"/>
  <c r="X67" i="165"/>
  <c r="X79" i="165" s="1"/>
  <c r="R67" i="165"/>
  <c r="R79" i="165" s="1"/>
  <c r="L67" i="165"/>
  <c r="L79" i="165" s="1"/>
  <c r="AH239" i="165"/>
  <c r="J239" i="165"/>
  <c r="AE239" i="165"/>
  <c r="H48" i="165"/>
  <c r="I12" i="165"/>
  <c r="AO28" i="165"/>
  <c r="AR28" i="165" s="1"/>
  <c r="AT28" i="165" s="1"/>
  <c r="AO25" i="165"/>
  <c r="AR25" i="165" s="1"/>
  <c r="AT25" i="165" s="1"/>
  <c r="AO32" i="165"/>
  <c r="AR32" i="165" s="1"/>
  <c r="AT32" i="165" s="1"/>
  <c r="AO19" i="165"/>
  <c r="AR19" i="165" s="1"/>
  <c r="AT19" i="165" s="1"/>
  <c r="AD184" i="165"/>
  <c r="AO43" i="165"/>
  <c r="AR43" i="165" s="1"/>
  <c r="AT43" i="165" s="1"/>
  <c r="AB239" i="165"/>
  <c r="Y239" i="165"/>
  <c r="AR168" i="166" l="1"/>
  <c r="AW127" i="166"/>
  <c r="AW114" i="166"/>
  <c r="AX121" i="166"/>
  <c r="AY121" i="166" s="1"/>
  <c r="AW42" i="166"/>
  <c r="AR211" i="166"/>
  <c r="AW219" i="166"/>
  <c r="AX107" i="166"/>
  <c r="AY107" i="166" s="1"/>
  <c r="AZ115" i="166"/>
  <c r="AX115" i="166"/>
  <c r="AY115" i="166" s="1"/>
  <c r="AZ215" i="167"/>
  <c r="AX215" i="167"/>
  <c r="AY215" i="167" s="1"/>
  <c r="AW205" i="167"/>
  <c r="AZ205" i="167" s="1"/>
  <c r="AZ207" i="167"/>
  <c r="AX178" i="167"/>
  <c r="AY178" i="167" s="1"/>
  <c r="AZ178" i="167"/>
  <c r="BX178" i="167"/>
  <c r="AO240" i="167"/>
  <c r="AW181" i="167"/>
  <c r="AW103" i="167"/>
  <c r="AW115" i="167"/>
  <c r="AR113" i="167"/>
  <c r="AX78" i="167"/>
  <c r="AY78" i="167" s="1"/>
  <c r="AZ78" i="167"/>
  <c r="AX16" i="167"/>
  <c r="AY16" i="167" s="1"/>
  <c r="AZ16" i="167"/>
  <c r="AZ103" i="167"/>
  <c r="AX103" i="167"/>
  <c r="AY103" i="167" s="1"/>
  <c r="AX219" i="167"/>
  <c r="AY219" i="167" s="1"/>
  <c r="AZ219" i="167"/>
  <c r="AX102" i="167"/>
  <c r="AY102" i="167" s="1"/>
  <c r="AZ102" i="167"/>
  <c r="AZ22" i="167"/>
  <c r="AX22" i="167"/>
  <c r="AY22" i="167" s="1"/>
  <c r="AZ37" i="167"/>
  <c r="AX37" i="167"/>
  <c r="AY37" i="167" s="1"/>
  <c r="AY18" i="167"/>
  <c r="AZ18" i="167"/>
  <c r="AX18" i="167"/>
  <c r="AX105" i="167"/>
  <c r="AY105" i="167" s="1"/>
  <c r="AZ105" i="167"/>
  <c r="AZ130" i="167"/>
  <c r="AX130" i="167"/>
  <c r="AY130" i="167" s="1"/>
  <c r="AZ214" i="167"/>
  <c r="BX214" i="167"/>
  <c r="AX214" i="167"/>
  <c r="AY214" i="167" s="1"/>
  <c r="AX110" i="167"/>
  <c r="AY110" i="167" s="1"/>
  <c r="AZ110" i="167"/>
  <c r="AY21" i="167"/>
  <c r="AZ21" i="167"/>
  <c r="AX21" i="167"/>
  <c r="AX159" i="167"/>
  <c r="AY159" i="167" s="1"/>
  <c r="AZ159" i="167"/>
  <c r="AZ44" i="167"/>
  <c r="AX44" i="167"/>
  <c r="AY44" i="167" s="1"/>
  <c r="AX181" i="167"/>
  <c r="AY181" i="167" s="1"/>
  <c r="AZ181" i="167"/>
  <c r="AX205" i="167"/>
  <c r="AY205" i="167" s="1"/>
  <c r="AX176" i="167"/>
  <c r="AY176" i="167" s="1"/>
  <c r="AZ176" i="167"/>
  <c r="AZ116" i="167"/>
  <c r="BX116" i="167"/>
  <c r="AX116" i="167"/>
  <c r="AY116" i="167" s="1"/>
  <c r="AX115" i="167"/>
  <c r="AY115" i="167" s="1"/>
  <c r="AZ115" i="167"/>
  <c r="AX35" i="167"/>
  <c r="AY35" i="167" s="1"/>
  <c r="AZ35" i="167"/>
  <c r="AZ29" i="167"/>
  <c r="BX29" i="167"/>
  <c r="AY29" i="167"/>
  <c r="AX29" i="167"/>
  <c r="AY104" i="167"/>
  <c r="AX104" i="167"/>
  <c r="AZ104" i="167"/>
  <c r="AX154" i="167"/>
  <c r="AY154" i="167" s="1"/>
  <c r="AZ154" i="167"/>
  <c r="AZ20" i="167"/>
  <c r="AX20" i="167"/>
  <c r="AY20" i="167" s="1"/>
  <c r="AX155" i="167"/>
  <c r="AY155" i="167" s="1"/>
  <c r="AZ155" i="167"/>
  <c r="AZ69" i="167"/>
  <c r="AX69" i="167"/>
  <c r="AY69" i="167" s="1"/>
  <c r="AZ111" i="167"/>
  <c r="AY111" i="167"/>
  <c r="AX111" i="167"/>
  <c r="AX177" i="167"/>
  <c r="AZ177" i="167"/>
  <c r="AY177" i="167"/>
  <c r="AZ77" i="167"/>
  <c r="AX77" i="167"/>
  <c r="AY77" i="167" s="1"/>
  <c r="AX25" i="167"/>
  <c r="AY25" i="167" s="1"/>
  <c r="AZ25" i="167"/>
  <c r="AZ209" i="167"/>
  <c r="AX209" i="167"/>
  <c r="AY209" i="167" s="1"/>
  <c r="AZ133" i="167"/>
  <c r="AX133" i="167"/>
  <c r="AY133" i="167" s="1"/>
  <c r="AX45" i="167"/>
  <c r="AY45" i="167" s="1"/>
  <c r="AZ45" i="167"/>
  <c r="AZ162" i="167"/>
  <c r="AX162" i="167"/>
  <c r="AY162" i="167" s="1"/>
  <c r="AX131" i="167"/>
  <c r="AY131" i="167" s="1"/>
  <c r="AZ131" i="167"/>
  <c r="AX107" i="167"/>
  <c r="AY107" i="167" s="1"/>
  <c r="AZ107" i="167"/>
  <c r="AX123" i="167"/>
  <c r="AY123" i="167" s="1"/>
  <c r="AZ123" i="167"/>
  <c r="AZ173" i="167"/>
  <c r="BX173" i="167"/>
  <c r="AX173" i="167"/>
  <c r="AY173" i="167" s="1"/>
  <c r="AZ109" i="167"/>
  <c r="AX109" i="167"/>
  <c r="AY109" i="167" s="1"/>
  <c r="AZ156" i="167"/>
  <c r="AX156" i="167"/>
  <c r="AY156" i="167" s="1"/>
  <c r="AZ161" i="167"/>
  <c r="AX161" i="167"/>
  <c r="AY161" i="167" s="1"/>
  <c r="AZ206" i="167"/>
  <c r="AY206" i="167"/>
  <c r="AX206" i="167"/>
  <c r="AY71" i="167"/>
  <c r="AX71" i="167"/>
  <c r="AZ71" i="167"/>
  <c r="AX126" i="167"/>
  <c r="AY126" i="167" s="1"/>
  <c r="AZ126" i="167"/>
  <c r="AX72" i="167"/>
  <c r="AY72" i="167" s="1"/>
  <c r="AZ72" i="167"/>
  <c r="AX108" i="167"/>
  <c r="AY108" i="167" s="1"/>
  <c r="AZ108" i="167"/>
  <c r="L79" i="167"/>
  <c r="L84" i="167" s="1"/>
  <c r="L82" i="167"/>
  <c r="AX76" i="167"/>
  <c r="AY76" i="167" s="1"/>
  <c r="AZ76" i="167"/>
  <c r="BA208" i="167"/>
  <c r="BB208" i="167" s="1"/>
  <c r="BD208" i="167"/>
  <c r="BD169" i="167"/>
  <c r="BA169" i="167"/>
  <c r="BB169" i="167" s="1"/>
  <c r="AX120" i="167"/>
  <c r="AZ120" i="167"/>
  <c r="AY120" i="167"/>
  <c r="AO223" i="167"/>
  <c r="AO220" i="167"/>
  <c r="AR203" i="167"/>
  <c r="AZ218" i="167"/>
  <c r="AX218" i="167"/>
  <c r="AY218" i="167" s="1"/>
  <c r="O187" i="167"/>
  <c r="O184" i="167"/>
  <c r="L51" i="167"/>
  <c r="L48" i="167"/>
  <c r="AA51" i="167"/>
  <c r="AA242" i="167" s="1"/>
  <c r="AA48" i="167"/>
  <c r="AZ204" i="167"/>
  <c r="AY204" i="167"/>
  <c r="AX204" i="167"/>
  <c r="AU51" i="167"/>
  <c r="AU48" i="167"/>
  <c r="AZ33" i="167"/>
  <c r="BX33" i="167"/>
  <c r="AX33" i="167"/>
  <c r="AY33" i="167" s="1"/>
  <c r="AG82" i="167"/>
  <c r="AG79" i="167"/>
  <c r="BD16" i="167"/>
  <c r="BA16" i="167"/>
  <c r="BB16" i="167" s="1"/>
  <c r="BD178" i="167"/>
  <c r="BB178" i="167"/>
  <c r="BA178" i="167"/>
  <c r="AZ38" i="167"/>
  <c r="AX38" i="167"/>
  <c r="AY38" i="167" s="1"/>
  <c r="AR50" i="167"/>
  <c r="AT26" i="167"/>
  <c r="X184" i="167"/>
  <c r="X187" i="167"/>
  <c r="U187" i="167"/>
  <c r="U184" i="167"/>
  <c r="U189" i="167" s="1"/>
  <c r="AO153" i="167"/>
  <c r="AZ121" i="167"/>
  <c r="AX121" i="167"/>
  <c r="AY121" i="167" s="1"/>
  <c r="AZ171" i="167"/>
  <c r="AY171" i="167"/>
  <c r="AX171" i="167"/>
  <c r="AZ23" i="167"/>
  <c r="AX23" i="167"/>
  <c r="AY23" i="167" s="1"/>
  <c r="AO52" i="167"/>
  <c r="AO243" i="167" s="1"/>
  <c r="AO258" i="167"/>
  <c r="AR210" i="167"/>
  <c r="R48" i="167"/>
  <c r="R51" i="167"/>
  <c r="AG51" i="167"/>
  <c r="AG48" i="167"/>
  <c r="I242" i="167"/>
  <c r="BA182" i="167"/>
  <c r="BB182" i="167" s="1"/>
  <c r="BD182" i="167"/>
  <c r="AU137" i="167"/>
  <c r="AG225" i="167"/>
  <c r="BD118" i="167"/>
  <c r="BB118" i="167"/>
  <c r="BA118" i="167"/>
  <c r="BD163" i="167"/>
  <c r="BA163" i="167"/>
  <c r="BB163" i="167"/>
  <c r="BD216" i="167"/>
  <c r="BA216" i="167"/>
  <c r="BB216" i="167" s="1"/>
  <c r="BA40" i="167"/>
  <c r="BB40" i="167" s="1"/>
  <c r="BD40" i="167"/>
  <c r="AZ132" i="167"/>
  <c r="AX132" i="167"/>
  <c r="AY132" i="167" s="1"/>
  <c r="AX213" i="167"/>
  <c r="AY213" i="167" s="1"/>
  <c r="AZ213" i="167"/>
  <c r="BX213" i="167"/>
  <c r="AZ47" i="167"/>
  <c r="AX47" i="167"/>
  <c r="AY47" i="167" s="1"/>
  <c r="AA82" i="167"/>
  <c r="AA79" i="167"/>
  <c r="AA84" i="167" s="1"/>
  <c r="AJ82" i="167"/>
  <c r="AJ79" i="167"/>
  <c r="AJ84" i="167" s="1"/>
  <c r="BA207" i="167"/>
  <c r="BB207" i="167" s="1"/>
  <c r="BD207" i="167"/>
  <c r="AZ41" i="167"/>
  <c r="AX41" i="167"/>
  <c r="AY41" i="167" s="1"/>
  <c r="AX166" i="167"/>
  <c r="AY166" i="167" s="1"/>
  <c r="AZ166" i="167"/>
  <c r="AM187" i="167"/>
  <c r="AM184" i="167"/>
  <c r="I239" i="167"/>
  <c r="I244" i="167" s="1"/>
  <c r="I53" i="167"/>
  <c r="BD101" i="167"/>
  <c r="BA101" i="167"/>
  <c r="BB101" i="167" s="1"/>
  <c r="BD175" i="167"/>
  <c r="BA175" i="167"/>
  <c r="BB175" i="167" s="1"/>
  <c r="AZ158" i="167"/>
  <c r="AX158" i="167"/>
  <c r="AY158" i="167" s="1"/>
  <c r="X139" i="167"/>
  <c r="L225" i="167"/>
  <c r="O82" i="167"/>
  <c r="O79" i="167"/>
  <c r="AM82" i="167"/>
  <c r="AM79" i="167"/>
  <c r="X79" i="167"/>
  <c r="X84" i="167" s="1"/>
  <c r="X82" i="167"/>
  <c r="I84" i="167"/>
  <c r="AT74" i="167"/>
  <c r="AR80" i="167"/>
  <c r="BA119" i="167"/>
  <c r="BB119" i="167" s="1"/>
  <c r="BD119" i="167"/>
  <c r="AO137" i="167"/>
  <c r="AO134" i="167"/>
  <c r="AR117" i="167"/>
  <c r="AD225" i="167"/>
  <c r="AR34" i="167"/>
  <c r="H244" i="167"/>
  <c r="L184" i="167"/>
  <c r="L189" i="167" s="1"/>
  <c r="L187" i="167"/>
  <c r="R187" i="167"/>
  <c r="R184" i="167"/>
  <c r="AA187" i="167"/>
  <c r="AA184" i="167"/>
  <c r="I189" i="167"/>
  <c r="AJ139" i="167"/>
  <c r="AR73" i="167"/>
  <c r="X51" i="167"/>
  <c r="X48" i="167"/>
  <c r="O51" i="167"/>
  <c r="O48" i="167"/>
  <c r="AM51" i="167"/>
  <c r="AM48" i="167"/>
  <c r="BA215" i="167"/>
  <c r="BB215" i="167" s="1"/>
  <c r="BD215" i="167"/>
  <c r="AX217" i="167"/>
  <c r="AY217" i="167" s="1"/>
  <c r="AZ217" i="167"/>
  <c r="AW100" i="167"/>
  <c r="AR99" i="167"/>
  <c r="BD128" i="167"/>
  <c r="BA128" i="167"/>
  <c r="BB128" i="167" s="1"/>
  <c r="BA43" i="167"/>
  <c r="BB43" i="167" s="1"/>
  <c r="BD43" i="167"/>
  <c r="AZ32" i="167"/>
  <c r="BX32" i="167"/>
  <c r="AX32" i="167"/>
  <c r="AY32" i="167" s="1"/>
  <c r="AZ124" i="167"/>
  <c r="BX124" i="167"/>
  <c r="AX124" i="167"/>
  <c r="AY124" i="167" s="1"/>
  <c r="BA46" i="167"/>
  <c r="BB46" i="167" s="1"/>
  <c r="BD46" i="167"/>
  <c r="BD125" i="167"/>
  <c r="BA125" i="167"/>
  <c r="BB125" i="167" s="1"/>
  <c r="AX28" i="167"/>
  <c r="AY28" i="167" s="1"/>
  <c r="AZ28" i="167"/>
  <c r="AZ180" i="167"/>
  <c r="AX180" i="167"/>
  <c r="AY180" i="167" s="1"/>
  <c r="BD30" i="167"/>
  <c r="BB30" i="167"/>
  <c r="BA30" i="167"/>
  <c r="BB129" i="167"/>
  <c r="BA129" i="167"/>
  <c r="BD129" i="167"/>
  <c r="AX17" i="167"/>
  <c r="AY17" i="167" s="1"/>
  <c r="AZ17" i="167"/>
  <c r="AX36" i="167"/>
  <c r="AY36" i="167" s="1"/>
  <c r="AZ36" i="167"/>
  <c r="AD187" i="167"/>
  <c r="AD184" i="167"/>
  <c r="AY24" i="167"/>
  <c r="AX24" i="167"/>
  <c r="AZ24" i="167"/>
  <c r="AJ51" i="167"/>
  <c r="AJ48" i="167"/>
  <c r="AR136" i="167"/>
  <c r="AT113" i="167"/>
  <c r="BA75" i="167"/>
  <c r="BB75" i="167" s="1"/>
  <c r="BD75" i="167"/>
  <c r="AZ112" i="167"/>
  <c r="AX112" i="167"/>
  <c r="AY112" i="167" s="1"/>
  <c r="AZ68" i="167"/>
  <c r="AY68" i="167"/>
  <c r="AX68" i="167"/>
  <c r="AX179" i="167"/>
  <c r="AZ179" i="167"/>
  <c r="AY179" i="167"/>
  <c r="AX122" i="167"/>
  <c r="AY122" i="167" s="1"/>
  <c r="AZ122" i="167"/>
  <c r="AX19" i="167"/>
  <c r="AY19" i="167" s="1"/>
  <c r="AZ19" i="167"/>
  <c r="R82" i="167"/>
  <c r="R79" i="167"/>
  <c r="R84" i="167" s="1"/>
  <c r="AX39" i="167"/>
  <c r="AY39" i="167" s="1"/>
  <c r="AZ39" i="167"/>
  <c r="BX39" i="167"/>
  <c r="AM139" i="167"/>
  <c r="AX14" i="167"/>
  <c r="AY14" i="167" s="1"/>
  <c r="AZ14" i="167"/>
  <c r="U82" i="167"/>
  <c r="U79" i="167"/>
  <c r="U84" i="167" s="1"/>
  <c r="AO67" i="167"/>
  <c r="AD82" i="167"/>
  <c r="AD79" i="167"/>
  <c r="BA160" i="167"/>
  <c r="BB160" i="167" s="1"/>
  <c r="BD160" i="167"/>
  <c r="BD165" i="167"/>
  <c r="BA165" i="167"/>
  <c r="BB165" i="167" s="1"/>
  <c r="AY157" i="167"/>
  <c r="AX157" i="167"/>
  <c r="AZ157" i="167"/>
  <c r="AT168" i="167"/>
  <c r="AR186" i="167"/>
  <c r="AU223" i="167"/>
  <c r="BD13" i="167"/>
  <c r="BB13" i="167"/>
  <c r="BA13" i="167"/>
  <c r="AR224" i="167"/>
  <c r="AT211" i="167"/>
  <c r="AX167" i="167"/>
  <c r="AY167" i="167" s="1"/>
  <c r="AZ167" i="167"/>
  <c r="R139" i="167"/>
  <c r="AR172" i="167"/>
  <c r="AV31" i="167"/>
  <c r="AV49" i="167" s="1"/>
  <c r="AT49" i="167"/>
  <c r="AJ184" i="167"/>
  <c r="AJ189" i="167" s="1"/>
  <c r="AJ187" i="167"/>
  <c r="AR153" i="167"/>
  <c r="AG187" i="167"/>
  <c r="AG184" i="167"/>
  <c r="AG189" i="167" s="1"/>
  <c r="AR212" i="167"/>
  <c r="AU187" i="167"/>
  <c r="AY164" i="167"/>
  <c r="AZ164" i="167"/>
  <c r="AX164" i="167"/>
  <c r="X225" i="167"/>
  <c r="O225" i="167"/>
  <c r="AO241" i="167"/>
  <c r="AD48" i="167"/>
  <c r="AD51" i="167"/>
  <c r="U51" i="167"/>
  <c r="U242" i="167" s="1"/>
  <c r="U48" i="167"/>
  <c r="AO12" i="167"/>
  <c r="AR12" i="167" s="1"/>
  <c r="BD106" i="167"/>
  <c r="BA106" i="167"/>
  <c r="BB106" i="167" s="1"/>
  <c r="AW42" i="167"/>
  <c r="BA127" i="167"/>
  <c r="BB127" i="167" s="1"/>
  <c r="BD127" i="167"/>
  <c r="AR170" i="167"/>
  <c r="R225" i="167"/>
  <c r="BD183" i="167"/>
  <c r="BA183" i="167"/>
  <c r="BB183" i="167" s="1"/>
  <c r="BD174" i="167"/>
  <c r="BA174" i="167"/>
  <c r="BB174" i="167" s="1"/>
  <c r="AR98" i="167"/>
  <c r="BD78" i="167"/>
  <c r="BB78" i="167"/>
  <c r="BA78" i="167"/>
  <c r="BA114" i="167"/>
  <c r="BD114" i="167"/>
  <c r="BB114" i="167"/>
  <c r="BD27" i="167"/>
  <c r="BA27" i="167"/>
  <c r="BB27" i="167" s="1"/>
  <c r="BA70" i="167"/>
  <c r="BB70" i="167" s="1"/>
  <c r="BD70" i="167"/>
  <c r="AW15" i="167"/>
  <c r="R139" i="166"/>
  <c r="AO84" i="166"/>
  <c r="AR31" i="166"/>
  <c r="AT31" i="166" s="1"/>
  <c r="AX131" i="166"/>
  <c r="AY131" i="166" s="1"/>
  <c r="AZ131" i="166"/>
  <c r="AX22" i="166"/>
  <c r="AY22" i="166" s="1"/>
  <c r="AZ22" i="166"/>
  <c r="AZ161" i="166"/>
  <c r="AX161" i="166"/>
  <c r="AY161" i="166" s="1"/>
  <c r="AZ16" i="166"/>
  <c r="AY16" i="166"/>
  <c r="AX16" i="166"/>
  <c r="AZ45" i="166"/>
  <c r="AX45" i="166"/>
  <c r="AY45" i="166"/>
  <c r="AX104" i="166"/>
  <c r="AY104" i="166" s="1"/>
  <c r="AZ104" i="166"/>
  <c r="AZ179" i="166"/>
  <c r="AX179" i="166"/>
  <c r="AY179" i="166"/>
  <c r="AX119" i="166"/>
  <c r="AY119" i="166" s="1"/>
  <c r="AZ119" i="166"/>
  <c r="BX119" i="166"/>
  <c r="AX40" i="166"/>
  <c r="AY40" i="166" s="1"/>
  <c r="AZ40" i="166"/>
  <c r="AZ128" i="166"/>
  <c r="AX128" i="166"/>
  <c r="AY128" i="166" s="1"/>
  <c r="AX158" i="166"/>
  <c r="AY158" i="166" s="1"/>
  <c r="AZ158" i="166"/>
  <c r="AY166" i="166"/>
  <c r="AX166" i="166"/>
  <c r="AZ166" i="166"/>
  <c r="AZ178" i="166"/>
  <c r="BX178" i="166"/>
  <c r="AX178" i="166"/>
  <c r="AY178" i="166" s="1"/>
  <c r="AX101" i="166"/>
  <c r="AY101" i="166" s="1"/>
  <c r="AZ101" i="166"/>
  <c r="AR137" i="166"/>
  <c r="AT98" i="166"/>
  <c r="AZ25" i="166"/>
  <c r="AY25" i="166"/>
  <c r="AX25" i="166"/>
  <c r="AX102" i="166"/>
  <c r="AZ102" i="166"/>
  <c r="AY102" i="166"/>
  <c r="AZ209" i="166"/>
  <c r="AX209" i="166"/>
  <c r="AY209" i="166" s="1"/>
  <c r="AZ106" i="166"/>
  <c r="AX106" i="166"/>
  <c r="AY106" i="166" s="1"/>
  <c r="AZ21" i="166"/>
  <c r="AY21" i="166"/>
  <c r="AX21" i="166"/>
  <c r="AO48" i="166"/>
  <c r="AO51" i="166"/>
  <c r="AZ75" i="166"/>
  <c r="BX75" i="166"/>
  <c r="AX75" i="166"/>
  <c r="AY75" i="166" s="1"/>
  <c r="AZ38" i="166"/>
  <c r="AX38" i="166"/>
  <c r="AY38" i="166" s="1"/>
  <c r="AZ129" i="166"/>
  <c r="BX129" i="166"/>
  <c r="AX129" i="166"/>
  <c r="AY129" i="166" s="1"/>
  <c r="AZ156" i="166"/>
  <c r="AY156" i="166"/>
  <c r="AX156" i="166"/>
  <c r="AZ125" i="166"/>
  <c r="AX125" i="166"/>
  <c r="AY125" i="166" s="1"/>
  <c r="AX159" i="166"/>
  <c r="AY159" i="166" s="1"/>
  <c r="AZ159" i="166"/>
  <c r="AX204" i="166"/>
  <c r="AY204" i="166" s="1"/>
  <c r="AZ204" i="166"/>
  <c r="AZ126" i="166"/>
  <c r="AX126" i="166"/>
  <c r="AY126" i="166" s="1"/>
  <c r="AZ169" i="166"/>
  <c r="AX169" i="166"/>
  <c r="AY169" i="166"/>
  <c r="AX44" i="166"/>
  <c r="AY44" i="166" s="1"/>
  <c r="AZ44" i="166"/>
  <c r="AY28" i="166"/>
  <c r="AX28" i="166"/>
  <c r="AZ28" i="166"/>
  <c r="AX155" i="166"/>
  <c r="AY155" i="166" s="1"/>
  <c r="AZ155" i="166"/>
  <c r="AZ171" i="166"/>
  <c r="AX171" i="166"/>
  <c r="AY171" i="166" s="1"/>
  <c r="AX36" i="166"/>
  <c r="AY36" i="166" s="1"/>
  <c r="AZ36" i="166"/>
  <c r="AZ111" i="166"/>
  <c r="AX111" i="166"/>
  <c r="AY111" i="166" s="1"/>
  <c r="AZ46" i="166"/>
  <c r="AX46" i="166"/>
  <c r="AY46" i="166" s="1"/>
  <c r="AY180" i="166"/>
  <c r="AX180" i="166"/>
  <c r="AZ180" i="166"/>
  <c r="AX23" i="166"/>
  <c r="AY23" i="166" s="1"/>
  <c r="AZ23" i="166"/>
  <c r="AZ33" i="166"/>
  <c r="BX33" i="166"/>
  <c r="AX33" i="166"/>
  <c r="AY33" i="166" s="1"/>
  <c r="AX207" i="166"/>
  <c r="AY207" i="166" s="1"/>
  <c r="AZ207" i="166"/>
  <c r="AZ13" i="166"/>
  <c r="AX13" i="166"/>
  <c r="AY13" i="166" s="1"/>
  <c r="AY162" i="166"/>
  <c r="AX162" i="166"/>
  <c r="AZ162" i="166"/>
  <c r="AZ217" i="166"/>
  <c r="AX217" i="166"/>
  <c r="AY217" i="166" s="1"/>
  <c r="AZ208" i="166"/>
  <c r="AX208" i="166"/>
  <c r="AY208" i="166" s="1"/>
  <c r="AX219" i="166"/>
  <c r="AY219" i="166" s="1"/>
  <c r="AZ219" i="166"/>
  <c r="AX71" i="166"/>
  <c r="AY71" i="166" s="1"/>
  <c r="AZ71" i="166"/>
  <c r="AX35" i="166"/>
  <c r="AY35" i="166" s="1"/>
  <c r="AZ35" i="166"/>
  <c r="AR224" i="166"/>
  <c r="AT211" i="166"/>
  <c r="AY183" i="166"/>
  <c r="AX183" i="166"/>
  <c r="AZ183" i="166"/>
  <c r="BD107" i="166"/>
  <c r="BA107" i="166"/>
  <c r="BB107" i="166" s="1"/>
  <c r="AZ173" i="166"/>
  <c r="BX173" i="166"/>
  <c r="AX173" i="166"/>
  <c r="AY173" i="166" s="1"/>
  <c r="AZ76" i="166"/>
  <c r="AX76" i="166"/>
  <c r="AY76" i="166" s="1"/>
  <c r="AR52" i="166"/>
  <c r="AT34" i="166"/>
  <c r="AO223" i="166"/>
  <c r="AO220" i="166"/>
  <c r="U51" i="166"/>
  <c r="U48" i="166"/>
  <c r="AG51" i="166"/>
  <c r="AG48" i="166"/>
  <c r="X51" i="166"/>
  <c r="X48" i="166"/>
  <c r="AX47" i="166"/>
  <c r="AZ47" i="166"/>
  <c r="AY47" i="166"/>
  <c r="AZ17" i="166"/>
  <c r="AX17" i="166"/>
  <c r="AY17" i="166" s="1"/>
  <c r="AT135" i="166"/>
  <c r="AV117" i="166"/>
  <c r="AV135" i="166" s="1"/>
  <c r="BX39" i="166"/>
  <c r="AX39" i="166"/>
  <c r="AY39" i="166" s="1"/>
  <c r="AZ39" i="166"/>
  <c r="AZ175" i="166"/>
  <c r="AX175" i="166"/>
  <c r="AY175" i="166" s="1"/>
  <c r="L184" i="166"/>
  <c r="L187" i="166"/>
  <c r="AG187" i="166"/>
  <c r="AG184" i="166"/>
  <c r="AG189" i="166" s="1"/>
  <c r="AZ32" i="166"/>
  <c r="BX32" i="166"/>
  <c r="AX32" i="166"/>
  <c r="AY32" i="166" s="1"/>
  <c r="BA177" i="166"/>
  <c r="BB177" i="166" s="1"/>
  <c r="BD177" i="166"/>
  <c r="BA109" i="166"/>
  <c r="BB109" i="166" s="1"/>
  <c r="BD109" i="166"/>
  <c r="AZ124" i="166"/>
  <c r="BX124" i="166"/>
  <c r="AX124" i="166"/>
  <c r="AY124" i="166" s="1"/>
  <c r="AT82" i="166"/>
  <c r="AT79" i="166"/>
  <c r="AV67" i="166"/>
  <c r="BA29" i="166"/>
  <c r="BB29" i="166" s="1"/>
  <c r="BD29" i="166"/>
  <c r="BD130" i="166"/>
  <c r="BA130" i="166"/>
  <c r="BB130" i="166" s="1"/>
  <c r="BA41" i="166"/>
  <c r="BB41" i="166" s="1"/>
  <c r="BD41" i="166"/>
  <c r="AZ133" i="166"/>
  <c r="AX133" i="166"/>
  <c r="AY133" i="166" s="1"/>
  <c r="AX78" i="166"/>
  <c r="AY78" i="166" s="1"/>
  <c r="AZ78" i="166"/>
  <c r="AZ37" i="166"/>
  <c r="AX37" i="166"/>
  <c r="AY37" i="166" s="1"/>
  <c r="BA216" i="166"/>
  <c r="BD216" i="166"/>
  <c r="BB216" i="166"/>
  <c r="AX72" i="166"/>
  <c r="AY72" i="166" s="1"/>
  <c r="AZ72" i="166"/>
  <c r="AZ218" i="166"/>
  <c r="AY218" i="166"/>
  <c r="AX218" i="166"/>
  <c r="AX122" i="166"/>
  <c r="AY122" i="166" s="1"/>
  <c r="AZ122" i="166"/>
  <c r="AZ132" i="166"/>
  <c r="AX132" i="166"/>
  <c r="AY132" i="166" s="1"/>
  <c r="AX123" i="166"/>
  <c r="AY123" i="166" s="1"/>
  <c r="AZ123" i="166"/>
  <c r="BX27" i="166"/>
  <c r="AZ27" i="166"/>
  <c r="AX27" i="166"/>
  <c r="AY27" i="166" s="1"/>
  <c r="AZ42" i="166"/>
  <c r="AX42" i="166"/>
  <c r="AY42" i="166" s="1"/>
  <c r="AZ174" i="166"/>
  <c r="BX174" i="166"/>
  <c r="AX174" i="166"/>
  <c r="AY174" i="166" s="1"/>
  <c r="AR49" i="166"/>
  <c r="AR188" i="166"/>
  <c r="AT170" i="166"/>
  <c r="AV15" i="166"/>
  <c r="AW15" i="166" s="1"/>
  <c r="AU15" i="166"/>
  <c r="AZ77" i="166"/>
  <c r="AX77" i="166"/>
  <c r="AY77" i="166" s="1"/>
  <c r="AT80" i="166"/>
  <c r="AV74" i="166"/>
  <c r="AV80" i="166" s="1"/>
  <c r="AR12" i="166"/>
  <c r="AD48" i="166"/>
  <c r="AD51" i="166"/>
  <c r="AO222" i="166"/>
  <c r="AO241" i="166" s="1"/>
  <c r="AR210" i="166"/>
  <c r="AZ70" i="166"/>
  <c r="AX70" i="166"/>
  <c r="AY70" i="166" s="1"/>
  <c r="AR186" i="166"/>
  <c r="AT168" i="166"/>
  <c r="AT81" i="166"/>
  <c r="AV73" i="166"/>
  <c r="AV81" i="166" s="1"/>
  <c r="AR99" i="166"/>
  <c r="AZ14" i="166"/>
  <c r="AX14" i="166"/>
  <c r="AY14" i="166" s="1"/>
  <c r="AJ184" i="166"/>
  <c r="AJ187" i="166"/>
  <c r="O187" i="166"/>
  <c r="O184" i="166"/>
  <c r="O189" i="166" s="1"/>
  <c r="AM187" i="166"/>
  <c r="AM184" i="166"/>
  <c r="AM189" i="166" s="1"/>
  <c r="BD18" i="166"/>
  <c r="BA18" i="166"/>
  <c r="BB18" i="166" s="1"/>
  <c r="BA118" i="166"/>
  <c r="BB118" i="166" s="1"/>
  <c r="BD118" i="166"/>
  <c r="BA181" i="166"/>
  <c r="BB181" i="166" s="1"/>
  <c r="BD181" i="166"/>
  <c r="AU187" i="166"/>
  <c r="BA215" i="166"/>
  <c r="BB215" i="166" s="1"/>
  <c r="BD215" i="166"/>
  <c r="BA164" i="166"/>
  <c r="BB164" i="166" s="1"/>
  <c r="BD164" i="166"/>
  <c r="AX19" i="166"/>
  <c r="AY19" i="166" s="1"/>
  <c r="AZ19" i="166"/>
  <c r="AZ30" i="166"/>
  <c r="AY30" i="166"/>
  <c r="AX30" i="166"/>
  <c r="AA225" i="166"/>
  <c r="U139" i="166"/>
  <c r="AO137" i="166"/>
  <c r="AO134" i="166"/>
  <c r="BD43" i="166"/>
  <c r="BA43" i="166"/>
  <c r="BB43" i="166" s="1"/>
  <c r="U225" i="166"/>
  <c r="AM139" i="166"/>
  <c r="O51" i="166"/>
  <c r="O242" i="166" s="1"/>
  <c r="O48" i="166"/>
  <c r="L51" i="166"/>
  <c r="L242" i="166" s="1"/>
  <c r="L48" i="166"/>
  <c r="AJ51" i="166"/>
  <c r="AJ242" i="166" s="1"/>
  <c r="AJ48" i="166"/>
  <c r="AR26" i="166"/>
  <c r="AW103" i="166"/>
  <c r="AR172" i="166"/>
  <c r="BD182" i="166"/>
  <c r="BA182" i="166"/>
  <c r="BB182" i="166" s="1"/>
  <c r="AO243" i="166"/>
  <c r="AJ139" i="166"/>
  <c r="X184" i="166"/>
  <c r="X187" i="166"/>
  <c r="AD187" i="166"/>
  <c r="AD184" i="166"/>
  <c r="U187" i="166"/>
  <c r="U184" i="166"/>
  <c r="U189" i="166" s="1"/>
  <c r="AO153" i="166"/>
  <c r="AO258" i="166" s="1"/>
  <c r="BD115" i="166"/>
  <c r="BA115" i="166"/>
  <c r="BB115" i="166" s="1"/>
  <c r="BD100" i="166"/>
  <c r="BA100" i="166"/>
  <c r="BB100" i="166" s="1"/>
  <c r="BA213" i="166"/>
  <c r="BB213" i="166" s="1"/>
  <c r="BD213" i="166"/>
  <c r="BD157" i="166"/>
  <c r="BA157" i="166"/>
  <c r="BB157" i="166" s="1"/>
  <c r="BD121" i="166"/>
  <c r="BA121" i="166"/>
  <c r="BB121" i="166" s="1"/>
  <c r="AR79" i="166"/>
  <c r="BB120" i="166"/>
  <c r="BA120" i="166"/>
  <c r="BD120" i="166"/>
  <c r="BA205" i="166"/>
  <c r="BB205" i="166" s="1"/>
  <c r="BD205" i="166"/>
  <c r="BD154" i="166"/>
  <c r="BB154" i="166"/>
  <c r="BA154" i="166"/>
  <c r="AU79" i="166"/>
  <c r="AU82" i="166"/>
  <c r="BA24" i="166"/>
  <c r="BB24" i="166" s="1"/>
  <c r="BD24" i="166"/>
  <c r="AV68" i="166"/>
  <c r="AW68" i="166" s="1"/>
  <c r="AZ110" i="166"/>
  <c r="AX110" i="166"/>
  <c r="AY110" i="166" s="1"/>
  <c r="BA214" i="166"/>
  <c r="BB214" i="166" s="1"/>
  <c r="BD214" i="166"/>
  <c r="AZ206" i="166"/>
  <c r="AX206" i="166"/>
  <c r="AY206" i="166" s="1"/>
  <c r="AZ20" i="166"/>
  <c r="AX20" i="166"/>
  <c r="AY20" i="166" s="1"/>
  <c r="AR203" i="166"/>
  <c r="AA51" i="166"/>
  <c r="AA48" i="166"/>
  <c r="AM51" i="166"/>
  <c r="AM242" i="166" s="1"/>
  <c r="AM48" i="166"/>
  <c r="R51" i="166"/>
  <c r="R48" i="166"/>
  <c r="I239" i="166"/>
  <c r="I244" i="166" s="1"/>
  <c r="I53" i="166"/>
  <c r="AX105" i="166"/>
  <c r="AY105" i="166" s="1"/>
  <c r="AZ105" i="166"/>
  <c r="AX176" i="166"/>
  <c r="AY176" i="166" s="1"/>
  <c r="AZ176" i="166"/>
  <c r="R225" i="166"/>
  <c r="AG139" i="166"/>
  <c r="AR136" i="166"/>
  <c r="AT113" i="166"/>
  <c r="AX163" i="166"/>
  <c r="AY163" i="166" s="1"/>
  <c r="AZ163" i="166"/>
  <c r="AZ69" i="166"/>
  <c r="AX69" i="166"/>
  <c r="AY69" i="166" s="1"/>
  <c r="AT221" i="166"/>
  <c r="AV212" i="166"/>
  <c r="AV221" i="166" s="1"/>
  <c r="AJ225" i="166"/>
  <c r="AA139" i="166"/>
  <c r="L139" i="166"/>
  <c r="R187" i="166"/>
  <c r="R184" i="166"/>
  <c r="AA187" i="166"/>
  <c r="AA184" i="166"/>
  <c r="I189" i="166"/>
  <c r="AO240" i="166"/>
  <c r="AR82" i="166"/>
  <c r="BA160" i="166"/>
  <c r="BB160" i="166" s="1"/>
  <c r="BD160" i="166"/>
  <c r="AX116" i="166"/>
  <c r="AY116" i="166" s="1"/>
  <c r="AZ116" i="166"/>
  <c r="BX116" i="166"/>
  <c r="AX127" i="166"/>
  <c r="AY127" i="166" s="1"/>
  <c r="AZ127" i="166"/>
  <c r="BD108" i="166"/>
  <c r="BA108" i="166"/>
  <c r="BB108" i="166" s="1"/>
  <c r="BD165" i="166"/>
  <c r="BA165" i="166"/>
  <c r="BB165" i="166" s="1"/>
  <c r="AX167" i="166"/>
  <c r="AY167" i="166" s="1"/>
  <c r="AZ167" i="166"/>
  <c r="AX112" i="166"/>
  <c r="AY112" i="166" s="1"/>
  <c r="AZ112" i="166"/>
  <c r="AW247" i="165"/>
  <c r="AW229" i="165"/>
  <c r="AW235" i="165" s="1"/>
  <c r="AW228" i="165"/>
  <c r="AW225" i="165"/>
  <c r="AV218" i="165"/>
  <c r="AW218" i="165" s="1"/>
  <c r="AU170" i="165"/>
  <c r="AW170" i="165" s="1"/>
  <c r="AW103" i="165"/>
  <c r="AX103" i="165" s="1"/>
  <c r="AY103" i="165" s="1"/>
  <c r="AV100" i="165"/>
  <c r="AW100" i="165" s="1"/>
  <c r="AX100" i="165" s="1"/>
  <c r="AY100" i="165" s="1"/>
  <c r="AU219" i="165"/>
  <c r="AW219" i="165" s="1"/>
  <c r="CN258" i="165"/>
  <c r="AV44" i="165"/>
  <c r="AU44" i="165"/>
  <c r="AV73" i="165"/>
  <c r="AW73" i="165" s="1"/>
  <c r="AW68" i="165"/>
  <c r="AX68" i="165" s="1"/>
  <c r="AY68" i="165" s="1"/>
  <c r="AO67" i="165"/>
  <c r="AO79" i="165" s="1"/>
  <c r="AV18" i="165"/>
  <c r="AW18" i="165" s="1"/>
  <c r="AU78" i="165"/>
  <c r="AU79" i="165" s="1"/>
  <c r="AV78" i="165"/>
  <c r="AV174" i="165"/>
  <c r="AW174" i="165" s="1"/>
  <c r="AX174" i="165" s="1"/>
  <c r="AY174" i="165" s="1"/>
  <c r="AV69" i="165"/>
  <c r="AW69" i="165" s="1"/>
  <c r="AV179" i="165"/>
  <c r="AW179" i="165" s="1"/>
  <c r="AV14" i="165"/>
  <c r="AW14" i="165" s="1"/>
  <c r="AV173" i="165"/>
  <c r="AW173" i="165" s="1"/>
  <c r="AV177" i="165"/>
  <c r="AW177" i="165" s="1"/>
  <c r="AV35" i="165"/>
  <c r="AW35" i="165" s="1"/>
  <c r="AV45" i="165"/>
  <c r="AW45" i="165" s="1"/>
  <c r="AX21" i="165"/>
  <c r="AY21" i="165" s="1"/>
  <c r="AZ21" i="165"/>
  <c r="AV43" i="165"/>
  <c r="AW43" i="165" s="1"/>
  <c r="AV25" i="165"/>
  <c r="AW25" i="165" s="1"/>
  <c r="AV26" i="165"/>
  <c r="AW26" i="165" s="1"/>
  <c r="AV102" i="165"/>
  <c r="AW102" i="165" s="1"/>
  <c r="AV116" i="165"/>
  <c r="AW116" i="165" s="1"/>
  <c r="AV131" i="165"/>
  <c r="AW131" i="165" s="1"/>
  <c r="AV180" i="165"/>
  <c r="AU180" i="165"/>
  <c r="AZ182" i="165"/>
  <c r="AX182" i="165"/>
  <c r="AY182" i="165" s="1"/>
  <c r="AZ154" i="165"/>
  <c r="AX154" i="165"/>
  <c r="AY154" i="165" s="1"/>
  <c r="AZ158" i="165"/>
  <c r="AX158" i="165"/>
  <c r="AY158" i="165" s="1"/>
  <c r="AZ213" i="165"/>
  <c r="AX213" i="165"/>
  <c r="AY213" i="165" s="1"/>
  <c r="BX213" i="165"/>
  <c r="AV32" i="165"/>
  <c r="AW32" i="165" s="1"/>
  <c r="AV23" i="165"/>
  <c r="AW23" i="165" s="1"/>
  <c r="AV217" i="165"/>
  <c r="AW217" i="165" s="1"/>
  <c r="AV71" i="165"/>
  <c r="AW71" i="165" s="1"/>
  <c r="AV111" i="165"/>
  <c r="AW111" i="165" s="1"/>
  <c r="AV120" i="165"/>
  <c r="AW120" i="165" s="1"/>
  <c r="AV162" i="165"/>
  <c r="AW162" i="165" s="1"/>
  <c r="AU211" i="165"/>
  <c r="AV211" i="165"/>
  <c r="AV205" i="165"/>
  <c r="AU205" i="165"/>
  <c r="AZ210" i="165"/>
  <c r="BX210" i="165"/>
  <c r="AX210" i="165"/>
  <c r="AY210" i="165" s="1"/>
  <c r="AX126" i="165"/>
  <c r="AY126" i="165" s="1"/>
  <c r="AZ126" i="165"/>
  <c r="AX72" i="165"/>
  <c r="AY72" i="165" s="1"/>
  <c r="AZ72" i="165"/>
  <c r="AZ172" i="165"/>
  <c r="BX172" i="165"/>
  <c r="AX172" i="165"/>
  <c r="AY172" i="165" s="1"/>
  <c r="AX207" i="165"/>
  <c r="AY207" i="165" s="1"/>
  <c r="AZ207" i="165"/>
  <c r="AZ132" i="165"/>
  <c r="AX132" i="165"/>
  <c r="AY132" i="165" s="1"/>
  <c r="AX36" i="165"/>
  <c r="AY36" i="165" s="1"/>
  <c r="AZ36" i="165"/>
  <c r="AZ110" i="165"/>
  <c r="AX110" i="165"/>
  <c r="AY110" i="165" s="1"/>
  <c r="AZ75" i="165"/>
  <c r="BX75" i="165"/>
  <c r="AX75" i="165"/>
  <c r="AY75" i="165" s="1"/>
  <c r="AZ161" i="165"/>
  <c r="AX161" i="165"/>
  <c r="AY161" i="165" s="1"/>
  <c r="AV28" i="165"/>
  <c r="AW28" i="165" s="1"/>
  <c r="AV130" i="165"/>
  <c r="AU130" i="165"/>
  <c r="AV27" i="165"/>
  <c r="AW27" i="165" s="1"/>
  <c r="AV19" i="165"/>
  <c r="AW19" i="165" s="1"/>
  <c r="AV125" i="165"/>
  <c r="AW125" i="165" s="1"/>
  <c r="AV181" i="165"/>
  <c r="AU181" i="165"/>
  <c r="AV167" i="165"/>
  <c r="AW167" i="165" s="1"/>
  <c r="AV104" i="165"/>
  <c r="AW104" i="165" s="1"/>
  <c r="AV114" i="165"/>
  <c r="AU114" i="165"/>
  <c r="AV117" i="165"/>
  <c r="AW117" i="165" s="1"/>
  <c r="AZ215" i="165"/>
  <c r="AX215" i="165"/>
  <c r="AY215" i="165" s="1"/>
  <c r="AZ37" i="165"/>
  <c r="AX37" i="165"/>
  <c r="AY37" i="165" s="1"/>
  <c r="AX41" i="165"/>
  <c r="AY41" i="165" s="1"/>
  <c r="AZ41" i="165"/>
  <c r="AZ183" i="165"/>
  <c r="AX183" i="165"/>
  <c r="AY183" i="165" s="1"/>
  <c r="AV128" i="165"/>
  <c r="AW128" i="165" s="1"/>
  <c r="AM98" i="165"/>
  <c r="AM134" i="165" s="1"/>
  <c r="AG98" i="165"/>
  <c r="AG134" i="165" s="1"/>
  <c r="AA98" i="165"/>
  <c r="AA134" i="165" s="1"/>
  <c r="U98" i="165"/>
  <c r="U134" i="165" s="1"/>
  <c r="O98" i="165"/>
  <c r="O134" i="165" s="1"/>
  <c r="I134" i="165"/>
  <c r="R98" i="165"/>
  <c r="R134" i="165" s="1"/>
  <c r="X98" i="165"/>
  <c r="X134" i="165" s="1"/>
  <c r="AD98" i="165"/>
  <c r="AD134" i="165" s="1"/>
  <c r="L98" i="165"/>
  <c r="L134" i="165" s="1"/>
  <c r="AJ98" i="165"/>
  <c r="AJ134" i="165" s="1"/>
  <c r="AV168" i="165"/>
  <c r="AW168" i="165" s="1"/>
  <c r="AV109" i="165"/>
  <c r="AW109" i="165" s="1"/>
  <c r="AV13" i="165"/>
  <c r="AW13" i="165" s="1"/>
  <c r="AZ123" i="165"/>
  <c r="AX123" i="165"/>
  <c r="AY123" i="165" s="1"/>
  <c r="AV30" i="165"/>
  <c r="AW30" i="165" s="1"/>
  <c r="AV106" i="165"/>
  <c r="AW106" i="165" s="1"/>
  <c r="AV176" i="165"/>
  <c r="AW176" i="165" s="1"/>
  <c r="I48" i="165"/>
  <c r="AM12" i="165"/>
  <c r="AM48" i="165" s="1"/>
  <c r="AG12" i="165"/>
  <c r="AG48" i="165" s="1"/>
  <c r="AA12" i="165"/>
  <c r="AA48" i="165" s="1"/>
  <c r="U12" i="165"/>
  <c r="U48" i="165" s="1"/>
  <c r="O12" i="165"/>
  <c r="O48" i="165" s="1"/>
  <c r="AJ12" i="165"/>
  <c r="AJ48" i="165" s="1"/>
  <c r="AD12" i="165"/>
  <c r="AD48" i="165" s="1"/>
  <c r="R12" i="165"/>
  <c r="R48" i="165" s="1"/>
  <c r="X12" i="165"/>
  <c r="X48" i="165" s="1"/>
  <c r="L12" i="165"/>
  <c r="L48" i="165" s="1"/>
  <c r="AV156" i="165"/>
  <c r="AU156" i="165"/>
  <c r="AV105" i="165"/>
  <c r="AW105" i="165" s="1"/>
  <c r="AU99" i="165"/>
  <c r="AV99" i="165"/>
  <c r="AV214" i="165"/>
  <c r="AW214" i="165" s="1"/>
  <c r="AV16" i="165"/>
  <c r="AW16" i="165" s="1"/>
  <c r="AV46" i="165"/>
  <c r="AW46" i="165" s="1"/>
  <c r="AV76" i="165"/>
  <c r="AW76" i="165" s="1"/>
  <c r="AV159" i="165"/>
  <c r="AW159" i="165" s="1"/>
  <c r="AV163" i="165"/>
  <c r="AW163" i="165" s="1"/>
  <c r="AV24" i="165"/>
  <c r="AW24" i="165" s="1"/>
  <c r="AV122" i="165"/>
  <c r="AW122" i="165" s="1"/>
  <c r="AV17" i="165"/>
  <c r="AW17" i="165" s="1"/>
  <c r="AV124" i="165"/>
  <c r="AW124" i="165" s="1"/>
  <c r="AV169" i="165"/>
  <c r="AW169" i="165" s="1"/>
  <c r="AV178" i="165"/>
  <c r="AW178" i="165" s="1"/>
  <c r="AV113" i="165"/>
  <c r="AW113" i="165" s="1"/>
  <c r="AV166" i="165"/>
  <c r="AW166" i="165" s="1"/>
  <c r="AV39" i="165"/>
  <c r="AW39" i="165" s="1"/>
  <c r="AV129" i="165"/>
  <c r="AW129" i="165" s="1"/>
  <c r="AZ74" i="165"/>
  <c r="BX74" i="165"/>
  <c r="AX74" i="165"/>
  <c r="AY74" i="165" s="1"/>
  <c r="AV115" i="165"/>
  <c r="AU115" i="165"/>
  <c r="AV31" i="165"/>
  <c r="AW31" i="165" s="1"/>
  <c r="AR184" i="165"/>
  <c r="AT153" i="165"/>
  <c r="H239" i="165"/>
  <c r="AV34" i="165"/>
  <c r="AW34" i="165" s="1"/>
  <c r="CV258" i="165"/>
  <c r="AO203" i="165"/>
  <c r="AO220" i="165" s="1"/>
  <c r="CO259" i="165"/>
  <c r="CO239" i="165"/>
  <c r="AV165" i="165"/>
  <c r="AW165" i="165" s="1"/>
  <c r="AO184" i="165"/>
  <c r="AV216" i="165"/>
  <c r="AW216" i="165" s="1"/>
  <c r="AV42" i="165"/>
  <c r="AU42" i="165"/>
  <c r="AV70" i="165"/>
  <c r="AW70" i="165" s="1"/>
  <c r="AU121" i="165"/>
  <c r="AV121" i="165"/>
  <c r="AV171" i="165"/>
  <c r="AU171" i="165"/>
  <c r="AV212" i="165"/>
  <c r="AW212" i="165" s="1"/>
  <c r="AV15" i="165"/>
  <c r="AU15" i="165"/>
  <c r="AV20" i="165"/>
  <c r="AW20" i="165" s="1"/>
  <c r="AV209" i="165"/>
  <c r="AW209" i="165" s="1"/>
  <c r="AV29" i="165"/>
  <c r="AW29" i="165" s="1"/>
  <c r="AV112" i="165"/>
  <c r="AW112" i="165" s="1"/>
  <c r="AZ157" i="165"/>
  <c r="AX157" i="165"/>
  <c r="AY157" i="165" s="1"/>
  <c r="AZ206" i="165"/>
  <c r="AX206" i="165"/>
  <c r="AY206" i="165" s="1"/>
  <c r="AX208" i="165"/>
  <c r="AY208" i="165" s="1"/>
  <c r="AZ208" i="165"/>
  <c r="AV47" i="165"/>
  <c r="AW47" i="165" s="1"/>
  <c r="AV133" i="165"/>
  <c r="AW133" i="165" s="1"/>
  <c r="AV175" i="165"/>
  <c r="AW175" i="165" s="1"/>
  <c r="AV22" i="165"/>
  <c r="AW22" i="165" s="1"/>
  <c r="AV77" i="165"/>
  <c r="AW77" i="165" s="1"/>
  <c r="AV118" i="165"/>
  <c r="AW118" i="165" s="1"/>
  <c r="AV119" i="165"/>
  <c r="AW119" i="165" s="1"/>
  <c r="AV204" i="165"/>
  <c r="AW204" i="165" s="1"/>
  <c r="AV40" i="165"/>
  <c r="AW40" i="165" s="1"/>
  <c r="AX107" i="165"/>
  <c r="AY107" i="165" s="1"/>
  <c r="AZ107" i="165"/>
  <c r="AV101" i="165"/>
  <c r="AW101" i="165" s="1"/>
  <c r="AV33" i="165"/>
  <c r="AW33" i="165" s="1"/>
  <c r="AV38" i="165"/>
  <c r="AW38" i="165" s="1"/>
  <c r="AV160" i="165"/>
  <c r="AW160" i="165" s="1"/>
  <c r="AV155" i="165"/>
  <c r="AW155" i="165" s="1"/>
  <c r="AV108" i="165"/>
  <c r="AW108" i="165" s="1"/>
  <c r="AU127" i="165"/>
  <c r="AV127" i="165"/>
  <c r="AV164" i="165"/>
  <c r="AW164" i="165" s="1"/>
  <c r="AZ114" i="166" l="1"/>
  <c r="AX114" i="166"/>
  <c r="AY114" i="166" s="1"/>
  <c r="BE127" i="167"/>
  <c r="BF127" i="167" s="1"/>
  <c r="BH127" i="167"/>
  <c r="BE160" i="167"/>
  <c r="BF160" i="167" s="1"/>
  <c r="BH160" i="167"/>
  <c r="AT136" i="167"/>
  <c r="AV113" i="167"/>
  <c r="AV136" i="167" s="1"/>
  <c r="BE129" i="167"/>
  <c r="BF129" i="167" s="1"/>
  <c r="BH129" i="167"/>
  <c r="AR138" i="167"/>
  <c r="AT99" i="167"/>
  <c r="X239" i="167"/>
  <c r="X53" i="167"/>
  <c r="AR52" i="167"/>
  <c r="AT34" i="167"/>
  <c r="BD38" i="167"/>
  <c r="BA38" i="167"/>
  <c r="BB38" i="167" s="1"/>
  <c r="AR223" i="167"/>
  <c r="AR220" i="167"/>
  <c r="AT203" i="167"/>
  <c r="BA173" i="167"/>
  <c r="BB173" i="167" s="1"/>
  <c r="BD173" i="167"/>
  <c r="BD115" i="167"/>
  <c r="BA115" i="167"/>
  <c r="BB115" i="167" s="1"/>
  <c r="BA105" i="167"/>
  <c r="BB105" i="167" s="1"/>
  <c r="BD105" i="167"/>
  <c r="AZ15" i="167"/>
  <c r="AX15" i="167"/>
  <c r="AY15" i="167" s="1"/>
  <c r="BE114" i="167"/>
  <c r="BF114" i="167" s="1"/>
  <c r="BH114" i="167"/>
  <c r="BH78" i="167"/>
  <c r="BE78" i="167"/>
  <c r="BF78" i="167" s="1"/>
  <c r="BE174" i="167"/>
  <c r="BF174" i="167" s="1"/>
  <c r="BH174" i="167"/>
  <c r="BE106" i="167"/>
  <c r="BF106" i="167" s="1"/>
  <c r="BH106" i="167"/>
  <c r="AD242" i="167"/>
  <c r="AT224" i="167"/>
  <c r="AV211" i="167"/>
  <c r="AV224" i="167" s="1"/>
  <c r="AU211" i="167"/>
  <c r="BH13" i="167"/>
  <c r="BE13" i="167"/>
  <c r="BF13" i="167" s="1"/>
  <c r="AT186" i="167"/>
  <c r="AV168" i="167"/>
  <c r="AV186" i="167" s="1"/>
  <c r="AO82" i="167"/>
  <c r="AO79" i="167"/>
  <c r="AO84" i="167" s="1"/>
  <c r="BA14" i="167"/>
  <c r="BB14" i="167" s="1"/>
  <c r="BD14" i="167"/>
  <c r="BD122" i="167"/>
  <c r="BA122" i="167"/>
  <c r="BB122" i="167" s="1"/>
  <c r="BD179" i="167"/>
  <c r="BA179" i="167"/>
  <c r="BB179" i="167" s="1"/>
  <c r="BA68" i="167"/>
  <c r="BB68" i="167" s="1"/>
  <c r="BD68" i="167"/>
  <c r="BE75" i="167"/>
  <c r="BF75" i="167" s="1"/>
  <c r="BH75" i="167"/>
  <c r="BA17" i="167"/>
  <c r="BB17" i="167" s="1"/>
  <c r="BD17" i="167"/>
  <c r="BE30" i="167"/>
  <c r="BH30" i="167"/>
  <c r="BF30" i="167"/>
  <c r="BD28" i="167"/>
  <c r="BA28" i="167"/>
  <c r="BB28" i="167" s="1"/>
  <c r="BD124" i="167"/>
  <c r="BA124" i="167"/>
  <c r="BB124" i="167" s="1"/>
  <c r="BA32" i="167"/>
  <c r="BB32" i="167" s="1"/>
  <c r="BD32" i="167"/>
  <c r="AZ100" i="167"/>
  <c r="AX100" i="167"/>
  <c r="AY100" i="167" s="1"/>
  <c r="AM242" i="167"/>
  <c r="X242" i="167"/>
  <c r="AA189" i="167"/>
  <c r="BF119" i="167"/>
  <c r="BE119" i="167"/>
  <c r="BH119" i="167"/>
  <c r="AT80" i="167"/>
  <c r="AV74" i="167"/>
  <c r="AV80" i="167" s="1"/>
  <c r="AM84" i="167"/>
  <c r="BE175" i="167"/>
  <c r="BF175" i="167" s="1"/>
  <c r="BH175" i="167"/>
  <c r="BD166" i="167"/>
  <c r="BA166" i="167"/>
  <c r="BB166" i="167" s="1"/>
  <c r="BE216" i="167"/>
  <c r="BF216" i="167" s="1"/>
  <c r="BH216" i="167"/>
  <c r="R242" i="167"/>
  <c r="AU53" i="167"/>
  <c r="BD204" i="167"/>
  <c r="BA204" i="167"/>
  <c r="BB204" i="167" s="1"/>
  <c r="L239" i="167"/>
  <c r="L53" i="167"/>
  <c r="AO225" i="167"/>
  <c r="BA76" i="167"/>
  <c r="BB76" i="167" s="1"/>
  <c r="BD76" i="167"/>
  <c r="BA72" i="167"/>
  <c r="BB72" i="167" s="1"/>
  <c r="BD72" i="167"/>
  <c r="BD156" i="167"/>
  <c r="BA156" i="167"/>
  <c r="BB156" i="167" s="1"/>
  <c r="BD45" i="167"/>
  <c r="BA45" i="167"/>
  <c r="BB45" i="167" s="1"/>
  <c r="BD133" i="167"/>
  <c r="BA133" i="167"/>
  <c r="BB133" i="167" s="1"/>
  <c r="BA177" i="167"/>
  <c r="BB177" i="167" s="1"/>
  <c r="BD177" i="167"/>
  <c r="BA111" i="167"/>
  <c r="BB111" i="167" s="1"/>
  <c r="BD111" i="167"/>
  <c r="BD35" i="167"/>
  <c r="BA35" i="167"/>
  <c r="BB35" i="167" s="1"/>
  <c r="BE183" i="167"/>
  <c r="BH183" i="167"/>
  <c r="BF183" i="167"/>
  <c r="BD112" i="167"/>
  <c r="BA112" i="167"/>
  <c r="BB112" i="167" s="1"/>
  <c r="BD24" i="167"/>
  <c r="BA24" i="167"/>
  <c r="BB24" i="167" s="1"/>
  <c r="BD33" i="167"/>
  <c r="BA33" i="167"/>
  <c r="BB33" i="167" s="1"/>
  <c r="BE169" i="167"/>
  <c r="BF169" i="167" s="1"/>
  <c r="BH169" i="167"/>
  <c r="AR134" i="167"/>
  <c r="AR137" i="167"/>
  <c r="AT98" i="167"/>
  <c r="AT170" i="167"/>
  <c r="AR188" i="167"/>
  <c r="AX42" i="167"/>
  <c r="AY42" i="167" s="1"/>
  <c r="AZ42" i="167"/>
  <c r="AO48" i="167"/>
  <c r="AO51" i="167"/>
  <c r="AD239" i="167"/>
  <c r="AD244" i="167" s="1"/>
  <c r="AD53" i="167"/>
  <c r="AR184" i="167"/>
  <c r="AR187" i="167"/>
  <c r="AT153" i="167"/>
  <c r="BD157" i="167"/>
  <c r="BA157" i="167"/>
  <c r="BB157" i="167" s="1"/>
  <c r="BE165" i="167"/>
  <c r="BF165" i="167" s="1"/>
  <c r="BH165" i="167"/>
  <c r="BA39" i="167"/>
  <c r="BB39" i="167" s="1"/>
  <c r="BD39" i="167"/>
  <c r="AJ239" i="167"/>
  <c r="AJ53" i="167"/>
  <c r="BE125" i="167"/>
  <c r="BF125" i="167" s="1"/>
  <c r="BH125" i="167"/>
  <c r="BF215" i="167"/>
  <c r="BE215" i="167"/>
  <c r="BH215" i="167"/>
  <c r="O239" i="167"/>
  <c r="O53" i="167"/>
  <c r="AT73" i="167"/>
  <c r="AR81" i="167"/>
  <c r="AR135" i="167"/>
  <c r="AT117" i="167"/>
  <c r="BA158" i="167"/>
  <c r="BB158" i="167" s="1"/>
  <c r="BD158" i="167"/>
  <c r="BA41" i="167"/>
  <c r="BB41" i="167" s="1"/>
  <c r="BD41" i="167"/>
  <c r="AG239" i="167"/>
  <c r="AG53" i="167"/>
  <c r="R239" i="167"/>
  <c r="R244" i="167" s="1"/>
  <c r="R53" i="167"/>
  <c r="BD121" i="167"/>
  <c r="BA121" i="167"/>
  <c r="BB121" i="167" s="1"/>
  <c r="BH16" i="167"/>
  <c r="BE16" i="167"/>
  <c r="BF16" i="167" s="1"/>
  <c r="AU242" i="167"/>
  <c r="L242" i="167"/>
  <c r="BE208" i="167"/>
  <c r="BF208" i="167" s="1"/>
  <c r="BH208" i="167"/>
  <c r="BA108" i="167"/>
  <c r="BB108" i="167" s="1"/>
  <c r="BD108" i="167"/>
  <c r="BD71" i="167"/>
  <c r="BA71" i="167"/>
  <c r="BB71" i="167" s="1"/>
  <c r="BA161" i="167"/>
  <c r="BB161" i="167" s="1"/>
  <c r="BD161" i="167"/>
  <c r="BA123" i="167"/>
  <c r="BB123" i="167" s="1"/>
  <c r="BD123" i="167"/>
  <c r="BA155" i="167"/>
  <c r="BB155" i="167" s="1"/>
  <c r="BD155" i="167"/>
  <c r="BD20" i="167"/>
  <c r="BA20" i="167"/>
  <c r="BB20" i="167" s="1"/>
  <c r="BD104" i="167"/>
  <c r="BB104" i="167"/>
  <c r="BA104" i="167"/>
  <c r="BA116" i="167"/>
  <c r="BD116" i="167"/>
  <c r="BB116" i="167"/>
  <c r="BA181" i="167"/>
  <c r="BB181" i="167" s="1"/>
  <c r="BD181" i="167"/>
  <c r="BD44" i="167"/>
  <c r="BA44" i="167"/>
  <c r="BB44" i="167" s="1"/>
  <c r="BB110" i="167"/>
  <c r="BA110" i="167"/>
  <c r="BD110" i="167"/>
  <c r="BD130" i="167"/>
  <c r="BA130" i="167"/>
  <c r="BB130" i="167" s="1"/>
  <c r="BA22" i="167"/>
  <c r="BB22" i="167" s="1"/>
  <c r="BD22" i="167"/>
  <c r="AR185" i="167"/>
  <c r="AT172" i="167"/>
  <c r="BD180" i="167"/>
  <c r="BB180" i="167"/>
  <c r="BA180" i="167"/>
  <c r="AM239" i="167"/>
  <c r="AM244" i="167" s="1"/>
  <c r="AM53" i="167"/>
  <c r="BE101" i="167"/>
  <c r="BF101" i="167" s="1"/>
  <c r="BH101" i="167"/>
  <c r="BA47" i="167"/>
  <c r="BB47" i="167" s="1"/>
  <c r="BD47" i="167"/>
  <c r="BE40" i="167"/>
  <c r="BF40" i="167" s="1"/>
  <c r="BH40" i="167"/>
  <c r="BH163" i="167"/>
  <c r="BE163" i="167"/>
  <c r="BF163" i="167" s="1"/>
  <c r="AR51" i="167"/>
  <c r="AR48" i="167"/>
  <c r="AT12" i="167"/>
  <c r="BD23" i="167"/>
  <c r="BA23" i="167"/>
  <c r="BB23" i="167" s="1"/>
  <c r="AV26" i="167"/>
  <c r="AV50" i="167" s="1"/>
  <c r="AT50" i="167"/>
  <c r="BA120" i="167"/>
  <c r="BB120" i="167" s="1"/>
  <c r="BD120" i="167"/>
  <c r="BD109" i="167"/>
  <c r="BA109" i="167"/>
  <c r="BB109" i="167" s="1"/>
  <c r="BD107" i="167"/>
  <c r="BB107" i="167"/>
  <c r="BA107" i="167"/>
  <c r="BA162" i="167"/>
  <c r="BB162" i="167" s="1"/>
  <c r="BD162" i="167"/>
  <c r="BD209" i="167"/>
  <c r="BA209" i="167"/>
  <c r="BB209" i="167" s="1"/>
  <c r="BD29" i="167"/>
  <c r="BA29" i="167"/>
  <c r="BB29" i="167" s="1"/>
  <c r="BH70" i="167"/>
  <c r="BE70" i="167"/>
  <c r="BF70" i="167" s="1"/>
  <c r="BH27" i="167"/>
  <c r="BE27" i="167"/>
  <c r="BF27" i="167" s="1"/>
  <c r="U239" i="167"/>
  <c r="U244" i="167" s="1"/>
  <c r="U53" i="167"/>
  <c r="BA164" i="167"/>
  <c r="BB164" i="167" s="1"/>
  <c r="BD164" i="167"/>
  <c r="AR221" i="167"/>
  <c r="AT212" i="167"/>
  <c r="AW31" i="167"/>
  <c r="BA167" i="167"/>
  <c r="BB167" i="167" s="1"/>
  <c r="BD167" i="167"/>
  <c r="AD84" i="167"/>
  <c r="BB19" i="167"/>
  <c r="BD19" i="167"/>
  <c r="BA19" i="167"/>
  <c r="AJ242" i="167"/>
  <c r="AD189" i="167"/>
  <c r="BA36" i="167"/>
  <c r="BB36" i="167" s="1"/>
  <c r="BD36" i="167"/>
  <c r="BE46" i="167"/>
  <c r="BF46" i="167" s="1"/>
  <c r="BH46" i="167"/>
  <c r="BE43" i="167"/>
  <c r="BF43" i="167" s="1"/>
  <c r="BH43" i="167"/>
  <c r="BE128" i="167"/>
  <c r="BF128" i="167" s="1"/>
  <c r="BH128" i="167"/>
  <c r="BD217" i="167"/>
  <c r="BA217" i="167"/>
  <c r="BB217" i="167" s="1"/>
  <c r="O242" i="167"/>
  <c r="R189" i="167"/>
  <c r="AO139" i="167"/>
  <c r="O84" i="167"/>
  <c r="AR67" i="167"/>
  <c r="AM189" i="167"/>
  <c r="BE207" i="167"/>
  <c r="BF207" i="167" s="1"/>
  <c r="BH207" i="167"/>
  <c r="BA213" i="167"/>
  <c r="BB213" i="167" s="1"/>
  <c r="BD213" i="167"/>
  <c r="BB132" i="167"/>
  <c r="BD132" i="167"/>
  <c r="BA132" i="167"/>
  <c r="BH118" i="167"/>
  <c r="BF118" i="167"/>
  <c r="BE118" i="167"/>
  <c r="BE182" i="167"/>
  <c r="BF182" i="167" s="1"/>
  <c r="BH182" i="167"/>
  <c r="AG242" i="167"/>
  <c r="AR222" i="167"/>
  <c r="AT210" i="167"/>
  <c r="BD171" i="167"/>
  <c r="BA171" i="167"/>
  <c r="BB171" i="167" s="1"/>
  <c r="AO184" i="167"/>
  <c r="AO187" i="167"/>
  <c r="X189" i="167"/>
  <c r="BE178" i="167"/>
  <c r="BH178" i="167"/>
  <c r="BF178" i="167"/>
  <c r="AG84" i="167"/>
  <c r="AA239" i="167"/>
  <c r="AA244" i="167" s="1"/>
  <c r="AA53" i="167"/>
  <c r="O189" i="167"/>
  <c r="BD218" i="167"/>
  <c r="BA218" i="167"/>
  <c r="BB218" i="167" s="1"/>
  <c r="BD126" i="167"/>
  <c r="BA126" i="167"/>
  <c r="BB126" i="167" s="1"/>
  <c r="BD206" i="167"/>
  <c r="BB206" i="167"/>
  <c r="BA206" i="167"/>
  <c r="BA131" i="167"/>
  <c r="BD131" i="167"/>
  <c r="BB131" i="167"/>
  <c r="BA25" i="167"/>
  <c r="BB25" i="167" s="1"/>
  <c r="BD25" i="167"/>
  <c r="BA77" i="167"/>
  <c r="BB77" i="167" s="1"/>
  <c r="BD77" i="167"/>
  <c r="BD69" i="167"/>
  <c r="BA69" i="167"/>
  <c r="BB69" i="167" s="1"/>
  <c r="BD154" i="167"/>
  <c r="BB154" i="167"/>
  <c r="BA154" i="167"/>
  <c r="BD176" i="167"/>
  <c r="BA176" i="167"/>
  <c r="BB176" i="167" s="1"/>
  <c r="BB205" i="167"/>
  <c r="BA205" i="167"/>
  <c r="BD205" i="167"/>
  <c r="BD159" i="167"/>
  <c r="BB159" i="167"/>
  <c r="BA159" i="167"/>
  <c r="BD21" i="167"/>
  <c r="BA21" i="167"/>
  <c r="BB21" i="167" s="1"/>
  <c r="BA214" i="167"/>
  <c r="BB214" i="167" s="1"/>
  <c r="BD214" i="167"/>
  <c r="BD18" i="167"/>
  <c r="BA18" i="167"/>
  <c r="BB18" i="167" s="1"/>
  <c r="BA37" i="167"/>
  <c r="BB37" i="167" s="1"/>
  <c r="BD37" i="167"/>
  <c r="BD102" i="167"/>
  <c r="BB102" i="167"/>
  <c r="BA102" i="167"/>
  <c r="BA219" i="167"/>
  <c r="BB219" i="167" s="1"/>
  <c r="BD219" i="167"/>
  <c r="BA103" i="167"/>
  <c r="BB103" i="167" s="1"/>
  <c r="BD103" i="167"/>
  <c r="AW212" i="166"/>
  <c r="AW117" i="166"/>
  <c r="AW135" i="166" s="1"/>
  <c r="AW141" i="166" s="1"/>
  <c r="AW146" i="166" s="1"/>
  <c r="AW74" i="166"/>
  <c r="AX68" i="166"/>
  <c r="AY68" i="166" s="1"/>
  <c r="AZ68" i="166"/>
  <c r="AX15" i="166"/>
  <c r="AY15" i="166" s="1"/>
  <c r="AZ15" i="166"/>
  <c r="BH215" i="166"/>
  <c r="BE215" i="166"/>
  <c r="BF215" i="166" s="1"/>
  <c r="BH18" i="166"/>
  <c r="BE18" i="166"/>
  <c r="BF18" i="166" s="1"/>
  <c r="AW73" i="166"/>
  <c r="BA218" i="166"/>
  <c r="BB218" i="166" s="1"/>
  <c r="BD218" i="166"/>
  <c r="BA124" i="166"/>
  <c r="BB124" i="166" s="1"/>
  <c r="BD124" i="166"/>
  <c r="BE177" i="166"/>
  <c r="BF177" i="166" s="1"/>
  <c r="BH177" i="166"/>
  <c r="X242" i="166"/>
  <c r="U242" i="166"/>
  <c r="BD35" i="166"/>
  <c r="BB35" i="166"/>
  <c r="BA35" i="166"/>
  <c r="BD13" i="166"/>
  <c r="BA13" i="166"/>
  <c r="BB13" i="166" s="1"/>
  <c r="BA44" i="166"/>
  <c r="BD44" i="166"/>
  <c r="BB44" i="166"/>
  <c r="BD126" i="166"/>
  <c r="BA126" i="166"/>
  <c r="BB126" i="166" s="1"/>
  <c r="BA156" i="166"/>
  <c r="BB156" i="166" s="1"/>
  <c r="BD156" i="166"/>
  <c r="BD129" i="166"/>
  <c r="BA129" i="166"/>
  <c r="BB129" i="166" s="1"/>
  <c r="BD21" i="166"/>
  <c r="BA21" i="166"/>
  <c r="BB21" i="166" s="1"/>
  <c r="BA102" i="166"/>
  <c r="BB102" i="166" s="1"/>
  <c r="BD102" i="166"/>
  <c r="BB25" i="166"/>
  <c r="BA25" i="166"/>
  <c r="BD25" i="166"/>
  <c r="BD101" i="166"/>
  <c r="BA101" i="166"/>
  <c r="BB101" i="166" s="1"/>
  <c r="BD40" i="166"/>
  <c r="BA40" i="166"/>
  <c r="BB40" i="166" s="1"/>
  <c r="BA69" i="166"/>
  <c r="BB69" i="166" s="1"/>
  <c r="BD69" i="166"/>
  <c r="BD176" i="166"/>
  <c r="BA176" i="166"/>
  <c r="BB176" i="166" s="1"/>
  <c r="BA105" i="166"/>
  <c r="BB105" i="166" s="1"/>
  <c r="BD105" i="166"/>
  <c r="AO187" i="166"/>
  <c r="AO242" i="166" s="1"/>
  <c r="AO184" i="166"/>
  <c r="AO239" i="166" s="1"/>
  <c r="AT172" i="166"/>
  <c r="AR185" i="166"/>
  <c r="AR240" i="166" s="1"/>
  <c r="AR153" i="166"/>
  <c r="R239" i="166"/>
  <c r="R53" i="166"/>
  <c r="AA239" i="166"/>
  <c r="AA53" i="166"/>
  <c r="BH154" i="166"/>
  <c r="BF154" i="166"/>
  <c r="BE154" i="166"/>
  <c r="BE120" i="166"/>
  <c r="BF120" i="166" s="1"/>
  <c r="BH120" i="166"/>
  <c r="AZ103" i="166"/>
  <c r="AX103" i="166"/>
  <c r="AY103" i="166" s="1"/>
  <c r="L239" i="166"/>
  <c r="L244" i="166" s="1"/>
  <c r="L53" i="166"/>
  <c r="BF181" i="166"/>
  <c r="BE181" i="166"/>
  <c r="BH181" i="166"/>
  <c r="BD14" i="166"/>
  <c r="BB14" i="166"/>
  <c r="BA14" i="166"/>
  <c r="AD242" i="166"/>
  <c r="AW80" i="166"/>
  <c r="AW86" i="166" s="1"/>
  <c r="AZ74" i="166"/>
  <c r="BX74" i="166"/>
  <c r="AX74" i="166"/>
  <c r="AY74" i="166" s="1"/>
  <c r="BD77" i="166"/>
  <c r="BA77" i="166"/>
  <c r="BB77" i="166" s="1"/>
  <c r="AT188" i="166"/>
  <c r="AU170" i="166"/>
  <c r="AW170" i="166" s="1"/>
  <c r="AV170" i="166"/>
  <c r="AV188" i="166" s="1"/>
  <c r="BD174" i="166"/>
  <c r="BA174" i="166"/>
  <c r="BB174" i="166" s="1"/>
  <c r="BE216" i="166"/>
  <c r="BF216" i="166" s="1"/>
  <c r="BH216" i="166"/>
  <c r="BA37" i="166"/>
  <c r="BD37" i="166"/>
  <c r="BB37" i="166"/>
  <c r="BH41" i="166"/>
  <c r="BE41" i="166"/>
  <c r="BF41" i="166" s="1"/>
  <c r="BH130" i="166"/>
  <c r="BE130" i="166"/>
  <c r="BF130" i="166" s="1"/>
  <c r="AV82" i="166"/>
  <c r="AV79" i="166"/>
  <c r="BE109" i="166"/>
  <c r="BF109" i="166" s="1"/>
  <c r="BH109" i="166"/>
  <c r="BD175" i="166"/>
  <c r="BB175" i="166"/>
  <c r="BA175" i="166"/>
  <c r="BB47" i="166"/>
  <c r="BA47" i="166"/>
  <c r="BD47" i="166"/>
  <c r="AG239" i="166"/>
  <c r="AG53" i="166"/>
  <c r="AO225" i="166"/>
  <c r="BD23" i="166"/>
  <c r="BA23" i="166"/>
  <c r="BB23" i="166" s="1"/>
  <c r="BA36" i="166"/>
  <c r="BB36" i="166" s="1"/>
  <c r="BD36" i="166"/>
  <c r="BA171" i="166"/>
  <c r="BB171" i="166" s="1"/>
  <c r="BD171" i="166"/>
  <c r="BD28" i="166"/>
  <c r="BB28" i="166"/>
  <c r="BA28" i="166"/>
  <c r="BA169" i="166"/>
  <c r="BD169" i="166"/>
  <c r="BB169" i="166"/>
  <c r="BD204" i="166"/>
  <c r="BA204" i="166"/>
  <c r="BB204" i="166" s="1"/>
  <c r="BB159" i="166"/>
  <c r="BA159" i="166"/>
  <c r="BD159" i="166"/>
  <c r="BA125" i="166"/>
  <c r="BB125" i="166" s="1"/>
  <c r="BD125" i="166"/>
  <c r="AO53" i="166"/>
  <c r="AT137" i="166"/>
  <c r="AV98" i="166"/>
  <c r="AW98" i="166" s="1"/>
  <c r="BA119" i="166"/>
  <c r="BB119" i="166" s="1"/>
  <c r="BD119" i="166"/>
  <c r="BA179" i="166"/>
  <c r="BB179" i="166" s="1"/>
  <c r="BD179" i="166"/>
  <c r="BD161" i="166"/>
  <c r="BA161" i="166"/>
  <c r="BB161" i="166" s="1"/>
  <c r="AT136" i="166"/>
  <c r="AV113" i="166"/>
  <c r="AV136" i="166" s="1"/>
  <c r="BD206" i="166"/>
  <c r="BA206" i="166"/>
  <c r="BB206" i="166" s="1"/>
  <c r="AR84" i="166"/>
  <c r="BH100" i="166"/>
  <c r="BE100" i="166"/>
  <c r="BF100" i="166" s="1"/>
  <c r="BE43" i="166"/>
  <c r="BF43" i="166" s="1"/>
  <c r="BH43" i="166"/>
  <c r="BA30" i="166"/>
  <c r="BB30" i="166" s="1"/>
  <c r="BD30" i="166"/>
  <c r="BH108" i="166"/>
  <c r="BE108" i="166"/>
  <c r="BF108" i="166" s="1"/>
  <c r="BD112" i="166"/>
  <c r="BA112" i="166"/>
  <c r="BB112" i="166" s="1"/>
  <c r="BA167" i="166"/>
  <c r="BB167" i="166" s="1"/>
  <c r="BD167" i="166"/>
  <c r="BE165" i="166"/>
  <c r="BH165" i="166"/>
  <c r="BF165" i="166"/>
  <c r="BE160" i="166"/>
  <c r="BF160" i="166" s="1"/>
  <c r="BH160" i="166"/>
  <c r="R189" i="166"/>
  <c r="BA163" i="166"/>
  <c r="BB163" i="166" s="1"/>
  <c r="BD163" i="166"/>
  <c r="R242" i="166"/>
  <c r="AA242" i="166"/>
  <c r="BA20" i="166"/>
  <c r="BB20" i="166" s="1"/>
  <c r="BD20" i="166"/>
  <c r="BE214" i="166"/>
  <c r="BF214" i="166" s="1"/>
  <c r="BH214" i="166"/>
  <c r="AU84" i="166"/>
  <c r="BH157" i="166"/>
  <c r="BF157" i="166"/>
  <c r="BE157" i="166"/>
  <c r="X189" i="166"/>
  <c r="AR50" i="166"/>
  <c r="AT26" i="166"/>
  <c r="AO139" i="166"/>
  <c r="BB19" i="166"/>
  <c r="BA19" i="166"/>
  <c r="BD19" i="166"/>
  <c r="BE164" i="166"/>
  <c r="BF164" i="166" s="1"/>
  <c r="BH164" i="166"/>
  <c r="AJ189" i="166"/>
  <c r="AR138" i="166"/>
  <c r="AR243" i="166" s="1"/>
  <c r="AT99" i="166"/>
  <c r="AT186" i="166"/>
  <c r="AV168" i="166"/>
  <c r="AV186" i="166" s="1"/>
  <c r="BD70" i="166"/>
  <c r="BA70" i="166"/>
  <c r="BB70" i="166" s="1"/>
  <c r="AD239" i="166"/>
  <c r="AD244" i="166" s="1"/>
  <c r="AD53" i="166"/>
  <c r="AU48" i="166"/>
  <c r="AU51" i="166"/>
  <c r="AU242" i="166" s="1"/>
  <c r="BD27" i="166"/>
  <c r="BA27" i="166"/>
  <c r="BB27" i="166" s="1"/>
  <c r="BA123" i="166"/>
  <c r="BB123" i="166" s="1"/>
  <c r="BD123" i="166"/>
  <c r="BA132" i="166"/>
  <c r="BB132" i="166" s="1"/>
  <c r="BD132" i="166"/>
  <c r="BA72" i="166"/>
  <c r="BB72" i="166" s="1"/>
  <c r="BD72" i="166"/>
  <c r="AW67" i="166"/>
  <c r="BD32" i="166"/>
  <c r="BA32" i="166"/>
  <c r="BB32" i="166" s="1"/>
  <c r="L189" i="166"/>
  <c r="BD39" i="166"/>
  <c r="BA39" i="166"/>
  <c r="BB39" i="166" s="1"/>
  <c r="AG242" i="166"/>
  <c r="BE107" i="166"/>
  <c r="BF107" i="166" s="1"/>
  <c r="BH107" i="166"/>
  <c r="AT224" i="166"/>
  <c r="AU211" i="166"/>
  <c r="AV211" i="166"/>
  <c r="AV224" i="166" s="1"/>
  <c r="BD219" i="166"/>
  <c r="BA219" i="166"/>
  <c r="BB219" i="166" s="1"/>
  <c r="BD217" i="166"/>
  <c r="BA217" i="166"/>
  <c r="BB217" i="166" s="1"/>
  <c r="BD207" i="166"/>
  <c r="BA207" i="166"/>
  <c r="BB207" i="166" s="1"/>
  <c r="BA209" i="166"/>
  <c r="BB209" i="166" s="1"/>
  <c r="BD209" i="166"/>
  <c r="BA178" i="166"/>
  <c r="BB178" i="166" s="1"/>
  <c r="BD178" i="166"/>
  <c r="BD104" i="166"/>
  <c r="BA104" i="166"/>
  <c r="BB104" i="166" s="1"/>
  <c r="BA16" i="166"/>
  <c r="BB16" i="166" s="1"/>
  <c r="BD16" i="166"/>
  <c r="BD22" i="166"/>
  <c r="BA22" i="166"/>
  <c r="BB22" i="166" s="1"/>
  <c r="BB131" i="166"/>
  <c r="BA131" i="166"/>
  <c r="BD131" i="166"/>
  <c r="AX212" i="166"/>
  <c r="AY212" i="166" s="1"/>
  <c r="AW221" i="166"/>
  <c r="AW227" i="166" s="1"/>
  <c r="AW232" i="166" s="1"/>
  <c r="AZ212" i="166"/>
  <c r="BX212" i="166"/>
  <c r="BA127" i="166"/>
  <c r="BB127" i="166" s="1"/>
  <c r="BD127" i="166"/>
  <c r="BA116" i="166"/>
  <c r="BB116" i="166" s="1"/>
  <c r="BD116" i="166"/>
  <c r="AA189" i="166"/>
  <c r="AM239" i="166"/>
  <c r="AM244" i="166" s="1"/>
  <c r="AM53" i="166"/>
  <c r="AR223" i="166"/>
  <c r="AR220" i="166"/>
  <c r="AT203" i="166"/>
  <c r="BA110" i="166"/>
  <c r="BB110" i="166" s="1"/>
  <c r="BD110" i="166"/>
  <c r="BE24" i="166"/>
  <c r="BF24" i="166" s="1"/>
  <c r="BH24" i="166"/>
  <c r="BE205" i="166"/>
  <c r="BF205" i="166" s="1"/>
  <c r="BH205" i="166"/>
  <c r="BE121" i="166"/>
  <c r="BF121" i="166" s="1"/>
  <c r="BH121" i="166"/>
  <c r="BH213" i="166"/>
  <c r="BE213" i="166"/>
  <c r="BF213" i="166" s="1"/>
  <c r="BH115" i="166"/>
  <c r="BE115" i="166"/>
  <c r="BF115" i="166" s="1"/>
  <c r="AD189" i="166"/>
  <c r="BE182" i="166"/>
  <c r="BF182" i="166" s="1"/>
  <c r="BH182" i="166"/>
  <c r="AJ239" i="166"/>
  <c r="AJ244" i="166" s="1"/>
  <c r="AJ53" i="166"/>
  <c r="O239" i="166"/>
  <c r="O244" i="166" s="1"/>
  <c r="O53" i="166"/>
  <c r="BE118" i="166"/>
  <c r="BF118" i="166" s="1"/>
  <c r="BH118" i="166"/>
  <c r="AT210" i="166"/>
  <c r="AR222" i="166"/>
  <c r="AR51" i="166"/>
  <c r="AR48" i="166"/>
  <c r="AT12" i="166"/>
  <c r="AT49" i="166"/>
  <c r="AV31" i="166"/>
  <c r="AV49" i="166" s="1"/>
  <c r="BD42" i="166"/>
  <c r="BA42" i="166"/>
  <c r="BB42" i="166" s="1"/>
  <c r="BD122" i="166"/>
  <c r="BA122" i="166"/>
  <c r="BB122" i="166" s="1"/>
  <c r="BA78" i="166"/>
  <c r="BB78" i="166" s="1"/>
  <c r="BD78" i="166"/>
  <c r="BD133" i="166"/>
  <c r="BA133" i="166"/>
  <c r="BB133" i="166" s="1"/>
  <c r="BE29" i="166"/>
  <c r="BF29" i="166" s="1"/>
  <c r="BH29" i="166"/>
  <c r="AT84" i="166"/>
  <c r="BD17" i="166"/>
  <c r="BA17" i="166"/>
  <c r="BB17" i="166" s="1"/>
  <c r="X239" i="166"/>
  <c r="X244" i="166" s="1"/>
  <c r="X53" i="166"/>
  <c r="U239" i="166"/>
  <c r="U244" i="166" s="1"/>
  <c r="U53" i="166"/>
  <c r="AT52" i="166"/>
  <c r="AV34" i="166"/>
  <c r="AV52" i="166" s="1"/>
  <c r="BA76" i="166"/>
  <c r="BB76" i="166" s="1"/>
  <c r="BD76" i="166"/>
  <c r="BD173" i="166"/>
  <c r="BA173" i="166"/>
  <c r="BB173" i="166" s="1"/>
  <c r="BD183" i="166"/>
  <c r="BA183" i="166"/>
  <c r="BB183" i="166" s="1"/>
  <c r="BD71" i="166"/>
  <c r="BA71" i="166"/>
  <c r="BB71" i="166" s="1"/>
  <c r="BA208" i="166"/>
  <c r="BB208" i="166" s="1"/>
  <c r="BD208" i="166"/>
  <c r="BD162" i="166"/>
  <c r="BB162" i="166"/>
  <c r="BA162" i="166"/>
  <c r="BD33" i="166"/>
  <c r="BA33" i="166"/>
  <c r="BB33" i="166" s="1"/>
  <c r="BD180" i="166"/>
  <c r="BB180" i="166"/>
  <c r="BA180" i="166"/>
  <c r="BD46" i="166"/>
  <c r="BA46" i="166"/>
  <c r="BB46" i="166"/>
  <c r="BD111" i="166"/>
  <c r="BA111" i="166"/>
  <c r="BB111" i="166" s="1"/>
  <c r="BB155" i="166"/>
  <c r="BA155" i="166"/>
  <c r="BD155" i="166"/>
  <c r="BD38" i="166"/>
  <c r="BB38" i="166"/>
  <c r="BA38" i="166"/>
  <c r="BA75" i="166"/>
  <c r="BB75" i="166" s="1"/>
  <c r="BD75" i="166"/>
  <c r="BA106" i="166"/>
  <c r="BB106" i="166" s="1"/>
  <c r="BD106" i="166"/>
  <c r="AR134" i="166"/>
  <c r="AR139" i="166" s="1"/>
  <c r="BD166" i="166"/>
  <c r="BB166" i="166"/>
  <c r="BA166" i="166"/>
  <c r="BD158" i="166"/>
  <c r="BA158" i="166"/>
  <c r="BB158" i="166" s="1"/>
  <c r="BA128" i="166"/>
  <c r="BB128" i="166" s="1"/>
  <c r="BD128" i="166"/>
  <c r="BB45" i="166"/>
  <c r="BD45" i="166"/>
  <c r="BA45" i="166"/>
  <c r="AW249" i="165"/>
  <c r="AW234" i="165"/>
  <c r="AW248" i="165"/>
  <c r="AZ103" i="165"/>
  <c r="BA103" i="165" s="1"/>
  <c r="BB103" i="165" s="1"/>
  <c r="AZ68" i="165"/>
  <c r="AR67" i="165"/>
  <c r="AR79" i="165" s="1"/>
  <c r="AZ218" i="165"/>
  <c r="BD218" i="165" s="1"/>
  <c r="AX218" i="165"/>
  <c r="AY218" i="165" s="1"/>
  <c r="AW156" i="165"/>
  <c r="AZ156" i="165" s="1"/>
  <c r="U239" i="165"/>
  <c r="I239" i="165"/>
  <c r="L239" i="165"/>
  <c r="AG239" i="165"/>
  <c r="AW171" i="165"/>
  <c r="AZ171" i="165" s="1"/>
  <c r="AZ219" i="165"/>
  <c r="BD219" i="165" s="1"/>
  <c r="AX219" i="165"/>
  <c r="AY219" i="165" s="1"/>
  <c r="X239" i="165"/>
  <c r="AW181" i="165"/>
  <c r="AZ181" i="165" s="1"/>
  <c r="AW211" i="165"/>
  <c r="AZ211" i="165" s="1"/>
  <c r="AZ170" i="165"/>
  <c r="BD170" i="165" s="1"/>
  <c r="AX170" i="165"/>
  <c r="AY170" i="165" s="1"/>
  <c r="AW121" i="165"/>
  <c r="AX121" i="165" s="1"/>
  <c r="AY121" i="165" s="1"/>
  <c r="AW180" i="165"/>
  <c r="AX180" i="165" s="1"/>
  <c r="AY180" i="165" s="1"/>
  <c r="AW127" i="165"/>
  <c r="AZ127" i="165" s="1"/>
  <c r="AW44" i="165"/>
  <c r="AZ44" i="165" s="1"/>
  <c r="AU220" i="165"/>
  <c r="BX73" i="165"/>
  <c r="BX79" i="165" s="1"/>
  <c r="BY79" i="165" s="1"/>
  <c r="CA79" i="165" s="1"/>
  <c r="CC79" i="165" s="1"/>
  <c r="CX79" i="165" s="1"/>
  <c r="AX73" i="165"/>
  <c r="AY73" i="165" s="1"/>
  <c r="AZ73" i="165"/>
  <c r="BA73" i="165" s="1"/>
  <c r="BB73" i="165" s="1"/>
  <c r="O239" i="165"/>
  <c r="AM239" i="165"/>
  <c r="AW130" i="165"/>
  <c r="AZ130" i="165" s="1"/>
  <c r="AZ100" i="165"/>
  <c r="BD100" i="165" s="1"/>
  <c r="AZ174" i="165"/>
  <c r="BA174" i="165" s="1"/>
  <c r="BB174" i="165" s="1"/>
  <c r="AW99" i="165"/>
  <c r="AX99" i="165" s="1"/>
  <c r="AY99" i="165" s="1"/>
  <c r="AD239" i="165"/>
  <c r="BX173" i="165"/>
  <c r="AX173" i="165"/>
  <c r="AY173" i="165" s="1"/>
  <c r="AZ173" i="165"/>
  <c r="BA173" i="165" s="1"/>
  <c r="BB173" i="165" s="1"/>
  <c r="AX179" i="165"/>
  <c r="AY179" i="165" s="1"/>
  <c r="AZ179" i="165"/>
  <c r="BD179" i="165" s="1"/>
  <c r="AX69" i="165"/>
  <c r="AY69" i="165" s="1"/>
  <c r="AZ69" i="165"/>
  <c r="BA69" i="165" s="1"/>
  <c r="BB69" i="165" s="1"/>
  <c r="AX14" i="165"/>
  <c r="AY14" i="165" s="1"/>
  <c r="AZ14" i="165"/>
  <c r="BD14" i="165" s="1"/>
  <c r="AZ18" i="165"/>
  <c r="BA18" i="165" s="1"/>
  <c r="BB18" i="165" s="1"/>
  <c r="AX18" i="165"/>
  <c r="AY18" i="165" s="1"/>
  <c r="AW78" i="165"/>
  <c r="AX78" i="165" s="1"/>
  <c r="AY78" i="165" s="1"/>
  <c r="BX174" i="165"/>
  <c r="AW115" i="165"/>
  <c r="AX115" i="165" s="1"/>
  <c r="AY115" i="165" s="1"/>
  <c r="R239" i="165"/>
  <c r="AW114" i="165"/>
  <c r="AZ114" i="165" s="1"/>
  <c r="AA239" i="165"/>
  <c r="AU48" i="165"/>
  <c r="AW42" i="165"/>
  <c r="AZ42" i="165" s="1"/>
  <c r="CO258" i="165"/>
  <c r="AJ239" i="165"/>
  <c r="AZ33" i="165"/>
  <c r="BX33" i="165"/>
  <c r="AX33" i="165"/>
  <c r="AY33" i="165" s="1"/>
  <c r="AX111" i="165"/>
  <c r="AY111" i="165" s="1"/>
  <c r="AZ111" i="165"/>
  <c r="BX43" i="165"/>
  <c r="AZ43" i="165"/>
  <c r="AX43" i="165"/>
  <c r="AY43" i="165" s="1"/>
  <c r="AX175" i="165"/>
  <c r="AY175" i="165" s="1"/>
  <c r="AZ175" i="165"/>
  <c r="AZ165" i="165"/>
  <c r="AX165" i="165"/>
  <c r="AY165" i="165" s="1"/>
  <c r="AZ46" i="165"/>
  <c r="AX46" i="165"/>
  <c r="AY46" i="165" s="1"/>
  <c r="AZ176" i="165"/>
  <c r="AX176" i="165"/>
  <c r="AY176" i="165" s="1"/>
  <c r="AX181" i="165"/>
  <c r="AY181" i="165" s="1"/>
  <c r="AZ23" i="165"/>
  <c r="AX23" i="165"/>
  <c r="AY23" i="165" s="1"/>
  <c r="BX116" i="165"/>
  <c r="AX116" i="165"/>
  <c r="AY116" i="165" s="1"/>
  <c r="AZ116" i="165"/>
  <c r="AX177" i="165"/>
  <c r="AY177" i="165" s="1"/>
  <c r="AZ177" i="165"/>
  <c r="AX133" i="165"/>
  <c r="AY133" i="165" s="1"/>
  <c r="AZ133" i="165"/>
  <c r="AX112" i="165"/>
  <c r="AY112" i="165" s="1"/>
  <c r="AZ112" i="165"/>
  <c r="AZ166" i="165"/>
  <c r="AX166" i="165"/>
  <c r="AY166" i="165" s="1"/>
  <c r="AZ24" i="165"/>
  <c r="AX24" i="165"/>
  <c r="AY24" i="165" s="1"/>
  <c r="AX168" i="165"/>
  <c r="AY168" i="165" s="1"/>
  <c r="AZ168" i="165"/>
  <c r="BX168" i="165"/>
  <c r="AZ128" i="165"/>
  <c r="AX128" i="165"/>
  <c r="AY128" i="165" s="1"/>
  <c r="AX27" i="165"/>
  <c r="AY27" i="165" s="1"/>
  <c r="AZ27" i="165"/>
  <c r="BX27" i="165"/>
  <c r="BX32" i="165"/>
  <c r="AX32" i="165"/>
  <c r="AY32" i="165" s="1"/>
  <c r="AZ32" i="165"/>
  <c r="AZ155" i="165"/>
  <c r="AX155" i="165"/>
  <c r="AY155" i="165" s="1"/>
  <c r="AZ212" i="165"/>
  <c r="BX212" i="165"/>
  <c r="AX212" i="165"/>
  <c r="AY212" i="165" s="1"/>
  <c r="AZ30" i="165"/>
  <c r="AX30" i="165"/>
  <c r="AY30" i="165" s="1"/>
  <c r="AX167" i="165"/>
  <c r="AY167" i="165" s="1"/>
  <c r="AZ167" i="165"/>
  <c r="AZ35" i="165"/>
  <c r="AX35" i="165"/>
  <c r="AY35" i="165" s="1"/>
  <c r="AX101" i="165"/>
  <c r="AY101" i="165" s="1"/>
  <c r="AZ101" i="165"/>
  <c r="AX47" i="165"/>
  <c r="AY47" i="165" s="1"/>
  <c r="AZ47" i="165"/>
  <c r="AZ124" i="165"/>
  <c r="BX124" i="165"/>
  <c r="AX124" i="165"/>
  <c r="AY124" i="165" s="1"/>
  <c r="AX105" i="165"/>
  <c r="AY105" i="165" s="1"/>
  <c r="AZ105" i="165"/>
  <c r="AX28" i="165"/>
  <c r="AY28" i="165" s="1"/>
  <c r="AZ28" i="165"/>
  <c r="AZ180" i="165"/>
  <c r="AX108" i="165"/>
  <c r="AY108" i="165" s="1"/>
  <c r="AZ108" i="165"/>
  <c r="AZ38" i="165"/>
  <c r="AX38" i="165"/>
  <c r="AY38" i="165" s="1"/>
  <c r="AZ77" i="165"/>
  <c r="AX77" i="165"/>
  <c r="AY77" i="165" s="1"/>
  <c r="AZ29" i="165"/>
  <c r="AX29" i="165"/>
  <c r="AY29" i="165" s="1"/>
  <c r="BX29" i="165"/>
  <c r="AZ216" i="165"/>
  <c r="AX216" i="165"/>
  <c r="AY216" i="165" s="1"/>
  <c r="BX31" i="165"/>
  <c r="AZ31" i="165"/>
  <c r="AX31" i="165"/>
  <c r="AY31" i="165" s="1"/>
  <c r="AZ125" i="165"/>
  <c r="AX125" i="165"/>
  <c r="AY125" i="165" s="1"/>
  <c r="AX130" i="165"/>
  <c r="AY130" i="165" s="1"/>
  <c r="AZ45" i="165"/>
  <c r="AX45" i="165"/>
  <c r="AY45" i="165" s="1"/>
  <c r="AX160" i="165"/>
  <c r="AY160" i="165" s="1"/>
  <c r="AZ160" i="165"/>
  <c r="BA208" i="165"/>
  <c r="BB208" i="165" s="1"/>
  <c r="BD208" i="165"/>
  <c r="BD206" i="165"/>
  <c r="BA206" i="165"/>
  <c r="BB206" i="165" s="1"/>
  <c r="AR203" i="165"/>
  <c r="AZ109" i="165"/>
  <c r="AX109" i="165"/>
  <c r="AY109" i="165" s="1"/>
  <c r="AO98" i="165"/>
  <c r="BD183" i="165"/>
  <c r="BA183" i="165"/>
  <c r="BB183" i="165" s="1"/>
  <c r="BX117" i="165"/>
  <c r="AZ117" i="165"/>
  <c r="AX117" i="165"/>
  <c r="AY117" i="165" s="1"/>
  <c r="BA161" i="165"/>
  <c r="BB161" i="165" s="1"/>
  <c r="BD161" i="165"/>
  <c r="BA75" i="165"/>
  <c r="BB75" i="165" s="1"/>
  <c r="BD75" i="165"/>
  <c r="BA172" i="165"/>
  <c r="BB172" i="165" s="1"/>
  <c r="BD172" i="165"/>
  <c r="BD126" i="165"/>
  <c r="BA126" i="165"/>
  <c r="BB126" i="165" s="1"/>
  <c r="AX120" i="165"/>
  <c r="AY120" i="165" s="1"/>
  <c r="AZ120" i="165"/>
  <c r="AX71" i="165"/>
  <c r="AY71" i="165" s="1"/>
  <c r="AZ71" i="165"/>
  <c r="BA154" i="165"/>
  <c r="BB154" i="165" s="1"/>
  <c r="BD154" i="165"/>
  <c r="AZ131" i="165"/>
  <c r="AX131" i="165"/>
  <c r="AY131" i="165" s="1"/>
  <c r="AZ102" i="165"/>
  <c r="AX102" i="165"/>
  <c r="AY102" i="165" s="1"/>
  <c r="AX25" i="165"/>
  <c r="AY25" i="165" s="1"/>
  <c r="AZ25" i="165"/>
  <c r="AX40" i="165"/>
  <c r="AY40" i="165" s="1"/>
  <c r="AZ40" i="165"/>
  <c r="BD103" i="165"/>
  <c r="AZ209" i="165"/>
  <c r="AX209" i="165"/>
  <c r="AY209" i="165" s="1"/>
  <c r="AX20" i="165"/>
  <c r="AY20" i="165" s="1"/>
  <c r="AZ20" i="165"/>
  <c r="AX171" i="165"/>
  <c r="AY171" i="165" s="1"/>
  <c r="AZ70" i="165"/>
  <c r="AX70" i="165"/>
  <c r="AY70" i="165" s="1"/>
  <c r="BA74" i="165"/>
  <c r="BB74" i="165" s="1"/>
  <c r="BD74" i="165"/>
  <c r="BX39" i="165"/>
  <c r="AZ39" i="165"/>
  <c r="AX39" i="165"/>
  <c r="AY39" i="165" s="1"/>
  <c r="BX113" i="165"/>
  <c r="AZ113" i="165"/>
  <c r="AX113" i="165"/>
  <c r="AY113" i="165" s="1"/>
  <c r="AX169" i="165"/>
  <c r="AY169" i="165" s="1"/>
  <c r="AZ169" i="165"/>
  <c r="AX17" i="165"/>
  <c r="AY17" i="165" s="1"/>
  <c r="AZ17" i="165"/>
  <c r="AX159" i="165"/>
  <c r="AY159" i="165" s="1"/>
  <c r="AZ159" i="165"/>
  <c r="AZ214" i="165"/>
  <c r="BX214" i="165"/>
  <c r="AX214" i="165"/>
  <c r="AY214" i="165" s="1"/>
  <c r="AX156" i="165"/>
  <c r="AY156" i="165" s="1"/>
  <c r="BA123" i="165"/>
  <c r="BB123" i="165" s="1"/>
  <c r="BD123" i="165"/>
  <c r="AX13" i="165"/>
  <c r="AY13" i="165" s="1"/>
  <c r="AZ13" i="165"/>
  <c r="BA41" i="165"/>
  <c r="BB41" i="165" s="1"/>
  <c r="BD41" i="165"/>
  <c r="AX104" i="165"/>
  <c r="AY104" i="165" s="1"/>
  <c r="AZ104" i="165"/>
  <c r="AZ19" i="165"/>
  <c r="AX19" i="165"/>
  <c r="AY19" i="165" s="1"/>
  <c r="BD36" i="165"/>
  <c r="BA36" i="165"/>
  <c r="BB36" i="165" s="1"/>
  <c r="BD132" i="165"/>
  <c r="BA132" i="165"/>
  <c r="BB132" i="165" s="1"/>
  <c r="AZ162" i="165"/>
  <c r="AX162" i="165"/>
  <c r="AY162" i="165" s="1"/>
  <c r="AX217" i="165"/>
  <c r="AY217" i="165" s="1"/>
  <c r="AZ217" i="165"/>
  <c r="BD158" i="165"/>
  <c r="BA158" i="165"/>
  <c r="BB158" i="165" s="1"/>
  <c r="AX26" i="165"/>
  <c r="AY26" i="165" s="1"/>
  <c r="AZ26" i="165"/>
  <c r="BX26" i="165"/>
  <c r="BX119" i="165"/>
  <c r="AZ119" i="165"/>
  <c r="AX119" i="165"/>
  <c r="AY119" i="165" s="1"/>
  <c r="BD107" i="165"/>
  <c r="BA107" i="165"/>
  <c r="BB107" i="165" s="1"/>
  <c r="AW15" i="165"/>
  <c r="AT184" i="165"/>
  <c r="AV153" i="165"/>
  <c r="AV184" i="165" s="1"/>
  <c r="AT67" i="165"/>
  <c r="AO12" i="165"/>
  <c r="AZ106" i="165"/>
  <c r="AX106" i="165"/>
  <c r="AY106" i="165" s="1"/>
  <c r="AO258" i="165"/>
  <c r="BA215" i="165"/>
  <c r="BB215" i="165" s="1"/>
  <c r="BD215" i="165"/>
  <c r="BD207" i="165"/>
  <c r="BA207" i="165"/>
  <c r="BB207" i="165" s="1"/>
  <c r="BA72" i="165"/>
  <c r="BB72" i="165" s="1"/>
  <c r="BD72" i="165"/>
  <c r="BD210" i="165"/>
  <c r="BA210" i="165"/>
  <c r="BB210" i="165" s="1"/>
  <c r="BA213" i="165"/>
  <c r="BB213" i="165" s="1"/>
  <c r="BD213" i="165"/>
  <c r="AX164" i="165"/>
  <c r="AY164" i="165" s="1"/>
  <c r="AZ164" i="165"/>
  <c r="AX204" i="165"/>
  <c r="AY204" i="165" s="1"/>
  <c r="AZ204" i="165"/>
  <c r="BX118" i="165"/>
  <c r="AX118" i="165"/>
  <c r="AY118" i="165" s="1"/>
  <c r="AZ118" i="165"/>
  <c r="AZ22" i="165"/>
  <c r="AX22" i="165"/>
  <c r="AY22" i="165" s="1"/>
  <c r="BA157" i="165"/>
  <c r="BB157" i="165" s="1"/>
  <c r="BD157" i="165"/>
  <c r="AZ34" i="165"/>
  <c r="AX34" i="165"/>
  <c r="AY34" i="165" s="1"/>
  <c r="BX129" i="165"/>
  <c r="AZ129" i="165"/>
  <c r="AX129" i="165"/>
  <c r="AY129" i="165" s="1"/>
  <c r="AX178" i="165"/>
  <c r="AY178" i="165" s="1"/>
  <c r="AZ178" i="165"/>
  <c r="BX178" i="165"/>
  <c r="AX122" i="165"/>
  <c r="AY122" i="165" s="1"/>
  <c r="AZ122" i="165"/>
  <c r="AX163" i="165"/>
  <c r="AY163" i="165" s="1"/>
  <c r="AZ163" i="165"/>
  <c r="AZ76" i="165"/>
  <c r="AX76" i="165"/>
  <c r="AY76" i="165" s="1"/>
  <c r="AX16" i="165"/>
  <c r="AY16" i="165" s="1"/>
  <c r="AZ16" i="165"/>
  <c r="AU134" i="165"/>
  <c r="AU184" i="165"/>
  <c r="BA68" i="165"/>
  <c r="BB68" i="165" s="1"/>
  <c r="BD68" i="165"/>
  <c r="BA37" i="165"/>
  <c r="BB37" i="165" s="1"/>
  <c r="BD37" i="165"/>
  <c r="BA110" i="165"/>
  <c r="BB110" i="165" s="1"/>
  <c r="BD110" i="165"/>
  <c r="AW205" i="165"/>
  <c r="BA182" i="165"/>
  <c r="BB182" i="165" s="1"/>
  <c r="BD182" i="165"/>
  <c r="BA21" i="165"/>
  <c r="BB21" i="165" s="1"/>
  <c r="BD21" i="165"/>
  <c r="BD114" i="166" l="1"/>
  <c r="BA114" i="166"/>
  <c r="BB114" i="166" s="1"/>
  <c r="AX117" i="166"/>
  <c r="AY117" i="166" s="1"/>
  <c r="EB12" i="77"/>
  <c r="EB12" i="140"/>
  <c r="EB12" i="139"/>
  <c r="AZ117" i="166"/>
  <c r="BA117" i="166" s="1"/>
  <c r="BB117" i="166" s="1"/>
  <c r="BF12" i="77"/>
  <c r="BF12" i="140"/>
  <c r="BF12" i="139"/>
  <c r="AR241" i="167"/>
  <c r="AR240" i="167"/>
  <c r="AO189" i="167"/>
  <c r="AW74" i="167"/>
  <c r="AW26" i="167"/>
  <c r="BE37" i="167"/>
  <c r="BF37" i="167" s="1"/>
  <c r="BH37" i="167"/>
  <c r="BH18" i="167"/>
  <c r="BE18" i="167"/>
  <c r="BF18" i="167" s="1"/>
  <c r="BH126" i="167"/>
  <c r="BE126" i="167"/>
  <c r="BF126" i="167" s="1"/>
  <c r="BE171" i="167"/>
  <c r="BF171" i="167" s="1"/>
  <c r="BH171" i="167"/>
  <c r="BI182" i="167"/>
  <c r="BQ182" i="167"/>
  <c r="BK182" i="167"/>
  <c r="BK207" i="167"/>
  <c r="BI207" i="167"/>
  <c r="BQ207" i="167"/>
  <c r="AR79" i="167"/>
  <c r="AR239" i="167" s="1"/>
  <c r="AR82" i="167"/>
  <c r="AT67" i="167"/>
  <c r="BH209" i="167"/>
  <c r="BE209" i="167"/>
  <c r="BF209" i="167" s="1"/>
  <c r="AR53" i="167"/>
  <c r="BQ163" i="167"/>
  <c r="BK163" i="167"/>
  <c r="BI163" i="167"/>
  <c r="BJ163" i="167" s="1"/>
  <c r="BI101" i="167"/>
  <c r="BQ101" i="167"/>
  <c r="BK101" i="167"/>
  <c r="BE44" i="167"/>
  <c r="BF44" i="167" s="1"/>
  <c r="BH44" i="167"/>
  <c r="BE123" i="167"/>
  <c r="BF123" i="167" s="1"/>
  <c r="BH123" i="167"/>
  <c r="BF161" i="167"/>
  <c r="BE161" i="167"/>
  <c r="BH161" i="167"/>
  <c r="BH71" i="167"/>
  <c r="BE71" i="167"/>
  <c r="BF71" i="167" s="1"/>
  <c r="BK208" i="167"/>
  <c r="BI208" i="167"/>
  <c r="BQ208" i="167"/>
  <c r="BE41" i="167"/>
  <c r="BF41" i="167" s="1"/>
  <c r="BH41" i="167"/>
  <c r="AV73" i="167"/>
  <c r="AV81" i="167" s="1"/>
  <c r="AT81" i="167"/>
  <c r="BD42" i="167"/>
  <c r="BA42" i="167"/>
  <c r="BB42" i="167" s="1"/>
  <c r="AT188" i="167"/>
  <c r="AW170" i="167"/>
  <c r="AV170" i="167"/>
  <c r="AV188" i="167" s="1"/>
  <c r="AU170" i="167"/>
  <c r="BH24" i="167"/>
  <c r="BE24" i="167"/>
  <c r="BF24" i="167" s="1"/>
  <c r="BE156" i="167"/>
  <c r="BF156" i="167" s="1"/>
  <c r="BH156" i="167"/>
  <c r="BE76" i="167"/>
  <c r="BF76" i="167" s="1"/>
  <c r="BH76" i="167"/>
  <c r="BE204" i="167"/>
  <c r="BF204" i="167" s="1"/>
  <c r="BH204" i="167"/>
  <c r="BI175" i="167"/>
  <c r="BQ175" i="167"/>
  <c r="BK175" i="167"/>
  <c r="BX74" i="167"/>
  <c r="AY74" i="167"/>
  <c r="AX74" i="167"/>
  <c r="AW80" i="167"/>
  <c r="AW86" i="167" s="1"/>
  <c r="AZ74" i="167"/>
  <c r="BE32" i="167"/>
  <c r="BF32" i="167" s="1"/>
  <c r="BH32" i="167"/>
  <c r="BE124" i="167"/>
  <c r="BF124" i="167" s="1"/>
  <c r="BH124" i="167"/>
  <c r="BH17" i="167"/>
  <c r="BE17" i="167"/>
  <c r="BF17" i="167" s="1"/>
  <c r="BQ13" i="167"/>
  <c r="BK13" i="167"/>
  <c r="BI13" i="167"/>
  <c r="BI106" i="167"/>
  <c r="BQ106" i="167"/>
  <c r="BK106" i="167"/>
  <c r="BJ106" i="167"/>
  <c r="BI114" i="167"/>
  <c r="BQ114" i="167"/>
  <c r="BK114" i="167"/>
  <c r="AR225" i="167"/>
  <c r="BE38" i="167"/>
  <c r="BH38" i="167"/>
  <c r="BF38" i="167"/>
  <c r="X244" i="167"/>
  <c r="BI127" i="167"/>
  <c r="BQ127" i="167"/>
  <c r="BK127" i="167"/>
  <c r="BE219" i="167"/>
  <c r="BF219" i="167" s="1"/>
  <c r="BH219" i="167"/>
  <c r="BH159" i="167"/>
  <c r="BE159" i="167"/>
  <c r="BF159" i="167" s="1"/>
  <c r="BH69" i="167"/>
  <c r="BE69" i="167"/>
  <c r="BF69" i="167" s="1"/>
  <c r="BE25" i="167"/>
  <c r="BF25" i="167" s="1"/>
  <c r="BH25" i="167"/>
  <c r="BH131" i="167"/>
  <c r="BE131" i="167"/>
  <c r="BF131" i="167" s="1"/>
  <c r="BE206" i="167"/>
  <c r="BH206" i="167"/>
  <c r="BF206" i="167"/>
  <c r="BI178" i="167"/>
  <c r="BQ178" i="167"/>
  <c r="BK178" i="167"/>
  <c r="AT222" i="167"/>
  <c r="AV210" i="167"/>
  <c r="AV222" i="167" s="1"/>
  <c r="BQ118" i="167"/>
  <c r="BK118" i="167"/>
  <c r="BI118" i="167"/>
  <c r="BJ118" i="167" s="1"/>
  <c r="BE213" i="167"/>
  <c r="BF213" i="167" s="1"/>
  <c r="BH213" i="167"/>
  <c r="BI128" i="167"/>
  <c r="BJ128" i="167" s="1"/>
  <c r="BQ128" i="167"/>
  <c r="BK128" i="167"/>
  <c r="BE36" i="167"/>
  <c r="BF36" i="167" s="1"/>
  <c r="BH36" i="167"/>
  <c r="AW49" i="167"/>
  <c r="AX31" i="167"/>
  <c r="AZ31" i="167"/>
  <c r="BX31" i="167"/>
  <c r="AY31" i="167"/>
  <c r="BH164" i="167"/>
  <c r="BE164" i="167"/>
  <c r="BF164" i="167" s="1"/>
  <c r="BQ70" i="167"/>
  <c r="BK70" i="167"/>
  <c r="BI70" i="167"/>
  <c r="BE29" i="167"/>
  <c r="BF29" i="167" s="1"/>
  <c r="BH29" i="167"/>
  <c r="BH162" i="167"/>
  <c r="BE162" i="167"/>
  <c r="BF162" i="167" s="1"/>
  <c r="BE109" i="167"/>
  <c r="BF109" i="167" s="1"/>
  <c r="BH109" i="167"/>
  <c r="AW50" i="167"/>
  <c r="AZ26" i="167"/>
  <c r="BX26" i="167"/>
  <c r="BX48" i="167" s="1"/>
  <c r="AX26" i="167"/>
  <c r="AY26" i="167" s="1"/>
  <c r="AR242" i="167"/>
  <c r="BK40" i="167"/>
  <c r="BI40" i="167"/>
  <c r="BJ40" i="167" s="1"/>
  <c r="BQ40" i="167"/>
  <c r="BF47" i="167"/>
  <c r="BE47" i="167"/>
  <c r="BH47" i="167"/>
  <c r="BE130" i="167"/>
  <c r="BF130" i="167" s="1"/>
  <c r="BH130" i="167"/>
  <c r="BE181" i="167"/>
  <c r="BF181" i="167" s="1"/>
  <c r="BH181" i="167"/>
  <c r="BE116" i="167"/>
  <c r="BF116" i="167" s="1"/>
  <c r="BH116" i="167"/>
  <c r="BH104" i="167"/>
  <c r="BE104" i="167"/>
  <c r="BF104" i="167" s="1"/>
  <c r="BE155" i="167"/>
  <c r="BF155" i="167" s="1"/>
  <c r="BH155" i="167"/>
  <c r="BE108" i="167"/>
  <c r="BF108" i="167" s="1"/>
  <c r="BH108" i="167"/>
  <c r="AT135" i="167"/>
  <c r="AV117" i="167"/>
  <c r="AV135" i="167" s="1"/>
  <c r="AT187" i="167"/>
  <c r="AV153" i="167"/>
  <c r="AT184" i="167"/>
  <c r="AW153" i="167"/>
  <c r="AT137" i="167"/>
  <c r="AT134" i="167"/>
  <c r="AV98" i="167"/>
  <c r="BI169" i="167"/>
  <c r="BQ169" i="167"/>
  <c r="BK169" i="167"/>
  <c r="BE33" i="167"/>
  <c r="BF33" i="167" s="1"/>
  <c r="BH33" i="167"/>
  <c r="BI183" i="167"/>
  <c r="BQ183" i="167"/>
  <c r="BK183" i="167"/>
  <c r="BH35" i="167"/>
  <c r="BE35" i="167"/>
  <c r="BF35" i="167" s="1"/>
  <c r="BE177" i="167"/>
  <c r="BF177" i="167" s="1"/>
  <c r="BH177" i="167"/>
  <c r="BH45" i="167"/>
  <c r="BE45" i="167"/>
  <c r="BF45" i="167" s="1"/>
  <c r="BE72" i="167"/>
  <c r="BF72" i="167" s="1"/>
  <c r="BH72" i="167"/>
  <c r="L244" i="167"/>
  <c r="BA100" i="167"/>
  <c r="BB100" i="167" s="1"/>
  <c r="BD100" i="167"/>
  <c r="BI30" i="167"/>
  <c r="BQ30" i="167"/>
  <c r="BK30" i="167"/>
  <c r="BE179" i="167"/>
  <c r="BF179" i="167"/>
  <c r="BH179" i="167"/>
  <c r="BH122" i="167"/>
  <c r="BE122" i="167"/>
  <c r="BF122" i="167" s="1"/>
  <c r="AU224" i="167"/>
  <c r="AU220" i="167"/>
  <c r="BD15" i="167"/>
  <c r="BB15" i="167"/>
  <c r="BA15" i="167"/>
  <c r="BE173" i="167"/>
  <c r="BF173" i="167" s="1"/>
  <c r="BH173" i="167"/>
  <c r="AV34" i="167"/>
  <c r="AV52" i="167" s="1"/>
  <c r="AT52" i="167"/>
  <c r="AT138" i="167"/>
  <c r="AU99" i="167"/>
  <c r="AV99" i="167"/>
  <c r="AV138" i="167" s="1"/>
  <c r="BK160" i="167"/>
  <c r="BI160" i="167"/>
  <c r="BJ160" i="167" s="1"/>
  <c r="BQ160" i="167"/>
  <c r="BH102" i="167"/>
  <c r="BE102" i="167"/>
  <c r="BF102" i="167" s="1"/>
  <c r="BE214" i="167"/>
  <c r="BF214" i="167" s="1"/>
  <c r="BH214" i="167"/>
  <c r="BH21" i="167"/>
  <c r="BE21" i="167"/>
  <c r="BF21" i="167" s="1"/>
  <c r="BE205" i="167"/>
  <c r="BF205" i="167" s="1"/>
  <c r="BH205" i="167"/>
  <c r="BH154" i="167"/>
  <c r="BF154" i="167"/>
  <c r="BE154" i="167"/>
  <c r="BE218" i="167"/>
  <c r="BF218" i="167"/>
  <c r="BH218" i="167"/>
  <c r="BE217" i="167"/>
  <c r="BF217" i="167" s="1"/>
  <c r="BH217" i="167"/>
  <c r="BK46" i="167"/>
  <c r="BI46" i="167"/>
  <c r="BQ46" i="167"/>
  <c r="BE167" i="167"/>
  <c r="BF167" i="167" s="1"/>
  <c r="BH167" i="167"/>
  <c r="AT221" i="167"/>
  <c r="AV212" i="167"/>
  <c r="AV221" i="167" s="1"/>
  <c r="BH107" i="167"/>
  <c r="BE107" i="167"/>
  <c r="BF107" i="167" s="1"/>
  <c r="BE120" i="167"/>
  <c r="BF120" i="167" s="1"/>
  <c r="BH120" i="167"/>
  <c r="AT241" i="167"/>
  <c r="BE23" i="167"/>
  <c r="BF23" i="167" s="1"/>
  <c r="BH23" i="167"/>
  <c r="BE180" i="167"/>
  <c r="BF180" i="167" s="1"/>
  <c r="BH180" i="167"/>
  <c r="BF22" i="167"/>
  <c r="BE22" i="167"/>
  <c r="BH22" i="167"/>
  <c r="BE121" i="167"/>
  <c r="BH121" i="167"/>
  <c r="BF121" i="167"/>
  <c r="AG244" i="167"/>
  <c r="O244" i="167"/>
  <c r="AJ244" i="167"/>
  <c r="AO242" i="167"/>
  <c r="BH133" i="167"/>
  <c r="BE133" i="167"/>
  <c r="BF133" i="167" s="1"/>
  <c r="BI216" i="167"/>
  <c r="BJ216" i="167" s="1"/>
  <c r="BQ216" i="167"/>
  <c r="BK216" i="167"/>
  <c r="BH166" i="167"/>
  <c r="BE166" i="167"/>
  <c r="BF166" i="167" s="1"/>
  <c r="BK119" i="167"/>
  <c r="BI119" i="167"/>
  <c r="BJ119" i="167" s="1"/>
  <c r="BQ119" i="167"/>
  <c r="BK75" i="167"/>
  <c r="BI75" i="167"/>
  <c r="BJ75" i="167" s="1"/>
  <c r="BQ75" i="167"/>
  <c r="BE68" i="167"/>
  <c r="BF68" i="167" s="1"/>
  <c r="BH68" i="167"/>
  <c r="BE14" i="167"/>
  <c r="BF14" i="167" s="1"/>
  <c r="BH14" i="167"/>
  <c r="BE105" i="167"/>
  <c r="BF105" i="167" s="1"/>
  <c r="BH105" i="167"/>
  <c r="AR243" i="167"/>
  <c r="BE103" i="167"/>
  <c r="BF103" i="167" s="1"/>
  <c r="BH103" i="167"/>
  <c r="BH176" i="167"/>
  <c r="BE176" i="167"/>
  <c r="BF176" i="167" s="1"/>
  <c r="BE77" i="167"/>
  <c r="BF77" i="167" s="1"/>
  <c r="BH77" i="167"/>
  <c r="BE132" i="167"/>
  <c r="BF132" i="167"/>
  <c r="BH132" i="167"/>
  <c r="BI43" i="167"/>
  <c r="BQ43" i="167"/>
  <c r="BK43" i="167"/>
  <c r="BE19" i="167"/>
  <c r="BF19" i="167"/>
  <c r="BH19" i="167"/>
  <c r="BQ27" i="167"/>
  <c r="BK27" i="167"/>
  <c r="BI27" i="167"/>
  <c r="AV241" i="167"/>
  <c r="AT48" i="167"/>
  <c r="AT51" i="167"/>
  <c r="AV12" i="167"/>
  <c r="AT185" i="167"/>
  <c r="AV172" i="167"/>
  <c r="AV185" i="167" s="1"/>
  <c r="BF110" i="167"/>
  <c r="BE110" i="167"/>
  <c r="BH110" i="167"/>
  <c r="BE20" i="167"/>
  <c r="BF20" i="167" s="1"/>
  <c r="BH20" i="167"/>
  <c r="BQ16" i="167"/>
  <c r="BK16" i="167"/>
  <c r="BJ16" i="167"/>
  <c r="BI16" i="167"/>
  <c r="BE158" i="167"/>
  <c r="BF158" i="167" s="1"/>
  <c r="BH158" i="167"/>
  <c r="BI215" i="167"/>
  <c r="BQ215" i="167"/>
  <c r="BK215" i="167"/>
  <c r="BI125" i="167"/>
  <c r="BJ125" i="167" s="1"/>
  <c r="BQ125" i="167"/>
  <c r="BK125" i="167"/>
  <c r="BE39" i="167"/>
  <c r="BF39" i="167" s="1"/>
  <c r="BH39" i="167"/>
  <c r="BI165" i="167"/>
  <c r="BJ165" i="167" s="1"/>
  <c r="BK165" i="167"/>
  <c r="BQ165" i="167"/>
  <c r="BH157" i="167"/>
  <c r="BE157" i="167"/>
  <c r="BF157" i="167" s="1"/>
  <c r="AR189" i="167"/>
  <c r="AO239" i="167"/>
  <c r="AO53" i="167"/>
  <c r="AR139" i="167"/>
  <c r="BE112" i="167"/>
  <c r="BF112" i="167" s="1"/>
  <c r="BH112" i="167"/>
  <c r="BE111" i="167"/>
  <c r="BF111" i="167" s="1"/>
  <c r="BH111" i="167"/>
  <c r="BH28" i="167"/>
  <c r="BE28" i="167"/>
  <c r="BF28" i="167" s="1"/>
  <c r="AW168" i="167"/>
  <c r="AW211" i="167"/>
  <c r="BI174" i="167"/>
  <c r="BQ174" i="167"/>
  <c r="BK174" i="167"/>
  <c r="BQ78" i="167"/>
  <c r="BK78" i="167"/>
  <c r="BI78" i="167"/>
  <c r="BJ78" i="167" s="1"/>
  <c r="BH115" i="167"/>
  <c r="BF115" i="167"/>
  <c r="BE115" i="167"/>
  <c r="AT223" i="167"/>
  <c r="AT220" i="167"/>
  <c r="AT225" i="167" s="1"/>
  <c r="AV203" i="167"/>
  <c r="AW203" i="167" s="1"/>
  <c r="BK129" i="167"/>
  <c r="BI129" i="167"/>
  <c r="BQ129" i="167"/>
  <c r="AW113" i="167"/>
  <c r="AW113" i="166"/>
  <c r="AW136" i="166" s="1"/>
  <c r="AW142" i="166" s="1"/>
  <c r="AW148" i="166" s="1"/>
  <c r="BX117" i="166"/>
  <c r="AW31" i="166"/>
  <c r="AY170" i="166"/>
  <c r="AX170" i="166"/>
  <c r="AW188" i="166"/>
  <c r="AW194" i="166" s="1"/>
  <c r="AZ170" i="166"/>
  <c r="BE208" i="166"/>
  <c r="BF208" i="166" s="1"/>
  <c r="BH208" i="166"/>
  <c r="BH183" i="166"/>
  <c r="BF183" i="166"/>
  <c r="BE183" i="166"/>
  <c r="BE17" i="166"/>
  <c r="BF17" i="166" s="1"/>
  <c r="BH17" i="166"/>
  <c r="BE133" i="166"/>
  <c r="BF133" i="166" s="1"/>
  <c r="BH133" i="166"/>
  <c r="BI121" i="166"/>
  <c r="BQ121" i="166"/>
  <c r="BK121" i="166"/>
  <c r="AR225" i="166"/>
  <c r="BE127" i="166"/>
  <c r="BF127" i="166" s="1"/>
  <c r="BH127" i="166"/>
  <c r="BA212" i="166"/>
  <c r="BB212" i="166" s="1"/>
  <c r="BD212" i="166"/>
  <c r="BE131" i="166"/>
  <c r="BF131" i="166" s="1"/>
  <c r="BH131" i="166"/>
  <c r="BE178" i="166"/>
  <c r="BF178" i="166" s="1"/>
  <c r="BH178" i="166"/>
  <c r="BI107" i="166"/>
  <c r="BJ107" i="166" s="1"/>
  <c r="BQ107" i="166"/>
  <c r="BK107" i="166"/>
  <c r="AU53" i="166"/>
  <c r="BH112" i="166"/>
  <c r="BE112" i="166"/>
  <c r="BF112" i="166" s="1"/>
  <c r="BH30" i="166"/>
  <c r="BE30" i="166"/>
  <c r="BF30" i="166" s="1"/>
  <c r="BK43" i="166"/>
  <c r="BI43" i="166"/>
  <c r="BJ43" i="166" s="1"/>
  <c r="BQ43" i="166"/>
  <c r="BQ100" i="166"/>
  <c r="BK100" i="166"/>
  <c r="BI100" i="166"/>
  <c r="BJ100" i="166" s="1"/>
  <c r="BH206" i="166"/>
  <c r="BE206" i="166"/>
  <c r="BF206" i="166" s="1"/>
  <c r="BF179" i="166"/>
  <c r="BE179" i="166"/>
  <c r="BH179" i="166"/>
  <c r="BE125" i="166"/>
  <c r="BF125" i="166" s="1"/>
  <c r="BH125" i="166"/>
  <c r="BK109" i="166"/>
  <c r="BI109" i="166"/>
  <c r="BQ109" i="166"/>
  <c r="BF37" i="166"/>
  <c r="BE37" i="166"/>
  <c r="BH37" i="166"/>
  <c r="BI181" i="166"/>
  <c r="BJ181" i="166" s="1"/>
  <c r="BQ181" i="166"/>
  <c r="BK181" i="166"/>
  <c r="BK120" i="166"/>
  <c r="BI120" i="166"/>
  <c r="BJ120" i="166" s="1"/>
  <c r="BQ120" i="166"/>
  <c r="AT185" i="166"/>
  <c r="AT240" i="166" s="1"/>
  <c r="AV172" i="166"/>
  <c r="AV185" i="166" s="1"/>
  <c r="BH176" i="166"/>
  <c r="BE176" i="166"/>
  <c r="BF176" i="166" s="1"/>
  <c r="BE156" i="166"/>
  <c r="BF156" i="166"/>
  <c r="BH156" i="166"/>
  <c r="BE126" i="166"/>
  <c r="BF126" i="166" s="1"/>
  <c r="BH126" i="166"/>
  <c r="BE218" i="166"/>
  <c r="BF218" i="166" s="1"/>
  <c r="BH218" i="166"/>
  <c r="BK215" i="166"/>
  <c r="BI215" i="166"/>
  <c r="BJ215" i="166" s="1"/>
  <c r="BQ215" i="166"/>
  <c r="BE128" i="166"/>
  <c r="BF128" i="166" s="1"/>
  <c r="BH128" i="166"/>
  <c r="BE33" i="166"/>
  <c r="BF33" i="166" s="1"/>
  <c r="BH33" i="166"/>
  <c r="BE45" i="166"/>
  <c r="BF45" i="166" s="1"/>
  <c r="BH45" i="166"/>
  <c r="BE75" i="166"/>
  <c r="BF75" i="166" s="1"/>
  <c r="BH75" i="166"/>
  <c r="BE38" i="166"/>
  <c r="BH38" i="166"/>
  <c r="BF38" i="166"/>
  <c r="BH180" i="166"/>
  <c r="BF180" i="166"/>
  <c r="BE180" i="166"/>
  <c r="BH71" i="166"/>
  <c r="BE71" i="166"/>
  <c r="BF71" i="166" s="1"/>
  <c r="BE76" i="166"/>
  <c r="BF76" i="166" s="1"/>
  <c r="BH76" i="166"/>
  <c r="BE78" i="166"/>
  <c r="BF78" i="166" s="1"/>
  <c r="BH78" i="166"/>
  <c r="BH42" i="166"/>
  <c r="BE42" i="166"/>
  <c r="BF42" i="166" s="1"/>
  <c r="AT51" i="166"/>
  <c r="AT48" i="166"/>
  <c r="AV12" i="166"/>
  <c r="AW12" i="166" s="1"/>
  <c r="AT222" i="166"/>
  <c r="AV210" i="166"/>
  <c r="AV222" i="166" s="1"/>
  <c r="BK213" i="166"/>
  <c r="BI213" i="166"/>
  <c r="BQ213" i="166"/>
  <c r="BJ24" i="166"/>
  <c r="BQ24" i="166"/>
  <c r="BK24" i="166"/>
  <c r="BI24" i="166"/>
  <c r="BE110" i="166"/>
  <c r="BF110" i="166" s="1"/>
  <c r="BH110" i="166"/>
  <c r="BE116" i="166"/>
  <c r="BF116" i="166" s="1"/>
  <c r="BH116" i="166"/>
  <c r="BH22" i="166"/>
  <c r="BE22" i="166"/>
  <c r="BF22" i="166" s="1"/>
  <c r="AU224" i="166"/>
  <c r="AU220" i="166"/>
  <c r="AU225" i="166" s="1"/>
  <c r="BH39" i="166"/>
  <c r="BE39" i="166"/>
  <c r="BF39" i="166" s="1"/>
  <c r="BE32" i="166"/>
  <c r="BF32" i="166" s="1"/>
  <c r="BH32" i="166"/>
  <c r="BE123" i="166"/>
  <c r="BF123" i="166" s="1"/>
  <c r="BH123" i="166"/>
  <c r="BE70" i="166"/>
  <c r="BH70" i="166"/>
  <c r="BF70" i="166"/>
  <c r="AT138" i="166"/>
  <c r="AT243" i="166" s="1"/>
  <c r="AV99" i="166"/>
  <c r="AV138" i="166" s="1"/>
  <c r="AV243" i="166" s="1"/>
  <c r="AU99" i="166"/>
  <c r="BK214" i="166"/>
  <c r="BQ214" i="166"/>
  <c r="BI214" i="166"/>
  <c r="BE20" i="166"/>
  <c r="BF20" i="166" s="1"/>
  <c r="BH20" i="166"/>
  <c r="BH163" i="166"/>
  <c r="BE163" i="166"/>
  <c r="BF163" i="166" s="1"/>
  <c r="BI160" i="166"/>
  <c r="BQ160" i="166"/>
  <c r="BK160" i="166"/>
  <c r="BI165" i="166"/>
  <c r="BJ165" i="166" s="1"/>
  <c r="BQ165" i="166"/>
  <c r="BK165" i="166"/>
  <c r="AV134" i="166"/>
  <c r="AV137" i="166"/>
  <c r="BE169" i="166"/>
  <c r="BF169" i="166" s="1"/>
  <c r="BH169" i="166"/>
  <c r="BH28" i="166"/>
  <c r="BE28" i="166"/>
  <c r="BF28" i="166"/>
  <c r="BE36" i="166"/>
  <c r="BF36" i="166" s="1"/>
  <c r="BH36" i="166"/>
  <c r="BF23" i="166"/>
  <c r="BE23" i="166"/>
  <c r="BH23" i="166"/>
  <c r="AG244" i="166"/>
  <c r="BQ41" i="166"/>
  <c r="BK41" i="166"/>
  <c r="BI41" i="166"/>
  <c r="BJ41" i="166" s="1"/>
  <c r="BQ154" i="166"/>
  <c r="BK154" i="166"/>
  <c r="BJ154" i="166"/>
  <c r="BI154" i="166"/>
  <c r="R244" i="166"/>
  <c r="AO189" i="166"/>
  <c r="BH101" i="166"/>
  <c r="BE101" i="166"/>
  <c r="BF101" i="166" s="1"/>
  <c r="BE102" i="166"/>
  <c r="BF102" i="166" s="1"/>
  <c r="BH102" i="166"/>
  <c r="BE13" i="166"/>
  <c r="BF13" i="166" s="1"/>
  <c r="BH13" i="166"/>
  <c r="BH35" i="166"/>
  <c r="BF35" i="166"/>
  <c r="BE35" i="166"/>
  <c r="BK177" i="166"/>
  <c r="BQ177" i="166"/>
  <c r="BI177" i="166"/>
  <c r="BJ177" i="166" s="1"/>
  <c r="BE124" i="166"/>
  <c r="BF124" i="166" s="1"/>
  <c r="BH124" i="166"/>
  <c r="BH46" i="166"/>
  <c r="BF46" i="166"/>
  <c r="BE46" i="166"/>
  <c r="BH122" i="166"/>
  <c r="BE122" i="166"/>
  <c r="BF122" i="166" s="1"/>
  <c r="AW49" i="166"/>
  <c r="AZ31" i="166"/>
  <c r="AX31" i="166"/>
  <c r="AY31" i="166" s="1"/>
  <c r="BX31" i="166"/>
  <c r="AR53" i="166"/>
  <c r="BK118" i="166"/>
  <c r="BI118" i="166"/>
  <c r="BJ118" i="166" s="1"/>
  <c r="BQ118" i="166"/>
  <c r="BI182" i="166"/>
  <c r="BQ182" i="166"/>
  <c r="BK182" i="166"/>
  <c r="BJ205" i="166"/>
  <c r="BI205" i="166"/>
  <c r="BQ205" i="166"/>
  <c r="BK205" i="166"/>
  <c r="BH219" i="166"/>
  <c r="BE219" i="166"/>
  <c r="BF219" i="166" s="1"/>
  <c r="AW82" i="166"/>
  <c r="AW88" i="166" s="1"/>
  <c r="AW94" i="166" s="1"/>
  <c r="AX67" i="166"/>
  <c r="AY67" i="166" s="1"/>
  <c r="AW79" i="166"/>
  <c r="AZ67" i="166"/>
  <c r="BH27" i="166"/>
  <c r="BE27" i="166"/>
  <c r="BF27" i="166" s="1"/>
  <c r="BE19" i="166"/>
  <c r="BF19" i="166" s="1"/>
  <c r="BH19" i="166"/>
  <c r="AT50" i="166"/>
  <c r="AV26" i="166"/>
  <c r="AV50" i="166" s="1"/>
  <c r="AV241" i="166" s="1"/>
  <c r="AW26" i="166"/>
  <c r="BX113" i="166"/>
  <c r="BE161" i="166"/>
  <c r="BH161" i="166"/>
  <c r="BF161" i="166"/>
  <c r="BE119" i="166"/>
  <c r="BF119" i="166" s="1"/>
  <c r="BH119" i="166"/>
  <c r="AW137" i="166"/>
  <c r="AW143" i="166" s="1"/>
  <c r="AW149" i="166" s="1"/>
  <c r="AX98" i="166"/>
  <c r="AY98" i="166" s="1"/>
  <c r="AZ98" i="166"/>
  <c r="AO244" i="166"/>
  <c r="BH159" i="166"/>
  <c r="BE159" i="166"/>
  <c r="BF159" i="166" s="1"/>
  <c r="BE171" i="166"/>
  <c r="BF171" i="166" s="1"/>
  <c r="BH171" i="166"/>
  <c r="BE47" i="166"/>
  <c r="BF47" i="166" s="1"/>
  <c r="BH47" i="166"/>
  <c r="BI216" i="166"/>
  <c r="BK216" i="166"/>
  <c r="BQ216" i="166"/>
  <c r="AU188" i="166"/>
  <c r="AU184" i="166"/>
  <c r="AU189" i="166" s="1"/>
  <c r="BE77" i="166"/>
  <c r="BF77" i="166" s="1"/>
  <c r="BH77" i="166"/>
  <c r="BA74" i="166"/>
  <c r="BB74" i="166" s="1"/>
  <c r="BD74" i="166"/>
  <c r="AR184" i="166"/>
  <c r="AR187" i="166"/>
  <c r="AR242" i="166" s="1"/>
  <c r="AT153" i="166"/>
  <c r="BE69" i="166"/>
  <c r="BF69" i="166" s="1"/>
  <c r="BH69" i="166"/>
  <c r="BH40" i="166"/>
  <c r="BE40" i="166"/>
  <c r="BF40" i="166" s="1"/>
  <c r="BE25" i="166"/>
  <c r="BF25" i="166" s="1"/>
  <c r="BH25" i="166"/>
  <c r="BE21" i="166"/>
  <c r="BF21" i="166" s="1"/>
  <c r="BH21" i="166"/>
  <c r="BE129" i="166"/>
  <c r="BF129" i="166" s="1"/>
  <c r="BH129" i="166"/>
  <c r="BH44" i="166"/>
  <c r="BE44" i="166"/>
  <c r="BF44" i="166" s="1"/>
  <c r="BQ18" i="166"/>
  <c r="BK18" i="166"/>
  <c r="BJ18" i="166"/>
  <c r="BI18" i="166"/>
  <c r="BB68" i="166"/>
  <c r="BA68" i="166"/>
  <c r="BD68" i="166"/>
  <c r="BE106" i="166"/>
  <c r="BF106" i="166" s="1"/>
  <c r="BH106" i="166"/>
  <c r="BF155" i="166"/>
  <c r="BE155" i="166"/>
  <c r="BH155" i="166"/>
  <c r="BH158" i="166"/>
  <c r="BE158" i="166"/>
  <c r="BF158" i="166" s="1"/>
  <c r="BH166" i="166"/>
  <c r="BE166" i="166"/>
  <c r="BF166" i="166" s="1"/>
  <c r="BE111" i="166"/>
  <c r="BF111" i="166" s="1"/>
  <c r="BH111" i="166"/>
  <c r="BH162" i="166"/>
  <c r="BE162" i="166"/>
  <c r="BF162" i="166"/>
  <c r="BE173" i="166"/>
  <c r="BF173" i="166" s="1"/>
  <c r="BH173" i="166"/>
  <c r="AW34" i="166"/>
  <c r="BD117" i="166"/>
  <c r="BK29" i="166"/>
  <c r="BI29" i="166"/>
  <c r="BJ29" i="166" s="1"/>
  <c r="BQ29" i="166"/>
  <c r="AV240" i="166"/>
  <c r="BQ115" i="166"/>
  <c r="BK115" i="166"/>
  <c r="BI115" i="166"/>
  <c r="BJ115" i="166" s="1"/>
  <c r="AT223" i="166"/>
  <c r="AT220" i="166"/>
  <c r="AV203" i="166"/>
  <c r="AW203" i="166" s="1"/>
  <c r="BF16" i="166"/>
  <c r="BE16" i="166"/>
  <c r="BH16" i="166"/>
  <c r="BH104" i="166"/>
  <c r="BE104" i="166"/>
  <c r="BF104" i="166" s="1"/>
  <c r="BE209" i="166"/>
  <c r="BF209" i="166" s="1"/>
  <c r="BH209" i="166"/>
  <c r="BE207" i="166"/>
  <c r="BF207" i="166" s="1"/>
  <c r="BH207" i="166"/>
  <c r="BE217" i="166"/>
  <c r="BH217" i="166"/>
  <c r="BF217" i="166"/>
  <c r="AW211" i="166"/>
  <c r="BE72" i="166"/>
  <c r="BF72" i="166" s="1"/>
  <c r="BH72" i="166"/>
  <c r="BE132" i="166"/>
  <c r="BF132" i="166" s="1"/>
  <c r="BH132" i="166"/>
  <c r="AW168" i="166"/>
  <c r="BI164" i="166"/>
  <c r="BQ164" i="166"/>
  <c r="BK164" i="166"/>
  <c r="AR241" i="166"/>
  <c r="BQ157" i="166"/>
  <c r="BK157" i="166"/>
  <c r="BJ157" i="166"/>
  <c r="BI157" i="166"/>
  <c r="BF167" i="166"/>
  <c r="BE167" i="166"/>
  <c r="BH167" i="166"/>
  <c r="BQ108" i="166"/>
  <c r="BK108" i="166"/>
  <c r="BI108" i="166"/>
  <c r="AT134" i="166"/>
  <c r="AT139" i="166" s="1"/>
  <c r="BH204" i="166"/>
  <c r="BE204" i="166"/>
  <c r="BF204" i="166" s="1"/>
  <c r="BE175" i="166"/>
  <c r="BH175" i="166"/>
  <c r="BF175" i="166"/>
  <c r="AV84" i="166"/>
  <c r="BQ130" i="166"/>
  <c r="BK130" i="166"/>
  <c r="BI130" i="166"/>
  <c r="BE174" i="166"/>
  <c r="BF174" i="166" s="1"/>
  <c r="BH174" i="166"/>
  <c r="AW91" i="166"/>
  <c r="AW95" i="166"/>
  <c r="BE14" i="166"/>
  <c r="BH14" i="166"/>
  <c r="BF14" i="166"/>
  <c r="BD103" i="166"/>
  <c r="BA103" i="166"/>
  <c r="BB103" i="166" s="1"/>
  <c r="AA244" i="166"/>
  <c r="BE105" i="166"/>
  <c r="BF105" i="166" s="1"/>
  <c r="BH105" i="166"/>
  <c r="AW81" i="166"/>
  <c r="AW87" i="166" s="1"/>
  <c r="AW93" i="166" s="1"/>
  <c r="AZ73" i="166"/>
  <c r="BX73" i="166"/>
  <c r="BX79" i="166" s="1"/>
  <c r="BY79" i="166" s="1"/>
  <c r="AX73" i="166"/>
  <c r="AY73" i="166" s="1"/>
  <c r="BA15" i="166"/>
  <c r="BB15" i="166" s="1"/>
  <c r="BD15" i="166"/>
  <c r="AW246" i="165"/>
  <c r="AW244" i="165"/>
  <c r="BA218" i="165"/>
  <c r="BB218" i="165" s="1"/>
  <c r="BA219" i="165"/>
  <c r="BB219" i="165" s="1"/>
  <c r="AZ78" i="165"/>
  <c r="BD78" i="165" s="1"/>
  <c r="AX127" i="165"/>
  <c r="AY127" i="165" s="1"/>
  <c r="AX211" i="165"/>
  <c r="AY211" i="165" s="1"/>
  <c r="BD173" i="165"/>
  <c r="BE173" i="165" s="1"/>
  <c r="BF173" i="165" s="1"/>
  <c r="BD73" i="165"/>
  <c r="BE73" i="165" s="1"/>
  <c r="BF73" i="165" s="1"/>
  <c r="BA170" i="165"/>
  <c r="BB170" i="165" s="1"/>
  <c r="BD18" i="165"/>
  <c r="BE18" i="165" s="1"/>
  <c r="BF18" i="165" s="1"/>
  <c r="AZ121" i="165"/>
  <c r="BD121" i="165" s="1"/>
  <c r="BA100" i="165"/>
  <c r="BB100" i="165" s="1"/>
  <c r="BA14" i="165"/>
  <c r="BB14" i="165" s="1"/>
  <c r="AX114" i="165"/>
  <c r="AY114" i="165" s="1"/>
  <c r="AX42" i="165"/>
  <c r="AY42" i="165" s="1"/>
  <c r="AZ115" i="165"/>
  <c r="BA115" i="165" s="1"/>
  <c r="BB115" i="165" s="1"/>
  <c r="AX44" i="165"/>
  <c r="AY44" i="165" s="1"/>
  <c r="AZ99" i="165"/>
  <c r="BA99" i="165" s="1"/>
  <c r="BB99" i="165" s="1"/>
  <c r="BA179" i="165"/>
  <c r="BB179" i="165" s="1"/>
  <c r="BA44" i="165"/>
  <c r="BB44" i="165" s="1"/>
  <c r="BD44" i="165"/>
  <c r="BE44" i="165" s="1"/>
  <c r="BF44" i="165" s="1"/>
  <c r="BD174" i="165"/>
  <c r="BE174" i="165" s="1"/>
  <c r="BF174" i="165" s="1"/>
  <c r="BX220" i="165"/>
  <c r="BY220" i="165" s="1"/>
  <c r="CA220" i="165" s="1"/>
  <c r="CC220" i="165" s="1"/>
  <c r="AU239" i="165"/>
  <c r="BD69" i="165"/>
  <c r="BE69" i="165" s="1"/>
  <c r="BF69" i="165" s="1"/>
  <c r="BX48" i="165"/>
  <c r="BY48" i="165" s="1"/>
  <c r="BE182" i="165"/>
  <c r="BF182" i="165" s="1"/>
  <c r="BH182" i="165"/>
  <c r="BE68" i="165"/>
  <c r="BF68" i="165" s="1"/>
  <c r="BH68" i="165"/>
  <c r="BD13" i="165"/>
  <c r="BA13" i="165"/>
  <c r="BB13" i="165" s="1"/>
  <c r="BA120" i="165"/>
  <c r="BB120" i="165" s="1"/>
  <c r="BD120" i="165"/>
  <c r="BD16" i="165"/>
  <c r="BA16" i="165"/>
  <c r="BB16" i="165" s="1"/>
  <c r="BE157" i="165"/>
  <c r="BF157" i="165" s="1"/>
  <c r="BH157" i="165"/>
  <c r="BA118" i="165"/>
  <c r="BB118" i="165" s="1"/>
  <c r="BD118" i="165"/>
  <c r="BD164" i="165"/>
  <c r="BA164" i="165"/>
  <c r="BB164" i="165" s="1"/>
  <c r="BE72" i="165"/>
  <c r="BF72" i="165" s="1"/>
  <c r="BH72" i="165"/>
  <c r="BD19" i="165"/>
  <c r="BA19" i="165"/>
  <c r="BB19" i="165" s="1"/>
  <c r="BA17" i="165"/>
  <c r="BB17" i="165" s="1"/>
  <c r="BD17" i="165"/>
  <c r="AZ205" i="165"/>
  <c r="AX205" i="165"/>
  <c r="AY205" i="165" s="1"/>
  <c r="BA76" i="165"/>
  <c r="BB76" i="165" s="1"/>
  <c r="BD76" i="165"/>
  <c r="BA204" i="165"/>
  <c r="BB204" i="165" s="1"/>
  <c r="BD204" i="165"/>
  <c r="BH207" i="165"/>
  <c r="BE207" i="165"/>
  <c r="BF207" i="165" s="1"/>
  <c r="BH107" i="165"/>
  <c r="BE107" i="165"/>
  <c r="BF107" i="165" s="1"/>
  <c r="BD20" i="165"/>
  <c r="BA20" i="165"/>
  <c r="BB20" i="165" s="1"/>
  <c r="BD40" i="165"/>
  <c r="BA40" i="165"/>
  <c r="BB40" i="165" s="1"/>
  <c r="BE219" i="165"/>
  <c r="BF219" i="165" s="1"/>
  <c r="BH219" i="165"/>
  <c r="BA109" i="165"/>
  <c r="BB109" i="165" s="1"/>
  <c r="BD109" i="165"/>
  <c r="BE179" i="165"/>
  <c r="BF179" i="165" s="1"/>
  <c r="BH179" i="165"/>
  <c r="BE110" i="165"/>
  <c r="BF110" i="165" s="1"/>
  <c r="BH110" i="165"/>
  <c r="BE37" i="165"/>
  <c r="BF37" i="165" s="1"/>
  <c r="BH37" i="165"/>
  <c r="BE218" i="165"/>
  <c r="BF218" i="165" s="1"/>
  <c r="BH218" i="165"/>
  <c r="BD163" i="165"/>
  <c r="BA163" i="165"/>
  <c r="BB163" i="165" s="1"/>
  <c r="BA122" i="165"/>
  <c r="BB122" i="165" s="1"/>
  <c r="BD122" i="165"/>
  <c r="BA178" i="165"/>
  <c r="BB178" i="165" s="1"/>
  <c r="BD178" i="165"/>
  <c r="BD34" i="165"/>
  <c r="BA34" i="165"/>
  <c r="BB34" i="165" s="1"/>
  <c r="AT79" i="165"/>
  <c r="AV67" i="165"/>
  <c r="AV79" i="165" s="1"/>
  <c r="AZ15" i="165"/>
  <c r="AX15" i="165"/>
  <c r="AY15" i="165" s="1"/>
  <c r="BH100" i="165"/>
  <c r="BE100" i="165"/>
  <c r="BF100" i="165" s="1"/>
  <c r="BD217" i="165"/>
  <c r="BA217" i="165"/>
  <c r="BB217" i="165" s="1"/>
  <c r="BD162" i="165"/>
  <c r="BA162" i="165"/>
  <c r="BB162" i="165" s="1"/>
  <c r="BE132" i="165"/>
  <c r="BF132" i="165" s="1"/>
  <c r="BH132" i="165"/>
  <c r="BD104" i="165"/>
  <c r="BA104" i="165"/>
  <c r="BB104" i="165" s="1"/>
  <c r="BA156" i="165"/>
  <c r="BB156" i="165" s="1"/>
  <c r="BD156" i="165"/>
  <c r="BA113" i="165"/>
  <c r="BB113" i="165" s="1"/>
  <c r="BD113" i="165"/>
  <c r="BD39" i="165"/>
  <c r="BA39" i="165"/>
  <c r="BB39" i="165" s="1"/>
  <c r="BE74" i="165"/>
  <c r="BF74" i="165" s="1"/>
  <c r="BH74" i="165"/>
  <c r="BD70" i="165"/>
  <c r="BA70" i="165"/>
  <c r="BB70" i="165" s="1"/>
  <c r="BA209" i="165"/>
  <c r="BB209" i="165" s="1"/>
  <c r="BD209" i="165"/>
  <c r="BE14" i="165"/>
  <c r="BF14" i="165" s="1"/>
  <c r="BH14" i="165"/>
  <c r="BE154" i="165"/>
  <c r="BF154" i="165" s="1"/>
  <c r="BH154" i="165"/>
  <c r="BA117" i="165"/>
  <c r="BB117" i="165" s="1"/>
  <c r="BD117" i="165"/>
  <c r="BE183" i="165"/>
  <c r="BF183" i="165" s="1"/>
  <c r="BH183" i="165"/>
  <c r="AT203" i="165"/>
  <c r="AR220" i="165"/>
  <c r="BD130" i="165"/>
  <c r="BA130" i="165"/>
  <c r="BB130" i="165" s="1"/>
  <c r="BD125" i="165"/>
  <c r="BA125" i="165"/>
  <c r="BB125" i="165" s="1"/>
  <c r="BA105" i="165"/>
  <c r="BB105" i="165" s="1"/>
  <c r="BD105" i="165"/>
  <c r="BA30" i="165"/>
  <c r="BB30" i="165" s="1"/>
  <c r="BD30" i="165"/>
  <c r="BA212" i="165"/>
  <c r="BB212" i="165" s="1"/>
  <c r="BD212" i="165"/>
  <c r="BD32" i="165"/>
  <c r="BA32" i="165"/>
  <c r="BB32" i="165" s="1"/>
  <c r="BX184" i="165"/>
  <c r="BY184" i="165" s="1"/>
  <c r="BD166" i="165"/>
  <c r="BA166" i="165"/>
  <c r="BB166" i="165" s="1"/>
  <c r="BD46" i="165"/>
  <c r="BA46" i="165"/>
  <c r="BB46" i="165" s="1"/>
  <c r="BA175" i="165"/>
  <c r="BB175" i="165" s="1"/>
  <c r="BD175" i="165"/>
  <c r="BD43" i="165"/>
  <c r="BA43" i="165"/>
  <c r="BB43" i="165" s="1"/>
  <c r="BA114" i="165"/>
  <c r="BB114" i="165" s="1"/>
  <c r="BD114" i="165"/>
  <c r="BA211" i="165"/>
  <c r="BB211" i="165" s="1"/>
  <c r="BD211" i="165"/>
  <c r="BH126" i="165"/>
  <c r="BE126" i="165"/>
  <c r="BF126" i="165" s="1"/>
  <c r="BE161" i="165"/>
  <c r="BF161" i="165" s="1"/>
  <c r="BH161" i="165"/>
  <c r="AO134" i="165"/>
  <c r="AR98" i="165"/>
  <c r="BE206" i="165"/>
  <c r="BF206" i="165" s="1"/>
  <c r="BH206" i="165"/>
  <c r="CG79" i="165"/>
  <c r="CD79" i="165"/>
  <c r="CH79" i="165" s="1"/>
  <c r="CF75" i="165"/>
  <c r="CF74" i="165"/>
  <c r="CF73" i="165"/>
  <c r="BA127" i="165"/>
  <c r="BB127" i="165" s="1"/>
  <c r="BD127" i="165"/>
  <c r="BA38" i="165"/>
  <c r="BB38" i="165" s="1"/>
  <c r="BD38" i="165"/>
  <c r="BD28" i="165"/>
  <c r="BA28" i="165"/>
  <c r="BB28" i="165" s="1"/>
  <c r="BD124" i="165"/>
  <c r="BA124" i="165"/>
  <c r="BB124" i="165" s="1"/>
  <c r="BA101" i="165"/>
  <c r="BB101" i="165" s="1"/>
  <c r="BD101" i="165"/>
  <c r="BD35" i="165"/>
  <c r="BA35" i="165"/>
  <c r="BB35" i="165" s="1"/>
  <c r="BA168" i="165"/>
  <c r="BB168" i="165" s="1"/>
  <c r="BD168" i="165"/>
  <c r="BA24" i="165"/>
  <c r="BB24" i="165" s="1"/>
  <c r="BD24" i="165"/>
  <c r="BD112" i="165"/>
  <c r="BA112" i="165"/>
  <c r="BB112" i="165" s="1"/>
  <c r="BA116" i="165"/>
  <c r="BB116" i="165" s="1"/>
  <c r="BD116" i="165"/>
  <c r="BA181" i="165"/>
  <c r="BB181" i="165" s="1"/>
  <c r="BD181" i="165"/>
  <c r="BD176" i="165"/>
  <c r="BA176" i="165"/>
  <c r="BB176" i="165" s="1"/>
  <c r="BH21" i="165"/>
  <c r="BE21" i="165"/>
  <c r="BF21" i="165" s="1"/>
  <c r="BE213" i="165"/>
  <c r="BF213" i="165" s="1"/>
  <c r="BH213" i="165"/>
  <c r="BE215" i="165"/>
  <c r="BF215" i="165" s="1"/>
  <c r="BH215" i="165"/>
  <c r="BA106" i="165"/>
  <c r="BB106" i="165" s="1"/>
  <c r="BD106" i="165"/>
  <c r="AO48" i="165"/>
  <c r="AR12" i="165"/>
  <c r="BD26" i="165"/>
  <c r="BA26" i="165"/>
  <c r="BB26" i="165" s="1"/>
  <c r="BE41" i="165"/>
  <c r="BF41" i="165" s="1"/>
  <c r="BH41" i="165"/>
  <c r="BD159" i="165"/>
  <c r="BA159" i="165"/>
  <c r="BB159" i="165" s="1"/>
  <c r="BX134" i="165"/>
  <c r="BY134" i="165" s="1"/>
  <c r="BA171" i="165"/>
  <c r="BB171" i="165" s="1"/>
  <c r="BD171" i="165"/>
  <c r="BD25" i="165"/>
  <c r="BA25" i="165"/>
  <c r="BB25" i="165" s="1"/>
  <c r="BA102" i="165"/>
  <c r="BB102" i="165" s="1"/>
  <c r="BD102" i="165"/>
  <c r="BA131" i="165"/>
  <c r="BB131" i="165" s="1"/>
  <c r="BD131" i="165"/>
  <c r="BD71" i="165"/>
  <c r="BA71" i="165"/>
  <c r="BB71" i="165" s="1"/>
  <c r="BE75" i="165"/>
  <c r="BF75" i="165" s="1"/>
  <c r="BH75" i="165"/>
  <c r="BE208" i="165"/>
  <c r="BF208" i="165" s="1"/>
  <c r="BH208" i="165"/>
  <c r="CY79" i="165"/>
  <c r="CZ79" i="165" s="1"/>
  <c r="BA45" i="165"/>
  <c r="BB45" i="165" s="1"/>
  <c r="BD45" i="165"/>
  <c r="BD31" i="165"/>
  <c r="BA31" i="165"/>
  <c r="BB31" i="165" s="1"/>
  <c r="BD77" i="165"/>
  <c r="BA77" i="165"/>
  <c r="BB77" i="165" s="1"/>
  <c r="BD47" i="165"/>
  <c r="BA47" i="165"/>
  <c r="BB47" i="165" s="1"/>
  <c r="BA27" i="165"/>
  <c r="BB27" i="165" s="1"/>
  <c r="BD27" i="165"/>
  <c r="BD128" i="165"/>
  <c r="BA128" i="165"/>
  <c r="BB128" i="165" s="1"/>
  <c r="BD177" i="165"/>
  <c r="BA177" i="165"/>
  <c r="BB177" i="165" s="1"/>
  <c r="BA22" i="165"/>
  <c r="BB22" i="165" s="1"/>
  <c r="BD22" i="165"/>
  <c r="BE210" i="165"/>
  <c r="BF210" i="165" s="1"/>
  <c r="BH210" i="165"/>
  <c r="BE123" i="165"/>
  <c r="BF123" i="165" s="1"/>
  <c r="BH123" i="165"/>
  <c r="BA214" i="165"/>
  <c r="BB214" i="165" s="1"/>
  <c r="BD214" i="165"/>
  <c r="BA169" i="165"/>
  <c r="BB169" i="165" s="1"/>
  <c r="BD169" i="165"/>
  <c r="AW153" i="165"/>
  <c r="BE158" i="165"/>
  <c r="BF158" i="165" s="1"/>
  <c r="BH158" i="165"/>
  <c r="BE36" i="165"/>
  <c r="BF36" i="165" s="1"/>
  <c r="BH36" i="165"/>
  <c r="BD129" i="165"/>
  <c r="BA129" i="165"/>
  <c r="BB129" i="165" s="1"/>
  <c r="BA119" i="165"/>
  <c r="BB119" i="165" s="1"/>
  <c r="BD119" i="165"/>
  <c r="BE170" i="165"/>
  <c r="BF170" i="165" s="1"/>
  <c r="BH170" i="165"/>
  <c r="BH103" i="165"/>
  <c r="BE103" i="165"/>
  <c r="BF103" i="165" s="1"/>
  <c r="BE172" i="165"/>
  <c r="BF172" i="165" s="1"/>
  <c r="BH172" i="165"/>
  <c r="BA160" i="165"/>
  <c r="BB160" i="165" s="1"/>
  <c r="BD160" i="165"/>
  <c r="BD216" i="165"/>
  <c r="BA216" i="165"/>
  <c r="BB216" i="165" s="1"/>
  <c r="BD29" i="165"/>
  <c r="BA29" i="165"/>
  <c r="BB29" i="165" s="1"/>
  <c r="BD108" i="165"/>
  <c r="BA108" i="165"/>
  <c r="BB108" i="165" s="1"/>
  <c r="BD180" i="165"/>
  <c r="BA180" i="165"/>
  <c r="BB180" i="165" s="1"/>
  <c r="BD167" i="165"/>
  <c r="BA167" i="165"/>
  <c r="BB167" i="165" s="1"/>
  <c r="BD155" i="165"/>
  <c r="BA155" i="165"/>
  <c r="BB155" i="165" s="1"/>
  <c r="BA42" i="165"/>
  <c r="BB42" i="165" s="1"/>
  <c r="BD42" i="165"/>
  <c r="BD133" i="165"/>
  <c r="BA133" i="165"/>
  <c r="BB133" i="165" s="1"/>
  <c r="BA23" i="165"/>
  <c r="BB23" i="165" s="1"/>
  <c r="BD23" i="165"/>
  <c r="BA165" i="165"/>
  <c r="BB165" i="165" s="1"/>
  <c r="BD165" i="165"/>
  <c r="BD111" i="165"/>
  <c r="BA111" i="165"/>
  <c r="BB111" i="165" s="1"/>
  <c r="BD33" i="165"/>
  <c r="BA33" i="165"/>
  <c r="BB33" i="165" s="1"/>
  <c r="BX134" i="166" l="1"/>
  <c r="BY134" i="166" s="1"/>
  <c r="BE114" i="166"/>
  <c r="BF114" i="166" s="1"/>
  <c r="BH114" i="166"/>
  <c r="AX113" i="166"/>
  <c r="AY113" i="166" s="1"/>
  <c r="AZ113" i="166"/>
  <c r="FM12" i="140"/>
  <c r="FM12" i="77"/>
  <c r="FM12" i="139"/>
  <c r="FO12" i="77"/>
  <c r="FO12" i="140"/>
  <c r="FO12" i="139"/>
  <c r="FV12" i="77"/>
  <c r="FV12" i="140"/>
  <c r="FV12" i="139"/>
  <c r="FP12" i="140"/>
  <c r="FP12" i="139"/>
  <c r="FP12" i="77"/>
  <c r="BH12" i="140"/>
  <c r="BH12" i="139"/>
  <c r="BH12" i="77"/>
  <c r="BI12" i="77"/>
  <c r="BI12" i="140"/>
  <c r="BI12" i="139"/>
  <c r="AW210" i="167"/>
  <c r="AW212" i="167"/>
  <c r="AT240" i="167"/>
  <c r="AV243" i="167"/>
  <c r="AW99" i="167"/>
  <c r="AO244" i="167"/>
  <c r="AW117" i="167"/>
  <c r="AW73" i="167"/>
  <c r="AW138" i="167"/>
  <c r="AW144" i="167" s="1"/>
  <c r="AZ99" i="167"/>
  <c r="AX99" i="167"/>
  <c r="AY99" i="167" s="1"/>
  <c r="BR129" i="167"/>
  <c r="BL129" i="167"/>
  <c r="AW223" i="167"/>
  <c r="AW229" i="167" s="1"/>
  <c r="AW220" i="167"/>
  <c r="AZ203" i="167"/>
  <c r="AX203" i="167"/>
  <c r="BK39" i="167"/>
  <c r="BI39" i="167"/>
  <c r="BJ39" i="167" s="1"/>
  <c r="BQ39" i="167"/>
  <c r="AV51" i="167"/>
  <c r="AV48" i="167"/>
  <c r="BL27" i="167"/>
  <c r="BR27" i="167"/>
  <c r="BK19" i="167"/>
  <c r="BI19" i="167"/>
  <c r="BJ19" i="167" s="1"/>
  <c r="BQ19" i="167"/>
  <c r="BI103" i="167"/>
  <c r="BJ103" i="167" s="1"/>
  <c r="BQ103" i="167"/>
  <c r="BK103" i="167"/>
  <c r="BK105" i="167"/>
  <c r="BI105" i="167"/>
  <c r="BJ105" i="167" s="1"/>
  <c r="BQ105" i="167"/>
  <c r="BI121" i="167"/>
  <c r="BJ121" i="167" s="1"/>
  <c r="BQ121" i="167"/>
  <c r="BK121" i="167"/>
  <c r="BK120" i="167"/>
  <c r="BI120" i="167"/>
  <c r="BQ120" i="167"/>
  <c r="BK217" i="167"/>
  <c r="BI217" i="167"/>
  <c r="BJ217" i="167" s="1"/>
  <c r="BQ217" i="167"/>
  <c r="BQ154" i="167"/>
  <c r="BK154" i="167"/>
  <c r="BI154" i="167"/>
  <c r="BJ154" i="167" s="1"/>
  <c r="BQ102" i="167"/>
  <c r="BK102" i="167"/>
  <c r="BI102" i="167"/>
  <c r="BJ102" i="167" s="1"/>
  <c r="BI173" i="167"/>
  <c r="BJ173" i="167" s="1"/>
  <c r="BQ173" i="167"/>
  <c r="BK173" i="167"/>
  <c r="BK177" i="167"/>
  <c r="BJ177" i="167"/>
  <c r="BI177" i="167"/>
  <c r="BQ177" i="167"/>
  <c r="BR169" i="167"/>
  <c r="BL169" i="167"/>
  <c r="BM169" i="167" s="1"/>
  <c r="BK108" i="167"/>
  <c r="BI108" i="167"/>
  <c r="BJ108" i="167" s="1"/>
  <c r="BQ108" i="167"/>
  <c r="BQ104" i="167"/>
  <c r="BK104" i="167"/>
  <c r="BI104" i="167"/>
  <c r="BJ104" i="167" s="1"/>
  <c r="BK181" i="167"/>
  <c r="BI181" i="167"/>
  <c r="BJ181" i="167" s="1"/>
  <c r="BQ181" i="167"/>
  <c r="BY48" i="167"/>
  <c r="BI109" i="167"/>
  <c r="BJ109" i="167" s="1"/>
  <c r="BQ109" i="167"/>
  <c r="BK109" i="167"/>
  <c r="BL70" i="167"/>
  <c r="BR70" i="167"/>
  <c r="BK36" i="167"/>
  <c r="BI36" i="167"/>
  <c r="BJ36" i="167" s="1"/>
  <c r="BQ36" i="167"/>
  <c r="BR178" i="167"/>
  <c r="BL178" i="167"/>
  <c r="BQ69" i="167"/>
  <c r="BK69" i="167"/>
  <c r="BI69" i="167"/>
  <c r="BK219" i="167"/>
  <c r="BI219" i="167"/>
  <c r="BJ219" i="167" s="1"/>
  <c r="BQ219" i="167"/>
  <c r="BL13" i="167"/>
  <c r="BR13" i="167"/>
  <c r="BI124" i="167"/>
  <c r="BJ124" i="167" s="1"/>
  <c r="BQ124" i="167"/>
  <c r="BK124" i="167"/>
  <c r="AX170" i="167"/>
  <c r="AY170" i="167" s="1"/>
  <c r="AW188" i="167"/>
  <c r="AW194" i="167" s="1"/>
  <c r="AZ170" i="167"/>
  <c r="BH42" i="167"/>
  <c r="BE42" i="167"/>
  <c r="BF42" i="167" s="1"/>
  <c r="BI41" i="167"/>
  <c r="BJ41" i="167" s="1"/>
  <c r="BQ41" i="167"/>
  <c r="BK41" i="167"/>
  <c r="BR208" i="167"/>
  <c r="BL208" i="167"/>
  <c r="BM208" i="167" s="1"/>
  <c r="AR244" i="167"/>
  <c r="AT82" i="167"/>
  <c r="AT79" i="167"/>
  <c r="AV67" i="167"/>
  <c r="AW67" i="167" s="1"/>
  <c r="BR207" i="167"/>
  <c r="BL207" i="167"/>
  <c r="BI171" i="167"/>
  <c r="BJ171" i="167" s="1"/>
  <c r="BQ171" i="167"/>
  <c r="BK171" i="167"/>
  <c r="BQ126" i="167"/>
  <c r="BK126" i="167"/>
  <c r="BI126" i="167"/>
  <c r="BI37" i="167"/>
  <c r="BJ37" i="167" s="1"/>
  <c r="BQ37" i="167"/>
  <c r="BK37" i="167"/>
  <c r="BJ129" i="167"/>
  <c r="BQ115" i="167"/>
  <c r="BK115" i="167"/>
  <c r="BI115" i="167"/>
  <c r="BJ115" i="167" s="1"/>
  <c r="BR174" i="167"/>
  <c r="BS174" i="167" s="1"/>
  <c r="BL174" i="167"/>
  <c r="BR215" i="167"/>
  <c r="BS215" i="167" s="1"/>
  <c r="BL215" i="167"/>
  <c r="BM215" i="167" s="1"/>
  <c r="BK110" i="167"/>
  <c r="BI110" i="167"/>
  <c r="BJ110" i="167" s="1"/>
  <c r="BQ110" i="167"/>
  <c r="AW172" i="167"/>
  <c r="AT242" i="167"/>
  <c r="BJ27" i="167"/>
  <c r="BR43" i="167"/>
  <c r="BS43" i="167" s="1"/>
  <c r="BL43" i="167"/>
  <c r="BI23" i="167"/>
  <c r="BQ23" i="167"/>
  <c r="BK23" i="167"/>
  <c r="BJ23" i="167"/>
  <c r="BQ107" i="167"/>
  <c r="BK107" i="167"/>
  <c r="BI107" i="167"/>
  <c r="BK167" i="167"/>
  <c r="BI167" i="167"/>
  <c r="BJ167" i="167" s="1"/>
  <c r="BQ167" i="167"/>
  <c r="BR46" i="167"/>
  <c r="BS46" i="167" s="1"/>
  <c r="BL46" i="167"/>
  <c r="BM46" i="167" s="1"/>
  <c r="BK205" i="167"/>
  <c r="BI205" i="167"/>
  <c r="BJ205" i="167" s="1"/>
  <c r="BQ205" i="167"/>
  <c r="AW34" i="167"/>
  <c r="BE15" i="167"/>
  <c r="BF15" i="167" s="1"/>
  <c r="BH15" i="167"/>
  <c r="BR30" i="167"/>
  <c r="BS30" i="167" s="1"/>
  <c r="BL30" i="167"/>
  <c r="BM30" i="167" s="1"/>
  <c r="BQ35" i="167"/>
  <c r="BK35" i="167"/>
  <c r="BI35" i="167"/>
  <c r="BJ35" i="167" s="1"/>
  <c r="BR183" i="167"/>
  <c r="BS183" i="167" s="1"/>
  <c r="BL183" i="167"/>
  <c r="BJ169" i="167"/>
  <c r="AV134" i="167"/>
  <c r="AV137" i="167"/>
  <c r="AW184" i="167"/>
  <c r="AZ153" i="167"/>
  <c r="AW187" i="167"/>
  <c r="AW193" i="167" s="1"/>
  <c r="AX153" i="167"/>
  <c r="AY153" i="167" s="1"/>
  <c r="AW135" i="167"/>
  <c r="AW141" i="167" s="1"/>
  <c r="AW146" i="167" s="1"/>
  <c r="AZ117" i="167"/>
  <c r="BX117" i="167"/>
  <c r="AX117" i="167"/>
  <c r="AY117" i="167" s="1"/>
  <c r="BI116" i="167"/>
  <c r="BJ116" i="167" s="1"/>
  <c r="BQ116" i="167"/>
  <c r="BK116" i="167"/>
  <c r="BD26" i="167"/>
  <c r="BA26" i="167"/>
  <c r="BB26" i="167" s="1"/>
  <c r="BM70" i="167"/>
  <c r="BQ164" i="167"/>
  <c r="BK164" i="167"/>
  <c r="BI164" i="167"/>
  <c r="BJ164" i="167" s="1"/>
  <c r="BB31" i="167"/>
  <c r="BA31" i="167"/>
  <c r="BD31" i="167"/>
  <c r="BJ178" i="167"/>
  <c r="BQ131" i="167"/>
  <c r="BK131" i="167"/>
  <c r="BI131" i="167"/>
  <c r="BJ131" i="167" s="1"/>
  <c r="BR127" i="167"/>
  <c r="BS127" i="167" s="1"/>
  <c r="BL127" i="167"/>
  <c r="BI38" i="167"/>
  <c r="BJ38" i="167" s="1"/>
  <c r="BQ38" i="167"/>
  <c r="BK38" i="167"/>
  <c r="BJ13" i="167"/>
  <c r="BQ17" i="167"/>
  <c r="BK17" i="167"/>
  <c r="BI17" i="167"/>
  <c r="BJ17" i="167" s="1"/>
  <c r="BD74" i="167"/>
  <c r="BA74" i="167"/>
  <c r="BB74" i="167" s="1"/>
  <c r="BR175" i="167"/>
  <c r="BS175" i="167" s="1"/>
  <c r="BL175" i="167"/>
  <c r="BK76" i="167"/>
  <c r="BI76" i="167"/>
  <c r="BQ76" i="167"/>
  <c r="BI156" i="167"/>
  <c r="BJ156" i="167" s="1"/>
  <c r="BQ156" i="167"/>
  <c r="BK156" i="167"/>
  <c r="BQ24" i="167"/>
  <c r="BK24" i="167"/>
  <c r="BI24" i="167"/>
  <c r="BJ24" i="167" s="1"/>
  <c r="AZ73" i="167"/>
  <c r="BX73" i="167"/>
  <c r="BX79" i="167" s="1"/>
  <c r="BY79" i="167" s="1"/>
  <c r="AW81" i="167"/>
  <c r="AW87" i="167" s="1"/>
  <c r="AW93" i="167" s="1"/>
  <c r="AX73" i="167"/>
  <c r="AY73" i="167" s="1"/>
  <c r="BQ71" i="167"/>
  <c r="BK71" i="167"/>
  <c r="BJ71" i="167"/>
  <c r="BI71" i="167"/>
  <c r="BK123" i="167"/>
  <c r="BI123" i="167"/>
  <c r="BJ123" i="167" s="1"/>
  <c r="BQ123" i="167"/>
  <c r="BI44" i="167"/>
  <c r="BQ44" i="167"/>
  <c r="BK44" i="167"/>
  <c r="BJ207" i="167"/>
  <c r="BR182" i="167"/>
  <c r="BS182" i="167" s="1"/>
  <c r="BL182" i="167"/>
  <c r="AW136" i="167"/>
  <c r="AW142" i="167" s="1"/>
  <c r="AW148" i="167" s="1"/>
  <c r="AX113" i="167"/>
  <c r="AZ113" i="167"/>
  <c r="BX113" i="167"/>
  <c r="BX134" i="167" s="1"/>
  <c r="BY134" i="167" s="1"/>
  <c r="AY113" i="167"/>
  <c r="BM129" i="167"/>
  <c r="BL78" i="167"/>
  <c r="BM78" i="167" s="1"/>
  <c r="BR78" i="167"/>
  <c r="BS78" i="167" s="1"/>
  <c r="BJ174" i="167"/>
  <c r="AW224" i="167"/>
  <c r="AW230" i="167" s="1"/>
  <c r="AZ211" i="167"/>
  <c r="AX211" i="167"/>
  <c r="AY211" i="167" s="1"/>
  <c r="BQ28" i="167"/>
  <c r="BK28" i="167"/>
  <c r="BI28" i="167"/>
  <c r="BR125" i="167"/>
  <c r="BS125" i="167" s="1"/>
  <c r="BL125" i="167"/>
  <c r="BM125" i="167" s="1"/>
  <c r="BJ215" i="167"/>
  <c r="BL16" i="167"/>
  <c r="BM16" i="167" s="1"/>
  <c r="BR16" i="167"/>
  <c r="BS16" i="167" s="1"/>
  <c r="BI20" i="167"/>
  <c r="BJ20" i="167" s="1"/>
  <c r="BK20" i="167"/>
  <c r="BQ20" i="167"/>
  <c r="AT239" i="167"/>
  <c r="AT53" i="167"/>
  <c r="BM27" i="167"/>
  <c r="BJ43" i="167"/>
  <c r="BI77" i="167"/>
  <c r="BQ77" i="167"/>
  <c r="BK77" i="167"/>
  <c r="BQ68" i="167"/>
  <c r="BK68" i="167"/>
  <c r="BI68" i="167"/>
  <c r="BJ68" i="167" s="1"/>
  <c r="BR75" i="167"/>
  <c r="BS75" i="167" s="1"/>
  <c r="BL75" i="167"/>
  <c r="BM75" i="167" s="1"/>
  <c r="BR119" i="167"/>
  <c r="BS119" i="167" s="1"/>
  <c r="BL119" i="167"/>
  <c r="BM119" i="167" s="1"/>
  <c r="BQ133" i="167"/>
  <c r="BI133" i="167"/>
  <c r="BJ133" i="167" s="1"/>
  <c r="BK133" i="167"/>
  <c r="BI22" i="167"/>
  <c r="BJ22" i="167" s="1"/>
  <c r="BQ22" i="167"/>
  <c r="BK22" i="167"/>
  <c r="BI180" i="167"/>
  <c r="BQ180" i="167"/>
  <c r="BK180" i="167"/>
  <c r="BJ46" i="167"/>
  <c r="BQ21" i="167"/>
  <c r="BK21" i="167"/>
  <c r="BI21" i="167"/>
  <c r="BR160" i="167"/>
  <c r="BS160" i="167" s="1"/>
  <c r="BL160" i="167"/>
  <c r="BM160" i="167" s="1"/>
  <c r="AT243" i="167"/>
  <c r="AU225" i="167"/>
  <c r="BQ122" i="167"/>
  <c r="BK122" i="167"/>
  <c r="BI122" i="167"/>
  <c r="BJ30" i="167"/>
  <c r="BK72" i="167"/>
  <c r="BI72" i="167"/>
  <c r="BQ72" i="167"/>
  <c r="BJ183" i="167"/>
  <c r="AW98" i="167"/>
  <c r="AT189" i="167"/>
  <c r="AV240" i="167"/>
  <c r="BI47" i="167"/>
  <c r="BQ47" i="167"/>
  <c r="BK47" i="167"/>
  <c r="BR40" i="167"/>
  <c r="BS40" i="167" s="1"/>
  <c r="BL40" i="167"/>
  <c r="BM40" i="167" s="1"/>
  <c r="AW56" i="167"/>
  <c r="BI29" i="167"/>
  <c r="BJ29" i="167" s="1"/>
  <c r="BQ29" i="167"/>
  <c r="BK29" i="167"/>
  <c r="BS70" i="167"/>
  <c r="BR128" i="167"/>
  <c r="BS128" i="167" s="1"/>
  <c r="BL128" i="167"/>
  <c r="BM128" i="167" s="1"/>
  <c r="BL118" i="167"/>
  <c r="BM118" i="167" s="1"/>
  <c r="BR118" i="167"/>
  <c r="BS118" i="167" s="1"/>
  <c r="BM178" i="167"/>
  <c r="BI206" i="167"/>
  <c r="BJ206" i="167" s="1"/>
  <c r="BQ206" i="167"/>
  <c r="BK206" i="167"/>
  <c r="BJ127" i="167"/>
  <c r="BR114" i="167"/>
  <c r="BS114" i="167" s="1"/>
  <c r="BL114" i="167"/>
  <c r="BM114" i="167" s="1"/>
  <c r="BM13" i="167"/>
  <c r="BI32" i="167"/>
  <c r="BJ32" i="167" s="1"/>
  <c r="BQ32" i="167"/>
  <c r="BK32" i="167"/>
  <c r="AW91" i="167"/>
  <c r="AW95" i="167"/>
  <c r="BJ175" i="167"/>
  <c r="AU188" i="167"/>
  <c r="AU184" i="167"/>
  <c r="BJ208" i="167"/>
  <c r="BI161" i="167"/>
  <c r="BJ161" i="167" s="1"/>
  <c r="BQ161" i="167"/>
  <c r="BK161" i="167"/>
  <c r="BR101" i="167"/>
  <c r="BS101" i="167" s="1"/>
  <c r="BL101" i="167"/>
  <c r="BM101" i="167" s="1"/>
  <c r="AR84" i="167"/>
  <c r="BM207" i="167"/>
  <c r="BJ182" i="167"/>
  <c r="BS129" i="167"/>
  <c r="AV220" i="167"/>
  <c r="AV223" i="167"/>
  <c r="BM174" i="167"/>
  <c r="AZ168" i="167"/>
  <c r="AW186" i="167"/>
  <c r="AW192" i="167" s="1"/>
  <c r="BX168" i="167"/>
  <c r="AX168" i="167"/>
  <c r="AY168" i="167" s="1"/>
  <c r="BI111" i="167"/>
  <c r="BQ111" i="167"/>
  <c r="BK111" i="167"/>
  <c r="BI112" i="167"/>
  <c r="BQ112" i="167"/>
  <c r="BK112" i="167"/>
  <c r="BJ112" i="167"/>
  <c r="BQ157" i="167"/>
  <c r="BK157" i="167"/>
  <c r="BI157" i="167"/>
  <c r="BJ157" i="167" s="1"/>
  <c r="BR165" i="167"/>
  <c r="BS165" i="167" s="1"/>
  <c r="BL165" i="167"/>
  <c r="BM165" i="167" s="1"/>
  <c r="BI158" i="167"/>
  <c r="BJ158" i="167" s="1"/>
  <c r="BQ158" i="167"/>
  <c r="BK158" i="167"/>
  <c r="AW12" i="167"/>
  <c r="BS27" i="167"/>
  <c r="BM43" i="167"/>
  <c r="BI132" i="167"/>
  <c r="BJ132" i="167" s="1"/>
  <c r="BK132" i="167"/>
  <c r="BQ132" i="167"/>
  <c r="BQ176" i="167"/>
  <c r="BK176" i="167"/>
  <c r="BI176" i="167"/>
  <c r="BK14" i="167"/>
  <c r="BI14" i="167"/>
  <c r="BJ14" i="167" s="1"/>
  <c r="BQ14" i="167"/>
  <c r="BQ166" i="167"/>
  <c r="BK166" i="167"/>
  <c r="BI166" i="167"/>
  <c r="BR216" i="167"/>
  <c r="BS216" i="167" s="1"/>
  <c r="BL216" i="167"/>
  <c r="BM216" i="167" s="1"/>
  <c r="AW221" i="167"/>
  <c r="AW227" i="167" s="1"/>
  <c r="AW232" i="167" s="1"/>
  <c r="BX212" i="167"/>
  <c r="AX212" i="167"/>
  <c r="AY212" i="167" s="1"/>
  <c r="AZ212" i="167"/>
  <c r="BI218" i="167"/>
  <c r="BJ218" i="167" s="1"/>
  <c r="BQ218" i="167"/>
  <c r="BK218" i="167"/>
  <c r="BI214" i="167"/>
  <c r="BJ214" i="167" s="1"/>
  <c r="BQ214" i="167"/>
  <c r="BK214" i="167"/>
  <c r="AU138" i="167"/>
  <c r="AU243" i="167" s="1"/>
  <c r="AU134" i="167"/>
  <c r="BK179" i="167"/>
  <c r="BI179" i="167"/>
  <c r="BJ179" i="167" s="1"/>
  <c r="BQ179" i="167"/>
  <c r="BH100" i="167"/>
  <c r="BE100" i="167"/>
  <c r="BF100" i="167" s="1"/>
  <c r="BQ45" i="167"/>
  <c r="BK45" i="167"/>
  <c r="BI45" i="167"/>
  <c r="BJ45" i="167" s="1"/>
  <c r="BM183" i="167"/>
  <c r="BI33" i="167"/>
  <c r="BQ33" i="167"/>
  <c r="BK33" i="167"/>
  <c r="BS169" i="167"/>
  <c r="AT139" i="167"/>
  <c r="AV187" i="167"/>
  <c r="AV184" i="167"/>
  <c r="BK155" i="167"/>
  <c r="BI155" i="167"/>
  <c r="BJ155" i="167" s="1"/>
  <c r="BQ155" i="167"/>
  <c r="BK130" i="167"/>
  <c r="BI130" i="167"/>
  <c r="BJ130" i="167" s="1"/>
  <c r="BQ130" i="167"/>
  <c r="BQ162" i="167"/>
  <c r="BK162" i="167"/>
  <c r="BI162" i="167"/>
  <c r="BJ162" i="167" s="1"/>
  <c r="BJ70" i="167"/>
  <c r="AW55" i="167"/>
  <c r="AW60" i="167" s="1"/>
  <c r="BK213" i="167"/>
  <c r="BI213" i="167"/>
  <c r="BJ213" i="167" s="1"/>
  <c r="BQ213" i="167"/>
  <c r="AW222" i="167"/>
  <c r="AW228" i="167" s="1"/>
  <c r="AW234" i="167" s="1"/>
  <c r="AX210" i="167"/>
  <c r="AY210" i="167" s="1"/>
  <c r="AZ210" i="167"/>
  <c r="BX210" i="167"/>
  <c r="BX220" i="167" s="1"/>
  <c r="BY220" i="167" s="1"/>
  <c r="BS178" i="167"/>
  <c r="BK25" i="167"/>
  <c r="BI25" i="167"/>
  <c r="BJ25" i="167" s="1"/>
  <c r="BQ25" i="167"/>
  <c r="BQ159" i="167"/>
  <c r="BK159" i="167"/>
  <c r="BI159" i="167"/>
  <c r="BM127" i="167"/>
  <c r="BJ114" i="167"/>
  <c r="BR106" i="167"/>
  <c r="BS106" i="167" s="1"/>
  <c r="BL106" i="167"/>
  <c r="BM106" i="167" s="1"/>
  <c r="BS13" i="167"/>
  <c r="BM175" i="167"/>
  <c r="BI204" i="167"/>
  <c r="BQ204" i="167"/>
  <c r="BK204" i="167"/>
  <c r="BJ204" i="167"/>
  <c r="BS208" i="167"/>
  <c r="BJ101" i="167"/>
  <c r="BL163" i="167"/>
  <c r="BM163" i="167" s="1"/>
  <c r="BR163" i="167"/>
  <c r="BS163" i="167" s="1"/>
  <c r="BI209" i="167"/>
  <c r="BQ209" i="167"/>
  <c r="BK209" i="167"/>
  <c r="BJ209" i="167"/>
  <c r="BS207" i="167"/>
  <c r="BM182" i="167"/>
  <c r="BQ18" i="167"/>
  <c r="BK18" i="167"/>
  <c r="BI18" i="167"/>
  <c r="BJ18" i="167" s="1"/>
  <c r="AT241" i="166"/>
  <c r="AW223" i="166"/>
  <c r="AW229" i="166" s="1"/>
  <c r="AW235" i="166" s="1"/>
  <c r="AZ203" i="166"/>
  <c r="AX203" i="166"/>
  <c r="AY203" i="166" s="1"/>
  <c r="AW51" i="166"/>
  <c r="AW48" i="166"/>
  <c r="AZ12" i="166"/>
  <c r="AX12" i="166"/>
  <c r="CA79" i="166"/>
  <c r="CC79" i="166" s="1"/>
  <c r="CX79" i="166" s="1"/>
  <c r="BR164" i="166"/>
  <c r="BL164" i="166"/>
  <c r="BM164" i="166" s="1"/>
  <c r="BA73" i="166"/>
  <c r="BB73" i="166" s="1"/>
  <c r="BD73" i="166"/>
  <c r="BE103" i="166"/>
  <c r="BF103" i="166" s="1"/>
  <c r="BH103" i="166"/>
  <c r="BL157" i="166"/>
  <c r="BR157" i="166"/>
  <c r="BS157" i="166" s="1"/>
  <c r="BJ164" i="166"/>
  <c r="AW224" i="166"/>
  <c r="AW230" i="166" s="1"/>
  <c r="AW236" i="166" s="1"/>
  <c r="AX211" i="166"/>
  <c r="AY211" i="166" s="1"/>
  <c r="AZ211" i="166"/>
  <c r="BK207" i="166"/>
  <c r="BQ207" i="166"/>
  <c r="BI207" i="166"/>
  <c r="BJ207" i="166" s="1"/>
  <c r="BI209" i="166"/>
  <c r="BJ209" i="166" s="1"/>
  <c r="BK209" i="166"/>
  <c r="BQ209" i="166"/>
  <c r="BQ104" i="166"/>
  <c r="BK104" i="166"/>
  <c r="BI104" i="166"/>
  <c r="BJ104" i="166" s="1"/>
  <c r="BL115" i="166"/>
  <c r="BR115" i="166"/>
  <c r="BS115" i="166" s="1"/>
  <c r="BK158" i="166"/>
  <c r="BQ158" i="166"/>
  <c r="BI158" i="166"/>
  <c r="BI106" i="166"/>
  <c r="BJ106" i="166" s="1"/>
  <c r="BQ106" i="166"/>
  <c r="BK106" i="166"/>
  <c r="BI25" i="166"/>
  <c r="BJ25" i="166" s="1"/>
  <c r="BQ25" i="166"/>
  <c r="BK25" i="166"/>
  <c r="BQ40" i="166"/>
  <c r="BK40" i="166"/>
  <c r="BI40" i="166"/>
  <c r="BJ40" i="166" s="1"/>
  <c r="AT187" i="166"/>
  <c r="AV153" i="166"/>
  <c r="AT184" i="166"/>
  <c r="AT189" i="166" s="1"/>
  <c r="BE74" i="166"/>
  <c r="BF74" i="166" s="1"/>
  <c r="BH74" i="166"/>
  <c r="BK47" i="166"/>
  <c r="BI47" i="166"/>
  <c r="BQ47" i="166"/>
  <c r="BK19" i="166"/>
  <c r="BI19" i="166"/>
  <c r="BQ19" i="166"/>
  <c r="AX79" i="166"/>
  <c r="BR205" i="166"/>
  <c r="BL205" i="166"/>
  <c r="BM205" i="166" s="1"/>
  <c r="AW55" i="166"/>
  <c r="AW60" i="166" s="1"/>
  <c r="BQ35" i="166"/>
  <c r="BK35" i="166"/>
  <c r="BI35" i="166"/>
  <c r="BK102" i="166"/>
  <c r="BJ102" i="166"/>
  <c r="BI102" i="166"/>
  <c r="BQ102" i="166"/>
  <c r="BL154" i="166"/>
  <c r="BM154" i="166" s="1"/>
  <c r="BR154" i="166"/>
  <c r="BS154" i="166" s="1"/>
  <c r="BL41" i="166"/>
  <c r="BR41" i="166"/>
  <c r="BK36" i="166"/>
  <c r="BJ36" i="166"/>
  <c r="BI36" i="166"/>
  <c r="BQ36" i="166"/>
  <c r="BK163" i="166"/>
  <c r="BQ163" i="166"/>
  <c r="BI163" i="166"/>
  <c r="BJ163" i="166" s="1"/>
  <c r="BK123" i="166"/>
  <c r="BI123" i="166"/>
  <c r="BJ123" i="166" s="1"/>
  <c r="BQ123" i="166"/>
  <c r="BI32" i="166"/>
  <c r="BQ32" i="166"/>
  <c r="BK32" i="166"/>
  <c r="BQ39" i="166"/>
  <c r="BK39" i="166"/>
  <c r="BI39" i="166"/>
  <c r="BJ39" i="166" s="1"/>
  <c r="BL24" i="166"/>
  <c r="BR24" i="166"/>
  <c r="BS24" i="166" s="1"/>
  <c r="AW210" i="166"/>
  <c r="BI38" i="166"/>
  <c r="BQ38" i="166"/>
  <c r="BK38" i="166"/>
  <c r="BI156" i="166"/>
  <c r="BQ156" i="166"/>
  <c r="BK156" i="166"/>
  <c r="BI125" i="166"/>
  <c r="BJ125" i="166" s="1"/>
  <c r="BQ125" i="166"/>
  <c r="BK125" i="166"/>
  <c r="BQ206" i="166"/>
  <c r="BI206" i="166"/>
  <c r="BJ206" i="166" s="1"/>
  <c r="BK206" i="166"/>
  <c r="BR107" i="166"/>
  <c r="BS107" i="166" s="1"/>
  <c r="BL107" i="166"/>
  <c r="BK131" i="166"/>
  <c r="BI131" i="166"/>
  <c r="BJ131" i="166" s="1"/>
  <c r="BQ131" i="166"/>
  <c r="BI133" i="166"/>
  <c r="BQ133" i="166"/>
  <c r="BK133" i="166"/>
  <c r="BQ183" i="166"/>
  <c r="BI183" i="166"/>
  <c r="BK183" i="166"/>
  <c r="BD170" i="166"/>
  <c r="BB170" i="166"/>
  <c r="BA170" i="166"/>
  <c r="BL108" i="166"/>
  <c r="BM108" i="166" s="1"/>
  <c r="BR108" i="166"/>
  <c r="BS108" i="166" s="1"/>
  <c r="BK72" i="166"/>
  <c r="BI72" i="166"/>
  <c r="BQ72" i="166"/>
  <c r="BI16" i="166"/>
  <c r="BJ16" i="166" s="1"/>
  <c r="BQ16" i="166"/>
  <c r="BK16" i="166"/>
  <c r="AW52" i="166"/>
  <c r="AZ34" i="166"/>
  <c r="AX34" i="166"/>
  <c r="AY34" i="166" s="1"/>
  <c r="BQ166" i="166"/>
  <c r="BK166" i="166"/>
  <c r="BI166" i="166"/>
  <c r="BJ166" i="166" s="1"/>
  <c r="BK155" i="166"/>
  <c r="BI155" i="166"/>
  <c r="BQ155" i="166"/>
  <c r="BI21" i="166"/>
  <c r="BQ21" i="166"/>
  <c r="BK21" i="166"/>
  <c r="BJ21" i="166"/>
  <c r="BI69" i="166"/>
  <c r="BQ69" i="166"/>
  <c r="BK69" i="166"/>
  <c r="BR216" i="166"/>
  <c r="BS216" i="166" s="1"/>
  <c r="BL216" i="166"/>
  <c r="BM216" i="166" s="1"/>
  <c r="BD98" i="166"/>
  <c r="BA98" i="166"/>
  <c r="CA134" i="166"/>
  <c r="CC134" i="166" s="1"/>
  <c r="CX134" i="166" s="1"/>
  <c r="AW50" i="166"/>
  <c r="BX26" i="166"/>
  <c r="BX48" i="166" s="1"/>
  <c r="AZ26" i="166"/>
  <c r="AX26" i="166"/>
  <c r="AY26" i="166" s="1"/>
  <c r="BQ27" i="166"/>
  <c r="BI27" i="166"/>
  <c r="BK27" i="166"/>
  <c r="BQ219" i="166"/>
  <c r="BK219" i="166"/>
  <c r="BJ219" i="166"/>
  <c r="BI219" i="166"/>
  <c r="BR182" i="166"/>
  <c r="BS182" i="166" s="1"/>
  <c r="BL182" i="166"/>
  <c r="BM182" i="166" s="1"/>
  <c r="BI13" i="166"/>
  <c r="BK13" i="166"/>
  <c r="BQ13" i="166"/>
  <c r="BQ101" i="166"/>
  <c r="BK101" i="166"/>
  <c r="BI101" i="166"/>
  <c r="BJ101" i="166" s="1"/>
  <c r="BM41" i="166"/>
  <c r="BK23" i="166"/>
  <c r="BQ23" i="166"/>
  <c r="BI23" i="166"/>
  <c r="BQ28" i="166"/>
  <c r="BI28" i="166"/>
  <c r="BJ28" i="166" s="1"/>
  <c r="BK28" i="166"/>
  <c r="BR160" i="166"/>
  <c r="BS160" i="166" s="1"/>
  <c r="BL160" i="166"/>
  <c r="BR214" i="166"/>
  <c r="BL214" i="166"/>
  <c r="BM214" i="166" s="1"/>
  <c r="AU138" i="166"/>
  <c r="AU243" i="166" s="1"/>
  <c r="AU134" i="166"/>
  <c r="BQ22" i="166"/>
  <c r="BK22" i="166"/>
  <c r="BI22" i="166"/>
  <c r="BJ22" i="166" s="1"/>
  <c r="BI110" i="166"/>
  <c r="BQ110" i="166"/>
  <c r="BK110" i="166"/>
  <c r="BM24" i="166"/>
  <c r="BL213" i="166"/>
  <c r="BM213" i="166" s="1"/>
  <c r="BR213" i="166"/>
  <c r="BS213" i="166" s="1"/>
  <c r="AT53" i="166"/>
  <c r="BQ42" i="166"/>
  <c r="BK42" i="166"/>
  <c r="BI42" i="166"/>
  <c r="BI45" i="166"/>
  <c r="BK45" i="166"/>
  <c r="BQ45" i="166"/>
  <c r="BI33" i="166"/>
  <c r="BJ33" i="166" s="1"/>
  <c r="BQ33" i="166"/>
  <c r="BK33" i="166"/>
  <c r="BQ176" i="166"/>
  <c r="BK176" i="166"/>
  <c r="BI176" i="166"/>
  <c r="BJ176" i="166" s="1"/>
  <c r="BI37" i="166"/>
  <c r="BJ37" i="166" s="1"/>
  <c r="BQ37" i="166"/>
  <c r="BK37" i="166"/>
  <c r="BR109" i="166"/>
  <c r="BS109" i="166" s="1"/>
  <c r="BL109" i="166"/>
  <c r="BM109" i="166" s="1"/>
  <c r="BI178" i="166"/>
  <c r="BJ178" i="166" s="1"/>
  <c r="BQ178" i="166"/>
  <c r="BK178" i="166"/>
  <c r="BR121" i="166"/>
  <c r="BS121" i="166" s="1"/>
  <c r="BL121" i="166"/>
  <c r="BM121" i="166" s="1"/>
  <c r="BQ208" i="166"/>
  <c r="BK208" i="166"/>
  <c r="BI208" i="166"/>
  <c r="BJ208" i="166" s="1"/>
  <c r="BL130" i="166"/>
  <c r="BM130" i="166" s="1"/>
  <c r="BR130" i="166"/>
  <c r="BS130" i="166" s="1"/>
  <c r="BK167" i="166"/>
  <c r="BQ167" i="166"/>
  <c r="BI167" i="166"/>
  <c r="AW186" i="166"/>
  <c r="AW192" i="166" s="1"/>
  <c r="AZ168" i="166"/>
  <c r="BX168" i="166"/>
  <c r="AX168" i="166"/>
  <c r="AY168" i="166" s="1"/>
  <c r="AV220" i="166"/>
  <c r="AV223" i="166"/>
  <c r="BI111" i="166"/>
  <c r="BJ111" i="166" s="1"/>
  <c r="BQ111" i="166"/>
  <c r="BK111" i="166"/>
  <c r="BF15" i="166"/>
  <c r="BE15" i="166"/>
  <c r="BH15" i="166"/>
  <c r="BK105" i="166"/>
  <c r="BI105" i="166"/>
  <c r="BJ105" i="166" s="1"/>
  <c r="BQ105" i="166"/>
  <c r="BI14" i="166"/>
  <c r="BQ14" i="166"/>
  <c r="BK14" i="166"/>
  <c r="BJ130" i="166"/>
  <c r="BJ108" i="166"/>
  <c r="BM157" i="166"/>
  <c r="BS164" i="166"/>
  <c r="BI132" i="166"/>
  <c r="BQ132" i="166"/>
  <c r="BK132" i="166"/>
  <c r="BI217" i="166"/>
  <c r="BJ217" i="166" s="1"/>
  <c r="BQ217" i="166"/>
  <c r="BK217" i="166"/>
  <c r="AT225" i="166"/>
  <c r="BM115" i="166"/>
  <c r="BE117" i="166"/>
  <c r="BF117" i="166" s="1"/>
  <c r="BH117" i="166"/>
  <c r="BL18" i="166"/>
  <c r="BM18" i="166" s="1"/>
  <c r="BR18" i="166"/>
  <c r="BS18" i="166" s="1"/>
  <c r="BI129" i="166"/>
  <c r="BQ129" i="166"/>
  <c r="BK129" i="166"/>
  <c r="AR189" i="166"/>
  <c r="BJ216" i="166"/>
  <c r="BI171" i="166"/>
  <c r="BJ171" i="166" s="1"/>
  <c r="BQ171" i="166"/>
  <c r="BK171" i="166"/>
  <c r="BK159" i="166"/>
  <c r="BQ159" i="166"/>
  <c r="BI159" i="166"/>
  <c r="BK119" i="166"/>
  <c r="BI119" i="166"/>
  <c r="BQ119" i="166"/>
  <c r="BI161" i="166"/>
  <c r="BQ161" i="166"/>
  <c r="BK161" i="166"/>
  <c r="BJ161" i="166"/>
  <c r="BA113" i="166"/>
  <c r="BB113" i="166" s="1"/>
  <c r="BD113" i="166"/>
  <c r="BD67" i="166"/>
  <c r="BA67" i="166"/>
  <c r="BA79" i="166" s="1"/>
  <c r="AZ79" i="166"/>
  <c r="AY79" i="166"/>
  <c r="BJ182" i="166"/>
  <c r="BQ46" i="166"/>
  <c r="BI46" i="166"/>
  <c r="BJ46" i="166" s="1"/>
  <c r="BK46" i="166"/>
  <c r="BR177" i="166"/>
  <c r="BS177" i="166" s="1"/>
  <c r="BL177" i="166"/>
  <c r="BM177" i="166" s="1"/>
  <c r="BS41" i="166"/>
  <c r="BI169" i="166"/>
  <c r="BJ169" i="166" s="1"/>
  <c r="BQ169" i="166"/>
  <c r="BK169" i="166"/>
  <c r="AV139" i="166"/>
  <c r="BR165" i="166"/>
  <c r="BS165" i="166" s="1"/>
  <c r="BL165" i="166"/>
  <c r="BM165" i="166" s="1"/>
  <c r="BJ160" i="166"/>
  <c r="BI20" i="166"/>
  <c r="BJ20" i="166" s="1"/>
  <c r="BQ20" i="166"/>
  <c r="BK20" i="166"/>
  <c r="BS214" i="166"/>
  <c r="BI70" i="166"/>
  <c r="BQ70" i="166"/>
  <c r="BK70" i="166"/>
  <c r="BJ70" i="166"/>
  <c r="BK116" i="166"/>
  <c r="BI116" i="166"/>
  <c r="BQ116" i="166"/>
  <c r="BJ213" i="166"/>
  <c r="AT242" i="166"/>
  <c r="BK78" i="166"/>
  <c r="BI78" i="166"/>
  <c r="BJ78" i="166" s="1"/>
  <c r="BQ78" i="166"/>
  <c r="BI76" i="166"/>
  <c r="BJ76" i="166" s="1"/>
  <c r="BQ76" i="166"/>
  <c r="BK76" i="166"/>
  <c r="BQ180" i="166"/>
  <c r="BK180" i="166"/>
  <c r="BI180" i="166"/>
  <c r="BI75" i="166"/>
  <c r="BJ75" i="166" s="1"/>
  <c r="BQ75" i="166"/>
  <c r="BK75" i="166"/>
  <c r="BI218" i="166"/>
  <c r="BJ218" i="166" s="1"/>
  <c r="BQ218" i="166"/>
  <c r="BK218" i="166"/>
  <c r="BI126" i="166"/>
  <c r="BJ126" i="166" s="1"/>
  <c r="BQ126" i="166"/>
  <c r="BK126" i="166"/>
  <c r="AW172" i="166"/>
  <c r="BR120" i="166"/>
  <c r="BS120" i="166" s="1"/>
  <c r="BL120" i="166"/>
  <c r="BM120" i="166" s="1"/>
  <c r="BJ109" i="166"/>
  <c r="BL100" i="166"/>
  <c r="BR100" i="166"/>
  <c r="BS100" i="166" s="1"/>
  <c r="BQ30" i="166"/>
  <c r="BK30" i="166"/>
  <c r="BI30" i="166"/>
  <c r="BJ30" i="166" s="1"/>
  <c r="BQ112" i="166"/>
  <c r="BK112" i="166"/>
  <c r="BI112" i="166"/>
  <c r="BM107" i="166"/>
  <c r="BK127" i="166"/>
  <c r="BI127" i="166"/>
  <c r="BQ127" i="166"/>
  <c r="BJ121" i="166"/>
  <c r="BI174" i="166"/>
  <c r="BQ174" i="166"/>
  <c r="BK174" i="166"/>
  <c r="BI175" i="166"/>
  <c r="BQ175" i="166"/>
  <c r="BK175" i="166"/>
  <c r="BQ204" i="166"/>
  <c r="BK204" i="166"/>
  <c r="BI204" i="166"/>
  <c r="BJ204" i="166" s="1"/>
  <c r="BR29" i="166"/>
  <c r="BS29" i="166" s="1"/>
  <c r="BL29" i="166"/>
  <c r="BM29" i="166" s="1"/>
  <c r="BI173" i="166"/>
  <c r="BJ173" i="166" s="1"/>
  <c r="BQ173" i="166"/>
  <c r="BK173" i="166"/>
  <c r="BQ162" i="166"/>
  <c r="BK162" i="166"/>
  <c r="BI162" i="166"/>
  <c r="BJ162" i="166" s="1"/>
  <c r="BE68" i="166"/>
  <c r="BF68" i="166" s="1"/>
  <c r="BH68" i="166"/>
  <c r="BQ44" i="166"/>
  <c r="BK44" i="166"/>
  <c r="BI44" i="166"/>
  <c r="BI77" i="166"/>
  <c r="BJ77" i="166" s="1"/>
  <c r="BQ77" i="166"/>
  <c r="BK77" i="166"/>
  <c r="AW85" i="166"/>
  <c r="AW96" i="166" s="1"/>
  <c r="AW84" i="166"/>
  <c r="BS205" i="166"/>
  <c r="BR118" i="166"/>
  <c r="BS118" i="166" s="1"/>
  <c r="BL118" i="166"/>
  <c r="BM118" i="166" s="1"/>
  <c r="AR239" i="166"/>
  <c r="AR244" i="166" s="1"/>
  <c r="BA31" i="166"/>
  <c r="BB31" i="166" s="1"/>
  <c r="BD31" i="166"/>
  <c r="BQ122" i="166"/>
  <c r="BK122" i="166"/>
  <c r="BI122" i="166"/>
  <c r="BJ122" i="166" s="1"/>
  <c r="BI124" i="166"/>
  <c r="BQ124" i="166"/>
  <c r="BK124" i="166"/>
  <c r="BM160" i="166"/>
  <c r="BJ214" i="166"/>
  <c r="AW99" i="166"/>
  <c r="AV51" i="166"/>
  <c r="AV48" i="166"/>
  <c r="BQ71" i="166"/>
  <c r="BK71" i="166"/>
  <c r="BI71" i="166"/>
  <c r="BJ71" i="166" s="1"/>
  <c r="BI128" i="166"/>
  <c r="BQ128" i="166"/>
  <c r="BK128" i="166"/>
  <c r="BR215" i="166"/>
  <c r="BS215" i="166" s="1"/>
  <c r="BL215" i="166"/>
  <c r="BM215" i="166" s="1"/>
  <c r="BR181" i="166"/>
  <c r="BS181" i="166" s="1"/>
  <c r="BL181" i="166"/>
  <c r="BM181" i="166" s="1"/>
  <c r="BI179" i="166"/>
  <c r="BQ179" i="166"/>
  <c r="BK179" i="166"/>
  <c r="BM100" i="166"/>
  <c r="BR43" i="166"/>
  <c r="BS43" i="166" s="1"/>
  <c r="BL43" i="166"/>
  <c r="BM43" i="166" s="1"/>
  <c r="BF212" i="166"/>
  <c r="BE212" i="166"/>
  <c r="BH212" i="166"/>
  <c r="BI17" i="166"/>
  <c r="BQ17" i="166"/>
  <c r="BK17" i="166"/>
  <c r="AW251" i="165"/>
  <c r="AW253" i="165"/>
  <c r="AW255" i="165"/>
  <c r="AW254" i="165"/>
  <c r="BD115" i="165"/>
  <c r="BE115" i="165" s="1"/>
  <c r="BF115" i="165" s="1"/>
  <c r="BA78" i="165"/>
  <c r="BB78" i="165" s="1"/>
  <c r="BD99" i="165"/>
  <c r="BE99" i="165" s="1"/>
  <c r="BF99" i="165" s="1"/>
  <c r="BH173" i="165"/>
  <c r="BI173" i="165" s="1"/>
  <c r="BJ173" i="165" s="1"/>
  <c r="BH18" i="165"/>
  <c r="BI18" i="165" s="1"/>
  <c r="BJ18" i="165" s="1"/>
  <c r="BH73" i="165"/>
  <c r="BI73" i="165" s="1"/>
  <c r="BJ73" i="165" s="1"/>
  <c r="BA121" i="165"/>
  <c r="BB121" i="165" s="1"/>
  <c r="BH44" i="165"/>
  <c r="BI44" i="165" s="1"/>
  <c r="BJ44" i="165" s="1"/>
  <c r="AO239" i="165"/>
  <c r="BH69" i="165"/>
  <c r="BI69" i="165" s="1"/>
  <c r="BJ69" i="165" s="1"/>
  <c r="BH174" i="165"/>
  <c r="BI174" i="165" s="1"/>
  <c r="BJ174" i="165" s="1"/>
  <c r="BI170" i="165"/>
  <c r="BJ170" i="165" s="1"/>
  <c r="BQ170" i="165"/>
  <c r="BK170" i="165"/>
  <c r="BI123" i="165"/>
  <c r="BQ123" i="165"/>
  <c r="BK123" i="165"/>
  <c r="BH31" i="165"/>
  <c r="BE31" i="165"/>
  <c r="BF31" i="165" s="1"/>
  <c r="BE181" i="165"/>
  <c r="BF181" i="165" s="1"/>
  <c r="BH181" i="165"/>
  <c r="BI206" i="165"/>
  <c r="BQ206" i="165"/>
  <c r="BK206" i="165"/>
  <c r="BE212" i="165"/>
  <c r="BF212" i="165" s="1"/>
  <c r="BH212" i="165"/>
  <c r="BH117" i="165"/>
  <c r="BE117" i="165"/>
  <c r="BF117" i="165" s="1"/>
  <c r="BE70" i="165"/>
  <c r="BF70" i="165" s="1"/>
  <c r="BH70" i="165"/>
  <c r="BH113" i="165"/>
  <c r="BE113" i="165"/>
  <c r="BF113" i="165" s="1"/>
  <c r="BE178" i="165"/>
  <c r="BF178" i="165" s="1"/>
  <c r="BH178" i="165"/>
  <c r="BH163" i="165"/>
  <c r="BE163" i="165"/>
  <c r="BF163" i="165" s="1"/>
  <c r="BQ37" i="165"/>
  <c r="BK37" i="165"/>
  <c r="BI37" i="165"/>
  <c r="BH16" i="165"/>
  <c r="BE16" i="165"/>
  <c r="BF16" i="165" s="1"/>
  <c r="CD220" i="165"/>
  <c r="CH220" i="165" s="1"/>
  <c r="CG220" i="165"/>
  <c r="CF214" i="165"/>
  <c r="CF213" i="165"/>
  <c r="CF212" i="165"/>
  <c r="CF210" i="165"/>
  <c r="BE33" i="165"/>
  <c r="BF33" i="165" s="1"/>
  <c r="BH33" i="165"/>
  <c r="BE23" i="165"/>
  <c r="BF23" i="165" s="1"/>
  <c r="BH23" i="165"/>
  <c r="BH133" i="165"/>
  <c r="BE133" i="165"/>
  <c r="BF133" i="165" s="1"/>
  <c r="BE180" i="165"/>
  <c r="BF180" i="165" s="1"/>
  <c r="BH180" i="165"/>
  <c r="BI172" i="165"/>
  <c r="BJ172" i="165" s="1"/>
  <c r="BQ172" i="165"/>
  <c r="BK172" i="165"/>
  <c r="AW184" i="165"/>
  <c r="AX153" i="165"/>
  <c r="AX184" i="165" s="1"/>
  <c r="AZ153" i="165"/>
  <c r="BH177" i="165"/>
  <c r="BE177" i="165"/>
  <c r="BF177" i="165" s="1"/>
  <c r="BE27" i="165"/>
  <c r="BF27" i="165" s="1"/>
  <c r="BH27" i="165"/>
  <c r="BE77" i="165"/>
  <c r="BF77" i="165" s="1"/>
  <c r="BH77" i="165"/>
  <c r="BH71" i="165"/>
  <c r="BE71" i="165"/>
  <c r="BF71" i="165" s="1"/>
  <c r="BE102" i="165"/>
  <c r="BF102" i="165" s="1"/>
  <c r="BH102" i="165"/>
  <c r="BH159" i="165"/>
  <c r="BE159" i="165"/>
  <c r="BF159" i="165" s="1"/>
  <c r="BE106" i="165"/>
  <c r="BF106" i="165" s="1"/>
  <c r="BH106" i="165"/>
  <c r="BE24" i="165"/>
  <c r="BF24" i="165" s="1"/>
  <c r="BH24" i="165"/>
  <c r="BH35" i="165"/>
  <c r="BE35" i="165"/>
  <c r="BF35" i="165" s="1"/>
  <c r="BE28" i="165"/>
  <c r="BF28" i="165" s="1"/>
  <c r="BH28" i="165"/>
  <c r="CF79" i="165"/>
  <c r="CE79" i="165"/>
  <c r="AR134" i="165"/>
  <c r="AT98" i="165"/>
  <c r="BH211" i="165"/>
  <c r="BE211" i="165"/>
  <c r="BF211" i="165" s="1"/>
  <c r="BH43" i="165"/>
  <c r="BE43" i="165"/>
  <c r="BF43" i="165" s="1"/>
  <c r="BI183" i="165"/>
  <c r="BQ183" i="165"/>
  <c r="BK183" i="165"/>
  <c r="BK14" i="165"/>
  <c r="BI14" i="165"/>
  <c r="BJ14" i="165" s="1"/>
  <c r="BQ14" i="165"/>
  <c r="BE209" i="165"/>
  <c r="BF209" i="165" s="1"/>
  <c r="BH209" i="165"/>
  <c r="BI74" i="165"/>
  <c r="BQ74" i="165"/>
  <c r="BK74" i="165"/>
  <c r="BI132" i="165"/>
  <c r="BJ132" i="165" s="1"/>
  <c r="BQ132" i="165"/>
  <c r="BK132" i="165"/>
  <c r="BE162" i="165"/>
  <c r="BF162" i="165" s="1"/>
  <c r="BH162" i="165"/>
  <c r="BD15" i="165"/>
  <c r="BA15" i="165"/>
  <c r="BB15" i="165" s="1"/>
  <c r="BH40" i="165"/>
  <c r="BE40" i="165"/>
  <c r="BF40" i="165" s="1"/>
  <c r="BE19" i="165"/>
  <c r="BF19" i="165" s="1"/>
  <c r="BH19" i="165"/>
  <c r="BH118" i="165"/>
  <c r="BE118" i="165"/>
  <c r="BF118" i="165" s="1"/>
  <c r="BY239" i="165"/>
  <c r="BY262" i="165" s="1"/>
  <c r="CA48" i="165"/>
  <c r="CC48" i="165" s="1"/>
  <c r="BI182" i="165"/>
  <c r="BJ182" i="165" s="1"/>
  <c r="BQ182" i="165"/>
  <c r="BK182" i="165"/>
  <c r="BH111" i="165"/>
  <c r="BE111" i="165"/>
  <c r="BF111" i="165" s="1"/>
  <c r="BI210" i="165"/>
  <c r="BQ210" i="165"/>
  <c r="BK210" i="165"/>
  <c r="BI75" i="165"/>
  <c r="BQ75" i="165"/>
  <c r="BK75" i="165"/>
  <c r="BI215" i="165"/>
  <c r="BQ215" i="165"/>
  <c r="BK215" i="165"/>
  <c r="BK21" i="165"/>
  <c r="BQ21" i="165"/>
  <c r="BI21" i="165"/>
  <c r="BJ21" i="165" s="1"/>
  <c r="BH116" i="165"/>
  <c r="BE116" i="165"/>
  <c r="BF116" i="165" s="1"/>
  <c r="BE168" i="165"/>
  <c r="BF168" i="165" s="1"/>
  <c r="BH168" i="165"/>
  <c r="BQ126" i="165"/>
  <c r="BK126" i="165"/>
  <c r="BI126" i="165"/>
  <c r="BE130" i="165"/>
  <c r="BF130" i="165" s="1"/>
  <c r="BH130" i="165"/>
  <c r="BI110" i="165"/>
  <c r="BK110" i="165"/>
  <c r="BQ110" i="165"/>
  <c r="BK219" i="165"/>
  <c r="BI219" i="165"/>
  <c r="BJ219" i="165" s="1"/>
  <c r="BQ219" i="165"/>
  <c r="BH20" i="165"/>
  <c r="BE20" i="165"/>
  <c r="BF20" i="165" s="1"/>
  <c r="BE17" i="165"/>
  <c r="BF17" i="165" s="1"/>
  <c r="BH17" i="165"/>
  <c r="BE165" i="165"/>
  <c r="BF165" i="165" s="1"/>
  <c r="BH165" i="165"/>
  <c r="BH167" i="165"/>
  <c r="BE167" i="165"/>
  <c r="BF167" i="165" s="1"/>
  <c r="BE29" i="165"/>
  <c r="BF29" i="165" s="1"/>
  <c r="BH29" i="165"/>
  <c r="BE216" i="165"/>
  <c r="BF216" i="165" s="1"/>
  <c r="BH216" i="165"/>
  <c r="BQ103" i="165"/>
  <c r="BK103" i="165"/>
  <c r="BI103" i="165"/>
  <c r="BJ103" i="165" s="1"/>
  <c r="BH129" i="165"/>
  <c r="BE129" i="165"/>
  <c r="BF129" i="165" s="1"/>
  <c r="BE169" i="165"/>
  <c r="BF169" i="165" s="1"/>
  <c r="BH169" i="165"/>
  <c r="BE214" i="165"/>
  <c r="BF214" i="165" s="1"/>
  <c r="BH214" i="165"/>
  <c r="BE22" i="165"/>
  <c r="BF22" i="165" s="1"/>
  <c r="BH22" i="165"/>
  <c r="BH47" i="165"/>
  <c r="BE47" i="165"/>
  <c r="BF47" i="165" s="1"/>
  <c r="BE45" i="165"/>
  <c r="BF45" i="165" s="1"/>
  <c r="BH45" i="165"/>
  <c r="BK208" i="165"/>
  <c r="BQ208" i="165"/>
  <c r="BI208" i="165"/>
  <c r="BJ208" i="165" s="1"/>
  <c r="BH25" i="165"/>
  <c r="BE25" i="165"/>
  <c r="BF25" i="165" s="1"/>
  <c r="CA134" i="165"/>
  <c r="CC134" i="165" s="1"/>
  <c r="BK41" i="165"/>
  <c r="BQ41" i="165"/>
  <c r="BI41" i="165"/>
  <c r="BE26" i="165"/>
  <c r="BF26" i="165" s="1"/>
  <c r="BH26" i="165"/>
  <c r="BE78" i="165"/>
  <c r="BF78" i="165" s="1"/>
  <c r="BH78" i="165"/>
  <c r="BE176" i="165"/>
  <c r="BF176" i="165" s="1"/>
  <c r="BH176" i="165"/>
  <c r="BE101" i="165"/>
  <c r="BF101" i="165" s="1"/>
  <c r="BH101" i="165"/>
  <c r="CI79" i="165"/>
  <c r="BE166" i="165"/>
  <c r="BF166" i="165" s="1"/>
  <c r="BH166" i="165"/>
  <c r="BH32" i="165"/>
  <c r="BE32" i="165"/>
  <c r="BF32" i="165" s="1"/>
  <c r="BE30" i="165"/>
  <c r="BF30" i="165" s="1"/>
  <c r="BH30" i="165"/>
  <c r="BH105" i="165"/>
  <c r="BE105" i="165"/>
  <c r="BF105" i="165" s="1"/>
  <c r="BE125" i="165"/>
  <c r="BF125" i="165" s="1"/>
  <c r="BH125" i="165"/>
  <c r="BI154" i="165"/>
  <c r="BJ154" i="165" s="1"/>
  <c r="BQ154" i="165"/>
  <c r="BK154" i="165"/>
  <c r="BH39" i="165"/>
  <c r="BE39" i="165"/>
  <c r="BF39" i="165" s="1"/>
  <c r="BE156" i="165"/>
  <c r="BF156" i="165" s="1"/>
  <c r="BH156" i="165"/>
  <c r="BH104" i="165"/>
  <c r="BE104" i="165"/>
  <c r="BF104" i="165" s="1"/>
  <c r="BI218" i="165"/>
  <c r="BJ218" i="165" s="1"/>
  <c r="BQ218" i="165"/>
  <c r="BK218" i="165"/>
  <c r="BK179" i="165"/>
  <c r="BI179" i="165"/>
  <c r="BJ179" i="165" s="1"/>
  <c r="BQ179" i="165"/>
  <c r="BH109" i="165"/>
  <c r="BE109" i="165"/>
  <c r="BF109" i="165" s="1"/>
  <c r="BQ207" i="165"/>
  <c r="BK207" i="165"/>
  <c r="BI207" i="165"/>
  <c r="BJ207" i="165" s="1"/>
  <c r="BK72" i="165"/>
  <c r="BI72" i="165"/>
  <c r="BJ72" i="165" s="1"/>
  <c r="BQ72" i="165"/>
  <c r="BE164" i="165"/>
  <c r="BF164" i="165" s="1"/>
  <c r="BH164" i="165"/>
  <c r="BH120" i="165"/>
  <c r="BE120" i="165"/>
  <c r="BF120" i="165" s="1"/>
  <c r="BH13" i="165"/>
  <c r="BE13" i="165"/>
  <c r="BF13" i="165" s="1"/>
  <c r="BX239" i="165"/>
  <c r="BK68" i="165"/>
  <c r="BI68" i="165"/>
  <c r="BQ68" i="165"/>
  <c r="BE114" i="165"/>
  <c r="BF114" i="165" s="1"/>
  <c r="BH114" i="165"/>
  <c r="BE42" i="165"/>
  <c r="BF42" i="165" s="1"/>
  <c r="BH42" i="165"/>
  <c r="BE155" i="165"/>
  <c r="BF155" i="165" s="1"/>
  <c r="BH155" i="165"/>
  <c r="BE108" i="165"/>
  <c r="BF108" i="165" s="1"/>
  <c r="BH108" i="165"/>
  <c r="BE160" i="165"/>
  <c r="BF160" i="165" s="1"/>
  <c r="BH160" i="165"/>
  <c r="BH99" i="165"/>
  <c r="BH119" i="165"/>
  <c r="BE119" i="165"/>
  <c r="BF119" i="165" s="1"/>
  <c r="BK36" i="165"/>
  <c r="BQ36" i="165"/>
  <c r="BI36" i="165"/>
  <c r="BJ36" i="165" s="1"/>
  <c r="BI158" i="165"/>
  <c r="BJ158" i="165" s="1"/>
  <c r="BQ158" i="165"/>
  <c r="BK158" i="165"/>
  <c r="BH121" i="165"/>
  <c r="BE121" i="165"/>
  <c r="BF121" i="165" s="1"/>
  <c r="BE128" i="165"/>
  <c r="BF128" i="165" s="1"/>
  <c r="BH128" i="165"/>
  <c r="BE131" i="165"/>
  <c r="BF131" i="165" s="1"/>
  <c r="BH131" i="165"/>
  <c r="BE171" i="165"/>
  <c r="BF171" i="165" s="1"/>
  <c r="BH171" i="165"/>
  <c r="AR48" i="165"/>
  <c r="AT12" i="165"/>
  <c r="BI213" i="165"/>
  <c r="BJ213" i="165" s="1"/>
  <c r="BQ213" i="165"/>
  <c r="BK213" i="165"/>
  <c r="BE112" i="165"/>
  <c r="BF112" i="165" s="1"/>
  <c r="BH112" i="165"/>
  <c r="BE124" i="165"/>
  <c r="BF124" i="165" s="1"/>
  <c r="BH124" i="165"/>
  <c r="BE38" i="165"/>
  <c r="BF38" i="165" s="1"/>
  <c r="BH38" i="165"/>
  <c r="BH127" i="165"/>
  <c r="BE127" i="165"/>
  <c r="BF127" i="165" s="1"/>
  <c r="BI161" i="165"/>
  <c r="BJ161" i="165" s="1"/>
  <c r="BQ161" i="165"/>
  <c r="BK161" i="165"/>
  <c r="BH175" i="165"/>
  <c r="BE175" i="165"/>
  <c r="BF175" i="165" s="1"/>
  <c r="BE46" i="165"/>
  <c r="BF46" i="165" s="1"/>
  <c r="BH46" i="165"/>
  <c r="CA184" i="165"/>
  <c r="CC184" i="165" s="1"/>
  <c r="AT220" i="165"/>
  <c r="AV203" i="165"/>
  <c r="AV220" i="165" s="1"/>
  <c r="BE217" i="165"/>
  <c r="BF217" i="165" s="1"/>
  <c r="BH217" i="165"/>
  <c r="BQ100" i="165"/>
  <c r="BK100" i="165"/>
  <c r="BI100" i="165"/>
  <c r="BJ100" i="165" s="1"/>
  <c r="AW67" i="165"/>
  <c r="BE34" i="165"/>
  <c r="BF34" i="165" s="1"/>
  <c r="BH34" i="165"/>
  <c r="BE122" i="165"/>
  <c r="BF122" i="165" s="1"/>
  <c r="BH122" i="165"/>
  <c r="BQ107" i="165"/>
  <c r="BK107" i="165"/>
  <c r="BI107" i="165"/>
  <c r="BJ107" i="165" s="1"/>
  <c r="BE204" i="165"/>
  <c r="BF204" i="165" s="1"/>
  <c r="BH204" i="165"/>
  <c r="BE76" i="165"/>
  <c r="BF76" i="165" s="1"/>
  <c r="BH76" i="165"/>
  <c r="BD205" i="165"/>
  <c r="BA205" i="165"/>
  <c r="BB205" i="165" s="1"/>
  <c r="BI157" i="165"/>
  <c r="BQ157" i="165"/>
  <c r="BK157" i="165"/>
  <c r="CX220" i="165"/>
  <c r="BK114" i="166" l="1"/>
  <c r="BI114" i="166"/>
  <c r="BQ114" i="166"/>
  <c r="EE12" i="140"/>
  <c r="EE12" i="77"/>
  <c r="EE12" i="139"/>
  <c r="EK12" i="140"/>
  <c r="EK12" i="139"/>
  <c r="EK12" i="77"/>
  <c r="BB67" i="166"/>
  <c r="FS12" i="140"/>
  <c r="FS12" i="139"/>
  <c r="FS12" i="77"/>
  <c r="U12" i="77"/>
  <c r="U12" i="139"/>
  <c r="U12" i="140"/>
  <c r="AU189" i="167"/>
  <c r="BA210" i="167"/>
  <c r="BB210" i="167" s="1"/>
  <c r="BD210" i="167"/>
  <c r="BR213" i="167"/>
  <c r="BS213" i="167" s="1"/>
  <c r="BL213" i="167"/>
  <c r="BR130" i="167"/>
  <c r="BL130" i="167"/>
  <c r="BQ100" i="167"/>
  <c r="BK100" i="167"/>
  <c r="BI100" i="167"/>
  <c r="BJ100" i="167" s="1"/>
  <c r="BR179" i="167"/>
  <c r="BL179" i="167"/>
  <c r="BM179" i="167" s="1"/>
  <c r="BR218" i="167"/>
  <c r="BL218" i="167"/>
  <c r="BR132" i="167"/>
  <c r="BL132" i="167"/>
  <c r="BM132" i="167" s="1"/>
  <c r="BR161" i="167"/>
  <c r="BL161" i="167"/>
  <c r="BR206" i="167"/>
  <c r="BL206" i="167"/>
  <c r="BM206" i="167" s="1"/>
  <c r="AW241" i="167"/>
  <c r="AW247" i="167" s="1"/>
  <c r="BR22" i="167"/>
  <c r="BL22" i="167"/>
  <c r="AW236" i="167"/>
  <c r="BL24" i="167"/>
  <c r="BR24" i="167"/>
  <c r="BH74" i="167"/>
  <c r="BE74" i="167"/>
  <c r="BF74" i="167" s="1"/>
  <c r="BL164" i="167"/>
  <c r="BR164" i="167"/>
  <c r="BD117" i="167"/>
  <c r="BA117" i="167"/>
  <c r="BB117" i="167" s="1"/>
  <c r="AV139" i="167"/>
  <c r="BL35" i="167"/>
  <c r="BR35" i="167"/>
  <c r="BR205" i="167"/>
  <c r="BS205" i="167" s="1"/>
  <c r="BL205" i="167"/>
  <c r="BR23" i="167"/>
  <c r="BL23" i="167"/>
  <c r="AW185" i="167"/>
  <c r="AX172" i="167"/>
  <c r="AY172" i="167" s="1"/>
  <c r="AY184" i="167" s="1"/>
  <c r="AZ172" i="167"/>
  <c r="BX172" i="167"/>
  <c r="BL115" i="167"/>
  <c r="BM115" i="167" s="1"/>
  <c r="BR115" i="167"/>
  <c r="BR171" i="167"/>
  <c r="BL171" i="167"/>
  <c r="AV82" i="167"/>
  <c r="AV79" i="167"/>
  <c r="BR124" i="167"/>
  <c r="BL124" i="167"/>
  <c r="BR173" i="167"/>
  <c r="BS173" i="167" s="1"/>
  <c r="BL173" i="167"/>
  <c r="BR103" i="167"/>
  <c r="BL103" i="167"/>
  <c r="AW226" i="167"/>
  <c r="AW237" i="167" s="1"/>
  <c r="AW225" i="167"/>
  <c r="BL159" i="167"/>
  <c r="BM159" i="167" s="1"/>
  <c r="BR159" i="167"/>
  <c r="BS159" i="167" s="1"/>
  <c r="BM130" i="167"/>
  <c r="BR33" i="167"/>
  <c r="BS33" i="167" s="1"/>
  <c r="BL33" i="167"/>
  <c r="BL166" i="167"/>
  <c r="BR166" i="167"/>
  <c r="BS166" i="167" s="1"/>
  <c r="BL176" i="167"/>
  <c r="BR176" i="167"/>
  <c r="BS176" i="167" s="1"/>
  <c r="BS132" i="167"/>
  <c r="BR111" i="167"/>
  <c r="BS111" i="167" s="1"/>
  <c r="BL111" i="167"/>
  <c r="BX184" i="167"/>
  <c r="BY184" i="167" s="1"/>
  <c r="BR47" i="167"/>
  <c r="BS47" i="167" s="1"/>
  <c r="BL47" i="167"/>
  <c r="BM47" i="167" s="1"/>
  <c r="AW137" i="167"/>
  <c r="AW143" i="167" s="1"/>
  <c r="AW149" i="167" s="1"/>
  <c r="AW134" i="167"/>
  <c r="AZ98" i="167"/>
  <c r="AX98" i="167"/>
  <c r="AX134" i="167" s="1"/>
  <c r="BR72" i="167"/>
  <c r="BS72" i="167" s="1"/>
  <c r="BL72" i="167"/>
  <c r="BL122" i="167"/>
  <c r="BR122" i="167"/>
  <c r="BS122" i="167" s="1"/>
  <c r="BL21" i="167"/>
  <c r="BR21" i="167"/>
  <c r="BS21" i="167" s="1"/>
  <c r="BR180" i="167"/>
  <c r="BS180" i="167" s="1"/>
  <c r="BL180" i="167"/>
  <c r="BM180" i="167" s="1"/>
  <c r="BR77" i="167"/>
  <c r="BS77" i="167" s="1"/>
  <c r="BL77" i="167"/>
  <c r="BL28" i="167"/>
  <c r="BR28" i="167"/>
  <c r="BS28" i="167" s="1"/>
  <c r="BR44" i="167"/>
  <c r="BS44" i="167" s="1"/>
  <c r="BL44" i="167"/>
  <c r="BR76" i="167"/>
  <c r="BS76" i="167" s="1"/>
  <c r="BL76" i="167"/>
  <c r="BL17" i="167"/>
  <c r="BR17" i="167"/>
  <c r="BE31" i="167"/>
  <c r="BF31" i="167" s="1"/>
  <c r="BH31" i="167"/>
  <c r="BM164" i="167"/>
  <c r="AZ184" i="167"/>
  <c r="BD153" i="167"/>
  <c r="BA153" i="167"/>
  <c r="BB153" i="167" s="1"/>
  <c r="AW52" i="167"/>
  <c r="AZ34" i="167"/>
  <c r="AX34" i="167"/>
  <c r="AY34" i="167" s="1"/>
  <c r="BL107" i="167"/>
  <c r="BM107" i="167" s="1"/>
  <c r="BR107" i="167"/>
  <c r="BS107" i="167" s="1"/>
  <c r="BL126" i="167"/>
  <c r="BR126" i="167"/>
  <c r="BS126" i="167" s="1"/>
  <c r="AW82" i="167"/>
  <c r="AW88" i="167" s="1"/>
  <c r="AW94" i="167" s="1"/>
  <c r="AW79" i="167"/>
  <c r="AX67" i="167"/>
  <c r="AX79" i="167" s="1"/>
  <c r="AZ67" i="167"/>
  <c r="BA170" i="167"/>
  <c r="BB170" i="167" s="1"/>
  <c r="BD170" i="167"/>
  <c r="BL69" i="167"/>
  <c r="BR69" i="167"/>
  <c r="BS69" i="167" s="1"/>
  <c r="BR217" i="167"/>
  <c r="BL217" i="167"/>
  <c r="BR120" i="167"/>
  <c r="BS120" i="167" s="1"/>
  <c r="BL120" i="167"/>
  <c r="BR19" i="167"/>
  <c r="BS19" i="167" s="1"/>
  <c r="BL19" i="167"/>
  <c r="AV239" i="167"/>
  <c r="AV53" i="167"/>
  <c r="AX220" i="167"/>
  <c r="AW235" i="167"/>
  <c r="BD99" i="167"/>
  <c r="BA99" i="167"/>
  <c r="BB99" i="167" s="1"/>
  <c r="BL18" i="167"/>
  <c r="BM18" i="167" s="1"/>
  <c r="BR18" i="167"/>
  <c r="BS18" i="167" s="1"/>
  <c r="BR209" i="167"/>
  <c r="BS209" i="167" s="1"/>
  <c r="BL209" i="167"/>
  <c r="BM209" i="167" s="1"/>
  <c r="BR204" i="167"/>
  <c r="BS204" i="167" s="1"/>
  <c r="BL204" i="167"/>
  <c r="BM204" i="167" s="1"/>
  <c r="BJ159" i="167"/>
  <c r="BR25" i="167"/>
  <c r="BS25" i="167" s="1"/>
  <c r="BL25" i="167"/>
  <c r="BM25" i="167" s="1"/>
  <c r="BM213" i="167"/>
  <c r="BR162" i="167"/>
  <c r="BS162" i="167" s="1"/>
  <c r="BL162" i="167"/>
  <c r="BS130" i="167"/>
  <c r="AV189" i="167"/>
  <c r="BJ33" i="167"/>
  <c r="BM218" i="167"/>
  <c r="BD212" i="167"/>
  <c r="BB212" i="167"/>
  <c r="BA212" i="167"/>
  <c r="BJ166" i="167"/>
  <c r="BR14" i="167"/>
  <c r="BS14" i="167" s="1"/>
  <c r="BL14" i="167"/>
  <c r="BM14" i="167" s="1"/>
  <c r="BJ176" i="167"/>
  <c r="BR158" i="167"/>
  <c r="BS158" i="167" s="1"/>
  <c r="BL158" i="167"/>
  <c r="BM158" i="167" s="1"/>
  <c r="BR112" i="167"/>
  <c r="BS112" i="167" s="1"/>
  <c r="BL112" i="167"/>
  <c r="BM112" i="167" s="1"/>
  <c r="BJ111" i="167"/>
  <c r="AV225" i="167"/>
  <c r="BM161" i="167"/>
  <c r="BR32" i="167"/>
  <c r="BS32" i="167" s="1"/>
  <c r="BL32" i="167"/>
  <c r="BM32" i="167" s="1"/>
  <c r="BR29" i="167"/>
  <c r="BS29" i="167" s="1"/>
  <c r="BL29" i="167"/>
  <c r="BM29" i="167" s="1"/>
  <c r="BJ47" i="167"/>
  <c r="BJ72" i="167"/>
  <c r="BJ122" i="167"/>
  <c r="BJ21" i="167"/>
  <c r="BJ180" i="167"/>
  <c r="BM22" i="167"/>
  <c r="BJ77" i="167"/>
  <c r="AT244" i="167"/>
  <c r="BR20" i="167"/>
  <c r="BS20" i="167" s="1"/>
  <c r="BL20" i="167"/>
  <c r="BM20" i="167" s="1"/>
  <c r="BJ28" i="167"/>
  <c r="CX134" i="167"/>
  <c r="CA134" i="167"/>
  <c r="CC134" i="167" s="1"/>
  <c r="BJ44" i="167"/>
  <c r="BL71" i="167"/>
  <c r="BM71" i="167" s="1"/>
  <c r="BR71" i="167"/>
  <c r="BS71" i="167" s="1"/>
  <c r="CA79" i="167"/>
  <c r="CC79" i="167" s="1"/>
  <c r="CX79" i="167" s="1"/>
  <c r="BM24" i="167"/>
  <c r="BJ76" i="167"/>
  <c r="BM17" i="167"/>
  <c r="BL131" i="167"/>
  <c r="BR131" i="167"/>
  <c r="BS131" i="167" s="1"/>
  <c r="BS164" i="167"/>
  <c r="AX184" i="167"/>
  <c r="AW201" i="167"/>
  <c r="AW190" i="167"/>
  <c r="AW189" i="167"/>
  <c r="BM35" i="167"/>
  <c r="BM205" i="167"/>
  <c r="BR167" i="167"/>
  <c r="BS167" i="167" s="1"/>
  <c r="BL167" i="167"/>
  <c r="BM167" i="167" s="1"/>
  <c r="BJ107" i="167"/>
  <c r="BM23" i="167"/>
  <c r="BR110" i="167"/>
  <c r="BS110" i="167" s="1"/>
  <c r="BL110" i="167"/>
  <c r="BM110" i="167" s="1"/>
  <c r="BJ126" i="167"/>
  <c r="BM171" i="167"/>
  <c r="AT84" i="167"/>
  <c r="BM124" i="167"/>
  <c r="BR219" i="167"/>
  <c r="BS219" i="167" s="1"/>
  <c r="BL219" i="167"/>
  <c r="BM219" i="167" s="1"/>
  <c r="BJ69" i="167"/>
  <c r="BR36" i="167"/>
  <c r="BS36" i="167" s="1"/>
  <c r="BL36" i="167"/>
  <c r="BM36" i="167" s="1"/>
  <c r="BR109" i="167"/>
  <c r="BS109" i="167" s="1"/>
  <c r="BL109" i="167"/>
  <c r="BM109" i="167" s="1"/>
  <c r="BL104" i="167"/>
  <c r="BM104" i="167" s="1"/>
  <c r="BR104" i="167"/>
  <c r="BS104" i="167" s="1"/>
  <c r="BR177" i="167"/>
  <c r="BS177" i="167" s="1"/>
  <c r="BL177" i="167"/>
  <c r="BM177" i="167" s="1"/>
  <c r="BM173" i="167"/>
  <c r="BM217" i="167"/>
  <c r="BJ120" i="167"/>
  <c r="BM103" i="167"/>
  <c r="BM19" i="167"/>
  <c r="AV242" i="167"/>
  <c r="AY203" i="167"/>
  <c r="AY220" i="167" s="1"/>
  <c r="CA220" i="167"/>
  <c r="CC220" i="167" s="1"/>
  <c r="CX220" i="167" s="1"/>
  <c r="BM162" i="167"/>
  <c r="BR155" i="167"/>
  <c r="BS155" i="167" s="1"/>
  <c r="BL155" i="167"/>
  <c r="BM155" i="167" s="1"/>
  <c r="BM33" i="167"/>
  <c r="BL45" i="167"/>
  <c r="BM45" i="167" s="1"/>
  <c r="BR45" i="167"/>
  <c r="BS45" i="167" s="1"/>
  <c r="BS179" i="167"/>
  <c r="AU139" i="167"/>
  <c r="AU239" i="167"/>
  <c r="AU244" i="167" s="1"/>
  <c r="BR214" i="167"/>
  <c r="BS214" i="167" s="1"/>
  <c r="BL214" i="167"/>
  <c r="BM214" i="167" s="1"/>
  <c r="BS218" i="167"/>
  <c r="BM166" i="167"/>
  <c r="BM176" i="167"/>
  <c r="AW51" i="167"/>
  <c r="AW48" i="167"/>
  <c r="AZ12" i="167"/>
  <c r="AX12" i="167"/>
  <c r="AX48" i="167" s="1"/>
  <c r="AX239" i="167" s="1"/>
  <c r="BL157" i="167"/>
  <c r="BM157" i="167" s="1"/>
  <c r="BR157" i="167"/>
  <c r="BS157" i="167" s="1"/>
  <c r="BM111" i="167"/>
  <c r="BD168" i="167"/>
  <c r="BA168" i="167"/>
  <c r="BB168" i="167" s="1"/>
  <c r="BS161" i="167"/>
  <c r="BS206" i="167"/>
  <c r="AW62" i="167"/>
  <c r="BM72" i="167"/>
  <c r="BM122" i="167"/>
  <c r="BM21" i="167"/>
  <c r="BS22" i="167"/>
  <c r="BL133" i="167"/>
  <c r="BM133" i="167" s="1"/>
  <c r="BR133" i="167"/>
  <c r="BS133" i="167" s="1"/>
  <c r="BL68" i="167"/>
  <c r="BM68" i="167" s="1"/>
  <c r="BR68" i="167"/>
  <c r="BS68" i="167" s="1"/>
  <c r="BM77" i="167"/>
  <c r="BM28" i="167"/>
  <c r="BA211" i="167"/>
  <c r="BB211" i="167" s="1"/>
  <c r="BD211" i="167"/>
  <c r="BA113" i="167"/>
  <c r="BB113" i="167" s="1"/>
  <c r="BD113" i="167"/>
  <c r="BM44" i="167"/>
  <c r="BR123" i="167"/>
  <c r="BS123" i="167" s="1"/>
  <c r="BL123" i="167"/>
  <c r="BM123" i="167" s="1"/>
  <c r="BD73" i="167"/>
  <c r="BA73" i="167"/>
  <c r="BB73" i="167" s="1"/>
  <c r="BS24" i="167"/>
  <c r="BR156" i="167"/>
  <c r="BS156" i="167" s="1"/>
  <c r="BL156" i="167"/>
  <c r="BM156" i="167" s="1"/>
  <c r="BM76" i="167"/>
  <c r="BS17" i="167"/>
  <c r="BR38" i="167"/>
  <c r="BS38" i="167" s="1"/>
  <c r="BL38" i="167"/>
  <c r="BM38" i="167" s="1"/>
  <c r="BM131" i="167"/>
  <c r="BE26" i="167"/>
  <c r="BF26" i="167" s="1"/>
  <c r="BH26" i="167"/>
  <c r="BR116" i="167"/>
  <c r="BS116" i="167" s="1"/>
  <c r="BL116" i="167"/>
  <c r="BM116" i="167" s="1"/>
  <c r="BS35" i="167"/>
  <c r="BI15" i="167"/>
  <c r="BJ15" i="167" s="1"/>
  <c r="BQ15" i="167"/>
  <c r="BK15" i="167"/>
  <c r="BS23" i="167"/>
  <c r="BS115" i="167"/>
  <c r="BR37" i="167"/>
  <c r="BS37" i="167" s="1"/>
  <c r="BL37" i="167"/>
  <c r="BM37" i="167" s="1"/>
  <c r="BM126" i="167"/>
  <c r="BS171" i="167"/>
  <c r="BR41" i="167"/>
  <c r="BS41" i="167" s="1"/>
  <c r="BL41" i="167"/>
  <c r="BM41" i="167" s="1"/>
  <c r="BQ42" i="167"/>
  <c r="BK42" i="167"/>
  <c r="BJ42" i="167"/>
  <c r="BI42" i="167"/>
  <c r="BS124" i="167"/>
  <c r="BM69" i="167"/>
  <c r="BY239" i="167"/>
  <c r="BY262" i="167" s="1"/>
  <c r="CA48" i="167"/>
  <c r="CC48" i="167" s="1"/>
  <c r="BR181" i="167"/>
  <c r="BS181" i="167" s="1"/>
  <c r="BL181" i="167"/>
  <c r="BM181" i="167" s="1"/>
  <c r="BR108" i="167"/>
  <c r="BS108" i="167" s="1"/>
  <c r="BL108" i="167"/>
  <c r="BM108" i="167" s="1"/>
  <c r="BL102" i="167"/>
  <c r="BM102" i="167" s="1"/>
  <c r="BR102" i="167"/>
  <c r="BS102" i="167" s="1"/>
  <c r="BL154" i="167"/>
  <c r="BM154" i="167" s="1"/>
  <c r="BR154" i="167"/>
  <c r="BS154" i="167" s="1"/>
  <c r="BS217" i="167"/>
  <c r="BM120" i="167"/>
  <c r="BR121" i="167"/>
  <c r="BS121" i="167" s="1"/>
  <c r="BL121" i="167"/>
  <c r="BM121" i="167" s="1"/>
  <c r="BR105" i="167"/>
  <c r="BS105" i="167" s="1"/>
  <c r="BL105" i="167"/>
  <c r="BM105" i="167" s="1"/>
  <c r="BS103" i="167"/>
  <c r="BR39" i="167"/>
  <c r="BS39" i="167" s="1"/>
  <c r="BL39" i="167"/>
  <c r="BM39" i="167" s="1"/>
  <c r="AZ220" i="167"/>
  <c r="BA203" i="167"/>
  <c r="BA220" i="167" s="1"/>
  <c r="BD203" i="167"/>
  <c r="AW150" i="167"/>
  <c r="BB79" i="166"/>
  <c r="BR17" i="166"/>
  <c r="BL17" i="166"/>
  <c r="BM17" i="166" s="1"/>
  <c r="BR179" i="166"/>
  <c r="BL179" i="166"/>
  <c r="BL44" i="166"/>
  <c r="BR44" i="166"/>
  <c r="BS44" i="166" s="1"/>
  <c r="BK68" i="166"/>
  <c r="BI68" i="166"/>
  <c r="BQ68" i="166"/>
  <c r="BR127" i="166"/>
  <c r="BS127" i="166" s="1"/>
  <c r="BL127" i="166"/>
  <c r="BM127" i="166" s="1"/>
  <c r="BH67" i="166"/>
  <c r="BD79" i="166"/>
  <c r="BE67" i="166"/>
  <c r="BF67" i="166" s="1"/>
  <c r="BR159" i="166"/>
  <c r="BS159" i="166" s="1"/>
  <c r="BL159" i="166"/>
  <c r="BK117" i="166"/>
  <c r="BI117" i="166"/>
  <c r="BJ117" i="166" s="1"/>
  <c r="BQ117" i="166"/>
  <c r="BR132" i="166"/>
  <c r="BL132" i="166"/>
  <c r="BM132" i="166" s="1"/>
  <c r="BR110" i="166"/>
  <c r="BL110" i="166"/>
  <c r="BR19" i="166"/>
  <c r="BL19" i="166"/>
  <c r="BR158" i="166"/>
  <c r="BS158" i="166" s="1"/>
  <c r="BL158" i="166"/>
  <c r="BE73" i="166"/>
  <c r="BF73" i="166" s="1"/>
  <c r="BH73" i="166"/>
  <c r="CY79" i="166"/>
  <c r="CZ79" i="166" s="1"/>
  <c r="AW54" i="166"/>
  <c r="AW65" i="166" s="1"/>
  <c r="AW53" i="166"/>
  <c r="BR124" i="166"/>
  <c r="BS124" i="166" s="1"/>
  <c r="BL124" i="166"/>
  <c r="BM124" i="166" s="1"/>
  <c r="BR175" i="166"/>
  <c r="BL175" i="166"/>
  <c r="BR174" i="166"/>
  <c r="BS174" i="166" s="1"/>
  <c r="BL174" i="166"/>
  <c r="BM174" i="166" s="1"/>
  <c r="BJ127" i="166"/>
  <c r="BL112" i="166"/>
  <c r="BR112" i="166"/>
  <c r="BS112" i="166" s="1"/>
  <c r="BR30" i="166"/>
  <c r="BL30" i="166"/>
  <c r="BL180" i="166"/>
  <c r="BR180" i="166"/>
  <c r="BS180" i="166" s="1"/>
  <c r="BR116" i="166"/>
  <c r="BS116" i="166" s="1"/>
  <c r="BL116" i="166"/>
  <c r="BE113" i="166"/>
  <c r="BF113" i="166" s="1"/>
  <c r="BH113" i="166"/>
  <c r="BR119" i="166"/>
  <c r="BS119" i="166" s="1"/>
  <c r="BL119" i="166"/>
  <c r="BM119" i="166" s="1"/>
  <c r="BR129" i="166"/>
  <c r="BS129" i="166" s="1"/>
  <c r="BL129" i="166"/>
  <c r="BM129" i="166" s="1"/>
  <c r="BR217" i="166"/>
  <c r="BS217" i="166" s="1"/>
  <c r="BL217" i="166"/>
  <c r="BJ132" i="166"/>
  <c r="BR14" i="166"/>
  <c r="BL14" i="166"/>
  <c r="BM14" i="166" s="1"/>
  <c r="BL176" i="166"/>
  <c r="BR176" i="166"/>
  <c r="BL42" i="166"/>
  <c r="BR42" i="166"/>
  <c r="BS42" i="166" s="1"/>
  <c r="BJ110" i="166"/>
  <c r="BR23" i="166"/>
  <c r="BL23" i="166"/>
  <c r="BM23" i="166" s="1"/>
  <c r="BR13" i="166"/>
  <c r="BL13" i="166"/>
  <c r="BM13" i="166" s="1"/>
  <c r="BY48" i="166"/>
  <c r="BR69" i="166"/>
  <c r="BL69" i="166"/>
  <c r="BR155" i="166"/>
  <c r="BS155" i="166" s="1"/>
  <c r="BL155" i="166"/>
  <c r="BL166" i="166"/>
  <c r="BR166" i="166"/>
  <c r="BS166" i="166" s="1"/>
  <c r="BR72" i="166"/>
  <c r="BS72" i="166" s="1"/>
  <c r="BL72" i="166"/>
  <c r="BH170" i="166"/>
  <c r="BE170" i="166"/>
  <c r="BF170" i="166" s="1"/>
  <c r="BR133" i="166"/>
  <c r="BS133" i="166" s="1"/>
  <c r="BL133" i="166"/>
  <c r="BR156" i="166"/>
  <c r="BS156" i="166" s="1"/>
  <c r="BL156" i="166"/>
  <c r="BM156" i="166" s="1"/>
  <c r="BR38" i="166"/>
  <c r="BS38" i="166" s="1"/>
  <c r="BL38" i="166"/>
  <c r="BR32" i="166"/>
  <c r="BL32" i="166"/>
  <c r="BM32" i="166" s="1"/>
  <c r="BL35" i="166"/>
  <c r="BR35" i="166"/>
  <c r="BS35" i="166" s="1"/>
  <c r="BJ19" i="166"/>
  <c r="BR47" i="166"/>
  <c r="BS47" i="166" s="1"/>
  <c r="BL47" i="166"/>
  <c r="AV184" i="166"/>
  <c r="AV239" i="166" s="1"/>
  <c r="AV187" i="166"/>
  <c r="AV242" i="166" s="1"/>
  <c r="BJ158" i="166"/>
  <c r="BI103" i="166"/>
  <c r="BJ103" i="166" s="1"/>
  <c r="BQ103" i="166"/>
  <c r="BK103" i="166"/>
  <c r="AX48" i="166"/>
  <c r="AW57" i="166"/>
  <c r="AW63" i="166" s="1"/>
  <c r="BD203" i="166"/>
  <c r="BA203" i="166"/>
  <c r="BR111" i="166"/>
  <c r="BS111" i="166" s="1"/>
  <c r="BL111" i="166"/>
  <c r="BL167" i="166"/>
  <c r="BR167" i="166"/>
  <c r="BS167" i="166" s="1"/>
  <c r="BR45" i="166"/>
  <c r="BS45" i="166" s="1"/>
  <c r="BL45" i="166"/>
  <c r="BL27" i="166"/>
  <c r="BM27" i="166" s="1"/>
  <c r="BR27" i="166"/>
  <c r="BS27" i="166" s="1"/>
  <c r="CY134" i="166"/>
  <c r="CZ134" i="166" s="1"/>
  <c r="BL183" i="166"/>
  <c r="BR183" i="166"/>
  <c r="BS183" i="166" s="1"/>
  <c r="BR131" i="166"/>
  <c r="BS131" i="166" s="1"/>
  <c r="BL131" i="166"/>
  <c r="BM131" i="166" s="1"/>
  <c r="BS32" i="166"/>
  <c r="BI74" i="166"/>
  <c r="BQ74" i="166"/>
  <c r="BK74" i="166"/>
  <c r="BJ17" i="166"/>
  <c r="BJ179" i="166"/>
  <c r="BR128" i="166"/>
  <c r="BS128" i="166" s="1"/>
  <c r="BL128" i="166"/>
  <c r="BM44" i="166"/>
  <c r="BK212" i="166"/>
  <c r="BQ212" i="166"/>
  <c r="BI212" i="166"/>
  <c r="BJ212" i="166" s="1"/>
  <c r="BM179" i="166"/>
  <c r="BJ128" i="166"/>
  <c r="AW138" i="166"/>
  <c r="AW144" i="166" s="1"/>
  <c r="AW150" i="166" s="1"/>
  <c r="AZ99" i="166"/>
  <c r="AY99" i="166"/>
  <c r="AY134" i="166" s="1"/>
  <c r="AX99" i="166"/>
  <c r="AX134" i="166" s="1"/>
  <c r="AW134" i="166"/>
  <c r="BJ124" i="166"/>
  <c r="BR173" i="166"/>
  <c r="BS173" i="166" s="1"/>
  <c r="BL173" i="166"/>
  <c r="BJ175" i="166"/>
  <c r="BJ174" i="166"/>
  <c r="BJ112" i="166"/>
  <c r="BM30" i="166"/>
  <c r="BR218" i="166"/>
  <c r="BS218" i="166" s="1"/>
  <c r="BL218" i="166"/>
  <c r="BJ180" i="166"/>
  <c r="BR78" i="166"/>
  <c r="BS78" i="166" s="1"/>
  <c r="BL78" i="166"/>
  <c r="BM78" i="166" s="1"/>
  <c r="BJ116" i="166"/>
  <c r="BL46" i="166"/>
  <c r="BM46" i="166" s="1"/>
  <c r="BR46" i="166"/>
  <c r="BJ119" i="166"/>
  <c r="BJ159" i="166"/>
  <c r="BR171" i="166"/>
  <c r="BS171" i="166" s="1"/>
  <c r="BL171" i="166"/>
  <c r="BM171" i="166" s="1"/>
  <c r="BJ129" i="166"/>
  <c r="BM217" i="166"/>
  <c r="BJ14" i="166"/>
  <c r="BK15" i="166"/>
  <c r="BI15" i="166"/>
  <c r="BJ15" i="166" s="1"/>
  <c r="BQ15" i="166"/>
  <c r="BM111" i="166"/>
  <c r="AV225" i="166"/>
  <c r="BA168" i="166"/>
  <c r="BB168" i="166" s="1"/>
  <c r="BD168" i="166"/>
  <c r="BJ167" i="166"/>
  <c r="BM176" i="166"/>
  <c r="BJ45" i="166"/>
  <c r="BM42" i="166"/>
  <c r="AT239" i="166"/>
  <c r="AT244" i="166" s="1"/>
  <c r="BM110" i="166"/>
  <c r="BL22" i="166"/>
  <c r="BM22" i="166" s="1"/>
  <c r="BR22" i="166"/>
  <c r="BS22" i="166" s="1"/>
  <c r="AU139" i="166"/>
  <c r="AU239" i="166"/>
  <c r="AU244" i="166" s="1"/>
  <c r="BL28" i="166"/>
  <c r="BM28" i="166" s="1"/>
  <c r="BR28" i="166"/>
  <c r="BS28" i="166" s="1"/>
  <c r="BJ23" i="166"/>
  <c r="BL101" i="166"/>
  <c r="BM101" i="166" s="1"/>
  <c r="BR101" i="166"/>
  <c r="BS101" i="166" s="1"/>
  <c r="BS13" i="166"/>
  <c r="BL219" i="166"/>
  <c r="BM219" i="166" s="1"/>
  <c r="BR219" i="166"/>
  <c r="BS219" i="166" s="1"/>
  <c r="BJ27" i="166"/>
  <c r="AW56" i="166"/>
  <c r="AW62" i="166" s="1"/>
  <c r="BB98" i="166"/>
  <c r="BJ69" i="166"/>
  <c r="BR21" i="166"/>
  <c r="BS21" i="166" s="1"/>
  <c r="BL21" i="166"/>
  <c r="BM21" i="166" s="1"/>
  <c r="BJ155" i="166"/>
  <c r="BM166" i="166"/>
  <c r="BD34" i="166"/>
  <c r="BA34" i="166"/>
  <c r="BB34" i="166" s="1"/>
  <c r="BR16" i="166"/>
  <c r="BS16" i="166" s="1"/>
  <c r="BL16" i="166"/>
  <c r="BM16" i="166" s="1"/>
  <c r="BJ72" i="166"/>
  <c r="BJ183" i="166"/>
  <c r="BJ133" i="166"/>
  <c r="BL206" i="166"/>
  <c r="BM206" i="166" s="1"/>
  <c r="BR206" i="166"/>
  <c r="BS206" i="166" s="1"/>
  <c r="BR125" i="166"/>
  <c r="BS125" i="166" s="1"/>
  <c r="BL125" i="166"/>
  <c r="BM125" i="166" s="1"/>
  <c r="BJ156" i="166"/>
  <c r="BJ38" i="166"/>
  <c r="AZ210" i="166"/>
  <c r="AZ220" i="166" s="1"/>
  <c r="BX210" i="166"/>
  <c r="BX220" i="166" s="1"/>
  <c r="BY220" i="166" s="1"/>
  <c r="AW222" i="166"/>
  <c r="AW228" i="166" s="1"/>
  <c r="AW234" i="166" s="1"/>
  <c r="AX210" i="166"/>
  <c r="AY210" i="166" s="1"/>
  <c r="AY220" i="166" s="1"/>
  <c r="BL39" i="166"/>
  <c r="BM39" i="166" s="1"/>
  <c r="BR39" i="166"/>
  <c r="BS39" i="166" s="1"/>
  <c r="BJ32" i="166"/>
  <c r="BR36" i="166"/>
  <c r="BS36" i="166" s="1"/>
  <c r="BL36" i="166"/>
  <c r="BM36" i="166" s="1"/>
  <c r="BR102" i="166"/>
  <c r="BS102" i="166" s="1"/>
  <c r="BL102" i="166"/>
  <c r="BM102" i="166" s="1"/>
  <c r="BJ35" i="166"/>
  <c r="BM19" i="166"/>
  <c r="BM47" i="166"/>
  <c r="BR25" i="166"/>
  <c r="BS25" i="166" s="1"/>
  <c r="BL25" i="166"/>
  <c r="BM25" i="166" s="1"/>
  <c r="BR106" i="166"/>
  <c r="BS106" i="166" s="1"/>
  <c r="BL106" i="166"/>
  <c r="BM106" i="166" s="1"/>
  <c r="BR209" i="166"/>
  <c r="BS209" i="166" s="1"/>
  <c r="BL209" i="166"/>
  <c r="BM209" i="166" s="1"/>
  <c r="AY12" i="166"/>
  <c r="AY48" i="166" s="1"/>
  <c r="AW220" i="166"/>
  <c r="BS175" i="166"/>
  <c r="BM218" i="166"/>
  <c r="BS46" i="166"/>
  <c r="BS14" i="166"/>
  <c r="BR37" i="166"/>
  <c r="BL37" i="166"/>
  <c r="BM37" i="166" s="1"/>
  <c r="BR33" i="166"/>
  <c r="BS33" i="166" s="1"/>
  <c r="BL33" i="166"/>
  <c r="BM33" i="166" s="1"/>
  <c r="BS69" i="166"/>
  <c r="BS17" i="166"/>
  <c r="BS179" i="166"/>
  <c r="BM128" i="166"/>
  <c r="BL71" i="166"/>
  <c r="BM71" i="166" s="1"/>
  <c r="BR71" i="166"/>
  <c r="BS71" i="166" s="1"/>
  <c r="AV53" i="166"/>
  <c r="BL122" i="166"/>
  <c r="BM122" i="166" s="1"/>
  <c r="BR122" i="166"/>
  <c r="BS122" i="166" s="1"/>
  <c r="BE31" i="166"/>
  <c r="BH31" i="166"/>
  <c r="BF31" i="166"/>
  <c r="BR77" i="166"/>
  <c r="BS77" i="166" s="1"/>
  <c r="BL77" i="166"/>
  <c r="BM77" i="166" s="1"/>
  <c r="BJ44" i="166"/>
  <c r="BL162" i="166"/>
  <c r="BM162" i="166" s="1"/>
  <c r="BR162" i="166"/>
  <c r="BS162" i="166" s="1"/>
  <c r="BM173" i="166"/>
  <c r="BL204" i="166"/>
  <c r="BM204" i="166" s="1"/>
  <c r="BR204" i="166"/>
  <c r="BS204" i="166" s="1"/>
  <c r="BM175" i="166"/>
  <c r="BM112" i="166"/>
  <c r="BS30" i="166"/>
  <c r="AW185" i="166"/>
  <c r="AZ172" i="166"/>
  <c r="BX172" i="166"/>
  <c r="BX184" i="166" s="1"/>
  <c r="AX172" i="166"/>
  <c r="AY172" i="166" s="1"/>
  <c r="BR126" i="166"/>
  <c r="BS126" i="166" s="1"/>
  <c r="BL126" i="166"/>
  <c r="BM126" i="166" s="1"/>
  <c r="BR75" i="166"/>
  <c r="BS75" i="166" s="1"/>
  <c r="BL75" i="166"/>
  <c r="BM75" i="166" s="1"/>
  <c r="BM180" i="166"/>
  <c r="BR76" i="166"/>
  <c r="BS76" i="166" s="1"/>
  <c r="BL76" i="166"/>
  <c r="BM76" i="166" s="1"/>
  <c r="BM116" i="166"/>
  <c r="BR70" i="166"/>
  <c r="BS70" i="166" s="1"/>
  <c r="BL70" i="166"/>
  <c r="BM70" i="166" s="1"/>
  <c r="BR20" i="166"/>
  <c r="BS20" i="166" s="1"/>
  <c r="BL20" i="166"/>
  <c r="BM20" i="166" s="1"/>
  <c r="BR169" i="166"/>
  <c r="BS169" i="166" s="1"/>
  <c r="BL169" i="166"/>
  <c r="BM169" i="166" s="1"/>
  <c r="BR161" i="166"/>
  <c r="BS161" i="166" s="1"/>
  <c r="BL161" i="166"/>
  <c r="BM161" i="166" s="1"/>
  <c r="BM159" i="166"/>
  <c r="BS132" i="166"/>
  <c r="BR105" i="166"/>
  <c r="BS105" i="166" s="1"/>
  <c r="BL105" i="166"/>
  <c r="BM105" i="166" s="1"/>
  <c r="BM167" i="166"/>
  <c r="BL208" i="166"/>
  <c r="BM208" i="166" s="1"/>
  <c r="BR208" i="166"/>
  <c r="BS208" i="166" s="1"/>
  <c r="BR178" i="166"/>
  <c r="BS178" i="166" s="1"/>
  <c r="BL178" i="166"/>
  <c r="BM178" i="166" s="1"/>
  <c r="BS37" i="166"/>
  <c r="BS176" i="166"/>
  <c r="BM45" i="166"/>
  <c r="BJ42" i="166"/>
  <c r="BS110" i="166"/>
  <c r="BS23" i="166"/>
  <c r="BJ13" i="166"/>
  <c r="BD26" i="166"/>
  <c r="BA26" i="166"/>
  <c r="BB26" i="166" s="1"/>
  <c r="CD134" i="166"/>
  <c r="CH134" i="166" s="1"/>
  <c r="CG134" i="166"/>
  <c r="CF129" i="166"/>
  <c r="CF124" i="166"/>
  <c r="CF119" i="166"/>
  <c r="CF118" i="166"/>
  <c r="CF117" i="166"/>
  <c r="CF116" i="166"/>
  <c r="CF113" i="166"/>
  <c r="BH98" i="166"/>
  <c r="BE98" i="166"/>
  <c r="BF98" i="166" s="1"/>
  <c r="BM69" i="166"/>
  <c r="BM155" i="166"/>
  <c r="AW58" i="166"/>
  <c r="AW64" i="166" s="1"/>
  <c r="BM72" i="166"/>
  <c r="BM183" i="166"/>
  <c r="BM133" i="166"/>
  <c r="BM38" i="166"/>
  <c r="BR123" i="166"/>
  <c r="BS123" i="166" s="1"/>
  <c r="BL123" i="166"/>
  <c r="BM123" i="166" s="1"/>
  <c r="BR163" i="166"/>
  <c r="BS163" i="166" s="1"/>
  <c r="BL163" i="166"/>
  <c r="BM163" i="166" s="1"/>
  <c r="BM35" i="166"/>
  <c r="BS19" i="166"/>
  <c r="BJ47" i="166"/>
  <c r="AW153" i="166"/>
  <c r="BL40" i="166"/>
  <c r="BM40" i="166" s="1"/>
  <c r="BR40" i="166"/>
  <c r="BS40" i="166" s="1"/>
  <c r="BM158" i="166"/>
  <c r="BL104" i="166"/>
  <c r="BM104" i="166" s="1"/>
  <c r="BR104" i="166"/>
  <c r="BS104" i="166" s="1"/>
  <c r="BR207" i="166"/>
  <c r="BS207" i="166" s="1"/>
  <c r="BL207" i="166"/>
  <c r="BM207" i="166" s="1"/>
  <c r="BD211" i="166"/>
  <c r="BB211" i="166"/>
  <c r="BA211" i="166"/>
  <c r="CD79" i="166"/>
  <c r="CH79" i="166" s="1"/>
  <c r="CF75" i="166"/>
  <c r="CF74" i="166"/>
  <c r="CF73" i="166"/>
  <c r="CG79" i="166"/>
  <c r="CI79" i="166" s="1"/>
  <c r="AZ48" i="166"/>
  <c r="BA12" i="166"/>
  <c r="BB12" i="166"/>
  <c r="BD12" i="166"/>
  <c r="AX220" i="166"/>
  <c r="BH115" i="165"/>
  <c r="BI115" i="165" s="1"/>
  <c r="BJ115" i="165" s="1"/>
  <c r="BK173" i="165"/>
  <c r="BQ173" i="165"/>
  <c r="BQ18" i="165"/>
  <c r="AR239" i="165"/>
  <c r="BK18" i="165"/>
  <c r="BK73" i="165"/>
  <c r="BQ73" i="165"/>
  <c r="BK174" i="165"/>
  <c r="BQ174" i="165"/>
  <c r="BQ44" i="165"/>
  <c r="BK44" i="165"/>
  <c r="BQ69" i="165"/>
  <c r="BK69" i="165"/>
  <c r="CE220" i="165"/>
  <c r="BR157" i="165"/>
  <c r="BS157" i="165" s="1"/>
  <c r="BL157" i="165"/>
  <c r="BM157" i="165" s="1"/>
  <c r="AT48" i="165"/>
  <c r="AV12" i="165"/>
  <c r="AV48" i="165" s="1"/>
  <c r="BQ120" i="165"/>
  <c r="BK120" i="165"/>
  <c r="BI120" i="165"/>
  <c r="BJ120" i="165" s="1"/>
  <c r="BQ39" i="165"/>
  <c r="BI39" i="165"/>
  <c r="BJ39" i="165" s="1"/>
  <c r="BK39" i="165"/>
  <c r="BI30" i="165"/>
  <c r="BK30" i="165"/>
  <c r="BQ30" i="165"/>
  <c r="BI78" i="165"/>
  <c r="BJ78" i="165" s="1"/>
  <c r="BQ78" i="165"/>
  <c r="BK78" i="165"/>
  <c r="BK204" i="165"/>
  <c r="BI204" i="165"/>
  <c r="BQ204" i="165"/>
  <c r="CG184" i="165"/>
  <c r="CF178" i="165"/>
  <c r="CF174" i="165"/>
  <c r="CF173" i="165"/>
  <c r="CF172" i="165"/>
  <c r="CF168" i="165"/>
  <c r="CD184" i="165"/>
  <c r="CH184" i="165" s="1"/>
  <c r="BI38" i="165"/>
  <c r="BQ38" i="165"/>
  <c r="BK38" i="165"/>
  <c r="BI128" i="165"/>
  <c r="BJ128" i="165" s="1"/>
  <c r="BK128" i="165"/>
  <c r="BQ128" i="165"/>
  <c r="BQ167" i="165"/>
  <c r="BK167" i="165"/>
  <c r="BI167" i="165"/>
  <c r="BQ40" i="165"/>
  <c r="BI40" i="165"/>
  <c r="BJ40" i="165" s="1"/>
  <c r="BK40" i="165"/>
  <c r="BK28" i="165"/>
  <c r="BI28" i="165"/>
  <c r="BJ28" i="165" s="1"/>
  <c r="BQ28" i="165"/>
  <c r="BK101" i="165"/>
  <c r="BI101" i="165"/>
  <c r="BJ101" i="165" s="1"/>
  <c r="BQ101" i="165"/>
  <c r="BR41" i="165"/>
  <c r="BS41" i="165" s="1"/>
  <c r="BL41" i="165"/>
  <c r="BM41" i="165" s="1"/>
  <c r="CD134" i="165"/>
  <c r="CH134" i="165" s="1"/>
  <c r="CF124" i="165"/>
  <c r="CF129" i="165"/>
  <c r="CG134" i="165"/>
  <c r="CF118" i="165"/>
  <c r="CF116" i="165"/>
  <c r="CF119" i="165"/>
  <c r="CF113" i="165"/>
  <c r="CF117" i="165"/>
  <c r="BQ25" i="165"/>
  <c r="BK25" i="165"/>
  <c r="BI25" i="165"/>
  <c r="BJ25" i="165" s="1"/>
  <c r="BL103" i="165"/>
  <c r="BM103" i="165" s="1"/>
  <c r="BR103" i="165"/>
  <c r="BS103" i="165" s="1"/>
  <c r="BI216" i="165"/>
  <c r="BJ216" i="165" s="1"/>
  <c r="BQ216" i="165"/>
  <c r="BK216" i="165"/>
  <c r="BI165" i="165"/>
  <c r="BJ165" i="165" s="1"/>
  <c r="BQ165" i="165"/>
  <c r="BK165" i="165"/>
  <c r="BQ20" i="165"/>
  <c r="BI20" i="165"/>
  <c r="BJ20" i="165" s="1"/>
  <c r="BK20" i="165"/>
  <c r="BR110" i="165"/>
  <c r="BS110" i="165" s="1"/>
  <c r="BL110" i="165"/>
  <c r="BM110" i="165" s="1"/>
  <c r="BL126" i="165"/>
  <c r="BM126" i="165" s="1"/>
  <c r="BR126" i="165"/>
  <c r="BS126" i="165" s="1"/>
  <c r="BK168" i="165"/>
  <c r="BI168" i="165"/>
  <c r="BJ168" i="165" s="1"/>
  <c r="BQ168" i="165"/>
  <c r="BQ116" i="165"/>
  <c r="BK116" i="165"/>
  <c r="BI116" i="165"/>
  <c r="BJ116" i="165" s="1"/>
  <c r="BR215" i="165"/>
  <c r="BS215" i="165" s="1"/>
  <c r="BL215" i="165"/>
  <c r="BM215" i="165" s="1"/>
  <c r="BR75" i="165"/>
  <c r="BS75" i="165" s="1"/>
  <c r="BL75" i="165"/>
  <c r="BM75" i="165" s="1"/>
  <c r="BR210" i="165"/>
  <c r="BS210" i="165" s="1"/>
  <c r="BL210" i="165"/>
  <c r="BM210" i="165" s="1"/>
  <c r="CC239" i="165"/>
  <c r="CG48" i="165"/>
  <c r="CF33" i="165"/>
  <c r="CF32" i="165"/>
  <c r="CD48" i="165"/>
  <c r="CF43" i="165"/>
  <c r="CF29" i="165"/>
  <c r="CF28" i="165"/>
  <c r="CF39" i="165"/>
  <c r="CF27" i="165"/>
  <c r="CF26" i="165"/>
  <c r="CF31" i="165"/>
  <c r="BQ118" i="165"/>
  <c r="BK118" i="165"/>
  <c r="BI118" i="165"/>
  <c r="BJ118" i="165" s="1"/>
  <c r="BI162" i="165"/>
  <c r="BQ162" i="165"/>
  <c r="BK162" i="165"/>
  <c r="BR74" i="165"/>
  <c r="BS74" i="165" s="1"/>
  <c r="BL74" i="165"/>
  <c r="BM74" i="165" s="1"/>
  <c r="BR183" i="165"/>
  <c r="BS183" i="165" s="1"/>
  <c r="BL183" i="165"/>
  <c r="BM183" i="165" s="1"/>
  <c r="BQ35" i="165"/>
  <c r="BI35" i="165"/>
  <c r="BJ35" i="165" s="1"/>
  <c r="BK35" i="165"/>
  <c r="BI106" i="165"/>
  <c r="BQ106" i="165"/>
  <c r="BK106" i="165"/>
  <c r="BK27" i="165"/>
  <c r="BI27" i="165"/>
  <c r="BJ27" i="165" s="1"/>
  <c r="BQ27" i="165"/>
  <c r="BQ177" i="165"/>
  <c r="BK177" i="165"/>
  <c r="BI177" i="165"/>
  <c r="BI23" i="165"/>
  <c r="BJ23" i="165" s="1"/>
  <c r="BQ23" i="165"/>
  <c r="BK23" i="165"/>
  <c r="BI163" i="165"/>
  <c r="BQ163" i="165"/>
  <c r="BK163" i="165"/>
  <c r="BQ117" i="165"/>
  <c r="BI117" i="165"/>
  <c r="BJ117" i="165" s="1"/>
  <c r="BK117" i="165"/>
  <c r="BR206" i="165"/>
  <c r="BS206" i="165" s="1"/>
  <c r="BL206" i="165"/>
  <c r="BM206" i="165" s="1"/>
  <c r="BK108" i="165"/>
  <c r="BI108" i="165"/>
  <c r="BJ108" i="165" s="1"/>
  <c r="BQ108" i="165"/>
  <c r="BR73" i="165"/>
  <c r="BL73" i="165"/>
  <c r="BQ111" i="165"/>
  <c r="BK111" i="165"/>
  <c r="BI111" i="165"/>
  <c r="BJ111" i="165" s="1"/>
  <c r="BI19" i="165"/>
  <c r="BJ19" i="165" s="1"/>
  <c r="BQ19" i="165"/>
  <c r="BK19" i="165"/>
  <c r="BQ43" i="165"/>
  <c r="BK43" i="165"/>
  <c r="BI43" i="165"/>
  <c r="BJ43" i="165" s="1"/>
  <c r="BQ71" i="165"/>
  <c r="BK71" i="165"/>
  <c r="BI71" i="165"/>
  <c r="BJ71" i="165" s="1"/>
  <c r="BQ127" i="165"/>
  <c r="BK127" i="165"/>
  <c r="BI127" i="165"/>
  <c r="BJ127" i="165" s="1"/>
  <c r="BK112" i="165"/>
  <c r="BI112" i="165"/>
  <c r="BJ112" i="165" s="1"/>
  <c r="BQ112" i="165"/>
  <c r="BI131" i="165"/>
  <c r="BQ131" i="165"/>
  <c r="BK131" i="165"/>
  <c r="BQ121" i="165"/>
  <c r="BK121" i="165"/>
  <c r="BI121" i="165"/>
  <c r="BJ121" i="165" s="1"/>
  <c r="BQ99" i="165"/>
  <c r="BI99" i="165"/>
  <c r="BJ99" i="165" s="1"/>
  <c r="BK99" i="165"/>
  <c r="BI105" i="165"/>
  <c r="BQ105" i="165"/>
  <c r="BK105" i="165"/>
  <c r="BL100" i="165"/>
  <c r="BM100" i="165" s="1"/>
  <c r="BR100" i="165"/>
  <c r="BS100" i="165" s="1"/>
  <c r="AW203" i="165"/>
  <c r="BQ175" i="165"/>
  <c r="BK175" i="165"/>
  <c r="BI175" i="165"/>
  <c r="BJ175" i="165" s="1"/>
  <c r="BR161" i="165"/>
  <c r="BS161" i="165" s="1"/>
  <c r="BL161" i="165"/>
  <c r="BM161" i="165" s="1"/>
  <c r="BR213" i="165"/>
  <c r="BS213" i="165" s="1"/>
  <c r="BL213" i="165"/>
  <c r="BM213" i="165" s="1"/>
  <c r="BK171" i="165"/>
  <c r="BI171" i="165"/>
  <c r="BQ171" i="165"/>
  <c r="BR36" i="165"/>
  <c r="BS36" i="165" s="1"/>
  <c r="BL36" i="165"/>
  <c r="BM36" i="165" s="1"/>
  <c r="BQ13" i="165"/>
  <c r="BK13" i="165"/>
  <c r="BI13" i="165"/>
  <c r="BJ13" i="165" s="1"/>
  <c r="BR72" i="165"/>
  <c r="BS72" i="165" s="1"/>
  <c r="BL72" i="165"/>
  <c r="BM72" i="165" s="1"/>
  <c r="BQ109" i="165"/>
  <c r="BI109" i="165"/>
  <c r="BJ109" i="165" s="1"/>
  <c r="BK109" i="165"/>
  <c r="BK104" i="165"/>
  <c r="BQ104" i="165"/>
  <c r="BI104" i="165"/>
  <c r="BJ104" i="165" s="1"/>
  <c r="BI125" i="165"/>
  <c r="BJ125" i="165" s="1"/>
  <c r="BK125" i="165"/>
  <c r="BQ125" i="165"/>
  <c r="BI166" i="165"/>
  <c r="BJ166" i="165" s="1"/>
  <c r="BQ166" i="165"/>
  <c r="BK166" i="165"/>
  <c r="BR173" i="165"/>
  <c r="BL173" i="165"/>
  <c r="BM173" i="165" s="1"/>
  <c r="BK26" i="165"/>
  <c r="BI26" i="165"/>
  <c r="BJ26" i="165" s="1"/>
  <c r="BQ26" i="165"/>
  <c r="BJ41" i="165"/>
  <c r="CX134" i="165"/>
  <c r="BL208" i="165"/>
  <c r="BM208" i="165" s="1"/>
  <c r="BR208" i="165"/>
  <c r="BS208" i="165" s="1"/>
  <c r="BI45" i="165"/>
  <c r="BQ45" i="165"/>
  <c r="BK45" i="165"/>
  <c r="BK169" i="165"/>
  <c r="BI169" i="165"/>
  <c r="BJ169" i="165" s="1"/>
  <c r="BQ169" i="165"/>
  <c r="BJ110" i="165"/>
  <c r="BK130" i="165"/>
  <c r="BI130" i="165"/>
  <c r="BJ130" i="165" s="1"/>
  <c r="BQ130" i="165"/>
  <c r="BJ215" i="165"/>
  <c r="BJ75" i="165"/>
  <c r="BJ210" i="165"/>
  <c r="CX48" i="165"/>
  <c r="BR132" i="165"/>
  <c r="BS132" i="165" s="1"/>
  <c r="BL132" i="165"/>
  <c r="BM132" i="165" s="1"/>
  <c r="BJ74" i="165"/>
  <c r="BJ183" i="165"/>
  <c r="BK211" i="165"/>
  <c r="BQ211" i="165"/>
  <c r="BI211" i="165"/>
  <c r="BJ211" i="165" s="1"/>
  <c r="BQ159" i="165"/>
  <c r="BK159" i="165"/>
  <c r="BI159" i="165"/>
  <c r="BK77" i="165"/>
  <c r="BI77" i="165"/>
  <c r="BJ77" i="165" s="1"/>
  <c r="BQ77" i="165"/>
  <c r="AY153" i="165"/>
  <c r="AY184" i="165" s="1"/>
  <c r="BR44" i="165"/>
  <c r="BL44" i="165"/>
  <c r="CF220" i="165"/>
  <c r="CI220" i="165"/>
  <c r="BI70" i="165"/>
  <c r="BJ70" i="165" s="1"/>
  <c r="BQ70" i="165"/>
  <c r="BK70" i="165"/>
  <c r="BJ206" i="165"/>
  <c r="BK181" i="165"/>
  <c r="BI181" i="165"/>
  <c r="BQ181" i="165"/>
  <c r="BR123" i="165"/>
  <c r="BS123" i="165" s="1"/>
  <c r="BL123" i="165"/>
  <c r="BM123" i="165" s="1"/>
  <c r="BE205" i="165"/>
  <c r="BF205" i="165" s="1"/>
  <c r="BH205" i="165"/>
  <c r="BK160" i="165"/>
  <c r="BI160" i="165"/>
  <c r="BJ160" i="165" s="1"/>
  <c r="BQ160" i="165"/>
  <c r="BR68" i="165"/>
  <c r="BS68" i="165" s="1"/>
  <c r="BL68" i="165"/>
  <c r="BM68" i="165" s="1"/>
  <c r="BQ32" i="165"/>
  <c r="BK32" i="165"/>
  <c r="BI32" i="165"/>
  <c r="BJ32" i="165" s="1"/>
  <c r="BI176" i="165"/>
  <c r="BJ176" i="165" s="1"/>
  <c r="BK176" i="165"/>
  <c r="BQ176" i="165"/>
  <c r="BI22" i="165"/>
  <c r="BJ22" i="165" s="1"/>
  <c r="BK22" i="165"/>
  <c r="BQ22" i="165"/>
  <c r="BK17" i="165"/>
  <c r="BQ17" i="165"/>
  <c r="BI17" i="165"/>
  <c r="BJ17" i="165" s="1"/>
  <c r="AT134" i="165"/>
  <c r="AV98" i="165"/>
  <c r="AV134" i="165" s="1"/>
  <c r="BR172" i="165"/>
  <c r="BS172" i="165" s="1"/>
  <c r="BL172" i="165"/>
  <c r="BM172" i="165" s="1"/>
  <c r="BI33" i="165"/>
  <c r="BJ33" i="165" s="1"/>
  <c r="BQ33" i="165"/>
  <c r="BK33" i="165"/>
  <c r="BL37" i="165"/>
  <c r="BM37" i="165" s="1"/>
  <c r="BR37" i="165"/>
  <c r="BS37" i="165" s="1"/>
  <c r="CY220" i="165"/>
  <c r="CZ220" i="165" s="1"/>
  <c r="BJ157" i="165"/>
  <c r="BI76" i="165"/>
  <c r="BJ76" i="165" s="1"/>
  <c r="BQ76" i="165"/>
  <c r="BK76" i="165"/>
  <c r="AW79" i="165"/>
  <c r="AX67" i="165"/>
  <c r="AX79" i="165" s="1"/>
  <c r="AZ67" i="165"/>
  <c r="CX184" i="165"/>
  <c r="BR158" i="165"/>
  <c r="BS158" i="165" s="1"/>
  <c r="BL158" i="165"/>
  <c r="BM158" i="165" s="1"/>
  <c r="BI42" i="165"/>
  <c r="BJ42" i="165" s="1"/>
  <c r="BQ42" i="165"/>
  <c r="BK42" i="165"/>
  <c r="BI114" i="165"/>
  <c r="BJ114" i="165" s="1"/>
  <c r="BK114" i="165"/>
  <c r="BQ114" i="165"/>
  <c r="BJ68" i="165"/>
  <c r="BL207" i="165"/>
  <c r="BM207" i="165" s="1"/>
  <c r="BR207" i="165"/>
  <c r="BS207" i="165" s="1"/>
  <c r="BR179" i="165"/>
  <c r="BS179" i="165" s="1"/>
  <c r="BL179" i="165"/>
  <c r="BM179" i="165" s="1"/>
  <c r="BR174" i="165"/>
  <c r="BL174" i="165"/>
  <c r="BM174" i="165" s="1"/>
  <c r="BL107" i="165"/>
  <c r="BM107" i="165" s="1"/>
  <c r="BR107" i="165"/>
  <c r="BS107" i="165" s="1"/>
  <c r="BK122" i="165"/>
  <c r="BI122" i="165"/>
  <c r="BQ122" i="165"/>
  <c r="BI34" i="165"/>
  <c r="BQ34" i="165"/>
  <c r="BK34" i="165"/>
  <c r="BK217" i="165"/>
  <c r="BI217" i="165"/>
  <c r="BJ217" i="165" s="1"/>
  <c r="BQ217" i="165"/>
  <c r="BR18" i="165"/>
  <c r="BL18" i="165"/>
  <c r="BI46" i="165"/>
  <c r="BJ46" i="165" s="1"/>
  <c r="BQ46" i="165"/>
  <c r="BK46" i="165"/>
  <c r="BI124" i="165"/>
  <c r="BJ124" i="165" s="1"/>
  <c r="BQ124" i="165"/>
  <c r="BK124" i="165"/>
  <c r="BQ119" i="165"/>
  <c r="BI119" i="165"/>
  <c r="BJ119" i="165" s="1"/>
  <c r="BK119" i="165"/>
  <c r="BI155" i="165"/>
  <c r="BQ155" i="165"/>
  <c r="BK155" i="165"/>
  <c r="BK164" i="165"/>
  <c r="BI164" i="165"/>
  <c r="BJ164" i="165" s="1"/>
  <c r="BQ164" i="165"/>
  <c r="BR218" i="165"/>
  <c r="BS218" i="165" s="1"/>
  <c r="BL218" i="165"/>
  <c r="BM218" i="165" s="1"/>
  <c r="BK156" i="165"/>
  <c r="BI156" i="165"/>
  <c r="BJ156" i="165" s="1"/>
  <c r="BQ156" i="165"/>
  <c r="BR154" i="165"/>
  <c r="BS154" i="165" s="1"/>
  <c r="BL154" i="165"/>
  <c r="BM154" i="165" s="1"/>
  <c r="BQ47" i="165"/>
  <c r="BK47" i="165"/>
  <c r="BI47" i="165"/>
  <c r="BI214" i="165"/>
  <c r="BQ214" i="165"/>
  <c r="BK214" i="165"/>
  <c r="BQ129" i="165"/>
  <c r="BI129" i="165"/>
  <c r="BJ129" i="165" s="1"/>
  <c r="BK129" i="165"/>
  <c r="BI29" i="165"/>
  <c r="BJ29" i="165" s="1"/>
  <c r="BK29" i="165"/>
  <c r="BQ29" i="165"/>
  <c r="BR219" i="165"/>
  <c r="BS219" i="165" s="1"/>
  <c r="BL219" i="165"/>
  <c r="BM219" i="165" s="1"/>
  <c r="BJ126" i="165"/>
  <c r="BR21" i="165"/>
  <c r="BS21" i="165" s="1"/>
  <c r="BL21" i="165"/>
  <c r="BM21" i="165" s="1"/>
  <c r="BR182" i="165"/>
  <c r="BS182" i="165" s="1"/>
  <c r="BL182" i="165"/>
  <c r="BM182" i="165" s="1"/>
  <c r="BE15" i="165"/>
  <c r="BF15" i="165" s="1"/>
  <c r="BH15" i="165"/>
  <c r="BI209" i="165"/>
  <c r="BK209" i="165"/>
  <c r="BQ209" i="165"/>
  <c r="BL14" i="165"/>
  <c r="BM14" i="165" s="1"/>
  <c r="BR14" i="165"/>
  <c r="BS14" i="165" s="1"/>
  <c r="BI24" i="165"/>
  <c r="BQ24" i="165"/>
  <c r="BK24" i="165"/>
  <c r="BK102" i="165"/>
  <c r="BI102" i="165"/>
  <c r="BJ102" i="165" s="1"/>
  <c r="BQ102" i="165"/>
  <c r="BR69" i="165"/>
  <c r="BL69" i="165"/>
  <c r="AZ184" i="165"/>
  <c r="BA153" i="165"/>
  <c r="BA184" i="165" s="1"/>
  <c r="BD153" i="165"/>
  <c r="BI180" i="165"/>
  <c r="BQ180" i="165"/>
  <c r="BK180" i="165"/>
  <c r="BQ133" i="165"/>
  <c r="BK133" i="165"/>
  <c r="BI133" i="165"/>
  <c r="BJ133" i="165" s="1"/>
  <c r="BQ16" i="165"/>
  <c r="BK16" i="165"/>
  <c r="BI16" i="165"/>
  <c r="BJ37" i="165"/>
  <c r="BK178" i="165"/>
  <c r="BI178" i="165"/>
  <c r="BJ178" i="165" s="1"/>
  <c r="BQ178" i="165"/>
  <c r="BQ113" i="165"/>
  <c r="BI113" i="165"/>
  <c r="BJ113" i="165" s="1"/>
  <c r="BK113" i="165"/>
  <c r="BI212" i="165"/>
  <c r="BK212" i="165"/>
  <c r="BQ212" i="165"/>
  <c r="BQ31" i="165"/>
  <c r="BK31" i="165"/>
  <c r="BI31" i="165"/>
  <c r="BJ31" i="165" s="1"/>
  <c r="BJ123" i="165"/>
  <c r="BR170" i="165"/>
  <c r="BS170" i="165" s="1"/>
  <c r="BL170" i="165"/>
  <c r="BM170" i="165" s="1"/>
  <c r="BM69" i="165" l="1"/>
  <c r="BM18" i="165"/>
  <c r="BL114" i="166"/>
  <c r="BJ114" i="166"/>
  <c r="BR114" i="166"/>
  <c r="BS114" i="166" s="1"/>
  <c r="BM114" i="166"/>
  <c r="AW243" i="166"/>
  <c r="AW249" i="166" s="1"/>
  <c r="ED12" i="140"/>
  <c r="ED12" i="139"/>
  <c r="ED12" i="77"/>
  <c r="AD12" i="140"/>
  <c r="AD12" i="139"/>
  <c r="AD12" i="77"/>
  <c r="W12" i="140"/>
  <c r="W12" i="139"/>
  <c r="W12" i="77"/>
  <c r="X12" i="77"/>
  <c r="X12" i="140"/>
  <c r="X12" i="139"/>
  <c r="AA12" i="140"/>
  <c r="AA12" i="139"/>
  <c r="AA12" i="77"/>
  <c r="BO12" i="140"/>
  <c r="BO12" i="139"/>
  <c r="BO12" i="77"/>
  <c r="AW239" i="167"/>
  <c r="AW53" i="167"/>
  <c r="AW54" i="167"/>
  <c r="AW65" i="167" s="1"/>
  <c r="CD134" i="167"/>
  <c r="CH134" i="167" s="1"/>
  <c r="CF124" i="167"/>
  <c r="CF117" i="167"/>
  <c r="CF116" i="167"/>
  <c r="CG134" i="167"/>
  <c r="CI134" i="167" s="1"/>
  <c r="CF129" i="167"/>
  <c r="CF119" i="167"/>
  <c r="CF113" i="167"/>
  <c r="CF118" i="167"/>
  <c r="AV244" i="167"/>
  <c r="BE170" i="167"/>
  <c r="BF170" i="167" s="1"/>
  <c r="BH170" i="167"/>
  <c r="AY67" i="167"/>
  <c r="AY79" i="167" s="1"/>
  <c r="BA184" i="167"/>
  <c r="AY98" i="167"/>
  <c r="AY134" i="167" s="1"/>
  <c r="BB172" i="167"/>
  <c r="BA172" i="167"/>
  <c r="BD172" i="167"/>
  <c r="BD184" i="167" s="1"/>
  <c r="CD48" i="167"/>
  <c r="CE48" i="167" s="1"/>
  <c r="CF33" i="167"/>
  <c r="CF29" i="167"/>
  <c r="CF26" i="167"/>
  <c r="CG48" i="167"/>
  <c r="CF43" i="167"/>
  <c r="CF32" i="167"/>
  <c r="CF28" i="167"/>
  <c r="CF39" i="167"/>
  <c r="CF31" i="167"/>
  <c r="CF27" i="167"/>
  <c r="BI26" i="167"/>
  <c r="BJ26" i="167" s="1"/>
  <c r="BQ26" i="167"/>
  <c r="BK26" i="167"/>
  <c r="BE73" i="167"/>
  <c r="BF73" i="167" s="1"/>
  <c r="BH73" i="167"/>
  <c r="BE113" i="167"/>
  <c r="BF113" i="167" s="1"/>
  <c r="BH113" i="167"/>
  <c r="BE211" i="167"/>
  <c r="BF211" i="167" s="1"/>
  <c r="BH211" i="167"/>
  <c r="BE168" i="167"/>
  <c r="BF168" i="167" s="1"/>
  <c r="BH168" i="167"/>
  <c r="AW242" i="167"/>
  <c r="AW248" i="167" s="1"/>
  <c r="AW57" i="167"/>
  <c r="AW63" i="167" s="1"/>
  <c r="CZ134" i="167"/>
  <c r="CY134" i="167"/>
  <c r="AZ79" i="167"/>
  <c r="BD67" i="167"/>
  <c r="BA67" i="167"/>
  <c r="BA79" i="167" s="1"/>
  <c r="BB184" i="167"/>
  <c r="AW140" i="167"/>
  <c r="AW151" i="167" s="1"/>
  <c r="AW139" i="167"/>
  <c r="BQ74" i="167"/>
  <c r="BK74" i="167"/>
  <c r="BI74" i="167"/>
  <c r="BJ74" i="167" s="1"/>
  <c r="BL100" i="167"/>
  <c r="BM100" i="167" s="1"/>
  <c r="BR100" i="167"/>
  <c r="BB203" i="167"/>
  <c r="BB220" i="167" s="1"/>
  <c r="CX48" i="167"/>
  <c r="BL42" i="167"/>
  <c r="BM42" i="167" s="1"/>
  <c r="BR42" i="167"/>
  <c r="BS42" i="167" s="1"/>
  <c r="AY12" i="167"/>
  <c r="AY48" i="167" s="1"/>
  <c r="CE220" i="167"/>
  <c r="CD220" i="167"/>
  <c r="CH220" i="167" s="1"/>
  <c r="CG220" i="167"/>
  <c r="CF214" i="167"/>
  <c r="CF213" i="167"/>
  <c r="CF210" i="167"/>
  <c r="CF212" i="167"/>
  <c r="CF73" i="167"/>
  <c r="CD79" i="167"/>
  <c r="CH79" i="167" s="1"/>
  <c r="CF75" i="167"/>
  <c r="CG79" i="167"/>
  <c r="CF74" i="167"/>
  <c r="BH212" i="167"/>
  <c r="BF212" i="167"/>
  <c r="BE212" i="167"/>
  <c r="BD34" i="167"/>
  <c r="BA34" i="167"/>
  <c r="BB34" i="167" s="1"/>
  <c r="BE153" i="167"/>
  <c r="BF153" i="167" s="1"/>
  <c r="BH153" i="167"/>
  <c r="BK31" i="167"/>
  <c r="BI31" i="167"/>
  <c r="BJ31" i="167" s="1"/>
  <c r="BQ31" i="167"/>
  <c r="AV84" i="167"/>
  <c r="AW191" i="167"/>
  <c r="AW240" i="167"/>
  <c r="AW246" i="167" s="1"/>
  <c r="AW251" i="167" s="1"/>
  <c r="BD220" i="167"/>
  <c r="BE203" i="167"/>
  <c r="BH203" i="167"/>
  <c r="BR15" i="167"/>
  <c r="BS15" i="167" s="1"/>
  <c r="BL15" i="167"/>
  <c r="BM15" i="167" s="1"/>
  <c r="AZ48" i="167"/>
  <c r="BD12" i="167"/>
  <c r="BA12" i="167"/>
  <c r="BA48" i="167" s="1"/>
  <c r="CY220" i="167"/>
  <c r="CZ220" i="167" s="1"/>
  <c r="CY79" i="167"/>
  <c r="CZ79" i="167" s="1"/>
  <c r="BH99" i="167"/>
  <c r="BF99" i="167"/>
  <c r="BE99" i="167"/>
  <c r="AW85" i="167"/>
  <c r="AW96" i="167" s="1"/>
  <c r="AW84" i="167"/>
  <c r="AW243" i="167"/>
  <c r="AW249" i="167" s="1"/>
  <c r="AW58" i="167"/>
  <c r="AW64" i="167" s="1"/>
  <c r="AZ134" i="167"/>
  <c r="BA98" i="167"/>
  <c r="BA134" i="167" s="1"/>
  <c r="BD98" i="167"/>
  <c r="CA184" i="167"/>
  <c r="CC184" i="167" s="1"/>
  <c r="CC239" i="167" s="1"/>
  <c r="BX239" i="167"/>
  <c r="BE117" i="167"/>
  <c r="BF117" i="167" s="1"/>
  <c r="BH117" i="167"/>
  <c r="BS100" i="167"/>
  <c r="BE210" i="167"/>
  <c r="BF210" i="167" s="1"/>
  <c r="BH210" i="167"/>
  <c r="CI134" i="166"/>
  <c r="CE134" i="166"/>
  <c r="AV244" i="166"/>
  <c r="BE79" i="166"/>
  <c r="CF79" i="166"/>
  <c r="CE79" i="166"/>
  <c r="BY184" i="166"/>
  <c r="BX239" i="166"/>
  <c r="BD48" i="166"/>
  <c r="BH12" i="166"/>
  <c r="BE12" i="166"/>
  <c r="BF12" i="166" s="1"/>
  <c r="BH211" i="166"/>
  <c r="BE211" i="166"/>
  <c r="BF211" i="166" s="1"/>
  <c r="BQ98" i="166"/>
  <c r="BK98" i="166"/>
  <c r="BI98" i="166"/>
  <c r="BJ98" i="166" s="1"/>
  <c r="BA99" i="166"/>
  <c r="BA134" i="166" s="1"/>
  <c r="BD99" i="166"/>
  <c r="AZ134" i="166"/>
  <c r="AV189" i="166"/>
  <c r="BK113" i="166"/>
  <c r="BI113" i="166"/>
  <c r="BQ113" i="166"/>
  <c r="BR117" i="166"/>
  <c r="BS117" i="166" s="1"/>
  <c r="BL117" i="166"/>
  <c r="BM117" i="166" s="1"/>
  <c r="BQ67" i="166"/>
  <c r="BK67" i="166"/>
  <c r="BI67" i="166"/>
  <c r="BJ67" i="166" s="1"/>
  <c r="BH79" i="166"/>
  <c r="BB48" i="166"/>
  <c r="AW187" i="166"/>
  <c r="AW184" i="166"/>
  <c r="AZ153" i="166"/>
  <c r="AY153" i="166"/>
  <c r="AY184" i="166" s="1"/>
  <c r="AY239" i="166" s="1"/>
  <c r="AX153" i="166"/>
  <c r="AX184" i="166" s="1"/>
  <c r="AX239" i="166" s="1"/>
  <c r="BD172" i="166"/>
  <c r="BA172" i="166"/>
  <c r="BB172" i="166" s="1"/>
  <c r="BI31" i="166"/>
  <c r="BJ31" i="166" s="1"/>
  <c r="BK31" i="166"/>
  <c r="BQ31" i="166"/>
  <c r="CA220" i="166"/>
  <c r="CC220" i="166" s="1"/>
  <c r="CX220" i="166" s="1"/>
  <c r="BE34" i="166"/>
  <c r="BH34" i="166"/>
  <c r="BF34" i="166"/>
  <c r="AW241" i="166"/>
  <c r="AW247" i="166" s="1"/>
  <c r="BE168" i="166"/>
  <c r="BF168" i="166" s="1"/>
  <c r="BH168" i="166"/>
  <c r="AW140" i="166"/>
  <c r="AW151" i="166" s="1"/>
  <c r="AW139" i="166"/>
  <c r="BR212" i="166"/>
  <c r="BS212" i="166" s="1"/>
  <c r="BL212" i="166"/>
  <c r="BM212" i="166" s="1"/>
  <c r="BR74" i="166"/>
  <c r="BS74" i="166" s="1"/>
  <c r="BL74" i="166"/>
  <c r="BM74" i="166" s="1"/>
  <c r="BI73" i="166"/>
  <c r="BJ73" i="166" s="1"/>
  <c r="BQ73" i="166"/>
  <c r="BK73" i="166"/>
  <c r="BR68" i="166"/>
  <c r="BS68" i="166" s="1"/>
  <c r="BL68" i="166"/>
  <c r="BA48" i="166"/>
  <c r="CF134" i="166"/>
  <c r="BH26" i="166"/>
  <c r="BE26" i="166"/>
  <c r="BF26" i="166" s="1"/>
  <c r="AW191" i="166"/>
  <c r="AW240" i="166"/>
  <c r="AW246" i="166" s="1"/>
  <c r="AW251" i="166" s="1"/>
  <c r="AW226" i="166"/>
  <c r="AW225" i="166"/>
  <c r="AW237" i="166"/>
  <c r="BD210" i="166"/>
  <c r="BA210" i="166"/>
  <c r="BA220" i="166" s="1"/>
  <c r="BB210" i="166"/>
  <c r="BR15" i="166"/>
  <c r="BS15" i="166" s="1"/>
  <c r="BL15" i="166"/>
  <c r="BM15" i="166" s="1"/>
  <c r="BJ74" i="166"/>
  <c r="BB203" i="166"/>
  <c r="BJ68" i="166"/>
  <c r="BE203" i="166"/>
  <c r="BH203" i="166"/>
  <c r="BF203" i="166"/>
  <c r="BR103" i="166"/>
  <c r="BS103" i="166" s="1"/>
  <c r="BL103" i="166"/>
  <c r="BM103" i="166" s="1"/>
  <c r="BQ170" i="166"/>
  <c r="BK170" i="166"/>
  <c r="BI170" i="166"/>
  <c r="BJ170" i="166" s="1"/>
  <c r="BY239" i="166"/>
  <c r="BY262" i="166" s="1"/>
  <c r="CA48" i="166"/>
  <c r="CC48" i="166" s="1"/>
  <c r="BF79" i="166"/>
  <c r="BM68" i="166"/>
  <c r="BK115" i="165"/>
  <c r="BS18" i="165"/>
  <c r="BS73" i="165"/>
  <c r="BQ115" i="165"/>
  <c r="BS173" i="165"/>
  <c r="BM73" i="165"/>
  <c r="BS174" i="165"/>
  <c r="BS44" i="165"/>
  <c r="BM44" i="165"/>
  <c r="BS69" i="165"/>
  <c r="CF184" i="165"/>
  <c r="AW98" i="165"/>
  <c r="AX98" i="165" s="1"/>
  <c r="AX134" i="165" s="1"/>
  <c r="CI184" i="165"/>
  <c r="CE184" i="165"/>
  <c r="AW12" i="165"/>
  <c r="AW48" i="165" s="1"/>
  <c r="BR212" i="165"/>
  <c r="BS212" i="165" s="1"/>
  <c r="BL212" i="165"/>
  <c r="BM212" i="165" s="1"/>
  <c r="BL16" i="165"/>
  <c r="BM16" i="165" s="1"/>
  <c r="BR16" i="165"/>
  <c r="BS16" i="165" s="1"/>
  <c r="BR102" i="165"/>
  <c r="BS102" i="165" s="1"/>
  <c r="BL102" i="165"/>
  <c r="BM102" i="165" s="1"/>
  <c r="BR209" i="165"/>
  <c r="BS209" i="165" s="1"/>
  <c r="BL209" i="165"/>
  <c r="BM209" i="165" s="1"/>
  <c r="BI15" i="165"/>
  <c r="BJ15" i="165" s="1"/>
  <c r="BQ15" i="165"/>
  <c r="BK15" i="165"/>
  <c r="BL47" i="165"/>
  <c r="BM47" i="165" s="1"/>
  <c r="BR47" i="165"/>
  <c r="BS47" i="165" s="1"/>
  <c r="BR155" i="165"/>
  <c r="BS155" i="165" s="1"/>
  <c r="BL155" i="165"/>
  <c r="BM155" i="165" s="1"/>
  <c r="BR34" i="165"/>
  <c r="BS34" i="165" s="1"/>
  <c r="BL34" i="165"/>
  <c r="BM34" i="165" s="1"/>
  <c r="BR130" i="165"/>
  <c r="BS130" i="165" s="1"/>
  <c r="BL130" i="165"/>
  <c r="BM130" i="165" s="1"/>
  <c r="BR45" i="165"/>
  <c r="BS45" i="165" s="1"/>
  <c r="BL45" i="165"/>
  <c r="BM45" i="165" s="1"/>
  <c r="CY134" i="165"/>
  <c r="CZ134" i="165" s="1"/>
  <c r="BR26" i="165"/>
  <c r="BS26" i="165" s="1"/>
  <c r="BL26" i="165"/>
  <c r="BM26" i="165" s="1"/>
  <c r="BR171" i="165"/>
  <c r="BS171" i="165" s="1"/>
  <c r="BL171" i="165"/>
  <c r="BM171" i="165" s="1"/>
  <c r="BL105" i="165"/>
  <c r="BM105" i="165" s="1"/>
  <c r="BR105" i="165"/>
  <c r="BS105" i="165" s="1"/>
  <c r="BR131" i="165"/>
  <c r="BS131" i="165" s="1"/>
  <c r="BL131" i="165"/>
  <c r="BM131" i="165" s="1"/>
  <c r="BR163" i="165"/>
  <c r="BS163" i="165" s="1"/>
  <c r="BL163" i="165"/>
  <c r="BM163" i="165" s="1"/>
  <c r="BL177" i="165"/>
  <c r="BM177" i="165" s="1"/>
  <c r="BR177" i="165"/>
  <c r="BS177" i="165" s="1"/>
  <c r="BR106" i="165"/>
  <c r="BS106" i="165" s="1"/>
  <c r="BL106" i="165"/>
  <c r="BM106" i="165" s="1"/>
  <c r="CF48" i="165"/>
  <c r="BL116" i="165"/>
  <c r="BM116" i="165" s="1"/>
  <c r="BR116" i="165"/>
  <c r="BR216" i="165"/>
  <c r="BS216" i="165" s="1"/>
  <c r="BL216" i="165"/>
  <c r="BM216" i="165" s="1"/>
  <c r="BL25" i="165"/>
  <c r="BM25" i="165" s="1"/>
  <c r="BR25" i="165"/>
  <c r="BS25" i="165" s="1"/>
  <c r="BR115" i="165"/>
  <c r="BL115" i="165"/>
  <c r="BM115" i="165" s="1"/>
  <c r="BL167" i="165"/>
  <c r="BM167" i="165" s="1"/>
  <c r="BR167" i="165"/>
  <c r="BS167" i="165" s="1"/>
  <c r="BR128" i="165"/>
  <c r="BL128" i="165"/>
  <c r="BM128" i="165" s="1"/>
  <c r="BR38" i="165"/>
  <c r="BS38" i="165" s="1"/>
  <c r="BL38" i="165"/>
  <c r="BM38" i="165" s="1"/>
  <c r="BR78" i="165"/>
  <c r="BS78" i="165" s="1"/>
  <c r="BL78" i="165"/>
  <c r="BM78" i="165" s="1"/>
  <c r="BR30" i="165"/>
  <c r="BS30" i="165" s="1"/>
  <c r="BL30" i="165"/>
  <c r="BM30" i="165" s="1"/>
  <c r="AT239" i="165"/>
  <c r="BL31" i="165"/>
  <c r="BM31" i="165" s="1"/>
  <c r="BR31" i="165"/>
  <c r="BS31" i="165" s="1"/>
  <c r="BJ212" i="165"/>
  <c r="BD184" i="165"/>
  <c r="BE153" i="165"/>
  <c r="BE184" i="165" s="1"/>
  <c r="BH153" i="165"/>
  <c r="BJ209" i="165"/>
  <c r="BL129" i="165"/>
  <c r="BM129" i="165" s="1"/>
  <c r="BR129" i="165"/>
  <c r="BS129" i="165" s="1"/>
  <c r="BJ47" i="165"/>
  <c r="BR156" i="165"/>
  <c r="BS156" i="165" s="1"/>
  <c r="BL156" i="165"/>
  <c r="BM156" i="165" s="1"/>
  <c r="BJ155" i="165"/>
  <c r="BR124" i="165"/>
  <c r="BS124" i="165" s="1"/>
  <c r="BL124" i="165"/>
  <c r="BM124" i="165" s="1"/>
  <c r="BR46" i="165"/>
  <c r="BS46" i="165" s="1"/>
  <c r="BL46" i="165"/>
  <c r="BM46" i="165" s="1"/>
  <c r="BR114" i="165"/>
  <c r="BS114" i="165" s="1"/>
  <c r="BL114" i="165"/>
  <c r="BM114" i="165" s="1"/>
  <c r="BR42" i="165"/>
  <c r="BS42" i="165" s="1"/>
  <c r="BL42" i="165"/>
  <c r="BM42" i="165" s="1"/>
  <c r="AZ79" i="165"/>
  <c r="BD67" i="165"/>
  <c r="BA67" i="165"/>
  <c r="BA79" i="165" s="1"/>
  <c r="BR22" i="165"/>
  <c r="BS22" i="165" s="1"/>
  <c r="BL22" i="165"/>
  <c r="BM22" i="165" s="1"/>
  <c r="BR70" i="165"/>
  <c r="BS70" i="165" s="1"/>
  <c r="BL70" i="165"/>
  <c r="BM70" i="165" s="1"/>
  <c r="BJ45" i="165"/>
  <c r="BR104" i="165"/>
  <c r="BS104" i="165" s="1"/>
  <c r="BL104" i="165"/>
  <c r="BM104" i="165" s="1"/>
  <c r="BL13" i="165"/>
  <c r="BM13" i="165" s="1"/>
  <c r="BR13" i="165"/>
  <c r="BS13" i="165" s="1"/>
  <c r="BJ171" i="165"/>
  <c r="BJ105" i="165"/>
  <c r="BJ131" i="165"/>
  <c r="BR112" i="165"/>
  <c r="BS112" i="165" s="1"/>
  <c r="BL112" i="165"/>
  <c r="BM112" i="165" s="1"/>
  <c r="BL71" i="165"/>
  <c r="BM71" i="165" s="1"/>
  <c r="BR71" i="165"/>
  <c r="BS71" i="165" s="1"/>
  <c r="BL43" i="165"/>
  <c r="BM43" i="165" s="1"/>
  <c r="BR43" i="165"/>
  <c r="BS43" i="165" s="1"/>
  <c r="BR19" i="165"/>
  <c r="BS19" i="165" s="1"/>
  <c r="BL19" i="165"/>
  <c r="BM19" i="165" s="1"/>
  <c r="BR108" i="165"/>
  <c r="BS108" i="165" s="1"/>
  <c r="BL108" i="165"/>
  <c r="BM108" i="165" s="1"/>
  <c r="BJ163" i="165"/>
  <c r="BJ177" i="165"/>
  <c r="BJ106" i="165"/>
  <c r="BR168" i="165"/>
  <c r="BS168" i="165" s="1"/>
  <c r="BL168" i="165"/>
  <c r="BM168" i="165" s="1"/>
  <c r="CF134" i="165"/>
  <c r="CI134" i="165"/>
  <c r="CE134" i="165"/>
  <c r="BJ167" i="165"/>
  <c r="BS128" i="165"/>
  <c r="BJ38" i="165"/>
  <c r="BJ30" i="165"/>
  <c r="BR180" i="165"/>
  <c r="BS180" i="165" s="1"/>
  <c r="BL180" i="165"/>
  <c r="BM180" i="165" s="1"/>
  <c r="BR24" i="165"/>
  <c r="BS24" i="165" s="1"/>
  <c r="BL24" i="165"/>
  <c r="BM24" i="165" s="1"/>
  <c r="BR29" i="165"/>
  <c r="BS29" i="165" s="1"/>
  <c r="BL29" i="165"/>
  <c r="BM29" i="165" s="1"/>
  <c r="BR214" i="165"/>
  <c r="BS214" i="165" s="1"/>
  <c r="BL214" i="165"/>
  <c r="BM214" i="165" s="1"/>
  <c r="BR164" i="165"/>
  <c r="BS164" i="165" s="1"/>
  <c r="BL164" i="165"/>
  <c r="BM164" i="165" s="1"/>
  <c r="BL119" i="165"/>
  <c r="BM119" i="165" s="1"/>
  <c r="BR119" i="165"/>
  <c r="BS119" i="165" s="1"/>
  <c r="BR217" i="165"/>
  <c r="BS217" i="165" s="1"/>
  <c r="BL217" i="165"/>
  <c r="BM217" i="165" s="1"/>
  <c r="BR122" i="165"/>
  <c r="BS122" i="165" s="1"/>
  <c r="BL122" i="165"/>
  <c r="BM122" i="165" s="1"/>
  <c r="CY184" i="165"/>
  <c r="CZ184" i="165" s="1"/>
  <c r="BR33" i="165"/>
  <c r="BS33" i="165" s="1"/>
  <c r="BL33" i="165"/>
  <c r="BM33" i="165" s="1"/>
  <c r="BR176" i="165"/>
  <c r="BS176" i="165" s="1"/>
  <c r="BL176" i="165"/>
  <c r="BM176" i="165" s="1"/>
  <c r="BR181" i="165"/>
  <c r="BS181" i="165" s="1"/>
  <c r="BL181" i="165"/>
  <c r="BM181" i="165" s="1"/>
  <c r="BL159" i="165"/>
  <c r="BM159" i="165" s="1"/>
  <c r="BR159" i="165"/>
  <c r="BS159" i="165" s="1"/>
  <c r="BR211" i="165"/>
  <c r="BS211" i="165" s="1"/>
  <c r="BL211" i="165"/>
  <c r="BM211" i="165" s="1"/>
  <c r="BL121" i="165"/>
  <c r="BM121" i="165" s="1"/>
  <c r="BR121" i="165"/>
  <c r="BS121" i="165" s="1"/>
  <c r="BL111" i="165"/>
  <c r="BM111" i="165" s="1"/>
  <c r="BR111" i="165"/>
  <c r="BS111" i="165" s="1"/>
  <c r="BR23" i="165"/>
  <c r="BS23" i="165" s="1"/>
  <c r="BL23" i="165"/>
  <c r="BM23" i="165" s="1"/>
  <c r="BR27" i="165"/>
  <c r="BS27" i="165" s="1"/>
  <c r="BL27" i="165"/>
  <c r="BM27" i="165" s="1"/>
  <c r="BR162" i="165"/>
  <c r="BS162" i="165" s="1"/>
  <c r="BL162" i="165"/>
  <c r="BM162" i="165" s="1"/>
  <c r="CD239" i="165"/>
  <c r="CH48" i="165"/>
  <c r="CH239" i="165" s="1"/>
  <c r="CG239" i="165"/>
  <c r="BS116" i="165"/>
  <c r="BR101" i="165"/>
  <c r="BS101" i="165" s="1"/>
  <c r="BL101" i="165"/>
  <c r="BM101" i="165" s="1"/>
  <c r="BR204" i="165"/>
  <c r="BS204" i="165" s="1"/>
  <c r="BL204" i="165"/>
  <c r="BM204" i="165" s="1"/>
  <c r="BL120" i="165"/>
  <c r="BM120" i="165" s="1"/>
  <c r="BR120" i="165"/>
  <c r="BS120" i="165" s="1"/>
  <c r="AX12" i="165"/>
  <c r="AX48" i="165" s="1"/>
  <c r="BL113" i="165"/>
  <c r="BM113" i="165" s="1"/>
  <c r="BR113" i="165"/>
  <c r="BS113" i="165" s="1"/>
  <c r="BR178" i="165"/>
  <c r="BS178" i="165" s="1"/>
  <c r="BL178" i="165"/>
  <c r="BM178" i="165" s="1"/>
  <c r="BJ16" i="165"/>
  <c r="BL133" i="165"/>
  <c r="BM133" i="165" s="1"/>
  <c r="BR133" i="165"/>
  <c r="BS133" i="165" s="1"/>
  <c r="BJ180" i="165"/>
  <c r="BB153" i="165"/>
  <c r="BB184" i="165" s="1"/>
  <c r="BJ24" i="165"/>
  <c r="BJ214" i="165"/>
  <c r="BJ34" i="165"/>
  <c r="BJ122" i="165"/>
  <c r="AY67" i="165"/>
  <c r="AY79" i="165" s="1"/>
  <c r="BR76" i="165"/>
  <c r="BS76" i="165" s="1"/>
  <c r="BL76" i="165"/>
  <c r="BM76" i="165" s="1"/>
  <c r="BL17" i="165"/>
  <c r="BM17" i="165" s="1"/>
  <c r="BR17" i="165"/>
  <c r="BS17" i="165" s="1"/>
  <c r="BL32" i="165"/>
  <c r="BM32" i="165" s="1"/>
  <c r="BR32" i="165"/>
  <c r="BS32" i="165" s="1"/>
  <c r="BR160" i="165"/>
  <c r="BS160" i="165" s="1"/>
  <c r="BL160" i="165"/>
  <c r="BM160" i="165" s="1"/>
  <c r="BI205" i="165"/>
  <c r="BQ205" i="165"/>
  <c r="BK205" i="165"/>
  <c r="BJ181" i="165"/>
  <c r="BR77" i="165"/>
  <c r="BS77" i="165" s="1"/>
  <c r="BL77" i="165"/>
  <c r="BM77" i="165" s="1"/>
  <c r="BJ159" i="165"/>
  <c r="CX259" i="165"/>
  <c r="CX239" i="165"/>
  <c r="CY48" i="165"/>
  <c r="CZ48" i="165" s="1"/>
  <c r="BR169" i="165"/>
  <c r="BS169" i="165" s="1"/>
  <c r="BL169" i="165"/>
  <c r="BM169" i="165" s="1"/>
  <c r="BR166" i="165"/>
  <c r="BS166" i="165" s="1"/>
  <c r="BL166" i="165"/>
  <c r="BM166" i="165" s="1"/>
  <c r="BR125" i="165"/>
  <c r="BS125" i="165" s="1"/>
  <c r="BL125" i="165"/>
  <c r="BM125" i="165" s="1"/>
  <c r="BL109" i="165"/>
  <c r="BM109" i="165" s="1"/>
  <c r="BR109" i="165"/>
  <c r="BS109" i="165" s="1"/>
  <c r="BL175" i="165"/>
  <c r="BM175" i="165" s="1"/>
  <c r="BR175" i="165"/>
  <c r="BS175" i="165" s="1"/>
  <c r="AW220" i="165"/>
  <c r="AX203" i="165"/>
  <c r="AX220" i="165" s="1"/>
  <c r="AZ203" i="165"/>
  <c r="BL99" i="165"/>
  <c r="BM99" i="165" s="1"/>
  <c r="BR99" i="165"/>
  <c r="BS99" i="165" s="1"/>
  <c r="BL127" i="165"/>
  <c r="BM127" i="165" s="1"/>
  <c r="BR127" i="165"/>
  <c r="BS127" i="165" s="1"/>
  <c r="BL117" i="165"/>
  <c r="BM117" i="165" s="1"/>
  <c r="BR117" i="165"/>
  <c r="BS117" i="165" s="1"/>
  <c r="BL35" i="165"/>
  <c r="BM35" i="165" s="1"/>
  <c r="BR35" i="165"/>
  <c r="BS35" i="165" s="1"/>
  <c r="BJ162" i="165"/>
  <c r="BL118" i="165"/>
  <c r="BM118" i="165" s="1"/>
  <c r="BR118" i="165"/>
  <c r="BS118" i="165" s="1"/>
  <c r="CE48" i="165"/>
  <c r="BL20" i="165"/>
  <c r="BM20" i="165" s="1"/>
  <c r="BR20" i="165"/>
  <c r="BS20" i="165" s="1"/>
  <c r="BR165" i="165"/>
  <c r="BS165" i="165" s="1"/>
  <c r="BL165" i="165"/>
  <c r="BM165" i="165" s="1"/>
  <c r="BR28" i="165"/>
  <c r="BS28" i="165" s="1"/>
  <c r="BL28" i="165"/>
  <c r="BM28" i="165" s="1"/>
  <c r="BL40" i="165"/>
  <c r="BM40" i="165" s="1"/>
  <c r="BR40" i="165"/>
  <c r="BS40" i="165" s="1"/>
  <c r="BJ204" i="165"/>
  <c r="BL39" i="165"/>
  <c r="BM39" i="165" s="1"/>
  <c r="BR39" i="165"/>
  <c r="BS39" i="165" s="1"/>
  <c r="AV239" i="165"/>
  <c r="EH12" i="139" l="1"/>
  <c r="EH12" i="77"/>
  <c r="EH12" i="140"/>
  <c r="BB99" i="166"/>
  <c r="BB134" i="166" s="1"/>
  <c r="GX12" i="77"/>
  <c r="GX12" i="140"/>
  <c r="GX12" i="139"/>
  <c r="BL12" i="77"/>
  <c r="BL12" i="140"/>
  <c r="BL12" i="139"/>
  <c r="CI220" i="167"/>
  <c r="BB98" i="167"/>
  <c r="BB134" i="167" s="1"/>
  <c r="AY239" i="167"/>
  <c r="CE79" i="167"/>
  <c r="AW255" i="167"/>
  <c r="BB67" i="167"/>
  <c r="BB79" i="167" s="1"/>
  <c r="AW253" i="167"/>
  <c r="BI117" i="167"/>
  <c r="BJ117" i="167" s="1"/>
  <c r="BQ117" i="167"/>
  <c r="BK117" i="167"/>
  <c r="CX184" i="167"/>
  <c r="BQ99" i="167"/>
  <c r="BK99" i="167"/>
  <c r="BI99" i="167"/>
  <c r="BJ99" i="167" s="1"/>
  <c r="AZ239" i="167"/>
  <c r="BH220" i="167"/>
  <c r="BI203" i="167"/>
  <c r="BJ203" i="167" s="1"/>
  <c r="BQ203" i="167"/>
  <c r="BK203" i="167"/>
  <c r="CI79" i="167"/>
  <c r="CF79" i="167"/>
  <c r="CX239" i="167"/>
  <c r="CX259" i="167"/>
  <c r="CY48" i="167"/>
  <c r="BL74" i="167"/>
  <c r="BR74" i="167"/>
  <c r="BA239" i="167"/>
  <c r="BE220" i="167"/>
  <c r="BD79" i="167"/>
  <c r="BE67" i="167"/>
  <c r="BE79" i="167" s="1"/>
  <c r="BH67" i="167"/>
  <c r="BI168" i="167"/>
  <c r="BJ168" i="167" s="1"/>
  <c r="BQ168" i="167"/>
  <c r="BK168" i="167"/>
  <c r="CH48" i="167"/>
  <c r="CI48" i="167" s="1"/>
  <c r="BK170" i="167"/>
  <c r="BI170" i="167"/>
  <c r="BJ170" i="167" s="1"/>
  <c r="BQ170" i="167"/>
  <c r="BD134" i="167"/>
  <c r="BH98" i="167"/>
  <c r="BE98" i="167"/>
  <c r="BE134" i="167" s="1"/>
  <c r="BB12" i="167"/>
  <c r="BB48" i="167" s="1"/>
  <c r="BB239" i="167" s="1"/>
  <c r="BF203" i="167"/>
  <c r="BF220" i="167" s="1"/>
  <c r="BR31" i="167"/>
  <c r="BS31" i="167" s="1"/>
  <c r="BL31" i="167"/>
  <c r="BM31" i="167" s="1"/>
  <c r="BI153" i="167"/>
  <c r="BQ153" i="167"/>
  <c r="BK153" i="167"/>
  <c r="BQ212" i="167"/>
  <c r="BK212" i="167"/>
  <c r="BI212" i="167"/>
  <c r="BJ212" i="167" s="1"/>
  <c r="CF220" i="167"/>
  <c r="BM74" i="167"/>
  <c r="BK113" i="167"/>
  <c r="BI113" i="167"/>
  <c r="BQ113" i="167"/>
  <c r="BI73" i="167"/>
  <c r="BJ73" i="167" s="1"/>
  <c r="BQ73" i="167"/>
  <c r="BK73" i="167"/>
  <c r="CF48" i="167"/>
  <c r="CF134" i="167"/>
  <c r="CE134" i="167"/>
  <c r="AW245" i="167"/>
  <c r="AW256" i="167" s="1"/>
  <c r="AW244" i="167"/>
  <c r="BK210" i="167"/>
  <c r="BI210" i="167"/>
  <c r="BJ210" i="167" s="1"/>
  <c r="BQ210" i="167"/>
  <c r="CG184" i="167"/>
  <c r="CD184" i="167"/>
  <c r="CH184" i="167" s="1"/>
  <c r="CF178" i="167"/>
  <c r="CF174" i="167"/>
  <c r="CF168" i="167"/>
  <c r="CF173" i="167"/>
  <c r="CF172" i="167"/>
  <c r="BD48" i="167"/>
  <c r="BD239" i="167" s="1"/>
  <c r="BE12" i="167"/>
  <c r="BF12" i="167" s="1"/>
  <c r="BH12" i="167"/>
  <c r="AW196" i="167"/>
  <c r="AW200" i="167"/>
  <c r="AW198" i="167"/>
  <c r="AW199" i="167"/>
  <c r="BE34" i="167"/>
  <c r="BF34" i="167" s="1"/>
  <c r="BH34" i="167"/>
  <c r="BS74" i="167"/>
  <c r="AW254" i="167"/>
  <c r="BI211" i="167"/>
  <c r="BQ211" i="167"/>
  <c r="BK211" i="167"/>
  <c r="BR26" i="167"/>
  <c r="BS26" i="167" s="1"/>
  <c r="BL26" i="167"/>
  <c r="BM26" i="167" s="1"/>
  <c r="BF172" i="167"/>
  <c r="BF184" i="167" s="1"/>
  <c r="BE172" i="167"/>
  <c r="BE184" i="167" s="1"/>
  <c r="BH172" i="167"/>
  <c r="CY220" i="166"/>
  <c r="CZ220" i="166" s="1"/>
  <c r="BF48" i="166"/>
  <c r="AW253" i="166"/>
  <c r="AW190" i="166"/>
  <c r="AW201" i="166" s="1"/>
  <c r="AW189" i="166"/>
  <c r="BR113" i="166"/>
  <c r="BS113" i="166" s="1"/>
  <c r="BL113" i="166"/>
  <c r="BM113" i="166" s="1"/>
  <c r="BH48" i="166"/>
  <c r="BQ12" i="166"/>
  <c r="BK12" i="166"/>
  <c r="BI12" i="166"/>
  <c r="BJ12" i="166" s="1"/>
  <c r="CA184" i="166"/>
  <c r="CC184" i="166" s="1"/>
  <c r="CC239" i="166" s="1"/>
  <c r="BI203" i="166"/>
  <c r="BQ203" i="166"/>
  <c r="BK203" i="166"/>
  <c r="BB220" i="166"/>
  <c r="AW196" i="166"/>
  <c r="AW200" i="166"/>
  <c r="AW198" i="166"/>
  <c r="BR73" i="166"/>
  <c r="BS73" i="166" s="1"/>
  <c r="BL73" i="166"/>
  <c r="BI168" i="166"/>
  <c r="BJ168" i="166" s="1"/>
  <c r="BQ168" i="166"/>
  <c r="BK168" i="166"/>
  <c r="BR31" i="166"/>
  <c r="BS31" i="166" s="1"/>
  <c r="BL31" i="166"/>
  <c r="BM31" i="166" s="1"/>
  <c r="AW193" i="166"/>
  <c r="AW199" i="166" s="1"/>
  <c r="AW242" i="166"/>
  <c r="AW248" i="166" s="1"/>
  <c r="AW254" i="166" s="1"/>
  <c r="BL67" i="166"/>
  <c r="BL79" i="166" s="1"/>
  <c r="BI79" i="166"/>
  <c r="BR67" i="166"/>
  <c r="BS67" i="166" s="1"/>
  <c r="BJ113" i="166"/>
  <c r="CG48" i="166"/>
  <c r="CF43" i="166"/>
  <c r="CF33" i="166"/>
  <c r="CF32" i="166"/>
  <c r="CF31" i="166"/>
  <c r="CD48" i="166"/>
  <c r="CF28" i="166"/>
  <c r="CF39" i="166"/>
  <c r="CF26" i="166"/>
  <c r="CF29" i="166"/>
  <c r="CF27" i="166"/>
  <c r="BI34" i="166"/>
  <c r="BQ34" i="166"/>
  <c r="BK34" i="166"/>
  <c r="BJ34" i="166"/>
  <c r="BJ79" i="166"/>
  <c r="BQ211" i="166"/>
  <c r="BK211" i="166"/>
  <c r="BI211" i="166"/>
  <c r="BE210" i="166"/>
  <c r="BE220" i="166" s="1"/>
  <c r="BH210" i="166"/>
  <c r="BQ26" i="166"/>
  <c r="BK26" i="166"/>
  <c r="BI26" i="166"/>
  <c r="CF210" i="166"/>
  <c r="CG220" i="166"/>
  <c r="CD220" i="166"/>
  <c r="CH220" i="166" s="1"/>
  <c r="CF214" i="166"/>
  <c r="CF212" i="166"/>
  <c r="CF213" i="166"/>
  <c r="BE172" i="166"/>
  <c r="BF172" i="166" s="1"/>
  <c r="BH172" i="166"/>
  <c r="BQ79" i="166"/>
  <c r="CJ79" i="166" s="1"/>
  <c r="BE99" i="166"/>
  <c r="BE134" i="166" s="1"/>
  <c r="BH99" i="166"/>
  <c r="BD134" i="166"/>
  <c r="BL170" i="166"/>
  <c r="BR170" i="166"/>
  <c r="BS170" i="166" s="1"/>
  <c r="CX48" i="166"/>
  <c r="BM170" i="166"/>
  <c r="BD220" i="166"/>
  <c r="AW239" i="166"/>
  <c r="AW255" i="166"/>
  <c r="BM73" i="166"/>
  <c r="AZ184" i="166"/>
  <c r="AZ239" i="166" s="1"/>
  <c r="BD153" i="166"/>
  <c r="BA153" i="166"/>
  <c r="BA184" i="166" s="1"/>
  <c r="BA239" i="166" s="1"/>
  <c r="BK79" i="166"/>
  <c r="BM67" i="166"/>
  <c r="BL98" i="166"/>
  <c r="BR98" i="166"/>
  <c r="BS98" i="166" s="1"/>
  <c r="BE48" i="166"/>
  <c r="BS115" i="165"/>
  <c r="AZ12" i="165"/>
  <c r="BA12" i="165" s="1"/>
  <c r="BA48" i="165" s="1"/>
  <c r="AW134" i="165"/>
  <c r="AW239" i="165" s="1"/>
  <c r="AZ98" i="165"/>
  <c r="BD98" i="165" s="1"/>
  <c r="CE239" i="165"/>
  <c r="BY266" i="165" s="1"/>
  <c r="CI48" i="165"/>
  <c r="CI239" i="165" s="1"/>
  <c r="AY12" i="165"/>
  <c r="AY48" i="165" s="1"/>
  <c r="AY98" i="165"/>
  <c r="AY134" i="165" s="1"/>
  <c r="BB67" i="165"/>
  <c r="BB79" i="165" s="1"/>
  <c r="CZ239" i="165"/>
  <c r="CZ259" i="165"/>
  <c r="AY203" i="165"/>
  <c r="AY220" i="165" s="1"/>
  <c r="BF153" i="165"/>
  <c r="BF184" i="165" s="1"/>
  <c r="CY259" i="165"/>
  <c r="CY239" i="165"/>
  <c r="BR205" i="165"/>
  <c r="BS205" i="165" s="1"/>
  <c r="BL205" i="165"/>
  <c r="BM205" i="165" s="1"/>
  <c r="AZ220" i="165"/>
  <c r="BD203" i="165"/>
  <c r="BA203" i="165"/>
  <c r="BA220" i="165" s="1"/>
  <c r="CX258" i="165"/>
  <c r="BJ205" i="165"/>
  <c r="AX239" i="165"/>
  <c r="BH67" i="165"/>
  <c r="BD79" i="165"/>
  <c r="BE67" i="165"/>
  <c r="BE79" i="165" s="1"/>
  <c r="BH184" i="165"/>
  <c r="BK153" i="165"/>
  <c r="BI153" i="165"/>
  <c r="BJ153" i="165" s="1"/>
  <c r="BJ184" i="165" s="1"/>
  <c r="BQ153" i="165"/>
  <c r="CF239" i="165"/>
  <c r="BR15" i="165"/>
  <c r="BS15" i="165" s="1"/>
  <c r="BL15" i="165"/>
  <c r="BM15" i="165" s="1"/>
  <c r="CZ12" i="77" l="1"/>
  <c r="CZ12" i="140"/>
  <c r="CZ12" i="139"/>
  <c r="CQ12" i="77"/>
  <c r="CQ12" i="139"/>
  <c r="CQ12" i="140"/>
  <c r="CT12" i="140"/>
  <c r="CT12" i="139"/>
  <c r="CT12" i="77"/>
  <c r="CS12" i="77"/>
  <c r="CS12" i="140"/>
  <c r="CS12" i="139"/>
  <c r="CW12" i="140"/>
  <c r="CW12" i="139"/>
  <c r="CW12" i="77"/>
  <c r="BF210" i="166"/>
  <c r="BF220" i="166" s="1"/>
  <c r="BR79" i="166"/>
  <c r="CK79" i="166" s="1"/>
  <c r="CQ79" i="166" s="1"/>
  <c r="HA12" i="77"/>
  <c r="HA12" i="139"/>
  <c r="HA12" i="140"/>
  <c r="GZ12" i="140"/>
  <c r="GZ12" i="139"/>
  <c r="GZ12" i="77"/>
  <c r="HG12" i="140"/>
  <c r="HG12" i="139"/>
  <c r="HG12" i="77"/>
  <c r="CE184" i="167"/>
  <c r="CE239" i="167" s="1"/>
  <c r="BY266" i="167" s="1"/>
  <c r="BF98" i="167"/>
  <c r="BF134" i="167" s="1"/>
  <c r="CF184" i="167"/>
  <c r="CI184" i="167"/>
  <c r="BH134" i="167"/>
  <c r="BQ98" i="167"/>
  <c r="BK98" i="167"/>
  <c r="BI98" i="167"/>
  <c r="BJ98" i="167" s="1"/>
  <c r="BR170" i="167"/>
  <c r="BL170" i="167"/>
  <c r="BM170" i="167" s="1"/>
  <c r="CD239" i="167"/>
  <c r="BH79" i="167"/>
  <c r="BK67" i="167"/>
  <c r="BQ67" i="167"/>
  <c r="BI67" i="167"/>
  <c r="BJ67" i="167" s="1"/>
  <c r="BJ79" i="167" s="1"/>
  <c r="CX258" i="167"/>
  <c r="BK220" i="167"/>
  <c r="BR113" i="167"/>
  <c r="BS113" i="167" s="1"/>
  <c r="BL113" i="167"/>
  <c r="BM113" i="167" s="1"/>
  <c r="BR153" i="167"/>
  <c r="BL153" i="167"/>
  <c r="CI239" i="167"/>
  <c r="CY259" i="167"/>
  <c r="BQ220" i="167"/>
  <c r="CJ220" i="167" s="1"/>
  <c r="BK172" i="167"/>
  <c r="BK184" i="167" s="1"/>
  <c r="BI172" i="167"/>
  <c r="BI184" i="167" s="1"/>
  <c r="BQ172" i="167"/>
  <c r="BQ184" i="167" s="1"/>
  <c r="CJ184" i="167" s="1"/>
  <c r="BR211" i="167"/>
  <c r="BS211" i="167" s="1"/>
  <c r="BL211" i="167"/>
  <c r="BM211" i="167" s="1"/>
  <c r="BF48" i="167"/>
  <c r="BJ211" i="167"/>
  <c r="BI34" i="167"/>
  <c r="BQ34" i="167"/>
  <c r="BK34" i="167"/>
  <c r="BH48" i="167"/>
  <c r="BI12" i="167"/>
  <c r="BJ12" i="167" s="1"/>
  <c r="BQ12" i="167"/>
  <c r="BK12" i="167"/>
  <c r="BR210" i="167"/>
  <c r="BS210" i="167" s="1"/>
  <c r="BL210" i="167"/>
  <c r="BM210" i="167" s="1"/>
  <c r="CF239" i="167"/>
  <c r="BJ113" i="167"/>
  <c r="BL212" i="167"/>
  <c r="BM212" i="167" s="1"/>
  <c r="BR212" i="167"/>
  <c r="BS212" i="167" s="1"/>
  <c r="BJ153" i="167"/>
  <c r="BH184" i="167"/>
  <c r="CG239" i="167"/>
  <c r="BF67" i="167"/>
  <c r="BF79" i="167" s="1"/>
  <c r="CZ48" i="167"/>
  <c r="BI220" i="167"/>
  <c r="BR203" i="167"/>
  <c r="BR220" i="167" s="1"/>
  <c r="CK220" i="167" s="1"/>
  <c r="CQ220" i="167" s="1"/>
  <c r="BL203" i="167"/>
  <c r="BL99" i="167"/>
  <c r="BM99" i="167" s="1"/>
  <c r="BR99" i="167"/>
  <c r="BS99" i="167" s="1"/>
  <c r="CY184" i="167"/>
  <c r="CY239" i="167" s="1"/>
  <c r="CY258" i="167" s="1"/>
  <c r="BR117" i="167"/>
  <c r="BS117" i="167" s="1"/>
  <c r="BL117" i="167"/>
  <c r="BM117" i="167" s="1"/>
  <c r="BE48" i="167"/>
  <c r="BE239" i="167" s="1"/>
  <c r="BR73" i="167"/>
  <c r="BS73" i="167" s="1"/>
  <c r="BL73" i="167"/>
  <c r="BM73" i="167" s="1"/>
  <c r="BM153" i="167"/>
  <c r="BS170" i="167"/>
  <c r="CH239" i="167"/>
  <c r="BR168" i="167"/>
  <c r="BS168" i="167" s="1"/>
  <c r="BL168" i="167"/>
  <c r="BM168" i="167" s="1"/>
  <c r="BJ220" i="167"/>
  <c r="BM79" i="166"/>
  <c r="CF48" i="166"/>
  <c r="CF220" i="166"/>
  <c r="BL211" i="166"/>
  <c r="BR211" i="166"/>
  <c r="BS211" i="166" s="1"/>
  <c r="CF174" i="166"/>
  <c r="CF173" i="166"/>
  <c r="CF172" i="166"/>
  <c r="CF178" i="166"/>
  <c r="CF168" i="166"/>
  <c r="CD184" i="166"/>
  <c r="CH184" i="166" s="1"/>
  <c r="CG184" i="166"/>
  <c r="BQ48" i="166"/>
  <c r="BB153" i="166"/>
  <c r="BB184" i="166" s="1"/>
  <c r="BB239" i="166" s="1"/>
  <c r="BF99" i="166"/>
  <c r="BF134" i="166" s="1"/>
  <c r="BI172" i="166"/>
  <c r="BQ172" i="166"/>
  <c r="BK172" i="166"/>
  <c r="CE220" i="166"/>
  <c r="BM211" i="166"/>
  <c r="CH48" i="166"/>
  <c r="CX184" i="166"/>
  <c r="BD184" i="166"/>
  <c r="BD239" i="166" s="1"/>
  <c r="BE153" i="166"/>
  <c r="BE184" i="166" s="1"/>
  <c r="BE239" i="166" s="1"/>
  <c r="BH153" i="166"/>
  <c r="CX239" i="166"/>
  <c r="CX259" i="166"/>
  <c r="CY48" i="166"/>
  <c r="CZ48" i="166" s="1"/>
  <c r="BS79" i="166"/>
  <c r="BL26" i="166"/>
  <c r="BM26" i="166" s="1"/>
  <c r="BR26" i="166"/>
  <c r="BS26" i="166" s="1"/>
  <c r="BR203" i="166"/>
  <c r="BS203" i="166" s="1"/>
  <c r="BL203" i="166"/>
  <c r="BI48" i="166"/>
  <c r="BL12" i="166"/>
  <c r="BR12" i="166"/>
  <c r="BS12" i="166" s="1"/>
  <c r="AW245" i="166"/>
  <c r="AW256" i="166" s="1"/>
  <c r="AW244" i="166"/>
  <c r="BI99" i="166"/>
  <c r="BJ99" i="166" s="1"/>
  <c r="BJ134" i="166" s="1"/>
  <c r="BQ99" i="166"/>
  <c r="BK99" i="166"/>
  <c r="BH134" i="166"/>
  <c r="CP79" i="166"/>
  <c r="CL79" i="166"/>
  <c r="CI220" i="166"/>
  <c r="BJ26" i="166"/>
  <c r="BJ48" i="166" s="1"/>
  <c r="BI210" i="166"/>
  <c r="BJ210" i="166" s="1"/>
  <c r="BQ210" i="166"/>
  <c r="BK210" i="166"/>
  <c r="BJ211" i="166"/>
  <c r="BR34" i="166"/>
  <c r="BS34" i="166" s="1"/>
  <c r="BL34" i="166"/>
  <c r="BM34" i="166" s="1"/>
  <c r="CE48" i="166"/>
  <c r="BM98" i="166"/>
  <c r="BR168" i="166"/>
  <c r="BS168" i="166" s="1"/>
  <c r="BL168" i="166"/>
  <c r="BM168" i="166" s="1"/>
  <c r="BJ203" i="166"/>
  <c r="BH220" i="166"/>
  <c r="BK48" i="166"/>
  <c r="BA98" i="165"/>
  <c r="BA134" i="165" s="1"/>
  <c r="BA239" i="165" s="1"/>
  <c r="AZ134" i="165"/>
  <c r="BD12" i="165"/>
  <c r="BD48" i="165" s="1"/>
  <c r="AZ48" i="165"/>
  <c r="AZ239" i="165" s="1"/>
  <c r="AY239" i="165"/>
  <c r="BF67" i="165"/>
  <c r="BF79" i="165" s="1"/>
  <c r="BD220" i="165"/>
  <c r="BH203" i="165"/>
  <c r="BE203" i="165"/>
  <c r="BE220" i="165" s="1"/>
  <c r="BD134" i="165"/>
  <c r="BH98" i="165"/>
  <c r="BE98" i="165"/>
  <c r="BE134" i="165" s="1"/>
  <c r="CZ258" i="165"/>
  <c r="C261" i="165"/>
  <c r="BK184" i="165"/>
  <c r="CY258" i="165"/>
  <c r="BB12" i="165"/>
  <c r="BB48" i="165" s="1"/>
  <c r="BQ184" i="165"/>
  <c r="CJ184" i="165" s="1"/>
  <c r="BQ67" i="165"/>
  <c r="BK67" i="165"/>
  <c r="BH79" i="165"/>
  <c r="BI67" i="165"/>
  <c r="BI184" i="165"/>
  <c r="BR153" i="165"/>
  <c r="BR184" i="165" s="1"/>
  <c r="CK184" i="165" s="1"/>
  <c r="CQ184" i="165" s="1"/>
  <c r="BL153" i="165"/>
  <c r="BL184" i="165" s="1"/>
  <c r="BB203" i="165"/>
  <c r="BB220" i="165" s="1"/>
  <c r="BL48" i="166" l="1"/>
  <c r="CI184" i="166"/>
  <c r="HD12" i="77"/>
  <c r="HD12" i="140"/>
  <c r="HD12" i="139"/>
  <c r="BH239" i="167"/>
  <c r="BF239" i="167"/>
  <c r="CP184" i="167"/>
  <c r="CZ259" i="167"/>
  <c r="CZ184" i="167"/>
  <c r="CZ239" i="167" s="1"/>
  <c r="BL220" i="167"/>
  <c r="BI48" i="167"/>
  <c r="BR12" i="167"/>
  <c r="BL12" i="167"/>
  <c r="BM12" i="167" s="1"/>
  <c r="BJ172" i="167"/>
  <c r="BJ184" i="167" s="1"/>
  <c r="BS203" i="167"/>
  <c r="BS220" i="167" s="1"/>
  <c r="BQ79" i="167"/>
  <c r="CJ79" i="167" s="1"/>
  <c r="BQ134" i="167"/>
  <c r="CJ134" i="167" s="1"/>
  <c r="BR34" i="167"/>
  <c r="BS34" i="167" s="1"/>
  <c r="BL34" i="167"/>
  <c r="BM34" i="167" s="1"/>
  <c r="CP220" i="167"/>
  <c r="CL220" i="167"/>
  <c r="BK79" i="167"/>
  <c r="BJ134" i="167"/>
  <c r="BK48" i="167"/>
  <c r="BJ34" i="167"/>
  <c r="BJ48" i="167" s="1"/>
  <c r="BI79" i="167"/>
  <c r="BR67" i="167"/>
  <c r="BR79" i="167" s="1"/>
  <c r="CK79" i="167" s="1"/>
  <c r="CQ79" i="167" s="1"/>
  <c r="BL67" i="167"/>
  <c r="BL79" i="167" s="1"/>
  <c r="BI134" i="167"/>
  <c r="BL98" i="167"/>
  <c r="BL134" i="167" s="1"/>
  <c r="BR98" i="167"/>
  <c r="BR134" i="167" s="1"/>
  <c r="CK134" i="167" s="1"/>
  <c r="CQ134" i="167" s="1"/>
  <c r="BQ48" i="167"/>
  <c r="BS12" i="167"/>
  <c r="BR172" i="167"/>
  <c r="BS172" i="167" s="1"/>
  <c r="BL172" i="167"/>
  <c r="BM172" i="167" s="1"/>
  <c r="BM184" i="167" s="1"/>
  <c r="BM203" i="167"/>
  <c r="BM220" i="167" s="1"/>
  <c r="BK134" i="167"/>
  <c r="BM98" i="167"/>
  <c r="BM134" i="167" s="1"/>
  <c r="BS153" i="167"/>
  <c r="BI220" i="166"/>
  <c r="BJ220" i="166"/>
  <c r="CH239" i="166"/>
  <c r="CG239" i="166"/>
  <c r="CF184" i="166"/>
  <c r="CF239" i="166" s="1"/>
  <c r="CD239" i="166"/>
  <c r="CI48" i="166"/>
  <c r="CI239" i="166" s="1"/>
  <c r="CX258" i="166"/>
  <c r="CZ259" i="166"/>
  <c r="BS48" i="166"/>
  <c r="BM12" i="166"/>
  <c r="BM48" i="166" s="1"/>
  <c r="BK134" i="166"/>
  <c r="CY184" i="166"/>
  <c r="CZ184" i="166" s="1"/>
  <c r="CZ239" i="166" s="1"/>
  <c r="BK220" i="166"/>
  <c r="BR172" i="166"/>
  <c r="BS172" i="166" s="1"/>
  <c r="BL172" i="166"/>
  <c r="BM172" i="166" s="1"/>
  <c r="BQ134" i="166"/>
  <c r="CJ134" i="166" s="1"/>
  <c r="BR210" i="166"/>
  <c r="BS210" i="166" s="1"/>
  <c r="BS220" i="166" s="1"/>
  <c r="BL210" i="166"/>
  <c r="BL220" i="166" s="1"/>
  <c r="CR79" i="166"/>
  <c r="BR99" i="166"/>
  <c r="BR134" i="166" s="1"/>
  <c r="CK134" i="166" s="1"/>
  <c r="CQ134" i="166" s="1"/>
  <c r="BL99" i="166"/>
  <c r="BL134" i="166" s="1"/>
  <c r="BI134" i="166"/>
  <c r="BR48" i="166"/>
  <c r="BR220" i="166"/>
  <c r="CK220" i="166" s="1"/>
  <c r="CQ220" i="166" s="1"/>
  <c r="BF153" i="166"/>
  <c r="BF184" i="166" s="1"/>
  <c r="BF239" i="166" s="1"/>
  <c r="BQ220" i="166"/>
  <c r="CJ220" i="166" s="1"/>
  <c r="BJ172" i="166"/>
  <c r="CJ48" i="166"/>
  <c r="CE184" i="166"/>
  <c r="CE239" i="166" s="1"/>
  <c r="BY266" i="166" s="1"/>
  <c r="CY259" i="166"/>
  <c r="BH184" i="166"/>
  <c r="BH239" i="166" s="1"/>
  <c r="BI153" i="166"/>
  <c r="BQ153" i="166"/>
  <c r="BK153" i="166"/>
  <c r="BJ153" i="166"/>
  <c r="BM203" i="166"/>
  <c r="BH12" i="165"/>
  <c r="BQ12" i="165" s="1"/>
  <c r="BB98" i="165"/>
  <c r="BB134" i="165" s="1"/>
  <c r="BB239" i="165" s="1"/>
  <c r="BE12" i="165"/>
  <c r="BE48" i="165" s="1"/>
  <c r="BE239" i="165" s="1"/>
  <c r="BF203" i="165"/>
  <c r="BF220" i="165" s="1"/>
  <c r="BI79" i="165"/>
  <c r="BL67" i="165"/>
  <c r="BL79" i="165" s="1"/>
  <c r="BR67" i="165"/>
  <c r="BR79" i="165" s="1"/>
  <c r="CK79" i="165" s="1"/>
  <c r="CQ79" i="165" s="1"/>
  <c r="BQ79" i="165"/>
  <c r="CJ79" i="165" s="1"/>
  <c r="BD239" i="165"/>
  <c r="BJ67" i="165"/>
  <c r="BJ79" i="165" s="1"/>
  <c r="BS153" i="165"/>
  <c r="BS184" i="165" s="1"/>
  <c r="BM153" i="165"/>
  <c r="BM184" i="165" s="1"/>
  <c r="BF98" i="165"/>
  <c r="BF134" i="165" s="1"/>
  <c r="CL184" i="165"/>
  <c r="CP184" i="165"/>
  <c r="BK79" i="165"/>
  <c r="BH134" i="165"/>
  <c r="BQ98" i="165"/>
  <c r="BK98" i="165"/>
  <c r="BI98" i="165"/>
  <c r="BH220" i="165"/>
  <c r="BQ203" i="165"/>
  <c r="BK203" i="165"/>
  <c r="BI203" i="165"/>
  <c r="BJ203" i="165" s="1"/>
  <c r="BJ220" i="165" s="1"/>
  <c r="BM48" i="167" l="1"/>
  <c r="BR184" i="167"/>
  <c r="CK184" i="167" s="1"/>
  <c r="CQ184" i="167" s="1"/>
  <c r="CR184" i="167" s="1"/>
  <c r="BJ239" i="167"/>
  <c r="BK239" i="167"/>
  <c r="CZ258" i="167"/>
  <c r="C261" i="167"/>
  <c r="CR220" i="167"/>
  <c r="BS67" i="167"/>
  <c r="BS79" i="167" s="1"/>
  <c r="BS48" i="167"/>
  <c r="BL184" i="167"/>
  <c r="BM67" i="167"/>
  <c r="BM79" i="167" s="1"/>
  <c r="BM239" i="167" s="1"/>
  <c r="CP79" i="167"/>
  <c r="CL79" i="167"/>
  <c r="BL48" i="167"/>
  <c r="BS184" i="167"/>
  <c r="BQ239" i="167"/>
  <c r="CJ48" i="167"/>
  <c r="CP134" i="167"/>
  <c r="CL134" i="167"/>
  <c r="BR48" i="167"/>
  <c r="BS98" i="167"/>
  <c r="BS134" i="167" s="1"/>
  <c r="BI239" i="167"/>
  <c r="BJ184" i="166"/>
  <c r="BJ239" i="166" s="1"/>
  <c r="CY239" i="166"/>
  <c r="CY258" i="166" s="1"/>
  <c r="CZ258" i="166"/>
  <c r="C261" i="166"/>
  <c r="CJ259" i="166"/>
  <c r="CP48" i="166"/>
  <c r="CP134" i="166"/>
  <c r="CL134" i="166"/>
  <c r="BS99" i="166"/>
  <c r="BS134" i="166" s="1"/>
  <c r="BK184" i="166"/>
  <c r="BK239" i="166" s="1"/>
  <c r="BQ184" i="166"/>
  <c r="CK48" i="166"/>
  <c r="BM210" i="166"/>
  <c r="BM220" i="166" s="1"/>
  <c r="BI184" i="166"/>
  <c r="BI239" i="166" s="1"/>
  <c r="BR153" i="166"/>
  <c r="BR184" i="166" s="1"/>
  <c r="CK184" i="166" s="1"/>
  <c r="CQ184" i="166" s="1"/>
  <c r="BL153" i="166"/>
  <c r="BL184" i="166" s="1"/>
  <c r="BL239" i="166" s="1"/>
  <c r="CP220" i="166"/>
  <c r="CL220" i="166"/>
  <c r="BM99" i="166"/>
  <c r="BM134" i="166" s="1"/>
  <c r="BK12" i="165"/>
  <c r="BK48" i="165" s="1"/>
  <c r="BI12" i="165"/>
  <c r="BJ12" i="165" s="1"/>
  <c r="BJ48" i="165" s="1"/>
  <c r="BH48" i="165"/>
  <c r="BH239" i="165" s="1"/>
  <c r="BF12" i="165"/>
  <c r="BF48" i="165" s="1"/>
  <c r="BF239" i="165" s="1"/>
  <c r="BM67" i="165"/>
  <c r="BM79" i="165" s="1"/>
  <c r="BI134" i="165"/>
  <c r="BL98" i="165"/>
  <c r="BL134" i="165" s="1"/>
  <c r="BR98" i="165"/>
  <c r="BR134" i="165" s="1"/>
  <c r="CK134" i="165" s="1"/>
  <c r="CQ134" i="165" s="1"/>
  <c r="CP79" i="165"/>
  <c r="CL79" i="165"/>
  <c r="BK220" i="165"/>
  <c r="BK134" i="165"/>
  <c r="CR184" i="165"/>
  <c r="BQ220" i="165"/>
  <c r="CJ220" i="165" s="1"/>
  <c r="BJ98" i="165"/>
  <c r="BJ134" i="165" s="1"/>
  <c r="BQ48" i="165"/>
  <c r="BI220" i="165"/>
  <c r="BL203" i="165"/>
  <c r="BL220" i="165" s="1"/>
  <c r="BR203" i="165"/>
  <c r="BR220" i="165" s="1"/>
  <c r="CK220" i="165" s="1"/>
  <c r="CQ220" i="165" s="1"/>
  <c r="BQ134" i="165"/>
  <c r="CJ134" i="165" s="1"/>
  <c r="BS67" i="165"/>
  <c r="BS79" i="165" s="1"/>
  <c r="BS153" i="166" l="1"/>
  <c r="BS184" i="166" s="1"/>
  <c r="CL184" i="167"/>
  <c r="BL239" i="167"/>
  <c r="CR79" i="167"/>
  <c r="CJ239" i="167"/>
  <c r="CJ258" i="167" s="1"/>
  <c r="CJ259" i="167"/>
  <c r="CP48" i="167"/>
  <c r="BR239" i="167"/>
  <c r="CK48" i="167"/>
  <c r="CL48" i="167" s="1"/>
  <c r="BS239" i="167"/>
  <c r="CR134" i="167"/>
  <c r="BS239" i="166"/>
  <c r="CR220" i="166"/>
  <c r="CJ184" i="166"/>
  <c r="BQ239" i="166"/>
  <c r="BM153" i="166"/>
  <c r="BM184" i="166" s="1"/>
  <c r="BM239" i="166" s="1"/>
  <c r="CP259" i="166"/>
  <c r="CK259" i="166"/>
  <c r="CK239" i="166"/>
  <c r="CQ48" i="166"/>
  <c r="CL48" i="166"/>
  <c r="BR239" i="166"/>
  <c r="CR134" i="166"/>
  <c r="BR12" i="165"/>
  <c r="BR48" i="165" s="1"/>
  <c r="BR239" i="165" s="1"/>
  <c r="BL12" i="165"/>
  <c r="BL48" i="165" s="1"/>
  <c r="BJ239" i="165"/>
  <c r="BI48" i="165"/>
  <c r="BS98" i="165"/>
  <c r="BS134" i="165" s="1"/>
  <c r="BL239" i="165"/>
  <c r="BK239" i="165"/>
  <c r="BM98" i="165"/>
  <c r="BM134" i="165" s="1"/>
  <c r="BS203" i="165"/>
  <c r="BS220" i="165" s="1"/>
  <c r="CP134" i="165"/>
  <c r="CL134" i="165"/>
  <c r="CP220" i="165"/>
  <c r="CL220" i="165"/>
  <c r="BQ239" i="165"/>
  <c r="CJ48" i="165"/>
  <c r="CR79" i="165"/>
  <c r="BI239" i="165"/>
  <c r="BM203" i="165"/>
  <c r="BM220" i="165" s="1"/>
  <c r="CL239" i="167" l="1"/>
  <c r="CL259" i="167"/>
  <c r="CP239" i="167"/>
  <c r="CP259" i="167"/>
  <c r="CK259" i="167"/>
  <c r="CK239" i="167"/>
  <c r="CK258" i="167" s="1"/>
  <c r="CQ48" i="167"/>
  <c r="CR48" i="167" s="1"/>
  <c r="CP184" i="166"/>
  <c r="CL184" i="166"/>
  <c r="CL239" i="166" s="1"/>
  <c r="CJ239" i="166"/>
  <c r="CJ258" i="166" s="1"/>
  <c r="CL259" i="166"/>
  <c r="CQ239" i="166"/>
  <c r="CQ259" i="166"/>
  <c r="CR48" i="166"/>
  <c r="CK258" i="166"/>
  <c r="BS12" i="165"/>
  <c r="BS48" i="165" s="1"/>
  <c r="BS239" i="165" s="1"/>
  <c r="CK48" i="165"/>
  <c r="CQ48" i="165" s="1"/>
  <c r="BM12" i="165"/>
  <c r="BM48" i="165" s="1"/>
  <c r="BM239" i="165" s="1"/>
  <c r="CR220" i="165"/>
  <c r="CK259" i="165"/>
  <c r="CK239" i="165"/>
  <c r="CJ259" i="165"/>
  <c r="CJ239" i="165"/>
  <c r="CP48" i="165"/>
  <c r="CR134" i="165"/>
  <c r="CP258" i="167" l="1"/>
  <c r="CL258" i="167"/>
  <c r="CR239" i="167"/>
  <c r="CR259" i="167"/>
  <c r="CQ239" i="167"/>
  <c r="CQ258" i="167" s="1"/>
  <c r="CQ259" i="167"/>
  <c r="CL258" i="166"/>
  <c r="CQ258" i="166"/>
  <c r="CR259" i="166"/>
  <c r="CR184" i="166"/>
  <c r="CR239" i="166" s="1"/>
  <c r="CP239" i="166"/>
  <c r="CP258" i="166" s="1"/>
  <c r="CL48" i="165"/>
  <c r="CL259" i="165" s="1"/>
  <c r="CJ258" i="165"/>
  <c r="CQ259" i="165"/>
  <c r="CQ239" i="165"/>
  <c r="CP239" i="165"/>
  <c r="CP259" i="165"/>
  <c r="CR48" i="165"/>
  <c r="CK258" i="165"/>
  <c r="CL239" i="165" l="1"/>
  <c r="C267" i="167"/>
  <c r="C260" i="167"/>
  <c r="C263" i="167" s="1"/>
  <c r="CR258" i="167"/>
  <c r="EV239" i="167"/>
  <c r="DQ239" i="167"/>
  <c r="C267" i="166"/>
  <c r="C260" i="166"/>
  <c r="C263" i="166" s="1"/>
  <c r="CR258" i="166"/>
  <c r="EV239" i="166"/>
  <c r="DQ239" i="166"/>
  <c r="CP258" i="165"/>
  <c r="CL258" i="165"/>
  <c r="CQ258" i="165"/>
  <c r="CR259" i="165"/>
  <c r="CR239" i="165"/>
  <c r="EV220" i="167" l="1"/>
  <c r="EV184" i="167"/>
  <c r="EV134" i="167"/>
  <c r="EV79" i="167"/>
  <c r="EV48" i="167"/>
  <c r="DQ220" i="167"/>
  <c r="DQ184" i="167"/>
  <c r="DQ134" i="167"/>
  <c r="DQ79" i="167"/>
  <c r="DQ48" i="167"/>
  <c r="EV220" i="166"/>
  <c r="EV184" i="166"/>
  <c r="EV134" i="166"/>
  <c r="EV79" i="166"/>
  <c r="EV48" i="166"/>
  <c r="DQ220" i="166"/>
  <c r="DQ184" i="166"/>
  <c r="DQ134" i="166"/>
  <c r="DQ79" i="166"/>
  <c r="DQ48" i="166"/>
  <c r="C267" i="165"/>
  <c r="C260" i="165"/>
  <c r="C263" i="165" s="1"/>
  <c r="CR258" i="165"/>
  <c r="EV239" i="165"/>
  <c r="DQ239" i="165"/>
  <c r="EW48" i="167" l="1"/>
  <c r="EX48" i="167"/>
  <c r="EX220" i="167"/>
  <c r="EW220" i="167"/>
  <c r="DS134" i="167"/>
  <c r="DR134" i="167"/>
  <c r="EX79" i="167"/>
  <c r="EW79" i="167"/>
  <c r="DS184" i="167"/>
  <c r="DR184" i="167"/>
  <c r="EX134" i="167"/>
  <c r="EW134" i="167"/>
  <c r="DR48" i="167"/>
  <c r="DS48" i="167"/>
  <c r="DS220" i="167"/>
  <c r="DR220" i="167"/>
  <c r="EX184" i="167"/>
  <c r="EW184" i="167"/>
  <c r="DS79" i="167"/>
  <c r="DR79" i="167"/>
  <c r="DS79" i="166"/>
  <c r="DR79" i="166"/>
  <c r="EW48" i="166"/>
  <c r="EX48" i="166"/>
  <c r="EX220" i="166"/>
  <c r="EW220" i="166"/>
  <c r="DS134" i="166"/>
  <c r="DR134" i="166"/>
  <c r="EX79" i="166"/>
  <c r="EW79" i="166"/>
  <c r="DS184" i="166"/>
  <c r="DR184" i="166"/>
  <c r="EX134" i="166"/>
  <c r="EW134" i="166"/>
  <c r="DR48" i="166"/>
  <c r="DS48" i="166"/>
  <c r="DS220" i="166"/>
  <c r="DR220" i="166"/>
  <c r="EX184" i="166"/>
  <c r="EW184" i="166"/>
  <c r="EV220" i="165"/>
  <c r="EV184" i="165"/>
  <c r="EV134" i="165"/>
  <c r="EV79" i="165"/>
  <c r="EV48" i="165"/>
  <c r="DQ220" i="165"/>
  <c r="DQ184" i="165"/>
  <c r="DQ134" i="165"/>
  <c r="DQ79" i="165"/>
  <c r="DQ48" i="165"/>
  <c r="DR239" i="167" l="1"/>
  <c r="DR259" i="167"/>
  <c r="DT48" i="167"/>
  <c r="DT259" i="167" s="1"/>
  <c r="DT79" i="167"/>
  <c r="DT220" i="167"/>
  <c r="EY134" i="167"/>
  <c r="EY79" i="167"/>
  <c r="EY220" i="167"/>
  <c r="EY184" i="167"/>
  <c r="DS259" i="167"/>
  <c r="DS239" i="167"/>
  <c r="DS258" i="167" s="1"/>
  <c r="DT184" i="167"/>
  <c r="DT134" i="167"/>
  <c r="EX259" i="167"/>
  <c r="EX239" i="167"/>
  <c r="EX258" i="167" s="1"/>
  <c r="EW239" i="167"/>
  <c r="EW259" i="167"/>
  <c r="EY48" i="167"/>
  <c r="EY259" i="167" s="1"/>
  <c r="EY184" i="166"/>
  <c r="DS259" i="166"/>
  <c r="DS239" i="166"/>
  <c r="DT184" i="166"/>
  <c r="DT134" i="166"/>
  <c r="EX259" i="166"/>
  <c r="EX239" i="166"/>
  <c r="EW259" i="166"/>
  <c r="EW239" i="166"/>
  <c r="EY48" i="166"/>
  <c r="EY259" i="166" s="1"/>
  <c r="DR239" i="166"/>
  <c r="DR259" i="166"/>
  <c r="DT48" i="166"/>
  <c r="DT259" i="166" s="1"/>
  <c r="DT220" i="166"/>
  <c r="EY134" i="166"/>
  <c r="EY79" i="166"/>
  <c r="EY220" i="166"/>
  <c r="DT79" i="166"/>
  <c r="EX79" i="165"/>
  <c r="EW79" i="165"/>
  <c r="DS184" i="165"/>
  <c r="DR184" i="165"/>
  <c r="EX134" i="165"/>
  <c r="EW134" i="165"/>
  <c r="DS48" i="165"/>
  <c r="DR48" i="165"/>
  <c r="DS220" i="165"/>
  <c r="DR220" i="165"/>
  <c r="EX184" i="165"/>
  <c r="EW184" i="165"/>
  <c r="DS134" i="165"/>
  <c r="DR134" i="165"/>
  <c r="DS79" i="165"/>
  <c r="DR79" i="165"/>
  <c r="EX48" i="165"/>
  <c r="EW48" i="165"/>
  <c r="EX220" i="165"/>
  <c r="EW220" i="165"/>
  <c r="EW258" i="167" l="1"/>
  <c r="EY239" i="167"/>
  <c r="DR258" i="167"/>
  <c r="DT239" i="167"/>
  <c r="DT258" i="167" s="1"/>
  <c r="EX258" i="166"/>
  <c r="DS258" i="166"/>
  <c r="EW258" i="166"/>
  <c r="EY239" i="166"/>
  <c r="DR258" i="166"/>
  <c r="DT239" i="166"/>
  <c r="DT258" i="166" s="1"/>
  <c r="EY220" i="165"/>
  <c r="DT79" i="165"/>
  <c r="EY184" i="165"/>
  <c r="DT184" i="165"/>
  <c r="DT134" i="165"/>
  <c r="DT220" i="165"/>
  <c r="EY134" i="165"/>
  <c r="EY79" i="165"/>
  <c r="DS259" i="165"/>
  <c r="DS239" i="165"/>
  <c r="EW239" i="165"/>
  <c r="EW259" i="165"/>
  <c r="EY48" i="165"/>
  <c r="EY259" i="165" s="1"/>
  <c r="DR259" i="165"/>
  <c r="DR239" i="165"/>
  <c r="DT48" i="165"/>
  <c r="DT259" i="165" s="1"/>
  <c r="EX239" i="165"/>
  <c r="EX259" i="165"/>
  <c r="EY261" i="167" l="1"/>
  <c r="EY258" i="167"/>
  <c r="EY261" i="166"/>
  <c r="EY258" i="166"/>
  <c r="DS258" i="165"/>
  <c r="DR258" i="165"/>
  <c r="DT239" i="165"/>
  <c r="DT258" i="165" s="1"/>
  <c r="EW258" i="165"/>
  <c r="EY239" i="165"/>
  <c r="EX258" i="165"/>
  <c r="EY261" i="165" l="1"/>
  <c r="EY258" i="165"/>
  <c r="G5" i="164" l="1"/>
  <c r="E5" i="164"/>
  <c r="C5" i="164"/>
  <c r="D5" i="164" s="1"/>
  <c r="F5" i="164" s="1"/>
  <c r="H5" i="164" s="1"/>
  <c r="G4" i="164"/>
  <c r="E4" i="164"/>
  <c r="C4" i="164"/>
  <c r="D4" i="164" s="1"/>
  <c r="F4" i="164" s="1"/>
  <c r="H4" i="164" s="1"/>
  <c r="FE24" i="77" l="1"/>
  <c r="FE22" i="77"/>
  <c r="FE23" i="77"/>
  <c r="FE21" i="77"/>
  <c r="FE18" i="77"/>
  <c r="FE16" i="77"/>
  <c r="FE19" i="77"/>
  <c r="FE20" i="77"/>
  <c r="FE13" i="77"/>
  <c r="FE14" i="77"/>
  <c r="DT24" i="77"/>
  <c r="DT22" i="77"/>
  <c r="DT23" i="77"/>
  <c r="DT21" i="77"/>
  <c r="DT18" i="77"/>
  <c r="DT16" i="77"/>
  <c r="DT19" i="77"/>
  <c r="DT20" i="77"/>
  <c r="DT13" i="77"/>
  <c r="DT14" i="77"/>
  <c r="CI24" i="77"/>
  <c r="CI22" i="77"/>
  <c r="CI23" i="77"/>
  <c r="CI21" i="77"/>
  <c r="CI18" i="77"/>
  <c r="CI16" i="77"/>
  <c r="CI19" i="77"/>
  <c r="CI20" i="77"/>
  <c r="CI13" i="77"/>
  <c r="CI14" i="77"/>
  <c r="AX24" i="77"/>
  <c r="AX22" i="77"/>
  <c r="AX23" i="77"/>
  <c r="AX21" i="77"/>
  <c r="AX18" i="77"/>
  <c r="AX16" i="77"/>
  <c r="AX19" i="77"/>
  <c r="AX20" i="77"/>
  <c r="AX13" i="77"/>
  <c r="AX14" i="77"/>
  <c r="M13" i="77"/>
  <c r="M14" i="77"/>
  <c r="AC82" i="163"/>
  <c r="AC81" i="163"/>
  <c r="AC80" i="163"/>
  <c r="AC79" i="163"/>
  <c r="AC78" i="163"/>
  <c r="AC77" i="163"/>
  <c r="AC76" i="163"/>
  <c r="AC75" i="163"/>
  <c r="AC74" i="163"/>
  <c r="AC73" i="163"/>
  <c r="AC72" i="163"/>
  <c r="AC69" i="163"/>
  <c r="AC68" i="163"/>
  <c r="AC67" i="163"/>
  <c r="AC66" i="163"/>
  <c r="AC65" i="163"/>
  <c r="AC64" i="163"/>
  <c r="AC63" i="163"/>
  <c r="AC62" i="163"/>
  <c r="AC61" i="163"/>
  <c r="AC60" i="163"/>
  <c r="AC59" i="163"/>
  <c r="AC56" i="163"/>
  <c r="AC55" i="163"/>
  <c r="AC54" i="163"/>
  <c r="AC53" i="163"/>
  <c r="AC52" i="163"/>
  <c r="AC51" i="163"/>
  <c r="AC50" i="163"/>
  <c r="AC49" i="163"/>
  <c r="AC48" i="163"/>
  <c r="AC47" i="163"/>
  <c r="AC46" i="163"/>
  <c r="AC43" i="163"/>
  <c r="AC42" i="163"/>
  <c r="AC41" i="163"/>
  <c r="AC40" i="163"/>
  <c r="AC39" i="163"/>
  <c r="AC38" i="163"/>
  <c r="AC37" i="163"/>
  <c r="AC36" i="163"/>
  <c r="AC35" i="163"/>
  <c r="AC34" i="163"/>
  <c r="AC33" i="163"/>
  <c r="AC30" i="163"/>
  <c r="AC29" i="163"/>
  <c r="AC28" i="163"/>
  <c r="AC27" i="163"/>
  <c r="AC26" i="163"/>
  <c r="AC25" i="163"/>
  <c r="AC24" i="163"/>
  <c r="AC23" i="163"/>
  <c r="AC22" i="163"/>
  <c r="AC21" i="163"/>
  <c r="AC20" i="163"/>
  <c r="AC16" i="163"/>
  <c r="AC15" i="163"/>
  <c r="AC14" i="163"/>
  <c r="AC13" i="163"/>
  <c r="AC12" i="163"/>
  <c r="AC11" i="163"/>
  <c r="AC10" i="163"/>
  <c r="AC9" i="163"/>
  <c r="AC8" i="163"/>
  <c r="AC7" i="163"/>
  <c r="AC6" i="163"/>
  <c r="O26" i="163"/>
  <c r="W26" i="163" s="1"/>
  <c r="AD26" i="163" s="1"/>
  <c r="N26" i="163"/>
  <c r="V26" i="163" s="1"/>
  <c r="X26" i="163" s="1"/>
  <c r="M26" i="163"/>
  <c r="U26" i="163" s="1"/>
  <c r="Z26" i="163" s="1"/>
  <c r="L26" i="163"/>
  <c r="T26" i="163" s="1"/>
  <c r="AA26" i="163" s="1"/>
  <c r="O39" i="163"/>
  <c r="W39" i="163" s="1"/>
  <c r="AD39" i="163" s="1"/>
  <c r="N39" i="163"/>
  <c r="V39" i="163" s="1"/>
  <c r="X39" i="163" s="1"/>
  <c r="M39" i="163"/>
  <c r="U39" i="163" s="1"/>
  <c r="Z39" i="163" s="1"/>
  <c r="L39" i="163"/>
  <c r="T39" i="163" s="1"/>
  <c r="AA39" i="163" s="1"/>
  <c r="O52" i="163"/>
  <c r="W52" i="163" s="1"/>
  <c r="AD52" i="163" s="1"/>
  <c r="N52" i="163"/>
  <c r="V52" i="163" s="1"/>
  <c r="M52" i="163"/>
  <c r="U52" i="163" s="1"/>
  <c r="Z52" i="163" s="1"/>
  <c r="L52" i="163"/>
  <c r="T52" i="163" s="1"/>
  <c r="AA52" i="163" s="1"/>
  <c r="N78" i="163"/>
  <c r="V78" i="163" s="1"/>
  <c r="L78" i="163"/>
  <c r="T78" i="163" s="1"/>
  <c r="AA78" i="163" s="1"/>
  <c r="O78" i="163"/>
  <c r="W78" i="163" s="1"/>
  <c r="AD78" i="163" s="1"/>
  <c r="M78" i="163"/>
  <c r="U78" i="163" s="1"/>
  <c r="Z78" i="163" s="1"/>
  <c r="F47" i="141"/>
  <c r="F46" i="141"/>
  <c r="F45" i="141"/>
  <c r="F209" i="141"/>
  <c r="H209" i="141" s="1"/>
  <c r="H208" i="141"/>
  <c r="F208" i="141"/>
  <c r="G208" i="141" s="1"/>
  <c r="H207" i="141"/>
  <c r="G207" i="141"/>
  <c r="F207" i="141"/>
  <c r="F179" i="141"/>
  <c r="H179" i="141" s="1"/>
  <c r="H178" i="141"/>
  <c r="F178" i="141"/>
  <c r="G178" i="141" s="1"/>
  <c r="H177" i="141"/>
  <c r="G177" i="141"/>
  <c r="F177" i="141"/>
  <c r="F169" i="141"/>
  <c r="H169" i="141" s="1"/>
  <c r="H168" i="141"/>
  <c r="F168" i="141"/>
  <c r="G168" i="141" s="1"/>
  <c r="H167" i="141"/>
  <c r="G167" i="141"/>
  <c r="F167" i="141"/>
  <c r="F159" i="141"/>
  <c r="H159" i="141" s="1"/>
  <c r="H158" i="141"/>
  <c r="F158" i="141"/>
  <c r="G158" i="141" s="1"/>
  <c r="H157" i="141"/>
  <c r="G157" i="141"/>
  <c r="F157" i="141"/>
  <c r="F69" i="141"/>
  <c r="H69" i="141" s="1"/>
  <c r="H68" i="141"/>
  <c r="F68" i="141"/>
  <c r="G68" i="141" s="1"/>
  <c r="H67" i="141"/>
  <c r="G67" i="141"/>
  <c r="F67" i="141"/>
  <c r="F58" i="141"/>
  <c r="H58" i="141" s="1"/>
  <c r="H47" i="141" s="1"/>
  <c r="H57" i="141"/>
  <c r="H46" i="141" s="1"/>
  <c r="F57" i="141"/>
  <c r="G57" i="141" s="1"/>
  <c r="G46" i="141" s="1"/>
  <c r="H56" i="141"/>
  <c r="H45" i="141" s="1"/>
  <c r="G56" i="141"/>
  <c r="G45" i="141" s="1"/>
  <c r="F56" i="141"/>
  <c r="HI24" i="140"/>
  <c r="HG24" i="140"/>
  <c r="HE24" i="140"/>
  <c r="HD24" i="140"/>
  <c r="HA24" i="140"/>
  <c r="GZ24" i="140"/>
  <c r="GX24" i="140"/>
  <c r="GU24" i="140"/>
  <c r="GT24" i="140"/>
  <c r="GV24" i="140" s="1"/>
  <c r="GL24" i="140"/>
  <c r="FX24" i="140"/>
  <c r="FV24" i="140"/>
  <c r="FT24" i="140"/>
  <c r="FS24" i="140"/>
  <c r="FP24" i="140"/>
  <c r="FO24" i="140"/>
  <c r="FM24" i="140"/>
  <c r="FJ24" i="140"/>
  <c r="FI24" i="140"/>
  <c r="FK24" i="140" s="1"/>
  <c r="FA24" i="140"/>
  <c r="EM24" i="140"/>
  <c r="EK24" i="140"/>
  <c r="EI24" i="140"/>
  <c r="EH24" i="140"/>
  <c r="EE24" i="140"/>
  <c r="ED24" i="140"/>
  <c r="EB24" i="140"/>
  <c r="DZ24" i="140"/>
  <c r="DY24" i="140"/>
  <c r="DX24" i="140"/>
  <c r="DP24" i="140"/>
  <c r="DB24" i="140"/>
  <c r="CZ24" i="140"/>
  <c r="CX24" i="140"/>
  <c r="CW24" i="140"/>
  <c r="CT24" i="140"/>
  <c r="CS24" i="140"/>
  <c r="CQ24" i="140"/>
  <c r="CN24" i="140"/>
  <c r="CM24" i="140"/>
  <c r="CO24" i="140" s="1"/>
  <c r="CE24" i="140"/>
  <c r="BQ24" i="140"/>
  <c r="BO24" i="140"/>
  <c r="BM24" i="140"/>
  <c r="BL24" i="140"/>
  <c r="BI24" i="140"/>
  <c r="BH24" i="140"/>
  <c r="BF24" i="140"/>
  <c r="BC24" i="140"/>
  <c r="BB24" i="140"/>
  <c r="BD24" i="140" s="1"/>
  <c r="AT24" i="140"/>
  <c r="AD24" i="140"/>
  <c r="AA24" i="140"/>
  <c r="X24" i="140"/>
  <c r="W24" i="140"/>
  <c r="U24" i="140"/>
  <c r="S24" i="140"/>
  <c r="I24" i="140"/>
  <c r="HI23" i="140"/>
  <c r="HG23" i="140"/>
  <c r="HE23" i="140"/>
  <c r="HD23" i="140"/>
  <c r="HA23" i="140"/>
  <c r="GZ23" i="140"/>
  <c r="GX23" i="140"/>
  <c r="GU23" i="140"/>
  <c r="GT23" i="140"/>
  <c r="GV23" i="140" s="1"/>
  <c r="GL23" i="140"/>
  <c r="FX23" i="140"/>
  <c r="FV23" i="140"/>
  <c r="FT23" i="140"/>
  <c r="FS23" i="140"/>
  <c r="FP23" i="140"/>
  <c r="FO23" i="140"/>
  <c r="FM23" i="140"/>
  <c r="FJ23" i="140"/>
  <c r="FI23" i="140"/>
  <c r="FK23" i="140" s="1"/>
  <c r="FA23" i="140"/>
  <c r="EM23" i="140"/>
  <c r="EK23" i="140"/>
  <c r="EI23" i="140"/>
  <c r="EH23" i="140"/>
  <c r="EE23" i="140"/>
  <c r="ED23" i="140"/>
  <c r="EB23" i="140"/>
  <c r="DY23" i="140"/>
  <c r="DZ23" i="140" s="1"/>
  <c r="DX23" i="140"/>
  <c r="DP23" i="140"/>
  <c r="DB23" i="140"/>
  <c r="CZ23" i="140"/>
  <c r="CX23" i="140"/>
  <c r="CW23" i="140"/>
  <c r="CT23" i="140"/>
  <c r="CS23" i="140"/>
  <c r="CQ23" i="140"/>
  <c r="CN23" i="140"/>
  <c r="CM23" i="140"/>
  <c r="CO23" i="140" s="1"/>
  <c r="CE23" i="140"/>
  <c r="BQ23" i="140"/>
  <c r="BO23" i="140"/>
  <c r="BM23" i="140"/>
  <c r="BL23" i="140"/>
  <c r="BI23" i="140"/>
  <c r="BH23" i="140"/>
  <c r="BF23" i="140"/>
  <c r="BC23" i="140"/>
  <c r="BB23" i="140"/>
  <c r="BD23" i="140" s="1"/>
  <c r="AT23" i="140"/>
  <c r="AD23" i="140"/>
  <c r="AA23" i="140"/>
  <c r="X23" i="140"/>
  <c r="W23" i="140"/>
  <c r="U23" i="140"/>
  <c r="AG23" i="140" s="1"/>
  <c r="S23" i="140"/>
  <c r="I23" i="140"/>
  <c r="HI24" i="139"/>
  <c r="HG24" i="139"/>
  <c r="HE24" i="139"/>
  <c r="HD24" i="139"/>
  <c r="HA24" i="139"/>
  <c r="GZ24" i="139"/>
  <c r="GX24" i="139"/>
  <c r="GU24" i="139"/>
  <c r="GT24" i="139"/>
  <c r="GV24" i="139" s="1"/>
  <c r="GL24" i="139"/>
  <c r="FX24" i="139"/>
  <c r="FV24" i="139"/>
  <c r="FT24" i="139"/>
  <c r="FS24" i="139"/>
  <c r="FP24" i="139"/>
  <c r="FO24" i="139"/>
  <c r="FM24" i="139"/>
  <c r="FJ24" i="139"/>
  <c r="FI24" i="139"/>
  <c r="FK24" i="139" s="1"/>
  <c r="FA24" i="139"/>
  <c r="EM24" i="139"/>
  <c r="EK24" i="139"/>
  <c r="EI24" i="139"/>
  <c r="EH24" i="139"/>
  <c r="EE24" i="139"/>
  <c r="ED24" i="139"/>
  <c r="EB24" i="139"/>
  <c r="DY24" i="139"/>
  <c r="DX24" i="139"/>
  <c r="DZ24" i="139" s="1"/>
  <c r="DP24" i="139"/>
  <c r="DB24" i="139"/>
  <c r="CZ24" i="139"/>
  <c r="CX24" i="139"/>
  <c r="CW24" i="139"/>
  <c r="CT24" i="139"/>
  <c r="CS24" i="139"/>
  <c r="CQ24" i="139"/>
  <c r="CN24" i="139"/>
  <c r="CM24" i="139"/>
  <c r="CO24" i="139" s="1"/>
  <c r="CE24" i="139"/>
  <c r="BQ24" i="139"/>
  <c r="BO24" i="139"/>
  <c r="BM24" i="139"/>
  <c r="BL24" i="139"/>
  <c r="BI24" i="139"/>
  <c r="BH24" i="139"/>
  <c r="BF24" i="139"/>
  <c r="BD24" i="139"/>
  <c r="BC24" i="139"/>
  <c r="BB24" i="139"/>
  <c r="AT24" i="139"/>
  <c r="AD24" i="139"/>
  <c r="AA24" i="139"/>
  <c r="X24" i="139"/>
  <c r="W24" i="139"/>
  <c r="U24" i="139"/>
  <c r="S24" i="139"/>
  <c r="I24" i="139"/>
  <c r="HI23" i="139"/>
  <c r="HG23" i="139"/>
  <c r="HE23" i="139"/>
  <c r="HD23" i="139"/>
  <c r="HA23" i="139"/>
  <c r="GZ23" i="139"/>
  <c r="GX23" i="139"/>
  <c r="GU23" i="139"/>
  <c r="GT23" i="139"/>
  <c r="GV23" i="139" s="1"/>
  <c r="GL23" i="139"/>
  <c r="FX23" i="139"/>
  <c r="FV23" i="139"/>
  <c r="FT23" i="139"/>
  <c r="FS23" i="139"/>
  <c r="FP23" i="139"/>
  <c r="FO23" i="139"/>
  <c r="FM23" i="139"/>
  <c r="FJ23" i="139"/>
  <c r="FI23" i="139"/>
  <c r="FK23" i="139" s="1"/>
  <c r="FA23" i="139"/>
  <c r="EM23" i="139"/>
  <c r="EK23" i="139"/>
  <c r="EI23" i="139"/>
  <c r="EH23" i="139"/>
  <c r="EE23" i="139"/>
  <c r="ED23" i="139"/>
  <c r="EB23" i="139"/>
  <c r="DY23" i="139"/>
  <c r="DX23" i="139"/>
  <c r="DZ23" i="139" s="1"/>
  <c r="DP23" i="139"/>
  <c r="DB23" i="139"/>
  <c r="CZ23" i="139"/>
  <c r="CX23" i="139"/>
  <c r="CW23" i="139"/>
  <c r="CT23" i="139"/>
  <c r="CS23" i="139"/>
  <c r="CQ23" i="139"/>
  <c r="CN23" i="139"/>
  <c r="CM23" i="139"/>
  <c r="CO23" i="139" s="1"/>
  <c r="CE23" i="139"/>
  <c r="BQ23" i="139"/>
  <c r="BO23" i="139"/>
  <c r="BM23" i="139"/>
  <c r="BL23" i="139"/>
  <c r="BI23" i="139"/>
  <c r="BH23" i="139"/>
  <c r="BF23" i="139"/>
  <c r="BC23" i="139"/>
  <c r="BB23" i="139"/>
  <c r="AT23" i="139"/>
  <c r="AD23" i="139"/>
  <c r="AA23" i="139"/>
  <c r="X23" i="139"/>
  <c r="W23" i="139"/>
  <c r="U23" i="139"/>
  <c r="S23" i="139"/>
  <c r="I23" i="139"/>
  <c r="HI24" i="77"/>
  <c r="HG24" i="77"/>
  <c r="HD24" i="77"/>
  <c r="HA24" i="77"/>
  <c r="GZ24" i="77"/>
  <c r="GX24" i="77"/>
  <c r="GU24" i="77"/>
  <c r="GT24" i="77"/>
  <c r="GV24" i="77" s="1"/>
  <c r="GL24" i="77"/>
  <c r="FX24" i="77"/>
  <c r="FV24" i="77"/>
  <c r="FS24" i="77"/>
  <c r="FP24" i="77"/>
  <c r="FO24" i="77"/>
  <c r="FM24" i="77"/>
  <c r="FJ24" i="77"/>
  <c r="FI24" i="77"/>
  <c r="FK24" i="77" s="1"/>
  <c r="FA24" i="77"/>
  <c r="EM24" i="77"/>
  <c r="EK24" i="77"/>
  <c r="EH24" i="77"/>
  <c r="EE24" i="77"/>
  <c r="ED24" i="77"/>
  <c r="EB24" i="77"/>
  <c r="DY24" i="77"/>
  <c r="DX24" i="77"/>
  <c r="DZ24" i="77" s="1"/>
  <c r="DP24" i="77"/>
  <c r="DB24" i="77"/>
  <c r="CZ24" i="77"/>
  <c r="CW24" i="77"/>
  <c r="CT24" i="77"/>
  <c r="CS24" i="77"/>
  <c r="CQ24" i="77"/>
  <c r="CN24" i="77"/>
  <c r="CM24" i="77"/>
  <c r="CE24" i="77"/>
  <c r="BQ24" i="77"/>
  <c r="BO24" i="77"/>
  <c r="BL24" i="77"/>
  <c r="BI24" i="77"/>
  <c r="BH24" i="77"/>
  <c r="BF24" i="77"/>
  <c r="BC24" i="77"/>
  <c r="BB24" i="77"/>
  <c r="AT24" i="77"/>
  <c r="AD24" i="77"/>
  <c r="AA24" i="77"/>
  <c r="X24" i="77"/>
  <c r="W24" i="77"/>
  <c r="U24" i="77"/>
  <c r="S24" i="77"/>
  <c r="I24" i="77"/>
  <c r="HI23" i="77"/>
  <c r="HG23" i="77"/>
  <c r="HD23" i="77"/>
  <c r="HA23" i="77"/>
  <c r="GZ23" i="77"/>
  <c r="GX23" i="77"/>
  <c r="GU23" i="77"/>
  <c r="GT23" i="77"/>
  <c r="GL23" i="77"/>
  <c r="FX23" i="77"/>
  <c r="FV23" i="77"/>
  <c r="FS23" i="77"/>
  <c r="FP23" i="77"/>
  <c r="FO23" i="77"/>
  <c r="FM23" i="77"/>
  <c r="FJ23" i="77"/>
  <c r="FI23" i="77"/>
  <c r="FA23" i="77"/>
  <c r="EM23" i="77"/>
  <c r="EK23" i="77"/>
  <c r="EH23" i="77"/>
  <c r="EE23" i="77"/>
  <c r="ED23" i="77"/>
  <c r="EB23" i="77"/>
  <c r="DY23" i="77"/>
  <c r="DX23" i="77"/>
  <c r="DP23" i="77"/>
  <c r="DB23" i="77"/>
  <c r="CZ23" i="77"/>
  <c r="CW23" i="77"/>
  <c r="CT23" i="77"/>
  <c r="CS23" i="77"/>
  <c r="CQ23" i="77"/>
  <c r="CN23" i="77"/>
  <c r="CM23" i="77"/>
  <c r="CE23" i="77"/>
  <c r="BQ23" i="77"/>
  <c r="BO23" i="77"/>
  <c r="BL23" i="77"/>
  <c r="BI23" i="77"/>
  <c r="BH23" i="77"/>
  <c r="BF23" i="77"/>
  <c r="BC23" i="77"/>
  <c r="BB23" i="77"/>
  <c r="AT23" i="77"/>
  <c r="AD23" i="77"/>
  <c r="AA23" i="77"/>
  <c r="X23" i="77"/>
  <c r="W23" i="77"/>
  <c r="U23" i="77"/>
  <c r="S23" i="77"/>
  <c r="I23" i="77"/>
  <c r="AG23" i="77" l="1"/>
  <c r="AG23" i="139"/>
  <c r="AG24" i="139"/>
  <c r="DR18" i="140"/>
  <c r="DR18" i="139"/>
  <c r="DR18" i="77"/>
  <c r="K18" i="140"/>
  <c r="K18" i="139"/>
  <c r="FB18" i="140"/>
  <c r="FB18" i="139"/>
  <c r="FB18" i="77"/>
  <c r="DQ18" i="139"/>
  <c r="DQ18" i="140"/>
  <c r="DQ18" i="77"/>
  <c r="J18" i="140"/>
  <c r="J18" i="139"/>
  <c r="J18" i="77"/>
  <c r="DU18" i="139"/>
  <c r="DU18" i="140"/>
  <c r="DU18" i="77"/>
  <c r="N18" i="140"/>
  <c r="N18" i="139"/>
  <c r="CF18" i="140"/>
  <c r="CF18" i="139"/>
  <c r="CF18" i="77"/>
  <c r="FC18" i="140"/>
  <c r="FC18" i="139"/>
  <c r="FC18" i="77"/>
  <c r="CJ18" i="140"/>
  <c r="CJ18" i="139"/>
  <c r="CJ18" i="77"/>
  <c r="CG18" i="140"/>
  <c r="CG18" i="139"/>
  <c r="CG18" i="77"/>
  <c r="X52" i="163"/>
  <c r="AB52" i="163"/>
  <c r="AB39" i="163"/>
  <c r="X78" i="163"/>
  <c r="AB78" i="163"/>
  <c r="FF18" i="140"/>
  <c r="FF18" i="139"/>
  <c r="FF18" i="77"/>
  <c r="AB26" i="163"/>
  <c r="AG24" i="140"/>
  <c r="AG24" i="77"/>
  <c r="BR24" i="140"/>
  <c r="EN24" i="140"/>
  <c r="EN24" i="139"/>
  <c r="BD23" i="139"/>
  <c r="BR24" i="139"/>
  <c r="GV23" i="77"/>
  <c r="BD23" i="77"/>
  <c r="DZ23" i="77"/>
  <c r="EN23" i="77" s="1"/>
  <c r="FK23" i="77"/>
  <c r="BD24" i="77"/>
  <c r="CO24" i="77"/>
  <c r="EN24" i="77"/>
  <c r="CO23" i="77"/>
  <c r="BR24" i="77"/>
  <c r="G209" i="141"/>
  <c r="G179" i="141"/>
  <c r="G169" i="141"/>
  <c r="G159" i="141"/>
  <c r="G69" i="141"/>
  <c r="G58" i="141"/>
  <c r="EN23" i="140"/>
  <c r="FY23" i="140"/>
  <c r="DC24" i="140"/>
  <c r="FY24" i="140"/>
  <c r="BR23" i="140"/>
  <c r="DC23" i="140"/>
  <c r="HJ23" i="140"/>
  <c r="HJ24" i="140"/>
  <c r="BR23" i="139"/>
  <c r="FY23" i="139"/>
  <c r="DC24" i="139"/>
  <c r="FY24" i="139"/>
  <c r="EN23" i="139"/>
  <c r="DC23" i="139"/>
  <c r="HJ23" i="139"/>
  <c r="HJ24" i="139"/>
  <c r="HJ24" i="77"/>
  <c r="DC24" i="77"/>
  <c r="FY24" i="77"/>
  <c r="BR23" i="77"/>
  <c r="HJ23" i="77"/>
  <c r="AF305" i="141"/>
  <c r="AE305" i="141"/>
  <c r="AD305" i="141"/>
  <c r="BA305" i="141"/>
  <c r="AZ305" i="141"/>
  <c r="AY305" i="141"/>
  <c r="DL305" i="141"/>
  <c r="DK305" i="141"/>
  <c r="DJ305" i="141"/>
  <c r="CQ305" i="141"/>
  <c r="CP305" i="141"/>
  <c r="CO305" i="141"/>
  <c r="BV305" i="141"/>
  <c r="BU305" i="141"/>
  <c r="BT305" i="141"/>
  <c r="DJ246" i="141"/>
  <c r="CO246" i="141"/>
  <c r="BT246" i="141"/>
  <c r="AY246" i="141"/>
  <c r="AD246" i="141"/>
  <c r="G47" i="141" l="1"/>
  <c r="DS18" i="140"/>
  <c r="DS18" i="139"/>
  <c r="DS18" i="77"/>
  <c r="FD18" i="140"/>
  <c r="FD18" i="139"/>
  <c r="FD18" i="77"/>
  <c r="L18" i="140"/>
  <c r="L18" i="139"/>
  <c r="CH18" i="140"/>
  <c r="CH18" i="139"/>
  <c r="CH18" i="77"/>
  <c r="FY23" i="77"/>
  <c r="DC23" i="77"/>
  <c r="EG304" i="141"/>
  <c r="EF304" i="141"/>
  <c r="ED304" i="141"/>
  <c r="EC304" i="141"/>
  <c r="EB304" i="141"/>
  <c r="ED303" i="141"/>
  <c r="EC303" i="141"/>
  <c r="EB303" i="141"/>
  <c r="ED301" i="141"/>
  <c r="EC301" i="141"/>
  <c r="EB301" i="141"/>
  <c r="EG276" i="141"/>
  <c r="EF276" i="141"/>
  <c r="ED276" i="141"/>
  <c r="EC276" i="141"/>
  <c r="EB276" i="141"/>
  <c r="ED275" i="141"/>
  <c r="EC275" i="141"/>
  <c r="EB275" i="141"/>
  <c r="ED273" i="141"/>
  <c r="EC273" i="141"/>
  <c r="EB273" i="141"/>
  <c r="EE304" i="141" l="1"/>
  <c r="EE276" i="141"/>
  <c r="S82" i="163" l="1"/>
  <c r="R82" i="163"/>
  <c r="Q82" i="163"/>
  <c r="BB267" i="141" s="1"/>
  <c r="P82" i="163"/>
  <c r="K82" i="163"/>
  <c r="J82" i="163"/>
  <c r="I82" i="163"/>
  <c r="BB295" i="141" s="1"/>
  <c r="H82" i="163"/>
  <c r="G82" i="163"/>
  <c r="F82" i="163"/>
  <c r="N82" i="163" s="1"/>
  <c r="E82" i="163"/>
  <c r="M82" i="163" s="1"/>
  <c r="U82" i="163" s="1"/>
  <c r="Z82" i="163" s="1"/>
  <c r="D82" i="163"/>
  <c r="S81" i="163"/>
  <c r="R81" i="163"/>
  <c r="Q81" i="163"/>
  <c r="BB265" i="141" s="1"/>
  <c r="P81" i="163"/>
  <c r="K81" i="163"/>
  <c r="J81" i="163"/>
  <c r="I81" i="163"/>
  <c r="BB293" i="141" s="1"/>
  <c r="H81" i="163"/>
  <c r="G81" i="163"/>
  <c r="O81" i="163" s="1"/>
  <c r="F81" i="163"/>
  <c r="N81" i="163" s="1"/>
  <c r="E81" i="163"/>
  <c r="M81" i="163" s="1"/>
  <c r="U81" i="163" s="1"/>
  <c r="Z81" i="163" s="1"/>
  <c r="D81" i="163"/>
  <c r="S80" i="163"/>
  <c r="R80" i="163"/>
  <c r="Q80" i="163"/>
  <c r="BB266" i="141" s="1"/>
  <c r="P80" i="163"/>
  <c r="K80" i="163"/>
  <c r="J80" i="163"/>
  <c r="I80" i="163"/>
  <c r="BB294" i="141" s="1"/>
  <c r="H80" i="163"/>
  <c r="G80" i="163"/>
  <c r="O80" i="163" s="1"/>
  <c r="W80" i="163" s="1"/>
  <c r="AD80" i="163" s="1"/>
  <c r="F80" i="163"/>
  <c r="N80" i="163" s="1"/>
  <c r="V80" i="163" s="1"/>
  <c r="E80" i="163"/>
  <c r="M80" i="163" s="1"/>
  <c r="U80" i="163" s="1"/>
  <c r="Z80" i="163" s="1"/>
  <c r="D80" i="163"/>
  <c r="S79" i="163"/>
  <c r="R79" i="163"/>
  <c r="Q79" i="163"/>
  <c r="BB264" i="141" s="1"/>
  <c r="P79" i="163"/>
  <c r="K79" i="163"/>
  <c r="J79" i="163"/>
  <c r="I79" i="163"/>
  <c r="H79" i="163"/>
  <c r="G79" i="163"/>
  <c r="O79" i="163" s="1"/>
  <c r="W79" i="163" s="1"/>
  <c r="AD79" i="163" s="1"/>
  <c r="F79" i="163"/>
  <c r="N79" i="163" s="1"/>
  <c r="V79" i="163" s="1"/>
  <c r="E79" i="163"/>
  <c r="D79" i="163"/>
  <c r="S76" i="163"/>
  <c r="R76" i="163"/>
  <c r="Q76" i="163"/>
  <c r="P76" i="163"/>
  <c r="P77" i="163" s="1"/>
  <c r="K76" i="163"/>
  <c r="K77" i="163" s="1"/>
  <c r="J76" i="163"/>
  <c r="J77" i="163" s="1"/>
  <c r="I76" i="163"/>
  <c r="I77" i="163" s="1"/>
  <c r="H76" i="163"/>
  <c r="H77" i="163" s="1"/>
  <c r="G76" i="163"/>
  <c r="F76" i="163"/>
  <c r="E76" i="163"/>
  <c r="E77" i="163" s="1"/>
  <c r="M77" i="163" s="1"/>
  <c r="D76" i="163"/>
  <c r="S75" i="163"/>
  <c r="R75" i="163"/>
  <c r="Q75" i="163"/>
  <c r="BB263" i="141" s="1"/>
  <c r="P75" i="163"/>
  <c r="K75" i="163"/>
  <c r="J75" i="163"/>
  <c r="I75" i="163"/>
  <c r="H75" i="163"/>
  <c r="G75" i="163"/>
  <c r="O75" i="163" s="1"/>
  <c r="W75" i="163" s="1"/>
  <c r="AD75" i="163" s="1"/>
  <c r="F75" i="163"/>
  <c r="E75" i="163"/>
  <c r="D75" i="163"/>
  <c r="S74" i="163"/>
  <c r="R74" i="163"/>
  <c r="Q74" i="163"/>
  <c r="BB262" i="141" s="1"/>
  <c r="P74" i="163"/>
  <c r="K74" i="163"/>
  <c r="J74" i="163"/>
  <c r="I74" i="163"/>
  <c r="H74" i="163"/>
  <c r="G74" i="163"/>
  <c r="F74" i="163"/>
  <c r="N74" i="163" s="1"/>
  <c r="E74" i="163"/>
  <c r="D74" i="163"/>
  <c r="S73" i="163"/>
  <c r="R73" i="163"/>
  <c r="Q73" i="163"/>
  <c r="BB260" i="141" s="1"/>
  <c r="P73" i="163"/>
  <c r="K73" i="163"/>
  <c r="J73" i="163"/>
  <c r="I73" i="163"/>
  <c r="H73" i="163"/>
  <c r="G73" i="163"/>
  <c r="O73" i="163" s="1"/>
  <c r="W73" i="163" s="1"/>
  <c r="AD73" i="163" s="1"/>
  <c r="F73" i="163"/>
  <c r="N73" i="163" s="1"/>
  <c r="V73" i="163" s="1"/>
  <c r="E73" i="163"/>
  <c r="D73" i="163"/>
  <c r="L73" i="163" s="1"/>
  <c r="T73" i="163" s="1"/>
  <c r="AA73" i="163" s="1"/>
  <c r="S72" i="163"/>
  <c r="R72" i="163"/>
  <c r="Q72" i="163"/>
  <c r="BB259" i="141" s="1"/>
  <c r="P72" i="163"/>
  <c r="K72" i="163"/>
  <c r="J72" i="163"/>
  <c r="I72" i="163"/>
  <c r="H72" i="163"/>
  <c r="G72" i="163"/>
  <c r="O72" i="163" s="1"/>
  <c r="F72" i="163"/>
  <c r="N72" i="163" s="1"/>
  <c r="E72" i="163"/>
  <c r="D72" i="163"/>
  <c r="L72" i="163" s="1"/>
  <c r="T72" i="163" s="1"/>
  <c r="AA72" i="163" s="1"/>
  <c r="Q71" i="163"/>
  <c r="P71" i="163"/>
  <c r="I71" i="163"/>
  <c r="H71" i="163"/>
  <c r="E71" i="163"/>
  <c r="D71" i="163"/>
  <c r="S69" i="163"/>
  <c r="R69" i="163"/>
  <c r="Q69" i="163"/>
  <c r="AG267" i="141" s="1"/>
  <c r="P69" i="163"/>
  <c r="K69" i="163"/>
  <c r="J69" i="163"/>
  <c r="I69" i="163"/>
  <c r="AG295" i="141" s="1"/>
  <c r="H69" i="163"/>
  <c r="G69" i="163"/>
  <c r="O69" i="163" s="1"/>
  <c r="W69" i="163" s="1"/>
  <c r="AD69" i="163" s="1"/>
  <c r="F69" i="163"/>
  <c r="N69" i="163" s="1"/>
  <c r="V69" i="163" s="1"/>
  <c r="E69" i="163"/>
  <c r="M69" i="163" s="1"/>
  <c r="U69" i="163" s="1"/>
  <c r="Z69" i="163" s="1"/>
  <c r="D69" i="163"/>
  <c r="L69" i="163" s="1"/>
  <c r="T69" i="163" s="1"/>
  <c r="AA69" i="163" s="1"/>
  <c r="S68" i="163"/>
  <c r="R68" i="163"/>
  <c r="Q68" i="163"/>
  <c r="AG265" i="141" s="1"/>
  <c r="P68" i="163"/>
  <c r="K68" i="163"/>
  <c r="J68" i="163"/>
  <c r="I68" i="163"/>
  <c r="AG293" i="141" s="1"/>
  <c r="H68" i="163"/>
  <c r="G68" i="163"/>
  <c r="O68" i="163" s="1"/>
  <c r="W68" i="163" s="1"/>
  <c r="AD68" i="163" s="1"/>
  <c r="F68" i="163"/>
  <c r="E68" i="163"/>
  <c r="M68" i="163" s="1"/>
  <c r="D68" i="163"/>
  <c r="L68" i="163" s="1"/>
  <c r="T68" i="163" s="1"/>
  <c r="AA68" i="163" s="1"/>
  <c r="S67" i="163"/>
  <c r="R67" i="163"/>
  <c r="Q67" i="163"/>
  <c r="AG266" i="141" s="1"/>
  <c r="P67" i="163"/>
  <c r="K67" i="163"/>
  <c r="J67" i="163"/>
  <c r="I67" i="163"/>
  <c r="AG294" i="141" s="1"/>
  <c r="H67" i="163"/>
  <c r="G67" i="163"/>
  <c r="O67" i="163" s="1"/>
  <c r="W67" i="163" s="1"/>
  <c r="AD67" i="163" s="1"/>
  <c r="F67" i="163"/>
  <c r="N67" i="163" s="1"/>
  <c r="E67" i="163"/>
  <c r="M67" i="163" s="1"/>
  <c r="U67" i="163" s="1"/>
  <c r="Z67" i="163" s="1"/>
  <c r="D67" i="163"/>
  <c r="L67" i="163" s="1"/>
  <c r="T67" i="163" s="1"/>
  <c r="AA67" i="163" s="1"/>
  <c r="S66" i="163"/>
  <c r="R66" i="163"/>
  <c r="Q66" i="163"/>
  <c r="AG264" i="141" s="1"/>
  <c r="P66" i="163"/>
  <c r="K66" i="163"/>
  <c r="J66" i="163"/>
  <c r="I66" i="163"/>
  <c r="H66" i="163"/>
  <c r="G66" i="163"/>
  <c r="O66" i="163" s="1"/>
  <c r="W66" i="163" s="1"/>
  <c r="AD66" i="163" s="1"/>
  <c r="F66" i="163"/>
  <c r="N66" i="163" s="1"/>
  <c r="V66" i="163" s="1"/>
  <c r="E66" i="163"/>
  <c r="D66" i="163"/>
  <c r="L66" i="163" s="1"/>
  <c r="S65" i="163"/>
  <c r="Q65" i="163"/>
  <c r="Q12" i="163" s="1"/>
  <c r="P65" i="163"/>
  <c r="P12" i="163" s="1"/>
  <c r="N65" i="163"/>
  <c r="V65" i="163" s="1"/>
  <c r="AB65" i="163" s="1"/>
  <c r="G65" i="163"/>
  <c r="G12" i="163" s="1"/>
  <c r="E65" i="163"/>
  <c r="M65" i="163" s="1"/>
  <c r="D65" i="163"/>
  <c r="L65" i="163" s="1"/>
  <c r="S63" i="163"/>
  <c r="R63" i="163"/>
  <c r="Q63" i="163"/>
  <c r="P63" i="163"/>
  <c r="K63" i="163"/>
  <c r="K64" i="163" s="1"/>
  <c r="J63" i="163"/>
  <c r="J64" i="163" s="1"/>
  <c r="I63" i="163"/>
  <c r="I64" i="163" s="1"/>
  <c r="H63" i="163"/>
  <c r="H64" i="163" s="1"/>
  <c r="G63" i="163"/>
  <c r="O63" i="163" s="1"/>
  <c r="W63" i="163" s="1"/>
  <c r="AD63" i="163" s="1"/>
  <c r="F63" i="163"/>
  <c r="F64" i="163" s="1"/>
  <c r="N64" i="163" s="1"/>
  <c r="E63" i="163"/>
  <c r="AG289" i="141" s="1"/>
  <c r="D63" i="163"/>
  <c r="D64" i="163" s="1"/>
  <c r="L64" i="163" s="1"/>
  <c r="S62" i="163"/>
  <c r="R62" i="163"/>
  <c r="Q62" i="163"/>
  <c r="AG263" i="141" s="1"/>
  <c r="P62" i="163"/>
  <c r="K62" i="163"/>
  <c r="J62" i="163"/>
  <c r="I62" i="163"/>
  <c r="H62" i="163"/>
  <c r="G62" i="163"/>
  <c r="O62" i="163" s="1"/>
  <c r="W62" i="163" s="1"/>
  <c r="AD62" i="163" s="1"/>
  <c r="F62" i="163"/>
  <c r="N62" i="163" s="1"/>
  <c r="V62" i="163" s="1"/>
  <c r="E62" i="163"/>
  <c r="D62" i="163"/>
  <c r="L62" i="163" s="1"/>
  <c r="T62" i="163" s="1"/>
  <c r="AA62" i="163" s="1"/>
  <c r="S61" i="163"/>
  <c r="R61" i="163"/>
  <c r="Q61" i="163"/>
  <c r="AG262" i="141" s="1"/>
  <c r="P61" i="163"/>
  <c r="K61" i="163"/>
  <c r="J61" i="163"/>
  <c r="I61" i="163"/>
  <c r="H61" i="163"/>
  <c r="G61" i="163"/>
  <c r="O61" i="163" s="1"/>
  <c r="W61" i="163" s="1"/>
  <c r="AD61" i="163" s="1"/>
  <c r="F61" i="163"/>
  <c r="N61" i="163" s="1"/>
  <c r="E61" i="163"/>
  <c r="D61" i="163"/>
  <c r="L61" i="163" s="1"/>
  <c r="T61" i="163" s="1"/>
  <c r="AA61" i="163" s="1"/>
  <c r="S60" i="163"/>
  <c r="R60" i="163"/>
  <c r="Q60" i="163"/>
  <c r="AG260" i="141" s="1"/>
  <c r="P60" i="163"/>
  <c r="K60" i="163"/>
  <c r="J60" i="163"/>
  <c r="I60" i="163"/>
  <c r="H60" i="163"/>
  <c r="G60" i="163"/>
  <c r="F60" i="163"/>
  <c r="N60" i="163" s="1"/>
  <c r="V60" i="163" s="1"/>
  <c r="E60" i="163"/>
  <c r="D60" i="163"/>
  <c r="L60" i="163" s="1"/>
  <c r="T60" i="163" s="1"/>
  <c r="AA60" i="163" s="1"/>
  <c r="S59" i="163"/>
  <c r="R59" i="163"/>
  <c r="Q59" i="163"/>
  <c r="AG259" i="141" s="1"/>
  <c r="P59" i="163"/>
  <c r="K59" i="163"/>
  <c r="J59" i="163"/>
  <c r="I59" i="163"/>
  <c r="H59" i="163"/>
  <c r="G59" i="163"/>
  <c r="O59" i="163" s="1"/>
  <c r="F59" i="163"/>
  <c r="N59" i="163" s="1"/>
  <c r="E59" i="163"/>
  <c r="D59" i="163"/>
  <c r="L59" i="163" s="1"/>
  <c r="T59" i="163" s="1"/>
  <c r="AA59" i="163" s="1"/>
  <c r="Q58" i="163"/>
  <c r="P58" i="163"/>
  <c r="I58" i="163"/>
  <c r="H58" i="163"/>
  <c r="E58" i="163"/>
  <c r="D58" i="163"/>
  <c r="S56" i="163"/>
  <c r="R56" i="163"/>
  <c r="Q56" i="163"/>
  <c r="CR267" i="141" s="1"/>
  <c r="P56" i="163"/>
  <c r="K56" i="163"/>
  <c r="J56" i="163"/>
  <c r="I56" i="163"/>
  <c r="CR295" i="141" s="1"/>
  <c r="H56" i="163"/>
  <c r="G56" i="163"/>
  <c r="F56" i="163"/>
  <c r="N56" i="163" s="1"/>
  <c r="V56" i="163" s="1"/>
  <c r="E56" i="163"/>
  <c r="M56" i="163" s="1"/>
  <c r="D56" i="163"/>
  <c r="L56" i="163" s="1"/>
  <c r="T56" i="163" s="1"/>
  <c r="AA56" i="163" s="1"/>
  <c r="S55" i="163"/>
  <c r="R55" i="163"/>
  <c r="Q55" i="163"/>
  <c r="CR265" i="141" s="1"/>
  <c r="P55" i="163"/>
  <c r="K55" i="163"/>
  <c r="J55" i="163"/>
  <c r="I55" i="163"/>
  <c r="CR293" i="141" s="1"/>
  <c r="H55" i="163"/>
  <c r="G55" i="163"/>
  <c r="F55" i="163"/>
  <c r="N55" i="163" s="1"/>
  <c r="V55" i="163" s="1"/>
  <c r="E55" i="163"/>
  <c r="M55" i="163" s="1"/>
  <c r="U55" i="163" s="1"/>
  <c r="Z55" i="163" s="1"/>
  <c r="D55" i="163"/>
  <c r="S54" i="163"/>
  <c r="R54" i="163"/>
  <c r="Q54" i="163"/>
  <c r="CR266" i="141" s="1"/>
  <c r="P54" i="163"/>
  <c r="K54" i="163"/>
  <c r="J54" i="163"/>
  <c r="I54" i="163"/>
  <c r="CR294" i="141" s="1"/>
  <c r="H54" i="163"/>
  <c r="G54" i="163"/>
  <c r="O54" i="163" s="1"/>
  <c r="W54" i="163" s="1"/>
  <c r="AD54" i="163" s="1"/>
  <c r="F54" i="163"/>
  <c r="E54" i="163"/>
  <c r="M54" i="163" s="1"/>
  <c r="U54" i="163" s="1"/>
  <c r="Z54" i="163" s="1"/>
  <c r="D54" i="163"/>
  <c r="S53" i="163"/>
  <c r="R53" i="163"/>
  <c r="Q53" i="163"/>
  <c r="CR264" i="141" s="1"/>
  <c r="P53" i="163"/>
  <c r="K53" i="163"/>
  <c r="J53" i="163"/>
  <c r="I53" i="163"/>
  <c r="H53" i="163"/>
  <c r="G53" i="163"/>
  <c r="O53" i="163" s="1"/>
  <c r="W53" i="163" s="1"/>
  <c r="AD53" i="163" s="1"/>
  <c r="F53" i="163"/>
  <c r="N53" i="163" s="1"/>
  <c r="E53" i="163"/>
  <c r="D53" i="163"/>
  <c r="L53" i="163" s="1"/>
  <c r="T53" i="163" s="1"/>
  <c r="AA53" i="163" s="1"/>
  <c r="S50" i="163"/>
  <c r="R50" i="163"/>
  <c r="Q50" i="163"/>
  <c r="P50" i="163"/>
  <c r="P51" i="163" s="1"/>
  <c r="K50" i="163"/>
  <c r="K51" i="163" s="1"/>
  <c r="J50" i="163"/>
  <c r="J51" i="163" s="1"/>
  <c r="I50" i="163"/>
  <c r="I51" i="163" s="1"/>
  <c r="H50" i="163"/>
  <c r="H51" i="163" s="1"/>
  <c r="G50" i="163"/>
  <c r="F50" i="163"/>
  <c r="E50" i="163"/>
  <c r="E51" i="163" s="1"/>
  <c r="D50" i="163"/>
  <c r="S49" i="163"/>
  <c r="R49" i="163"/>
  <c r="Q49" i="163"/>
  <c r="CR263" i="141" s="1"/>
  <c r="P49" i="163"/>
  <c r="K49" i="163"/>
  <c r="J49" i="163"/>
  <c r="I49" i="163"/>
  <c r="H49" i="163"/>
  <c r="G49" i="163"/>
  <c r="O49" i="163" s="1"/>
  <c r="F49" i="163"/>
  <c r="N49" i="163" s="1"/>
  <c r="V49" i="163" s="1"/>
  <c r="E49" i="163"/>
  <c r="D49" i="163"/>
  <c r="L49" i="163" s="1"/>
  <c r="T49" i="163" s="1"/>
  <c r="AA49" i="163" s="1"/>
  <c r="S48" i="163"/>
  <c r="R48" i="163"/>
  <c r="Q48" i="163"/>
  <c r="CR262" i="141" s="1"/>
  <c r="P48" i="163"/>
  <c r="K48" i="163"/>
  <c r="J48" i="163"/>
  <c r="I48" i="163"/>
  <c r="H48" i="163"/>
  <c r="G48" i="163"/>
  <c r="F48" i="163"/>
  <c r="N48" i="163" s="1"/>
  <c r="V48" i="163" s="1"/>
  <c r="E48" i="163"/>
  <c r="D48" i="163"/>
  <c r="S47" i="163"/>
  <c r="R47" i="163"/>
  <c r="Q47" i="163"/>
  <c r="CR260" i="141" s="1"/>
  <c r="P47" i="163"/>
  <c r="K47" i="163"/>
  <c r="J47" i="163"/>
  <c r="I47" i="163"/>
  <c r="H47" i="163"/>
  <c r="G47" i="163"/>
  <c r="F47" i="163"/>
  <c r="N47" i="163" s="1"/>
  <c r="E47" i="163"/>
  <c r="D47" i="163"/>
  <c r="L47" i="163" s="1"/>
  <c r="S46" i="163"/>
  <c r="R46" i="163"/>
  <c r="Q46" i="163"/>
  <c r="CR259" i="141" s="1"/>
  <c r="P46" i="163"/>
  <c r="K46" i="163"/>
  <c r="J46" i="163"/>
  <c r="J45" i="163" s="1"/>
  <c r="I46" i="163"/>
  <c r="H46" i="163"/>
  <c r="G46" i="163"/>
  <c r="F46" i="163"/>
  <c r="N46" i="163" s="1"/>
  <c r="V46" i="163" s="1"/>
  <c r="AB46" i="163" s="1"/>
  <c r="E46" i="163"/>
  <c r="D46" i="163"/>
  <c r="L46" i="163" s="1"/>
  <c r="Q45" i="163"/>
  <c r="P45" i="163"/>
  <c r="I45" i="163"/>
  <c r="H45" i="163"/>
  <c r="E45" i="163"/>
  <c r="D45" i="163"/>
  <c r="S43" i="163"/>
  <c r="R43" i="163"/>
  <c r="Q43" i="163"/>
  <c r="BW267" i="141" s="1"/>
  <c r="P43" i="163"/>
  <c r="K43" i="163"/>
  <c r="J43" i="163"/>
  <c r="I43" i="163"/>
  <c r="BW295" i="141" s="1"/>
  <c r="H43" i="163"/>
  <c r="G43" i="163"/>
  <c r="O43" i="163" s="1"/>
  <c r="W43" i="163" s="1"/>
  <c r="AD43" i="163" s="1"/>
  <c r="F43" i="163"/>
  <c r="N43" i="163" s="1"/>
  <c r="V43" i="163" s="1"/>
  <c r="E43" i="163"/>
  <c r="M43" i="163" s="1"/>
  <c r="U43" i="163" s="1"/>
  <c r="Z43" i="163" s="1"/>
  <c r="D43" i="163"/>
  <c r="L43" i="163" s="1"/>
  <c r="T43" i="163" s="1"/>
  <c r="AA43" i="163" s="1"/>
  <c r="S42" i="163"/>
  <c r="R42" i="163"/>
  <c r="Q42" i="163"/>
  <c r="BW265" i="141" s="1"/>
  <c r="P42" i="163"/>
  <c r="K42" i="163"/>
  <c r="J42" i="163"/>
  <c r="I42" i="163"/>
  <c r="BW293" i="141" s="1"/>
  <c r="H42" i="163"/>
  <c r="G42" i="163"/>
  <c r="O42" i="163" s="1"/>
  <c r="W42" i="163" s="1"/>
  <c r="AD42" i="163" s="1"/>
  <c r="F42" i="163"/>
  <c r="N42" i="163" s="1"/>
  <c r="V42" i="163" s="1"/>
  <c r="E42" i="163"/>
  <c r="D42" i="163"/>
  <c r="L42" i="163" s="1"/>
  <c r="T42" i="163" s="1"/>
  <c r="AA42" i="163" s="1"/>
  <c r="S41" i="163"/>
  <c r="R41" i="163"/>
  <c r="Q41" i="163"/>
  <c r="BW266" i="141" s="1"/>
  <c r="P41" i="163"/>
  <c r="K41" i="163"/>
  <c r="J41" i="163"/>
  <c r="I41" i="163"/>
  <c r="BW294" i="141" s="1"/>
  <c r="H41" i="163"/>
  <c r="G41" i="163"/>
  <c r="O41" i="163" s="1"/>
  <c r="W41" i="163" s="1"/>
  <c r="AD41" i="163" s="1"/>
  <c r="F41" i="163"/>
  <c r="N41" i="163" s="1"/>
  <c r="V41" i="163" s="1"/>
  <c r="E41" i="163"/>
  <c r="D41" i="163"/>
  <c r="L41" i="163" s="1"/>
  <c r="T41" i="163" s="1"/>
  <c r="AA41" i="163" s="1"/>
  <c r="S40" i="163"/>
  <c r="R40" i="163"/>
  <c r="Q40" i="163"/>
  <c r="BW264" i="141" s="1"/>
  <c r="P40" i="163"/>
  <c r="K40" i="163"/>
  <c r="J40" i="163"/>
  <c r="I40" i="163"/>
  <c r="H40" i="163"/>
  <c r="G40" i="163"/>
  <c r="O40" i="163" s="1"/>
  <c r="W40" i="163" s="1"/>
  <c r="AD40" i="163" s="1"/>
  <c r="F40" i="163"/>
  <c r="N40" i="163" s="1"/>
  <c r="V40" i="163" s="1"/>
  <c r="E40" i="163"/>
  <c r="D40" i="163"/>
  <c r="L40" i="163" s="1"/>
  <c r="T40" i="163" s="1"/>
  <c r="AA40" i="163" s="1"/>
  <c r="S37" i="163"/>
  <c r="R37" i="163"/>
  <c r="Q37" i="163"/>
  <c r="P37" i="163"/>
  <c r="P38" i="163" s="1"/>
  <c r="K37" i="163"/>
  <c r="K38" i="163" s="1"/>
  <c r="J37" i="163"/>
  <c r="J38" i="163" s="1"/>
  <c r="I37" i="163"/>
  <c r="I38" i="163" s="1"/>
  <c r="H37" i="163"/>
  <c r="H38" i="163" s="1"/>
  <c r="G37" i="163"/>
  <c r="F37" i="163"/>
  <c r="E37" i="163"/>
  <c r="D37" i="163"/>
  <c r="D38" i="163" s="1"/>
  <c r="L38" i="163" s="1"/>
  <c r="T38" i="163" s="1"/>
  <c r="AA38" i="163" s="1"/>
  <c r="S36" i="163"/>
  <c r="R36" i="163"/>
  <c r="Q36" i="163"/>
  <c r="BW263" i="141" s="1"/>
  <c r="P36" i="163"/>
  <c r="K36" i="163"/>
  <c r="J36" i="163"/>
  <c r="I36" i="163"/>
  <c r="H36" i="163"/>
  <c r="G36" i="163"/>
  <c r="F36" i="163"/>
  <c r="N36" i="163" s="1"/>
  <c r="E36" i="163"/>
  <c r="D36" i="163"/>
  <c r="L36" i="163" s="1"/>
  <c r="T36" i="163" s="1"/>
  <c r="AA36" i="163" s="1"/>
  <c r="S35" i="163"/>
  <c r="R35" i="163"/>
  <c r="Q35" i="163"/>
  <c r="BW262" i="141" s="1"/>
  <c r="P35" i="163"/>
  <c r="K35" i="163"/>
  <c r="J35" i="163"/>
  <c r="I35" i="163"/>
  <c r="H35" i="163"/>
  <c r="G35" i="163"/>
  <c r="O35" i="163" s="1"/>
  <c r="W35" i="163" s="1"/>
  <c r="AD35" i="163" s="1"/>
  <c r="F35" i="163"/>
  <c r="E35" i="163"/>
  <c r="D35" i="163"/>
  <c r="L35" i="163" s="1"/>
  <c r="S34" i="163"/>
  <c r="R34" i="163"/>
  <c r="Q34" i="163"/>
  <c r="BW260" i="141" s="1"/>
  <c r="P34" i="163"/>
  <c r="K34" i="163"/>
  <c r="J34" i="163"/>
  <c r="I34" i="163"/>
  <c r="H34" i="163"/>
  <c r="G34" i="163"/>
  <c r="O34" i="163" s="1"/>
  <c r="W34" i="163" s="1"/>
  <c r="AD34" i="163" s="1"/>
  <c r="F34" i="163"/>
  <c r="N34" i="163" s="1"/>
  <c r="V34" i="163" s="1"/>
  <c r="E34" i="163"/>
  <c r="D34" i="163"/>
  <c r="L34" i="163" s="1"/>
  <c r="T34" i="163" s="1"/>
  <c r="AA34" i="163" s="1"/>
  <c r="S33" i="163"/>
  <c r="R33" i="163"/>
  <c r="Q33" i="163"/>
  <c r="BW259" i="141" s="1"/>
  <c r="P33" i="163"/>
  <c r="K33" i="163"/>
  <c r="J33" i="163"/>
  <c r="I33" i="163"/>
  <c r="H33" i="163"/>
  <c r="G33" i="163"/>
  <c r="O33" i="163" s="1"/>
  <c r="F33" i="163"/>
  <c r="N33" i="163" s="1"/>
  <c r="E33" i="163"/>
  <c r="D33" i="163"/>
  <c r="L33" i="163" s="1"/>
  <c r="T33" i="163" s="1"/>
  <c r="AA33" i="163" s="1"/>
  <c r="Q32" i="163"/>
  <c r="P32" i="163"/>
  <c r="I32" i="163"/>
  <c r="H32" i="163"/>
  <c r="E32" i="163"/>
  <c r="D32" i="163"/>
  <c r="S30" i="163"/>
  <c r="R30" i="163"/>
  <c r="Q30" i="163"/>
  <c r="L267" i="141" s="1"/>
  <c r="P30" i="163"/>
  <c r="K30" i="163"/>
  <c r="J30" i="163"/>
  <c r="I30" i="163"/>
  <c r="L295" i="141" s="1"/>
  <c r="H30" i="163"/>
  <c r="G30" i="163"/>
  <c r="F30" i="163"/>
  <c r="N30" i="163" s="1"/>
  <c r="V30" i="163" s="1"/>
  <c r="E30" i="163"/>
  <c r="M30" i="163" s="1"/>
  <c r="U30" i="163" s="1"/>
  <c r="Z30" i="163" s="1"/>
  <c r="D30" i="163"/>
  <c r="L30" i="163" s="1"/>
  <c r="T30" i="163" s="1"/>
  <c r="AA30" i="163" s="1"/>
  <c r="K24" i="77" s="1"/>
  <c r="S29" i="163"/>
  <c r="R29" i="163"/>
  <c r="Q29" i="163"/>
  <c r="L265" i="141" s="1"/>
  <c r="P29" i="163"/>
  <c r="K29" i="163"/>
  <c r="J29" i="163"/>
  <c r="I29" i="163"/>
  <c r="L293" i="141" s="1"/>
  <c r="H29" i="163"/>
  <c r="G29" i="163"/>
  <c r="O29" i="163" s="1"/>
  <c r="W29" i="163" s="1"/>
  <c r="AD29" i="163" s="1"/>
  <c r="N22" i="77" s="1"/>
  <c r="F29" i="163"/>
  <c r="N29" i="163" s="1"/>
  <c r="E29" i="163"/>
  <c r="M29" i="163" s="1"/>
  <c r="D29" i="163"/>
  <c r="S28" i="163"/>
  <c r="R28" i="163"/>
  <c r="Q28" i="163"/>
  <c r="L266" i="141" s="1"/>
  <c r="P28" i="163"/>
  <c r="K28" i="163"/>
  <c r="J28" i="163"/>
  <c r="I28" i="163"/>
  <c r="L294" i="141" s="1"/>
  <c r="H28" i="163"/>
  <c r="G28" i="163"/>
  <c r="F28" i="163"/>
  <c r="N28" i="163" s="1"/>
  <c r="V28" i="163" s="1"/>
  <c r="E28" i="163"/>
  <c r="M28" i="163" s="1"/>
  <c r="U28" i="163" s="1"/>
  <c r="Z28" i="163" s="1"/>
  <c r="J23" i="77" s="1"/>
  <c r="D28" i="163"/>
  <c r="S27" i="163"/>
  <c r="R27" i="163"/>
  <c r="Q27" i="163"/>
  <c r="L264" i="141" s="1"/>
  <c r="P27" i="163"/>
  <c r="K27" i="163"/>
  <c r="J27" i="163"/>
  <c r="I27" i="163"/>
  <c r="H27" i="163"/>
  <c r="G27" i="163"/>
  <c r="O27" i="163" s="1"/>
  <c r="W27" i="163" s="1"/>
  <c r="AD27" i="163" s="1"/>
  <c r="N21" i="77" s="1"/>
  <c r="F27" i="163"/>
  <c r="N27" i="163" s="1"/>
  <c r="V27" i="163" s="1"/>
  <c r="E27" i="163"/>
  <c r="D27" i="163"/>
  <c r="L27" i="163" s="1"/>
  <c r="T27" i="163" s="1"/>
  <c r="AA27" i="163" s="1"/>
  <c r="K21" i="77" s="1"/>
  <c r="S24" i="163"/>
  <c r="R24" i="163"/>
  <c r="Q24" i="163"/>
  <c r="P24" i="163"/>
  <c r="P25" i="163" s="1"/>
  <c r="K24" i="163"/>
  <c r="J24" i="163"/>
  <c r="J25" i="163" s="1"/>
  <c r="I24" i="163"/>
  <c r="I25" i="163" s="1"/>
  <c r="H24" i="163"/>
  <c r="H25" i="163" s="1"/>
  <c r="G24" i="163"/>
  <c r="F24" i="163"/>
  <c r="E24" i="163"/>
  <c r="E25" i="163" s="1"/>
  <c r="M25" i="163" s="1"/>
  <c r="D24" i="163"/>
  <c r="S23" i="163"/>
  <c r="R23" i="163"/>
  <c r="Q23" i="163"/>
  <c r="L263" i="141" s="1"/>
  <c r="P23" i="163"/>
  <c r="K23" i="163"/>
  <c r="J23" i="163"/>
  <c r="I23" i="163"/>
  <c r="H23" i="163"/>
  <c r="G23" i="163"/>
  <c r="F23" i="163"/>
  <c r="E23" i="163"/>
  <c r="D23" i="163"/>
  <c r="L23" i="163" s="1"/>
  <c r="T23" i="163" s="1"/>
  <c r="AA23" i="163" s="1"/>
  <c r="K20" i="77" s="1"/>
  <c r="S22" i="163"/>
  <c r="R22" i="163"/>
  <c r="Q22" i="163"/>
  <c r="L262" i="141" s="1"/>
  <c r="P22" i="163"/>
  <c r="K22" i="163"/>
  <c r="J22" i="163"/>
  <c r="I22" i="163"/>
  <c r="H22" i="163"/>
  <c r="G22" i="163"/>
  <c r="F22" i="163"/>
  <c r="N22" i="163" s="1"/>
  <c r="V22" i="163" s="1"/>
  <c r="E22" i="163"/>
  <c r="D22" i="163"/>
  <c r="L22" i="163" s="1"/>
  <c r="T22" i="163" s="1"/>
  <c r="AA22" i="163" s="1"/>
  <c r="K19" i="77" s="1"/>
  <c r="S21" i="163"/>
  <c r="R21" i="163"/>
  <c r="Q21" i="163"/>
  <c r="L260" i="141" s="1"/>
  <c r="P21" i="163"/>
  <c r="K21" i="163"/>
  <c r="J21" i="163"/>
  <c r="I21" i="163"/>
  <c r="H21" i="163"/>
  <c r="G21" i="163"/>
  <c r="O21" i="163" s="1"/>
  <c r="W21" i="163" s="1"/>
  <c r="AD21" i="163" s="1"/>
  <c r="F21" i="163"/>
  <c r="N21" i="163" s="1"/>
  <c r="V21" i="163" s="1"/>
  <c r="E21" i="163"/>
  <c r="D21" i="163"/>
  <c r="S20" i="163"/>
  <c r="R20" i="163"/>
  <c r="Q20" i="163"/>
  <c r="L259" i="141" s="1"/>
  <c r="P20" i="163"/>
  <c r="K20" i="163"/>
  <c r="J20" i="163"/>
  <c r="I20" i="163"/>
  <c r="H20" i="163"/>
  <c r="G20" i="163"/>
  <c r="O20" i="163" s="1"/>
  <c r="F20" i="163"/>
  <c r="N20" i="163" s="1"/>
  <c r="E20" i="163"/>
  <c r="D20" i="163"/>
  <c r="Q19" i="163"/>
  <c r="P19" i="163"/>
  <c r="I19" i="163"/>
  <c r="I31" i="163" s="1"/>
  <c r="H19" i="163"/>
  <c r="H31" i="163" s="1"/>
  <c r="E19" i="163"/>
  <c r="D19" i="163"/>
  <c r="R12" i="163"/>
  <c r="K12" i="163"/>
  <c r="J12" i="163"/>
  <c r="I12" i="163"/>
  <c r="H12" i="163"/>
  <c r="F12" i="163"/>
  <c r="Q5" i="163"/>
  <c r="P5" i="163"/>
  <c r="I5" i="163"/>
  <c r="H5" i="163"/>
  <c r="E5" i="163"/>
  <c r="D5" i="163"/>
  <c r="V82" i="163" l="1"/>
  <c r="O36" i="163"/>
  <c r="M51" i="163"/>
  <c r="T66" i="163"/>
  <c r="AA66" i="163" s="1"/>
  <c r="O23" i="163"/>
  <c r="W23" i="163" s="1"/>
  <c r="AD23" i="163" s="1"/>
  <c r="N20" i="77" s="1"/>
  <c r="O55" i="163"/>
  <c r="M42" i="163"/>
  <c r="U42" i="163" s="1"/>
  <c r="Z42" i="163" s="1"/>
  <c r="DQ22" i="140" s="1"/>
  <c r="L82" i="163"/>
  <c r="L54" i="163"/>
  <c r="T54" i="163" s="1"/>
  <c r="AA54" i="163" s="1"/>
  <c r="FC23" i="139" s="1"/>
  <c r="N54" i="163"/>
  <c r="V54" i="163" s="1"/>
  <c r="X54" i="163" s="1"/>
  <c r="D12" i="163"/>
  <c r="L12" i="163" s="1"/>
  <c r="T12" i="163" s="1"/>
  <c r="AA12" i="163" s="1"/>
  <c r="K6" i="163"/>
  <c r="K9" i="163"/>
  <c r="K13" i="163"/>
  <c r="K14" i="163"/>
  <c r="K15" i="163"/>
  <c r="K16" i="163"/>
  <c r="N14" i="140"/>
  <c r="N14" i="139"/>
  <c r="N14" i="77"/>
  <c r="N20" i="140"/>
  <c r="N20" i="139"/>
  <c r="N21" i="140"/>
  <c r="N21" i="139"/>
  <c r="N22" i="140"/>
  <c r="N22" i="139"/>
  <c r="DQ24" i="140"/>
  <c r="DQ24" i="139"/>
  <c r="DQ24" i="77"/>
  <c r="FF21" i="140"/>
  <c r="FF21" i="139"/>
  <c r="FF21" i="77"/>
  <c r="FF23" i="140"/>
  <c r="FF23" i="139"/>
  <c r="FF23" i="77"/>
  <c r="X66" i="163"/>
  <c r="AB66" i="163"/>
  <c r="X69" i="163"/>
  <c r="AB69" i="163"/>
  <c r="CG13" i="140"/>
  <c r="CG13" i="139"/>
  <c r="CG13" i="77"/>
  <c r="CG14" i="140"/>
  <c r="CG14" i="139"/>
  <c r="CG14" i="77"/>
  <c r="K19" i="140"/>
  <c r="K19" i="139"/>
  <c r="K20" i="140"/>
  <c r="K20" i="139"/>
  <c r="K21" i="140"/>
  <c r="K21" i="139"/>
  <c r="K24" i="140"/>
  <c r="K24" i="139"/>
  <c r="P44" i="163"/>
  <c r="X34" i="163"/>
  <c r="AB34" i="163"/>
  <c r="X40" i="163"/>
  <c r="AB40" i="163"/>
  <c r="X41" i="163"/>
  <c r="AB41" i="163"/>
  <c r="X42" i="163"/>
  <c r="AB42" i="163"/>
  <c r="X43" i="163"/>
  <c r="AB43" i="163"/>
  <c r="FC20" i="140"/>
  <c r="FC20" i="139"/>
  <c r="FC20" i="77"/>
  <c r="FC21" i="140"/>
  <c r="FC21" i="139"/>
  <c r="FC21" i="77"/>
  <c r="FC23" i="140"/>
  <c r="FC24" i="140"/>
  <c r="FC24" i="139"/>
  <c r="FC24" i="77"/>
  <c r="X60" i="163"/>
  <c r="AB60" i="163"/>
  <c r="X62" i="163"/>
  <c r="AB62" i="163"/>
  <c r="AY21" i="139"/>
  <c r="AY21" i="140"/>
  <c r="AY21" i="77"/>
  <c r="AY23" i="139"/>
  <c r="AY23" i="140"/>
  <c r="AY23" i="77"/>
  <c r="AY22" i="139"/>
  <c r="AY22" i="140"/>
  <c r="AY22" i="77"/>
  <c r="AY24" i="140"/>
  <c r="AY24" i="139"/>
  <c r="AY24" i="77"/>
  <c r="CF23" i="140"/>
  <c r="CF23" i="139"/>
  <c r="CF23" i="77"/>
  <c r="CF22" i="140"/>
  <c r="CF22" i="139"/>
  <c r="CF22" i="77"/>
  <c r="CF24" i="140"/>
  <c r="CK24" i="140" s="1"/>
  <c r="CY24" i="140" s="1"/>
  <c r="CV24" i="140" s="1"/>
  <c r="CF24" i="139"/>
  <c r="CK24" i="139" s="1"/>
  <c r="CY24" i="139" s="1"/>
  <c r="CV24" i="139" s="1"/>
  <c r="CF24" i="77"/>
  <c r="J23" i="140"/>
  <c r="J23" i="139"/>
  <c r="J24" i="140"/>
  <c r="J24" i="139"/>
  <c r="J24" i="77"/>
  <c r="DU14" i="140"/>
  <c r="DU14" i="139"/>
  <c r="DU14" i="77"/>
  <c r="DU19" i="140"/>
  <c r="DU19" i="139"/>
  <c r="DU19" i="77"/>
  <c r="DU21" i="140"/>
  <c r="DU21" i="139"/>
  <c r="DU21" i="77"/>
  <c r="DU23" i="140"/>
  <c r="DU23" i="139"/>
  <c r="DU23" i="77"/>
  <c r="DU22" i="139"/>
  <c r="DU22" i="140"/>
  <c r="DU22" i="77"/>
  <c r="DU24" i="140"/>
  <c r="DU24" i="139"/>
  <c r="DU24" i="77"/>
  <c r="FB23" i="140"/>
  <c r="FB23" i="139"/>
  <c r="FB23" i="77"/>
  <c r="FB22" i="140"/>
  <c r="FB22" i="139"/>
  <c r="FB22" i="77"/>
  <c r="AY19" i="139"/>
  <c r="AY19" i="140"/>
  <c r="AY19" i="77"/>
  <c r="AY20" i="140"/>
  <c r="AY20" i="139"/>
  <c r="AY20" i="77"/>
  <c r="AW18" i="140"/>
  <c r="AW18" i="139"/>
  <c r="AW18" i="77"/>
  <c r="AV21" i="139"/>
  <c r="AV21" i="140"/>
  <c r="AV21" i="77"/>
  <c r="AV23" i="140"/>
  <c r="AV23" i="139"/>
  <c r="AV23" i="77"/>
  <c r="AV22" i="139"/>
  <c r="AV22" i="140"/>
  <c r="AV22" i="77"/>
  <c r="AV24" i="139"/>
  <c r="AV24" i="140"/>
  <c r="AV24" i="77"/>
  <c r="X73" i="163"/>
  <c r="AB73" i="163"/>
  <c r="X79" i="163"/>
  <c r="AB79" i="163"/>
  <c r="X80" i="163"/>
  <c r="AB80" i="163"/>
  <c r="X82" i="163"/>
  <c r="AB82" i="163"/>
  <c r="X21" i="163"/>
  <c r="AB21" i="163"/>
  <c r="X22" i="163"/>
  <c r="AB22" i="163"/>
  <c r="L19" i="77" s="1"/>
  <c r="X27" i="163"/>
  <c r="AB27" i="163"/>
  <c r="L21" i="77" s="1"/>
  <c r="X28" i="163"/>
  <c r="AB28" i="163"/>
  <c r="L23" i="77" s="1"/>
  <c r="X30" i="163"/>
  <c r="AB30" i="163"/>
  <c r="L24" i="77" s="1"/>
  <c r="DR13" i="140"/>
  <c r="DR13" i="139"/>
  <c r="DR13" i="77"/>
  <c r="DR14" i="139"/>
  <c r="DR14" i="140"/>
  <c r="DR14" i="77"/>
  <c r="DR20" i="140"/>
  <c r="DR20" i="139"/>
  <c r="DR20" i="77"/>
  <c r="DR16" i="139"/>
  <c r="DR15" i="139" s="1"/>
  <c r="DR16" i="140"/>
  <c r="DR15" i="140" s="1"/>
  <c r="DR16" i="77"/>
  <c r="DR21" i="139"/>
  <c r="DR21" i="140"/>
  <c r="DR21" i="77"/>
  <c r="DR23" i="140"/>
  <c r="DR23" i="139"/>
  <c r="DR23" i="77"/>
  <c r="DR22" i="140"/>
  <c r="DR22" i="139"/>
  <c r="DR22" i="77"/>
  <c r="DR24" i="140"/>
  <c r="DR24" i="139"/>
  <c r="DR24" i="77"/>
  <c r="FD13" i="140"/>
  <c r="FD13" i="139"/>
  <c r="FD13" i="77"/>
  <c r="X48" i="163"/>
  <c r="AB48" i="163"/>
  <c r="X49" i="163"/>
  <c r="AB49" i="163"/>
  <c r="X55" i="163"/>
  <c r="AB55" i="163"/>
  <c r="X56" i="163"/>
  <c r="AB56" i="163"/>
  <c r="AV13" i="140"/>
  <c r="AV13" i="139"/>
  <c r="AV13" i="77"/>
  <c r="AV14" i="140"/>
  <c r="AV14" i="139"/>
  <c r="AV14" i="77"/>
  <c r="AV19" i="140"/>
  <c r="AV19" i="139"/>
  <c r="AV19" i="77"/>
  <c r="AV20" i="139"/>
  <c r="AV20" i="140"/>
  <c r="AV20" i="77"/>
  <c r="AU23" i="139"/>
  <c r="AU23" i="140"/>
  <c r="AU23" i="77"/>
  <c r="AU24" i="140"/>
  <c r="AU24" i="139"/>
  <c r="AU24" i="77"/>
  <c r="CJ14" i="140"/>
  <c r="CJ14" i="139"/>
  <c r="CJ14" i="77"/>
  <c r="CJ20" i="140"/>
  <c r="CJ20" i="139"/>
  <c r="CJ20" i="77"/>
  <c r="CJ21" i="140"/>
  <c r="CJ21" i="139"/>
  <c r="CJ21" i="77"/>
  <c r="CJ23" i="140"/>
  <c r="CJ23" i="139"/>
  <c r="CJ23" i="77"/>
  <c r="O47" i="163"/>
  <c r="W47" i="163" s="1"/>
  <c r="AD47" i="163" s="1"/>
  <c r="O56" i="163"/>
  <c r="W56" i="163" s="1"/>
  <c r="AD56" i="163" s="1"/>
  <c r="N12" i="163"/>
  <c r="L55" i="163"/>
  <c r="T55" i="163" s="1"/>
  <c r="AA55" i="163" s="1"/>
  <c r="O12" i="163"/>
  <c r="S12" i="163"/>
  <c r="S6" i="163"/>
  <c r="O24" i="163"/>
  <c r="W24" i="163" s="1"/>
  <c r="AD24" i="163" s="1"/>
  <c r="G25" i="163"/>
  <c r="K10" i="163"/>
  <c r="K11" i="163" s="1"/>
  <c r="K25" i="163"/>
  <c r="S10" i="163"/>
  <c r="S25" i="163"/>
  <c r="S13" i="163"/>
  <c r="S14" i="163"/>
  <c r="BW289" i="141"/>
  <c r="BX289" i="141" s="1"/>
  <c r="CA289" i="141" s="1"/>
  <c r="E38" i="163"/>
  <c r="M38" i="163" s="1"/>
  <c r="BW261" i="141"/>
  <c r="BX261" i="141" s="1"/>
  <c r="Q38" i="163"/>
  <c r="O50" i="163"/>
  <c r="W50" i="163" s="1"/>
  <c r="AD50" i="163" s="1"/>
  <c r="G51" i="163"/>
  <c r="O51" i="163" s="1"/>
  <c r="S51" i="163"/>
  <c r="L76" i="163"/>
  <c r="T76" i="163" s="1"/>
  <c r="AA76" i="163" s="1"/>
  <c r="D77" i="163"/>
  <c r="L77" i="163" s="1"/>
  <c r="T77" i="163" s="1"/>
  <c r="AA77" i="163" s="1"/>
  <c r="L24" i="163"/>
  <c r="T24" i="163" s="1"/>
  <c r="AA24" i="163" s="1"/>
  <c r="D25" i="163"/>
  <c r="L25" i="163" s="1"/>
  <c r="T25" i="163" s="1"/>
  <c r="AA25" i="163" s="1"/>
  <c r="K16" i="77" s="1"/>
  <c r="R8" i="163"/>
  <c r="N37" i="163"/>
  <c r="V37" i="163" s="1"/>
  <c r="F38" i="163"/>
  <c r="N38" i="163" s="1"/>
  <c r="R38" i="163"/>
  <c r="L50" i="163"/>
  <c r="T50" i="163" s="1"/>
  <c r="AA50" i="163" s="1"/>
  <c r="D51" i="163"/>
  <c r="L51" i="163" s="1"/>
  <c r="T51" i="163" s="1"/>
  <c r="AA51" i="163" s="1"/>
  <c r="R64" i="163"/>
  <c r="V64" i="163" s="1"/>
  <c r="BB261" i="141"/>
  <c r="BC261" i="141" s="1"/>
  <c r="Q77" i="163"/>
  <c r="U77" i="163" s="1"/>
  <c r="Z77" i="163" s="1"/>
  <c r="L261" i="141"/>
  <c r="N261" i="141" s="1"/>
  <c r="Q25" i="163"/>
  <c r="U25" i="163" s="1"/>
  <c r="Z25" i="163" s="1"/>
  <c r="O37" i="163"/>
  <c r="W37" i="163" s="1"/>
  <c r="AD37" i="163" s="1"/>
  <c r="G38" i="163"/>
  <c r="O38" i="163" s="1"/>
  <c r="S38" i="163"/>
  <c r="CR261" i="141"/>
  <c r="CT261" i="141" s="1"/>
  <c r="Q51" i="163"/>
  <c r="U51" i="163" s="1"/>
  <c r="Z51" i="163" s="1"/>
  <c r="X65" i="163"/>
  <c r="N76" i="163"/>
  <c r="V76" i="163" s="1"/>
  <c r="F77" i="163"/>
  <c r="N77" i="163" s="1"/>
  <c r="R77" i="163"/>
  <c r="N24" i="163"/>
  <c r="V24" i="163" s="1"/>
  <c r="F25" i="163"/>
  <c r="N25" i="163" s="1"/>
  <c r="R25" i="163"/>
  <c r="N50" i="163"/>
  <c r="V50" i="163" s="1"/>
  <c r="F51" i="163"/>
  <c r="N51" i="163" s="1"/>
  <c r="R51" i="163"/>
  <c r="O76" i="163"/>
  <c r="W76" i="163" s="1"/>
  <c r="AD76" i="163" s="1"/>
  <c r="G77" i="163"/>
  <c r="O77" i="163" s="1"/>
  <c r="S77" i="163"/>
  <c r="N68" i="163"/>
  <c r="V68" i="163" s="1"/>
  <c r="L28" i="163"/>
  <c r="T28" i="163" s="1"/>
  <c r="AA28" i="163" s="1"/>
  <c r="K23" i="77" s="1"/>
  <c r="T47" i="163"/>
  <c r="AA47" i="163" s="1"/>
  <c r="L48" i="163"/>
  <c r="T48" i="163" s="1"/>
  <c r="AA48" i="163" s="1"/>
  <c r="L20" i="163"/>
  <c r="T20" i="163" s="1"/>
  <c r="AA20" i="163" s="1"/>
  <c r="L21" i="163"/>
  <c r="T21" i="163" s="1"/>
  <c r="AA21" i="163" s="1"/>
  <c r="O48" i="163"/>
  <c r="W48" i="163" s="1"/>
  <c r="AD48" i="163" s="1"/>
  <c r="W49" i="163"/>
  <c r="AD49" i="163" s="1"/>
  <c r="L75" i="163"/>
  <c r="T75" i="163" s="1"/>
  <c r="AA75" i="163" s="1"/>
  <c r="F10" i="163"/>
  <c r="F11" i="163" s="1"/>
  <c r="L74" i="163"/>
  <c r="T74" i="163" s="1"/>
  <c r="AA74" i="163" s="1"/>
  <c r="L79" i="163"/>
  <c r="T79" i="163" s="1"/>
  <c r="AA79" i="163" s="1"/>
  <c r="T46" i="163"/>
  <c r="AA46" i="163" s="1"/>
  <c r="F7" i="163"/>
  <c r="M20" i="163"/>
  <c r="U20" i="163" s="1"/>
  <c r="Z20" i="163" s="1"/>
  <c r="L287" i="141"/>
  <c r="L228" i="141" s="1"/>
  <c r="M259" i="141"/>
  <c r="N259" i="141"/>
  <c r="O259" i="141"/>
  <c r="DM259" i="141"/>
  <c r="M21" i="163"/>
  <c r="U21" i="163" s="1"/>
  <c r="Z21" i="163" s="1"/>
  <c r="L288" i="141"/>
  <c r="L229" i="141" s="1"/>
  <c r="N260" i="141"/>
  <c r="M260" i="141"/>
  <c r="O260" i="141"/>
  <c r="DM260" i="141"/>
  <c r="DP260" i="141" s="1"/>
  <c r="M22" i="163"/>
  <c r="U22" i="163" s="1"/>
  <c r="Z22" i="163" s="1"/>
  <c r="L290" i="141"/>
  <c r="L231" i="141" s="1"/>
  <c r="N262" i="141"/>
  <c r="M262" i="141"/>
  <c r="O262" i="141"/>
  <c r="DM262" i="141"/>
  <c r="DP262" i="141" s="1"/>
  <c r="M23" i="163"/>
  <c r="U23" i="163" s="1"/>
  <c r="Z23" i="163" s="1"/>
  <c r="L291" i="141"/>
  <c r="M263" i="141"/>
  <c r="N263" i="141"/>
  <c r="DM263" i="141"/>
  <c r="DP263" i="141" s="1"/>
  <c r="O263" i="141"/>
  <c r="M24" i="163"/>
  <c r="U24" i="163" s="1"/>
  <c r="Z24" i="163" s="1"/>
  <c r="L289" i="141"/>
  <c r="O261" i="141"/>
  <c r="M27" i="163"/>
  <c r="U27" i="163" s="1"/>
  <c r="Z27" i="163" s="1"/>
  <c r="L292" i="141"/>
  <c r="L233" i="141" s="1"/>
  <c r="N264" i="141"/>
  <c r="M264" i="141"/>
  <c r="O264" i="141"/>
  <c r="DM264" i="141"/>
  <c r="DP264" i="141" s="1"/>
  <c r="O294" i="141"/>
  <c r="N294" i="141"/>
  <c r="DM294" i="141"/>
  <c r="DP294" i="141" s="1"/>
  <c r="M294" i="141"/>
  <c r="N266" i="141"/>
  <c r="M266" i="141"/>
  <c r="DM266" i="141"/>
  <c r="DP266" i="141" s="1"/>
  <c r="O266" i="141"/>
  <c r="L235" i="141"/>
  <c r="N293" i="141"/>
  <c r="M293" i="141"/>
  <c r="P293" i="141" s="1"/>
  <c r="O293" i="141"/>
  <c r="DM293" i="141"/>
  <c r="DP293" i="141" s="1"/>
  <c r="M265" i="141"/>
  <c r="L234" i="141"/>
  <c r="N265" i="141"/>
  <c r="O265" i="141"/>
  <c r="DM265" i="141"/>
  <c r="DP265" i="141" s="1"/>
  <c r="N295" i="141"/>
  <c r="M295" i="141"/>
  <c r="O295" i="141"/>
  <c r="DM295" i="141"/>
  <c r="DP295" i="141" s="1"/>
  <c r="M267" i="141"/>
  <c r="N267" i="141"/>
  <c r="L236" i="141"/>
  <c r="DM267" i="141"/>
  <c r="DP267" i="141" s="1"/>
  <c r="O267" i="141"/>
  <c r="M46" i="163"/>
  <c r="U46" i="163" s="1"/>
  <c r="Z46" i="163" s="1"/>
  <c r="CR287" i="141"/>
  <c r="CS259" i="141"/>
  <c r="CT259" i="141"/>
  <c r="CU259" i="141"/>
  <c r="M47" i="163"/>
  <c r="U47" i="163" s="1"/>
  <c r="Z47" i="163" s="1"/>
  <c r="CR288" i="141"/>
  <c r="CT260" i="141"/>
  <c r="CS260" i="141"/>
  <c r="CU260" i="141"/>
  <c r="M48" i="163"/>
  <c r="U48" i="163" s="1"/>
  <c r="Z48" i="163" s="1"/>
  <c r="CR290" i="141"/>
  <c r="CR231" i="141" s="1"/>
  <c r="CT262" i="141"/>
  <c r="CS262" i="141"/>
  <c r="CU262" i="141"/>
  <c r="M49" i="163"/>
  <c r="U49" i="163" s="1"/>
  <c r="Z49" i="163" s="1"/>
  <c r="CR291" i="141"/>
  <c r="CR232" i="141" s="1"/>
  <c r="CS263" i="141"/>
  <c r="CT263" i="141"/>
  <c r="CU263" i="141"/>
  <c r="M50" i="163"/>
  <c r="U50" i="163" s="1"/>
  <c r="Z50" i="163" s="1"/>
  <c r="CR289" i="141"/>
  <c r="M53" i="163"/>
  <c r="U53" i="163" s="1"/>
  <c r="Z53" i="163" s="1"/>
  <c r="CR292" i="141"/>
  <c r="CR233" i="141" s="1"/>
  <c r="CT264" i="141"/>
  <c r="CS264" i="141"/>
  <c r="CU264" i="141"/>
  <c r="CT294" i="141"/>
  <c r="CW294" i="141" s="1"/>
  <c r="CS294" i="141"/>
  <c r="CV294" i="141" s="1"/>
  <c r="CU294" i="141"/>
  <c r="CT266" i="141"/>
  <c r="CS266" i="141"/>
  <c r="CU266" i="141"/>
  <c r="CR235" i="141"/>
  <c r="CT293" i="141"/>
  <c r="CW293" i="141" s="1"/>
  <c r="CU293" i="141"/>
  <c r="CS293" i="141"/>
  <c r="CV293" i="141" s="1"/>
  <c r="CS265" i="141"/>
  <c r="CT265" i="141"/>
  <c r="CU265" i="141"/>
  <c r="CR234" i="141"/>
  <c r="CT295" i="141"/>
  <c r="CW295" i="141" s="1"/>
  <c r="CS295" i="141"/>
  <c r="CV295" i="141" s="1"/>
  <c r="CU295" i="141"/>
  <c r="CS267" i="141"/>
  <c r="CT267" i="141"/>
  <c r="CR236" i="141"/>
  <c r="CU267" i="141"/>
  <c r="M66" i="163"/>
  <c r="U66" i="163" s="1"/>
  <c r="Z66" i="163" s="1"/>
  <c r="AG292" i="141"/>
  <c r="AG233" i="141" s="1"/>
  <c r="AH264" i="141"/>
  <c r="AI264" i="141"/>
  <c r="AJ264" i="141"/>
  <c r="AI294" i="141"/>
  <c r="AL294" i="141" s="1"/>
  <c r="AH294" i="141"/>
  <c r="AK294" i="141" s="1"/>
  <c r="AJ294" i="141"/>
  <c r="AH266" i="141"/>
  <c r="AJ266" i="141"/>
  <c r="AG235" i="141"/>
  <c r="AI266" i="141"/>
  <c r="AI293" i="141"/>
  <c r="AL293" i="141" s="1"/>
  <c r="AH293" i="141"/>
  <c r="AJ293" i="141"/>
  <c r="AI265" i="141"/>
  <c r="AH265" i="141"/>
  <c r="AJ265" i="141"/>
  <c r="AG234" i="141"/>
  <c r="AI295" i="141"/>
  <c r="AL295" i="141" s="1"/>
  <c r="AH295" i="141"/>
  <c r="AK295" i="141" s="1"/>
  <c r="AJ295" i="141"/>
  <c r="AI267" i="141"/>
  <c r="AH267" i="141"/>
  <c r="AG236" i="141"/>
  <c r="AJ267" i="141"/>
  <c r="M33" i="163"/>
  <c r="U33" i="163" s="1"/>
  <c r="Z33" i="163" s="1"/>
  <c r="BW287" i="141"/>
  <c r="BW228" i="141" s="1"/>
  <c r="BY259" i="141"/>
  <c r="BX259" i="141"/>
  <c r="BZ259" i="141"/>
  <c r="M34" i="163"/>
  <c r="U34" i="163" s="1"/>
  <c r="Z34" i="163" s="1"/>
  <c r="BW288" i="141"/>
  <c r="BX260" i="141"/>
  <c r="BY260" i="141"/>
  <c r="BZ260" i="141"/>
  <c r="M35" i="163"/>
  <c r="U35" i="163" s="1"/>
  <c r="Z35" i="163" s="1"/>
  <c r="BW290" i="141"/>
  <c r="BW231" i="141" s="1"/>
  <c r="BX262" i="141"/>
  <c r="BY262" i="141"/>
  <c r="BZ262" i="141"/>
  <c r="M36" i="163"/>
  <c r="U36" i="163" s="1"/>
  <c r="Z36" i="163" s="1"/>
  <c r="BW291" i="141"/>
  <c r="BY263" i="141"/>
  <c r="BX263" i="141"/>
  <c r="BZ263" i="141"/>
  <c r="M40" i="163"/>
  <c r="U40" i="163" s="1"/>
  <c r="Z40" i="163" s="1"/>
  <c r="BW292" i="141"/>
  <c r="BW233" i="141" s="1"/>
  <c r="BX264" i="141"/>
  <c r="BY264" i="141"/>
  <c r="BZ264" i="141"/>
  <c r="BY294" i="141"/>
  <c r="CB294" i="141" s="1"/>
  <c r="BZ294" i="141"/>
  <c r="BX294" i="141"/>
  <c r="CA294" i="141" s="1"/>
  <c r="BX266" i="141"/>
  <c r="BW235" i="141"/>
  <c r="BY266" i="141"/>
  <c r="BZ266" i="141"/>
  <c r="BY293" i="141"/>
  <c r="CB293" i="141" s="1"/>
  <c r="BX293" i="141"/>
  <c r="CA293" i="141" s="1"/>
  <c r="BZ293" i="141"/>
  <c r="BZ265" i="141"/>
  <c r="BY265" i="141"/>
  <c r="BX265" i="141"/>
  <c r="BW234" i="141"/>
  <c r="BY295" i="141"/>
  <c r="CB295" i="141" s="1"/>
  <c r="BX295" i="141"/>
  <c r="CA295" i="141" s="1"/>
  <c r="BZ295" i="141"/>
  <c r="BY267" i="141"/>
  <c r="BX267" i="141"/>
  <c r="BW236" i="141"/>
  <c r="BZ267" i="141"/>
  <c r="M59" i="163"/>
  <c r="U59" i="163" s="1"/>
  <c r="Z59" i="163" s="1"/>
  <c r="AG287" i="141"/>
  <c r="AI259" i="141"/>
  <c r="AH259" i="141"/>
  <c r="AJ259" i="141"/>
  <c r="M60" i="163"/>
  <c r="U60" i="163" s="1"/>
  <c r="Z60" i="163" s="1"/>
  <c r="AG288" i="141"/>
  <c r="AG229" i="141" s="1"/>
  <c r="AH260" i="141"/>
  <c r="AI260" i="141"/>
  <c r="AJ260" i="141"/>
  <c r="M61" i="163"/>
  <c r="U61" i="163" s="1"/>
  <c r="Z61" i="163" s="1"/>
  <c r="AG290" i="141"/>
  <c r="AG231" i="141" s="1"/>
  <c r="AH262" i="141"/>
  <c r="AI262" i="141"/>
  <c r="AJ262" i="141"/>
  <c r="M62" i="163"/>
  <c r="U62" i="163" s="1"/>
  <c r="Z62" i="163" s="1"/>
  <c r="AG291" i="141"/>
  <c r="AG232" i="141" s="1"/>
  <c r="AI263" i="141"/>
  <c r="AH263" i="141"/>
  <c r="AJ263" i="141"/>
  <c r="AI289" i="141"/>
  <c r="AL289" i="141" s="1"/>
  <c r="AH289" i="141"/>
  <c r="AK289" i="141" s="1"/>
  <c r="AJ289" i="141"/>
  <c r="Q64" i="163"/>
  <c r="AG261" i="141"/>
  <c r="M72" i="163"/>
  <c r="U72" i="163" s="1"/>
  <c r="Z72" i="163" s="1"/>
  <c r="BB287" i="141"/>
  <c r="BB228" i="141" s="1"/>
  <c r="BC259" i="141"/>
  <c r="BD259" i="141"/>
  <c r="BE259" i="141"/>
  <c r="M73" i="163"/>
  <c r="U73" i="163" s="1"/>
  <c r="Z73" i="163" s="1"/>
  <c r="BB288" i="141"/>
  <c r="BB229" i="141" s="1"/>
  <c r="BD260" i="141"/>
  <c r="BC260" i="141"/>
  <c r="BE260" i="141"/>
  <c r="M74" i="163"/>
  <c r="U74" i="163" s="1"/>
  <c r="Z74" i="163" s="1"/>
  <c r="BB290" i="141"/>
  <c r="BB231" i="141" s="1"/>
  <c r="BD262" i="141"/>
  <c r="BC262" i="141"/>
  <c r="BE262" i="141"/>
  <c r="M75" i="163"/>
  <c r="U75" i="163" s="1"/>
  <c r="Z75" i="163" s="1"/>
  <c r="BB291" i="141"/>
  <c r="BB232" i="141" s="1"/>
  <c r="BC263" i="141"/>
  <c r="BD263" i="141"/>
  <c r="BE263" i="141"/>
  <c r="M76" i="163"/>
  <c r="U76" i="163" s="1"/>
  <c r="Z76" i="163" s="1"/>
  <c r="BB289" i="141"/>
  <c r="BE261" i="141"/>
  <c r="M79" i="163"/>
  <c r="U79" i="163" s="1"/>
  <c r="Z79" i="163" s="1"/>
  <c r="BB292" i="141"/>
  <c r="BB233" i="141" s="1"/>
  <c r="BD264" i="141"/>
  <c r="BC264" i="141"/>
  <c r="BE264" i="141"/>
  <c r="BD294" i="141"/>
  <c r="BG294" i="141" s="1"/>
  <c r="BC294" i="141"/>
  <c r="BE294" i="141"/>
  <c r="BD266" i="141"/>
  <c r="BC266" i="141"/>
  <c r="BF266" i="141" s="1"/>
  <c r="BB235" i="141"/>
  <c r="BE266" i="141"/>
  <c r="BD293" i="141"/>
  <c r="BG293" i="141" s="1"/>
  <c r="BE293" i="141"/>
  <c r="BC293" i="141"/>
  <c r="BF293" i="141" s="1"/>
  <c r="BC265" i="141"/>
  <c r="BB234" i="141"/>
  <c r="BD265" i="141"/>
  <c r="BE265" i="141"/>
  <c r="BD295" i="141"/>
  <c r="BG295" i="141" s="1"/>
  <c r="BC295" i="141"/>
  <c r="BF295" i="141" s="1"/>
  <c r="BE295" i="141"/>
  <c r="BC267" i="141"/>
  <c r="BD267" i="141"/>
  <c r="BB236" i="141"/>
  <c r="BE267" i="141"/>
  <c r="M63" i="163"/>
  <c r="U63" i="163" s="1"/>
  <c r="Z63" i="163" s="1"/>
  <c r="M37" i="163"/>
  <c r="U37" i="163" s="1"/>
  <c r="Z37" i="163" s="1"/>
  <c r="W55" i="163"/>
  <c r="AD55" i="163" s="1"/>
  <c r="M41" i="163"/>
  <c r="U41" i="163" s="1"/>
  <c r="Z41" i="163" s="1"/>
  <c r="L81" i="163"/>
  <c r="T81" i="163" s="1"/>
  <c r="AA81" i="163" s="1"/>
  <c r="J7" i="163"/>
  <c r="R7" i="163"/>
  <c r="L29" i="163"/>
  <c r="T29" i="163" s="1"/>
  <c r="AA29" i="163" s="1"/>
  <c r="K22" i="77" s="1"/>
  <c r="R6" i="163"/>
  <c r="F9" i="163"/>
  <c r="J9" i="163"/>
  <c r="P57" i="163"/>
  <c r="I6" i="163"/>
  <c r="I8" i="163"/>
  <c r="H15" i="163"/>
  <c r="H16" i="163"/>
  <c r="S64" i="163"/>
  <c r="O30" i="163"/>
  <c r="W30" i="163" s="1"/>
  <c r="AD30" i="163" s="1"/>
  <c r="N24" i="77" s="1"/>
  <c r="D6" i="163"/>
  <c r="F13" i="163"/>
  <c r="I7" i="163"/>
  <c r="I15" i="163"/>
  <c r="Q15" i="163"/>
  <c r="J13" i="163"/>
  <c r="R16" i="163"/>
  <c r="H6" i="163"/>
  <c r="P9" i="163"/>
  <c r="P16" i="163"/>
  <c r="O28" i="163"/>
  <c r="W28" i="163" s="1"/>
  <c r="AD28" i="163" s="1"/>
  <c r="N23" i="77" s="1"/>
  <c r="L80" i="163"/>
  <c r="T80" i="163" s="1"/>
  <c r="AA80" i="163" s="1"/>
  <c r="E6" i="163"/>
  <c r="G13" i="163"/>
  <c r="O13" i="163" s="1"/>
  <c r="G14" i="163"/>
  <c r="P10" i="163"/>
  <c r="P11" i="163" s="1"/>
  <c r="H13" i="163"/>
  <c r="P13" i="163"/>
  <c r="H14" i="163"/>
  <c r="G9" i="163"/>
  <c r="Q6" i="163"/>
  <c r="I10" i="163"/>
  <c r="Q10" i="163"/>
  <c r="Q11" i="163" s="1"/>
  <c r="I13" i="163"/>
  <c r="Q13" i="163"/>
  <c r="I14" i="163"/>
  <c r="Q16" i="163"/>
  <c r="M58" i="163"/>
  <c r="U58" i="163" s="1"/>
  <c r="U65" i="163"/>
  <c r="Z65" i="163" s="1"/>
  <c r="G6" i="163"/>
  <c r="E18" i="163"/>
  <c r="Q18" i="163"/>
  <c r="E7" i="163"/>
  <c r="G16" i="163"/>
  <c r="O16" i="163" s="1"/>
  <c r="R15" i="163"/>
  <c r="J16" i="163"/>
  <c r="M45" i="163"/>
  <c r="U45" i="163" s="1"/>
  <c r="I11" i="163"/>
  <c r="V12" i="163"/>
  <c r="M19" i="163"/>
  <c r="U19" i="163" s="1"/>
  <c r="U29" i="163"/>
  <c r="Z29" i="163" s="1"/>
  <c r="J6" i="163"/>
  <c r="V36" i="163"/>
  <c r="K7" i="163"/>
  <c r="K8" i="163"/>
  <c r="R9" i="163"/>
  <c r="Q14" i="163"/>
  <c r="H8" i="163"/>
  <c r="S8" i="163"/>
  <c r="R13" i="163"/>
  <c r="J14" i="163"/>
  <c r="R14" i="163"/>
  <c r="P6" i="163"/>
  <c r="H7" i="163"/>
  <c r="P7" i="163"/>
  <c r="F71" i="163"/>
  <c r="J71" i="163"/>
  <c r="P8" i="163"/>
  <c r="H9" i="163"/>
  <c r="S9" i="163"/>
  <c r="S15" i="163"/>
  <c r="Q7" i="163"/>
  <c r="Q8" i="163"/>
  <c r="P15" i="163"/>
  <c r="P14" i="163"/>
  <c r="V47" i="163"/>
  <c r="G58" i="163"/>
  <c r="Q70" i="163"/>
  <c r="K71" i="163"/>
  <c r="O82" i="163"/>
  <c r="W82" i="163" s="1"/>
  <c r="AD82" i="163" s="1"/>
  <c r="G10" i="163"/>
  <c r="G11" i="163" s="1"/>
  <c r="D13" i="163"/>
  <c r="G19" i="163"/>
  <c r="K19" i="163"/>
  <c r="R19" i="163"/>
  <c r="V29" i="163"/>
  <c r="F32" i="163"/>
  <c r="H10" i="163"/>
  <c r="H11" i="163" s="1"/>
  <c r="Q57" i="163"/>
  <c r="K45" i="163"/>
  <c r="G64" i="163"/>
  <c r="O64" i="163" s="1"/>
  <c r="S71" i="163"/>
  <c r="T82" i="163"/>
  <c r="AA82" i="163" s="1"/>
  <c r="D7" i="163"/>
  <c r="E8" i="163"/>
  <c r="D9" i="163"/>
  <c r="E12" i="163"/>
  <c r="M12" i="163" s="1"/>
  <c r="U12" i="163" s="1"/>
  <c r="Z12" i="163" s="1"/>
  <c r="E13" i="163"/>
  <c r="E14" i="163"/>
  <c r="E15" i="163"/>
  <c r="D16" i="163"/>
  <c r="L19" i="163"/>
  <c r="T19" i="163" s="1"/>
  <c r="P31" i="163"/>
  <c r="N23" i="163"/>
  <c r="V23" i="163" s="1"/>
  <c r="S32" i="163"/>
  <c r="Q44" i="163"/>
  <c r="I44" i="163"/>
  <c r="P64" i="163"/>
  <c r="T64" i="163" s="1"/>
  <c r="AA64" i="163" s="1"/>
  <c r="E64" i="163"/>
  <c r="M64" i="163" s="1"/>
  <c r="I83" i="163"/>
  <c r="N75" i="163"/>
  <c r="V75" i="163" s="1"/>
  <c r="K58" i="163"/>
  <c r="S58" i="163"/>
  <c r="G71" i="163"/>
  <c r="G7" i="163"/>
  <c r="D8" i="163"/>
  <c r="D14" i="163"/>
  <c r="D15" i="163"/>
  <c r="E44" i="163"/>
  <c r="J32" i="163"/>
  <c r="D10" i="163"/>
  <c r="V67" i="163"/>
  <c r="O74" i="163"/>
  <c r="W74" i="163" s="1"/>
  <c r="AD74" i="163" s="1"/>
  <c r="F6" i="163"/>
  <c r="E10" i="163"/>
  <c r="J10" i="163"/>
  <c r="J11" i="163" s="1"/>
  <c r="R10" i="163"/>
  <c r="F14" i="163"/>
  <c r="G15" i="163"/>
  <c r="F16" i="163"/>
  <c r="F15" i="163"/>
  <c r="J15" i="163"/>
  <c r="E16" i="163"/>
  <c r="I16" i="163"/>
  <c r="D31" i="163"/>
  <c r="T35" i="163"/>
  <c r="AA35" i="163" s="1"/>
  <c r="N35" i="163"/>
  <c r="V35" i="163" s="1"/>
  <c r="W36" i="163"/>
  <c r="AD36" i="163" s="1"/>
  <c r="F45" i="163"/>
  <c r="U56" i="163"/>
  <c r="Z56" i="163" s="1"/>
  <c r="P70" i="163"/>
  <c r="F58" i="163"/>
  <c r="J58" i="163"/>
  <c r="I70" i="163"/>
  <c r="T65" i="163"/>
  <c r="AA65" i="163" s="1"/>
  <c r="O65" i="163"/>
  <c r="W65" i="163" s="1"/>
  <c r="AD65" i="163" s="1"/>
  <c r="L71" i="163"/>
  <c r="T71" i="163" s="1"/>
  <c r="V74" i="163"/>
  <c r="W81" i="163"/>
  <c r="AD81" i="163" s="1"/>
  <c r="V81" i="163"/>
  <c r="M5" i="163"/>
  <c r="I18" i="163"/>
  <c r="L37" i="163"/>
  <c r="T37" i="163" s="1"/>
  <c r="AA37" i="163" s="1"/>
  <c r="S45" i="163"/>
  <c r="S16" i="163"/>
  <c r="S7" i="163"/>
  <c r="F8" i="163"/>
  <c r="J8" i="163"/>
  <c r="E9" i="163"/>
  <c r="I9" i="163"/>
  <c r="Q9" i="163"/>
  <c r="E31" i="163"/>
  <c r="O22" i="163"/>
  <c r="W22" i="163" s="1"/>
  <c r="AD22" i="163" s="1"/>
  <c r="N19" i="77" s="1"/>
  <c r="S19" i="163"/>
  <c r="F19" i="163"/>
  <c r="J19" i="163"/>
  <c r="H44" i="163"/>
  <c r="V33" i="163"/>
  <c r="AB33" i="163" s="1"/>
  <c r="G32" i="163"/>
  <c r="K32" i="163"/>
  <c r="H57" i="163"/>
  <c r="V53" i="163"/>
  <c r="R45" i="163"/>
  <c r="D70" i="163"/>
  <c r="L58" i="163"/>
  <c r="R58" i="163"/>
  <c r="V61" i="163"/>
  <c r="G8" i="163"/>
  <c r="Q31" i="163"/>
  <c r="V20" i="163"/>
  <c r="AB20" i="163" s="1"/>
  <c r="W33" i="163"/>
  <c r="AD33" i="163" s="1"/>
  <c r="I57" i="163"/>
  <c r="U68" i="163"/>
  <c r="Z68" i="163" s="1"/>
  <c r="M71" i="163"/>
  <c r="D18" i="163"/>
  <c r="H18" i="163"/>
  <c r="L5" i="163"/>
  <c r="P18" i="163"/>
  <c r="W20" i="163"/>
  <c r="AD20" i="163" s="1"/>
  <c r="D44" i="163"/>
  <c r="L32" i="163"/>
  <c r="R32" i="163"/>
  <c r="E57" i="163"/>
  <c r="O46" i="163"/>
  <c r="G45" i="163"/>
  <c r="W72" i="163"/>
  <c r="AD72" i="163" s="1"/>
  <c r="M32" i="163"/>
  <c r="L63" i="163"/>
  <c r="T63" i="163" s="1"/>
  <c r="AA63" i="163" s="1"/>
  <c r="AA58" i="163" s="1"/>
  <c r="D83" i="163"/>
  <c r="H70" i="163"/>
  <c r="V59" i="163"/>
  <c r="AB59" i="163" s="1"/>
  <c r="E83" i="163"/>
  <c r="P83" i="163"/>
  <c r="D57" i="163"/>
  <c r="L45" i="163"/>
  <c r="X46" i="163"/>
  <c r="W59" i="163"/>
  <c r="AD59" i="163" s="1"/>
  <c r="O60" i="163"/>
  <c r="W60" i="163" s="1"/>
  <c r="AD60" i="163" s="1"/>
  <c r="H83" i="163"/>
  <c r="Q83" i="163"/>
  <c r="V72" i="163"/>
  <c r="AB72" i="163" s="1"/>
  <c r="R71" i="163"/>
  <c r="N63" i="163"/>
  <c r="V63" i="163" s="1"/>
  <c r="E70" i="163"/>
  <c r="BY261" i="141" l="1"/>
  <c r="BW258" i="141"/>
  <c r="CS261" i="141"/>
  <c r="W64" i="163"/>
  <c r="AD64" i="163" s="1"/>
  <c r="AY16" i="139" s="1"/>
  <c r="BB258" i="141"/>
  <c r="DQ22" i="139"/>
  <c r="DQ22" i="77"/>
  <c r="O9" i="163"/>
  <c r="FC23" i="77"/>
  <c r="AB54" i="163"/>
  <c r="AA32" i="163"/>
  <c r="AA44" i="163" s="1"/>
  <c r="V77" i="163"/>
  <c r="X77" i="163" s="1"/>
  <c r="O15" i="163"/>
  <c r="W15" i="163" s="1"/>
  <c r="AD15" i="163" s="1"/>
  <c r="D11" i="163"/>
  <c r="O14" i="163"/>
  <c r="W14" i="163" s="1"/>
  <c r="AD14" i="163" s="1"/>
  <c r="BY289" i="141"/>
  <c r="CB289" i="141" s="1"/>
  <c r="L258" i="141"/>
  <c r="O6" i="163"/>
  <c r="AA71" i="163"/>
  <c r="FB16" i="140"/>
  <c r="FB15" i="140" s="1"/>
  <c r="FB16" i="139"/>
  <c r="FB15" i="139" s="1"/>
  <c r="FB16" i="77"/>
  <c r="AU22" i="139"/>
  <c r="AU22" i="140"/>
  <c r="AU22" i="77"/>
  <c r="N19" i="140"/>
  <c r="N19" i="139"/>
  <c r="CJ19" i="140"/>
  <c r="CJ19" i="139"/>
  <c r="CJ19" i="77"/>
  <c r="X75" i="163"/>
  <c r="AB75" i="163"/>
  <c r="X47" i="163"/>
  <c r="AB47" i="163"/>
  <c r="AU18" i="139"/>
  <c r="AU18" i="140"/>
  <c r="AU18" i="77"/>
  <c r="GM18" i="77" s="1"/>
  <c r="FF22" i="140"/>
  <c r="FF22" i="139"/>
  <c r="FF22" i="77"/>
  <c r="CF21" i="140"/>
  <c r="CF21" i="139"/>
  <c r="CF21" i="77"/>
  <c r="CF20" i="140"/>
  <c r="CF20" i="139"/>
  <c r="CF20" i="77"/>
  <c r="CF13" i="140"/>
  <c r="CF13" i="139"/>
  <c r="CF13" i="77"/>
  <c r="Z71" i="163"/>
  <c r="AU14" i="140"/>
  <c r="AU14" i="139"/>
  <c r="AU14" i="77"/>
  <c r="DQ19" i="140"/>
  <c r="DQ19" i="139"/>
  <c r="DQ19" i="77"/>
  <c r="FB19" i="140"/>
  <c r="FB19" i="139"/>
  <c r="FB19" i="77"/>
  <c r="J20" i="140"/>
  <c r="J20" i="139"/>
  <c r="J20" i="77"/>
  <c r="J14" i="140"/>
  <c r="J14" i="139"/>
  <c r="J14" i="77"/>
  <c r="K14" i="140"/>
  <c r="K14" i="139"/>
  <c r="K14" i="77"/>
  <c r="K23" i="140"/>
  <c r="K23" i="139"/>
  <c r="K16" i="140"/>
  <c r="K15" i="140" s="1"/>
  <c r="K16" i="139"/>
  <c r="K15" i="139" s="1"/>
  <c r="FF24" i="140"/>
  <c r="FF24" i="139"/>
  <c r="FF24" i="77"/>
  <c r="BU24" i="140"/>
  <c r="AZ24" i="140"/>
  <c r="BN24" i="140" s="1"/>
  <c r="BK24" i="140" s="1"/>
  <c r="AO24" i="140" s="1"/>
  <c r="BV24" i="140" s="1"/>
  <c r="L24" i="140"/>
  <c r="L24" i="139"/>
  <c r="L21" i="140"/>
  <c r="L21" i="139"/>
  <c r="L14" i="139"/>
  <c r="L14" i="140"/>
  <c r="L14" i="77"/>
  <c r="CH23" i="140"/>
  <c r="CH23" i="139"/>
  <c r="CH23" i="77"/>
  <c r="CH14" i="139"/>
  <c r="CH14" i="140"/>
  <c r="CH14" i="77"/>
  <c r="GB23" i="140"/>
  <c r="FG23" i="140"/>
  <c r="FU23" i="140" s="1"/>
  <c r="FR23" i="140" s="1"/>
  <c r="EX23" i="140" s="1"/>
  <c r="O24" i="139"/>
  <c r="AC24" i="139" s="1"/>
  <c r="O23" i="140"/>
  <c r="AC23" i="140" s="1"/>
  <c r="DF23" i="139"/>
  <c r="CK23" i="139"/>
  <c r="CY23" i="139" s="1"/>
  <c r="CV23" i="139" s="1"/>
  <c r="BZ23" i="139" s="1"/>
  <c r="DG23" i="139" s="1"/>
  <c r="AW14" i="139"/>
  <c r="AW14" i="140"/>
  <c r="AW14" i="77"/>
  <c r="DS22" i="140"/>
  <c r="DS22" i="139"/>
  <c r="DS22" i="77"/>
  <c r="DS21" i="140"/>
  <c r="DS21" i="139"/>
  <c r="DS21" i="77"/>
  <c r="AW24" i="139"/>
  <c r="AW24" i="140"/>
  <c r="AW24" i="77"/>
  <c r="EQ24" i="140"/>
  <c r="DV24" i="140"/>
  <c r="EJ24" i="140" s="1"/>
  <c r="EG24" i="140" s="1"/>
  <c r="DK24" i="140" s="1"/>
  <c r="ER24" i="140" s="1"/>
  <c r="AY13" i="140"/>
  <c r="AY13" i="139"/>
  <c r="AY13" i="77"/>
  <c r="AD58" i="163"/>
  <c r="X63" i="163"/>
  <c r="AB63" i="163"/>
  <c r="X81" i="163"/>
  <c r="AB81" i="163"/>
  <c r="AY18" i="139"/>
  <c r="AY18" i="140"/>
  <c r="AY18" i="77"/>
  <c r="DU20" i="140"/>
  <c r="DU20" i="139"/>
  <c r="DU20" i="77"/>
  <c r="X67" i="163"/>
  <c r="AB67" i="163"/>
  <c r="X29" i="163"/>
  <c r="AB29" i="163"/>
  <c r="L22" i="77" s="1"/>
  <c r="X36" i="163"/>
  <c r="AB36" i="163"/>
  <c r="X12" i="163"/>
  <c r="AB12" i="163"/>
  <c r="CG23" i="140"/>
  <c r="CG23" i="139"/>
  <c r="CG23" i="77"/>
  <c r="GN23" i="77" s="1"/>
  <c r="N24" i="140"/>
  <c r="N24" i="139"/>
  <c r="CF19" i="140"/>
  <c r="CF19" i="139"/>
  <c r="CF19" i="77"/>
  <c r="AU13" i="140"/>
  <c r="AU13" i="139"/>
  <c r="Z58" i="163"/>
  <c r="AU13" i="77"/>
  <c r="DQ14" i="140"/>
  <c r="DQ14" i="139"/>
  <c r="DQ14" i="77"/>
  <c r="AU21" i="139"/>
  <c r="AU21" i="140"/>
  <c r="AU21" i="77"/>
  <c r="FB14" i="140"/>
  <c r="FB14" i="139"/>
  <c r="FB14" i="77"/>
  <c r="FC13" i="140"/>
  <c r="FC13" i="139"/>
  <c r="AA45" i="163"/>
  <c r="FC13" i="77"/>
  <c r="CG20" i="140"/>
  <c r="CG20" i="139"/>
  <c r="CG20" i="77"/>
  <c r="GN20" i="77" s="1"/>
  <c r="X68" i="163"/>
  <c r="AB68" i="163"/>
  <c r="X76" i="163"/>
  <c r="AB76" i="163"/>
  <c r="J16" i="140"/>
  <c r="J15" i="140" s="1"/>
  <c r="J16" i="139"/>
  <c r="J15" i="139" s="1"/>
  <c r="J16" i="77"/>
  <c r="FF14" i="140"/>
  <c r="FF14" i="139"/>
  <c r="FF14" i="77"/>
  <c r="BU23" i="77"/>
  <c r="HT23" i="77"/>
  <c r="AZ23" i="77"/>
  <c r="BN23" i="77" s="1"/>
  <c r="FD24" i="140"/>
  <c r="FD24" i="139"/>
  <c r="FD24" i="77"/>
  <c r="FD23" i="140"/>
  <c r="FD23" i="139"/>
  <c r="FD23" i="77"/>
  <c r="FD19" i="140"/>
  <c r="FD19" i="139"/>
  <c r="FD19" i="77"/>
  <c r="O24" i="140"/>
  <c r="AC24" i="140" s="1"/>
  <c r="CK24" i="77"/>
  <c r="CY24" i="77" s="1"/>
  <c r="HU24" i="77"/>
  <c r="DF23" i="140"/>
  <c r="CK23" i="140"/>
  <c r="CY23" i="140" s="1"/>
  <c r="CV23" i="140" s="1"/>
  <c r="BY23" i="140" s="1"/>
  <c r="N13" i="139"/>
  <c r="N13" i="140"/>
  <c r="N13" i="77"/>
  <c r="AD19" i="163"/>
  <c r="DU13" i="140"/>
  <c r="DU13" i="139"/>
  <c r="DU13" i="77"/>
  <c r="AD32" i="163"/>
  <c r="X61" i="163"/>
  <c r="AB61" i="163"/>
  <c r="CJ22" i="140"/>
  <c r="CJ22" i="139"/>
  <c r="CJ22" i="77"/>
  <c r="AV18" i="139"/>
  <c r="AV18" i="140"/>
  <c r="AV18" i="77"/>
  <c r="GN18" i="77" s="1"/>
  <c r="X35" i="163"/>
  <c r="AB35" i="163"/>
  <c r="CG24" i="140"/>
  <c r="GN24" i="140" s="1"/>
  <c r="CG24" i="139"/>
  <c r="GN24" i="139" s="1"/>
  <c r="CG24" i="77"/>
  <c r="GN24" i="77" s="1"/>
  <c r="N23" i="140"/>
  <c r="GQ23" i="140" s="1"/>
  <c r="N23" i="139"/>
  <c r="GQ23" i="139" s="1"/>
  <c r="GQ23" i="77"/>
  <c r="HP23" i="77" s="1"/>
  <c r="CG22" i="140"/>
  <c r="CG22" i="139"/>
  <c r="CG22" i="77"/>
  <c r="CF14" i="140"/>
  <c r="CF14" i="139"/>
  <c r="CF14" i="77"/>
  <c r="AU20" i="140"/>
  <c r="AU20" i="139"/>
  <c r="AU20" i="77"/>
  <c r="FB13" i="139"/>
  <c r="FB13" i="140"/>
  <c r="FB13" i="77"/>
  <c r="Z45" i="163"/>
  <c r="J19" i="140"/>
  <c r="J19" i="139"/>
  <c r="J19" i="77"/>
  <c r="CG21" i="140"/>
  <c r="CG21" i="139"/>
  <c r="CG21" i="77"/>
  <c r="GN21" i="77" s="1"/>
  <c r="FF20" i="140"/>
  <c r="FF20" i="139"/>
  <c r="FF20" i="77"/>
  <c r="FC19" i="140"/>
  <c r="FC19" i="139"/>
  <c r="FC19" i="77"/>
  <c r="X24" i="163"/>
  <c r="AB24" i="163"/>
  <c r="FC16" i="140"/>
  <c r="FC15" i="140" s="1"/>
  <c r="FC16" i="139"/>
  <c r="FC15" i="139" s="1"/>
  <c r="FC16" i="77"/>
  <c r="X37" i="163"/>
  <c r="AB37" i="163"/>
  <c r="CG16" i="140"/>
  <c r="CG15" i="140" s="1"/>
  <c r="CG16" i="139"/>
  <c r="CG15" i="139" s="1"/>
  <c r="CG16" i="77"/>
  <c r="FC22" i="140"/>
  <c r="FC22" i="139"/>
  <c r="FC22" i="77"/>
  <c r="BU24" i="77"/>
  <c r="AZ24" i="77"/>
  <c r="BN24" i="77" s="1"/>
  <c r="HT24" i="77"/>
  <c r="BU23" i="140"/>
  <c r="AZ23" i="140"/>
  <c r="BN23" i="140" s="1"/>
  <c r="BK23" i="140" s="1"/>
  <c r="AQ23" i="140" s="1"/>
  <c r="L23" i="140"/>
  <c r="L23" i="139"/>
  <c r="L19" i="140"/>
  <c r="L19" i="139"/>
  <c r="CH24" i="140"/>
  <c r="CH24" i="139"/>
  <c r="CH24" i="77"/>
  <c r="CH21" i="140"/>
  <c r="CH21" i="139"/>
  <c r="CH21" i="77"/>
  <c r="GB23" i="77"/>
  <c r="FG23" i="77"/>
  <c r="FU23" i="77" s="1"/>
  <c r="HW23" i="77"/>
  <c r="AW20" i="139"/>
  <c r="AW20" i="140"/>
  <c r="AW20" i="77"/>
  <c r="DS24" i="139"/>
  <c r="DS24" i="140"/>
  <c r="DS24" i="77"/>
  <c r="DS23" i="140"/>
  <c r="DS23" i="139"/>
  <c r="DS23" i="77"/>
  <c r="DS14" i="140"/>
  <c r="DS14" i="139"/>
  <c r="DS14" i="77"/>
  <c r="AW21" i="139"/>
  <c r="AW21" i="140"/>
  <c r="AW21" i="77"/>
  <c r="EU23" i="140"/>
  <c r="HV24" i="77"/>
  <c r="EQ24" i="77"/>
  <c r="DV24" i="77"/>
  <c r="EJ24" i="77" s="1"/>
  <c r="X64" i="163"/>
  <c r="AB64" i="163"/>
  <c r="AW13" i="140"/>
  <c r="AW13" i="139"/>
  <c r="AW13" i="77"/>
  <c r="CH13" i="140"/>
  <c r="CH13" i="139"/>
  <c r="CH13" i="77"/>
  <c r="AY14" i="140"/>
  <c r="AY14" i="139"/>
  <c r="AY14" i="77"/>
  <c r="CJ13" i="140"/>
  <c r="CJ13" i="139"/>
  <c r="CJ13" i="77"/>
  <c r="AD71" i="163"/>
  <c r="L13" i="140"/>
  <c r="L13" i="139"/>
  <c r="L13" i="77"/>
  <c r="X53" i="163"/>
  <c r="AB53" i="163"/>
  <c r="DS13" i="139"/>
  <c r="DS13" i="140"/>
  <c r="DS13" i="77"/>
  <c r="X74" i="163"/>
  <c r="AB74" i="163"/>
  <c r="FB24" i="140"/>
  <c r="GM24" i="140" s="1"/>
  <c r="GR24" i="140" s="1"/>
  <c r="HF24" i="140" s="1"/>
  <c r="HC24" i="140" s="1"/>
  <c r="FB24" i="139"/>
  <c r="FB24" i="77"/>
  <c r="GM24" i="77" s="1"/>
  <c r="GR24" i="77" s="1"/>
  <c r="HF24" i="77" s="1"/>
  <c r="DR19" i="140"/>
  <c r="DR26" i="140" s="1"/>
  <c r="DR19" i="139"/>
  <c r="DR19" i="77"/>
  <c r="DR26" i="77" s="1"/>
  <c r="AV16" i="139"/>
  <c r="AV26" i="139" s="1"/>
  <c r="AV16" i="140"/>
  <c r="AV16" i="77"/>
  <c r="GN16" i="77" s="1"/>
  <c r="X23" i="163"/>
  <c r="AB23" i="163"/>
  <c r="L20" i="77" s="1"/>
  <c r="CJ24" i="140"/>
  <c r="BY24" i="140" s="1"/>
  <c r="CJ24" i="139"/>
  <c r="BZ24" i="139" s="1"/>
  <c r="CJ24" i="77"/>
  <c r="K13" i="140"/>
  <c r="K13" i="139"/>
  <c r="AA19" i="163"/>
  <c r="K13" i="77"/>
  <c r="J22" i="140"/>
  <c r="J22" i="139"/>
  <c r="J22" i="77"/>
  <c r="K22" i="140"/>
  <c r="K22" i="139"/>
  <c r="DQ23" i="140"/>
  <c r="GM23" i="140" s="1"/>
  <c r="GR23" i="140" s="1"/>
  <c r="HF23" i="140" s="1"/>
  <c r="HC23" i="140" s="1"/>
  <c r="GG23" i="140" s="1"/>
  <c r="DQ23" i="139"/>
  <c r="GM23" i="139" s="1"/>
  <c r="GR23" i="139" s="1"/>
  <c r="HF23" i="139" s="1"/>
  <c r="HC23" i="139" s="1"/>
  <c r="DQ23" i="77"/>
  <c r="GM23" i="77" s="1"/>
  <c r="GR23" i="77" s="1"/>
  <c r="HF23" i="77" s="1"/>
  <c r="AU19" i="139"/>
  <c r="AU19" i="140"/>
  <c r="AU19" i="77"/>
  <c r="DQ21" i="140"/>
  <c r="DQ21" i="139"/>
  <c r="DQ21" i="77"/>
  <c r="DQ20" i="140"/>
  <c r="DQ20" i="139"/>
  <c r="DQ20" i="77"/>
  <c r="DQ13" i="140"/>
  <c r="DQ13" i="139"/>
  <c r="Z32" i="163"/>
  <c r="Z44" i="163" s="1"/>
  <c r="DQ13" i="77"/>
  <c r="FB21" i="140"/>
  <c r="FB21" i="139"/>
  <c r="FB21" i="77"/>
  <c r="FB20" i="140"/>
  <c r="FB20" i="139"/>
  <c r="FB20" i="77"/>
  <c r="J21" i="140"/>
  <c r="J21" i="139"/>
  <c r="J21" i="77"/>
  <c r="J13" i="139"/>
  <c r="J13" i="140"/>
  <c r="J13" i="77"/>
  <c r="Z19" i="163"/>
  <c r="CG19" i="140"/>
  <c r="CG19" i="139"/>
  <c r="CG19" i="77"/>
  <c r="GN19" i="77" s="1"/>
  <c r="FF19" i="140"/>
  <c r="FF19" i="139"/>
  <c r="FF19" i="77"/>
  <c r="FC14" i="140"/>
  <c r="FC14" i="139"/>
  <c r="FC14" i="77"/>
  <c r="X50" i="163"/>
  <c r="AB50" i="163"/>
  <c r="CF16" i="140"/>
  <c r="CF15" i="140" s="1"/>
  <c r="CF16" i="139"/>
  <c r="CF15" i="139" s="1"/>
  <c r="CF16" i="77"/>
  <c r="BY23" i="139"/>
  <c r="BU24" i="139"/>
  <c r="AZ24" i="139"/>
  <c r="BN24" i="139" s="1"/>
  <c r="BK24" i="139" s="1"/>
  <c r="AN24" i="139" s="1"/>
  <c r="BU23" i="139"/>
  <c r="AZ23" i="139"/>
  <c r="BN23" i="139" s="1"/>
  <c r="BK23" i="139" s="1"/>
  <c r="AN23" i="139" s="1"/>
  <c r="FD22" i="140"/>
  <c r="FD22" i="139"/>
  <c r="FD22" i="77"/>
  <c r="FD20" i="140"/>
  <c r="FD20" i="139"/>
  <c r="FD20" i="77"/>
  <c r="DR26" i="139"/>
  <c r="FG23" i="139"/>
  <c r="FU23" i="139" s="1"/>
  <c r="FR23" i="139" s="1"/>
  <c r="EX23" i="139" s="1"/>
  <c r="GB23" i="139"/>
  <c r="DJ24" i="140"/>
  <c r="O23" i="139"/>
  <c r="AC23" i="139" s="1"/>
  <c r="DF23" i="77"/>
  <c r="CK23" i="77"/>
  <c r="CY23" i="77" s="1"/>
  <c r="HU23" i="77"/>
  <c r="EQ24" i="139"/>
  <c r="DV24" i="139"/>
  <c r="EJ24" i="139" s="1"/>
  <c r="EG24" i="139" s="1"/>
  <c r="DK24" i="139" s="1"/>
  <c r="ER24" i="139" s="1"/>
  <c r="W12" i="163"/>
  <c r="AD12" i="163" s="1"/>
  <c r="W77" i="163"/>
  <c r="AD77" i="163" s="1"/>
  <c r="CR230" i="141"/>
  <c r="BB230" i="141"/>
  <c r="BZ289" i="141"/>
  <c r="BW230" i="141"/>
  <c r="BD261" i="141"/>
  <c r="BD258" i="141" s="1"/>
  <c r="O32" i="163"/>
  <c r="N45" i="163"/>
  <c r="CU261" i="141"/>
  <c r="CU258" i="141" s="1"/>
  <c r="CU269" i="141" s="1"/>
  <c r="DA270" i="141" s="1"/>
  <c r="CR258" i="141"/>
  <c r="M261" i="141"/>
  <c r="M258" i="141" s="1"/>
  <c r="M6" i="163"/>
  <c r="U6" i="163" s="1"/>
  <c r="Z6" i="163" s="1"/>
  <c r="O24" i="77"/>
  <c r="AC24" i="77" s="1"/>
  <c r="HS24" i="77"/>
  <c r="BZ261" i="141"/>
  <c r="BZ258" i="141" s="1"/>
  <c r="BZ269" i="141" s="1"/>
  <c r="CF270" i="141" s="1"/>
  <c r="W51" i="163"/>
  <c r="AD51" i="163" s="1"/>
  <c r="U38" i="163"/>
  <c r="Z38" i="163" s="1"/>
  <c r="R11" i="163"/>
  <c r="V51" i="163"/>
  <c r="V25" i="163"/>
  <c r="N32" i="163"/>
  <c r="S11" i="163"/>
  <c r="W13" i="163"/>
  <c r="AD13" i="163" s="1"/>
  <c r="W6" i="163"/>
  <c r="AD6" i="163" s="1"/>
  <c r="W38" i="163"/>
  <c r="AD38" i="163" s="1"/>
  <c r="HS23" i="77"/>
  <c r="O23" i="77"/>
  <c r="AC23" i="77" s="1"/>
  <c r="V38" i="163"/>
  <c r="O25" i="163"/>
  <c r="W25" i="163" s="1"/>
  <c r="AD25" i="163" s="1"/>
  <c r="N16" i="77" s="1"/>
  <c r="N14" i="163"/>
  <c r="V14" i="163" s="1"/>
  <c r="L16" i="163"/>
  <c r="T16" i="163" s="1"/>
  <c r="AA16" i="163" s="1"/>
  <c r="N7" i="163"/>
  <c r="V7" i="163" s="1"/>
  <c r="L8" i="163"/>
  <c r="T8" i="163" s="1"/>
  <c r="AA8" i="163" s="1"/>
  <c r="U64" i="163"/>
  <c r="Z64" i="163" s="1"/>
  <c r="M31" i="163"/>
  <c r="N13" i="163"/>
  <c r="V13" i="163" s="1"/>
  <c r="M57" i="163"/>
  <c r="L13" i="163"/>
  <c r="T13" i="163" s="1"/>
  <c r="AA13" i="163" s="1"/>
  <c r="BD236" i="141"/>
  <c r="BG267" i="141"/>
  <c r="BF265" i="141"/>
  <c r="BC234" i="141"/>
  <c r="BF234" i="141" s="1"/>
  <c r="BF261" i="141"/>
  <c r="BG262" i="141"/>
  <c r="BG259" i="141"/>
  <c r="AI261" i="141"/>
  <c r="AI258" i="141" s="1"/>
  <c r="AH261" i="141"/>
  <c r="AG230" i="141"/>
  <c r="AJ261" i="141"/>
  <c r="AJ258" i="141" s="1"/>
  <c r="AJ269" i="141" s="1"/>
  <c r="AP270" i="141" s="1"/>
  <c r="AL263" i="141"/>
  <c r="AK260" i="141"/>
  <c r="AG258" i="141"/>
  <c r="AI287" i="141"/>
  <c r="AI228" i="141" s="1"/>
  <c r="AH287" i="141"/>
  <c r="AH228" i="141" s="1"/>
  <c r="AG286" i="141"/>
  <c r="AJ287" i="141"/>
  <c r="BX236" i="141"/>
  <c r="CA267" i="141"/>
  <c r="CB261" i="141"/>
  <c r="BY291" i="141"/>
  <c r="CB291" i="141" s="1"/>
  <c r="BX291" i="141"/>
  <c r="CA291" i="141" s="1"/>
  <c r="BZ291" i="141"/>
  <c r="CB262" i="141"/>
  <c r="BX288" i="141"/>
  <c r="CA288" i="141" s="1"/>
  <c r="BY288" i="141"/>
  <c r="CB288" i="141" s="1"/>
  <c r="BZ288" i="141"/>
  <c r="AI236" i="141"/>
  <c r="AL267" i="141"/>
  <c r="AJ234" i="141"/>
  <c r="N18" i="111"/>
  <c r="N19" i="111"/>
  <c r="AJ235" i="141"/>
  <c r="AL264" i="141"/>
  <c r="CS235" i="141"/>
  <c r="CV235" i="141" s="1"/>
  <c r="CV266" i="141"/>
  <c r="CW264" i="141"/>
  <c r="CV263" i="141"/>
  <c r="CW260" i="141"/>
  <c r="CT287" i="141"/>
  <c r="CT228" i="141" s="1"/>
  <c r="CS287" i="141"/>
  <c r="CS228" i="141" s="1"/>
  <c r="CU287" i="141"/>
  <c r="CR286" i="141"/>
  <c r="O235" i="141"/>
  <c r="DM235" i="141"/>
  <c r="DP235" i="141" s="1"/>
  <c r="D19" i="111"/>
  <c r="N235" i="141"/>
  <c r="Q266" i="141"/>
  <c r="P264" i="141"/>
  <c r="DN264" i="141"/>
  <c r="DQ264" i="141" s="1"/>
  <c r="N291" i="141"/>
  <c r="N232" i="141" s="1"/>
  <c r="M291" i="141"/>
  <c r="M232" i="141" s="1"/>
  <c r="O291" i="141"/>
  <c r="DM291" i="141"/>
  <c r="DP291" i="141" s="1"/>
  <c r="P260" i="141"/>
  <c r="DN260" i="141"/>
  <c r="DQ260" i="141" s="1"/>
  <c r="DP259" i="141"/>
  <c r="Q259" i="141"/>
  <c r="N258" i="141"/>
  <c r="DO259" i="141"/>
  <c r="BC236" i="141"/>
  <c r="BF267" i="141"/>
  <c r="X19" i="111"/>
  <c r="BE235" i="141"/>
  <c r="BC235" i="141"/>
  <c r="BF235" i="141" s="1"/>
  <c r="BF294" i="141"/>
  <c r="BF264" i="141"/>
  <c r="BD289" i="141"/>
  <c r="BG289" i="141" s="1"/>
  <c r="BC289" i="141"/>
  <c r="BF289" i="141" s="1"/>
  <c r="BE289" i="141"/>
  <c r="BG263" i="141"/>
  <c r="BD290" i="141"/>
  <c r="BG290" i="141" s="1"/>
  <c r="BC290" i="141"/>
  <c r="BF290" i="141" s="1"/>
  <c r="BE290" i="141"/>
  <c r="BF260" i="141"/>
  <c r="BE258" i="141"/>
  <c r="BE269" i="141" s="1"/>
  <c r="BK270" i="141" s="1"/>
  <c r="BC258" i="141"/>
  <c r="BF259" i="141"/>
  <c r="AI291" i="141"/>
  <c r="AL291" i="141" s="1"/>
  <c r="AH291" i="141"/>
  <c r="AK291" i="141" s="1"/>
  <c r="AJ291" i="141"/>
  <c r="AL262" i="141"/>
  <c r="AI288" i="141"/>
  <c r="AL288" i="141" s="1"/>
  <c r="AH288" i="141"/>
  <c r="AK288" i="141" s="1"/>
  <c r="AJ288" i="141"/>
  <c r="AG228" i="141"/>
  <c r="BY236" i="141"/>
  <c r="CB267" i="141"/>
  <c r="AH18" i="111"/>
  <c r="BZ234" i="141"/>
  <c r="CB266" i="141"/>
  <c r="BY235" i="141"/>
  <c r="CB235" i="141" s="1"/>
  <c r="CB264" i="141"/>
  <c r="BW232" i="141"/>
  <c r="CA262" i="141"/>
  <c r="BW229" i="141"/>
  <c r="BX258" i="141"/>
  <c r="CA259" i="141"/>
  <c r="DN293" i="141"/>
  <c r="DQ293" i="141" s="1"/>
  <c r="AK293" i="141"/>
  <c r="AK264" i="141"/>
  <c r="CT234" i="141"/>
  <c r="CW234" i="141" s="1"/>
  <c r="CW265" i="141"/>
  <c r="CW266" i="141"/>
  <c r="CT235" i="141"/>
  <c r="CW235" i="141" s="1"/>
  <c r="CT292" i="141"/>
  <c r="CW292" i="141" s="1"/>
  <c r="CS292" i="141"/>
  <c r="CV292" i="141" s="1"/>
  <c r="CU292" i="141"/>
  <c r="CW261" i="141"/>
  <c r="CT291" i="141"/>
  <c r="CW291" i="141" s="1"/>
  <c r="CS291" i="141"/>
  <c r="CV291" i="141" s="1"/>
  <c r="CU291" i="141"/>
  <c r="CV262" i="141"/>
  <c r="CT288" i="141"/>
  <c r="CW288" i="141" s="1"/>
  <c r="CS288" i="141"/>
  <c r="CV288" i="141" s="1"/>
  <c r="CU288" i="141"/>
  <c r="CR228" i="141"/>
  <c r="N236" i="141"/>
  <c r="Q267" i="141"/>
  <c r="DO267" i="141"/>
  <c r="DR267" i="141" s="1"/>
  <c r="DN295" i="141"/>
  <c r="DQ295" i="141" s="1"/>
  <c r="P295" i="141"/>
  <c r="Q265" i="141"/>
  <c r="N234" i="141"/>
  <c r="Q234" i="141" s="1"/>
  <c r="DO265" i="141"/>
  <c r="DR265" i="141" s="1"/>
  <c r="P294" i="141"/>
  <c r="DN294" i="141"/>
  <c r="DQ294" i="141" s="1"/>
  <c r="DO264" i="141"/>
  <c r="DR264" i="141" s="1"/>
  <c r="Q264" i="141"/>
  <c r="DM261" i="141"/>
  <c r="DP261" i="141" s="1"/>
  <c r="N289" i="141"/>
  <c r="N230" i="141" s="1"/>
  <c r="M289" i="141"/>
  <c r="O289" i="141"/>
  <c r="DM289" i="141"/>
  <c r="DP289" i="141" s="1"/>
  <c r="L232" i="141"/>
  <c r="P262" i="141"/>
  <c r="DN262" i="141"/>
  <c r="DQ262" i="141" s="1"/>
  <c r="DO260" i="141"/>
  <c r="DR260" i="141" s="1"/>
  <c r="Q260" i="141"/>
  <c r="P259" i="141"/>
  <c r="DN259" i="141"/>
  <c r="BD234" i="141"/>
  <c r="BG234" i="141" s="1"/>
  <c r="BG265" i="141"/>
  <c r="BG264" i="141"/>
  <c r="BF263" i="141"/>
  <c r="BG260" i="141"/>
  <c r="BD287" i="141"/>
  <c r="BC287" i="141"/>
  <c r="BB286" i="141"/>
  <c r="BE287" i="141"/>
  <c r="AK262" i="141"/>
  <c r="AK259" i="141"/>
  <c r="BX234" i="141"/>
  <c r="CA234" i="141" s="1"/>
  <c r="CA265" i="141"/>
  <c r="BZ235" i="141"/>
  <c r="AH19" i="111"/>
  <c r="CA264" i="141"/>
  <c r="CA263" i="141"/>
  <c r="BX290" i="141"/>
  <c r="CA290" i="141" s="1"/>
  <c r="BY290" i="141"/>
  <c r="CB290" i="141" s="1"/>
  <c r="BZ290" i="141"/>
  <c r="CB260" i="141"/>
  <c r="BY258" i="141"/>
  <c r="CB259" i="141"/>
  <c r="AK265" i="141"/>
  <c r="AH234" i="141"/>
  <c r="AK234" i="141" s="1"/>
  <c r="AK266" i="141"/>
  <c r="AH235" i="141"/>
  <c r="AK235" i="141" s="1"/>
  <c r="AI292" i="141"/>
  <c r="AL292" i="141" s="1"/>
  <c r="AH292" i="141"/>
  <c r="AK292" i="141" s="1"/>
  <c r="AJ292" i="141"/>
  <c r="CT236" i="141"/>
  <c r="CW267" i="141"/>
  <c r="CV265" i="141"/>
  <c r="CS234" i="141"/>
  <c r="CV234" i="141" s="1"/>
  <c r="AR19" i="111"/>
  <c r="CU235" i="141"/>
  <c r="CV261" i="141"/>
  <c r="CW262" i="141"/>
  <c r="CR229" i="141"/>
  <c r="CT258" i="141"/>
  <c r="CW259" i="141"/>
  <c r="M236" i="141"/>
  <c r="DN267" i="141"/>
  <c r="DQ267" i="141" s="1"/>
  <c r="P267" i="141"/>
  <c r="Q295" i="141"/>
  <c r="DO295" i="141"/>
  <c r="DR295" i="141" s="1"/>
  <c r="D18" i="111"/>
  <c r="DM234" i="141"/>
  <c r="DP234" i="141" s="1"/>
  <c r="O234" i="141"/>
  <c r="N292" i="141"/>
  <c r="N233" i="141" s="1"/>
  <c r="M292" i="141"/>
  <c r="O292" i="141"/>
  <c r="DM292" i="141"/>
  <c r="DP292" i="141" s="1"/>
  <c r="L230" i="141"/>
  <c r="Q263" i="141"/>
  <c r="DO263" i="141"/>
  <c r="DR263" i="141" s="1"/>
  <c r="DO262" i="141"/>
  <c r="DR262" i="141" s="1"/>
  <c r="Q262" i="141"/>
  <c r="N288" i="141"/>
  <c r="N229" i="141" s="1"/>
  <c r="M288" i="141"/>
  <c r="O288" i="141"/>
  <c r="DM288" i="141"/>
  <c r="DP288" i="141" s="1"/>
  <c r="O258" i="141"/>
  <c r="O269" i="141" s="1"/>
  <c r="U270" i="141" s="1"/>
  <c r="N287" i="141"/>
  <c r="M287" i="141"/>
  <c r="O287" i="141"/>
  <c r="L286" i="141"/>
  <c r="DM287" i="141"/>
  <c r="X18" i="111"/>
  <c r="BE234" i="141"/>
  <c r="BG266" i="141"/>
  <c r="BD235" i="141"/>
  <c r="BG235" i="141" s="1"/>
  <c r="BD292" i="141"/>
  <c r="BG292" i="141" s="1"/>
  <c r="BC292" i="141"/>
  <c r="BF292" i="141" s="1"/>
  <c r="BE292" i="141"/>
  <c r="BD291" i="141"/>
  <c r="BG291" i="141" s="1"/>
  <c r="BC291" i="141"/>
  <c r="BF291" i="141" s="1"/>
  <c r="BE291" i="141"/>
  <c r="BF262" i="141"/>
  <c r="BD288" i="141"/>
  <c r="BG288" i="141" s="1"/>
  <c r="BC288" i="141"/>
  <c r="BF288" i="141" s="1"/>
  <c r="BE288" i="141"/>
  <c r="AK263" i="141"/>
  <c r="AI290" i="141"/>
  <c r="AL290" i="141" s="1"/>
  <c r="AH290" i="141"/>
  <c r="AK290" i="141" s="1"/>
  <c r="AJ290" i="141"/>
  <c r="AL260" i="141"/>
  <c r="AL259" i="141"/>
  <c r="CB265" i="141"/>
  <c r="BY234" i="141"/>
  <c r="CA266" i="141"/>
  <c r="BX235" i="141"/>
  <c r="BX292" i="141"/>
  <c r="CA292" i="141" s="1"/>
  <c r="BY292" i="141"/>
  <c r="CB292" i="141" s="1"/>
  <c r="BZ292" i="141"/>
  <c r="BX230" i="141"/>
  <c r="CA261" i="141"/>
  <c r="CB263" i="141"/>
  <c r="CA260" i="141"/>
  <c r="BY287" i="141"/>
  <c r="BX287" i="141"/>
  <c r="BZ287" i="141"/>
  <c r="BW286" i="141"/>
  <c r="AH236" i="141"/>
  <c r="AK267" i="141"/>
  <c r="AL265" i="141"/>
  <c r="AI234" i="141"/>
  <c r="AL234" i="141" s="1"/>
  <c r="DO266" i="141"/>
  <c r="DR266" i="141" s="1"/>
  <c r="AI235" i="141"/>
  <c r="AL235" i="141" s="1"/>
  <c r="AL266" i="141"/>
  <c r="CS236" i="141"/>
  <c r="CV267" i="141"/>
  <c r="AR18" i="111"/>
  <c r="CU234" i="141"/>
  <c r="CS233" i="141"/>
  <c r="CV264" i="141"/>
  <c r="CT289" i="141"/>
  <c r="CW289" i="141" s="1"/>
  <c r="CS289" i="141"/>
  <c r="CV289" i="141" s="1"/>
  <c r="CU289" i="141"/>
  <c r="CW263" i="141"/>
  <c r="CT290" i="141"/>
  <c r="CW290" i="141" s="1"/>
  <c r="CS290" i="141"/>
  <c r="CV290" i="141" s="1"/>
  <c r="CU290" i="141"/>
  <c r="CV260" i="141"/>
  <c r="CS258" i="141"/>
  <c r="CV259" i="141"/>
  <c r="P265" i="141"/>
  <c r="DN265" i="141"/>
  <c r="DQ265" i="141" s="1"/>
  <c r="M234" i="141"/>
  <c r="Q293" i="141"/>
  <c r="DO293" i="141"/>
  <c r="DR293" i="141" s="1"/>
  <c r="P266" i="141"/>
  <c r="DN266" i="141"/>
  <c r="DQ266" i="141" s="1"/>
  <c r="M235" i="141"/>
  <c r="P235" i="141" s="1"/>
  <c r="Q294" i="141"/>
  <c r="DO294" i="141"/>
  <c r="DR294" i="141" s="1"/>
  <c r="Q261" i="141"/>
  <c r="DN263" i="141"/>
  <c r="DQ263" i="141" s="1"/>
  <c r="P263" i="141"/>
  <c r="N290" i="141"/>
  <c r="M290" i="141"/>
  <c r="O290" i="141"/>
  <c r="DM290" i="141"/>
  <c r="DP290" i="141" s="1"/>
  <c r="M8" i="163"/>
  <c r="U8" i="163" s="1"/>
  <c r="Z8" i="163" s="1"/>
  <c r="T31" i="163"/>
  <c r="L6" i="163"/>
  <c r="T6" i="163" s="1"/>
  <c r="AA6" i="163" s="1"/>
  <c r="N9" i="163"/>
  <c r="V9" i="163" s="1"/>
  <c r="L9" i="163"/>
  <c r="T9" i="163" s="1"/>
  <c r="AA9" i="163" s="1"/>
  <c r="M70" i="163"/>
  <c r="M13" i="163"/>
  <c r="U13" i="163" s="1"/>
  <c r="Z13" i="163" s="1"/>
  <c r="L83" i="163"/>
  <c r="N16" i="163"/>
  <c r="L15" i="163"/>
  <c r="T15" i="163" s="1"/>
  <c r="AA15" i="163" s="1"/>
  <c r="M7" i="163"/>
  <c r="U7" i="163" s="1"/>
  <c r="Z7" i="163" s="1"/>
  <c r="T83" i="163"/>
  <c r="V16" i="163"/>
  <c r="N11" i="163"/>
  <c r="U31" i="163"/>
  <c r="O11" i="163"/>
  <c r="J5" i="163"/>
  <c r="J17" i="163" s="1"/>
  <c r="E11" i="163"/>
  <c r="M11" i="163" s="1"/>
  <c r="U11" i="163" s="1"/>
  <c r="Z11" i="163" s="1"/>
  <c r="M15" i="163"/>
  <c r="U15" i="163" s="1"/>
  <c r="Z15" i="163" s="1"/>
  <c r="O10" i="163"/>
  <c r="W10" i="163" s="1"/>
  <c r="AD10" i="163" s="1"/>
  <c r="L14" i="163"/>
  <c r="T14" i="163" s="1"/>
  <c r="AA14" i="163" s="1"/>
  <c r="I17" i="163"/>
  <c r="L7" i="163"/>
  <c r="T7" i="163" s="1"/>
  <c r="AA7" i="163" s="1"/>
  <c r="W19" i="163"/>
  <c r="M14" i="163"/>
  <c r="U14" i="163" s="1"/>
  <c r="Z14" i="163" s="1"/>
  <c r="M10" i="163"/>
  <c r="U10" i="163" s="1"/>
  <c r="Z10" i="163" s="1"/>
  <c r="W32" i="163"/>
  <c r="L11" i="163"/>
  <c r="T11" i="163" s="1"/>
  <c r="AA11" i="163" s="1"/>
  <c r="W9" i="163"/>
  <c r="AD9" i="163" s="1"/>
  <c r="P17" i="163"/>
  <c r="K5" i="163"/>
  <c r="K17" i="163" s="1"/>
  <c r="D17" i="163"/>
  <c r="L31" i="163"/>
  <c r="Q17" i="163"/>
  <c r="O7" i="163"/>
  <c r="W7" i="163" s="1"/>
  <c r="AD7" i="163" s="1"/>
  <c r="E17" i="163"/>
  <c r="W16" i="163"/>
  <c r="AD16" i="163" s="1"/>
  <c r="M16" i="163"/>
  <c r="U16" i="163" s="1"/>
  <c r="Z16" i="163" s="1"/>
  <c r="N6" i="163"/>
  <c r="V6" i="163" s="1"/>
  <c r="O71" i="163"/>
  <c r="W71" i="163"/>
  <c r="H17" i="163"/>
  <c r="F5" i="163"/>
  <c r="F17" i="163" s="1"/>
  <c r="U57" i="163"/>
  <c r="N15" i="163"/>
  <c r="V15" i="163" s="1"/>
  <c r="N10" i="163"/>
  <c r="V10" i="163" s="1"/>
  <c r="N58" i="163"/>
  <c r="V45" i="163"/>
  <c r="N71" i="163"/>
  <c r="N19" i="163"/>
  <c r="N31" i="163" s="1"/>
  <c r="S5" i="163"/>
  <c r="L10" i="163"/>
  <c r="T10" i="163" s="1"/>
  <c r="AA10" i="163" s="1"/>
  <c r="R5" i="163"/>
  <c r="M44" i="163"/>
  <c r="U32" i="163"/>
  <c r="U44" i="163" s="1"/>
  <c r="O45" i="163"/>
  <c r="W46" i="163"/>
  <c r="AD46" i="163" s="1"/>
  <c r="O8" i="163"/>
  <c r="G5" i="163"/>
  <c r="L70" i="163"/>
  <c r="T58" i="163"/>
  <c r="V32" i="163"/>
  <c r="X33" i="163"/>
  <c r="V58" i="163"/>
  <c r="X59" i="163"/>
  <c r="O19" i="163"/>
  <c r="O31" i="163" s="1"/>
  <c r="X20" i="163"/>
  <c r="V19" i="163"/>
  <c r="M9" i="163"/>
  <c r="U9" i="163" s="1"/>
  <c r="Z9" i="163" s="1"/>
  <c r="V71" i="163"/>
  <c r="X72" i="163"/>
  <c r="L18" i="163"/>
  <c r="T5" i="163"/>
  <c r="O58" i="163"/>
  <c r="T45" i="163"/>
  <c r="L57" i="163"/>
  <c r="U70" i="163"/>
  <c r="L44" i="163"/>
  <c r="T32" i="163"/>
  <c r="M83" i="163"/>
  <c r="U71" i="163"/>
  <c r="U83" i="163" s="1"/>
  <c r="N8" i="163"/>
  <c r="M18" i="163"/>
  <c r="U5" i="163"/>
  <c r="W58" i="163"/>
  <c r="GN22" i="77" l="1"/>
  <c r="AB77" i="163"/>
  <c r="AY16" i="77"/>
  <c r="AY16" i="140"/>
  <c r="DM24" i="140"/>
  <c r="AQ24" i="139"/>
  <c r="BP24" i="139" s="1"/>
  <c r="GM21" i="77"/>
  <c r="AB32" i="163"/>
  <c r="GM20" i="77"/>
  <c r="AO24" i="139"/>
  <c r="BV24" i="139" s="1"/>
  <c r="CB23" i="139"/>
  <c r="EV23" i="140"/>
  <c r="GC23" i="140" s="1"/>
  <c r="GM19" i="77"/>
  <c r="Z83" i="163"/>
  <c r="GM22" i="77"/>
  <c r="AB58" i="163"/>
  <c r="P261" i="141"/>
  <c r="Z57" i="163"/>
  <c r="CG26" i="77"/>
  <c r="AQ24" i="140"/>
  <c r="AN24" i="140"/>
  <c r="BX232" i="141"/>
  <c r="CG26" i="140"/>
  <c r="W11" i="163"/>
  <c r="AD11" i="163" s="1"/>
  <c r="CT232" i="141"/>
  <c r="J18" i="163"/>
  <c r="M230" i="141"/>
  <c r="K26" i="139"/>
  <c r="AV26" i="140"/>
  <c r="BY230" i="141"/>
  <c r="DN261" i="141"/>
  <c r="DQ261" i="141" s="1"/>
  <c r="AV26" i="77"/>
  <c r="Z31" i="163"/>
  <c r="Z70" i="163"/>
  <c r="CG26" i="139"/>
  <c r="J26" i="140"/>
  <c r="AB19" i="163"/>
  <c r="AM23" i="139"/>
  <c r="FF13" i="139"/>
  <c r="FF13" i="140"/>
  <c r="FF13" i="77"/>
  <c r="AD45" i="163"/>
  <c r="X10" i="163"/>
  <c r="AB10" i="163"/>
  <c r="AA5" i="163"/>
  <c r="X25" i="163"/>
  <c r="AB25" i="163"/>
  <c r="L16" i="77" s="1"/>
  <c r="FF16" i="140"/>
  <c r="FF15" i="140" s="1"/>
  <c r="FF16" i="139"/>
  <c r="FF15" i="139" s="1"/>
  <c r="FF16" i="77"/>
  <c r="CJ16" i="140"/>
  <c r="CJ15" i="140" s="1"/>
  <c r="CJ16" i="139"/>
  <c r="CJ15" i="139" s="1"/>
  <c r="CJ16" i="77"/>
  <c r="BZ24" i="140"/>
  <c r="CA24" i="140" s="1"/>
  <c r="CB24" i="140"/>
  <c r="DA24" i="140" s="1"/>
  <c r="CH19" i="140"/>
  <c r="CH19" i="139"/>
  <c r="CH19" i="77"/>
  <c r="FW23" i="140"/>
  <c r="ET23" i="140"/>
  <c r="AQ23" i="139"/>
  <c r="BP23" i="139" s="1"/>
  <c r="DM24" i="139"/>
  <c r="FB26" i="77"/>
  <c r="E198" i="141"/>
  <c r="E36" i="141"/>
  <c r="EV23" i="139"/>
  <c r="GC23" i="139" s="1"/>
  <c r="AN23" i="140"/>
  <c r="FC26" i="139"/>
  <c r="GQ24" i="140"/>
  <c r="L22" i="140"/>
  <c r="L22" i="139"/>
  <c r="AY26" i="139"/>
  <c r="GO24" i="77"/>
  <c r="GO24" i="140"/>
  <c r="CF26" i="140"/>
  <c r="AY15" i="140"/>
  <c r="X15" i="163"/>
  <c r="AB15" i="163"/>
  <c r="AU16" i="139"/>
  <c r="AU15" i="139" s="1"/>
  <c r="AU16" i="140"/>
  <c r="AU15" i="140" s="1"/>
  <c r="AU16" i="77"/>
  <c r="X14" i="163"/>
  <c r="AB14" i="163"/>
  <c r="X51" i="163"/>
  <c r="AB51" i="163"/>
  <c r="AM24" i="139"/>
  <c r="AP24" i="139"/>
  <c r="DV23" i="77"/>
  <c r="EJ23" i="77" s="1"/>
  <c r="HV23" i="77"/>
  <c r="EQ23" i="77"/>
  <c r="K26" i="140"/>
  <c r="L20" i="140"/>
  <c r="L20" i="139"/>
  <c r="GB24" i="77"/>
  <c r="FG24" i="77"/>
  <c r="FU24" i="77" s="1"/>
  <c r="HW24" i="77"/>
  <c r="HX24" i="77" s="1"/>
  <c r="CJ26" i="77"/>
  <c r="AO23" i="139"/>
  <c r="BV23" i="139" s="1"/>
  <c r="FB26" i="140"/>
  <c r="GI23" i="139"/>
  <c r="G198" i="141" s="1"/>
  <c r="GG23" i="139"/>
  <c r="HP23" i="139"/>
  <c r="GF23" i="139"/>
  <c r="AV15" i="140"/>
  <c r="EU23" i="139"/>
  <c r="AO23" i="140"/>
  <c r="BV23" i="140" s="1"/>
  <c r="AW22" i="140"/>
  <c r="AW22" i="139"/>
  <c r="AW22" i="77"/>
  <c r="FC26" i="140"/>
  <c r="AU26" i="139"/>
  <c r="AY26" i="140"/>
  <c r="AM24" i="140"/>
  <c r="GN23" i="139"/>
  <c r="FD14" i="140"/>
  <c r="FD14" i="139"/>
  <c r="FD14" i="77"/>
  <c r="AB45" i="163"/>
  <c r="AY15" i="139"/>
  <c r="X16" i="163"/>
  <c r="AB16" i="163"/>
  <c r="X13" i="163"/>
  <c r="AB13" i="163"/>
  <c r="N16" i="140"/>
  <c r="N15" i="140" s="1"/>
  <c r="N16" i="139"/>
  <c r="N15" i="139" s="1"/>
  <c r="N26" i="77"/>
  <c r="HX23" i="77"/>
  <c r="DI24" i="140"/>
  <c r="EL24" i="140"/>
  <c r="DL24" i="140"/>
  <c r="J26" i="139"/>
  <c r="EQ23" i="139"/>
  <c r="DV23" i="139"/>
  <c r="EJ23" i="139" s="1"/>
  <c r="EG23" i="139" s="1"/>
  <c r="K26" i="77"/>
  <c r="FG24" i="139"/>
  <c r="FU24" i="139" s="1"/>
  <c r="FR24" i="139" s="1"/>
  <c r="EU24" i="139" s="1"/>
  <c r="GB24" i="139"/>
  <c r="FD21" i="140"/>
  <c r="FD21" i="139"/>
  <c r="FD21" i="77"/>
  <c r="FB26" i="139"/>
  <c r="HP23" i="140"/>
  <c r="GF23" i="140"/>
  <c r="GI23" i="140"/>
  <c r="H198" i="141" s="1"/>
  <c r="DS19" i="140"/>
  <c r="DS19" i="139"/>
  <c r="DS19" i="77"/>
  <c r="AV15" i="139"/>
  <c r="AW19" i="139"/>
  <c r="AW19" i="140"/>
  <c r="AW19" i="77"/>
  <c r="BX23" i="140"/>
  <c r="FC26" i="77"/>
  <c r="GQ24" i="77"/>
  <c r="HP24" i="77" s="1"/>
  <c r="DS20" i="139"/>
  <c r="DS20" i="140"/>
  <c r="DS20" i="77"/>
  <c r="AW23" i="139"/>
  <c r="GO23" i="139" s="1"/>
  <c r="AW23" i="140"/>
  <c r="GO23" i="140" s="1"/>
  <c r="AW23" i="77"/>
  <c r="GO23" i="77" s="1"/>
  <c r="CH22" i="140"/>
  <c r="CH22" i="139"/>
  <c r="CH22" i="77"/>
  <c r="BZ23" i="140"/>
  <c r="DG23" i="140" s="1"/>
  <c r="CH16" i="140"/>
  <c r="CH15" i="140" s="1"/>
  <c r="CH16" i="139"/>
  <c r="CH15" i="139" s="1"/>
  <c r="CH16" i="77"/>
  <c r="GN23" i="140"/>
  <c r="CF26" i="77"/>
  <c r="CH20" i="140"/>
  <c r="CH20" i="139"/>
  <c r="CH20" i="77"/>
  <c r="X6" i="163"/>
  <c r="AB6" i="163"/>
  <c r="X9" i="163"/>
  <c r="AB9" i="163"/>
  <c r="Z5" i="163"/>
  <c r="X7" i="163"/>
  <c r="AB7" i="163"/>
  <c r="X38" i="163"/>
  <c r="AB38" i="163"/>
  <c r="DU16" i="140"/>
  <c r="DU15" i="140" s="1"/>
  <c r="DU16" i="139"/>
  <c r="DU15" i="139" s="1"/>
  <c r="DU16" i="77"/>
  <c r="DU26" i="77" s="1"/>
  <c r="DQ16" i="140"/>
  <c r="DQ15" i="140" s="1"/>
  <c r="DQ16" i="139"/>
  <c r="DQ16" i="77"/>
  <c r="DQ26" i="77" s="1"/>
  <c r="CA23" i="139"/>
  <c r="DA23" i="139"/>
  <c r="BX23" i="139"/>
  <c r="EQ23" i="140"/>
  <c r="DV23" i="140"/>
  <c r="EJ23" i="140" s="1"/>
  <c r="EG23" i="140" s="1"/>
  <c r="BY24" i="139"/>
  <c r="CB24" i="139"/>
  <c r="FG24" i="140"/>
  <c r="FU24" i="140" s="1"/>
  <c r="FR24" i="140" s="1"/>
  <c r="EX24" i="140" s="1"/>
  <c r="GB24" i="140"/>
  <c r="AB71" i="163"/>
  <c r="AW16" i="139"/>
  <c r="AW15" i="139" s="1"/>
  <c r="AW16" i="140"/>
  <c r="AW15" i="140" s="1"/>
  <c r="AW16" i="77"/>
  <c r="DJ24" i="139"/>
  <c r="AU26" i="77"/>
  <c r="GQ24" i="139"/>
  <c r="AY26" i="77"/>
  <c r="GM24" i="139"/>
  <c r="GR24" i="139" s="1"/>
  <c r="HF24" i="139" s="1"/>
  <c r="HC24" i="139" s="1"/>
  <c r="GO24" i="139"/>
  <c r="CB23" i="140"/>
  <c r="DA23" i="140" s="1"/>
  <c r="CF26" i="139"/>
  <c r="J26" i="77"/>
  <c r="AH23" i="77" s="1"/>
  <c r="AI23" i="77" s="1"/>
  <c r="AJ23" i="77" s="1"/>
  <c r="V11" i="163"/>
  <c r="AA31" i="163"/>
  <c r="T57" i="163"/>
  <c r="AA57" i="163"/>
  <c r="T44" i="163"/>
  <c r="DO261" i="141"/>
  <c r="DR261" i="141" s="1"/>
  <c r="AA83" i="163"/>
  <c r="T70" i="163"/>
  <c r="AA70" i="163"/>
  <c r="BG261" i="141"/>
  <c r="BG258" i="141" s="1"/>
  <c r="BG269" i="141" s="1"/>
  <c r="BM270" i="141" s="1"/>
  <c r="R17" i="163"/>
  <c r="W45" i="163"/>
  <c r="S18" i="163"/>
  <c r="BY229" i="141"/>
  <c r="BC231" i="141"/>
  <c r="BX229" i="141"/>
  <c r="CV258" i="141"/>
  <c r="CV269" i="141" s="1"/>
  <c r="DB270" i="141" s="1"/>
  <c r="CS229" i="141"/>
  <c r="AI229" i="141"/>
  <c r="BY232" i="141"/>
  <c r="AH232" i="141"/>
  <c r="AH258" i="141"/>
  <c r="BD230" i="141"/>
  <c r="P234" i="141"/>
  <c r="DN234" i="141"/>
  <c r="DQ234" i="141" s="1"/>
  <c r="BY286" i="141"/>
  <c r="CB287" i="141"/>
  <c r="CB286" i="141" s="1"/>
  <c r="CB297" i="141" s="1"/>
  <c r="CH298" i="141" s="1"/>
  <c r="DO234" i="141"/>
  <c r="DR234" i="141" s="1"/>
  <c r="CB234" i="141"/>
  <c r="O286" i="141"/>
  <c r="O297" i="141" s="1"/>
  <c r="U298" i="141" s="1"/>
  <c r="CT231" i="141"/>
  <c r="AU19" i="111"/>
  <c r="AR30" i="111"/>
  <c r="AU30" i="111" s="1"/>
  <c r="AR86" i="111"/>
  <c r="AU86" i="111" s="1"/>
  <c r="AR97" i="111"/>
  <c r="AR74" i="111"/>
  <c r="AR63" i="111"/>
  <c r="AU63" i="111" s="1"/>
  <c r="AR41" i="111"/>
  <c r="AU41" i="111" s="1"/>
  <c r="AR52" i="111"/>
  <c r="AU52" i="111" s="1"/>
  <c r="CB258" i="141"/>
  <c r="CB269" i="141" s="1"/>
  <c r="CH270" i="141" s="1"/>
  <c r="BX233" i="141"/>
  <c r="BC286" i="141"/>
  <c r="BF287" i="141"/>
  <c r="BF286" i="141" s="1"/>
  <c r="BF297" i="141" s="1"/>
  <c r="BL298" i="141" s="1"/>
  <c r="P258" i="141"/>
  <c r="P269" i="141" s="1"/>
  <c r="V270" i="141" s="1"/>
  <c r="Q289" i="141"/>
  <c r="DO289" i="141"/>
  <c r="DR289" i="141" s="1"/>
  <c r="CS231" i="141"/>
  <c r="BC233" i="141"/>
  <c r="X86" i="111"/>
  <c r="AA86" i="111" s="1"/>
  <c r="X74" i="111"/>
  <c r="X63" i="111"/>
  <c r="AA63" i="111" s="1"/>
  <c r="X52" i="111"/>
  <c r="AA52" i="111" s="1"/>
  <c r="X41" i="111"/>
  <c r="AA41" i="111" s="1"/>
  <c r="X30" i="111"/>
  <c r="AA30" i="111" s="1"/>
  <c r="AA19" i="111"/>
  <c r="X97" i="111"/>
  <c r="DM258" i="141"/>
  <c r="D52" i="111"/>
  <c r="D41" i="111"/>
  <c r="D30" i="111"/>
  <c r="BB19" i="111"/>
  <c r="D97" i="111"/>
  <c r="D86" i="111"/>
  <c r="D74" i="111"/>
  <c r="D63" i="111"/>
  <c r="CU286" i="141"/>
  <c r="CU297" i="141" s="1"/>
  <c r="DA298" i="141" s="1"/>
  <c r="BB18" i="111"/>
  <c r="N51" i="111"/>
  <c r="N40" i="111"/>
  <c r="N29" i="111"/>
  <c r="N96" i="111"/>
  <c r="N85" i="111"/>
  <c r="N73" i="111"/>
  <c r="N62" i="111"/>
  <c r="BY231" i="141"/>
  <c r="AJ286" i="141"/>
  <c r="AJ297" i="141" s="1"/>
  <c r="AP298" i="141" s="1"/>
  <c r="AI232" i="141"/>
  <c r="AI230" i="141"/>
  <c r="AL261" i="141"/>
  <c r="AL258" i="141" s="1"/>
  <c r="AL269" i="141" s="1"/>
  <c r="AR270" i="141" s="1"/>
  <c r="P290" i="141"/>
  <c r="DN290" i="141"/>
  <c r="DQ290" i="141" s="1"/>
  <c r="X62" i="111"/>
  <c r="AA62" i="111" s="1"/>
  <c r="X51" i="111"/>
  <c r="AA51" i="111" s="1"/>
  <c r="X40" i="111"/>
  <c r="AA40" i="111" s="1"/>
  <c r="X96" i="111"/>
  <c r="AA18" i="111"/>
  <c r="X29" i="111"/>
  <c r="AA29" i="111" s="1"/>
  <c r="X85" i="111"/>
  <c r="AA85" i="111" s="1"/>
  <c r="X73" i="111"/>
  <c r="M286" i="141"/>
  <c r="P287" i="141"/>
  <c r="DN287" i="141"/>
  <c r="P292" i="141"/>
  <c r="DN292" i="141"/>
  <c r="DQ292" i="141" s="1"/>
  <c r="G18" i="111"/>
  <c r="D85" i="111"/>
  <c r="D51" i="111"/>
  <c r="D96" i="111"/>
  <c r="D62" i="111"/>
  <c r="D29" i="111"/>
  <c r="D73" i="111"/>
  <c r="D40" i="111"/>
  <c r="AK19" i="111"/>
  <c r="AH97" i="111"/>
  <c r="AH74" i="111"/>
  <c r="AH63" i="111"/>
  <c r="AK63" i="111" s="1"/>
  <c r="AH86" i="111"/>
  <c r="AK86" i="111" s="1"/>
  <c r="AH52" i="111"/>
  <c r="AK52" i="111" s="1"/>
  <c r="AH30" i="111"/>
  <c r="AK30" i="111" s="1"/>
  <c r="AH41" i="111"/>
  <c r="AK41" i="111" s="1"/>
  <c r="AH231" i="141"/>
  <c r="BG287" i="141"/>
  <c r="BG286" i="141" s="1"/>
  <c r="BG297" i="141" s="1"/>
  <c r="BM298" i="141" s="1"/>
  <c r="BD286" i="141"/>
  <c r="BC232" i="141"/>
  <c r="M228" i="141"/>
  <c r="CT230" i="141"/>
  <c r="CA258" i="141"/>
  <c r="CA269" i="141" s="1"/>
  <c r="CG270" i="141" s="1"/>
  <c r="BY233" i="141"/>
  <c r="AH62" i="111"/>
  <c r="AK62" i="111" s="1"/>
  <c r="AH73" i="111"/>
  <c r="AH40" i="111"/>
  <c r="AK40" i="111" s="1"/>
  <c r="AH51" i="111"/>
  <c r="AK51" i="111" s="1"/>
  <c r="AK18" i="111"/>
  <c r="AH29" i="111"/>
  <c r="AK29" i="111" s="1"/>
  <c r="AH85" i="111"/>
  <c r="AK85" i="111" s="1"/>
  <c r="AH96" i="111"/>
  <c r="AI231" i="141"/>
  <c r="BF258" i="141"/>
  <c r="BF269" i="141" s="1"/>
  <c r="BL270" i="141" s="1"/>
  <c r="Q258" i="141"/>
  <c r="Q269" i="141" s="1"/>
  <c r="W270" i="141" s="1"/>
  <c r="M233" i="141"/>
  <c r="CV287" i="141"/>
  <c r="CV286" i="141" s="1"/>
  <c r="CV297" i="141" s="1"/>
  <c r="DB298" i="141" s="1"/>
  <c r="CS286" i="141"/>
  <c r="CT229" i="141"/>
  <c r="CT233" i="141"/>
  <c r="AI233" i="141"/>
  <c r="BD231" i="141"/>
  <c r="Q290" i="141"/>
  <c r="DO290" i="141"/>
  <c r="DR290" i="141" s="1"/>
  <c r="BZ286" i="141"/>
  <c r="BZ297" i="141" s="1"/>
  <c r="CF298" i="141" s="1"/>
  <c r="DN235" i="141"/>
  <c r="DQ235" i="141" s="1"/>
  <c r="CA235" i="141"/>
  <c r="DM286" i="141"/>
  <c r="DP287" i="141"/>
  <c r="DP286" i="141" s="1"/>
  <c r="DP297" i="141" s="1"/>
  <c r="DV298" i="141" s="1"/>
  <c r="N286" i="141"/>
  <c r="Q287" i="141"/>
  <c r="DO287" i="141"/>
  <c r="P288" i="141"/>
  <c r="DN288" i="141"/>
  <c r="DQ288" i="141" s="1"/>
  <c r="N231" i="141"/>
  <c r="Q292" i="141"/>
  <c r="DO292" i="141"/>
  <c r="DR292" i="141" s="1"/>
  <c r="CS230" i="141"/>
  <c r="BY228" i="141"/>
  <c r="BE286" i="141"/>
  <c r="BE297" i="141" s="1"/>
  <c r="BK298" i="141" s="1"/>
  <c r="DQ259" i="141"/>
  <c r="AH233" i="141"/>
  <c r="BX231" i="141"/>
  <c r="BC229" i="141"/>
  <c r="N228" i="141"/>
  <c r="DN291" i="141"/>
  <c r="DQ291" i="141" s="1"/>
  <c r="P291" i="141"/>
  <c r="CT286" i="141"/>
  <c r="CW287" i="141"/>
  <c r="CW286" i="141" s="1"/>
  <c r="CW297" i="141" s="1"/>
  <c r="DC298" i="141" s="1"/>
  <c r="AK287" i="141"/>
  <c r="AK286" i="141" s="1"/>
  <c r="AK297" i="141" s="1"/>
  <c r="AQ298" i="141" s="1"/>
  <c r="AH286" i="141"/>
  <c r="AH229" i="141"/>
  <c r="AR96" i="111"/>
  <c r="AU18" i="111"/>
  <c r="AR51" i="111"/>
  <c r="AU51" i="111" s="1"/>
  <c r="AR40" i="111"/>
  <c r="AU40" i="111" s="1"/>
  <c r="AR62" i="111"/>
  <c r="AU62" i="111" s="1"/>
  <c r="AR29" i="111"/>
  <c r="AU29" i="111" s="1"/>
  <c r="AR73" i="111"/>
  <c r="AR85" i="111"/>
  <c r="AU85" i="111" s="1"/>
  <c r="BX286" i="141"/>
  <c r="CA287" i="141"/>
  <c r="CA286" i="141" s="1"/>
  <c r="CA297" i="141" s="1"/>
  <c r="CG298" i="141" s="1"/>
  <c r="Q288" i="141"/>
  <c r="DO288" i="141"/>
  <c r="DR288" i="141" s="1"/>
  <c r="CW258" i="141"/>
  <c r="CW269" i="141" s="1"/>
  <c r="DC270" i="141" s="1"/>
  <c r="BD229" i="141"/>
  <c r="BD233" i="141"/>
  <c r="M231" i="141"/>
  <c r="DN289" i="141"/>
  <c r="DQ289" i="141" s="1"/>
  <c r="P289" i="141"/>
  <c r="BX228" i="141"/>
  <c r="BC228" i="141"/>
  <c r="BD232" i="141"/>
  <c r="DR259" i="141"/>
  <c r="DP258" i="141"/>
  <c r="DP269" i="141" s="1"/>
  <c r="DV270" i="141" s="1"/>
  <c r="M229" i="141"/>
  <c r="Q291" i="141"/>
  <c r="DO291" i="141"/>
  <c r="DR291" i="141" s="1"/>
  <c r="Q235" i="141"/>
  <c r="DO235" i="141"/>
  <c r="DR235" i="141" s="1"/>
  <c r="CS232" i="141"/>
  <c r="N63" i="111"/>
  <c r="Q63" i="111" s="1"/>
  <c r="N30" i="111"/>
  <c r="Q30" i="111" s="1"/>
  <c r="N41" i="111"/>
  <c r="Q41" i="111" s="1"/>
  <c r="Q19" i="111"/>
  <c r="N97" i="111"/>
  <c r="N52" i="111"/>
  <c r="Q52" i="111" s="1"/>
  <c r="N86" i="111"/>
  <c r="Q86" i="111" s="1"/>
  <c r="N74" i="111"/>
  <c r="AI286" i="141"/>
  <c r="AL287" i="141"/>
  <c r="AL286" i="141" s="1"/>
  <c r="AL297" i="141" s="1"/>
  <c r="AR298" i="141" s="1"/>
  <c r="AH230" i="141"/>
  <c r="AK261" i="141"/>
  <c r="AK258" i="141" s="1"/>
  <c r="AK269" i="141" s="1"/>
  <c r="AQ270" i="141" s="1"/>
  <c r="BD228" i="141"/>
  <c r="BC230" i="141"/>
  <c r="L17" i="163"/>
  <c r="Y14" i="163"/>
  <c r="K18" i="163"/>
  <c r="Y6" i="163"/>
  <c r="S17" i="163"/>
  <c r="F18" i="163"/>
  <c r="M17" i="163"/>
  <c r="R18" i="163"/>
  <c r="U18" i="163"/>
  <c r="Y5" i="163"/>
  <c r="U17" i="163"/>
  <c r="W8" i="163"/>
  <c r="AD8" i="163" s="1"/>
  <c r="O5" i="163"/>
  <c r="T18" i="163"/>
  <c r="T17" i="163"/>
  <c r="V8" i="163"/>
  <c r="AB8" i="163" s="1"/>
  <c r="N5" i="163"/>
  <c r="G18" i="163"/>
  <c r="G17" i="163"/>
  <c r="N26" i="140" l="1"/>
  <c r="GM16" i="77"/>
  <c r="BP24" i="140"/>
  <c r="EW23" i="140"/>
  <c r="CH26" i="77"/>
  <c r="AH24" i="77"/>
  <c r="AI24" i="77" s="1"/>
  <c r="AJ24" i="77" s="1"/>
  <c r="AW26" i="77"/>
  <c r="DU26" i="140"/>
  <c r="DQ26" i="140"/>
  <c r="AP24" i="140"/>
  <c r="CJ26" i="139"/>
  <c r="DO258" i="141"/>
  <c r="DN258" i="141"/>
  <c r="AU26" i="140"/>
  <c r="DQ258" i="141"/>
  <c r="DQ269" i="141" s="1"/>
  <c r="DW270" i="141" s="1"/>
  <c r="DR258" i="141"/>
  <c r="DR269" i="141" s="1"/>
  <c r="DX270" i="141" s="1"/>
  <c r="N26" i="139"/>
  <c r="CJ26" i="140"/>
  <c r="EO23" i="77"/>
  <c r="EP23" i="77" s="1"/>
  <c r="EO24" i="77"/>
  <c r="EP24" i="77" s="1"/>
  <c r="DS16" i="140"/>
  <c r="DS16" i="139"/>
  <c r="DS16" i="77"/>
  <c r="DS26" i="77" s="1"/>
  <c r="Z17" i="163"/>
  <c r="Z18" i="163"/>
  <c r="DD24" i="77"/>
  <c r="DE24" i="77" s="1"/>
  <c r="DF24" i="77" s="1"/>
  <c r="DD23" i="77"/>
  <c r="DE23" i="77" s="1"/>
  <c r="CA23" i="140"/>
  <c r="DU26" i="139"/>
  <c r="EV24" i="139"/>
  <c r="GC24" i="139" s="1"/>
  <c r="L16" i="140"/>
  <c r="L16" i="139"/>
  <c r="L26" i="77"/>
  <c r="FF26" i="139"/>
  <c r="HP24" i="139"/>
  <c r="GI24" i="139"/>
  <c r="G199" i="141" s="1"/>
  <c r="GG24" i="139"/>
  <c r="GF24" i="139"/>
  <c r="DA24" i="139"/>
  <c r="CA24" i="139"/>
  <c r="EU24" i="140"/>
  <c r="E37" i="141"/>
  <c r="E199" i="141"/>
  <c r="GH23" i="140"/>
  <c r="HH23" i="140"/>
  <c r="AW26" i="140"/>
  <c r="ET24" i="139"/>
  <c r="HP24" i="140"/>
  <c r="GF24" i="140"/>
  <c r="GG24" i="140"/>
  <c r="GI24" i="140"/>
  <c r="H199" i="141" s="1"/>
  <c r="X11" i="163"/>
  <c r="AB11" i="163"/>
  <c r="BS23" i="77"/>
  <c r="BT23" i="77" s="1"/>
  <c r="BS24" i="77"/>
  <c r="BT24" i="77" s="1"/>
  <c r="EL24" i="139"/>
  <c r="DL24" i="139"/>
  <c r="DI24" i="139"/>
  <c r="DK23" i="140"/>
  <c r="ER23" i="140" s="1"/>
  <c r="DM23" i="140"/>
  <c r="DJ23" i="140"/>
  <c r="EV24" i="140"/>
  <c r="GC24" i="140" s="1"/>
  <c r="CH26" i="140"/>
  <c r="AW26" i="139"/>
  <c r="AA17" i="163"/>
  <c r="AA18" i="163"/>
  <c r="FF26" i="77"/>
  <c r="AP23" i="139"/>
  <c r="DQ26" i="139"/>
  <c r="DQ15" i="139"/>
  <c r="AB5" i="163"/>
  <c r="DJ23" i="139"/>
  <c r="DM23" i="139"/>
  <c r="DK23" i="139"/>
  <c r="ER23" i="139" s="1"/>
  <c r="EX24" i="139"/>
  <c r="FW24" i="139" s="1"/>
  <c r="FW23" i="139"/>
  <c r="ET23" i="139"/>
  <c r="EW23" i="139"/>
  <c r="GH23" i="139"/>
  <c r="HH23" i="139"/>
  <c r="CH26" i="139"/>
  <c r="FD16" i="140"/>
  <c r="FD15" i="140" s="1"/>
  <c r="FD16" i="139"/>
  <c r="FD15" i="139" s="1"/>
  <c r="FD16" i="77"/>
  <c r="FD26" i="77" s="1"/>
  <c r="AM23" i="140"/>
  <c r="AP23" i="140"/>
  <c r="BP23" i="140"/>
  <c r="FZ24" i="77"/>
  <c r="GA24" i="77" s="1"/>
  <c r="FZ23" i="77"/>
  <c r="GA23" i="77" s="1"/>
  <c r="FF26" i="140"/>
  <c r="AD5" i="163"/>
  <c r="W5" i="163"/>
  <c r="W18" i="163" s="1"/>
  <c r="G62" i="111"/>
  <c r="BB62" i="111"/>
  <c r="P286" i="141"/>
  <c r="P297" i="141" s="1"/>
  <c r="V298" i="141" s="1"/>
  <c r="BB96" i="111"/>
  <c r="BB86" i="111"/>
  <c r="BB41" i="111"/>
  <c r="DO286" i="141"/>
  <c r="DR287" i="141"/>
  <c r="DR286" i="141" s="1"/>
  <c r="DR297" i="141" s="1"/>
  <c r="DX298" i="141" s="1"/>
  <c r="G40" i="111"/>
  <c r="BB40" i="111"/>
  <c r="BB97" i="111"/>
  <c r="BB52" i="111"/>
  <c r="Q286" i="141"/>
  <c r="Q297" i="141" s="1"/>
  <c r="W298" i="141" s="1"/>
  <c r="G51" i="111"/>
  <c r="BB51" i="111"/>
  <c r="BB73" i="111"/>
  <c r="BB63" i="111"/>
  <c r="G29" i="111"/>
  <c r="BB29" i="111"/>
  <c r="G85" i="111"/>
  <c r="BB85" i="111"/>
  <c r="DN286" i="141"/>
  <c r="DQ287" i="141"/>
  <c r="DQ286" i="141" s="1"/>
  <c r="DQ297" i="141" s="1"/>
  <c r="DW298" i="141" s="1"/>
  <c r="BB74" i="111"/>
  <c r="BB30" i="111"/>
  <c r="X8" i="163"/>
  <c r="V5" i="163"/>
  <c r="N18" i="163"/>
  <c r="N17" i="163"/>
  <c r="O18" i="163"/>
  <c r="O17" i="163"/>
  <c r="W17" i="163" l="1"/>
  <c r="EW24" i="139"/>
  <c r="AB17" i="163"/>
  <c r="AB18" i="163"/>
  <c r="FD26" i="140"/>
  <c r="ET24" i="140"/>
  <c r="EW24" i="140"/>
  <c r="FW24" i="140"/>
  <c r="FD26" i="139"/>
  <c r="DS15" i="139"/>
  <c r="DS26" i="139"/>
  <c r="L15" i="139"/>
  <c r="L26" i="139"/>
  <c r="DS15" i="140"/>
  <c r="DS26" i="140"/>
  <c r="EL23" i="139"/>
  <c r="DL23" i="140"/>
  <c r="DI23" i="140"/>
  <c r="EL23" i="140"/>
  <c r="HH24" i="140"/>
  <c r="GH24" i="140"/>
  <c r="L15" i="140"/>
  <c r="L26" i="140"/>
  <c r="AD17" i="163"/>
  <c r="AD18" i="163"/>
  <c r="DI23" i="139"/>
  <c r="DL23" i="139"/>
  <c r="HH24" i="139"/>
  <c r="GH24" i="139"/>
  <c r="V18" i="163"/>
  <c r="V17" i="163"/>
  <c r="CT227" i="141" l="1"/>
  <c r="CS227" i="141"/>
  <c r="CR227" i="141"/>
  <c r="DJ275" i="141" s="1"/>
  <c r="BY227" i="141"/>
  <c r="BX227" i="141"/>
  <c r="BW227" i="141"/>
  <c r="CO275" i="141" s="1"/>
  <c r="BD227" i="141"/>
  <c r="BC227" i="141"/>
  <c r="BB227" i="141"/>
  <c r="BT275" i="141" s="1"/>
  <c r="N227" i="141"/>
  <c r="M227" i="141"/>
  <c r="L227" i="141"/>
  <c r="AD275" i="141" s="1"/>
  <c r="DJ303" i="141" l="1"/>
  <c r="CO303" i="141"/>
  <c r="BT303" i="141"/>
  <c r="AD303" i="141"/>
  <c r="AJ77" i="111"/>
  <c r="Z77" i="111"/>
  <c r="P77" i="111"/>
  <c r="F77" i="111"/>
  <c r="AO54" i="111"/>
  <c r="AE54" i="111"/>
  <c r="U54" i="111"/>
  <c r="K54" i="111"/>
  <c r="E109" i="162"/>
  <c r="F109" i="162" s="1"/>
  <c r="G109" i="162" s="1"/>
  <c r="D108" i="162"/>
  <c r="C108" i="162"/>
  <c r="E106" i="162"/>
  <c r="D106" i="162"/>
  <c r="C106" i="162"/>
  <c r="B106" i="162"/>
  <c r="B108" i="162" s="1"/>
  <c r="E105" i="162"/>
  <c r="F105" i="162" s="1"/>
  <c r="G105" i="162" s="1"/>
  <c r="F104" i="162"/>
  <c r="G104" i="162" s="1"/>
  <c r="E104" i="162"/>
  <c r="E103" i="162"/>
  <c r="F103" i="162" s="1"/>
  <c r="G103" i="162" s="1"/>
  <c r="E102" i="162"/>
  <c r="F102" i="162" s="1"/>
  <c r="G102" i="162" s="1"/>
  <c r="E101" i="162"/>
  <c r="F101" i="162" s="1"/>
  <c r="D98" i="162"/>
  <c r="C98" i="162"/>
  <c r="C100" i="162" s="1"/>
  <c r="B98" i="162"/>
  <c r="E98" i="162" s="1"/>
  <c r="E97" i="162"/>
  <c r="F97" i="162" s="1"/>
  <c r="G97" i="162" s="1"/>
  <c r="E96" i="162"/>
  <c r="F96" i="162" s="1"/>
  <c r="G96" i="162" s="1"/>
  <c r="F95" i="162"/>
  <c r="G95" i="162" s="1"/>
  <c r="E95" i="162"/>
  <c r="F94" i="162"/>
  <c r="G94" i="162" s="1"/>
  <c r="E94" i="162"/>
  <c r="E93" i="162"/>
  <c r="F93" i="162" s="1"/>
  <c r="G93" i="162" s="1"/>
  <c r="E92" i="162"/>
  <c r="F92" i="162" s="1"/>
  <c r="G92" i="162" s="1"/>
  <c r="E91" i="162"/>
  <c r="F91" i="162" s="1"/>
  <c r="G91" i="162" s="1"/>
  <c r="E90" i="162"/>
  <c r="F90" i="162" s="1"/>
  <c r="G90" i="162" s="1"/>
  <c r="E89" i="162"/>
  <c r="F89" i="162" s="1"/>
  <c r="G89" i="162" s="1"/>
  <c r="E88" i="162"/>
  <c r="F88" i="162" s="1"/>
  <c r="G88" i="162" s="1"/>
  <c r="F87" i="162"/>
  <c r="G87" i="162" s="1"/>
  <c r="E87" i="162"/>
  <c r="F86" i="162"/>
  <c r="G86" i="162" s="1"/>
  <c r="E86" i="162"/>
  <c r="E85" i="162"/>
  <c r="F85" i="162" s="1"/>
  <c r="G85" i="162" s="1"/>
  <c r="E84" i="162"/>
  <c r="F84" i="162" s="1"/>
  <c r="G84" i="162" s="1"/>
  <c r="E83" i="162"/>
  <c r="F83" i="162" s="1"/>
  <c r="G83" i="162" s="1"/>
  <c r="E82" i="162"/>
  <c r="F82" i="162" s="1"/>
  <c r="G82" i="162" s="1"/>
  <c r="E81" i="162"/>
  <c r="F81" i="162" s="1"/>
  <c r="G81" i="162" s="1"/>
  <c r="E80" i="162"/>
  <c r="F80" i="162" s="1"/>
  <c r="G80" i="162" s="1"/>
  <c r="F79" i="162"/>
  <c r="G79" i="162" s="1"/>
  <c r="E79" i="162"/>
  <c r="F78" i="162"/>
  <c r="G78" i="162" s="1"/>
  <c r="E78" i="162"/>
  <c r="E77" i="162"/>
  <c r="F77" i="162" s="1"/>
  <c r="G77" i="162" s="1"/>
  <c r="E76" i="162"/>
  <c r="F76" i="162" s="1"/>
  <c r="G76" i="162" s="1"/>
  <c r="E75" i="162"/>
  <c r="F75" i="162" s="1"/>
  <c r="G75" i="162" s="1"/>
  <c r="E74" i="162"/>
  <c r="F74" i="162" s="1"/>
  <c r="G74" i="162" s="1"/>
  <c r="E73" i="162"/>
  <c r="F73" i="162" s="1"/>
  <c r="G73" i="162" s="1"/>
  <c r="E72" i="162"/>
  <c r="F72" i="162" s="1"/>
  <c r="G72" i="162" s="1"/>
  <c r="F71" i="162"/>
  <c r="G71" i="162" s="1"/>
  <c r="E71" i="162"/>
  <c r="F70" i="162"/>
  <c r="G70" i="162" s="1"/>
  <c r="E70" i="162"/>
  <c r="E69" i="162"/>
  <c r="F69" i="162" s="1"/>
  <c r="G69" i="162" s="1"/>
  <c r="E68" i="162"/>
  <c r="F68" i="162" s="1"/>
  <c r="G68" i="162" s="1"/>
  <c r="E67" i="162"/>
  <c r="F67" i="162" s="1"/>
  <c r="G67" i="162" s="1"/>
  <c r="E66" i="162"/>
  <c r="F66" i="162" s="1"/>
  <c r="G66" i="162" s="1"/>
  <c r="E65" i="162"/>
  <c r="F65" i="162" s="1"/>
  <c r="G65" i="162" s="1"/>
  <c r="E64" i="162"/>
  <c r="F64" i="162" s="1"/>
  <c r="G64" i="162" s="1"/>
  <c r="F63" i="162"/>
  <c r="G63" i="162" s="1"/>
  <c r="E63" i="162"/>
  <c r="F62" i="162"/>
  <c r="G62" i="162" s="1"/>
  <c r="E62" i="162"/>
  <c r="E61" i="162"/>
  <c r="F61" i="162" s="1"/>
  <c r="G61" i="162" s="1"/>
  <c r="E60" i="162"/>
  <c r="F60" i="162" s="1"/>
  <c r="G60" i="162" s="1"/>
  <c r="E59" i="162"/>
  <c r="F59" i="162" s="1"/>
  <c r="G59" i="162" s="1"/>
  <c r="E58" i="162"/>
  <c r="F58" i="162" s="1"/>
  <c r="G58" i="162" s="1"/>
  <c r="E57" i="162"/>
  <c r="F57" i="162" s="1"/>
  <c r="G57" i="162" s="1"/>
  <c r="E56" i="162"/>
  <c r="F56" i="162" s="1"/>
  <c r="G56" i="162" s="1"/>
  <c r="F55" i="162"/>
  <c r="G55" i="162" s="1"/>
  <c r="E55" i="162"/>
  <c r="F54" i="162"/>
  <c r="G54" i="162" s="1"/>
  <c r="E54" i="162"/>
  <c r="E53" i="162"/>
  <c r="F53" i="162" s="1"/>
  <c r="G53" i="162" s="1"/>
  <c r="E52" i="162"/>
  <c r="F52" i="162" s="1"/>
  <c r="G52" i="162" s="1"/>
  <c r="E51" i="162"/>
  <c r="F51" i="162" s="1"/>
  <c r="G51" i="162" s="1"/>
  <c r="E50" i="162"/>
  <c r="F50" i="162" s="1"/>
  <c r="G50" i="162" s="1"/>
  <c r="E49" i="162"/>
  <c r="F49" i="162" s="1"/>
  <c r="G49" i="162" s="1"/>
  <c r="E48" i="162"/>
  <c r="F48" i="162" s="1"/>
  <c r="G48" i="162" s="1"/>
  <c r="F47" i="162"/>
  <c r="G47" i="162" s="1"/>
  <c r="E47" i="162"/>
  <c r="F46" i="162"/>
  <c r="G46" i="162" s="1"/>
  <c r="E46" i="162"/>
  <c r="E45" i="162"/>
  <c r="F45" i="162" s="1"/>
  <c r="G45" i="162" s="1"/>
  <c r="E44" i="162"/>
  <c r="F44" i="162" s="1"/>
  <c r="G44" i="162" s="1"/>
  <c r="E43" i="162"/>
  <c r="F43" i="162" s="1"/>
  <c r="G43" i="162" s="1"/>
  <c r="E42" i="162"/>
  <c r="F42" i="162" s="1"/>
  <c r="G42" i="162" s="1"/>
  <c r="E41" i="162"/>
  <c r="F41" i="162" s="1"/>
  <c r="B40" i="162"/>
  <c r="D38" i="162"/>
  <c r="D110" i="162" s="1"/>
  <c r="C38" i="162"/>
  <c r="C110" i="162" s="1"/>
  <c r="C112" i="162" s="1"/>
  <c r="B38" i="162"/>
  <c r="E37" i="162"/>
  <c r="F37" i="162" s="1"/>
  <c r="G37" i="162" s="1"/>
  <c r="E36" i="162"/>
  <c r="F36" i="162" s="1"/>
  <c r="G36" i="162" s="1"/>
  <c r="E35" i="162"/>
  <c r="F35" i="162" s="1"/>
  <c r="G35" i="162" s="1"/>
  <c r="E34" i="162"/>
  <c r="F34" i="162" s="1"/>
  <c r="G34" i="162" s="1"/>
  <c r="E33" i="162"/>
  <c r="F33" i="162" s="1"/>
  <c r="G33" i="162" s="1"/>
  <c r="E32" i="162"/>
  <c r="F32" i="162" s="1"/>
  <c r="G32" i="162" s="1"/>
  <c r="F31" i="162"/>
  <c r="G31" i="162" s="1"/>
  <c r="E31" i="162"/>
  <c r="F30" i="162"/>
  <c r="G30" i="162" s="1"/>
  <c r="E30" i="162"/>
  <c r="E29" i="162"/>
  <c r="F29" i="162" s="1"/>
  <c r="G29" i="162" s="1"/>
  <c r="E28" i="162"/>
  <c r="F28" i="162" s="1"/>
  <c r="G28" i="162" s="1"/>
  <c r="E27" i="162"/>
  <c r="F27" i="162" s="1"/>
  <c r="G27" i="162" s="1"/>
  <c r="E26" i="162"/>
  <c r="F26" i="162" s="1"/>
  <c r="G26" i="162" s="1"/>
  <c r="E25" i="162"/>
  <c r="F25" i="162" s="1"/>
  <c r="G25" i="162" s="1"/>
  <c r="E24" i="162"/>
  <c r="F24" i="162" s="1"/>
  <c r="G24" i="162" s="1"/>
  <c r="F23" i="162"/>
  <c r="G23" i="162" s="1"/>
  <c r="E23" i="162"/>
  <c r="F22" i="162"/>
  <c r="G22" i="162" s="1"/>
  <c r="E22" i="162"/>
  <c r="E21" i="162"/>
  <c r="F21" i="162" s="1"/>
  <c r="G21" i="162" s="1"/>
  <c r="E20" i="162"/>
  <c r="F20" i="162" s="1"/>
  <c r="G20" i="162" s="1"/>
  <c r="E19" i="162"/>
  <c r="F19" i="162" s="1"/>
  <c r="G19" i="162" s="1"/>
  <c r="E18" i="162"/>
  <c r="F18" i="162" s="1"/>
  <c r="G18" i="162" s="1"/>
  <c r="E17" i="162"/>
  <c r="F17" i="162" s="1"/>
  <c r="G17" i="162" s="1"/>
  <c r="E16" i="162"/>
  <c r="F16" i="162" s="1"/>
  <c r="G16" i="162" s="1"/>
  <c r="F15" i="162"/>
  <c r="G15" i="162" s="1"/>
  <c r="E15" i="162"/>
  <c r="F14" i="162"/>
  <c r="G14" i="162" s="1"/>
  <c r="E14" i="162"/>
  <c r="E13" i="162"/>
  <c r="F13" i="162" s="1"/>
  <c r="G13" i="162" s="1"/>
  <c r="E12" i="162"/>
  <c r="F12" i="162" s="1"/>
  <c r="G12" i="162" s="1"/>
  <c r="E11" i="162"/>
  <c r="F11" i="162" s="1"/>
  <c r="G11" i="162" s="1"/>
  <c r="E10" i="162"/>
  <c r="F10" i="162" s="1"/>
  <c r="G10" i="162" s="1"/>
  <c r="E9" i="162"/>
  <c r="F9" i="162" s="1"/>
  <c r="G9" i="162" s="1"/>
  <c r="E8" i="162"/>
  <c r="F8" i="162" s="1"/>
  <c r="G8" i="162" s="1"/>
  <c r="F7" i="162"/>
  <c r="G7" i="162" s="1"/>
  <c r="E7" i="162"/>
  <c r="E38" i="162" l="1"/>
  <c r="F38" i="162"/>
  <c r="G38" i="162"/>
  <c r="G110" i="162" s="1"/>
  <c r="F98" i="162"/>
  <c r="F110" i="162" s="1"/>
  <c r="G41" i="162"/>
  <c r="G98" i="162" s="1"/>
  <c r="G101" i="162"/>
  <c r="G106" i="162" s="1"/>
  <c r="F106" i="162"/>
  <c r="B110" i="162"/>
  <c r="E110" i="162" s="1"/>
  <c r="C40" i="162"/>
  <c r="D40" i="162"/>
  <c r="D8" i="156" l="1"/>
  <c r="D9" i="156"/>
  <c r="D7" i="156"/>
  <c r="C9" i="156"/>
  <c r="C8" i="156"/>
  <c r="C11" i="156"/>
  <c r="C10" i="156"/>
  <c r="C7" i="156"/>
  <c r="E9" i="156"/>
  <c r="G17" i="161"/>
  <c r="F17" i="161"/>
  <c r="E17" i="161"/>
  <c r="H16" i="161"/>
  <c r="H15" i="161"/>
  <c r="H14" i="161"/>
  <c r="H13" i="161"/>
  <c r="H12" i="161"/>
  <c r="H17" i="161" s="1"/>
  <c r="H11" i="161"/>
  <c r="G110" i="160"/>
  <c r="H110" i="160" s="1"/>
  <c r="H109" i="160"/>
  <c r="G109" i="160"/>
  <c r="G108" i="160" s="1"/>
  <c r="F109" i="160"/>
  <c r="E109" i="160"/>
  <c r="C109" i="160"/>
  <c r="F108" i="160"/>
  <c r="C108" i="160"/>
  <c r="G107" i="160"/>
  <c r="F107" i="160"/>
  <c r="E107" i="160"/>
  <c r="E108" i="160" s="1"/>
  <c r="C107" i="160"/>
  <c r="K106" i="160"/>
  <c r="J106" i="160"/>
  <c r="M106" i="160" s="1"/>
  <c r="N106" i="160" s="1"/>
  <c r="H106" i="160"/>
  <c r="G106" i="160"/>
  <c r="H105" i="160"/>
  <c r="G105" i="160"/>
  <c r="K104" i="160"/>
  <c r="J104" i="160"/>
  <c r="M104" i="160" s="1"/>
  <c r="N104" i="160" s="1"/>
  <c r="H104" i="160"/>
  <c r="G104" i="160"/>
  <c r="H103" i="160"/>
  <c r="G103" i="160"/>
  <c r="K102" i="160"/>
  <c r="J102" i="160"/>
  <c r="J109" i="160" s="1"/>
  <c r="H102" i="160"/>
  <c r="G102" i="160"/>
  <c r="F101" i="160"/>
  <c r="E101" i="160"/>
  <c r="C101" i="160"/>
  <c r="F99" i="160"/>
  <c r="E99" i="160"/>
  <c r="E100" i="160" s="1"/>
  <c r="C99" i="160"/>
  <c r="G98" i="160"/>
  <c r="H98" i="160" s="1"/>
  <c r="G97" i="160"/>
  <c r="H97" i="160" s="1"/>
  <c r="G96" i="160"/>
  <c r="H96" i="160" s="1"/>
  <c r="G95" i="160"/>
  <c r="H95" i="160" s="1"/>
  <c r="J95" i="160" s="1"/>
  <c r="M95" i="160" s="1"/>
  <c r="N95" i="160" s="1"/>
  <c r="G94" i="160"/>
  <c r="H94" i="160" s="1"/>
  <c r="G93" i="160"/>
  <c r="H93" i="160" s="1"/>
  <c r="G92" i="160"/>
  <c r="H92" i="160" s="1"/>
  <c r="G91" i="160"/>
  <c r="H91" i="160" s="1"/>
  <c r="J91" i="160" s="1"/>
  <c r="M91" i="160" s="1"/>
  <c r="N91" i="160" s="1"/>
  <c r="G90" i="160"/>
  <c r="H90" i="160" s="1"/>
  <c r="G89" i="160"/>
  <c r="H89" i="160" s="1"/>
  <c r="G88" i="160"/>
  <c r="H88" i="160" s="1"/>
  <c r="G87" i="160"/>
  <c r="H87" i="160" s="1"/>
  <c r="J87" i="160" s="1"/>
  <c r="M87" i="160" s="1"/>
  <c r="N87" i="160" s="1"/>
  <c r="G86" i="160"/>
  <c r="H86" i="160" s="1"/>
  <c r="G85" i="160"/>
  <c r="H85" i="160" s="1"/>
  <c r="G84" i="160"/>
  <c r="H84" i="160" s="1"/>
  <c r="G83" i="160"/>
  <c r="H83" i="160" s="1"/>
  <c r="J83" i="160" s="1"/>
  <c r="M83" i="160" s="1"/>
  <c r="N83" i="160" s="1"/>
  <c r="G82" i="160"/>
  <c r="H82" i="160" s="1"/>
  <c r="G81" i="160"/>
  <c r="H81" i="160" s="1"/>
  <c r="G80" i="160"/>
  <c r="H80" i="160" s="1"/>
  <c r="G79" i="160"/>
  <c r="H79" i="160" s="1"/>
  <c r="J79" i="160" s="1"/>
  <c r="M79" i="160" s="1"/>
  <c r="N79" i="160" s="1"/>
  <c r="G78" i="160"/>
  <c r="H78" i="160" s="1"/>
  <c r="G77" i="160"/>
  <c r="H77" i="160" s="1"/>
  <c r="G76" i="160"/>
  <c r="H76" i="160" s="1"/>
  <c r="G75" i="160"/>
  <c r="H75" i="160" s="1"/>
  <c r="J75" i="160" s="1"/>
  <c r="M75" i="160" s="1"/>
  <c r="N75" i="160" s="1"/>
  <c r="G74" i="160"/>
  <c r="H74" i="160" s="1"/>
  <c r="G73" i="160"/>
  <c r="H73" i="160" s="1"/>
  <c r="J73" i="160" s="1"/>
  <c r="M73" i="160" s="1"/>
  <c r="N73" i="160" s="1"/>
  <c r="G72" i="160"/>
  <c r="H72" i="160" s="1"/>
  <c r="G71" i="160"/>
  <c r="H71" i="160" s="1"/>
  <c r="G70" i="160"/>
  <c r="H70" i="160" s="1"/>
  <c r="G69" i="160"/>
  <c r="H69" i="160" s="1"/>
  <c r="J69" i="160" s="1"/>
  <c r="M69" i="160" s="1"/>
  <c r="N69" i="160" s="1"/>
  <c r="G68" i="160"/>
  <c r="F67" i="160"/>
  <c r="F114" i="160" s="1"/>
  <c r="E67" i="160"/>
  <c r="E114" i="160" s="1"/>
  <c r="C67" i="160"/>
  <c r="F65" i="160"/>
  <c r="F66" i="160" s="1"/>
  <c r="E65" i="160"/>
  <c r="E66" i="160" s="1"/>
  <c r="C65" i="160"/>
  <c r="C66" i="160" s="1"/>
  <c r="G64" i="160"/>
  <c r="H64" i="160" s="1"/>
  <c r="H63" i="160"/>
  <c r="J63" i="160" s="1"/>
  <c r="M63" i="160" s="1"/>
  <c r="N63" i="160" s="1"/>
  <c r="G63" i="160"/>
  <c r="G62" i="160"/>
  <c r="H62" i="160" s="1"/>
  <c r="H61" i="160"/>
  <c r="J61" i="160" s="1"/>
  <c r="M61" i="160" s="1"/>
  <c r="N61" i="160" s="1"/>
  <c r="G61" i="160"/>
  <c r="G60" i="160"/>
  <c r="H60" i="160" s="1"/>
  <c r="J60" i="160" s="1"/>
  <c r="M60" i="160" s="1"/>
  <c r="N60" i="160" s="1"/>
  <c r="H59" i="160"/>
  <c r="J59" i="160" s="1"/>
  <c r="M59" i="160" s="1"/>
  <c r="N59" i="160" s="1"/>
  <c r="G59" i="160"/>
  <c r="G58" i="160"/>
  <c r="H58" i="160" s="1"/>
  <c r="J58" i="160" s="1"/>
  <c r="M58" i="160" s="1"/>
  <c r="N58" i="160" s="1"/>
  <c r="H57" i="160"/>
  <c r="J57" i="160" s="1"/>
  <c r="M57" i="160" s="1"/>
  <c r="N57" i="160" s="1"/>
  <c r="G57" i="160"/>
  <c r="G56" i="160"/>
  <c r="H56" i="160" s="1"/>
  <c r="J56" i="160" s="1"/>
  <c r="M56" i="160" s="1"/>
  <c r="N56" i="160" s="1"/>
  <c r="G55" i="160"/>
  <c r="H55" i="160" s="1"/>
  <c r="H54" i="160"/>
  <c r="J54" i="160" s="1"/>
  <c r="G54" i="160"/>
  <c r="G53" i="160"/>
  <c r="H53" i="160" s="1"/>
  <c r="H52" i="160"/>
  <c r="G52" i="160"/>
  <c r="G51" i="160"/>
  <c r="H51" i="160" s="1"/>
  <c r="G50" i="160"/>
  <c r="H50" i="160" s="1"/>
  <c r="G49" i="160"/>
  <c r="H49" i="160" s="1"/>
  <c r="G48" i="160"/>
  <c r="H48" i="160" s="1"/>
  <c r="G47" i="160"/>
  <c r="H47" i="160" s="1"/>
  <c r="G46" i="160"/>
  <c r="H46" i="160" s="1"/>
  <c r="G45" i="160"/>
  <c r="H45" i="160" s="1"/>
  <c r="G44" i="160"/>
  <c r="H44" i="160" s="1"/>
  <c r="G43" i="160"/>
  <c r="H43" i="160" s="1"/>
  <c r="G42" i="160"/>
  <c r="H42" i="160" s="1"/>
  <c r="G41" i="160"/>
  <c r="H41" i="160" s="1"/>
  <c r="G40" i="160"/>
  <c r="H40" i="160" s="1"/>
  <c r="G39" i="160"/>
  <c r="H39" i="160" s="1"/>
  <c r="G38" i="160"/>
  <c r="H38" i="160" s="1"/>
  <c r="G37" i="160"/>
  <c r="H37" i="160" s="1"/>
  <c r="G36" i="160"/>
  <c r="H36" i="160" s="1"/>
  <c r="G35" i="160"/>
  <c r="H35" i="160" s="1"/>
  <c r="G34" i="160"/>
  <c r="H34" i="160" s="1"/>
  <c r="G33" i="160"/>
  <c r="H33" i="160" s="1"/>
  <c r="G32" i="160"/>
  <c r="H32" i="160" s="1"/>
  <c r="G31" i="160"/>
  <c r="H31" i="160" s="1"/>
  <c r="G30" i="160"/>
  <c r="H30" i="160" s="1"/>
  <c r="G29" i="160"/>
  <c r="H29" i="160" s="1"/>
  <c r="G28" i="160"/>
  <c r="H28" i="160" s="1"/>
  <c r="G27" i="160"/>
  <c r="H27" i="160" s="1"/>
  <c r="G26" i="160"/>
  <c r="H26" i="160" s="1"/>
  <c r="G25" i="160"/>
  <c r="H25" i="160" s="1"/>
  <c r="G24" i="160"/>
  <c r="H24" i="160" s="1"/>
  <c r="G23" i="160"/>
  <c r="H23" i="160" s="1"/>
  <c r="G22" i="160"/>
  <c r="H22" i="160" s="1"/>
  <c r="G21" i="160"/>
  <c r="H21" i="160" s="1"/>
  <c r="G20" i="160"/>
  <c r="H20" i="160" s="1"/>
  <c r="G19" i="160"/>
  <c r="H19" i="160" s="1"/>
  <c r="G18" i="160"/>
  <c r="H18" i="160" s="1"/>
  <c r="G17" i="160"/>
  <c r="H17" i="160" s="1"/>
  <c r="G16" i="160"/>
  <c r="H16" i="160" s="1"/>
  <c r="G15" i="160"/>
  <c r="H15" i="160" s="1"/>
  <c r="G14" i="160"/>
  <c r="H14" i="160" s="1"/>
  <c r="G13" i="160"/>
  <c r="H13" i="160" s="1"/>
  <c r="G12" i="160"/>
  <c r="H12" i="160" s="1"/>
  <c r="G11" i="160"/>
  <c r="H11" i="160" s="1"/>
  <c r="G10" i="160"/>
  <c r="H10" i="160" s="1"/>
  <c r="G9" i="160"/>
  <c r="H9" i="160" s="1"/>
  <c r="G8" i="160"/>
  <c r="G116" i="159"/>
  <c r="I116" i="159" s="1"/>
  <c r="L116" i="159" s="1"/>
  <c r="M116" i="159" s="1"/>
  <c r="F116" i="159"/>
  <c r="F115" i="159"/>
  <c r="E115" i="159"/>
  <c r="D115" i="159"/>
  <c r="B115" i="159"/>
  <c r="B114" i="159"/>
  <c r="E113" i="159"/>
  <c r="E114" i="159" s="1"/>
  <c r="D113" i="159"/>
  <c r="D114" i="159" s="1"/>
  <c r="B113" i="159"/>
  <c r="F112" i="159"/>
  <c r="G112" i="159" s="1"/>
  <c r="I112" i="159" s="1"/>
  <c r="L112" i="159" s="1"/>
  <c r="M112" i="159" s="1"/>
  <c r="G111" i="159"/>
  <c r="F111" i="159"/>
  <c r="F110" i="159"/>
  <c r="G110" i="159" s="1"/>
  <c r="G109" i="159"/>
  <c r="F109" i="159"/>
  <c r="F108" i="159"/>
  <c r="F113" i="159" s="1"/>
  <c r="F114" i="159" s="1"/>
  <c r="E107" i="159"/>
  <c r="D107" i="159"/>
  <c r="B107" i="159"/>
  <c r="D106" i="159"/>
  <c r="E105" i="159"/>
  <c r="E106" i="159" s="1"/>
  <c r="D105" i="159"/>
  <c r="B105" i="159"/>
  <c r="B106" i="159" s="1"/>
  <c r="N104" i="159"/>
  <c r="F104" i="159"/>
  <c r="N103" i="159"/>
  <c r="F103" i="159"/>
  <c r="N102" i="159"/>
  <c r="F102" i="159"/>
  <c r="N101" i="159"/>
  <c r="F101" i="159"/>
  <c r="N100" i="159"/>
  <c r="F100" i="159"/>
  <c r="N99" i="159"/>
  <c r="F99" i="159"/>
  <c r="N98" i="159"/>
  <c r="F98" i="159"/>
  <c r="N97" i="159"/>
  <c r="F97" i="159"/>
  <c r="N96" i="159"/>
  <c r="F96" i="159"/>
  <c r="N95" i="159"/>
  <c r="F95" i="159"/>
  <c r="N94" i="159"/>
  <c r="F94" i="159"/>
  <c r="N93" i="159"/>
  <c r="F93" i="159"/>
  <c r="N92" i="159"/>
  <c r="F92" i="159"/>
  <c r="N91" i="159"/>
  <c r="F91" i="159"/>
  <c r="N90" i="159"/>
  <c r="F90" i="159"/>
  <c r="N89" i="159"/>
  <c r="F89" i="159"/>
  <c r="N88" i="159"/>
  <c r="F88" i="159"/>
  <c r="N87" i="159"/>
  <c r="F87" i="159"/>
  <c r="N86" i="159"/>
  <c r="F86" i="159"/>
  <c r="N85" i="159"/>
  <c r="F85" i="159"/>
  <c r="N84" i="159"/>
  <c r="F84" i="159"/>
  <c r="N83" i="159"/>
  <c r="F83" i="159"/>
  <c r="N82" i="159"/>
  <c r="F82" i="159"/>
  <c r="N81" i="159"/>
  <c r="F81" i="159"/>
  <c r="N80" i="159"/>
  <c r="F80" i="159"/>
  <c r="N79" i="159"/>
  <c r="F79" i="159"/>
  <c r="N78" i="159"/>
  <c r="F78" i="159"/>
  <c r="N77" i="159"/>
  <c r="F77" i="159"/>
  <c r="N76" i="159"/>
  <c r="F76" i="159"/>
  <c r="N75" i="159"/>
  <c r="F75" i="159"/>
  <c r="G75" i="159" s="1"/>
  <c r="I75" i="159" s="1"/>
  <c r="L75" i="159" s="1"/>
  <c r="M75" i="159" s="1"/>
  <c r="F74" i="159"/>
  <c r="E73" i="159"/>
  <c r="E120" i="159" s="1"/>
  <c r="D73" i="159"/>
  <c r="D120" i="159" s="1"/>
  <c r="B73" i="159"/>
  <c r="B120" i="159" s="1"/>
  <c r="E72" i="159"/>
  <c r="E119" i="159" s="1"/>
  <c r="E71" i="159"/>
  <c r="E118" i="159" s="1"/>
  <c r="D71" i="159"/>
  <c r="B71" i="159"/>
  <c r="G70" i="159"/>
  <c r="F70" i="159"/>
  <c r="F69" i="159"/>
  <c r="G69" i="159" s="1"/>
  <c r="I69" i="159" s="1"/>
  <c r="L69" i="159" s="1"/>
  <c r="M69" i="159" s="1"/>
  <c r="F68" i="159"/>
  <c r="G68" i="159" s="1"/>
  <c r="I68" i="159" s="1"/>
  <c r="L68" i="159" s="1"/>
  <c r="M68" i="159" s="1"/>
  <c r="L67" i="159"/>
  <c r="M67" i="159" s="1"/>
  <c r="J67" i="159"/>
  <c r="F67" i="159"/>
  <c r="G67" i="159" s="1"/>
  <c r="I67" i="159" s="1"/>
  <c r="F66" i="159"/>
  <c r="G66" i="159" s="1"/>
  <c r="F65" i="159"/>
  <c r="G65" i="159" s="1"/>
  <c r="I65" i="159" s="1"/>
  <c r="L65" i="159" s="1"/>
  <c r="M65" i="159" s="1"/>
  <c r="G64" i="159"/>
  <c r="F64" i="159"/>
  <c r="F63" i="159"/>
  <c r="G63" i="159" s="1"/>
  <c r="I63" i="159" s="1"/>
  <c r="L63" i="159" s="1"/>
  <c r="M63" i="159" s="1"/>
  <c r="G62" i="159"/>
  <c r="F62" i="159"/>
  <c r="F61" i="159"/>
  <c r="G61" i="159" s="1"/>
  <c r="I61" i="159" s="1"/>
  <c r="L61" i="159" s="1"/>
  <c r="M61" i="159" s="1"/>
  <c r="I60" i="159"/>
  <c r="L60" i="159" s="1"/>
  <c r="M60" i="159" s="1"/>
  <c r="G60" i="159"/>
  <c r="F60" i="159"/>
  <c r="L59" i="159"/>
  <c r="M59" i="159" s="1"/>
  <c r="J59" i="159"/>
  <c r="F59" i="159"/>
  <c r="G59" i="159" s="1"/>
  <c r="I59" i="159" s="1"/>
  <c r="F58" i="159"/>
  <c r="G58" i="159" s="1"/>
  <c r="F57" i="159"/>
  <c r="G57" i="159" s="1"/>
  <c r="I57" i="159" s="1"/>
  <c r="L57" i="159" s="1"/>
  <c r="M57" i="159" s="1"/>
  <c r="G56" i="159"/>
  <c r="F56" i="159"/>
  <c r="F55" i="159"/>
  <c r="G55" i="159" s="1"/>
  <c r="I55" i="159" s="1"/>
  <c r="L55" i="159" s="1"/>
  <c r="M55" i="159" s="1"/>
  <c r="G54" i="159"/>
  <c r="F54" i="159"/>
  <c r="F53" i="159"/>
  <c r="G53" i="159" s="1"/>
  <c r="I53" i="159" s="1"/>
  <c r="L53" i="159" s="1"/>
  <c r="M53" i="159" s="1"/>
  <c r="I52" i="159"/>
  <c r="L52" i="159" s="1"/>
  <c r="M52" i="159" s="1"/>
  <c r="G52" i="159"/>
  <c r="F52" i="159"/>
  <c r="L51" i="159"/>
  <c r="M51" i="159" s="1"/>
  <c r="J51" i="159"/>
  <c r="F51" i="159"/>
  <c r="G51" i="159" s="1"/>
  <c r="I51" i="159" s="1"/>
  <c r="F50" i="159"/>
  <c r="G50" i="159" s="1"/>
  <c r="F49" i="159"/>
  <c r="G49" i="159" s="1"/>
  <c r="I49" i="159" s="1"/>
  <c r="L49" i="159" s="1"/>
  <c r="M49" i="159" s="1"/>
  <c r="G48" i="159"/>
  <c r="F48" i="159"/>
  <c r="F47" i="159"/>
  <c r="G47" i="159" s="1"/>
  <c r="I47" i="159" s="1"/>
  <c r="L47" i="159" s="1"/>
  <c r="M47" i="159" s="1"/>
  <c r="G46" i="159"/>
  <c r="F46" i="159"/>
  <c r="F45" i="159"/>
  <c r="G45" i="159" s="1"/>
  <c r="I45" i="159" s="1"/>
  <c r="L45" i="159" s="1"/>
  <c r="M45" i="159" s="1"/>
  <c r="I44" i="159"/>
  <c r="L44" i="159" s="1"/>
  <c r="M44" i="159" s="1"/>
  <c r="G44" i="159"/>
  <c r="F44" i="159"/>
  <c r="L43" i="159"/>
  <c r="M43" i="159" s="1"/>
  <c r="J43" i="159"/>
  <c r="F43" i="159"/>
  <c r="G43" i="159" s="1"/>
  <c r="I43" i="159" s="1"/>
  <c r="F42" i="159"/>
  <c r="G42" i="159" s="1"/>
  <c r="I42" i="159" s="1"/>
  <c r="L42" i="159" s="1"/>
  <c r="M42" i="159" s="1"/>
  <c r="F41" i="159"/>
  <c r="G41" i="159" s="1"/>
  <c r="I41" i="159" s="1"/>
  <c r="L41" i="159" s="1"/>
  <c r="M41" i="159" s="1"/>
  <c r="G40" i="159"/>
  <c r="F40" i="159"/>
  <c r="F39" i="159"/>
  <c r="G39" i="159" s="1"/>
  <c r="I39" i="159" s="1"/>
  <c r="L39" i="159" s="1"/>
  <c r="M39" i="159" s="1"/>
  <c r="G38" i="159"/>
  <c r="F38" i="159"/>
  <c r="F37" i="159"/>
  <c r="G37" i="159" s="1"/>
  <c r="I37" i="159" s="1"/>
  <c r="L37" i="159" s="1"/>
  <c r="M37" i="159" s="1"/>
  <c r="I36" i="159"/>
  <c r="L36" i="159" s="1"/>
  <c r="M36" i="159" s="1"/>
  <c r="G36" i="159"/>
  <c r="F36" i="159"/>
  <c r="L35" i="159"/>
  <c r="M35" i="159" s="1"/>
  <c r="J35" i="159"/>
  <c r="F35" i="159"/>
  <c r="G35" i="159" s="1"/>
  <c r="I35" i="159" s="1"/>
  <c r="F34" i="159"/>
  <c r="G34" i="159" s="1"/>
  <c r="F33" i="159"/>
  <c r="G33" i="159" s="1"/>
  <c r="I33" i="159" s="1"/>
  <c r="L33" i="159" s="1"/>
  <c r="M33" i="159" s="1"/>
  <c r="G32" i="159"/>
  <c r="F32" i="159"/>
  <c r="F31" i="159"/>
  <c r="G31" i="159" s="1"/>
  <c r="I31" i="159" s="1"/>
  <c r="L31" i="159" s="1"/>
  <c r="M31" i="159" s="1"/>
  <c r="G30" i="159"/>
  <c r="F30" i="159"/>
  <c r="F29" i="159"/>
  <c r="G29" i="159" s="1"/>
  <c r="I29" i="159" s="1"/>
  <c r="L29" i="159" s="1"/>
  <c r="M29" i="159" s="1"/>
  <c r="I28" i="159"/>
  <c r="L28" i="159" s="1"/>
  <c r="M28" i="159" s="1"/>
  <c r="G28" i="159"/>
  <c r="F28" i="159"/>
  <c r="F27" i="159"/>
  <c r="G27" i="159" s="1"/>
  <c r="G26" i="159"/>
  <c r="F26" i="159"/>
  <c r="F25" i="159"/>
  <c r="G25" i="159" s="1"/>
  <c r="I25" i="159" s="1"/>
  <c r="L25" i="159" s="1"/>
  <c r="M25" i="159" s="1"/>
  <c r="I24" i="159"/>
  <c r="L24" i="159" s="1"/>
  <c r="M24" i="159" s="1"/>
  <c r="G24" i="159"/>
  <c r="F24" i="159"/>
  <c r="F23" i="159"/>
  <c r="G23" i="159" s="1"/>
  <c r="G22" i="159"/>
  <c r="F22" i="159"/>
  <c r="F21" i="159"/>
  <c r="G21" i="159" s="1"/>
  <c r="I21" i="159" s="1"/>
  <c r="L21" i="159" s="1"/>
  <c r="M21" i="159" s="1"/>
  <c r="I20" i="159"/>
  <c r="L20" i="159" s="1"/>
  <c r="M20" i="159" s="1"/>
  <c r="G20" i="159"/>
  <c r="F20" i="159"/>
  <c r="F19" i="159"/>
  <c r="G19" i="159" s="1"/>
  <c r="G18" i="159"/>
  <c r="F18" i="159"/>
  <c r="F17" i="159"/>
  <c r="G17" i="159" s="1"/>
  <c r="I17" i="159" s="1"/>
  <c r="L17" i="159" s="1"/>
  <c r="M17" i="159" s="1"/>
  <c r="I16" i="159"/>
  <c r="L16" i="159" s="1"/>
  <c r="M16" i="159" s="1"/>
  <c r="G16" i="159"/>
  <c r="F16" i="159"/>
  <c r="F15" i="159"/>
  <c r="G15" i="159" s="1"/>
  <c r="G14" i="159"/>
  <c r="F14" i="159"/>
  <c r="AX126" i="158"/>
  <c r="BL126" i="158" s="1"/>
  <c r="BG125" i="158"/>
  <c r="AX125" i="158"/>
  <c r="BL125" i="158" s="1"/>
  <c r="BL122" i="158"/>
  <c r="AO120" i="158"/>
  <c r="AO119" i="158"/>
  <c r="AO118" i="158"/>
  <c r="BQ117" i="158"/>
  <c r="BJ116" i="158"/>
  <c r="BI116" i="158"/>
  <c r="BB116" i="158"/>
  <c r="BD116" i="158" s="1"/>
  <c r="BF116" i="158" s="1"/>
  <c r="BG116" i="158" s="1"/>
  <c r="AR116" i="158"/>
  <c r="AP116" i="158"/>
  <c r="AN116" i="158"/>
  <c r="AQ116" i="158" s="1"/>
  <c r="AJ116" i="158"/>
  <c r="Y116" i="158"/>
  <c r="Z116" i="158" s="1"/>
  <c r="AC116" i="158" s="1"/>
  <c r="AE116" i="158" s="1"/>
  <c r="AF116" i="158" s="1"/>
  <c r="O116" i="158"/>
  <c r="P116" i="158" s="1"/>
  <c r="R116" i="158" s="1"/>
  <c r="T116" i="158" s="1"/>
  <c r="U116" i="158" s="1"/>
  <c r="E116" i="158"/>
  <c r="F116" i="158" s="1"/>
  <c r="H116" i="158" s="1"/>
  <c r="J116" i="158" s="1"/>
  <c r="BP115" i="158"/>
  <c r="BC115" i="158"/>
  <c r="AY115" i="158"/>
  <c r="AT115" i="158"/>
  <c r="AM115" i="158"/>
  <c r="AL115" i="158"/>
  <c r="AI115" i="158"/>
  <c r="AH115" i="158"/>
  <c r="AB115" i="158"/>
  <c r="AA115" i="158"/>
  <c r="X115" i="158"/>
  <c r="W115" i="158"/>
  <c r="Q115" i="158"/>
  <c r="G115" i="158"/>
  <c r="D115" i="158"/>
  <c r="C115" i="158"/>
  <c r="BP114" i="158"/>
  <c r="BC114" i="158"/>
  <c r="BB114" i="158"/>
  <c r="BA114" i="158"/>
  <c r="AZ114" i="158"/>
  <c r="AY114" i="158"/>
  <c r="AT114" i="158"/>
  <c r="AL114" i="158"/>
  <c r="AK114" i="158"/>
  <c r="AB114" i="158"/>
  <c r="AA114" i="158"/>
  <c r="X114" i="158"/>
  <c r="Q114" i="158"/>
  <c r="N114" i="158"/>
  <c r="M114" i="158"/>
  <c r="G114" i="158"/>
  <c r="D114" i="158"/>
  <c r="BP113" i="158"/>
  <c r="BC113" i="158"/>
  <c r="AY113" i="158"/>
  <c r="AT113" i="158"/>
  <c r="AM113" i="158"/>
  <c r="AL113" i="158"/>
  <c r="AB113" i="158"/>
  <c r="AA113" i="158"/>
  <c r="X113" i="158"/>
  <c r="W113" i="158"/>
  <c r="Q113" i="158"/>
  <c r="N113" i="158"/>
  <c r="M113" i="158"/>
  <c r="G113" i="158"/>
  <c r="D113" i="158"/>
  <c r="C113" i="158"/>
  <c r="BJ112" i="158"/>
  <c r="BI112" i="158"/>
  <c r="BI114" i="158" s="1"/>
  <c r="BF112" i="158"/>
  <c r="BG112" i="158" s="1"/>
  <c r="BD112" i="158"/>
  <c r="BB112" i="158"/>
  <c r="AU112" i="158"/>
  <c r="AW112" i="158" s="1"/>
  <c r="AX112" i="158" s="1"/>
  <c r="AQ112" i="158"/>
  <c r="AP112" i="158"/>
  <c r="AN112" i="158"/>
  <c r="AR112" i="158" s="1"/>
  <c r="AS112" i="158" s="1"/>
  <c r="AJ112" i="158"/>
  <c r="Y112" i="158"/>
  <c r="Z112" i="158" s="1"/>
  <c r="AC112" i="158" s="1"/>
  <c r="AE112" i="158" s="1"/>
  <c r="AF112" i="158" s="1"/>
  <c r="O112" i="158"/>
  <c r="P112" i="158" s="1"/>
  <c r="R112" i="158" s="1"/>
  <c r="T112" i="158" s="1"/>
  <c r="U112" i="158" s="1"/>
  <c r="H112" i="158"/>
  <c r="J112" i="158" s="1"/>
  <c r="F112" i="158"/>
  <c r="BH112" i="158" s="1"/>
  <c r="BK112" i="158" s="1"/>
  <c r="BL112" i="158" s="1"/>
  <c r="E112" i="158"/>
  <c r="BJ111" i="158"/>
  <c r="BI111" i="158"/>
  <c r="BF111" i="158"/>
  <c r="BG111" i="158" s="1"/>
  <c r="AY111" i="158"/>
  <c r="BB111" i="158" s="1"/>
  <c r="BD111" i="158" s="1"/>
  <c r="AM111" i="158"/>
  <c r="AM114" i="158" s="1"/>
  <c r="AL111" i="158"/>
  <c r="AI111" i="158"/>
  <c r="AH111" i="158"/>
  <c r="AH113" i="158" s="1"/>
  <c r="Z111" i="158"/>
  <c r="AC111" i="158" s="1"/>
  <c r="AE111" i="158" s="1"/>
  <c r="AF111" i="158" s="1"/>
  <c r="Y111" i="158"/>
  <c r="W111" i="158"/>
  <c r="W114" i="158" s="1"/>
  <c r="O111" i="158"/>
  <c r="P111" i="158" s="1"/>
  <c r="R111" i="158" s="1"/>
  <c r="T111" i="158" s="1"/>
  <c r="U111" i="158" s="1"/>
  <c r="E111" i="158"/>
  <c r="F111" i="158" s="1"/>
  <c r="C111" i="158"/>
  <c r="C114" i="158" s="1"/>
  <c r="BJ110" i="158"/>
  <c r="BI110" i="158"/>
  <c r="BF110" i="158"/>
  <c r="BD110" i="158"/>
  <c r="BD114" i="158" s="1"/>
  <c r="BB110" i="158"/>
  <c r="AR110" i="158"/>
  <c r="AQ110" i="158"/>
  <c r="AN110" i="158"/>
  <c r="AJ110" i="158"/>
  <c r="Y110" i="158"/>
  <c r="R110" i="158"/>
  <c r="P110" i="158"/>
  <c r="O110" i="158"/>
  <c r="H110" i="158"/>
  <c r="F110" i="158"/>
  <c r="E110" i="158"/>
  <c r="BJ109" i="158"/>
  <c r="BJ115" i="158" s="1"/>
  <c r="BI109" i="158"/>
  <c r="BI115" i="158" s="1"/>
  <c r="BB109" i="158"/>
  <c r="AN109" i="158"/>
  <c r="AJ109" i="158"/>
  <c r="AC109" i="158"/>
  <c r="Z109" i="158"/>
  <c r="Y109" i="158"/>
  <c r="Y115" i="158" s="1"/>
  <c r="R109" i="158"/>
  <c r="P109" i="158"/>
  <c r="P115" i="158" s="1"/>
  <c r="O109" i="158"/>
  <c r="O115" i="158" s="1"/>
  <c r="E109" i="158"/>
  <c r="BP108" i="158"/>
  <c r="BC108" i="158"/>
  <c r="AT108" i="158"/>
  <c r="AB108" i="158"/>
  <c r="AA108" i="158"/>
  <c r="Q108" i="158"/>
  <c r="N108" i="158"/>
  <c r="M108" i="158"/>
  <c r="G108" i="158"/>
  <c r="BP107" i="158"/>
  <c r="BC107" i="158"/>
  <c r="BC119" i="158" s="1"/>
  <c r="AY107" i="158"/>
  <c r="AT107" i="158"/>
  <c r="AT119" i="158" s="1"/>
  <c r="AH107" i="158"/>
  <c r="AB107" i="158"/>
  <c r="Q107" i="158"/>
  <c r="N107" i="158"/>
  <c r="M107" i="158"/>
  <c r="G107" i="158"/>
  <c r="D107" i="158"/>
  <c r="C107" i="158"/>
  <c r="BP106" i="158"/>
  <c r="BC106" i="158"/>
  <c r="BC118" i="158" s="1"/>
  <c r="AY106" i="158"/>
  <c r="AT106" i="158"/>
  <c r="AT118" i="158" s="1"/>
  <c r="AB106" i="158"/>
  <c r="Q106" i="158"/>
  <c r="N106" i="158"/>
  <c r="M106" i="158"/>
  <c r="G106" i="158"/>
  <c r="BJ105" i="158"/>
  <c r="BI105" i="158"/>
  <c r="AY105" i="158"/>
  <c r="BB105" i="158" s="1"/>
  <c r="BD105" i="158" s="1"/>
  <c r="BF105" i="158" s="1"/>
  <c r="BG105" i="158" s="1"/>
  <c r="AN105" i="158"/>
  <c r="AM105" i="158"/>
  <c r="AM108" i="158" s="1"/>
  <c r="AL105" i="158"/>
  <c r="AL108" i="158" s="1"/>
  <c r="AI105" i="158"/>
  <c r="AI108" i="158" s="1"/>
  <c r="AH105" i="158"/>
  <c r="AH108" i="158" s="1"/>
  <c r="X105" i="158"/>
  <c r="X108" i="158" s="1"/>
  <c r="W105" i="158"/>
  <c r="R105" i="158"/>
  <c r="T105" i="158" s="1"/>
  <c r="U105" i="158" s="1"/>
  <c r="P105" i="158"/>
  <c r="O105" i="158"/>
  <c r="D105" i="158"/>
  <c r="C105" i="158"/>
  <c r="BJ104" i="158"/>
  <c r="BI104" i="158"/>
  <c r="BD104" i="158"/>
  <c r="BF104" i="158" s="1"/>
  <c r="BG104" i="158" s="1"/>
  <c r="BB104" i="158"/>
  <c r="AP104" i="158"/>
  <c r="AN104" i="158"/>
  <c r="AJ104" i="158"/>
  <c r="Y104" i="158"/>
  <c r="Z104" i="158" s="1"/>
  <c r="AC104" i="158" s="1"/>
  <c r="AE104" i="158" s="1"/>
  <c r="AF104" i="158" s="1"/>
  <c r="P104" i="158"/>
  <c r="R104" i="158" s="1"/>
  <c r="T104" i="158" s="1"/>
  <c r="U104" i="158" s="1"/>
  <c r="O104" i="158"/>
  <c r="E104" i="158"/>
  <c r="F104" i="158" s="1"/>
  <c r="BJ103" i="158"/>
  <c r="BI103" i="158"/>
  <c r="BB103" i="158"/>
  <c r="BD103" i="158" s="1"/>
  <c r="BF103" i="158" s="1"/>
  <c r="BG103" i="158" s="1"/>
  <c r="AN103" i="158"/>
  <c r="AJ103" i="158"/>
  <c r="AP103" i="158" s="1"/>
  <c r="Y103" i="158"/>
  <c r="Z103" i="158" s="1"/>
  <c r="AC103" i="158" s="1"/>
  <c r="AE103" i="158" s="1"/>
  <c r="AF103" i="158" s="1"/>
  <c r="P103" i="158"/>
  <c r="R103" i="158" s="1"/>
  <c r="T103" i="158" s="1"/>
  <c r="U103" i="158" s="1"/>
  <c r="O103" i="158"/>
  <c r="E103" i="158"/>
  <c r="F103" i="158" s="1"/>
  <c r="H103" i="158" s="1"/>
  <c r="J103" i="158" s="1"/>
  <c r="BJ102" i="158"/>
  <c r="BI102" i="158"/>
  <c r="BB102" i="158"/>
  <c r="BD102" i="158" s="1"/>
  <c r="BF102" i="158" s="1"/>
  <c r="BG102" i="158" s="1"/>
  <c r="AN102" i="158"/>
  <c r="AQ102" i="158" s="1"/>
  <c r="AJ102" i="158"/>
  <c r="AP102" i="158" s="1"/>
  <c r="Y102" i="158"/>
  <c r="Z102" i="158" s="1"/>
  <c r="AC102" i="158" s="1"/>
  <c r="AE102" i="158" s="1"/>
  <c r="AF102" i="158" s="1"/>
  <c r="O102" i="158"/>
  <c r="P102" i="158" s="1"/>
  <c r="R102" i="158" s="1"/>
  <c r="T102" i="158" s="1"/>
  <c r="U102" i="158" s="1"/>
  <c r="E102" i="158"/>
  <c r="F102" i="158" s="1"/>
  <c r="H102" i="158" s="1"/>
  <c r="J102" i="158" s="1"/>
  <c r="K102" i="158" s="1"/>
  <c r="BJ101" i="158"/>
  <c r="BI101" i="158"/>
  <c r="BB101" i="158"/>
  <c r="BD101" i="158" s="1"/>
  <c r="BF101" i="158" s="1"/>
  <c r="BG101" i="158" s="1"/>
  <c r="AP101" i="158"/>
  <c r="AN101" i="158"/>
  <c r="AJ101" i="158"/>
  <c r="AA101" i="158"/>
  <c r="AA107" i="158" s="1"/>
  <c r="Y101" i="158"/>
  <c r="Z101" i="158" s="1"/>
  <c r="AC101" i="158" s="1"/>
  <c r="AE101" i="158" s="1"/>
  <c r="AF101" i="158" s="1"/>
  <c r="O101" i="158"/>
  <c r="P101" i="158" s="1"/>
  <c r="R101" i="158" s="1"/>
  <c r="T101" i="158" s="1"/>
  <c r="U101" i="158" s="1"/>
  <c r="E101" i="158"/>
  <c r="F101" i="158" s="1"/>
  <c r="BJ100" i="158"/>
  <c r="BI100" i="158"/>
  <c r="BD100" i="158"/>
  <c r="BF100" i="158" s="1"/>
  <c r="BG100" i="158" s="1"/>
  <c r="BB100" i="158"/>
  <c r="AN100" i="158"/>
  <c r="AR100" i="158" s="1"/>
  <c r="AJ100" i="158"/>
  <c r="AP100" i="158" s="1"/>
  <c r="Y100" i="158"/>
  <c r="Z100" i="158" s="1"/>
  <c r="AC100" i="158" s="1"/>
  <c r="AE100" i="158" s="1"/>
  <c r="AF100" i="158" s="1"/>
  <c r="P100" i="158"/>
  <c r="R100" i="158" s="1"/>
  <c r="T100" i="158" s="1"/>
  <c r="U100" i="158" s="1"/>
  <c r="O100" i="158"/>
  <c r="E100" i="158"/>
  <c r="F100" i="158" s="1"/>
  <c r="H100" i="158" s="1"/>
  <c r="J100" i="158" s="1"/>
  <c r="BJ99" i="158"/>
  <c r="BI99" i="158"/>
  <c r="BB99" i="158"/>
  <c r="BD99" i="158" s="1"/>
  <c r="BF99" i="158" s="1"/>
  <c r="BG99" i="158" s="1"/>
  <c r="AM99" i="158"/>
  <c r="AM106" i="158" s="1"/>
  <c r="AL99" i="158"/>
  <c r="AI99" i="158"/>
  <c r="Y99" i="158"/>
  <c r="Z99" i="158" s="1"/>
  <c r="AC99" i="158" s="1"/>
  <c r="AE99" i="158" s="1"/>
  <c r="AF99" i="158" s="1"/>
  <c r="X99" i="158"/>
  <c r="W99" i="158"/>
  <c r="W107" i="158" s="1"/>
  <c r="R99" i="158"/>
  <c r="T99" i="158" s="1"/>
  <c r="U99" i="158" s="1"/>
  <c r="O99" i="158"/>
  <c r="P99" i="158" s="1"/>
  <c r="E99" i="158"/>
  <c r="F99" i="158" s="1"/>
  <c r="H99" i="158" s="1"/>
  <c r="J99" i="158" s="1"/>
  <c r="BJ98" i="158"/>
  <c r="BI98" i="158"/>
  <c r="BB98" i="158"/>
  <c r="BD98" i="158" s="1"/>
  <c r="BF98" i="158" s="1"/>
  <c r="BG98" i="158" s="1"/>
  <c r="AQ98" i="158"/>
  <c r="AP98" i="158"/>
  <c r="AN98" i="158"/>
  <c r="AR98" i="158" s="1"/>
  <c r="AJ98" i="158"/>
  <c r="Y98" i="158"/>
  <c r="Z98" i="158" s="1"/>
  <c r="AC98" i="158" s="1"/>
  <c r="AE98" i="158" s="1"/>
  <c r="AF98" i="158" s="1"/>
  <c r="U98" i="158"/>
  <c r="O98" i="158"/>
  <c r="P98" i="158" s="1"/>
  <c r="R98" i="158" s="1"/>
  <c r="T98" i="158" s="1"/>
  <c r="E98" i="158"/>
  <c r="F98" i="158" s="1"/>
  <c r="BJ97" i="158"/>
  <c r="BI97" i="158"/>
  <c r="BB97" i="158"/>
  <c r="BD97" i="158" s="1"/>
  <c r="BF97" i="158" s="1"/>
  <c r="BG97" i="158" s="1"/>
  <c r="AR97" i="158"/>
  <c r="AQ97" i="158"/>
  <c r="AN97" i="158"/>
  <c r="AJ97" i="158"/>
  <c r="AP97" i="158" s="1"/>
  <c r="Y97" i="158"/>
  <c r="Z97" i="158" s="1"/>
  <c r="AC97" i="158" s="1"/>
  <c r="AE97" i="158" s="1"/>
  <c r="AF97" i="158" s="1"/>
  <c r="O97" i="158"/>
  <c r="P97" i="158" s="1"/>
  <c r="R97" i="158" s="1"/>
  <c r="T97" i="158" s="1"/>
  <c r="U97" i="158" s="1"/>
  <c r="E97" i="158"/>
  <c r="F97" i="158" s="1"/>
  <c r="BJ96" i="158"/>
  <c r="BI96" i="158"/>
  <c r="BB96" i="158"/>
  <c r="BD96" i="158" s="1"/>
  <c r="BF96" i="158" s="1"/>
  <c r="BG96" i="158" s="1"/>
  <c r="AN96" i="158"/>
  <c r="AJ96" i="158"/>
  <c r="AP96" i="158" s="1"/>
  <c r="Y96" i="158"/>
  <c r="Z96" i="158" s="1"/>
  <c r="AC96" i="158" s="1"/>
  <c r="AE96" i="158" s="1"/>
  <c r="AF96" i="158" s="1"/>
  <c r="O96" i="158"/>
  <c r="P96" i="158" s="1"/>
  <c r="R96" i="158" s="1"/>
  <c r="T96" i="158" s="1"/>
  <c r="U96" i="158" s="1"/>
  <c r="F96" i="158"/>
  <c r="E96" i="158"/>
  <c r="BJ95" i="158"/>
  <c r="BI95" i="158"/>
  <c r="BB95" i="158"/>
  <c r="BD95" i="158" s="1"/>
  <c r="BF95" i="158" s="1"/>
  <c r="BG95" i="158" s="1"/>
  <c r="AR95" i="158"/>
  <c r="AQ95" i="158"/>
  <c r="AN95" i="158"/>
  <c r="AJ95" i="158"/>
  <c r="AP95" i="158" s="1"/>
  <c r="Y95" i="158"/>
  <c r="Z95" i="158" s="1"/>
  <c r="AC95" i="158" s="1"/>
  <c r="AE95" i="158" s="1"/>
  <c r="AF95" i="158" s="1"/>
  <c r="O95" i="158"/>
  <c r="P95" i="158" s="1"/>
  <c r="R95" i="158" s="1"/>
  <c r="T95" i="158" s="1"/>
  <c r="U95" i="158" s="1"/>
  <c r="F95" i="158"/>
  <c r="H95" i="158" s="1"/>
  <c r="J95" i="158" s="1"/>
  <c r="E95" i="158"/>
  <c r="BJ94" i="158"/>
  <c r="BI94" i="158"/>
  <c r="BG94" i="158"/>
  <c r="BB94" i="158"/>
  <c r="BD94" i="158" s="1"/>
  <c r="BF94" i="158" s="1"/>
  <c r="AN94" i="158"/>
  <c r="AJ94" i="158"/>
  <c r="AP94" i="158" s="1"/>
  <c r="Y94" i="158"/>
  <c r="Z94" i="158" s="1"/>
  <c r="AC94" i="158" s="1"/>
  <c r="AE94" i="158" s="1"/>
  <c r="AF94" i="158" s="1"/>
  <c r="R94" i="158"/>
  <c r="T94" i="158" s="1"/>
  <c r="U94" i="158" s="1"/>
  <c r="P94" i="158"/>
  <c r="O94" i="158"/>
  <c r="E94" i="158"/>
  <c r="F94" i="158" s="1"/>
  <c r="BJ93" i="158"/>
  <c r="BI93" i="158"/>
  <c r="BB93" i="158"/>
  <c r="BD93" i="158" s="1"/>
  <c r="BF93" i="158" s="1"/>
  <c r="BG93" i="158" s="1"/>
  <c r="AN93" i="158"/>
  <c r="AJ93" i="158"/>
  <c r="AP93" i="158" s="1"/>
  <c r="Y93" i="158"/>
  <c r="Z93" i="158" s="1"/>
  <c r="AC93" i="158" s="1"/>
  <c r="AE93" i="158" s="1"/>
  <c r="AF93" i="158" s="1"/>
  <c r="O93" i="158"/>
  <c r="P93" i="158" s="1"/>
  <c r="R93" i="158" s="1"/>
  <c r="T93" i="158" s="1"/>
  <c r="U93" i="158" s="1"/>
  <c r="E93" i="158"/>
  <c r="F93" i="158" s="1"/>
  <c r="H93" i="158" s="1"/>
  <c r="J93" i="158" s="1"/>
  <c r="K93" i="158" s="1"/>
  <c r="BJ92" i="158"/>
  <c r="BI92" i="158"/>
  <c r="BB92" i="158"/>
  <c r="BD92" i="158" s="1"/>
  <c r="BF92" i="158" s="1"/>
  <c r="BG92" i="158" s="1"/>
  <c r="AQ92" i="158"/>
  <c r="AP92" i="158"/>
  <c r="AN92" i="158"/>
  <c r="AR92" i="158" s="1"/>
  <c r="AJ92" i="158"/>
  <c r="Y92" i="158"/>
  <c r="Z92" i="158" s="1"/>
  <c r="AC92" i="158" s="1"/>
  <c r="AE92" i="158" s="1"/>
  <c r="AF92" i="158" s="1"/>
  <c r="O92" i="158"/>
  <c r="P92" i="158" s="1"/>
  <c r="R92" i="158" s="1"/>
  <c r="T92" i="158" s="1"/>
  <c r="U92" i="158" s="1"/>
  <c r="E92" i="158"/>
  <c r="F92" i="158" s="1"/>
  <c r="BJ91" i="158"/>
  <c r="BI91" i="158"/>
  <c r="BB91" i="158"/>
  <c r="BD91" i="158" s="1"/>
  <c r="BF91" i="158" s="1"/>
  <c r="BG91" i="158" s="1"/>
  <c r="AN91" i="158"/>
  <c r="AJ91" i="158"/>
  <c r="AP91" i="158" s="1"/>
  <c r="Y91" i="158"/>
  <c r="Z91" i="158" s="1"/>
  <c r="AC91" i="158" s="1"/>
  <c r="AE91" i="158" s="1"/>
  <c r="AF91" i="158" s="1"/>
  <c r="O91" i="158"/>
  <c r="P91" i="158" s="1"/>
  <c r="R91" i="158" s="1"/>
  <c r="T91" i="158" s="1"/>
  <c r="U91" i="158" s="1"/>
  <c r="E91" i="158"/>
  <c r="F91" i="158" s="1"/>
  <c r="H91" i="158" s="1"/>
  <c r="J91" i="158" s="1"/>
  <c r="BJ90" i="158"/>
  <c r="BI90" i="158"/>
  <c r="BB90" i="158"/>
  <c r="BD90" i="158" s="1"/>
  <c r="BF90" i="158" s="1"/>
  <c r="BG90" i="158" s="1"/>
  <c r="AR90" i="158"/>
  <c r="AN90" i="158"/>
  <c r="AQ90" i="158" s="1"/>
  <c r="AJ90" i="158"/>
  <c r="AP90" i="158" s="1"/>
  <c r="Y90" i="158"/>
  <c r="Z90" i="158" s="1"/>
  <c r="AC90" i="158" s="1"/>
  <c r="AE90" i="158" s="1"/>
  <c r="AF90" i="158" s="1"/>
  <c r="O90" i="158"/>
  <c r="P90" i="158" s="1"/>
  <c r="R90" i="158" s="1"/>
  <c r="T90" i="158" s="1"/>
  <c r="U90" i="158" s="1"/>
  <c r="E90" i="158"/>
  <c r="F90" i="158" s="1"/>
  <c r="BJ89" i="158"/>
  <c r="BI89" i="158"/>
  <c r="BB89" i="158"/>
  <c r="BD89" i="158" s="1"/>
  <c r="BF89" i="158" s="1"/>
  <c r="BG89" i="158" s="1"/>
  <c r="AP89" i="158"/>
  <c r="AN89" i="158"/>
  <c r="AJ89" i="158"/>
  <c r="AC89" i="158"/>
  <c r="AE89" i="158" s="1"/>
  <c r="AF89" i="158" s="1"/>
  <c r="Z89" i="158"/>
  <c r="Y89" i="158"/>
  <c r="O89" i="158"/>
  <c r="P89" i="158" s="1"/>
  <c r="R89" i="158" s="1"/>
  <c r="T89" i="158" s="1"/>
  <c r="U89" i="158" s="1"/>
  <c r="K89" i="158"/>
  <c r="E89" i="158"/>
  <c r="F89" i="158" s="1"/>
  <c r="H89" i="158" s="1"/>
  <c r="J89" i="158" s="1"/>
  <c r="BJ88" i="158"/>
  <c r="BI88" i="158"/>
  <c r="BD88" i="158"/>
  <c r="BF88" i="158" s="1"/>
  <c r="BG88" i="158" s="1"/>
  <c r="BB88" i="158"/>
  <c r="AN88" i="158"/>
  <c r="AJ88" i="158"/>
  <c r="AP88" i="158" s="1"/>
  <c r="Y88" i="158"/>
  <c r="Z88" i="158" s="1"/>
  <c r="AC88" i="158" s="1"/>
  <c r="AE88" i="158" s="1"/>
  <c r="AF88" i="158" s="1"/>
  <c r="O88" i="158"/>
  <c r="P88" i="158" s="1"/>
  <c r="R88" i="158" s="1"/>
  <c r="T88" i="158" s="1"/>
  <c r="U88" i="158" s="1"/>
  <c r="F88" i="158"/>
  <c r="E88" i="158"/>
  <c r="BJ87" i="158"/>
  <c r="BI87" i="158"/>
  <c r="BB87" i="158"/>
  <c r="BD87" i="158" s="1"/>
  <c r="BF87" i="158" s="1"/>
  <c r="BG87" i="158" s="1"/>
  <c r="AR87" i="158"/>
  <c r="AQ87" i="158"/>
  <c r="AN87" i="158"/>
  <c r="AJ87" i="158"/>
  <c r="AP87" i="158" s="1"/>
  <c r="AF87" i="158"/>
  <c r="Y87" i="158"/>
  <c r="Z87" i="158" s="1"/>
  <c r="AC87" i="158" s="1"/>
  <c r="AE87" i="158" s="1"/>
  <c r="O87" i="158"/>
  <c r="P87" i="158" s="1"/>
  <c r="R87" i="158" s="1"/>
  <c r="T87" i="158" s="1"/>
  <c r="U87" i="158" s="1"/>
  <c r="H87" i="158"/>
  <c r="J87" i="158" s="1"/>
  <c r="F87" i="158"/>
  <c r="E87" i="158"/>
  <c r="BJ86" i="158"/>
  <c r="BI86" i="158"/>
  <c r="BG86" i="158"/>
  <c r="BB86" i="158"/>
  <c r="BD86" i="158" s="1"/>
  <c r="BF86" i="158" s="1"/>
  <c r="AN86" i="158"/>
  <c r="AJ86" i="158"/>
  <c r="AP86" i="158" s="1"/>
  <c r="Y86" i="158"/>
  <c r="Z86" i="158" s="1"/>
  <c r="AC86" i="158" s="1"/>
  <c r="AE86" i="158" s="1"/>
  <c r="AF86" i="158" s="1"/>
  <c r="O86" i="158"/>
  <c r="P86" i="158" s="1"/>
  <c r="R86" i="158" s="1"/>
  <c r="T86" i="158" s="1"/>
  <c r="U86" i="158" s="1"/>
  <c r="E86" i="158"/>
  <c r="F86" i="158" s="1"/>
  <c r="BJ85" i="158"/>
  <c r="BI85" i="158"/>
  <c r="BB85" i="158"/>
  <c r="BD85" i="158" s="1"/>
  <c r="BF85" i="158" s="1"/>
  <c r="BG85" i="158" s="1"/>
  <c r="AP85" i="158"/>
  <c r="AN85" i="158"/>
  <c r="AJ85" i="158"/>
  <c r="AC85" i="158"/>
  <c r="AE85" i="158" s="1"/>
  <c r="AF85" i="158" s="1"/>
  <c r="Z85" i="158"/>
  <c r="Y85" i="158"/>
  <c r="O85" i="158"/>
  <c r="P85" i="158" s="1"/>
  <c r="R85" i="158" s="1"/>
  <c r="T85" i="158" s="1"/>
  <c r="U85" i="158" s="1"/>
  <c r="E85" i="158"/>
  <c r="F85" i="158" s="1"/>
  <c r="BJ84" i="158"/>
  <c r="BI84" i="158"/>
  <c r="BB84" i="158"/>
  <c r="BD84" i="158" s="1"/>
  <c r="BF84" i="158" s="1"/>
  <c r="BG84" i="158" s="1"/>
  <c r="AN84" i="158"/>
  <c r="AJ84" i="158"/>
  <c r="AP84" i="158" s="1"/>
  <c r="AC84" i="158"/>
  <c r="AE84" i="158" s="1"/>
  <c r="AF84" i="158" s="1"/>
  <c r="Y84" i="158"/>
  <c r="Z84" i="158" s="1"/>
  <c r="O84" i="158"/>
  <c r="P84" i="158" s="1"/>
  <c r="R84" i="158" s="1"/>
  <c r="T84" i="158" s="1"/>
  <c r="U84" i="158" s="1"/>
  <c r="F84" i="158"/>
  <c r="E84" i="158"/>
  <c r="BJ83" i="158"/>
  <c r="BI83" i="158"/>
  <c r="BB83" i="158"/>
  <c r="BD83" i="158" s="1"/>
  <c r="BF83" i="158" s="1"/>
  <c r="BG83" i="158" s="1"/>
  <c r="AR83" i="158"/>
  <c r="AN83" i="158"/>
  <c r="AQ83" i="158" s="1"/>
  <c r="AJ83" i="158"/>
  <c r="AP83" i="158" s="1"/>
  <c r="Y83" i="158"/>
  <c r="Z83" i="158" s="1"/>
  <c r="AC83" i="158" s="1"/>
  <c r="AE83" i="158" s="1"/>
  <c r="AF83" i="158" s="1"/>
  <c r="O83" i="158"/>
  <c r="P83" i="158" s="1"/>
  <c r="R83" i="158" s="1"/>
  <c r="T83" i="158" s="1"/>
  <c r="U83" i="158" s="1"/>
  <c r="J83" i="158"/>
  <c r="K83" i="158" s="1"/>
  <c r="E83" i="158"/>
  <c r="F83" i="158" s="1"/>
  <c r="H83" i="158" s="1"/>
  <c r="BJ82" i="158"/>
  <c r="BI82" i="158"/>
  <c r="BF82" i="158"/>
  <c r="BG82" i="158" s="1"/>
  <c r="BB82" i="158"/>
  <c r="BD82" i="158" s="1"/>
  <c r="AN82" i="158"/>
  <c r="AJ82" i="158"/>
  <c r="AP82" i="158" s="1"/>
  <c r="Z82" i="158"/>
  <c r="AC82" i="158" s="1"/>
  <c r="AE82" i="158" s="1"/>
  <c r="AF82" i="158" s="1"/>
  <c r="Y82" i="158"/>
  <c r="O82" i="158"/>
  <c r="P82" i="158" s="1"/>
  <c r="R82" i="158" s="1"/>
  <c r="T82" i="158" s="1"/>
  <c r="U82" i="158" s="1"/>
  <c r="H82" i="158"/>
  <c r="J82" i="158" s="1"/>
  <c r="E82" i="158"/>
  <c r="F82" i="158" s="1"/>
  <c r="BJ81" i="158"/>
  <c r="BI81" i="158"/>
  <c r="BB81" i="158"/>
  <c r="BD81" i="158" s="1"/>
  <c r="BF81" i="158" s="1"/>
  <c r="BG81" i="158" s="1"/>
  <c r="AR81" i="158"/>
  <c r="AS81" i="158" s="1"/>
  <c r="AU81" i="158" s="1"/>
  <c r="AW81" i="158" s="1"/>
  <c r="AX81" i="158" s="1"/>
  <c r="AN81" i="158"/>
  <c r="AQ81" i="158" s="1"/>
  <c r="AJ81" i="158"/>
  <c r="AP81" i="158" s="1"/>
  <c r="AE81" i="158"/>
  <c r="AF81" i="158" s="1"/>
  <c r="Y81" i="158"/>
  <c r="Z81" i="158" s="1"/>
  <c r="AC81" i="158" s="1"/>
  <c r="U81" i="158"/>
  <c r="O81" i="158"/>
  <c r="P81" i="158" s="1"/>
  <c r="R81" i="158" s="1"/>
  <c r="T81" i="158" s="1"/>
  <c r="E81" i="158"/>
  <c r="F81" i="158" s="1"/>
  <c r="BJ80" i="158"/>
  <c r="BI80" i="158"/>
  <c r="BB80" i="158"/>
  <c r="BD80" i="158" s="1"/>
  <c r="BF80" i="158" s="1"/>
  <c r="BG80" i="158" s="1"/>
  <c r="AP80" i="158"/>
  <c r="AN80" i="158"/>
  <c r="AR80" i="158" s="1"/>
  <c r="AJ80" i="158"/>
  <c r="Y80" i="158"/>
  <c r="Z80" i="158" s="1"/>
  <c r="AC80" i="158" s="1"/>
  <c r="AE80" i="158" s="1"/>
  <c r="AF80" i="158" s="1"/>
  <c r="U80" i="158"/>
  <c r="O80" i="158"/>
  <c r="P80" i="158" s="1"/>
  <c r="R80" i="158" s="1"/>
  <c r="T80" i="158" s="1"/>
  <c r="E80" i="158"/>
  <c r="F80" i="158" s="1"/>
  <c r="BJ79" i="158"/>
  <c r="BI79" i="158"/>
  <c r="BB79" i="158"/>
  <c r="BD79" i="158" s="1"/>
  <c r="BF79" i="158" s="1"/>
  <c r="BG79" i="158" s="1"/>
  <c r="AN79" i="158"/>
  <c r="AQ79" i="158" s="1"/>
  <c r="AJ79" i="158"/>
  <c r="AP79" i="158" s="1"/>
  <c r="Y79" i="158"/>
  <c r="Z79" i="158" s="1"/>
  <c r="AC79" i="158" s="1"/>
  <c r="AE79" i="158" s="1"/>
  <c r="AF79" i="158" s="1"/>
  <c r="O79" i="158"/>
  <c r="P79" i="158" s="1"/>
  <c r="R79" i="158" s="1"/>
  <c r="T79" i="158" s="1"/>
  <c r="U79" i="158" s="1"/>
  <c r="E79" i="158"/>
  <c r="F79" i="158" s="1"/>
  <c r="H79" i="158" s="1"/>
  <c r="J79" i="158" s="1"/>
  <c r="BJ78" i="158"/>
  <c r="BI78" i="158"/>
  <c r="BB78" i="158"/>
  <c r="BD78" i="158" s="1"/>
  <c r="BF78" i="158" s="1"/>
  <c r="BG78" i="158" s="1"/>
  <c r="AR78" i="158"/>
  <c r="AN78" i="158"/>
  <c r="AQ78" i="158" s="1"/>
  <c r="AJ78" i="158"/>
  <c r="AP78" i="158" s="1"/>
  <c r="Y78" i="158"/>
  <c r="Z78" i="158" s="1"/>
  <c r="AC78" i="158" s="1"/>
  <c r="AE78" i="158" s="1"/>
  <c r="AF78" i="158" s="1"/>
  <c r="O78" i="158"/>
  <c r="P78" i="158" s="1"/>
  <c r="R78" i="158" s="1"/>
  <c r="T78" i="158" s="1"/>
  <c r="U78" i="158" s="1"/>
  <c r="J78" i="158"/>
  <c r="E78" i="158"/>
  <c r="F78" i="158" s="1"/>
  <c r="H78" i="158" s="1"/>
  <c r="BJ77" i="158"/>
  <c r="BI77" i="158"/>
  <c r="BB77" i="158"/>
  <c r="BD77" i="158" s="1"/>
  <c r="BF77" i="158" s="1"/>
  <c r="BG77" i="158" s="1"/>
  <c r="AN77" i="158"/>
  <c r="AQ77" i="158" s="1"/>
  <c r="AJ77" i="158"/>
  <c r="AP77" i="158" s="1"/>
  <c r="Z77" i="158"/>
  <c r="AC77" i="158" s="1"/>
  <c r="AE77" i="158" s="1"/>
  <c r="AF77" i="158" s="1"/>
  <c r="Y77" i="158"/>
  <c r="O77" i="158"/>
  <c r="P77" i="158" s="1"/>
  <c r="R77" i="158" s="1"/>
  <c r="T77" i="158" s="1"/>
  <c r="U77" i="158" s="1"/>
  <c r="J77" i="158"/>
  <c r="E77" i="158"/>
  <c r="F77" i="158" s="1"/>
  <c r="H77" i="158" s="1"/>
  <c r="BJ76" i="158"/>
  <c r="BI76" i="158"/>
  <c r="BD76" i="158"/>
  <c r="BB76" i="158"/>
  <c r="AN76" i="158"/>
  <c r="AJ76" i="158"/>
  <c r="AP76" i="158" s="1"/>
  <c r="Y76" i="158"/>
  <c r="O76" i="158"/>
  <c r="E76" i="158"/>
  <c r="BJ75" i="158"/>
  <c r="BI75" i="158"/>
  <c r="BD75" i="158"/>
  <c r="BF75" i="158" s="1"/>
  <c r="BB75" i="158"/>
  <c r="AR75" i="158"/>
  <c r="AQ75" i="158"/>
  <c r="AP75" i="158"/>
  <c r="AN75" i="158"/>
  <c r="AJ75" i="158"/>
  <c r="Y75" i="158"/>
  <c r="P75" i="158"/>
  <c r="O75" i="158"/>
  <c r="F75" i="158"/>
  <c r="H75" i="158" s="1"/>
  <c r="E75" i="158"/>
  <c r="BP74" i="158"/>
  <c r="BC74" i="158"/>
  <c r="AY74" i="158"/>
  <c r="AT74" i="158"/>
  <c r="AT120" i="158" s="1"/>
  <c r="AM74" i="158"/>
  <c r="AM120" i="158" s="1"/>
  <c r="AL74" i="158"/>
  <c r="AK74" i="158"/>
  <c r="AI74" i="158"/>
  <c r="AI120" i="158" s="1"/>
  <c r="AH74" i="158"/>
  <c r="AH120" i="158" s="1"/>
  <c r="AB74" i="158"/>
  <c r="AB120" i="158" s="1"/>
  <c r="AA74" i="158"/>
  <c r="AA120" i="158" s="1"/>
  <c r="X74" i="158"/>
  <c r="X120" i="158" s="1"/>
  <c r="W74" i="158"/>
  <c r="Q74" i="158"/>
  <c r="N74" i="158"/>
  <c r="N120" i="158" s="1"/>
  <c r="M74" i="158"/>
  <c r="M120" i="158" s="1"/>
  <c r="G74" i="158"/>
  <c r="D74" i="158"/>
  <c r="C74" i="158"/>
  <c r="W73" i="158"/>
  <c r="W119" i="158" s="1"/>
  <c r="G73" i="158"/>
  <c r="G119" i="158" s="1"/>
  <c r="BP72" i="158"/>
  <c r="AY72" i="158"/>
  <c r="AM72" i="158"/>
  <c r="AL72" i="158"/>
  <c r="AK72" i="158"/>
  <c r="AI72" i="158"/>
  <c r="AH72" i="158"/>
  <c r="AB72" i="158"/>
  <c r="AA72" i="158"/>
  <c r="X72" i="158"/>
  <c r="W72" i="158"/>
  <c r="Q72" i="158"/>
  <c r="N72" i="158"/>
  <c r="M72" i="158"/>
  <c r="M73" i="158" s="1"/>
  <c r="G72" i="158"/>
  <c r="G118" i="158" s="1"/>
  <c r="D72" i="158"/>
  <c r="C72" i="158"/>
  <c r="BJ71" i="158"/>
  <c r="BI71" i="158"/>
  <c r="BB71" i="158"/>
  <c r="BD71" i="158" s="1"/>
  <c r="BF71" i="158" s="1"/>
  <c r="BG71" i="158" s="1"/>
  <c r="AR71" i="158"/>
  <c r="AS71" i="158" s="1"/>
  <c r="AU71" i="158" s="1"/>
  <c r="AW71" i="158" s="1"/>
  <c r="AX71" i="158" s="1"/>
  <c r="AQ71" i="158"/>
  <c r="AN71" i="158"/>
  <c r="AJ71" i="158"/>
  <c r="AP71" i="158" s="1"/>
  <c r="Y71" i="158"/>
  <c r="Z71" i="158" s="1"/>
  <c r="AC71" i="158" s="1"/>
  <c r="AE71" i="158" s="1"/>
  <c r="AF71" i="158" s="1"/>
  <c r="O71" i="158"/>
  <c r="P71" i="158" s="1"/>
  <c r="R71" i="158" s="1"/>
  <c r="T71" i="158" s="1"/>
  <c r="U71" i="158" s="1"/>
  <c r="E71" i="158"/>
  <c r="F71" i="158" s="1"/>
  <c r="H71" i="158" s="1"/>
  <c r="J71" i="158" s="1"/>
  <c r="K71" i="158" s="1"/>
  <c r="BJ70" i="158"/>
  <c r="BI70" i="158"/>
  <c r="BB70" i="158"/>
  <c r="BD70" i="158" s="1"/>
  <c r="BF70" i="158" s="1"/>
  <c r="BG70" i="158" s="1"/>
  <c r="AQ70" i="158"/>
  <c r="AN70" i="158"/>
  <c r="AR70" i="158" s="1"/>
  <c r="AJ70" i="158"/>
  <c r="AP70" i="158" s="1"/>
  <c r="AC70" i="158"/>
  <c r="AE70" i="158" s="1"/>
  <c r="AF70" i="158" s="1"/>
  <c r="Z70" i="158"/>
  <c r="Y70" i="158"/>
  <c r="P70" i="158"/>
  <c r="R70" i="158" s="1"/>
  <c r="T70" i="158" s="1"/>
  <c r="U70" i="158" s="1"/>
  <c r="O70" i="158"/>
  <c r="E70" i="158"/>
  <c r="F70" i="158" s="1"/>
  <c r="H70" i="158" s="1"/>
  <c r="J70" i="158" s="1"/>
  <c r="BJ69" i="158"/>
  <c r="BI69" i="158"/>
  <c r="BB69" i="158"/>
  <c r="BD69" i="158" s="1"/>
  <c r="BF69" i="158" s="1"/>
  <c r="BG69" i="158" s="1"/>
  <c r="AN69" i="158"/>
  <c r="AQ69" i="158" s="1"/>
  <c r="AJ69" i="158"/>
  <c r="AP69" i="158" s="1"/>
  <c r="AE69" i="158"/>
  <c r="AF69" i="158" s="1"/>
  <c r="Y69" i="158"/>
  <c r="Z69" i="158" s="1"/>
  <c r="AC69" i="158" s="1"/>
  <c r="O69" i="158"/>
  <c r="P69" i="158" s="1"/>
  <c r="R69" i="158" s="1"/>
  <c r="T69" i="158" s="1"/>
  <c r="U69" i="158" s="1"/>
  <c r="E69" i="158"/>
  <c r="F69" i="158" s="1"/>
  <c r="BJ68" i="158"/>
  <c r="BI68" i="158"/>
  <c r="BB68" i="158"/>
  <c r="BD68" i="158" s="1"/>
  <c r="BF68" i="158" s="1"/>
  <c r="BG68" i="158" s="1"/>
  <c r="AP68" i="158"/>
  <c r="AN68" i="158"/>
  <c r="AJ68" i="158"/>
  <c r="Y68" i="158"/>
  <c r="Z68" i="158" s="1"/>
  <c r="AC68" i="158" s="1"/>
  <c r="AE68" i="158" s="1"/>
  <c r="AF68" i="158" s="1"/>
  <c r="P68" i="158"/>
  <c r="R68" i="158" s="1"/>
  <c r="T68" i="158" s="1"/>
  <c r="U68" i="158" s="1"/>
  <c r="O68" i="158"/>
  <c r="E68" i="158"/>
  <c r="F68" i="158" s="1"/>
  <c r="BJ67" i="158"/>
  <c r="BI67" i="158"/>
  <c r="BD67" i="158"/>
  <c r="BF67" i="158" s="1"/>
  <c r="BG67" i="158" s="1"/>
  <c r="BB67" i="158"/>
  <c r="AR67" i="158"/>
  <c r="AQ67" i="158"/>
  <c r="AP67" i="158"/>
  <c r="AN67" i="158"/>
  <c r="AJ67" i="158"/>
  <c r="Y67" i="158"/>
  <c r="Z67" i="158" s="1"/>
  <c r="AC67" i="158" s="1"/>
  <c r="AE67" i="158" s="1"/>
  <c r="AF67" i="158" s="1"/>
  <c r="O67" i="158"/>
  <c r="P67" i="158" s="1"/>
  <c r="R67" i="158" s="1"/>
  <c r="T67" i="158" s="1"/>
  <c r="U67" i="158" s="1"/>
  <c r="J67" i="158"/>
  <c r="K67" i="158" s="1"/>
  <c r="H67" i="158"/>
  <c r="E67" i="158"/>
  <c r="F67" i="158" s="1"/>
  <c r="BJ66" i="158"/>
  <c r="BI66" i="158"/>
  <c r="BB66" i="158"/>
  <c r="BD66" i="158" s="1"/>
  <c r="BF66" i="158" s="1"/>
  <c r="BG66" i="158" s="1"/>
  <c r="AN66" i="158"/>
  <c r="AJ66" i="158"/>
  <c r="AP66" i="158" s="1"/>
  <c r="Y66" i="158"/>
  <c r="Z66" i="158" s="1"/>
  <c r="AC66" i="158" s="1"/>
  <c r="AE66" i="158" s="1"/>
  <c r="AF66" i="158" s="1"/>
  <c r="P66" i="158"/>
  <c r="R66" i="158" s="1"/>
  <c r="T66" i="158" s="1"/>
  <c r="U66" i="158" s="1"/>
  <c r="O66" i="158"/>
  <c r="E66" i="158"/>
  <c r="F66" i="158" s="1"/>
  <c r="H66" i="158" s="1"/>
  <c r="J66" i="158" s="1"/>
  <c r="BJ65" i="158"/>
  <c r="BI65" i="158"/>
  <c r="BB65" i="158"/>
  <c r="BD65" i="158" s="1"/>
  <c r="BF65" i="158" s="1"/>
  <c r="BG65" i="158" s="1"/>
  <c r="AR65" i="158"/>
  <c r="AQ65" i="158"/>
  <c r="AN65" i="158"/>
  <c r="AJ65" i="158"/>
  <c r="AP65" i="158" s="1"/>
  <c r="Y65" i="158"/>
  <c r="Z65" i="158" s="1"/>
  <c r="AC65" i="158" s="1"/>
  <c r="AE65" i="158" s="1"/>
  <c r="AF65" i="158" s="1"/>
  <c r="O65" i="158"/>
  <c r="P65" i="158" s="1"/>
  <c r="R65" i="158" s="1"/>
  <c r="T65" i="158" s="1"/>
  <c r="U65" i="158" s="1"/>
  <c r="E65" i="158"/>
  <c r="F65" i="158" s="1"/>
  <c r="H65" i="158" s="1"/>
  <c r="J65" i="158" s="1"/>
  <c r="K65" i="158" s="1"/>
  <c r="BJ64" i="158"/>
  <c r="BI64" i="158"/>
  <c r="BB64" i="158"/>
  <c r="BD64" i="158" s="1"/>
  <c r="BF64" i="158" s="1"/>
  <c r="BG64" i="158" s="1"/>
  <c r="AN64" i="158"/>
  <c r="AJ64" i="158"/>
  <c r="AP64" i="158" s="1"/>
  <c r="Y64" i="158"/>
  <c r="Z64" i="158" s="1"/>
  <c r="AC64" i="158" s="1"/>
  <c r="AE64" i="158" s="1"/>
  <c r="AF64" i="158" s="1"/>
  <c r="O64" i="158"/>
  <c r="P64" i="158" s="1"/>
  <c r="R64" i="158" s="1"/>
  <c r="T64" i="158" s="1"/>
  <c r="U64" i="158" s="1"/>
  <c r="E64" i="158"/>
  <c r="F64" i="158" s="1"/>
  <c r="H64" i="158" s="1"/>
  <c r="J64" i="158" s="1"/>
  <c r="BJ63" i="158"/>
  <c r="BI63" i="158"/>
  <c r="BB63" i="158"/>
  <c r="BD63" i="158" s="1"/>
  <c r="BF63" i="158" s="1"/>
  <c r="BG63" i="158" s="1"/>
  <c r="AN63" i="158"/>
  <c r="AR63" i="158" s="1"/>
  <c r="AJ63" i="158"/>
  <c r="AP63" i="158" s="1"/>
  <c r="Y63" i="158"/>
  <c r="Z63" i="158" s="1"/>
  <c r="AC63" i="158" s="1"/>
  <c r="AE63" i="158" s="1"/>
  <c r="AF63" i="158" s="1"/>
  <c r="O63" i="158"/>
  <c r="P63" i="158" s="1"/>
  <c r="R63" i="158" s="1"/>
  <c r="T63" i="158" s="1"/>
  <c r="U63" i="158" s="1"/>
  <c r="E63" i="158"/>
  <c r="F63" i="158" s="1"/>
  <c r="BJ62" i="158"/>
  <c r="BI62" i="158"/>
  <c r="BB62" i="158"/>
  <c r="BD62" i="158" s="1"/>
  <c r="BF62" i="158" s="1"/>
  <c r="BG62" i="158" s="1"/>
  <c r="AQ62" i="158"/>
  <c r="AN62" i="158"/>
  <c r="AR62" i="158" s="1"/>
  <c r="AJ62" i="158"/>
  <c r="AP62" i="158" s="1"/>
  <c r="AF62" i="158"/>
  <c r="Y62" i="158"/>
  <c r="Z62" i="158" s="1"/>
  <c r="AC62" i="158" s="1"/>
  <c r="AE62" i="158" s="1"/>
  <c r="O62" i="158"/>
  <c r="P62" i="158" s="1"/>
  <c r="R62" i="158" s="1"/>
  <c r="T62" i="158" s="1"/>
  <c r="U62" i="158" s="1"/>
  <c r="H62" i="158"/>
  <c r="J62" i="158" s="1"/>
  <c r="E62" i="158"/>
  <c r="F62" i="158" s="1"/>
  <c r="BJ61" i="158"/>
  <c r="BI61" i="158"/>
  <c r="BD61" i="158"/>
  <c r="BF61" i="158" s="1"/>
  <c r="BG61" i="158" s="1"/>
  <c r="BB61" i="158"/>
  <c r="AN61" i="158"/>
  <c r="AJ61" i="158"/>
  <c r="AP61" i="158" s="1"/>
  <c r="Y61" i="158"/>
  <c r="Z61" i="158" s="1"/>
  <c r="AC61" i="158" s="1"/>
  <c r="AE61" i="158" s="1"/>
  <c r="AF61" i="158" s="1"/>
  <c r="R61" i="158"/>
  <c r="T61" i="158" s="1"/>
  <c r="U61" i="158" s="1"/>
  <c r="P61" i="158"/>
  <c r="O61" i="158"/>
  <c r="H61" i="158"/>
  <c r="J61" i="158" s="1"/>
  <c r="F61" i="158"/>
  <c r="E61" i="158"/>
  <c r="BJ60" i="158"/>
  <c r="BI60" i="158"/>
  <c r="BB60" i="158"/>
  <c r="BD60" i="158" s="1"/>
  <c r="BF60" i="158" s="1"/>
  <c r="BG60" i="158" s="1"/>
  <c r="AN60" i="158"/>
  <c r="AJ60" i="158"/>
  <c r="AP60" i="158" s="1"/>
  <c r="AC60" i="158"/>
  <c r="AE60" i="158" s="1"/>
  <c r="AF60" i="158" s="1"/>
  <c r="Z60" i="158"/>
  <c r="Y60" i="158"/>
  <c r="P60" i="158"/>
  <c r="R60" i="158" s="1"/>
  <c r="T60" i="158" s="1"/>
  <c r="U60" i="158" s="1"/>
  <c r="O60" i="158"/>
  <c r="E60" i="158"/>
  <c r="F60" i="158" s="1"/>
  <c r="H60" i="158" s="1"/>
  <c r="J60" i="158" s="1"/>
  <c r="BJ59" i="158"/>
  <c r="BI59" i="158"/>
  <c r="BB59" i="158"/>
  <c r="BD59" i="158" s="1"/>
  <c r="BF59" i="158" s="1"/>
  <c r="BG59" i="158" s="1"/>
  <c r="AN59" i="158"/>
  <c r="AJ59" i="158"/>
  <c r="AP59" i="158" s="1"/>
  <c r="Z59" i="158"/>
  <c r="AC59" i="158" s="1"/>
  <c r="AE59" i="158" s="1"/>
  <c r="AF59" i="158" s="1"/>
  <c r="Y59" i="158"/>
  <c r="O59" i="158"/>
  <c r="P59" i="158" s="1"/>
  <c r="R59" i="158" s="1"/>
  <c r="T59" i="158" s="1"/>
  <c r="U59" i="158" s="1"/>
  <c r="E59" i="158"/>
  <c r="F59" i="158" s="1"/>
  <c r="BJ58" i="158"/>
  <c r="BI58" i="158"/>
  <c r="BD58" i="158"/>
  <c r="BF58" i="158" s="1"/>
  <c r="BG58" i="158" s="1"/>
  <c r="BB58" i="158"/>
  <c r="AQ58" i="158"/>
  <c r="AP58" i="158"/>
  <c r="AN58" i="158"/>
  <c r="AR58" i="158" s="1"/>
  <c r="AJ58" i="158"/>
  <c r="Y58" i="158"/>
  <c r="Z58" i="158" s="1"/>
  <c r="AC58" i="158" s="1"/>
  <c r="AE58" i="158" s="1"/>
  <c r="AF58" i="158" s="1"/>
  <c r="O58" i="158"/>
  <c r="P58" i="158" s="1"/>
  <c r="R58" i="158" s="1"/>
  <c r="T58" i="158" s="1"/>
  <c r="U58" i="158" s="1"/>
  <c r="E58" i="158"/>
  <c r="F58" i="158" s="1"/>
  <c r="BJ57" i="158"/>
  <c r="BI57" i="158"/>
  <c r="BB57" i="158"/>
  <c r="BD57" i="158" s="1"/>
  <c r="BF57" i="158" s="1"/>
  <c r="BG57" i="158" s="1"/>
  <c r="AR57" i="158"/>
  <c r="AN57" i="158"/>
  <c r="AQ57" i="158" s="1"/>
  <c r="AJ57" i="158"/>
  <c r="AP57" i="158" s="1"/>
  <c r="Y57" i="158"/>
  <c r="Z57" i="158" s="1"/>
  <c r="AC57" i="158" s="1"/>
  <c r="AE57" i="158" s="1"/>
  <c r="AF57" i="158" s="1"/>
  <c r="O57" i="158"/>
  <c r="P57" i="158" s="1"/>
  <c r="R57" i="158" s="1"/>
  <c r="T57" i="158" s="1"/>
  <c r="U57" i="158" s="1"/>
  <c r="H57" i="158"/>
  <c r="J57" i="158" s="1"/>
  <c r="F57" i="158"/>
  <c r="E57" i="158"/>
  <c r="BJ56" i="158"/>
  <c r="BI56" i="158"/>
  <c r="BB56" i="158"/>
  <c r="BD56" i="158" s="1"/>
  <c r="BF56" i="158" s="1"/>
  <c r="BG56" i="158" s="1"/>
  <c r="AN56" i="158"/>
  <c r="AQ56" i="158" s="1"/>
  <c r="AJ56" i="158"/>
  <c r="AP56" i="158" s="1"/>
  <c r="AC56" i="158"/>
  <c r="AE56" i="158" s="1"/>
  <c r="AF56" i="158" s="1"/>
  <c r="Z56" i="158"/>
  <c r="Y56" i="158"/>
  <c r="P56" i="158"/>
  <c r="R56" i="158" s="1"/>
  <c r="T56" i="158" s="1"/>
  <c r="U56" i="158" s="1"/>
  <c r="O56" i="158"/>
  <c r="E56" i="158"/>
  <c r="F56" i="158" s="1"/>
  <c r="H56" i="158" s="1"/>
  <c r="J56" i="158" s="1"/>
  <c r="BJ55" i="158"/>
  <c r="BI55" i="158"/>
  <c r="BB55" i="158"/>
  <c r="BD55" i="158" s="1"/>
  <c r="BF55" i="158" s="1"/>
  <c r="BG55" i="158" s="1"/>
  <c r="AP55" i="158"/>
  <c r="AN55" i="158"/>
  <c r="AJ55" i="158"/>
  <c r="AC55" i="158"/>
  <c r="AE55" i="158" s="1"/>
  <c r="AF55" i="158" s="1"/>
  <c r="Z55" i="158"/>
  <c r="Y55" i="158"/>
  <c r="T55" i="158"/>
  <c r="U55" i="158" s="1"/>
  <c r="O55" i="158"/>
  <c r="P55" i="158" s="1"/>
  <c r="R55" i="158" s="1"/>
  <c r="E55" i="158"/>
  <c r="F55" i="158" s="1"/>
  <c r="BJ54" i="158"/>
  <c r="BI54" i="158"/>
  <c r="BD54" i="158"/>
  <c r="BF54" i="158" s="1"/>
  <c r="BG54" i="158" s="1"/>
  <c r="BB54" i="158"/>
  <c r="AP54" i="158"/>
  <c r="AN54" i="158"/>
  <c r="AR54" i="158" s="1"/>
  <c r="AJ54" i="158"/>
  <c r="Y54" i="158"/>
  <c r="Z54" i="158" s="1"/>
  <c r="AC54" i="158" s="1"/>
  <c r="AE54" i="158" s="1"/>
  <c r="AF54" i="158" s="1"/>
  <c r="O54" i="158"/>
  <c r="P54" i="158" s="1"/>
  <c r="R54" i="158" s="1"/>
  <c r="T54" i="158" s="1"/>
  <c r="U54" i="158" s="1"/>
  <c r="E54" i="158"/>
  <c r="F54" i="158" s="1"/>
  <c r="H54" i="158" s="1"/>
  <c r="J54" i="158" s="1"/>
  <c r="BJ53" i="158"/>
  <c r="BI53" i="158"/>
  <c r="BD53" i="158"/>
  <c r="BF53" i="158" s="1"/>
  <c r="BG53" i="158" s="1"/>
  <c r="BB53" i="158"/>
  <c r="AN53" i="158"/>
  <c r="AJ53" i="158"/>
  <c r="AP53" i="158" s="1"/>
  <c r="Y53" i="158"/>
  <c r="Z53" i="158" s="1"/>
  <c r="AC53" i="158" s="1"/>
  <c r="AE53" i="158" s="1"/>
  <c r="AF53" i="158" s="1"/>
  <c r="O53" i="158"/>
  <c r="P53" i="158" s="1"/>
  <c r="R53" i="158" s="1"/>
  <c r="T53" i="158" s="1"/>
  <c r="U53" i="158" s="1"/>
  <c r="E53" i="158"/>
  <c r="F53" i="158" s="1"/>
  <c r="H53" i="158" s="1"/>
  <c r="J53" i="158" s="1"/>
  <c r="BJ52" i="158"/>
  <c r="BI52" i="158"/>
  <c r="BB52" i="158"/>
  <c r="BD52" i="158" s="1"/>
  <c r="BF52" i="158" s="1"/>
  <c r="BG52" i="158" s="1"/>
  <c r="AN52" i="158"/>
  <c r="AQ52" i="158" s="1"/>
  <c r="AJ52" i="158"/>
  <c r="AP52" i="158" s="1"/>
  <c r="Y52" i="158"/>
  <c r="Z52" i="158" s="1"/>
  <c r="AC52" i="158" s="1"/>
  <c r="AE52" i="158" s="1"/>
  <c r="AF52" i="158" s="1"/>
  <c r="R52" i="158"/>
  <c r="T52" i="158" s="1"/>
  <c r="U52" i="158" s="1"/>
  <c r="P52" i="158"/>
  <c r="O52" i="158"/>
  <c r="E52" i="158"/>
  <c r="F52" i="158" s="1"/>
  <c r="BJ51" i="158"/>
  <c r="BI51" i="158"/>
  <c r="BB51" i="158"/>
  <c r="BD51" i="158" s="1"/>
  <c r="BF51" i="158" s="1"/>
  <c r="BG51" i="158" s="1"/>
  <c r="AN51" i="158"/>
  <c r="AJ51" i="158"/>
  <c r="AP51" i="158" s="1"/>
  <c r="Y51" i="158"/>
  <c r="Z51" i="158" s="1"/>
  <c r="AC51" i="158" s="1"/>
  <c r="AE51" i="158" s="1"/>
  <c r="AF51" i="158" s="1"/>
  <c r="O51" i="158"/>
  <c r="P51" i="158" s="1"/>
  <c r="R51" i="158" s="1"/>
  <c r="T51" i="158" s="1"/>
  <c r="U51" i="158" s="1"/>
  <c r="E51" i="158"/>
  <c r="F51" i="158" s="1"/>
  <c r="BJ50" i="158"/>
  <c r="BI50" i="158"/>
  <c r="BD50" i="158"/>
  <c r="BF50" i="158" s="1"/>
  <c r="BG50" i="158" s="1"/>
  <c r="BB50" i="158"/>
  <c r="AP50" i="158"/>
  <c r="AN50" i="158"/>
  <c r="AR50" i="158" s="1"/>
  <c r="AJ50" i="158"/>
  <c r="Y50" i="158"/>
  <c r="Z50" i="158" s="1"/>
  <c r="AC50" i="158" s="1"/>
  <c r="AE50" i="158" s="1"/>
  <c r="AF50" i="158" s="1"/>
  <c r="U50" i="158"/>
  <c r="P50" i="158"/>
  <c r="R50" i="158" s="1"/>
  <c r="T50" i="158" s="1"/>
  <c r="O50" i="158"/>
  <c r="E50" i="158"/>
  <c r="F50" i="158" s="1"/>
  <c r="BJ49" i="158"/>
  <c r="BI49" i="158"/>
  <c r="BD49" i="158"/>
  <c r="BF49" i="158" s="1"/>
  <c r="BG49" i="158" s="1"/>
  <c r="BB49" i="158"/>
  <c r="AN49" i="158"/>
  <c r="AJ49" i="158"/>
  <c r="AP49" i="158" s="1"/>
  <c r="Y49" i="158"/>
  <c r="Z49" i="158" s="1"/>
  <c r="AC49" i="158" s="1"/>
  <c r="AE49" i="158" s="1"/>
  <c r="AF49" i="158" s="1"/>
  <c r="P49" i="158"/>
  <c r="R49" i="158" s="1"/>
  <c r="T49" i="158" s="1"/>
  <c r="U49" i="158" s="1"/>
  <c r="O49" i="158"/>
  <c r="E49" i="158"/>
  <c r="F49" i="158" s="1"/>
  <c r="H49" i="158" s="1"/>
  <c r="J49" i="158" s="1"/>
  <c r="BJ48" i="158"/>
  <c r="BI48" i="158"/>
  <c r="BB48" i="158"/>
  <c r="BD48" i="158" s="1"/>
  <c r="BF48" i="158" s="1"/>
  <c r="BG48" i="158" s="1"/>
  <c r="AN48" i="158"/>
  <c r="AQ48" i="158" s="1"/>
  <c r="AJ48" i="158"/>
  <c r="AP48" i="158" s="1"/>
  <c r="Y48" i="158"/>
  <c r="Z48" i="158" s="1"/>
  <c r="AC48" i="158" s="1"/>
  <c r="AE48" i="158" s="1"/>
  <c r="AF48" i="158" s="1"/>
  <c r="O48" i="158"/>
  <c r="P48" i="158" s="1"/>
  <c r="R48" i="158" s="1"/>
  <c r="T48" i="158" s="1"/>
  <c r="U48" i="158" s="1"/>
  <c r="J48" i="158"/>
  <c r="E48" i="158"/>
  <c r="F48" i="158" s="1"/>
  <c r="H48" i="158" s="1"/>
  <c r="BJ47" i="158"/>
  <c r="BI47" i="158"/>
  <c r="BD47" i="158"/>
  <c r="BF47" i="158" s="1"/>
  <c r="BG47" i="158" s="1"/>
  <c r="BB47" i="158"/>
  <c r="AN47" i="158"/>
  <c r="AJ47" i="158"/>
  <c r="AP47" i="158" s="1"/>
  <c r="Y47" i="158"/>
  <c r="Z47" i="158" s="1"/>
  <c r="AC47" i="158" s="1"/>
  <c r="AE47" i="158" s="1"/>
  <c r="AF47" i="158" s="1"/>
  <c r="T47" i="158"/>
  <c r="U47" i="158" s="1"/>
  <c r="O47" i="158"/>
  <c r="P47" i="158" s="1"/>
  <c r="R47" i="158" s="1"/>
  <c r="E47" i="158"/>
  <c r="F47" i="158" s="1"/>
  <c r="BJ46" i="158"/>
  <c r="BI46" i="158"/>
  <c r="BD46" i="158"/>
  <c r="BF46" i="158" s="1"/>
  <c r="BG46" i="158" s="1"/>
  <c r="BB46" i="158"/>
  <c r="AQ46" i="158"/>
  <c r="AP46" i="158"/>
  <c r="AN46" i="158"/>
  <c r="AR46" i="158" s="1"/>
  <c r="AJ46" i="158"/>
  <c r="Y46" i="158"/>
  <c r="Z46" i="158" s="1"/>
  <c r="AC46" i="158" s="1"/>
  <c r="AE46" i="158" s="1"/>
  <c r="AF46" i="158" s="1"/>
  <c r="O46" i="158"/>
  <c r="P46" i="158" s="1"/>
  <c r="R46" i="158" s="1"/>
  <c r="T46" i="158" s="1"/>
  <c r="U46" i="158" s="1"/>
  <c r="E46" i="158"/>
  <c r="F46" i="158" s="1"/>
  <c r="H46" i="158" s="1"/>
  <c r="J46" i="158" s="1"/>
  <c r="BJ45" i="158"/>
  <c r="BI45" i="158"/>
  <c r="BB45" i="158"/>
  <c r="BD45" i="158" s="1"/>
  <c r="BF45" i="158" s="1"/>
  <c r="BG45" i="158" s="1"/>
  <c r="AR45" i="158"/>
  <c r="AN45" i="158"/>
  <c r="AQ45" i="158" s="1"/>
  <c r="AJ45" i="158"/>
  <c r="AP45" i="158" s="1"/>
  <c r="Y45" i="158"/>
  <c r="Z45" i="158" s="1"/>
  <c r="AC45" i="158" s="1"/>
  <c r="AE45" i="158" s="1"/>
  <c r="AF45" i="158" s="1"/>
  <c r="O45" i="158"/>
  <c r="P45" i="158" s="1"/>
  <c r="R45" i="158" s="1"/>
  <c r="T45" i="158" s="1"/>
  <c r="U45" i="158" s="1"/>
  <c r="F45" i="158"/>
  <c r="E45" i="158"/>
  <c r="BJ44" i="158"/>
  <c r="BI44" i="158"/>
  <c r="BB44" i="158"/>
  <c r="BD44" i="158" s="1"/>
  <c r="BF44" i="158" s="1"/>
  <c r="BG44" i="158" s="1"/>
  <c r="AR44" i="158"/>
  <c r="AN44" i="158"/>
  <c r="AQ44" i="158" s="1"/>
  <c r="AJ44" i="158"/>
  <c r="AP44" i="158" s="1"/>
  <c r="AC44" i="158"/>
  <c r="AE44" i="158" s="1"/>
  <c r="AF44" i="158" s="1"/>
  <c r="Y44" i="158"/>
  <c r="Z44" i="158" s="1"/>
  <c r="P44" i="158"/>
  <c r="R44" i="158" s="1"/>
  <c r="T44" i="158" s="1"/>
  <c r="U44" i="158" s="1"/>
  <c r="O44" i="158"/>
  <c r="E44" i="158"/>
  <c r="F44" i="158" s="1"/>
  <c r="H44" i="158" s="1"/>
  <c r="J44" i="158" s="1"/>
  <c r="BJ43" i="158"/>
  <c r="BI43" i="158"/>
  <c r="BD43" i="158"/>
  <c r="BF43" i="158" s="1"/>
  <c r="BG43" i="158" s="1"/>
  <c r="BB43" i="158"/>
  <c r="AN43" i="158"/>
  <c r="AJ43" i="158"/>
  <c r="AP43" i="158" s="1"/>
  <c r="Z43" i="158"/>
  <c r="AC43" i="158" s="1"/>
  <c r="AE43" i="158" s="1"/>
  <c r="AF43" i="158" s="1"/>
  <c r="Y43" i="158"/>
  <c r="O43" i="158"/>
  <c r="P43" i="158" s="1"/>
  <c r="R43" i="158" s="1"/>
  <c r="T43" i="158" s="1"/>
  <c r="U43" i="158" s="1"/>
  <c r="E43" i="158"/>
  <c r="F43" i="158" s="1"/>
  <c r="BJ42" i="158"/>
  <c r="BI42" i="158"/>
  <c r="BB42" i="158"/>
  <c r="BD42" i="158" s="1"/>
  <c r="BF42" i="158" s="1"/>
  <c r="BG42" i="158" s="1"/>
  <c r="AP42" i="158"/>
  <c r="AN42" i="158"/>
  <c r="AJ42" i="158"/>
  <c r="AC42" i="158"/>
  <c r="AE42" i="158" s="1"/>
  <c r="AF42" i="158" s="1"/>
  <c r="Y42" i="158"/>
  <c r="Z42" i="158" s="1"/>
  <c r="O42" i="158"/>
  <c r="P42" i="158" s="1"/>
  <c r="R42" i="158" s="1"/>
  <c r="T42" i="158" s="1"/>
  <c r="U42" i="158" s="1"/>
  <c r="F42" i="158"/>
  <c r="H42" i="158" s="1"/>
  <c r="J42" i="158" s="1"/>
  <c r="E42" i="158"/>
  <c r="BJ41" i="158"/>
  <c r="BI41" i="158"/>
  <c r="BG41" i="158"/>
  <c r="BD41" i="158"/>
  <c r="BF41" i="158" s="1"/>
  <c r="BB41" i="158"/>
  <c r="AQ41" i="158"/>
  <c r="AN41" i="158"/>
  <c r="AR41" i="158" s="1"/>
  <c r="AJ41" i="158"/>
  <c r="AP41" i="158" s="1"/>
  <c r="Y41" i="158"/>
  <c r="Z41" i="158" s="1"/>
  <c r="AC41" i="158" s="1"/>
  <c r="AE41" i="158" s="1"/>
  <c r="AF41" i="158" s="1"/>
  <c r="O41" i="158"/>
  <c r="P41" i="158" s="1"/>
  <c r="R41" i="158" s="1"/>
  <c r="T41" i="158" s="1"/>
  <c r="U41" i="158" s="1"/>
  <c r="E41" i="158"/>
  <c r="F41" i="158" s="1"/>
  <c r="BJ40" i="158"/>
  <c r="BI40" i="158"/>
  <c r="BB40" i="158"/>
  <c r="BD40" i="158" s="1"/>
  <c r="BF40" i="158" s="1"/>
  <c r="BG40" i="158" s="1"/>
  <c r="AN40" i="158"/>
  <c r="AR40" i="158" s="1"/>
  <c r="AJ40" i="158"/>
  <c r="AP40" i="158" s="1"/>
  <c r="Y40" i="158"/>
  <c r="Z40" i="158" s="1"/>
  <c r="AC40" i="158" s="1"/>
  <c r="AE40" i="158" s="1"/>
  <c r="AF40" i="158" s="1"/>
  <c r="O40" i="158"/>
  <c r="P40" i="158" s="1"/>
  <c r="R40" i="158" s="1"/>
  <c r="T40" i="158" s="1"/>
  <c r="U40" i="158" s="1"/>
  <c r="E40" i="158"/>
  <c r="F40" i="158" s="1"/>
  <c r="H40" i="158" s="1"/>
  <c r="J40" i="158" s="1"/>
  <c r="BJ39" i="158"/>
  <c r="BI39" i="158"/>
  <c r="BB39" i="158"/>
  <c r="BD39" i="158" s="1"/>
  <c r="BF39" i="158" s="1"/>
  <c r="BG39" i="158" s="1"/>
  <c r="AN39" i="158"/>
  <c r="AJ39" i="158"/>
  <c r="AP39" i="158" s="1"/>
  <c r="Y39" i="158"/>
  <c r="Z39" i="158" s="1"/>
  <c r="AC39" i="158" s="1"/>
  <c r="AE39" i="158" s="1"/>
  <c r="AF39" i="158" s="1"/>
  <c r="O39" i="158"/>
  <c r="P39" i="158" s="1"/>
  <c r="R39" i="158" s="1"/>
  <c r="T39" i="158" s="1"/>
  <c r="U39" i="158" s="1"/>
  <c r="E39" i="158"/>
  <c r="F39" i="158" s="1"/>
  <c r="BJ38" i="158"/>
  <c r="BI38" i="158"/>
  <c r="BB38" i="158"/>
  <c r="BD38" i="158" s="1"/>
  <c r="BF38" i="158" s="1"/>
  <c r="BG38" i="158" s="1"/>
  <c r="AN38" i="158"/>
  <c r="AJ38" i="158"/>
  <c r="AP38" i="158" s="1"/>
  <c r="Y38" i="158"/>
  <c r="Z38" i="158" s="1"/>
  <c r="AC38" i="158" s="1"/>
  <c r="AE38" i="158" s="1"/>
  <c r="AF38" i="158" s="1"/>
  <c r="O38" i="158"/>
  <c r="P38" i="158" s="1"/>
  <c r="R38" i="158" s="1"/>
  <c r="T38" i="158" s="1"/>
  <c r="U38" i="158" s="1"/>
  <c r="E38" i="158"/>
  <c r="F38" i="158" s="1"/>
  <c r="BJ37" i="158"/>
  <c r="BI37" i="158"/>
  <c r="BD37" i="158"/>
  <c r="BF37" i="158" s="1"/>
  <c r="BG37" i="158" s="1"/>
  <c r="BB37" i="158"/>
  <c r="AR37" i="158"/>
  <c r="AQ37" i="158"/>
  <c r="AP37" i="158"/>
  <c r="AN37" i="158"/>
  <c r="AJ37" i="158"/>
  <c r="Y37" i="158"/>
  <c r="Z37" i="158" s="1"/>
  <c r="AC37" i="158" s="1"/>
  <c r="AE37" i="158" s="1"/>
  <c r="AF37" i="158" s="1"/>
  <c r="O37" i="158"/>
  <c r="P37" i="158" s="1"/>
  <c r="R37" i="158" s="1"/>
  <c r="T37" i="158" s="1"/>
  <c r="U37" i="158" s="1"/>
  <c r="E37" i="158"/>
  <c r="F37" i="158" s="1"/>
  <c r="H37" i="158" s="1"/>
  <c r="J37" i="158" s="1"/>
  <c r="BJ36" i="158"/>
  <c r="BI36" i="158"/>
  <c r="BB36" i="158"/>
  <c r="BD36" i="158" s="1"/>
  <c r="BF36" i="158" s="1"/>
  <c r="BG36" i="158" s="1"/>
  <c r="AN36" i="158"/>
  <c r="AJ36" i="158"/>
  <c r="AP36" i="158" s="1"/>
  <c r="Y36" i="158"/>
  <c r="Z36" i="158" s="1"/>
  <c r="AC36" i="158" s="1"/>
  <c r="AE36" i="158" s="1"/>
  <c r="AF36" i="158" s="1"/>
  <c r="P36" i="158"/>
  <c r="R36" i="158" s="1"/>
  <c r="T36" i="158" s="1"/>
  <c r="U36" i="158" s="1"/>
  <c r="O36" i="158"/>
  <c r="E36" i="158"/>
  <c r="F36" i="158" s="1"/>
  <c r="BJ35" i="158"/>
  <c r="BI35" i="158"/>
  <c r="BB35" i="158"/>
  <c r="BD35" i="158" s="1"/>
  <c r="BF35" i="158" s="1"/>
  <c r="BG35" i="158" s="1"/>
  <c r="AP35" i="158"/>
  <c r="AN35" i="158"/>
  <c r="AQ35" i="158" s="1"/>
  <c r="AJ35" i="158"/>
  <c r="Y35" i="158"/>
  <c r="Z35" i="158" s="1"/>
  <c r="AC35" i="158" s="1"/>
  <c r="AE35" i="158" s="1"/>
  <c r="AF35" i="158" s="1"/>
  <c r="O35" i="158"/>
  <c r="P35" i="158" s="1"/>
  <c r="R35" i="158" s="1"/>
  <c r="T35" i="158" s="1"/>
  <c r="U35" i="158" s="1"/>
  <c r="E35" i="158"/>
  <c r="F35" i="158" s="1"/>
  <c r="H35" i="158" s="1"/>
  <c r="J35" i="158" s="1"/>
  <c r="K35" i="158" s="1"/>
  <c r="BJ34" i="158"/>
  <c r="BI34" i="158"/>
  <c r="BB34" i="158"/>
  <c r="BD34" i="158" s="1"/>
  <c r="BF34" i="158" s="1"/>
  <c r="BG34" i="158" s="1"/>
  <c r="AQ34" i="158"/>
  <c r="AN34" i="158"/>
  <c r="AR34" i="158" s="1"/>
  <c r="AJ34" i="158"/>
  <c r="AP34" i="158" s="1"/>
  <c r="AS34" i="158" s="1"/>
  <c r="AU34" i="158" s="1"/>
  <c r="AW34" i="158" s="1"/>
  <c r="AX34" i="158" s="1"/>
  <c r="Y34" i="158"/>
  <c r="Z34" i="158" s="1"/>
  <c r="AC34" i="158" s="1"/>
  <c r="AE34" i="158" s="1"/>
  <c r="AF34" i="158" s="1"/>
  <c r="O34" i="158"/>
  <c r="P34" i="158" s="1"/>
  <c r="R34" i="158" s="1"/>
  <c r="T34" i="158" s="1"/>
  <c r="U34" i="158" s="1"/>
  <c r="E34" i="158"/>
  <c r="F34" i="158" s="1"/>
  <c r="BJ33" i="158"/>
  <c r="BI33" i="158"/>
  <c r="BD33" i="158"/>
  <c r="BF33" i="158" s="1"/>
  <c r="BG33" i="158" s="1"/>
  <c r="BB33" i="158"/>
  <c r="AR33" i="158"/>
  <c r="AQ33" i="158"/>
  <c r="AN33" i="158"/>
  <c r="AJ33" i="158"/>
  <c r="AP33" i="158" s="1"/>
  <c r="Y33" i="158"/>
  <c r="Z33" i="158" s="1"/>
  <c r="AC33" i="158" s="1"/>
  <c r="AE33" i="158" s="1"/>
  <c r="AF33" i="158" s="1"/>
  <c r="O33" i="158"/>
  <c r="P33" i="158" s="1"/>
  <c r="R33" i="158" s="1"/>
  <c r="T33" i="158" s="1"/>
  <c r="U33" i="158" s="1"/>
  <c r="F33" i="158"/>
  <c r="E33" i="158"/>
  <c r="BJ32" i="158"/>
  <c r="BI32" i="158"/>
  <c r="BB32" i="158"/>
  <c r="BD32" i="158" s="1"/>
  <c r="BF32" i="158" s="1"/>
  <c r="BG32" i="158" s="1"/>
  <c r="AN32" i="158"/>
  <c r="AR32" i="158" s="1"/>
  <c r="AJ32" i="158"/>
  <c r="AP32" i="158" s="1"/>
  <c r="Y32" i="158"/>
  <c r="Z32" i="158" s="1"/>
  <c r="AC32" i="158" s="1"/>
  <c r="AE32" i="158" s="1"/>
  <c r="AF32" i="158" s="1"/>
  <c r="P32" i="158"/>
  <c r="R32" i="158" s="1"/>
  <c r="T32" i="158" s="1"/>
  <c r="U32" i="158" s="1"/>
  <c r="O32" i="158"/>
  <c r="E32" i="158"/>
  <c r="F32" i="158" s="1"/>
  <c r="BJ31" i="158"/>
  <c r="BI31" i="158"/>
  <c r="BB31" i="158"/>
  <c r="BD31" i="158" s="1"/>
  <c r="BF31" i="158" s="1"/>
  <c r="BG31" i="158" s="1"/>
  <c r="AP31" i="158"/>
  <c r="AN31" i="158"/>
  <c r="AJ31" i="158"/>
  <c r="Y31" i="158"/>
  <c r="Z31" i="158" s="1"/>
  <c r="AC31" i="158" s="1"/>
  <c r="AE31" i="158" s="1"/>
  <c r="AF31" i="158" s="1"/>
  <c r="O31" i="158"/>
  <c r="P31" i="158" s="1"/>
  <c r="R31" i="158" s="1"/>
  <c r="T31" i="158" s="1"/>
  <c r="U31" i="158" s="1"/>
  <c r="E31" i="158"/>
  <c r="F31" i="158" s="1"/>
  <c r="H31" i="158" s="1"/>
  <c r="J31" i="158" s="1"/>
  <c r="BJ30" i="158"/>
  <c r="BI30" i="158"/>
  <c r="BB30" i="158"/>
  <c r="BD30" i="158" s="1"/>
  <c r="BF30" i="158" s="1"/>
  <c r="BG30" i="158" s="1"/>
  <c r="AN30" i="158"/>
  <c r="AR30" i="158" s="1"/>
  <c r="AJ30" i="158"/>
  <c r="AP30" i="158" s="1"/>
  <c r="Y30" i="158"/>
  <c r="Z30" i="158" s="1"/>
  <c r="AC30" i="158" s="1"/>
  <c r="AE30" i="158" s="1"/>
  <c r="AF30" i="158" s="1"/>
  <c r="P30" i="158"/>
  <c r="R30" i="158" s="1"/>
  <c r="T30" i="158" s="1"/>
  <c r="U30" i="158" s="1"/>
  <c r="O30" i="158"/>
  <c r="E30" i="158"/>
  <c r="F30" i="158" s="1"/>
  <c r="H30" i="158" s="1"/>
  <c r="J30" i="158" s="1"/>
  <c r="BJ29" i="158"/>
  <c r="BI29" i="158"/>
  <c r="BB29" i="158"/>
  <c r="BD29" i="158" s="1"/>
  <c r="BF29" i="158" s="1"/>
  <c r="BG29" i="158" s="1"/>
  <c r="AN29" i="158"/>
  <c r="AR29" i="158" s="1"/>
  <c r="AJ29" i="158"/>
  <c r="AP29" i="158" s="1"/>
  <c r="Y29" i="158"/>
  <c r="Z29" i="158" s="1"/>
  <c r="AC29" i="158" s="1"/>
  <c r="AE29" i="158" s="1"/>
  <c r="AF29" i="158" s="1"/>
  <c r="O29" i="158"/>
  <c r="P29" i="158" s="1"/>
  <c r="R29" i="158" s="1"/>
  <c r="T29" i="158" s="1"/>
  <c r="U29" i="158" s="1"/>
  <c r="F29" i="158"/>
  <c r="E29" i="158"/>
  <c r="BJ28" i="158"/>
  <c r="BI28" i="158"/>
  <c r="BB28" i="158"/>
  <c r="BD28" i="158" s="1"/>
  <c r="BF28" i="158" s="1"/>
  <c r="BG28" i="158" s="1"/>
  <c r="AQ28" i="158"/>
  <c r="AN28" i="158"/>
  <c r="AR28" i="158" s="1"/>
  <c r="AJ28" i="158"/>
  <c r="AP28" i="158" s="1"/>
  <c r="Y28" i="158"/>
  <c r="Z28" i="158" s="1"/>
  <c r="AC28" i="158" s="1"/>
  <c r="AE28" i="158" s="1"/>
  <c r="AF28" i="158" s="1"/>
  <c r="O28" i="158"/>
  <c r="P28" i="158" s="1"/>
  <c r="R28" i="158" s="1"/>
  <c r="T28" i="158" s="1"/>
  <c r="U28" i="158" s="1"/>
  <c r="E28" i="158"/>
  <c r="F28" i="158" s="1"/>
  <c r="H28" i="158" s="1"/>
  <c r="J28" i="158" s="1"/>
  <c r="BJ27" i="158"/>
  <c r="BI27" i="158"/>
  <c r="BB27" i="158"/>
  <c r="BD27" i="158" s="1"/>
  <c r="BF27" i="158" s="1"/>
  <c r="BG27" i="158" s="1"/>
  <c r="AN27" i="158"/>
  <c r="AJ27" i="158"/>
  <c r="AP27" i="158" s="1"/>
  <c r="Y27" i="158"/>
  <c r="Z27" i="158" s="1"/>
  <c r="AC27" i="158" s="1"/>
  <c r="AE27" i="158" s="1"/>
  <c r="AF27" i="158" s="1"/>
  <c r="O27" i="158"/>
  <c r="P27" i="158" s="1"/>
  <c r="R27" i="158" s="1"/>
  <c r="T27" i="158" s="1"/>
  <c r="U27" i="158" s="1"/>
  <c r="E27" i="158"/>
  <c r="F27" i="158" s="1"/>
  <c r="BJ26" i="158"/>
  <c r="BI26" i="158"/>
  <c r="BD26" i="158"/>
  <c r="BF26" i="158" s="1"/>
  <c r="BG26" i="158" s="1"/>
  <c r="BB26" i="158"/>
  <c r="AQ26" i="158"/>
  <c r="AP26" i="158"/>
  <c r="AN26" i="158"/>
  <c r="AR26" i="158" s="1"/>
  <c r="AJ26" i="158"/>
  <c r="Y26" i="158"/>
  <c r="Z26" i="158" s="1"/>
  <c r="AC26" i="158" s="1"/>
  <c r="AE26" i="158" s="1"/>
  <c r="AF26" i="158" s="1"/>
  <c r="O26" i="158"/>
  <c r="P26" i="158" s="1"/>
  <c r="R26" i="158" s="1"/>
  <c r="T26" i="158" s="1"/>
  <c r="U26" i="158" s="1"/>
  <c r="E26" i="158"/>
  <c r="F26" i="158" s="1"/>
  <c r="H26" i="158" s="1"/>
  <c r="J26" i="158" s="1"/>
  <c r="K26" i="158" s="1"/>
  <c r="BJ25" i="158"/>
  <c r="BI25" i="158"/>
  <c r="BB25" i="158"/>
  <c r="BD25" i="158" s="1"/>
  <c r="BF25" i="158" s="1"/>
  <c r="BG25" i="158" s="1"/>
  <c r="AN25" i="158"/>
  <c r="AR25" i="158" s="1"/>
  <c r="AJ25" i="158"/>
  <c r="AP25" i="158" s="1"/>
  <c r="Y25" i="158"/>
  <c r="Z25" i="158" s="1"/>
  <c r="AC25" i="158" s="1"/>
  <c r="AE25" i="158" s="1"/>
  <c r="AF25" i="158" s="1"/>
  <c r="O25" i="158"/>
  <c r="P25" i="158" s="1"/>
  <c r="R25" i="158" s="1"/>
  <c r="T25" i="158" s="1"/>
  <c r="U25" i="158" s="1"/>
  <c r="E25" i="158"/>
  <c r="F25" i="158" s="1"/>
  <c r="BJ24" i="158"/>
  <c r="BI24" i="158"/>
  <c r="BB24" i="158"/>
  <c r="BD24" i="158" s="1"/>
  <c r="BF24" i="158" s="1"/>
  <c r="BG24" i="158" s="1"/>
  <c r="AN24" i="158"/>
  <c r="AR24" i="158" s="1"/>
  <c r="AJ24" i="158"/>
  <c r="AP24" i="158" s="1"/>
  <c r="Y24" i="158"/>
  <c r="Z24" i="158" s="1"/>
  <c r="AC24" i="158" s="1"/>
  <c r="AE24" i="158" s="1"/>
  <c r="AF24" i="158" s="1"/>
  <c r="P24" i="158"/>
  <c r="O24" i="158"/>
  <c r="E24" i="158"/>
  <c r="F24" i="158" s="1"/>
  <c r="H24" i="158" s="1"/>
  <c r="J24" i="158" s="1"/>
  <c r="BJ23" i="158"/>
  <c r="BI23" i="158"/>
  <c r="BB23" i="158"/>
  <c r="BD23" i="158" s="1"/>
  <c r="BF23" i="158" s="1"/>
  <c r="BG23" i="158" s="1"/>
  <c r="AN23" i="158"/>
  <c r="AQ23" i="158" s="1"/>
  <c r="AJ23" i="158"/>
  <c r="AP23" i="158" s="1"/>
  <c r="Y23" i="158"/>
  <c r="Z23" i="158" s="1"/>
  <c r="AC23" i="158" s="1"/>
  <c r="AE23" i="158" s="1"/>
  <c r="AF23" i="158" s="1"/>
  <c r="O23" i="158"/>
  <c r="P23" i="158" s="1"/>
  <c r="R23" i="158" s="1"/>
  <c r="T23" i="158" s="1"/>
  <c r="U23" i="158" s="1"/>
  <c r="E23" i="158"/>
  <c r="F23" i="158" s="1"/>
  <c r="BJ22" i="158"/>
  <c r="BI22" i="158"/>
  <c r="BD22" i="158"/>
  <c r="BF22" i="158" s="1"/>
  <c r="BG22" i="158" s="1"/>
  <c r="BB22" i="158"/>
  <c r="AN22" i="158"/>
  <c r="AR22" i="158" s="1"/>
  <c r="AJ22" i="158"/>
  <c r="AP22" i="158" s="1"/>
  <c r="Y22" i="158"/>
  <c r="Z22" i="158" s="1"/>
  <c r="AC22" i="158" s="1"/>
  <c r="AE22" i="158" s="1"/>
  <c r="AF22" i="158" s="1"/>
  <c r="O22" i="158"/>
  <c r="P22" i="158" s="1"/>
  <c r="R22" i="158" s="1"/>
  <c r="T22" i="158" s="1"/>
  <c r="U22" i="158" s="1"/>
  <c r="E22" i="158"/>
  <c r="F22" i="158" s="1"/>
  <c r="BJ21" i="158"/>
  <c r="BI21" i="158"/>
  <c r="BB21" i="158"/>
  <c r="BD21" i="158" s="1"/>
  <c r="BF21" i="158" s="1"/>
  <c r="BG21" i="158" s="1"/>
  <c r="AQ21" i="158"/>
  <c r="AP21" i="158"/>
  <c r="AN21" i="158"/>
  <c r="AR21" i="158" s="1"/>
  <c r="AJ21" i="158"/>
  <c r="Y21" i="158"/>
  <c r="Z21" i="158" s="1"/>
  <c r="AC21" i="158" s="1"/>
  <c r="AE21" i="158" s="1"/>
  <c r="AF21" i="158" s="1"/>
  <c r="O21" i="158"/>
  <c r="P21" i="158" s="1"/>
  <c r="R21" i="158" s="1"/>
  <c r="T21" i="158" s="1"/>
  <c r="U21" i="158" s="1"/>
  <c r="E21" i="158"/>
  <c r="F21" i="158" s="1"/>
  <c r="H21" i="158" s="1"/>
  <c r="J21" i="158" s="1"/>
  <c r="BJ20" i="158"/>
  <c r="BI20" i="158"/>
  <c r="BB20" i="158"/>
  <c r="BD20" i="158" s="1"/>
  <c r="BF20" i="158" s="1"/>
  <c r="BG20" i="158" s="1"/>
  <c r="AN20" i="158"/>
  <c r="AR20" i="158" s="1"/>
  <c r="AJ20" i="158"/>
  <c r="AP20" i="158" s="1"/>
  <c r="Y20" i="158"/>
  <c r="Z20" i="158" s="1"/>
  <c r="AC20" i="158" s="1"/>
  <c r="AE20" i="158" s="1"/>
  <c r="AF20" i="158" s="1"/>
  <c r="AF124" i="158" s="1"/>
  <c r="O20" i="158"/>
  <c r="P20" i="158" s="1"/>
  <c r="R20" i="158" s="1"/>
  <c r="T20" i="158" s="1"/>
  <c r="U20" i="158" s="1"/>
  <c r="E20" i="158"/>
  <c r="F20" i="158" s="1"/>
  <c r="BJ19" i="158"/>
  <c r="BI19" i="158"/>
  <c r="BB19" i="158"/>
  <c r="BD19" i="158" s="1"/>
  <c r="BF19" i="158" s="1"/>
  <c r="BG19" i="158" s="1"/>
  <c r="AR19" i="158"/>
  <c r="AS19" i="158" s="1"/>
  <c r="AU19" i="158" s="1"/>
  <c r="AW19" i="158" s="1"/>
  <c r="AX19" i="158" s="1"/>
  <c r="AN19" i="158"/>
  <c r="AQ19" i="158" s="1"/>
  <c r="AJ19" i="158"/>
  <c r="AP19" i="158" s="1"/>
  <c r="Y19" i="158"/>
  <c r="Z19" i="158" s="1"/>
  <c r="AC19" i="158" s="1"/>
  <c r="AE19" i="158" s="1"/>
  <c r="AF19" i="158" s="1"/>
  <c r="O19" i="158"/>
  <c r="P19" i="158" s="1"/>
  <c r="R19" i="158" s="1"/>
  <c r="T19" i="158" s="1"/>
  <c r="U19" i="158" s="1"/>
  <c r="E19" i="158"/>
  <c r="F19" i="158" s="1"/>
  <c r="BJ18" i="158"/>
  <c r="BI18" i="158"/>
  <c r="BB18" i="158"/>
  <c r="BD18" i="158" s="1"/>
  <c r="BF18" i="158" s="1"/>
  <c r="BG18" i="158" s="1"/>
  <c r="AN18" i="158"/>
  <c r="AR18" i="158" s="1"/>
  <c r="AJ18" i="158"/>
  <c r="AP18" i="158" s="1"/>
  <c r="Y18" i="158"/>
  <c r="Z18" i="158" s="1"/>
  <c r="AC18" i="158" s="1"/>
  <c r="AE18" i="158" s="1"/>
  <c r="AF18" i="158" s="1"/>
  <c r="O18" i="158"/>
  <c r="P18" i="158" s="1"/>
  <c r="R18" i="158" s="1"/>
  <c r="T18" i="158" s="1"/>
  <c r="U18" i="158" s="1"/>
  <c r="E18" i="158"/>
  <c r="F18" i="158" s="1"/>
  <c r="BJ17" i="158"/>
  <c r="BI17" i="158"/>
  <c r="BB17" i="158"/>
  <c r="BD17" i="158" s="1"/>
  <c r="BF17" i="158" s="1"/>
  <c r="BG17" i="158" s="1"/>
  <c r="AR17" i="158"/>
  <c r="AQ17" i="158"/>
  <c r="AN17" i="158"/>
  <c r="AJ17" i="158"/>
  <c r="AP17" i="158" s="1"/>
  <c r="Z17" i="158"/>
  <c r="AC17" i="158" s="1"/>
  <c r="AE17" i="158" s="1"/>
  <c r="AF17" i="158" s="1"/>
  <c r="Y17" i="158"/>
  <c r="O17" i="158"/>
  <c r="P17" i="158" s="1"/>
  <c r="R17" i="158" s="1"/>
  <c r="T17" i="158" s="1"/>
  <c r="U17" i="158" s="1"/>
  <c r="F17" i="158"/>
  <c r="E17" i="158"/>
  <c r="BJ16" i="158"/>
  <c r="BI16" i="158"/>
  <c r="BB16" i="158"/>
  <c r="BD16" i="158" s="1"/>
  <c r="BF16" i="158" s="1"/>
  <c r="BG16" i="158" s="1"/>
  <c r="AN16" i="158"/>
  <c r="AJ16" i="158"/>
  <c r="AP16" i="158" s="1"/>
  <c r="Y16" i="158"/>
  <c r="Z16" i="158" s="1"/>
  <c r="AC16" i="158" s="1"/>
  <c r="AE16" i="158" s="1"/>
  <c r="AF16" i="158" s="1"/>
  <c r="O16" i="158"/>
  <c r="P16" i="158" s="1"/>
  <c r="R16" i="158" s="1"/>
  <c r="T16" i="158" s="1"/>
  <c r="U16" i="158" s="1"/>
  <c r="E16" i="158"/>
  <c r="F16" i="158" s="1"/>
  <c r="BJ15" i="158"/>
  <c r="BI15" i="158"/>
  <c r="BB15" i="158"/>
  <c r="AP15" i="158"/>
  <c r="AN15" i="158"/>
  <c r="AJ15" i="158"/>
  <c r="Y15" i="158"/>
  <c r="Z15" i="158" s="1"/>
  <c r="O15" i="158"/>
  <c r="E15" i="158"/>
  <c r="F15" i="158" s="1"/>
  <c r="AR23" i="158" l="1"/>
  <c r="AS26" i="158"/>
  <c r="AU26" i="158" s="1"/>
  <c r="AW26" i="158" s="1"/>
  <c r="AX26" i="158" s="1"/>
  <c r="BN26" i="158" s="1"/>
  <c r="BQ26" i="158" s="1"/>
  <c r="AQ30" i="158"/>
  <c r="AQ32" i="158"/>
  <c r="AS32" i="158" s="1"/>
  <c r="AR35" i="158"/>
  <c r="AR53" i="158"/>
  <c r="AQ53" i="158"/>
  <c r="AQ39" i="158"/>
  <c r="AR39" i="158"/>
  <c r="AS39" i="158" s="1"/>
  <c r="AU39" i="158" s="1"/>
  <c r="AW39" i="158" s="1"/>
  <c r="AX39" i="158" s="1"/>
  <c r="AQ18" i="158"/>
  <c r="AS18" i="158" s="1"/>
  <c r="AU18" i="158" s="1"/>
  <c r="AW18" i="158" s="1"/>
  <c r="AX18" i="158" s="1"/>
  <c r="AQ25" i="158"/>
  <c r="AQ29" i="158"/>
  <c r="AS29" i="158" s="1"/>
  <c r="AS41" i="158"/>
  <c r="AU41" i="158" s="1"/>
  <c r="AW41" i="158" s="1"/>
  <c r="AX41" i="158" s="1"/>
  <c r="AR49" i="158"/>
  <c r="AS49" i="158" s="1"/>
  <c r="AU49" i="158" s="1"/>
  <c r="AW49" i="158" s="1"/>
  <c r="AX49" i="158" s="1"/>
  <c r="AQ49" i="158"/>
  <c r="AQ16" i="158"/>
  <c r="AR16" i="158"/>
  <c r="AS16" i="158" s="1"/>
  <c r="AU16" i="158" s="1"/>
  <c r="AW16" i="158" s="1"/>
  <c r="AX16" i="158" s="1"/>
  <c r="AQ50" i="158"/>
  <c r="AQ54" i="158"/>
  <c r="M119" i="158"/>
  <c r="AA73" i="158"/>
  <c r="AA119" i="158" s="1"/>
  <c r="E107" i="158"/>
  <c r="AQ86" i="158"/>
  <c r="AR86" i="158"/>
  <c r="AR88" i="158"/>
  <c r="AQ88" i="158"/>
  <c r="AR91" i="158"/>
  <c r="AQ91" i="158"/>
  <c r="AS46" i="158"/>
  <c r="AU46" i="158" s="1"/>
  <c r="AW46" i="158" s="1"/>
  <c r="AX46" i="158" s="1"/>
  <c r="AR61" i="158"/>
  <c r="AS61" i="158" s="1"/>
  <c r="AU61" i="158" s="1"/>
  <c r="AW61" i="158" s="1"/>
  <c r="AX61" i="158" s="1"/>
  <c r="AQ61" i="158"/>
  <c r="AK73" i="158"/>
  <c r="BP118" i="158"/>
  <c r="BP73" i="158"/>
  <c r="BP119" i="158" s="1"/>
  <c r="F76" i="158"/>
  <c r="AR77" i="158"/>
  <c r="AR79" i="158"/>
  <c r="AS79" i="158" s="1"/>
  <c r="AU79" i="158" s="1"/>
  <c r="AW79" i="158" s="1"/>
  <c r="AX79" i="158" s="1"/>
  <c r="AS98" i="158"/>
  <c r="AU98" i="158" s="1"/>
  <c r="AW98" i="158" s="1"/>
  <c r="AX98" i="158" s="1"/>
  <c r="AQ100" i="158"/>
  <c r="AR104" i="158"/>
  <c r="AQ104" i="158"/>
  <c r="AS45" i="158"/>
  <c r="AU45" i="158" s="1"/>
  <c r="AW45" i="158" s="1"/>
  <c r="AX45" i="158" s="1"/>
  <c r="AS54" i="158"/>
  <c r="AU54" i="158" s="1"/>
  <c r="AW54" i="158" s="1"/>
  <c r="AX54" i="158" s="1"/>
  <c r="BN71" i="158"/>
  <c r="Q118" i="158"/>
  <c r="Q73" i="158"/>
  <c r="Q119" i="158" s="1"/>
  <c r="AQ94" i="158"/>
  <c r="AR94" i="158"/>
  <c r="AR96" i="158"/>
  <c r="AQ96" i="158"/>
  <c r="AR103" i="158"/>
  <c r="AQ103" i="158"/>
  <c r="Q120" i="158"/>
  <c r="AL120" i="158"/>
  <c r="BC120" i="158"/>
  <c r="AR69" i="158"/>
  <c r="AS69" i="158" s="1"/>
  <c r="AU69" i="158" s="1"/>
  <c r="AW69" i="158" s="1"/>
  <c r="AX69" i="158" s="1"/>
  <c r="AS70" i="158"/>
  <c r="AU70" i="158" s="1"/>
  <c r="AW70" i="158" s="1"/>
  <c r="AX70" i="158" s="1"/>
  <c r="M118" i="158"/>
  <c r="AY118" i="158"/>
  <c r="AY73" i="158"/>
  <c r="AY119" i="158" s="1"/>
  <c r="G120" i="158"/>
  <c r="BP120" i="158"/>
  <c r="BJ108" i="158"/>
  <c r="BB107" i="158"/>
  <c r="AS77" i="158"/>
  <c r="AU77" i="158" s="1"/>
  <c r="AW77" i="158" s="1"/>
  <c r="AX77" i="158" s="1"/>
  <c r="BJ106" i="158"/>
  <c r="AS116" i="158"/>
  <c r="AU116" i="158" s="1"/>
  <c r="AW116" i="158" s="1"/>
  <c r="AX116" i="158" s="1"/>
  <c r="J110" i="160"/>
  <c r="M110" i="160" s="1"/>
  <c r="N110" i="160" s="1"/>
  <c r="K81" i="160"/>
  <c r="J81" i="160"/>
  <c r="M81" i="160" s="1"/>
  <c r="N81" i="160" s="1"/>
  <c r="J97" i="160"/>
  <c r="M97" i="160" s="1"/>
  <c r="N97" i="160" s="1"/>
  <c r="K77" i="160"/>
  <c r="J77" i="160"/>
  <c r="M77" i="160" s="1"/>
  <c r="N77" i="160" s="1"/>
  <c r="J85" i="160"/>
  <c r="M85" i="160" s="1"/>
  <c r="N85" i="160" s="1"/>
  <c r="K93" i="160"/>
  <c r="J93" i="160"/>
  <c r="M93" i="160" s="1"/>
  <c r="N93" i="160" s="1"/>
  <c r="J89" i="160"/>
  <c r="M89" i="160" s="1"/>
  <c r="N89" i="160" s="1"/>
  <c r="C112" i="160"/>
  <c r="G67" i="160"/>
  <c r="E113" i="160"/>
  <c r="J116" i="159"/>
  <c r="N105" i="159"/>
  <c r="J17" i="161"/>
  <c r="M17" i="161" s="1"/>
  <c r="N17" i="161" s="1"/>
  <c r="J13" i="160"/>
  <c r="M13" i="160" s="1"/>
  <c r="N13" i="160" s="1"/>
  <c r="J21" i="160"/>
  <c r="M21" i="160" s="1"/>
  <c r="N21" i="160" s="1"/>
  <c r="J33" i="160"/>
  <c r="M33" i="160" s="1"/>
  <c r="N33" i="160" s="1"/>
  <c r="J41" i="160"/>
  <c r="M41" i="160" s="1"/>
  <c r="N41" i="160" s="1"/>
  <c r="K41" i="160"/>
  <c r="J45" i="160"/>
  <c r="M45" i="160" s="1"/>
  <c r="N45" i="160" s="1"/>
  <c r="J49" i="160"/>
  <c r="M49" i="160" s="1"/>
  <c r="N49" i="160" s="1"/>
  <c r="J55" i="160"/>
  <c r="M55" i="160" s="1"/>
  <c r="N55" i="160" s="1"/>
  <c r="K10" i="160"/>
  <c r="J10" i="160"/>
  <c r="M10" i="160" s="1"/>
  <c r="N10" i="160" s="1"/>
  <c r="J14" i="160"/>
  <c r="M14" i="160" s="1"/>
  <c r="N14" i="160" s="1"/>
  <c r="K18" i="160"/>
  <c r="J18" i="160"/>
  <c r="M18" i="160" s="1"/>
  <c r="N18" i="160" s="1"/>
  <c r="J22" i="160"/>
  <c r="M22" i="160" s="1"/>
  <c r="N22" i="160" s="1"/>
  <c r="K26" i="160"/>
  <c r="J26" i="160"/>
  <c r="M26" i="160" s="1"/>
  <c r="N26" i="160" s="1"/>
  <c r="J30" i="160"/>
  <c r="M30" i="160" s="1"/>
  <c r="N30" i="160" s="1"/>
  <c r="K34" i="160"/>
  <c r="J34" i="160"/>
  <c r="M34" i="160" s="1"/>
  <c r="N34" i="160" s="1"/>
  <c r="J38" i="160"/>
  <c r="M38" i="160" s="1"/>
  <c r="N38" i="160" s="1"/>
  <c r="J42" i="160"/>
  <c r="M42" i="160" s="1"/>
  <c r="N42" i="160" s="1"/>
  <c r="J46" i="160"/>
  <c r="M46" i="160" s="1"/>
  <c r="N46" i="160" s="1"/>
  <c r="K50" i="160"/>
  <c r="J50" i="160"/>
  <c r="M50" i="160" s="1"/>
  <c r="N50" i="160" s="1"/>
  <c r="J53" i="160"/>
  <c r="M53" i="160" s="1"/>
  <c r="N53" i="160" s="1"/>
  <c r="K17" i="160"/>
  <c r="J17" i="160"/>
  <c r="M17" i="160" s="1"/>
  <c r="N17" i="160" s="1"/>
  <c r="J29" i="160"/>
  <c r="M29" i="160" s="1"/>
  <c r="N29" i="160" s="1"/>
  <c r="J11" i="160"/>
  <c r="M11" i="160" s="1"/>
  <c r="N11" i="160" s="1"/>
  <c r="J15" i="160"/>
  <c r="M15" i="160" s="1"/>
  <c r="N15" i="160" s="1"/>
  <c r="K15" i="160"/>
  <c r="K19" i="160"/>
  <c r="J19" i="160"/>
  <c r="M19" i="160" s="1"/>
  <c r="N19" i="160" s="1"/>
  <c r="J23" i="160"/>
  <c r="M23" i="160" s="1"/>
  <c r="N23" i="160" s="1"/>
  <c r="K23" i="160"/>
  <c r="J27" i="160"/>
  <c r="M27" i="160" s="1"/>
  <c r="N27" i="160" s="1"/>
  <c r="J31" i="160"/>
  <c r="M31" i="160" s="1"/>
  <c r="N31" i="160" s="1"/>
  <c r="J35" i="160"/>
  <c r="M35" i="160" s="1"/>
  <c r="N35" i="160" s="1"/>
  <c r="J39" i="160"/>
  <c r="M39" i="160" s="1"/>
  <c r="N39" i="160" s="1"/>
  <c r="J43" i="160"/>
  <c r="M43" i="160" s="1"/>
  <c r="N43" i="160" s="1"/>
  <c r="J47" i="160"/>
  <c r="M47" i="160" s="1"/>
  <c r="N47" i="160" s="1"/>
  <c r="J51" i="160"/>
  <c r="M51" i="160" s="1"/>
  <c r="N51" i="160" s="1"/>
  <c r="J9" i="160"/>
  <c r="M9" i="160" s="1"/>
  <c r="N9" i="160" s="1"/>
  <c r="J25" i="160"/>
  <c r="M25" i="160" s="1"/>
  <c r="N25" i="160" s="1"/>
  <c r="J37" i="160"/>
  <c r="M37" i="160" s="1"/>
  <c r="N37" i="160" s="1"/>
  <c r="J12" i="160"/>
  <c r="M12" i="160" s="1"/>
  <c r="N12" i="160" s="1"/>
  <c r="J16" i="160"/>
  <c r="M16" i="160" s="1"/>
  <c r="N16" i="160" s="1"/>
  <c r="J20" i="160"/>
  <c r="M20" i="160" s="1"/>
  <c r="N20" i="160" s="1"/>
  <c r="J24" i="160"/>
  <c r="M24" i="160" s="1"/>
  <c r="N24" i="160" s="1"/>
  <c r="J28" i="160"/>
  <c r="M28" i="160" s="1"/>
  <c r="N28" i="160" s="1"/>
  <c r="J32" i="160"/>
  <c r="M32" i="160" s="1"/>
  <c r="N32" i="160" s="1"/>
  <c r="K36" i="160"/>
  <c r="J36" i="160"/>
  <c r="M36" i="160" s="1"/>
  <c r="N36" i="160" s="1"/>
  <c r="J40" i="160"/>
  <c r="M40" i="160" s="1"/>
  <c r="N40" i="160" s="1"/>
  <c r="J44" i="160"/>
  <c r="M44" i="160" s="1"/>
  <c r="N44" i="160" s="1"/>
  <c r="J48" i="160"/>
  <c r="M48" i="160" s="1"/>
  <c r="N48" i="160" s="1"/>
  <c r="M54" i="160"/>
  <c r="N54" i="160" s="1"/>
  <c r="K54" i="160"/>
  <c r="J78" i="160"/>
  <c r="M78" i="160" s="1"/>
  <c r="N78" i="160" s="1"/>
  <c r="H107" i="160"/>
  <c r="H108" i="160" s="1"/>
  <c r="J103" i="160"/>
  <c r="H8" i="160"/>
  <c r="J52" i="160"/>
  <c r="M52" i="160" s="1"/>
  <c r="N52" i="160" s="1"/>
  <c r="K56" i="160"/>
  <c r="K57" i="160"/>
  <c r="K58" i="160"/>
  <c r="K59" i="160"/>
  <c r="K60" i="160"/>
  <c r="K61" i="160"/>
  <c r="J64" i="160"/>
  <c r="M64" i="160" s="1"/>
  <c r="N64" i="160" s="1"/>
  <c r="J71" i="160"/>
  <c r="M71" i="160" s="1"/>
  <c r="N71" i="160" s="1"/>
  <c r="K75" i="160"/>
  <c r="J80" i="160"/>
  <c r="M80" i="160" s="1"/>
  <c r="N80" i="160" s="1"/>
  <c r="K83" i="160"/>
  <c r="J88" i="160"/>
  <c r="M88" i="160" s="1"/>
  <c r="N88" i="160" s="1"/>
  <c r="K91" i="160"/>
  <c r="J96" i="160"/>
  <c r="M96" i="160" s="1"/>
  <c r="N96" i="160" s="1"/>
  <c r="K69" i="160"/>
  <c r="K94" i="160"/>
  <c r="J94" i="160"/>
  <c r="M94" i="160" s="1"/>
  <c r="N94" i="160" s="1"/>
  <c r="G65" i="160"/>
  <c r="G101" i="160"/>
  <c r="G114" i="160" s="1"/>
  <c r="G99" i="160"/>
  <c r="H68" i="160"/>
  <c r="J70" i="160"/>
  <c r="M70" i="160" s="1"/>
  <c r="N70" i="160" s="1"/>
  <c r="J72" i="160"/>
  <c r="M72" i="160" s="1"/>
  <c r="N72" i="160" s="1"/>
  <c r="J74" i="160"/>
  <c r="M74" i="160" s="1"/>
  <c r="N74" i="160" s="1"/>
  <c r="K82" i="160"/>
  <c r="J82" i="160"/>
  <c r="M82" i="160" s="1"/>
  <c r="N82" i="160" s="1"/>
  <c r="J90" i="160"/>
  <c r="M90" i="160" s="1"/>
  <c r="N90" i="160" s="1"/>
  <c r="J98" i="160"/>
  <c r="M98" i="160" s="1"/>
  <c r="N98" i="160" s="1"/>
  <c r="F112" i="160"/>
  <c r="F100" i="160"/>
  <c r="F113" i="160" s="1"/>
  <c r="C100" i="160"/>
  <c r="C114" i="160"/>
  <c r="C115" i="160" s="1"/>
  <c r="K109" i="160"/>
  <c r="K73" i="160"/>
  <c r="J86" i="160"/>
  <c r="M86" i="160" s="1"/>
  <c r="N86" i="160" s="1"/>
  <c r="J62" i="160"/>
  <c r="M62" i="160" s="1"/>
  <c r="N62" i="160" s="1"/>
  <c r="K63" i="160"/>
  <c r="C113" i="160"/>
  <c r="J76" i="160"/>
  <c r="M76" i="160" s="1"/>
  <c r="N76" i="160" s="1"/>
  <c r="K79" i="160"/>
  <c r="K84" i="160"/>
  <c r="J84" i="160"/>
  <c r="M84" i="160" s="1"/>
  <c r="N84" i="160" s="1"/>
  <c r="K87" i="160"/>
  <c r="J92" i="160"/>
  <c r="M92" i="160" s="1"/>
  <c r="N92" i="160" s="1"/>
  <c r="K95" i="160"/>
  <c r="J105" i="160"/>
  <c r="M105" i="160" s="1"/>
  <c r="N105" i="160" s="1"/>
  <c r="M102" i="160"/>
  <c r="E112" i="160"/>
  <c r="E115" i="160" s="1"/>
  <c r="I15" i="159"/>
  <c r="L15" i="159" s="1"/>
  <c r="M15" i="159" s="1"/>
  <c r="J15" i="159"/>
  <c r="I19" i="159"/>
  <c r="L19" i="159" s="1"/>
  <c r="M19" i="159" s="1"/>
  <c r="J19" i="159"/>
  <c r="I23" i="159"/>
  <c r="L23" i="159" s="1"/>
  <c r="M23" i="159" s="1"/>
  <c r="J23" i="159"/>
  <c r="I27" i="159"/>
  <c r="L27" i="159" s="1"/>
  <c r="M27" i="159" s="1"/>
  <c r="O77" i="159"/>
  <c r="G77" i="159"/>
  <c r="O81" i="159"/>
  <c r="G81" i="159"/>
  <c r="O93" i="159"/>
  <c r="G93" i="159"/>
  <c r="O101" i="159"/>
  <c r="G101" i="159"/>
  <c r="G73" i="159"/>
  <c r="J16" i="159"/>
  <c r="J17" i="159"/>
  <c r="J20" i="159"/>
  <c r="J21" i="159"/>
  <c r="J24" i="159"/>
  <c r="J25" i="159"/>
  <c r="J28" i="159"/>
  <c r="J29" i="159"/>
  <c r="J32" i="159"/>
  <c r="J33" i="159"/>
  <c r="I34" i="159"/>
  <c r="L34" i="159" s="1"/>
  <c r="M34" i="159" s="1"/>
  <c r="J41" i="159"/>
  <c r="F107" i="159"/>
  <c r="F105" i="159"/>
  <c r="O76" i="159"/>
  <c r="G76" i="159"/>
  <c r="O84" i="159"/>
  <c r="G84" i="159"/>
  <c r="I111" i="159"/>
  <c r="L111" i="159" s="1"/>
  <c r="M111" i="159" s="1"/>
  <c r="J42" i="159"/>
  <c r="J66" i="159"/>
  <c r="F71" i="159"/>
  <c r="O85" i="159"/>
  <c r="G85" i="159"/>
  <c r="O88" i="159"/>
  <c r="G88" i="159"/>
  <c r="O96" i="159"/>
  <c r="G96" i="159"/>
  <c r="O104" i="159"/>
  <c r="G104" i="159"/>
  <c r="J49" i="159"/>
  <c r="I50" i="159"/>
  <c r="L50" i="159" s="1"/>
  <c r="M50" i="159" s="1"/>
  <c r="J57" i="159"/>
  <c r="I58" i="159"/>
  <c r="L58" i="159" s="1"/>
  <c r="M58" i="159" s="1"/>
  <c r="J65" i="159"/>
  <c r="I66" i="159"/>
  <c r="L66" i="159" s="1"/>
  <c r="M66" i="159" s="1"/>
  <c r="B118" i="159"/>
  <c r="B72" i="159"/>
  <c r="B119" i="159" s="1"/>
  <c r="G71" i="159"/>
  <c r="O80" i="159"/>
  <c r="G80" i="159"/>
  <c r="I14" i="159"/>
  <c r="I18" i="159"/>
  <c r="L18" i="159" s="1"/>
  <c r="M18" i="159" s="1"/>
  <c r="I22" i="159"/>
  <c r="L22" i="159" s="1"/>
  <c r="M22" i="159" s="1"/>
  <c r="I26" i="159"/>
  <c r="L26" i="159" s="1"/>
  <c r="M26" i="159" s="1"/>
  <c r="I30" i="159"/>
  <c r="L30" i="159" s="1"/>
  <c r="M30" i="159" s="1"/>
  <c r="J31" i="159"/>
  <c r="I32" i="159"/>
  <c r="L32" i="159" s="1"/>
  <c r="M32" i="159" s="1"/>
  <c r="J39" i="159"/>
  <c r="I40" i="159"/>
  <c r="L40" i="159" s="1"/>
  <c r="M40" i="159" s="1"/>
  <c r="J47" i="159"/>
  <c r="I48" i="159"/>
  <c r="L48" i="159" s="1"/>
  <c r="M48" i="159" s="1"/>
  <c r="J55" i="159"/>
  <c r="I56" i="159"/>
  <c r="L56" i="159" s="1"/>
  <c r="M56" i="159" s="1"/>
  <c r="J63" i="159"/>
  <c r="I64" i="159"/>
  <c r="L64" i="159" s="1"/>
  <c r="M64" i="159" s="1"/>
  <c r="G74" i="159"/>
  <c r="J75" i="159"/>
  <c r="O79" i="159"/>
  <c r="G79" i="159"/>
  <c r="O83" i="159"/>
  <c r="G83" i="159"/>
  <c r="O89" i="159"/>
  <c r="G89" i="159"/>
  <c r="O92" i="159"/>
  <c r="G92" i="159"/>
  <c r="O97" i="159"/>
  <c r="G97" i="159"/>
  <c r="O100" i="159"/>
  <c r="G100" i="159"/>
  <c r="F73" i="159"/>
  <c r="J36" i="159"/>
  <c r="J37" i="159"/>
  <c r="I38" i="159"/>
  <c r="L38" i="159" s="1"/>
  <c r="M38" i="159" s="1"/>
  <c r="J44" i="159"/>
  <c r="J45" i="159"/>
  <c r="I46" i="159"/>
  <c r="L46" i="159" s="1"/>
  <c r="M46" i="159" s="1"/>
  <c r="J52" i="159"/>
  <c r="J53" i="159"/>
  <c r="I54" i="159"/>
  <c r="L54" i="159" s="1"/>
  <c r="M54" i="159" s="1"/>
  <c r="J60" i="159"/>
  <c r="J61" i="159"/>
  <c r="I62" i="159"/>
  <c r="L62" i="159" s="1"/>
  <c r="M62" i="159" s="1"/>
  <c r="J68" i="159"/>
  <c r="J69" i="159"/>
  <c r="I70" i="159"/>
  <c r="L70" i="159" s="1"/>
  <c r="M70" i="159" s="1"/>
  <c r="O78" i="159"/>
  <c r="G78" i="159"/>
  <c r="O82" i="159"/>
  <c r="G82" i="159"/>
  <c r="I110" i="159"/>
  <c r="L110" i="159" s="1"/>
  <c r="M110" i="159" s="1"/>
  <c r="J110" i="159"/>
  <c r="D118" i="159"/>
  <c r="O87" i="159"/>
  <c r="G87" i="159"/>
  <c r="O91" i="159"/>
  <c r="G91" i="159"/>
  <c r="O95" i="159"/>
  <c r="G95" i="159"/>
  <c r="O99" i="159"/>
  <c r="G99" i="159"/>
  <c r="O103" i="159"/>
  <c r="G103" i="159"/>
  <c r="E121" i="159"/>
  <c r="D72" i="159"/>
  <c r="D119" i="159" s="1"/>
  <c r="O75" i="159"/>
  <c r="O86" i="159"/>
  <c r="G86" i="159"/>
  <c r="O90" i="159"/>
  <c r="G90" i="159"/>
  <c r="O94" i="159"/>
  <c r="G94" i="159"/>
  <c r="O98" i="159"/>
  <c r="G98" i="159"/>
  <c r="O102" i="159"/>
  <c r="G102" i="159"/>
  <c r="J109" i="159"/>
  <c r="I109" i="159"/>
  <c r="L109" i="159" s="1"/>
  <c r="M109" i="159" s="1"/>
  <c r="J112" i="159"/>
  <c r="G108" i="159"/>
  <c r="BH18" i="158"/>
  <c r="BK18" i="158" s="1"/>
  <c r="BL18" i="158" s="1"/>
  <c r="H18" i="158"/>
  <c r="J18" i="158" s="1"/>
  <c r="U124" i="158"/>
  <c r="K24" i="158"/>
  <c r="K37" i="158"/>
  <c r="BG124" i="158"/>
  <c r="H23" i="158"/>
  <c r="J23" i="158" s="1"/>
  <c r="H27" i="158"/>
  <c r="J27" i="158" s="1"/>
  <c r="K40" i="158"/>
  <c r="K44" i="158"/>
  <c r="H47" i="158"/>
  <c r="J47" i="158" s="1"/>
  <c r="H55" i="158"/>
  <c r="J55" i="158" s="1"/>
  <c r="H19" i="158"/>
  <c r="J19" i="158" s="1"/>
  <c r="BH19" i="158"/>
  <c r="BK19" i="158" s="1"/>
  <c r="BL19" i="158" s="1"/>
  <c r="K21" i="158"/>
  <c r="BQ71" i="158"/>
  <c r="BH16" i="158"/>
  <c r="BK16" i="158" s="1"/>
  <c r="BL16" i="158" s="1"/>
  <c r="H22" i="158"/>
  <c r="J22" i="158" s="1"/>
  <c r="AS23" i="158"/>
  <c r="AU23" i="158" s="1"/>
  <c r="AW23" i="158" s="1"/>
  <c r="AX23" i="158" s="1"/>
  <c r="K31" i="158"/>
  <c r="H38" i="158"/>
  <c r="J38" i="158" s="1"/>
  <c r="K42" i="158"/>
  <c r="H43" i="158"/>
  <c r="J43" i="158" s="1"/>
  <c r="AN74" i="158"/>
  <c r="AN72" i="158"/>
  <c r="AQ15" i="158"/>
  <c r="H32" i="158"/>
  <c r="J32" i="158" s="1"/>
  <c r="AR38" i="158"/>
  <c r="AQ38" i="158"/>
  <c r="K46" i="158"/>
  <c r="BN46" i="158" s="1"/>
  <c r="BM46" i="158"/>
  <c r="H58" i="158"/>
  <c r="J58" i="158" s="1"/>
  <c r="K62" i="158"/>
  <c r="AR68" i="158"/>
  <c r="AQ68" i="158"/>
  <c r="BD107" i="158"/>
  <c r="BF76" i="158"/>
  <c r="Z74" i="158"/>
  <c r="Z72" i="158"/>
  <c r="AC15" i="158"/>
  <c r="H17" i="158"/>
  <c r="J17" i="158" s="1"/>
  <c r="H20" i="158"/>
  <c r="J20" i="158" s="1"/>
  <c r="R24" i="158"/>
  <c r="T24" i="158" s="1"/>
  <c r="U24" i="158" s="1"/>
  <c r="AQ24" i="158"/>
  <c r="AS24" i="158" s="1"/>
  <c r="K28" i="158"/>
  <c r="AS28" i="158"/>
  <c r="K30" i="158"/>
  <c r="H33" i="158"/>
  <c r="J33" i="158" s="1"/>
  <c r="AR36" i="158"/>
  <c r="AQ36" i="158"/>
  <c r="AQ43" i="158"/>
  <c r="AR43" i="158"/>
  <c r="AS43" i="158" s="1"/>
  <c r="AU43" i="158" s="1"/>
  <c r="AW43" i="158" s="1"/>
  <c r="AX43" i="158" s="1"/>
  <c r="AS44" i="158"/>
  <c r="H50" i="158"/>
  <c r="J50" i="158" s="1"/>
  <c r="H52" i="158"/>
  <c r="J52" i="158" s="1"/>
  <c r="BH52" i="158"/>
  <c r="BK52" i="158" s="1"/>
  <c r="BL52" i="158" s="1"/>
  <c r="AR52" i="158"/>
  <c r="AS52" i="158" s="1"/>
  <c r="AU52" i="158" s="1"/>
  <c r="AW52" i="158" s="1"/>
  <c r="AX52" i="158" s="1"/>
  <c r="AR59" i="158"/>
  <c r="AQ59" i="158"/>
  <c r="AR60" i="158"/>
  <c r="AQ60" i="158"/>
  <c r="K103" i="158"/>
  <c r="AR15" i="158"/>
  <c r="BI74" i="158"/>
  <c r="BI72" i="158"/>
  <c r="H16" i="158"/>
  <c r="J16" i="158" s="1"/>
  <c r="AQ20" i="158"/>
  <c r="AS20" i="158" s="1"/>
  <c r="AS21" i="158"/>
  <c r="AU21" i="158" s="1"/>
  <c r="AW21" i="158" s="1"/>
  <c r="AX21" i="158" s="1"/>
  <c r="BH25" i="158"/>
  <c r="BK25" i="158" s="1"/>
  <c r="BL25" i="158" s="1"/>
  <c r="AS25" i="158"/>
  <c r="AU25" i="158" s="1"/>
  <c r="AW25" i="158" s="1"/>
  <c r="AX25" i="158" s="1"/>
  <c r="BM26" i="158"/>
  <c r="H29" i="158"/>
  <c r="J29" i="158" s="1"/>
  <c r="BH34" i="158"/>
  <c r="BK34" i="158" s="1"/>
  <c r="BL34" i="158" s="1"/>
  <c r="H34" i="158"/>
  <c r="J34" i="158" s="1"/>
  <c r="AS35" i="158"/>
  <c r="BH45" i="158"/>
  <c r="BK45" i="158" s="1"/>
  <c r="BL45" i="158" s="1"/>
  <c r="H45" i="158"/>
  <c r="J45" i="158" s="1"/>
  <c r="BH49" i="158"/>
  <c r="BK49" i="158" s="1"/>
  <c r="BL49" i="158" s="1"/>
  <c r="AR51" i="158"/>
  <c r="AS51" i="158" s="1"/>
  <c r="AU51" i="158" s="1"/>
  <c r="AW51" i="158" s="1"/>
  <c r="AX51" i="158" s="1"/>
  <c r="AQ51" i="158"/>
  <c r="K56" i="158"/>
  <c r="K57" i="158"/>
  <c r="H59" i="158"/>
  <c r="J59" i="158" s="1"/>
  <c r="F74" i="158"/>
  <c r="F72" i="158"/>
  <c r="H15" i="158"/>
  <c r="AP74" i="158"/>
  <c r="AP72" i="158"/>
  <c r="BB72" i="158"/>
  <c r="BB74" i="158"/>
  <c r="E74" i="158"/>
  <c r="E72" i="158"/>
  <c r="O72" i="158"/>
  <c r="O74" i="158"/>
  <c r="P15" i="158"/>
  <c r="AJ74" i="158"/>
  <c r="AJ72" i="158"/>
  <c r="BD15" i="158"/>
  <c r="AS17" i="158"/>
  <c r="AU17" i="158" s="1"/>
  <c r="AW17" i="158" s="1"/>
  <c r="AX17" i="158" s="1"/>
  <c r="AQ22" i="158"/>
  <c r="AS22" i="158" s="1"/>
  <c r="AU22" i="158" s="1"/>
  <c r="AW22" i="158" s="1"/>
  <c r="AX22" i="158" s="1"/>
  <c r="H25" i="158"/>
  <c r="J25" i="158" s="1"/>
  <c r="BH26" i="158"/>
  <c r="BK26" i="158" s="1"/>
  <c r="BL26" i="158" s="1"/>
  <c r="AR27" i="158"/>
  <c r="AQ27" i="158"/>
  <c r="AS30" i="158"/>
  <c r="AQ31" i="158"/>
  <c r="AR31" i="158"/>
  <c r="H36" i="158"/>
  <c r="J36" i="158" s="1"/>
  <c r="H39" i="158"/>
  <c r="J39" i="158" s="1"/>
  <c r="BH39" i="158"/>
  <c r="BK39" i="158" s="1"/>
  <c r="BL39" i="158" s="1"/>
  <c r="AQ40" i="158"/>
  <c r="AS40" i="158" s="1"/>
  <c r="AR42" i="158"/>
  <c r="AQ42" i="158"/>
  <c r="K48" i="158"/>
  <c r="BM49" i="158"/>
  <c r="K49" i="158"/>
  <c r="BN49" i="158" s="1"/>
  <c r="H51" i="158"/>
  <c r="J51" i="158" s="1"/>
  <c r="K53" i="158"/>
  <c r="K54" i="158"/>
  <c r="BN54" i="158" s="1"/>
  <c r="BM54" i="158"/>
  <c r="AS57" i="158"/>
  <c r="AU57" i="158" s="1"/>
  <c r="AW57" i="158" s="1"/>
  <c r="AX57" i="158" s="1"/>
  <c r="K66" i="158"/>
  <c r="H69" i="158"/>
  <c r="J69" i="158" s="1"/>
  <c r="BH69" i="158"/>
  <c r="BK69" i="158" s="1"/>
  <c r="BL69" i="158" s="1"/>
  <c r="O107" i="158"/>
  <c r="P76" i="158"/>
  <c r="BM77" i="158"/>
  <c r="K77" i="158"/>
  <c r="BN77" i="158" s="1"/>
  <c r="BH61" i="158"/>
  <c r="BK61" i="158" s="1"/>
  <c r="BL61" i="158" s="1"/>
  <c r="H63" i="158"/>
  <c r="J63" i="158" s="1"/>
  <c r="Y74" i="158"/>
  <c r="BJ74" i="158"/>
  <c r="BJ120" i="158" s="1"/>
  <c r="BJ72" i="158"/>
  <c r="AS37" i="158"/>
  <c r="AU37" i="158" s="1"/>
  <c r="AW37" i="158" s="1"/>
  <c r="AX37" i="158" s="1"/>
  <c r="BH41" i="158"/>
  <c r="BK41" i="158" s="1"/>
  <c r="BL41" i="158" s="1"/>
  <c r="AS50" i="158"/>
  <c r="AU50" i="158" s="1"/>
  <c r="AW50" i="158" s="1"/>
  <c r="AX50" i="158" s="1"/>
  <c r="AS53" i="158"/>
  <c r="AU53" i="158" s="1"/>
  <c r="AW53" i="158" s="1"/>
  <c r="AX53" i="158" s="1"/>
  <c r="AS58" i="158"/>
  <c r="AU58" i="158" s="1"/>
  <c r="AW58" i="158" s="1"/>
  <c r="AX58" i="158" s="1"/>
  <c r="AS62" i="158"/>
  <c r="AU62" i="158" s="1"/>
  <c r="AW62" i="158" s="1"/>
  <c r="AX62" i="158" s="1"/>
  <c r="K64" i="158"/>
  <c r="H68" i="158"/>
  <c r="J68" i="158" s="1"/>
  <c r="BM70" i="158"/>
  <c r="K70" i="158"/>
  <c r="BN70" i="158" s="1"/>
  <c r="AH73" i="158"/>
  <c r="AM118" i="158"/>
  <c r="AM73" i="158"/>
  <c r="Z75" i="158"/>
  <c r="K82" i="158"/>
  <c r="AS33" i="158"/>
  <c r="AU33" i="158" s="1"/>
  <c r="AW33" i="158" s="1"/>
  <c r="AX33" i="158" s="1"/>
  <c r="BH37" i="158"/>
  <c r="BK37" i="158" s="1"/>
  <c r="BL37" i="158" s="1"/>
  <c r="H41" i="158"/>
  <c r="J41" i="158" s="1"/>
  <c r="BH46" i="158"/>
  <c r="BK46" i="158" s="1"/>
  <c r="BL46" i="158" s="1"/>
  <c r="AR47" i="158"/>
  <c r="AQ47" i="158"/>
  <c r="AR48" i="158"/>
  <c r="AS48" i="158" s="1"/>
  <c r="BH54" i="158"/>
  <c r="BK54" i="158" s="1"/>
  <c r="BL54" i="158" s="1"/>
  <c r="AR55" i="158"/>
  <c r="AQ55" i="158"/>
  <c r="AR56" i="158"/>
  <c r="AS56" i="158" s="1"/>
  <c r="K60" i="158"/>
  <c r="BM61" i="158"/>
  <c r="K61" i="158"/>
  <c r="BN61" i="158" s="1"/>
  <c r="BH62" i="158"/>
  <c r="BK62" i="158" s="1"/>
  <c r="BL62" i="158" s="1"/>
  <c r="AR64" i="158"/>
  <c r="AQ64" i="158"/>
  <c r="AS65" i="158"/>
  <c r="AU65" i="158" s="1"/>
  <c r="AW65" i="158" s="1"/>
  <c r="AX65" i="158" s="1"/>
  <c r="BN65" i="158" s="1"/>
  <c r="AR66" i="158"/>
  <c r="AQ66" i="158"/>
  <c r="Y72" i="158"/>
  <c r="J75" i="158"/>
  <c r="BF108" i="158"/>
  <c r="BF106" i="158"/>
  <c r="BG75" i="158"/>
  <c r="K78" i="158"/>
  <c r="H85" i="158"/>
  <c r="J85" i="158" s="1"/>
  <c r="R115" i="158"/>
  <c r="R113" i="158"/>
  <c r="T109" i="158"/>
  <c r="AQ63" i="158"/>
  <c r="AS63" i="158" s="1"/>
  <c r="AS67" i="158"/>
  <c r="AU67" i="158" s="1"/>
  <c r="AW67" i="158" s="1"/>
  <c r="BH71" i="158"/>
  <c r="BK71" i="158" s="1"/>
  <c r="BL71" i="158" s="1"/>
  <c r="BO71" i="158" s="1"/>
  <c r="N118" i="158"/>
  <c r="N73" i="158"/>
  <c r="N119" i="158" s="1"/>
  <c r="AI73" i="158"/>
  <c r="O108" i="158"/>
  <c r="O106" i="158"/>
  <c r="BI106" i="158"/>
  <c r="BI108" i="158"/>
  <c r="AS78" i="158"/>
  <c r="AU78" i="158" s="1"/>
  <c r="AW78" i="158" s="1"/>
  <c r="AX78" i="158" s="1"/>
  <c r="H80" i="158"/>
  <c r="J80" i="158" s="1"/>
  <c r="H84" i="158"/>
  <c r="J84" i="158" s="1"/>
  <c r="H101" i="158"/>
  <c r="J101" i="158" s="1"/>
  <c r="AB118" i="158"/>
  <c r="AB73" i="158"/>
  <c r="AB119" i="158" s="1"/>
  <c r="C73" i="158"/>
  <c r="C119" i="158" s="1"/>
  <c r="P106" i="158"/>
  <c r="P108" i="158"/>
  <c r="R75" i="158"/>
  <c r="F107" i="158"/>
  <c r="H76" i="158"/>
  <c r="BI107" i="158"/>
  <c r="BH79" i="158"/>
  <c r="BK79" i="158" s="1"/>
  <c r="BL79" i="158" s="1"/>
  <c r="AR82" i="158"/>
  <c r="AQ82" i="158"/>
  <c r="BM71" i="158"/>
  <c r="D73" i="158"/>
  <c r="D119" i="158" s="1"/>
  <c r="X73" i="158"/>
  <c r="AL73" i="158"/>
  <c r="BD108" i="158"/>
  <c r="BD106" i="158"/>
  <c r="AR76" i="158"/>
  <c r="AQ76" i="158"/>
  <c r="BH77" i="158"/>
  <c r="BK77" i="158" s="1"/>
  <c r="BL77" i="158" s="1"/>
  <c r="BM79" i="158"/>
  <c r="K79" i="158"/>
  <c r="BN79" i="158" s="1"/>
  <c r="H81" i="158"/>
  <c r="J81" i="158" s="1"/>
  <c r="BH81" i="158"/>
  <c r="BK81" i="158" s="1"/>
  <c r="BL81" i="158" s="1"/>
  <c r="AR84" i="158"/>
  <c r="AQ84" i="158"/>
  <c r="H88" i="158"/>
  <c r="J88" i="158" s="1"/>
  <c r="H90" i="158"/>
  <c r="J90" i="158" s="1"/>
  <c r="H92" i="158"/>
  <c r="J92" i="158" s="1"/>
  <c r="H94" i="158"/>
  <c r="J94" i="158" s="1"/>
  <c r="H96" i="158"/>
  <c r="J96" i="158" s="1"/>
  <c r="AI107" i="158"/>
  <c r="AJ99" i="158"/>
  <c r="AP99" i="158" s="1"/>
  <c r="AP107" i="158" s="1"/>
  <c r="AI106" i="158"/>
  <c r="AI118" i="158" s="1"/>
  <c r="Y107" i="158"/>
  <c r="BJ107" i="158"/>
  <c r="AQ80" i="158"/>
  <c r="AS80" i="158" s="1"/>
  <c r="AU80" i="158" s="1"/>
  <c r="AW80" i="158" s="1"/>
  <c r="AX80" i="158" s="1"/>
  <c r="AS83" i="158"/>
  <c r="AU83" i="158" s="1"/>
  <c r="AW83" i="158" s="1"/>
  <c r="AX83" i="158" s="1"/>
  <c r="BN83" i="158" s="1"/>
  <c r="AR85" i="158"/>
  <c r="AQ85" i="158"/>
  <c r="H86" i="158"/>
  <c r="J86" i="158" s="1"/>
  <c r="AS86" i="158"/>
  <c r="AU86" i="158" s="1"/>
  <c r="AW86" i="158" s="1"/>
  <c r="AX86" i="158" s="1"/>
  <c r="AS90" i="158"/>
  <c r="AU90" i="158" s="1"/>
  <c r="AW90" i="158" s="1"/>
  <c r="AX90" i="158" s="1"/>
  <c r="AS94" i="158"/>
  <c r="AU94" i="158" s="1"/>
  <c r="AW94" i="158" s="1"/>
  <c r="AX94" i="158" s="1"/>
  <c r="BH98" i="158"/>
  <c r="BK98" i="158" s="1"/>
  <c r="BL98" i="158" s="1"/>
  <c r="H98" i="158"/>
  <c r="J98" i="158" s="1"/>
  <c r="K99" i="158"/>
  <c r="H104" i="158"/>
  <c r="J104" i="158" s="1"/>
  <c r="BJ114" i="158"/>
  <c r="BJ113" i="158"/>
  <c r="AN108" i="158"/>
  <c r="AS75" i="158"/>
  <c r="BB108" i="158"/>
  <c r="BB106" i="158"/>
  <c r="Z76" i="158"/>
  <c r="AJ107" i="158"/>
  <c r="AS88" i="158"/>
  <c r="AU88" i="158" s="1"/>
  <c r="AW88" i="158" s="1"/>
  <c r="AX88" i="158" s="1"/>
  <c r="AS92" i="158"/>
  <c r="AU92" i="158" s="1"/>
  <c r="AW92" i="158" s="1"/>
  <c r="AX92" i="158" s="1"/>
  <c r="AS96" i="158"/>
  <c r="AU96" i="158" s="1"/>
  <c r="AW96" i="158" s="1"/>
  <c r="AX96" i="158" s="1"/>
  <c r="K87" i="158"/>
  <c r="AS87" i="158"/>
  <c r="AU87" i="158" s="1"/>
  <c r="AW87" i="158" s="1"/>
  <c r="AX87" i="158" s="1"/>
  <c r="AR89" i="158"/>
  <c r="AS89" i="158" s="1"/>
  <c r="AU89" i="158" s="1"/>
  <c r="AW89" i="158" s="1"/>
  <c r="AX89" i="158" s="1"/>
  <c r="BN89" i="158" s="1"/>
  <c r="AQ89" i="158"/>
  <c r="K91" i="158"/>
  <c r="BN91" i="158" s="1"/>
  <c r="AS91" i="158"/>
  <c r="AU91" i="158" s="1"/>
  <c r="AW91" i="158" s="1"/>
  <c r="AX91" i="158" s="1"/>
  <c r="AR93" i="158"/>
  <c r="AQ93" i="158"/>
  <c r="K95" i="158"/>
  <c r="AS95" i="158"/>
  <c r="AU95" i="158" s="1"/>
  <c r="AW95" i="158" s="1"/>
  <c r="AX95" i="158" s="1"/>
  <c r="H97" i="158"/>
  <c r="J97" i="158" s="1"/>
  <c r="K100" i="158"/>
  <c r="W108" i="158"/>
  <c r="W120" i="158" s="1"/>
  <c r="Y105" i="158"/>
  <c r="Z105" i="158" s="1"/>
  <c r="AC105" i="158" s="1"/>
  <c r="AE105" i="158" s="1"/>
  <c r="AF105" i="158" s="1"/>
  <c r="AC115" i="158"/>
  <c r="AE109" i="158"/>
  <c r="T110" i="158"/>
  <c r="R114" i="158"/>
  <c r="K112" i="158"/>
  <c r="BN112" i="158" s="1"/>
  <c r="BM112" i="158"/>
  <c r="AL107" i="158"/>
  <c r="AL106" i="158"/>
  <c r="AL118" i="158" s="1"/>
  <c r="AS104" i="158"/>
  <c r="AU104" i="158" s="1"/>
  <c r="AW104" i="158" s="1"/>
  <c r="AX104" i="158" s="1"/>
  <c r="C108" i="158"/>
  <c r="C120" i="158" s="1"/>
  <c r="C106" i="158"/>
  <c r="C118" i="158" s="1"/>
  <c r="E105" i="158"/>
  <c r="F105" i="158" s="1"/>
  <c r="F106" i="158" s="1"/>
  <c r="AR105" i="158"/>
  <c r="AQ105" i="158"/>
  <c r="AM107" i="158"/>
  <c r="AY108" i="158"/>
  <c r="AY120" i="158" s="1"/>
  <c r="AJ115" i="158"/>
  <c r="AP109" i="158"/>
  <c r="J110" i="158"/>
  <c r="AR101" i="158"/>
  <c r="AQ101" i="158"/>
  <c r="AR102" i="158"/>
  <c r="AS102" i="158" s="1"/>
  <c r="D108" i="158"/>
  <c r="D120" i="158" s="1"/>
  <c r="D106" i="158"/>
  <c r="D118" i="158" s="1"/>
  <c r="AJ105" i="158"/>
  <c r="AP105" i="158" s="1"/>
  <c r="AP108" i="158" s="1"/>
  <c r="BF114" i="158"/>
  <c r="BG110" i="158"/>
  <c r="BG114" i="158" s="1"/>
  <c r="AI114" i="158"/>
  <c r="AI113" i="158"/>
  <c r="AS97" i="158"/>
  <c r="AU97" i="158" s="1"/>
  <c r="AW97" i="158" s="1"/>
  <c r="AX97" i="158" s="1"/>
  <c r="X106" i="158"/>
  <c r="X118" i="158" s="1"/>
  <c r="X107" i="158"/>
  <c r="AN99" i="158"/>
  <c r="AN106" i="158" s="1"/>
  <c r="AS100" i="158"/>
  <c r="AU100" i="158" s="1"/>
  <c r="AW100" i="158" s="1"/>
  <c r="AX100" i="158" s="1"/>
  <c r="BH103" i="158"/>
  <c r="BK103" i="158" s="1"/>
  <c r="BL103" i="158" s="1"/>
  <c r="AS103" i="158"/>
  <c r="AU103" i="158" s="1"/>
  <c r="AW103" i="158" s="1"/>
  <c r="AX103" i="158" s="1"/>
  <c r="P114" i="158"/>
  <c r="AP110" i="158"/>
  <c r="H111" i="158"/>
  <c r="J111" i="158" s="1"/>
  <c r="F114" i="158"/>
  <c r="W106" i="158"/>
  <c r="W118" i="158" s="1"/>
  <c r="AA106" i="158"/>
  <c r="AA118" i="158" s="1"/>
  <c r="AN115" i="158"/>
  <c r="AQ109" i="158"/>
  <c r="AN113" i="158"/>
  <c r="BB115" i="158"/>
  <c r="BB113" i="158"/>
  <c r="BD109" i="158"/>
  <c r="Y114" i="158"/>
  <c r="BH116" i="158"/>
  <c r="BK116" i="158" s="1"/>
  <c r="BL116" i="158" s="1"/>
  <c r="AH106" i="158"/>
  <c r="AH118" i="158" s="1"/>
  <c r="E115" i="158"/>
  <c r="E113" i="158"/>
  <c r="F109" i="158"/>
  <c r="Z115" i="158"/>
  <c r="Z113" i="158"/>
  <c r="AR109" i="158"/>
  <c r="Z110" i="158"/>
  <c r="AH114" i="158"/>
  <c r="AJ111" i="158"/>
  <c r="AP111" i="158" s="1"/>
  <c r="AN111" i="158"/>
  <c r="E114" i="158"/>
  <c r="O113" i="158"/>
  <c r="Y113" i="158"/>
  <c r="BM116" i="158"/>
  <c r="K116" i="158"/>
  <c r="BN116" i="158" s="1"/>
  <c r="O114" i="158"/>
  <c r="P113" i="158"/>
  <c r="BI113" i="158"/>
  <c r="AU29" i="158" l="1"/>
  <c r="AW29" i="158" s="1"/>
  <c r="AX29" i="158" s="1"/>
  <c r="BH29" i="158"/>
  <c r="BK29" i="158" s="1"/>
  <c r="BL29" i="158" s="1"/>
  <c r="AU32" i="158"/>
  <c r="AW32" i="158" s="1"/>
  <c r="AX32" i="158" s="1"/>
  <c r="BH32" i="158"/>
  <c r="BK32" i="158" s="1"/>
  <c r="BL32" i="158" s="1"/>
  <c r="BN100" i="158"/>
  <c r="BM100" i="158"/>
  <c r="BM91" i="158"/>
  <c r="BH91" i="158"/>
  <c r="BK91" i="158" s="1"/>
  <c r="BL91" i="158" s="1"/>
  <c r="E108" i="158"/>
  <c r="AS42" i="158"/>
  <c r="AU42" i="158" s="1"/>
  <c r="AW42" i="158" s="1"/>
  <c r="AX42" i="158" s="1"/>
  <c r="BH70" i="158"/>
  <c r="BK70" i="158" s="1"/>
  <c r="BL70" i="158" s="1"/>
  <c r="BM87" i="158"/>
  <c r="AQ108" i="158"/>
  <c r="BH92" i="158"/>
  <c r="BK92" i="158" s="1"/>
  <c r="BL92" i="158" s="1"/>
  <c r="AS84" i="158"/>
  <c r="AU84" i="158" s="1"/>
  <c r="AW84" i="158" s="1"/>
  <c r="AX84" i="158" s="1"/>
  <c r="BM65" i="158"/>
  <c r="AS31" i="158"/>
  <c r="AU31" i="158" s="1"/>
  <c r="AW31" i="158" s="1"/>
  <c r="AX31" i="158" s="1"/>
  <c r="BH21" i="158"/>
  <c r="BK21" i="158" s="1"/>
  <c r="BL21" i="158" s="1"/>
  <c r="AS59" i="158"/>
  <c r="BM83" i="158"/>
  <c r="BH67" i="158"/>
  <c r="BK67" i="158" s="1"/>
  <c r="BL67" i="158" s="1"/>
  <c r="BO26" i="158"/>
  <c r="K110" i="160"/>
  <c r="K92" i="160"/>
  <c r="K72" i="160"/>
  <c r="K28" i="160"/>
  <c r="K20" i="160"/>
  <c r="K12" i="160"/>
  <c r="K25" i="160"/>
  <c r="K42" i="160"/>
  <c r="K22" i="160"/>
  <c r="K14" i="160"/>
  <c r="K89" i="160"/>
  <c r="K85" i="160"/>
  <c r="K97" i="160"/>
  <c r="K43" i="160"/>
  <c r="K45" i="160"/>
  <c r="K33" i="160"/>
  <c r="K86" i="160"/>
  <c r="K98" i="160"/>
  <c r="K80" i="160"/>
  <c r="K64" i="160"/>
  <c r="K44" i="160"/>
  <c r="K24" i="160"/>
  <c r="K16" i="160"/>
  <c r="K37" i="160"/>
  <c r="K39" i="160"/>
  <c r="K29" i="160"/>
  <c r="K53" i="160"/>
  <c r="F120" i="159"/>
  <c r="J54" i="159"/>
  <c r="J27" i="159"/>
  <c r="J30" i="159"/>
  <c r="J56" i="159"/>
  <c r="J64" i="159"/>
  <c r="J62" i="159"/>
  <c r="K17" i="161"/>
  <c r="K105" i="160"/>
  <c r="F115" i="160"/>
  <c r="K90" i="160"/>
  <c r="K74" i="160"/>
  <c r="K70" i="160"/>
  <c r="G112" i="160"/>
  <c r="G66" i="160"/>
  <c r="K88" i="160"/>
  <c r="M103" i="160"/>
  <c r="N103" i="160" s="1"/>
  <c r="J107" i="160"/>
  <c r="J108" i="160" s="1"/>
  <c r="K78" i="160"/>
  <c r="K9" i="160"/>
  <c r="K47" i="160"/>
  <c r="K55" i="160"/>
  <c r="K49" i="160"/>
  <c r="K21" i="160"/>
  <c r="H67" i="160"/>
  <c r="H65" i="160"/>
  <c r="J8" i="160"/>
  <c r="K8" i="160" s="1"/>
  <c r="M107" i="160"/>
  <c r="M108" i="160" s="1"/>
  <c r="N102" i="160"/>
  <c r="M109" i="160"/>
  <c r="K76" i="160"/>
  <c r="K62" i="160"/>
  <c r="H99" i="160"/>
  <c r="J68" i="160"/>
  <c r="H101" i="160"/>
  <c r="K96" i="160"/>
  <c r="K103" i="160"/>
  <c r="K107" i="160" s="1"/>
  <c r="K108" i="160" s="1"/>
  <c r="K71" i="160"/>
  <c r="K48" i="160"/>
  <c r="K40" i="160"/>
  <c r="K32" i="160"/>
  <c r="K31" i="160"/>
  <c r="K46" i="160"/>
  <c r="K38" i="160"/>
  <c r="K30" i="160"/>
  <c r="G100" i="160"/>
  <c r="K51" i="160"/>
  <c r="K35" i="160"/>
  <c r="K27" i="160"/>
  <c r="K11" i="160"/>
  <c r="K52" i="160"/>
  <c r="K13" i="160"/>
  <c r="I99" i="159"/>
  <c r="L99" i="159" s="1"/>
  <c r="M99" i="159" s="1"/>
  <c r="I91" i="159"/>
  <c r="L91" i="159" s="1"/>
  <c r="M91" i="159" s="1"/>
  <c r="I104" i="159"/>
  <c r="L104" i="159" s="1"/>
  <c r="M104" i="159" s="1"/>
  <c r="I88" i="159"/>
  <c r="L88" i="159" s="1"/>
  <c r="M88" i="159" s="1"/>
  <c r="I102" i="159"/>
  <c r="L102" i="159" s="1"/>
  <c r="M102" i="159" s="1"/>
  <c r="I78" i="159"/>
  <c r="L78" i="159" s="1"/>
  <c r="M78" i="159" s="1"/>
  <c r="G105" i="159"/>
  <c r="G107" i="159"/>
  <c r="G120" i="159" s="1"/>
  <c r="I74" i="159"/>
  <c r="L14" i="159"/>
  <c r="I71" i="159"/>
  <c r="I73" i="159"/>
  <c r="J111" i="159"/>
  <c r="J40" i="159"/>
  <c r="J26" i="159"/>
  <c r="D121" i="159"/>
  <c r="I100" i="159"/>
  <c r="L100" i="159" s="1"/>
  <c r="M100" i="159" s="1"/>
  <c r="G72" i="159"/>
  <c r="G118" i="159"/>
  <c r="I93" i="159"/>
  <c r="L93" i="159" s="1"/>
  <c r="M93" i="159" s="1"/>
  <c r="G113" i="159"/>
  <c r="G114" i="159" s="1"/>
  <c r="I108" i="159"/>
  <c r="J108" i="159" s="1"/>
  <c r="G115" i="159"/>
  <c r="I94" i="159"/>
  <c r="L94" i="159" s="1"/>
  <c r="M94" i="159" s="1"/>
  <c r="I103" i="159"/>
  <c r="L103" i="159" s="1"/>
  <c r="M103" i="159" s="1"/>
  <c r="I95" i="159"/>
  <c r="L95" i="159" s="1"/>
  <c r="M95" i="159" s="1"/>
  <c r="I87" i="159"/>
  <c r="L87" i="159" s="1"/>
  <c r="M87" i="159" s="1"/>
  <c r="I97" i="159"/>
  <c r="L97" i="159" s="1"/>
  <c r="M97" i="159" s="1"/>
  <c r="I89" i="159"/>
  <c r="L89" i="159" s="1"/>
  <c r="M89" i="159" s="1"/>
  <c r="I79" i="159"/>
  <c r="L79" i="159" s="1"/>
  <c r="M79" i="159" s="1"/>
  <c r="J70" i="159"/>
  <c r="J38" i="159"/>
  <c r="I80" i="159"/>
  <c r="L80" i="159" s="1"/>
  <c r="M80" i="159" s="1"/>
  <c r="B121" i="159"/>
  <c r="J96" i="159"/>
  <c r="I96" i="159"/>
  <c r="L96" i="159" s="1"/>
  <c r="M96" i="159" s="1"/>
  <c r="I85" i="159"/>
  <c r="L85" i="159" s="1"/>
  <c r="M85" i="159" s="1"/>
  <c r="J58" i="159"/>
  <c r="I84" i="159"/>
  <c r="L84" i="159" s="1"/>
  <c r="M84" i="159" s="1"/>
  <c r="F106" i="159"/>
  <c r="O105" i="159"/>
  <c r="I101" i="159"/>
  <c r="L101" i="159" s="1"/>
  <c r="M101" i="159" s="1"/>
  <c r="I81" i="159"/>
  <c r="L81" i="159" s="1"/>
  <c r="M81" i="159" s="1"/>
  <c r="J50" i="159"/>
  <c r="J22" i="159"/>
  <c r="I92" i="159"/>
  <c r="L92" i="159" s="1"/>
  <c r="M92" i="159" s="1"/>
  <c r="I83" i="159"/>
  <c r="L83" i="159" s="1"/>
  <c r="M83" i="159" s="1"/>
  <c r="F118" i="159"/>
  <c r="F72" i="159"/>
  <c r="F119" i="159" s="1"/>
  <c r="I76" i="159"/>
  <c r="L76" i="159" s="1"/>
  <c r="M76" i="159" s="1"/>
  <c r="I77" i="159"/>
  <c r="L77" i="159" s="1"/>
  <c r="M77" i="159" s="1"/>
  <c r="I86" i="159"/>
  <c r="L86" i="159" s="1"/>
  <c r="M86" i="159" s="1"/>
  <c r="I98" i="159"/>
  <c r="L98" i="159" s="1"/>
  <c r="M98" i="159" s="1"/>
  <c r="I90" i="159"/>
  <c r="L90" i="159" s="1"/>
  <c r="M90" i="159" s="1"/>
  <c r="I82" i="159"/>
  <c r="L82" i="159" s="1"/>
  <c r="M82" i="159" s="1"/>
  <c r="J14" i="159"/>
  <c r="J46" i="159"/>
  <c r="J48" i="159"/>
  <c r="J34" i="159"/>
  <c r="J18" i="159"/>
  <c r="AU40" i="158"/>
  <c r="AW40" i="158" s="1"/>
  <c r="BH40" i="158"/>
  <c r="BK40" i="158" s="1"/>
  <c r="BL40" i="158" s="1"/>
  <c r="BQ89" i="158"/>
  <c r="BQ65" i="158"/>
  <c r="BQ83" i="158"/>
  <c r="AU24" i="158"/>
  <c r="AW24" i="158" s="1"/>
  <c r="AX24" i="158" s="1"/>
  <c r="BH24" i="158"/>
  <c r="BK24" i="158" s="1"/>
  <c r="BL24" i="158" s="1"/>
  <c r="AU63" i="158"/>
  <c r="AW63" i="158" s="1"/>
  <c r="AX63" i="158" s="1"/>
  <c r="BH63" i="158"/>
  <c r="BK63" i="158" s="1"/>
  <c r="BL63" i="158" s="1"/>
  <c r="AU20" i="158"/>
  <c r="AW20" i="158" s="1"/>
  <c r="AX20" i="158" s="1"/>
  <c r="AX124" i="158" s="1"/>
  <c r="BH20" i="158"/>
  <c r="BK20" i="158" s="1"/>
  <c r="BL20" i="158" s="1"/>
  <c r="Y106" i="158"/>
  <c r="Y118" i="158" s="1"/>
  <c r="BM69" i="158"/>
  <c r="K69" i="158"/>
  <c r="BN69" i="158" s="1"/>
  <c r="BQ54" i="158"/>
  <c r="BO54" i="158"/>
  <c r="BM51" i="158"/>
  <c r="K51" i="158"/>
  <c r="BN51" i="158" s="1"/>
  <c r="BM39" i="158"/>
  <c r="K39" i="158"/>
  <c r="BN39" i="158" s="1"/>
  <c r="AU30" i="158"/>
  <c r="AW30" i="158" s="1"/>
  <c r="BH30" i="158"/>
  <c r="BK30" i="158" s="1"/>
  <c r="BL30" i="158" s="1"/>
  <c r="BM25" i="158"/>
  <c r="K25" i="158"/>
  <c r="BN25" i="158" s="1"/>
  <c r="BD74" i="158"/>
  <c r="BD72" i="158"/>
  <c r="BF15" i="158"/>
  <c r="O120" i="158"/>
  <c r="BB120" i="158"/>
  <c r="H72" i="158"/>
  <c r="H74" i="158"/>
  <c r="J15" i="158"/>
  <c r="K45" i="158"/>
  <c r="BN45" i="158" s="1"/>
  <c r="BM45" i="158"/>
  <c r="AU35" i="158"/>
  <c r="AW35" i="158" s="1"/>
  <c r="BH35" i="158"/>
  <c r="BK35" i="158" s="1"/>
  <c r="BL35" i="158" s="1"/>
  <c r="K29" i="158"/>
  <c r="BN29" i="158" s="1"/>
  <c r="BI118" i="158"/>
  <c r="BI73" i="158"/>
  <c r="BI119" i="158" s="1"/>
  <c r="BM103" i="158"/>
  <c r="BH50" i="158"/>
  <c r="BK50" i="158" s="1"/>
  <c r="BL50" i="158" s="1"/>
  <c r="K33" i="158"/>
  <c r="BN33" i="158" s="1"/>
  <c r="BM33" i="158"/>
  <c r="AC72" i="158"/>
  <c r="AC74" i="158"/>
  <c r="AE15" i="158"/>
  <c r="BN62" i="158"/>
  <c r="AS38" i="158"/>
  <c r="AN120" i="158"/>
  <c r="BN42" i="158"/>
  <c r="BM31" i="158"/>
  <c r="BH23" i="158"/>
  <c r="BK23" i="158" s="1"/>
  <c r="BL23" i="158" s="1"/>
  <c r="BN37" i="158"/>
  <c r="BL124" i="158"/>
  <c r="AP115" i="158"/>
  <c r="AP113" i="158"/>
  <c r="BM90" i="158"/>
  <c r="K90" i="158"/>
  <c r="BN90" i="158" s="1"/>
  <c r="BM81" i="158"/>
  <c r="K81" i="158"/>
  <c r="BN81" i="158" s="1"/>
  <c r="AI119" i="158"/>
  <c r="BN78" i="158"/>
  <c r="AQ115" i="158"/>
  <c r="Z107" i="158"/>
  <c r="AC76" i="158"/>
  <c r="K104" i="158"/>
  <c r="BN104" i="158" s="1"/>
  <c r="BM104" i="158"/>
  <c r="BM98" i="158"/>
  <c r="K98" i="158"/>
  <c r="BN98" i="158" s="1"/>
  <c r="AS85" i="158"/>
  <c r="AJ108" i="158"/>
  <c r="K96" i="158"/>
  <c r="BN96" i="158" s="1"/>
  <c r="BM96" i="158"/>
  <c r="K92" i="158"/>
  <c r="BN92" i="158" s="1"/>
  <c r="BM92" i="158"/>
  <c r="K88" i="158"/>
  <c r="BN88" i="158" s="1"/>
  <c r="BM88" i="158"/>
  <c r="AS82" i="158"/>
  <c r="H107" i="158"/>
  <c r="J76" i="158"/>
  <c r="R108" i="158"/>
  <c r="T75" i="158"/>
  <c r="BH84" i="158"/>
  <c r="BK84" i="158" s="1"/>
  <c r="BL84" i="158" s="1"/>
  <c r="AX67" i="158"/>
  <c r="BN67" i="158" s="1"/>
  <c r="BM67" i="158"/>
  <c r="BM78" i="158"/>
  <c r="K75" i="158"/>
  <c r="BQ61" i="158"/>
  <c r="BO61" i="158"/>
  <c r="AU56" i="158"/>
  <c r="AW56" i="158" s="1"/>
  <c r="BH56" i="158"/>
  <c r="BK56" i="158" s="1"/>
  <c r="BL56" i="158" s="1"/>
  <c r="AU48" i="158"/>
  <c r="AW48" i="158" s="1"/>
  <c r="BH48" i="158"/>
  <c r="BK48" i="158" s="1"/>
  <c r="BL48" i="158" s="1"/>
  <c r="K41" i="158"/>
  <c r="BN41" i="158" s="1"/>
  <c r="BM41" i="158"/>
  <c r="Y108" i="158"/>
  <c r="Y120" i="158" s="1"/>
  <c r="AH119" i="158"/>
  <c r="K68" i="158"/>
  <c r="P107" i="158"/>
  <c r="R76" i="158"/>
  <c r="BN53" i="158"/>
  <c r="BQ49" i="158"/>
  <c r="BO49" i="158"/>
  <c r="K36" i="158"/>
  <c r="AJ73" i="158"/>
  <c r="AJ119" i="158" s="1"/>
  <c r="O118" i="158"/>
  <c r="O73" i="158"/>
  <c r="O119" i="158" s="1"/>
  <c r="BB118" i="158"/>
  <c r="BB73" i="158"/>
  <c r="BB119" i="158" s="1"/>
  <c r="F73" i="158"/>
  <c r="F119" i="158" s="1"/>
  <c r="BN57" i="158"/>
  <c r="BM34" i="158"/>
  <c r="K34" i="158"/>
  <c r="BN34" i="158" s="1"/>
  <c r="BI120" i="158"/>
  <c r="AU44" i="158"/>
  <c r="AW44" i="158" s="1"/>
  <c r="BH44" i="158"/>
  <c r="BK44" i="158" s="1"/>
  <c r="BL44" i="158" s="1"/>
  <c r="Z73" i="158"/>
  <c r="BM62" i="158"/>
  <c r="BQ46" i="158"/>
  <c r="BO46" i="158"/>
  <c r="BH33" i="158"/>
  <c r="BK33" i="158" s="1"/>
  <c r="BL33" i="158" s="1"/>
  <c r="BH17" i="158"/>
  <c r="BK17" i="158" s="1"/>
  <c r="BL17" i="158" s="1"/>
  <c r="BH43" i="158"/>
  <c r="BK43" i="158" s="1"/>
  <c r="BL43" i="158" s="1"/>
  <c r="K38" i="158"/>
  <c r="BM21" i="158"/>
  <c r="K19" i="158"/>
  <c r="BN19" i="158" s="1"/>
  <c r="BM19" i="158"/>
  <c r="K47" i="158"/>
  <c r="K23" i="158"/>
  <c r="BN23" i="158" s="1"/>
  <c r="BM23" i="158"/>
  <c r="BM18" i="158"/>
  <c r="K18" i="158"/>
  <c r="BN18" i="158" s="1"/>
  <c r="AP114" i="158"/>
  <c r="T114" i="158"/>
  <c r="U110" i="158"/>
  <c r="U114" i="158" s="1"/>
  <c r="BQ100" i="158"/>
  <c r="BQ91" i="158"/>
  <c r="BO91" i="158"/>
  <c r="AS108" i="158"/>
  <c r="AU75" i="158"/>
  <c r="Y73" i="158"/>
  <c r="Y119" i="158" s="1"/>
  <c r="BD115" i="158"/>
  <c r="BF109" i="158"/>
  <c r="BD113" i="158"/>
  <c r="AJ114" i="158"/>
  <c r="BN95" i="158"/>
  <c r="BM89" i="158"/>
  <c r="K111" i="158"/>
  <c r="J114" i="158"/>
  <c r="K110" i="158"/>
  <c r="AS105" i="158"/>
  <c r="AU105" i="158" s="1"/>
  <c r="AW105" i="158" s="1"/>
  <c r="AX105" i="158" s="1"/>
  <c r="BQ112" i="158"/>
  <c r="BO112" i="158"/>
  <c r="BM97" i="158"/>
  <c r="K97" i="158"/>
  <c r="BN97" i="158" s="1"/>
  <c r="BM95" i="158"/>
  <c r="BH89" i="158"/>
  <c r="BK89" i="158" s="1"/>
  <c r="BL89" i="158" s="1"/>
  <c r="BO89" i="158" s="1"/>
  <c r="BH95" i="158"/>
  <c r="BK95" i="158" s="1"/>
  <c r="BL95" i="158" s="1"/>
  <c r="BH87" i="158"/>
  <c r="BK87" i="158" s="1"/>
  <c r="BL87" i="158" s="1"/>
  <c r="BH104" i="158"/>
  <c r="BK104" i="158" s="1"/>
  <c r="BL104" i="158" s="1"/>
  <c r="BH86" i="158"/>
  <c r="BK86" i="158" s="1"/>
  <c r="BL86" i="158" s="1"/>
  <c r="BH96" i="158"/>
  <c r="BK96" i="158" s="1"/>
  <c r="BL96" i="158" s="1"/>
  <c r="BH88" i="158"/>
  <c r="BK88" i="158" s="1"/>
  <c r="BL88" i="158" s="1"/>
  <c r="BQ79" i="158"/>
  <c r="BO79" i="158"/>
  <c r="AS76" i="158"/>
  <c r="BH75" i="158"/>
  <c r="X119" i="158"/>
  <c r="K80" i="158"/>
  <c r="BN80" i="158" s="1"/>
  <c r="BM80" i="158"/>
  <c r="BG108" i="158"/>
  <c r="BH53" i="158"/>
  <c r="BK53" i="158" s="1"/>
  <c r="BL53" i="158" s="1"/>
  <c r="BJ118" i="158"/>
  <c r="BJ73" i="158"/>
  <c r="BJ119" i="158" s="1"/>
  <c r="K63" i="158"/>
  <c r="BN63" i="158" s="1"/>
  <c r="BM63" i="158"/>
  <c r="BM53" i="158"/>
  <c r="AS27" i="158"/>
  <c r="AJ120" i="158"/>
  <c r="E73" i="158"/>
  <c r="E119" i="158" s="1"/>
  <c r="AP73" i="158"/>
  <c r="AP119" i="158" s="1"/>
  <c r="BM57" i="158"/>
  <c r="AR72" i="158"/>
  <c r="AR74" i="158"/>
  <c r="AS15" i="158"/>
  <c r="BH57" i="158"/>
  <c r="BK57" i="158" s="1"/>
  <c r="BL57" i="158" s="1"/>
  <c r="BM52" i="158"/>
  <c r="K52" i="158"/>
  <c r="BN52" i="158" s="1"/>
  <c r="AS36" i="158"/>
  <c r="AU28" i="158"/>
  <c r="AW28" i="158" s="1"/>
  <c r="BH28" i="158"/>
  <c r="BK28" i="158" s="1"/>
  <c r="BL28" i="158" s="1"/>
  <c r="BM20" i="158"/>
  <c r="K20" i="158"/>
  <c r="BN20" i="158" s="1"/>
  <c r="AS68" i="158"/>
  <c r="K58" i="158"/>
  <c r="BN58" i="158" s="1"/>
  <c r="BM58" i="158"/>
  <c r="BM32" i="158"/>
  <c r="K32" i="158"/>
  <c r="BN32" i="158" s="1"/>
  <c r="AQ72" i="158"/>
  <c r="AQ74" i="158"/>
  <c r="AQ120" i="158" s="1"/>
  <c r="BM43" i="158"/>
  <c r="K43" i="158"/>
  <c r="BN43" i="158" s="1"/>
  <c r="K22" i="158"/>
  <c r="BN22" i="158" s="1"/>
  <c r="BM22" i="158"/>
  <c r="BN21" i="158"/>
  <c r="BN24" i="158"/>
  <c r="AJ106" i="158"/>
  <c r="AJ118" i="158" s="1"/>
  <c r="BM94" i="158"/>
  <c r="K94" i="158"/>
  <c r="BN94" i="158" s="1"/>
  <c r="AL119" i="158"/>
  <c r="K84" i="158"/>
  <c r="BN84" i="158" s="1"/>
  <c r="BM84" i="158"/>
  <c r="AP106" i="158"/>
  <c r="AP118" i="158" s="1"/>
  <c r="AR99" i="158"/>
  <c r="AS99" i="158" s="1"/>
  <c r="AQ99" i="158"/>
  <c r="AQ107" i="158" s="1"/>
  <c r="AS110" i="158"/>
  <c r="AS101" i="158"/>
  <c r="AJ113" i="158"/>
  <c r="AS93" i="158"/>
  <c r="BQ116" i="158"/>
  <c r="BO116" i="158"/>
  <c r="AC110" i="158"/>
  <c r="Z114" i="158"/>
  <c r="F115" i="158"/>
  <c r="F113" i="158"/>
  <c r="F118" i="158" s="1"/>
  <c r="H109" i="158"/>
  <c r="AE115" i="158"/>
  <c r="AF109" i="158"/>
  <c r="AQ111" i="158"/>
  <c r="AQ114" i="158" s="1"/>
  <c r="AR111" i="158"/>
  <c r="AR115" i="158"/>
  <c r="AS109" i="158"/>
  <c r="AN114" i="158"/>
  <c r="BH100" i="158"/>
  <c r="BK100" i="158" s="1"/>
  <c r="BL100" i="158" s="1"/>
  <c r="BO100" i="158" s="1"/>
  <c r="AU102" i="158"/>
  <c r="AW102" i="158" s="1"/>
  <c r="BH102" i="158"/>
  <c r="BK102" i="158" s="1"/>
  <c r="BL102" i="158" s="1"/>
  <c r="H114" i="158"/>
  <c r="H105" i="158"/>
  <c r="J105" i="158" s="1"/>
  <c r="J108" i="158" s="1"/>
  <c r="BH105" i="158"/>
  <c r="BK105" i="158" s="1"/>
  <c r="BL105" i="158" s="1"/>
  <c r="BH97" i="158"/>
  <c r="BK97" i="158" s="1"/>
  <c r="BL97" i="158" s="1"/>
  <c r="BN87" i="158"/>
  <c r="BH83" i="158"/>
  <c r="BK83" i="158" s="1"/>
  <c r="BL83" i="158" s="1"/>
  <c r="BO83" i="158" s="1"/>
  <c r="E106" i="158"/>
  <c r="E118" i="158" s="1"/>
  <c r="BM86" i="158"/>
  <c r="K86" i="158"/>
  <c r="BN86" i="158" s="1"/>
  <c r="AR108" i="158"/>
  <c r="BH94" i="158"/>
  <c r="BK94" i="158" s="1"/>
  <c r="BL94" i="158" s="1"/>
  <c r="BH90" i="158"/>
  <c r="BK90" i="158" s="1"/>
  <c r="BL90" i="158" s="1"/>
  <c r="AN107" i="158"/>
  <c r="F108" i="158"/>
  <c r="F120" i="158" s="1"/>
  <c r="BH78" i="158"/>
  <c r="BK78" i="158" s="1"/>
  <c r="BL78" i="158" s="1"/>
  <c r="AQ106" i="158"/>
  <c r="K101" i="158"/>
  <c r="BH80" i="158"/>
  <c r="BK80" i="158" s="1"/>
  <c r="BL80" i="158" s="1"/>
  <c r="T115" i="158"/>
  <c r="T113" i="158"/>
  <c r="U109" i="158"/>
  <c r="K85" i="158"/>
  <c r="AS66" i="158"/>
  <c r="AS64" i="158"/>
  <c r="AS55" i="158"/>
  <c r="AS47" i="158"/>
  <c r="Z108" i="158"/>
  <c r="Z120" i="158" s="1"/>
  <c r="AC75" i="158"/>
  <c r="Z106" i="158"/>
  <c r="Z118" i="158" s="1"/>
  <c r="AC122" i="158" s="1"/>
  <c r="AM119" i="158"/>
  <c r="BQ70" i="158"/>
  <c r="BO70" i="158"/>
  <c r="BQ77" i="158"/>
  <c r="BO77" i="158"/>
  <c r="BH51" i="158"/>
  <c r="BK51" i="158" s="1"/>
  <c r="BL51" i="158" s="1"/>
  <c r="P74" i="158"/>
  <c r="P120" i="158" s="1"/>
  <c r="P72" i="158"/>
  <c r="R15" i="158"/>
  <c r="E120" i="158"/>
  <c r="AP120" i="158"/>
  <c r="K59" i="158"/>
  <c r="BH31" i="158"/>
  <c r="BK31" i="158" s="1"/>
  <c r="BL31" i="158" s="1"/>
  <c r="BM16" i="158"/>
  <c r="K16" i="158"/>
  <c r="BN16" i="158" s="1"/>
  <c r="BN103" i="158"/>
  <c r="AS60" i="158"/>
  <c r="K50" i="158"/>
  <c r="BN50" i="158" s="1"/>
  <c r="BM50" i="158"/>
  <c r="K17" i="158"/>
  <c r="BN17" i="158" s="1"/>
  <c r="BM17" i="158"/>
  <c r="BF107" i="158"/>
  <c r="BG76" i="158"/>
  <c r="BG107" i="158" s="1"/>
  <c r="BH65" i="158"/>
  <c r="BK65" i="158" s="1"/>
  <c r="BL65" i="158" s="1"/>
  <c r="BO65" i="158" s="1"/>
  <c r="BH58" i="158"/>
  <c r="BK58" i="158" s="1"/>
  <c r="BL58" i="158" s="1"/>
  <c r="AN118" i="158"/>
  <c r="AN73" i="158"/>
  <c r="BM42" i="158"/>
  <c r="BN31" i="158"/>
  <c r="BH22" i="158"/>
  <c r="BK22" i="158" s="1"/>
  <c r="BL22" i="158" s="1"/>
  <c r="K55" i="158"/>
  <c r="K27" i="158"/>
  <c r="BM37" i="158"/>
  <c r="BM24" i="158"/>
  <c r="BH15" i="158"/>
  <c r="H108" i="158" l="1"/>
  <c r="BH42" i="158"/>
  <c r="BK42" i="158" s="1"/>
  <c r="BL42" i="158" s="1"/>
  <c r="BM29" i="158"/>
  <c r="AU59" i="158"/>
  <c r="AW59" i="158" s="1"/>
  <c r="BH59" i="158"/>
  <c r="BK59" i="158" s="1"/>
  <c r="BL59" i="158" s="1"/>
  <c r="J85" i="159"/>
  <c r="K65" i="160"/>
  <c r="K67" i="160"/>
  <c r="J99" i="160"/>
  <c r="J101" i="160"/>
  <c r="M68" i="160"/>
  <c r="H100" i="160"/>
  <c r="G113" i="160"/>
  <c r="G115" i="160" s="1"/>
  <c r="K68" i="160"/>
  <c r="N107" i="160"/>
  <c r="N109" i="160"/>
  <c r="H66" i="160"/>
  <c r="H113" i="160" s="1"/>
  <c r="H112" i="160"/>
  <c r="J65" i="160"/>
  <c r="J67" i="160"/>
  <c r="M8" i="160"/>
  <c r="H114" i="160"/>
  <c r="J115" i="159"/>
  <c r="J113" i="159"/>
  <c r="J114" i="159" s="1"/>
  <c r="I107" i="159"/>
  <c r="I120" i="159" s="1"/>
  <c r="I105" i="159"/>
  <c r="L74" i="159"/>
  <c r="J71" i="159"/>
  <c r="J73" i="159"/>
  <c r="J90" i="159"/>
  <c r="J86" i="159"/>
  <c r="J76" i="159"/>
  <c r="J83" i="159"/>
  <c r="J101" i="159"/>
  <c r="J84" i="159"/>
  <c r="J80" i="159"/>
  <c r="J79" i="159"/>
  <c r="J97" i="159"/>
  <c r="J95" i="159"/>
  <c r="J94" i="159"/>
  <c r="G119" i="159"/>
  <c r="G121" i="159" s="1"/>
  <c r="J78" i="159"/>
  <c r="J88" i="159"/>
  <c r="J91" i="159"/>
  <c r="I72" i="159"/>
  <c r="J74" i="159"/>
  <c r="I115" i="159"/>
  <c r="L108" i="159"/>
  <c r="I113" i="159"/>
  <c r="J82" i="159"/>
  <c r="J98" i="159"/>
  <c r="J77" i="159"/>
  <c r="F121" i="159"/>
  <c r="J92" i="159"/>
  <c r="J81" i="159"/>
  <c r="J89" i="159"/>
  <c r="J87" i="159"/>
  <c r="J103" i="159"/>
  <c r="J93" i="159"/>
  <c r="J100" i="159"/>
  <c r="L73" i="159"/>
  <c r="L71" i="159"/>
  <c r="M14" i="159"/>
  <c r="G106" i="159"/>
  <c r="J102" i="159"/>
  <c r="J104" i="159"/>
  <c r="J99" i="159"/>
  <c r="AU60" i="158"/>
  <c r="AW60" i="158" s="1"/>
  <c r="BH60" i="158"/>
  <c r="BK60" i="158" s="1"/>
  <c r="BL60" i="158" s="1"/>
  <c r="AU55" i="158"/>
  <c r="AW55" i="158" s="1"/>
  <c r="BH55" i="158"/>
  <c r="BK55" i="158" s="1"/>
  <c r="BL55" i="158" s="1"/>
  <c r="BQ87" i="158"/>
  <c r="BO87" i="158"/>
  <c r="AS111" i="158"/>
  <c r="AR114" i="158"/>
  <c r="BQ21" i="158"/>
  <c r="BO21" i="158"/>
  <c r="AX28" i="158"/>
  <c r="BN28" i="158" s="1"/>
  <c r="BM28" i="158"/>
  <c r="BK75" i="158"/>
  <c r="BF115" i="158"/>
  <c r="BG109" i="158"/>
  <c r="BF113" i="158"/>
  <c r="Z119" i="158"/>
  <c r="AX44" i="158"/>
  <c r="BN44" i="158" s="1"/>
  <c r="BM44" i="158"/>
  <c r="R107" i="158"/>
  <c r="T76" i="158"/>
  <c r="BQ41" i="158"/>
  <c r="BO41" i="158"/>
  <c r="AX56" i="158"/>
  <c r="BN56" i="158" s="1"/>
  <c r="BM56" i="158"/>
  <c r="R106" i="158"/>
  <c r="AU82" i="158"/>
  <c r="AW82" i="158" s="1"/>
  <c r="BH82" i="158"/>
  <c r="BK82" i="158" s="1"/>
  <c r="BL82" i="158" s="1"/>
  <c r="AQ113" i="158"/>
  <c r="BQ81" i="158"/>
  <c r="BO81" i="158"/>
  <c r="AX35" i="158"/>
  <c r="BN35" i="158" s="1"/>
  <c r="BM35" i="158"/>
  <c r="BF74" i="158"/>
  <c r="BF120" i="158" s="1"/>
  <c r="BF72" i="158"/>
  <c r="BG15" i="158"/>
  <c r="AU110" i="158"/>
  <c r="AS114" i="158"/>
  <c r="BH110" i="158"/>
  <c r="AN119" i="158"/>
  <c r="BQ103" i="158"/>
  <c r="BO103" i="158"/>
  <c r="AC108" i="158"/>
  <c r="AC120" i="158" s="1"/>
  <c r="AC106" i="158"/>
  <c r="AE75" i="158"/>
  <c r="AU64" i="158"/>
  <c r="AW64" i="158" s="1"/>
  <c r="BH64" i="158"/>
  <c r="BK64" i="158" s="1"/>
  <c r="BL64" i="158" s="1"/>
  <c r="AS115" i="158"/>
  <c r="AU109" i="158"/>
  <c r="AS113" i="158"/>
  <c r="BH109" i="158"/>
  <c r="AU93" i="158"/>
  <c r="AW93" i="158" s="1"/>
  <c r="BH93" i="158"/>
  <c r="BK93" i="158" s="1"/>
  <c r="BL93" i="158" s="1"/>
  <c r="BO84" i="158"/>
  <c r="BQ84" i="158"/>
  <c r="BQ20" i="158"/>
  <c r="BO20" i="158"/>
  <c r="AU36" i="158"/>
  <c r="AW36" i="158" s="1"/>
  <c r="BH36" i="158"/>
  <c r="BK36" i="158" s="1"/>
  <c r="BL36" i="158" s="1"/>
  <c r="AS74" i="158"/>
  <c r="AS120" i="158" s="1"/>
  <c r="AS72" i="158"/>
  <c r="AU15" i="158"/>
  <c r="AS107" i="158"/>
  <c r="AU76" i="158"/>
  <c r="BQ95" i="158"/>
  <c r="BO95" i="158"/>
  <c r="AW75" i="158"/>
  <c r="BH76" i="158"/>
  <c r="BQ57" i="158"/>
  <c r="BO57" i="158"/>
  <c r="J106" i="158"/>
  <c r="BQ67" i="158"/>
  <c r="BO67" i="158"/>
  <c r="BQ92" i="158"/>
  <c r="BO92" i="158"/>
  <c r="AU85" i="158"/>
  <c r="AW85" i="158" s="1"/>
  <c r="BH85" i="158"/>
  <c r="BK85" i="158" s="1"/>
  <c r="BL85" i="158" s="1"/>
  <c r="BQ104" i="158"/>
  <c r="BO104" i="158"/>
  <c r="AU38" i="158"/>
  <c r="AW38" i="158" s="1"/>
  <c r="BH38" i="158"/>
  <c r="BK38" i="158" s="1"/>
  <c r="BL38" i="158" s="1"/>
  <c r="AC73" i="158"/>
  <c r="H73" i="158"/>
  <c r="H119" i="158" s="1"/>
  <c r="BD118" i="158"/>
  <c r="BD73" i="158"/>
  <c r="BD119" i="158" s="1"/>
  <c r="BO51" i="158"/>
  <c r="BQ51" i="158"/>
  <c r="BQ69" i="158"/>
  <c r="BO69" i="158"/>
  <c r="BQ17" i="158"/>
  <c r="BO17" i="158"/>
  <c r="BO16" i="158"/>
  <c r="BQ16" i="158"/>
  <c r="R74" i="158"/>
  <c r="R120" i="158" s="1"/>
  <c r="T15" i="158"/>
  <c r="R72" i="158"/>
  <c r="AU66" i="158"/>
  <c r="AW66" i="158" s="1"/>
  <c r="BH66" i="158"/>
  <c r="BK66" i="158" s="1"/>
  <c r="BL66" i="158" s="1"/>
  <c r="U115" i="158"/>
  <c r="U113" i="158"/>
  <c r="AX102" i="158"/>
  <c r="BN102" i="158" s="1"/>
  <c r="BM102" i="158"/>
  <c r="AF115" i="158"/>
  <c r="H115" i="158"/>
  <c r="H120" i="158" s="1"/>
  <c r="H113" i="158"/>
  <c r="J109" i="158"/>
  <c r="AC114" i="158"/>
  <c r="AE110" i="158"/>
  <c r="AC113" i="158"/>
  <c r="AC118" i="158" s="1"/>
  <c r="AU99" i="158"/>
  <c r="AW99" i="158" s="1"/>
  <c r="BH99" i="158"/>
  <c r="BK99" i="158" s="1"/>
  <c r="BL99" i="158" s="1"/>
  <c r="BO24" i="158"/>
  <c r="BQ24" i="158"/>
  <c r="BO22" i="158"/>
  <c r="BQ22" i="158"/>
  <c r="AQ118" i="158"/>
  <c r="AQ73" i="158"/>
  <c r="AQ119" i="158" s="1"/>
  <c r="BQ58" i="158"/>
  <c r="BO58" i="158"/>
  <c r="BO52" i="158"/>
  <c r="BQ52" i="158"/>
  <c r="AR120" i="158"/>
  <c r="BQ63" i="158"/>
  <c r="BO63" i="158"/>
  <c r="H106" i="158"/>
  <c r="H118" i="158" s="1"/>
  <c r="BO80" i="158"/>
  <c r="BQ80" i="158"/>
  <c r="AR107" i="158"/>
  <c r="BQ97" i="158"/>
  <c r="BO97" i="158"/>
  <c r="AS106" i="158"/>
  <c r="BQ23" i="158"/>
  <c r="BO23" i="158"/>
  <c r="BQ19" i="158"/>
  <c r="BO19" i="158"/>
  <c r="BQ53" i="158"/>
  <c r="BO53" i="158"/>
  <c r="AX48" i="158"/>
  <c r="BN48" i="158" s="1"/>
  <c r="BM48" i="158"/>
  <c r="J107" i="158"/>
  <c r="K76" i="158"/>
  <c r="BO98" i="158"/>
  <c r="BQ98" i="158"/>
  <c r="AC107" i="158"/>
  <c r="AE76" i="158"/>
  <c r="BQ78" i="158"/>
  <c r="BO78" i="158"/>
  <c r="BQ90" i="158"/>
  <c r="BO90" i="158"/>
  <c r="BQ62" i="158"/>
  <c r="BO62" i="158"/>
  <c r="BQ29" i="158"/>
  <c r="BO29" i="158"/>
  <c r="BQ45" i="158"/>
  <c r="BO45" i="158"/>
  <c r="BD120" i="158"/>
  <c r="AX30" i="158"/>
  <c r="BN30" i="158" s="1"/>
  <c r="BM30" i="158"/>
  <c r="BH74" i="158"/>
  <c r="BK15" i="158"/>
  <c r="BO31" i="158"/>
  <c r="BQ31" i="158"/>
  <c r="BQ50" i="158"/>
  <c r="BO50" i="158"/>
  <c r="P118" i="158"/>
  <c r="P73" i="158"/>
  <c r="P119" i="158" s="1"/>
  <c r="AU47" i="158"/>
  <c r="AW47" i="158" s="1"/>
  <c r="BH47" i="158"/>
  <c r="BK47" i="158" s="1"/>
  <c r="BL47" i="158" s="1"/>
  <c r="BQ86" i="158"/>
  <c r="BO86" i="158"/>
  <c r="BM105" i="158"/>
  <c r="K105" i="158"/>
  <c r="BN105" i="158" s="1"/>
  <c r="AR113" i="158"/>
  <c r="AU101" i="158"/>
  <c r="AW101" i="158" s="1"/>
  <c r="BH101" i="158"/>
  <c r="BK101" i="158" s="1"/>
  <c r="BL101" i="158" s="1"/>
  <c r="BQ94" i="158"/>
  <c r="BO94" i="158"/>
  <c r="BQ43" i="158"/>
  <c r="BO43" i="158"/>
  <c r="BQ32" i="158"/>
  <c r="BO32" i="158"/>
  <c r="AU68" i="158"/>
  <c r="AW68" i="158" s="1"/>
  <c r="BH68" i="158"/>
  <c r="BK68" i="158" s="1"/>
  <c r="BL68" i="158" s="1"/>
  <c r="AR73" i="158"/>
  <c r="AR119" i="158" s="1"/>
  <c r="AU27" i="158"/>
  <c r="AW27" i="158" s="1"/>
  <c r="BH27" i="158"/>
  <c r="BK27" i="158" s="1"/>
  <c r="BL27" i="158" s="1"/>
  <c r="BG106" i="158"/>
  <c r="AR106" i="158"/>
  <c r="AR118" i="158" s="1"/>
  <c r="K114" i="158"/>
  <c r="BO18" i="158"/>
  <c r="BQ18" i="158"/>
  <c r="BO34" i="158"/>
  <c r="BQ34" i="158"/>
  <c r="T108" i="158"/>
  <c r="T106" i="158"/>
  <c r="U75" i="158"/>
  <c r="BQ88" i="158"/>
  <c r="BO88" i="158"/>
  <c r="BQ96" i="158"/>
  <c r="BO96" i="158"/>
  <c r="BQ37" i="158"/>
  <c r="BO37" i="158"/>
  <c r="BO42" i="158"/>
  <c r="BQ42" i="158"/>
  <c r="AE74" i="158"/>
  <c r="AE72" i="158"/>
  <c r="AF15" i="158"/>
  <c r="BQ33" i="158"/>
  <c r="BO33" i="158"/>
  <c r="J72" i="158"/>
  <c r="J74" i="158"/>
  <c r="K15" i="158"/>
  <c r="BQ25" i="158"/>
  <c r="BO25" i="158"/>
  <c r="BQ39" i="158"/>
  <c r="BO39" i="158"/>
  <c r="AX40" i="158"/>
  <c r="BN40" i="158" s="1"/>
  <c r="BM40" i="158"/>
  <c r="K106" i="158" l="1"/>
  <c r="BH106" i="158"/>
  <c r="AX59" i="158"/>
  <c r="BN59" i="158" s="1"/>
  <c r="BM59" i="158"/>
  <c r="H115" i="160"/>
  <c r="J114" i="160"/>
  <c r="J100" i="160"/>
  <c r="J66" i="160"/>
  <c r="J113" i="160" s="1"/>
  <c r="J112" i="160"/>
  <c r="M67" i="160"/>
  <c r="M65" i="160"/>
  <c r="N8" i="160"/>
  <c r="K101" i="160"/>
  <c r="K114" i="160" s="1"/>
  <c r="K99" i="160"/>
  <c r="K100" i="160" s="1"/>
  <c r="N108" i="160"/>
  <c r="M101" i="160"/>
  <c r="M99" i="160"/>
  <c r="N68" i="160"/>
  <c r="K112" i="160"/>
  <c r="K66" i="160"/>
  <c r="K113" i="160" s="1"/>
  <c r="L72" i="159"/>
  <c r="J107" i="159"/>
  <c r="J105" i="159"/>
  <c r="J106" i="159" s="1"/>
  <c r="J72" i="159"/>
  <c r="I114" i="159"/>
  <c r="L107" i="159"/>
  <c r="L105" i="159"/>
  <c r="L106" i="159" s="1"/>
  <c r="M74" i="159"/>
  <c r="M73" i="159"/>
  <c r="M71" i="159"/>
  <c r="J120" i="159"/>
  <c r="L113" i="159"/>
  <c r="L114" i="159" s="1"/>
  <c r="M108" i="159"/>
  <c r="L115" i="159"/>
  <c r="L120" i="159" s="1"/>
  <c r="I118" i="159"/>
  <c r="I106" i="159"/>
  <c r="I119" i="159" s="1"/>
  <c r="K74" i="158"/>
  <c r="K72" i="158"/>
  <c r="AX99" i="158"/>
  <c r="BN99" i="158" s="1"/>
  <c r="BM99" i="158"/>
  <c r="J115" i="158"/>
  <c r="J113" i="158"/>
  <c r="K109" i="158"/>
  <c r="T72" i="158"/>
  <c r="T74" i="158"/>
  <c r="T120" i="158" s="1"/>
  <c r="U15" i="158"/>
  <c r="AC119" i="158"/>
  <c r="AU72" i="158"/>
  <c r="AU74" i="158"/>
  <c r="AW15" i="158"/>
  <c r="AX36" i="158"/>
  <c r="BN36" i="158" s="1"/>
  <c r="BM36" i="158"/>
  <c r="AX64" i="158"/>
  <c r="BN64" i="158" s="1"/>
  <c r="BM64" i="158"/>
  <c r="BH114" i="158"/>
  <c r="BK110" i="158"/>
  <c r="BF118" i="158"/>
  <c r="BF73" i="158"/>
  <c r="BF119" i="158" s="1"/>
  <c r="BQ35" i="158"/>
  <c r="BO35" i="158"/>
  <c r="BQ56" i="158"/>
  <c r="BO56" i="158"/>
  <c r="T107" i="158"/>
  <c r="U76" i="158"/>
  <c r="U107" i="158" s="1"/>
  <c r="U108" i="158"/>
  <c r="AX27" i="158"/>
  <c r="BN27" i="158" s="1"/>
  <c r="BM27" i="158"/>
  <c r="AX68" i="158"/>
  <c r="BN68" i="158" s="1"/>
  <c r="BM68" i="158"/>
  <c r="AX101" i="158"/>
  <c r="BN101" i="158" s="1"/>
  <c r="BM101" i="158"/>
  <c r="AX47" i="158"/>
  <c r="BN47" i="158" s="1"/>
  <c r="BM47" i="158"/>
  <c r="BK72" i="158"/>
  <c r="BK74" i="158"/>
  <c r="BL15" i="158"/>
  <c r="AW108" i="158"/>
  <c r="AX75" i="158"/>
  <c r="AS118" i="158"/>
  <c r="AS73" i="158"/>
  <c r="AS119" i="158" s="1"/>
  <c r="AU115" i="158"/>
  <c r="AW109" i="158"/>
  <c r="BM109" i="158" s="1"/>
  <c r="AE106" i="158"/>
  <c r="AE108" i="158"/>
  <c r="AE120" i="158" s="1"/>
  <c r="AF75" i="158"/>
  <c r="BM75" i="158"/>
  <c r="K108" i="158"/>
  <c r="BK108" i="158"/>
  <c r="BL75" i="158"/>
  <c r="BQ28" i="158"/>
  <c r="BO28" i="158"/>
  <c r="AU111" i="158"/>
  <c r="AW111" i="158" s="1"/>
  <c r="BH111" i="158"/>
  <c r="BK111" i="158" s="1"/>
  <c r="BL111" i="158" s="1"/>
  <c r="AX55" i="158"/>
  <c r="BN55" i="158" s="1"/>
  <c r="BM55" i="158"/>
  <c r="AF74" i="158"/>
  <c r="AF72" i="158"/>
  <c r="BO30" i="158"/>
  <c r="BQ30" i="158"/>
  <c r="AE107" i="158"/>
  <c r="AF76" i="158"/>
  <c r="AF107" i="158" s="1"/>
  <c r="BQ48" i="158"/>
  <c r="BO48" i="158"/>
  <c r="AF110" i="158"/>
  <c r="AE114" i="158"/>
  <c r="AE113" i="158"/>
  <c r="BQ102" i="158"/>
  <c r="BO102" i="158"/>
  <c r="AX66" i="158"/>
  <c r="BN66" i="158" s="1"/>
  <c r="BM66" i="158"/>
  <c r="AU106" i="158"/>
  <c r="AU107" i="158"/>
  <c r="AW76" i="158"/>
  <c r="AW106" i="158" s="1"/>
  <c r="AX93" i="158"/>
  <c r="BN93" i="158" s="1"/>
  <c r="BM93" i="158"/>
  <c r="AW110" i="158"/>
  <c r="AX82" i="158"/>
  <c r="BN82" i="158" s="1"/>
  <c r="BM82" i="158"/>
  <c r="J120" i="158"/>
  <c r="BO40" i="158"/>
  <c r="BQ40" i="158"/>
  <c r="J118" i="158"/>
  <c r="J73" i="158"/>
  <c r="J119" i="158" s="1"/>
  <c r="AE118" i="158"/>
  <c r="AE73" i="158"/>
  <c r="BQ105" i="158"/>
  <c r="BO105" i="158"/>
  <c r="BH72" i="158"/>
  <c r="K107" i="158"/>
  <c r="R118" i="158"/>
  <c r="R73" i="158"/>
  <c r="R119" i="158" s="1"/>
  <c r="AX38" i="158"/>
  <c r="BN38" i="158" s="1"/>
  <c r="BM38" i="158"/>
  <c r="AX85" i="158"/>
  <c r="BN85" i="158" s="1"/>
  <c r="BM85" i="158"/>
  <c r="BH107" i="158"/>
  <c r="BK76" i="158"/>
  <c r="BK106" i="158" s="1"/>
  <c r="AU108" i="158"/>
  <c r="BH113" i="158"/>
  <c r="BH115" i="158"/>
  <c r="BK109" i="158"/>
  <c r="BG72" i="158"/>
  <c r="BG74" i="158"/>
  <c r="BG120" i="158" s="1"/>
  <c r="BQ44" i="158"/>
  <c r="BO44" i="158"/>
  <c r="BG115" i="158"/>
  <c r="BG113" i="158"/>
  <c r="BH108" i="158"/>
  <c r="BH120" i="158" s="1"/>
  <c r="AX60" i="158"/>
  <c r="BN60" i="158" s="1"/>
  <c r="BM60" i="158"/>
  <c r="BQ59" i="158" l="1"/>
  <c r="BO59" i="158"/>
  <c r="J115" i="160"/>
  <c r="K115" i="160"/>
  <c r="M112" i="160"/>
  <c r="M66" i="160"/>
  <c r="N99" i="160"/>
  <c r="N101" i="160"/>
  <c r="M114" i="160"/>
  <c r="N67" i="160"/>
  <c r="N114" i="160" s="1"/>
  <c r="N65" i="160"/>
  <c r="M100" i="160"/>
  <c r="M107" i="159"/>
  <c r="M105" i="159"/>
  <c r="M106" i="159" s="1"/>
  <c r="M72" i="159"/>
  <c r="J119" i="159"/>
  <c r="L119" i="159"/>
  <c r="I121" i="159"/>
  <c r="M113" i="159"/>
  <c r="M114" i="159" s="1"/>
  <c r="M115" i="159"/>
  <c r="M120" i="159"/>
  <c r="J118" i="159"/>
  <c r="J121" i="159" s="1"/>
  <c r="L118" i="159"/>
  <c r="L121" i="159" s="1"/>
  <c r="BM115" i="158"/>
  <c r="AX111" i="158"/>
  <c r="BN111" i="158" s="1"/>
  <c r="BM111" i="158"/>
  <c r="AF108" i="158"/>
  <c r="AF106" i="158"/>
  <c r="AU113" i="158"/>
  <c r="AU118" i="158" s="1"/>
  <c r="AX108" i="158"/>
  <c r="BK114" i="158"/>
  <c r="BL110" i="158"/>
  <c r="BL114" i="158" s="1"/>
  <c r="AU73" i="158"/>
  <c r="T118" i="158"/>
  <c r="T73" i="158"/>
  <c r="T119" i="158" s="1"/>
  <c r="BH118" i="158"/>
  <c r="BK121" i="158" s="1"/>
  <c r="BM121" i="158" s="1"/>
  <c r="BH73" i="158"/>
  <c r="BH119" i="158" s="1"/>
  <c r="AW114" i="158"/>
  <c r="AX110" i="158"/>
  <c r="AX114" i="158" s="1"/>
  <c r="BO85" i="158"/>
  <c r="BQ85" i="158"/>
  <c r="AU114" i="158"/>
  <c r="BM76" i="158"/>
  <c r="BM107" i="158" s="1"/>
  <c r="BK73" i="158"/>
  <c r="BO101" i="158"/>
  <c r="BQ101" i="158"/>
  <c r="BO27" i="158"/>
  <c r="BQ27" i="158"/>
  <c r="BQ36" i="158"/>
  <c r="BO36" i="158"/>
  <c r="K113" i="158"/>
  <c r="K115" i="158"/>
  <c r="K118" i="158"/>
  <c r="K73" i="158"/>
  <c r="K119" i="158" s="1"/>
  <c r="AX76" i="158"/>
  <c r="AX107" i="158" s="1"/>
  <c r="AW107" i="158"/>
  <c r="BG118" i="158"/>
  <c r="BG73" i="158"/>
  <c r="BG119" i="158" s="1"/>
  <c r="BO60" i="158"/>
  <c r="BQ60" i="158"/>
  <c r="BK115" i="158"/>
  <c r="BK120" i="158" s="1"/>
  <c r="BK113" i="158"/>
  <c r="BK118" i="158" s="1"/>
  <c r="BL109" i="158"/>
  <c r="BK107" i="158"/>
  <c r="BL76" i="158"/>
  <c r="BL107" i="158" s="1"/>
  <c r="AF114" i="158"/>
  <c r="AF113" i="158"/>
  <c r="BN110" i="158"/>
  <c r="BO55" i="158"/>
  <c r="BQ55" i="158"/>
  <c r="U106" i="158"/>
  <c r="AW72" i="158"/>
  <c r="AW74" i="158"/>
  <c r="AX15" i="158"/>
  <c r="BM15" i="158"/>
  <c r="U74" i="158"/>
  <c r="U120" i="158" s="1"/>
  <c r="U72" i="158"/>
  <c r="BQ99" i="158"/>
  <c r="BO99" i="158"/>
  <c r="K120" i="158"/>
  <c r="BO66" i="158"/>
  <c r="BQ66" i="158"/>
  <c r="AF120" i="158"/>
  <c r="BO38" i="158"/>
  <c r="BQ38" i="158"/>
  <c r="AE119" i="158"/>
  <c r="BO82" i="158"/>
  <c r="BQ82" i="158"/>
  <c r="BO93" i="158"/>
  <c r="BQ93" i="158"/>
  <c r="BM110" i="158"/>
  <c r="BM114" i="158" s="1"/>
  <c r="AF118" i="158"/>
  <c r="AF73" i="158"/>
  <c r="AF119" i="158" s="1"/>
  <c r="BL108" i="158"/>
  <c r="BL106" i="158"/>
  <c r="BM108" i="158"/>
  <c r="BM106" i="158"/>
  <c r="AW113" i="158"/>
  <c r="AW115" i="158"/>
  <c r="AX109" i="158"/>
  <c r="BL72" i="158"/>
  <c r="BL74" i="158"/>
  <c r="BO47" i="158"/>
  <c r="BQ47" i="158"/>
  <c r="BO68" i="158"/>
  <c r="BQ68" i="158"/>
  <c r="BO64" i="158"/>
  <c r="BQ64" i="158"/>
  <c r="AU120" i="158"/>
  <c r="BN75" i="158"/>
  <c r="BN76" i="158" l="1"/>
  <c r="BO76" i="158" s="1"/>
  <c r="BO107" i="158" s="1"/>
  <c r="N100" i="160"/>
  <c r="M113" i="160"/>
  <c r="M115" i="160"/>
  <c r="N66" i="160"/>
  <c r="N113" i="160" s="1"/>
  <c r="N112" i="160"/>
  <c r="M119" i="159"/>
  <c r="M118" i="159"/>
  <c r="AF127" i="158"/>
  <c r="AF128" i="158" s="1"/>
  <c r="AF123" i="158"/>
  <c r="AW118" i="158"/>
  <c r="AW73" i="158"/>
  <c r="AW119" i="158" s="1"/>
  <c r="BN114" i="158"/>
  <c r="BQ114" i="158" s="1"/>
  <c r="BQ110" i="158"/>
  <c r="BO110" i="158"/>
  <c r="BG127" i="158"/>
  <c r="BG128" i="158" s="1"/>
  <c r="BG123" i="158"/>
  <c r="K123" i="158"/>
  <c r="K127" i="158"/>
  <c r="K128" i="158" s="1"/>
  <c r="AX106" i="158"/>
  <c r="BM74" i="158"/>
  <c r="BM120" i="158" s="1"/>
  <c r="BM72" i="158"/>
  <c r="BQ111" i="158"/>
  <c r="BO111" i="158"/>
  <c r="AX115" i="158"/>
  <c r="AX113" i="158"/>
  <c r="BN106" i="158"/>
  <c r="BQ106" i="158" s="1"/>
  <c r="BN108" i="158"/>
  <c r="BQ108" i="158" s="1"/>
  <c r="BQ75" i="158"/>
  <c r="BO75" i="158"/>
  <c r="AX74" i="158"/>
  <c r="AX120" i="158" s="1"/>
  <c r="AX72" i="158"/>
  <c r="BN15" i="158"/>
  <c r="BL113" i="158"/>
  <c r="BL115" i="158"/>
  <c r="BL120" i="158" s="1"/>
  <c r="BN109" i="158"/>
  <c r="BK119" i="158"/>
  <c r="AU119" i="158"/>
  <c r="BM113" i="158"/>
  <c r="BL118" i="158"/>
  <c r="BL73" i="158"/>
  <c r="BL119" i="158" s="1"/>
  <c r="U118" i="158"/>
  <c r="U73" i="158"/>
  <c r="U119" i="158" s="1"/>
  <c r="AW120" i="158"/>
  <c r="BN107" i="158"/>
  <c r="BQ107" i="158" s="1"/>
  <c r="BQ76" i="158"/>
  <c r="N115" i="160" l="1"/>
  <c r="M121" i="159"/>
  <c r="U127" i="158"/>
  <c r="U128" i="158" s="1"/>
  <c r="U123" i="158"/>
  <c r="BO114" i="158"/>
  <c r="BN74" i="158"/>
  <c r="BN72" i="158"/>
  <c r="BO15" i="158"/>
  <c r="BQ15" i="158"/>
  <c r="BO108" i="158"/>
  <c r="BO106" i="158"/>
  <c r="BM118" i="158"/>
  <c r="BM73" i="158"/>
  <c r="BM119" i="158" s="1"/>
  <c r="BL127" i="158"/>
  <c r="BL128" i="158" s="1"/>
  <c r="BL123" i="158"/>
  <c r="BN115" i="158"/>
  <c r="BQ115" i="158" s="1"/>
  <c r="BN113" i="158"/>
  <c r="BQ113" i="158" s="1"/>
  <c r="BQ109" i="158"/>
  <c r="BO109" i="158"/>
  <c r="AX118" i="158"/>
  <c r="AX73" i="158"/>
  <c r="AX119" i="158" s="1"/>
  <c r="BN120" i="158" l="1"/>
  <c r="BQ120" i="158" s="1"/>
  <c r="BQ74" i="158"/>
  <c r="BQ72" i="158"/>
  <c r="BQ73" i="158" s="1"/>
  <c r="AX127" i="158"/>
  <c r="AX128" i="158" s="1"/>
  <c r="AX123" i="158"/>
  <c r="BO72" i="158"/>
  <c r="BO74" i="158"/>
  <c r="BO115" i="158"/>
  <c r="BO113" i="158"/>
  <c r="BN118" i="158"/>
  <c r="BQ118" i="158" s="1"/>
  <c r="BN73" i="158"/>
  <c r="BN119" i="158" s="1"/>
  <c r="BQ119" i="158" s="1"/>
  <c r="BO120" i="158" l="1"/>
  <c r="BO118" i="158"/>
  <c r="BO73" i="158"/>
  <c r="BO119" i="158" s="1"/>
  <c r="AR20" i="111" l="1"/>
  <c r="AU20" i="111" s="1"/>
  <c r="AH20" i="111"/>
  <c r="AH75" i="111" s="1"/>
  <c r="X20" i="111"/>
  <c r="X64" i="111" s="1"/>
  <c r="N20" i="111"/>
  <c r="N42" i="111" s="1"/>
  <c r="Q42" i="111" s="1"/>
  <c r="D20" i="111"/>
  <c r="CB236" i="141"/>
  <c r="BZ236" i="141"/>
  <c r="BF236" i="141"/>
  <c r="AL236" i="141"/>
  <c r="AJ236" i="141"/>
  <c r="P236" i="141"/>
  <c r="DM236" i="141"/>
  <c r="R205" i="112"/>
  <c r="AH53" i="111" l="1"/>
  <c r="AK53" i="111" s="1"/>
  <c r="AH87" i="111"/>
  <c r="AK87" i="111" s="1"/>
  <c r="AH64" i="111"/>
  <c r="AK64" i="111" s="1"/>
  <c r="AK20" i="111"/>
  <c r="AR42" i="111"/>
  <c r="AR75" i="111"/>
  <c r="AR31" i="111"/>
  <c r="AU31" i="111" s="1"/>
  <c r="AR64" i="111"/>
  <c r="AU64" i="111" s="1"/>
  <c r="AR98" i="111"/>
  <c r="AR53" i="111"/>
  <c r="AR87" i="111"/>
  <c r="AU87" i="111" s="1"/>
  <c r="AH31" i="111"/>
  <c r="AH98" i="111"/>
  <c r="AH42" i="111"/>
  <c r="X31" i="111"/>
  <c r="X87" i="111"/>
  <c r="X42" i="111"/>
  <c r="X98" i="111"/>
  <c r="X53" i="111"/>
  <c r="X75" i="111"/>
  <c r="N53" i="111"/>
  <c r="Q53" i="111" s="1"/>
  <c r="N64" i="111"/>
  <c r="Q64" i="111" s="1"/>
  <c r="N98" i="111"/>
  <c r="N31" i="111"/>
  <c r="Q31" i="111" s="1"/>
  <c r="N75" i="111"/>
  <c r="N87" i="111"/>
  <c r="Q87" i="111" s="1"/>
  <c r="Q20" i="111"/>
  <c r="D31" i="111"/>
  <c r="D53" i="111"/>
  <c r="D75" i="111"/>
  <c r="D98" i="111"/>
  <c r="D42" i="111"/>
  <c r="D64" i="111"/>
  <c r="D87" i="111"/>
  <c r="BB20" i="111"/>
  <c r="DP236" i="141"/>
  <c r="DN236" i="141"/>
  <c r="O236" i="141"/>
  <c r="BG236" i="141"/>
  <c r="CA236" i="141"/>
  <c r="CU236" i="141"/>
  <c r="DO236" i="141"/>
  <c r="CV236" i="141"/>
  <c r="Q236" i="141"/>
  <c r="AK236" i="141"/>
  <c r="BE236" i="141"/>
  <c r="CW236" i="141"/>
  <c r="AB12" i="140"/>
  <c r="AB11" i="140"/>
  <c r="HK10" i="140"/>
  <c r="AB12" i="139"/>
  <c r="AB11" i="139"/>
  <c r="HK10" i="139"/>
  <c r="AB24" i="140" l="1"/>
  <c r="Z24" i="140" s="1"/>
  <c r="AB23" i="140"/>
  <c r="Z23" i="140" s="1"/>
  <c r="AB24" i="139"/>
  <c r="Z24" i="139" s="1"/>
  <c r="AB23" i="139"/>
  <c r="Z23" i="139" s="1"/>
  <c r="BB42" i="111"/>
  <c r="AU53" i="111"/>
  <c r="BB64" i="111"/>
  <c r="AU42" i="111"/>
  <c r="AK42" i="111"/>
  <c r="AK31" i="111"/>
  <c r="BB75" i="111"/>
  <c r="BB31" i="111"/>
  <c r="BB87" i="111"/>
  <c r="BB98" i="111"/>
  <c r="BB53" i="111"/>
  <c r="DR236" i="141"/>
  <c r="DQ236" i="141"/>
  <c r="D23" i="139" l="1"/>
  <c r="C23" i="139"/>
  <c r="F23" i="139"/>
  <c r="C24" i="139"/>
  <c r="D24" i="139"/>
  <c r="F24" i="139"/>
  <c r="D23" i="140"/>
  <c r="C23" i="140"/>
  <c r="F23" i="140"/>
  <c r="C24" i="140"/>
  <c r="D24" i="140"/>
  <c r="F24" i="140"/>
  <c r="E24" i="139" l="1"/>
  <c r="AE24" i="140"/>
  <c r="E24" i="140"/>
  <c r="AE24" i="139"/>
  <c r="AE23" i="139"/>
  <c r="E23" i="139"/>
  <c r="AE23" i="140"/>
  <c r="E23" i="140"/>
  <c r="HI13" i="140" l="1"/>
  <c r="HI14" i="140"/>
  <c r="HI15" i="140"/>
  <c r="HI16" i="140"/>
  <c r="HI17" i="140"/>
  <c r="HI18" i="140"/>
  <c r="HI19" i="140"/>
  <c r="HI20" i="140"/>
  <c r="HI21" i="140"/>
  <c r="HI22" i="140"/>
  <c r="HI26" i="140"/>
  <c r="FX13" i="140"/>
  <c r="FX14" i="140"/>
  <c r="FX15" i="140"/>
  <c r="FX16" i="140"/>
  <c r="FX17" i="140"/>
  <c r="FX18" i="140"/>
  <c r="FX19" i="140"/>
  <c r="FX20" i="140"/>
  <c r="FX21" i="140"/>
  <c r="FX22" i="140"/>
  <c r="FX26" i="140"/>
  <c r="EM13" i="140"/>
  <c r="EM14" i="140"/>
  <c r="EM15" i="140"/>
  <c r="EM16" i="140"/>
  <c r="EM17" i="140"/>
  <c r="EM18" i="140"/>
  <c r="EM19" i="140"/>
  <c r="EM20" i="140"/>
  <c r="EM21" i="140"/>
  <c r="EM22" i="140"/>
  <c r="EM26" i="140"/>
  <c r="DB13" i="140"/>
  <c r="DB14" i="140"/>
  <c r="DB15" i="140"/>
  <c r="DB16" i="140"/>
  <c r="DB17" i="140"/>
  <c r="DB18" i="140"/>
  <c r="DB19" i="140"/>
  <c r="DB20" i="140"/>
  <c r="DB21" i="140"/>
  <c r="DB22" i="140"/>
  <c r="DB26" i="140"/>
  <c r="BQ13" i="140"/>
  <c r="BQ14" i="140"/>
  <c r="BQ15" i="140"/>
  <c r="BQ16" i="140"/>
  <c r="BQ17" i="140"/>
  <c r="BQ18" i="140"/>
  <c r="BQ19" i="140"/>
  <c r="BQ20" i="140"/>
  <c r="BQ21" i="140"/>
  <c r="BQ22" i="140"/>
  <c r="BQ26" i="140"/>
  <c r="GT13" i="140"/>
  <c r="GU13" i="140"/>
  <c r="GT14" i="140"/>
  <c r="GU14" i="140"/>
  <c r="GT15" i="140"/>
  <c r="GU15" i="140"/>
  <c r="GT16" i="140"/>
  <c r="GU16" i="140"/>
  <c r="GT17" i="140"/>
  <c r="GU17" i="140"/>
  <c r="GT18" i="140"/>
  <c r="GU18" i="140"/>
  <c r="GT19" i="140"/>
  <c r="GU19" i="140"/>
  <c r="GT20" i="140"/>
  <c r="GU20" i="140"/>
  <c r="GT21" i="140"/>
  <c r="GU21" i="140"/>
  <c r="GT22" i="140"/>
  <c r="GU22" i="140"/>
  <c r="GT26" i="140"/>
  <c r="GU26" i="140"/>
  <c r="FI13" i="140"/>
  <c r="FJ13" i="140"/>
  <c r="FI14" i="140"/>
  <c r="FJ14" i="140"/>
  <c r="FI15" i="140"/>
  <c r="FJ15" i="140"/>
  <c r="FI16" i="140"/>
  <c r="FJ16" i="140"/>
  <c r="FI17" i="140"/>
  <c r="FJ17" i="140"/>
  <c r="FI18" i="140"/>
  <c r="FJ18" i="140"/>
  <c r="FI19" i="140"/>
  <c r="FJ19" i="140"/>
  <c r="FI20" i="140"/>
  <c r="FJ20" i="140"/>
  <c r="FI21" i="140"/>
  <c r="FJ21" i="140"/>
  <c r="FI22" i="140"/>
  <c r="FJ22" i="140"/>
  <c r="FI26" i="140"/>
  <c r="FJ26" i="140"/>
  <c r="DX13" i="140"/>
  <c r="DY13" i="140"/>
  <c r="DX14" i="140"/>
  <c r="DY14" i="140"/>
  <c r="DX15" i="140"/>
  <c r="DY15" i="140"/>
  <c r="DX16" i="140"/>
  <c r="DY16" i="140"/>
  <c r="DX17" i="140"/>
  <c r="DY17" i="140"/>
  <c r="DX18" i="140"/>
  <c r="DY18" i="140"/>
  <c r="DX19" i="140"/>
  <c r="DY19" i="140"/>
  <c r="DX20" i="140"/>
  <c r="DY20" i="140"/>
  <c r="DX21" i="140"/>
  <c r="DY21" i="140"/>
  <c r="DX22" i="140"/>
  <c r="DY22" i="140"/>
  <c r="DX26" i="140"/>
  <c r="DY26" i="140"/>
  <c r="CM13" i="140"/>
  <c r="CN13" i="140"/>
  <c r="CM14" i="140"/>
  <c r="CN14" i="140"/>
  <c r="CM15" i="140"/>
  <c r="CN15" i="140"/>
  <c r="CM16" i="140"/>
  <c r="CN16" i="140"/>
  <c r="CM17" i="140"/>
  <c r="CN17" i="140"/>
  <c r="CM18" i="140"/>
  <c r="CN18" i="140"/>
  <c r="CM19" i="140"/>
  <c r="CN19" i="140"/>
  <c r="CM20" i="140"/>
  <c r="CN20" i="140"/>
  <c r="CM21" i="140"/>
  <c r="CN21" i="140"/>
  <c r="CM22" i="140"/>
  <c r="CN22" i="140"/>
  <c r="CM26" i="140"/>
  <c r="CN26" i="140"/>
  <c r="BB13" i="140"/>
  <c r="BC13" i="140"/>
  <c r="BB14" i="140"/>
  <c r="BC14" i="140"/>
  <c r="BB15" i="140"/>
  <c r="BC15" i="140"/>
  <c r="BB16" i="140"/>
  <c r="BC16" i="140"/>
  <c r="BB17" i="140"/>
  <c r="BC17" i="140"/>
  <c r="BB18" i="140"/>
  <c r="BC18" i="140"/>
  <c r="BB19" i="140"/>
  <c r="BC19" i="140"/>
  <c r="BB20" i="140"/>
  <c r="BC20" i="140"/>
  <c r="BB21" i="140"/>
  <c r="BC21" i="140"/>
  <c r="BB22" i="140"/>
  <c r="BC22" i="140"/>
  <c r="BB26" i="140"/>
  <c r="BC26" i="140"/>
  <c r="HI13" i="139"/>
  <c r="HI14" i="139"/>
  <c r="HI15" i="139"/>
  <c r="HI16" i="139"/>
  <c r="HI17" i="139"/>
  <c r="HI18" i="139"/>
  <c r="HI19" i="139"/>
  <c r="HI20" i="139"/>
  <c r="HI21" i="139"/>
  <c r="HI22" i="139"/>
  <c r="HI26" i="139"/>
  <c r="FX13" i="139"/>
  <c r="FX14" i="139"/>
  <c r="FX15" i="139"/>
  <c r="FX16" i="139"/>
  <c r="FX17" i="139"/>
  <c r="FX18" i="139"/>
  <c r="FX19" i="139"/>
  <c r="FX20" i="139"/>
  <c r="FX21" i="139"/>
  <c r="FX22" i="139"/>
  <c r="FX26" i="139"/>
  <c r="EM13" i="139"/>
  <c r="EM14" i="139"/>
  <c r="EM15" i="139"/>
  <c r="EM16" i="139"/>
  <c r="EM17" i="139"/>
  <c r="EM18" i="139"/>
  <c r="EM19" i="139"/>
  <c r="EM20" i="139"/>
  <c r="EM21" i="139"/>
  <c r="EM22" i="139"/>
  <c r="EM26" i="139"/>
  <c r="DB13" i="139"/>
  <c r="DB14" i="139"/>
  <c r="DB15" i="139"/>
  <c r="DB16" i="139"/>
  <c r="DB17" i="139"/>
  <c r="DB18" i="139"/>
  <c r="DB19" i="139"/>
  <c r="DB20" i="139"/>
  <c r="DB21" i="139"/>
  <c r="DB22" i="139"/>
  <c r="DB26" i="139"/>
  <c r="BQ13" i="139"/>
  <c r="BQ14" i="139"/>
  <c r="BQ15" i="139"/>
  <c r="BQ16" i="139"/>
  <c r="BQ17" i="139"/>
  <c r="BQ18" i="139"/>
  <c r="BQ19" i="139"/>
  <c r="BQ20" i="139"/>
  <c r="BQ21" i="139"/>
  <c r="BQ22" i="139"/>
  <c r="BQ26" i="139"/>
  <c r="GT13" i="139"/>
  <c r="GU13" i="139"/>
  <c r="GT14" i="139"/>
  <c r="GU14" i="139"/>
  <c r="GT15" i="139"/>
  <c r="GU15" i="139"/>
  <c r="GT16" i="139"/>
  <c r="GU16" i="139"/>
  <c r="GT17" i="139"/>
  <c r="GU17" i="139"/>
  <c r="GT18" i="139"/>
  <c r="GU18" i="139"/>
  <c r="GT19" i="139"/>
  <c r="GU19" i="139"/>
  <c r="GT20" i="139"/>
  <c r="GU20" i="139"/>
  <c r="GT21" i="139"/>
  <c r="GU21" i="139"/>
  <c r="GT22" i="139"/>
  <c r="GU22" i="139"/>
  <c r="GT26" i="139"/>
  <c r="GU26" i="139"/>
  <c r="FI13" i="139"/>
  <c r="FJ13" i="139"/>
  <c r="FI14" i="139"/>
  <c r="FJ14" i="139"/>
  <c r="FI15" i="139"/>
  <c r="FJ15" i="139"/>
  <c r="FI16" i="139"/>
  <c r="FJ16" i="139"/>
  <c r="FI17" i="139"/>
  <c r="FJ17" i="139"/>
  <c r="FI18" i="139"/>
  <c r="FJ18" i="139"/>
  <c r="FI19" i="139"/>
  <c r="FJ19" i="139"/>
  <c r="FI20" i="139"/>
  <c r="FJ20" i="139"/>
  <c r="FI21" i="139"/>
  <c r="FJ21" i="139"/>
  <c r="FI22" i="139"/>
  <c r="FJ22" i="139"/>
  <c r="FI26" i="139"/>
  <c r="FJ26" i="139"/>
  <c r="DX13" i="139"/>
  <c r="DY13" i="139"/>
  <c r="DX14" i="139"/>
  <c r="DY14" i="139"/>
  <c r="DX15" i="139"/>
  <c r="DY15" i="139"/>
  <c r="DX16" i="139"/>
  <c r="DY16" i="139"/>
  <c r="DX17" i="139"/>
  <c r="DY17" i="139"/>
  <c r="DX18" i="139"/>
  <c r="DY18" i="139"/>
  <c r="DX19" i="139"/>
  <c r="DY19" i="139"/>
  <c r="DX20" i="139"/>
  <c r="DY20" i="139"/>
  <c r="DX21" i="139"/>
  <c r="DY21" i="139"/>
  <c r="DX22" i="139"/>
  <c r="DY22" i="139"/>
  <c r="DX26" i="139"/>
  <c r="DY26" i="139"/>
  <c r="CM13" i="139"/>
  <c r="CN13" i="139"/>
  <c r="CM14" i="139"/>
  <c r="CN14" i="139"/>
  <c r="CM15" i="139"/>
  <c r="CN15" i="139"/>
  <c r="CM16" i="139"/>
  <c r="CN16" i="139"/>
  <c r="CM17" i="139"/>
  <c r="CN17" i="139"/>
  <c r="CM18" i="139"/>
  <c r="CN18" i="139"/>
  <c r="CM19" i="139"/>
  <c r="CN19" i="139"/>
  <c r="CM20" i="139"/>
  <c r="CN20" i="139"/>
  <c r="CM21" i="139"/>
  <c r="CN21" i="139"/>
  <c r="CM22" i="139"/>
  <c r="CN22" i="139"/>
  <c r="CM26" i="139"/>
  <c r="CN26" i="139"/>
  <c r="BB13" i="139"/>
  <c r="BC13" i="139"/>
  <c r="BB14" i="139"/>
  <c r="BC14" i="139"/>
  <c r="BB15" i="139"/>
  <c r="BC15" i="139"/>
  <c r="BB16" i="139"/>
  <c r="BC16" i="139"/>
  <c r="BB17" i="139"/>
  <c r="BC17" i="139"/>
  <c r="BB18" i="139"/>
  <c r="BC18" i="139"/>
  <c r="BB19" i="139"/>
  <c r="BC19" i="139"/>
  <c r="BB20" i="139"/>
  <c r="BC20" i="139"/>
  <c r="BB21" i="139"/>
  <c r="BC21" i="139"/>
  <c r="BB22" i="139"/>
  <c r="BC22" i="139"/>
  <c r="BB26" i="139"/>
  <c r="BC26" i="139"/>
  <c r="HI13" i="77"/>
  <c r="HI14" i="77"/>
  <c r="HI15" i="77"/>
  <c r="HI16" i="77"/>
  <c r="HI17" i="77"/>
  <c r="HI18" i="77"/>
  <c r="HI19" i="77"/>
  <c r="HI20" i="77"/>
  <c r="HI21" i="77"/>
  <c r="HI22" i="77"/>
  <c r="HI26" i="77"/>
  <c r="FX13" i="77"/>
  <c r="FX14" i="77"/>
  <c r="FX15" i="77"/>
  <c r="FX16" i="77"/>
  <c r="FX17" i="77"/>
  <c r="FX18" i="77"/>
  <c r="FX19" i="77"/>
  <c r="FX20" i="77"/>
  <c r="FX21" i="77"/>
  <c r="FX22" i="77"/>
  <c r="FX26" i="77"/>
  <c r="EM13" i="77"/>
  <c r="EM14" i="77"/>
  <c r="EM15" i="77"/>
  <c r="EM16" i="77"/>
  <c r="EM17" i="77"/>
  <c r="EM18" i="77"/>
  <c r="EM19" i="77"/>
  <c r="EM20" i="77"/>
  <c r="EM21" i="77"/>
  <c r="EM22" i="77"/>
  <c r="EM26" i="77"/>
  <c r="DB13" i="77"/>
  <c r="DB14" i="77"/>
  <c r="DB15" i="77"/>
  <c r="DB16" i="77"/>
  <c r="DB17" i="77"/>
  <c r="DB18" i="77"/>
  <c r="DB19" i="77"/>
  <c r="DB20" i="77"/>
  <c r="DB21" i="77"/>
  <c r="DB22" i="77"/>
  <c r="DB26" i="77"/>
  <c r="BQ13" i="77"/>
  <c r="BQ14" i="77"/>
  <c r="BQ15" i="77"/>
  <c r="BQ16" i="77"/>
  <c r="BQ17" i="77"/>
  <c r="BQ18" i="77"/>
  <c r="BQ19" i="77"/>
  <c r="BQ20" i="77"/>
  <c r="BQ21" i="77"/>
  <c r="BQ22" i="77"/>
  <c r="BQ26" i="77"/>
  <c r="GT13" i="77"/>
  <c r="GU13" i="77"/>
  <c r="GT14" i="77"/>
  <c r="GU14" i="77"/>
  <c r="GT15" i="77"/>
  <c r="GU15" i="77"/>
  <c r="GT16" i="77"/>
  <c r="GU16" i="77"/>
  <c r="GT17" i="77"/>
  <c r="GU17" i="77"/>
  <c r="GT18" i="77"/>
  <c r="GU18" i="77"/>
  <c r="GT19" i="77"/>
  <c r="GU19" i="77"/>
  <c r="GT20" i="77"/>
  <c r="GU20" i="77"/>
  <c r="GT21" i="77"/>
  <c r="GU21" i="77"/>
  <c r="GT22" i="77"/>
  <c r="GU22" i="77"/>
  <c r="GT26" i="77"/>
  <c r="GU26" i="77"/>
  <c r="FI13" i="77"/>
  <c r="FJ13" i="77"/>
  <c r="FI14" i="77"/>
  <c r="FJ14" i="77"/>
  <c r="FI15" i="77"/>
  <c r="FJ15" i="77"/>
  <c r="FI16" i="77"/>
  <c r="FJ16" i="77"/>
  <c r="FI17" i="77"/>
  <c r="FJ17" i="77"/>
  <c r="FI18" i="77"/>
  <c r="FJ18" i="77"/>
  <c r="FI19" i="77"/>
  <c r="FJ19" i="77"/>
  <c r="FI20" i="77"/>
  <c r="FJ20" i="77"/>
  <c r="FI21" i="77"/>
  <c r="FJ21" i="77"/>
  <c r="FI22" i="77"/>
  <c r="FJ22" i="77"/>
  <c r="FI26" i="77"/>
  <c r="FJ26" i="77"/>
  <c r="DX13" i="77"/>
  <c r="DY13" i="77"/>
  <c r="DX14" i="77"/>
  <c r="DY14" i="77"/>
  <c r="DX15" i="77"/>
  <c r="DY15" i="77"/>
  <c r="DX16" i="77"/>
  <c r="DY16" i="77"/>
  <c r="DX17" i="77"/>
  <c r="DY17" i="77"/>
  <c r="DX18" i="77"/>
  <c r="DY18" i="77"/>
  <c r="DX19" i="77"/>
  <c r="DY19" i="77"/>
  <c r="DX20" i="77"/>
  <c r="DY20" i="77"/>
  <c r="DX21" i="77"/>
  <c r="DY21" i="77"/>
  <c r="DX22" i="77"/>
  <c r="DY22" i="77"/>
  <c r="DX26" i="77"/>
  <c r="DY26" i="77"/>
  <c r="CM13" i="77"/>
  <c r="CN13" i="77"/>
  <c r="CM14" i="77"/>
  <c r="CN14" i="77"/>
  <c r="CM15" i="77"/>
  <c r="CN15" i="77"/>
  <c r="CM16" i="77"/>
  <c r="CN16" i="77"/>
  <c r="CM17" i="77"/>
  <c r="CN17" i="77"/>
  <c r="CM18" i="77"/>
  <c r="CN18" i="77"/>
  <c r="CM19" i="77"/>
  <c r="CN19" i="77"/>
  <c r="CM20" i="77"/>
  <c r="CN20" i="77"/>
  <c r="CM21" i="77"/>
  <c r="CN21" i="77"/>
  <c r="CM22" i="77"/>
  <c r="CN22" i="77"/>
  <c r="CM26" i="77"/>
  <c r="CN26" i="77"/>
  <c r="BB13" i="77"/>
  <c r="BC13" i="77"/>
  <c r="BB14" i="77"/>
  <c r="BC14" i="77"/>
  <c r="BB15" i="77"/>
  <c r="BC15" i="77"/>
  <c r="BB16" i="77"/>
  <c r="BC16" i="77"/>
  <c r="BB17" i="77"/>
  <c r="BC17" i="77"/>
  <c r="BB18" i="77"/>
  <c r="BC18" i="77"/>
  <c r="BB19" i="77"/>
  <c r="BC19" i="77"/>
  <c r="BB20" i="77"/>
  <c r="BC20" i="77"/>
  <c r="BB21" i="77"/>
  <c r="BC21" i="77"/>
  <c r="BB22" i="77"/>
  <c r="BC22" i="77"/>
  <c r="BB26" i="77"/>
  <c r="BC26" i="77"/>
  <c r="FZ24" i="139" l="1"/>
  <c r="GA24" i="139" s="1"/>
  <c r="FZ23" i="139"/>
  <c r="GA23" i="139" s="1"/>
  <c r="FZ24" i="140"/>
  <c r="GA24" i="140" s="1"/>
  <c r="FZ23" i="140"/>
  <c r="GA23" i="140" s="1"/>
  <c r="EO23" i="140"/>
  <c r="EP23" i="140" s="1"/>
  <c r="EO24" i="140"/>
  <c r="EP24" i="140" s="1"/>
  <c r="EO24" i="139"/>
  <c r="EP24" i="139" s="1"/>
  <c r="EO23" i="139"/>
  <c r="EP23" i="139" s="1"/>
  <c r="DD24" i="139"/>
  <c r="DE24" i="139" s="1"/>
  <c r="DF24" i="139" s="1"/>
  <c r="DD23" i="139"/>
  <c r="DE23" i="139" s="1"/>
  <c r="DD24" i="140"/>
  <c r="DE24" i="140" s="1"/>
  <c r="DF24" i="140" s="1"/>
  <c r="DD23" i="140"/>
  <c r="DE23" i="140" s="1"/>
  <c r="BS24" i="140"/>
  <c r="BT24" i="140" s="1"/>
  <c r="BS23" i="140"/>
  <c r="BT23" i="140" s="1"/>
  <c r="BS24" i="139"/>
  <c r="BT24" i="139" s="1"/>
  <c r="BS23" i="139"/>
  <c r="BT23" i="139" s="1"/>
  <c r="AH24" i="139"/>
  <c r="AI24" i="139" s="1"/>
  <c r="AJ24" i="139" s="1"/>
  <c r="AH23" i="139"/>
  <c r="AI23" i="139" s="1"/>
  <c r="AJ23" i="139" s="1"/>
  <c r="AH24" i="140"/>
  <c r="AI24" i="140" s="1"/>
  <c r="AJ24" i="140" s="1"/>
  <c r="AH23" i="140"/>
  <c r="AI23" i="140" s="1"/>
  <c r="AJ23" i="140" s="1"/>
  <c r="S11" i="156"/>
  <c r="R11" i="156"/>
  <c r="Q11" i="156"/>
  <c r="P11" i="156" s="1"/>
  <c r="K11" i="156"/>
  <c r="S10" i="156"/>
  <c r="R10" i="156"/>
  <c r="Q10" i="156"/>
  <c r="P10" i="156" s="1"/>
  <c r="K10" i="156"/>
  <c r="S9" i="156"/>
  <c r="R9" i="156"/>
  <c r="Q9" i="156"/>
  <c r="K9" i="156"/>
  <c r="S8" i="156"/>
  <c r="R8" i="156"/>
  <c r="Q8" i="156"/>
  <c r="K8" i="156"/>
  <c r="S7" i="156"/>
  <c r="R7" i="156"/>
  <c r="Q7" i="156"/>
  <c r="P7" i="156" s="1"/>
  <c r="K7" i="156"/>
  <c r="J11" i="156"/>
  <c r="J10" i="156"/>
  <c r="J8" i="156"/>
  <c r="J7" i="156"/>
  <c r="S12" i="156"/>
  <c r="N14" i="156"/>
  <c r="N12" i="156"/>
  <c r="N13" i="156" s="1"/>
  <c r="M14" i="156"/>
  <c r="L14" i="156"/>
  <c r="DG24" i="140" l="1"/>
  <c r="BX24" i="140"/>
  <c r="DG24" i="139"/>
  <c r="BX24" i="139"/>
  <c r="B24" i="140"/>
  <c r="AK24" i="140"/>
  <c r="B23" i="140"/>
  <c r="AK23" i="140"/>
  <c r="AK23" i="139"/>
  <c r="B23" i="139"/>
  <c r="B24" i="139"/>
  <c r="AK24" i="139"/>
  <c r="P8" i="156"/>
  <c r="P9" i="156"/>
  <c r="S13" i="156"/>
  <c r="S14" i="156"/>
  <c r="E14" i="156"/>
  <c r="K14" i="156"/>
  <c r="Q14" i="156"/>
  <c r="R14" i="156"/>
  <c r="L12" i="156"/>
  <c r="K12" i="156"/>
  <c r="I10" i="156"/>
  <c r="I11" i="156"/>
  <c r="M12" i="156"/>
  <c r="K13" i="156" l="1"/>
  <c r="Q12" i="156"/>
  <c r="Q13" i="156" s="1"/>
  <c r="M13" i="156"/>
  <c r="L13" i="156"/>
  <c r="R12" i="156"/>
  <c r="P12" i="156" l="1"/>
  <c r="P14" i="156"/>
  <c r="R13" i="156"/>
  <c r="P13" i="156" l="1"/>
  <c r="I8" i="156" l="1"/>
  <c r="I9" i="156" l="1"/>
  <c r="E12" i="156"/>
  <c r="E13" i="156" s="1"/>
  <c r="J9" i="156"/>
  <c r="D14" i="156"/>
  <c r="I7" i="156"/>
  <c r="H10" i="156"/>
  <c r="B10" i="156"/>
  <c r="B7" i="156"/>
  <c r="C14" i="156"/>
  <c r="H7" i="156"/>
  <c r="C12" i="156"/>
  <c r="B9" i="156"/>
  <c r="H9" i="156"/>
  <c r="B11" i="156"/>
  <c r="H11" i="156"/>
  <c r="B8" i="156"/>
  <c r="H8" i="156"/>
  <c r="C13" i="156" l="1"/>
  <c r="D12" i="156"/>
  <c r="I14" i="156"/>
  <c r="I12" i="156"/>
  <c r="H14" i="156"/>
  <c r="H12" i="156"/>
  <c r="B14" i="156"/>
  <c r="B12" i="156"/>
  <c r="D13" i="156"/>
  <c r="B13" i="156" l="1"/>
  <c r="H13" i="156"/>
  <c r="I13" i="156"/>
  <c r="AD243" i="141" l="1"/>
  <c r="AD302" i="141" l="1"/>
  <c r="AD301" i="141" s="1"/>
  <c r="AD274" i="141"/>
  <c r="AD273" i="141" s="1"/>
  <c r="HE12" i="77" l="1"/>
  <c r="FT12" i="77"/>
  <c r="EI12" i="77"/>
  <c r="CX12" i="77"/>
  <c r="BM12" i="77"/>
  <c r="AB12" i="77"/>
  <c r="HE11" i="77"/>
  <c r="FT11" i="77"/>
  <c r="EI11" i="77"/>
  <c r="CX11" i="77"/>
  <c r="BM11" i="77"/>
  <c r="AB11" i="77"/>
  <c r="CX23" i="77" l="1"/>
  <c r="CV23" i="77" s="1"/>
  <c r="CX24" i="77"/>
  <c r="CV24" i="77" s="1"/>
  <c r="EI23" i="77"/>
  <c r="EG23" i="77" s="1"/>
  <c r="EI24" i="77"/>
  <c r="EG24" i="77" s="1"/>
  <c r="AB23" i="77"/>
  <c r="Z23" i="77" s="1"/>
  <c r="AB24" i="77"/>
  <c r="Z24" i="77" s="1"/>
  <c r="FT23" i="77"/>
  <c r="FR23" i="77" s="1"/>
  <c r="FT24" i="77"/>
  <c r="FR24" i="77" s="1"/>
  <c r="BM24" i="77"/>
  <c r="BK24" i="77" s="1"/>
  <c r="BM23" i="77"/>
  <c r="BK23" i="77" s="1"/>
  <c r="HE24" i="77"/>
  <c r="HC24" i="77" s="1"/>
  <c r="HE23" i="77"/>
  <c r="HC23" i="77" s="1"/>
  <c r="DL246" i="141"/>
  <c r="DK246" i="141"/>
  <c r="DL245" i="141"/>
  <c r="DK245" i="141"/>
  <c r="DL244" i="141"/>
  <c r="DK244" i="141"/>
  <c r="CQ246" i="141"/>
  <c r="CP246" i="141"/>
  <c r="CQ245" i="141"/>
  <c r="CP245" i="141"/>
  <c r="CQ244" i="141"/>
  <c r="CP244" i="141"/>
  <c r="BV246" i="141"/>
  <c r="BU246" i="141"/>
  <c r="BV245" i="141"/>
  <c r="BU245" i="141"/>
  <c r="BV244" i="141"/>
  <c r="BU244" i="141"/>
  <c r="BA246" i="141"/>
  <c r="AZ246" i="141"/>
  <c r="BA245" i="141"/>
  <c r="AZ245" i="141"/>
  <c r="AF246" i="141"/>
  <c r="AE246" i="141"/>
  <c r="AF245" i="141"/>
  <c r="AE245" i="141"/>
  <c r="GI23" i="77" l="1"/>
  <c r="F198" i="141" s="1"/>
  <c r="GG23" i="77"/>
  <c r="GF23" i="77"/>
  <c r="EV24" i="77"/>
  <c r="GC24" i="77" s="1"/>
  <c r="EX24" i="77"/>
  <c r="EU24" i="77"/>
  <c r="DK24" i="77"/>
  <c r="ER24" i="77" s="1"/>
  <c r="DM24" i="77"/>
  <c r="DJ24" i="77"/>
  <c r="GF24" i="77"/>
  <c r="GG24" i="77"/>
  <c r="GI24" i="77"/>
  <c r="F199" i="141" s="1"/>
  <c r="EX23" i="77"/>
  <c r="EV23" i="77"/>
  <c r="GC23" i="77" s="1"/>
  <c r="EU23" i="77"/>
  <c r="DJ23" i="77"/>
  <c r="DK23" i="77"/>
  <c r="ER23" i="77" s="1"/>
  <c r="DM23" i="77"/>
  <c r="AN23" i="77"/>
  <c r="AQ23" i="77"/>
  <c r="AO23" i="77"/>
  <c r="BV23" i="77" s="1"/>
  <c r="C24" i="77"/>
  <c r="F24" i="77"/>
  <c r="D24" i="77"/>
  <c r="AK24" i="77" s="1"/>
  <c r="BZ24" i="77"/>
  <c r="DG24" i="77" s="1"/>
  <c r="CB24" i="77"/>
  <c r="BY24" i="77"/>
  <c r="AO24" i="77"/>
  <c r="BV24" i="77" s="1"/>
  <c r="AQ24" i="77"/>
  <c r="AN24" i="77"/>
  <c r="D23" i="77"/>
  <c r="AK23" i="77" s="1"/>
  <c r="F23" i="77"/>
  <c r="C23" i="77"/>
  <c r="BY23" i="77"/>
  <c r="BZ23" i="77"/>
  <c r="DG23" i="77" s="1"/>
  <c r="CB23" i="77"/>
  <c r="DK275" i="141"/>
  <c r="DL275" i="141"/>
  <c r="CP275" i="141"/>
  <c r="CQ275" i="141"/>
  <c r="BU275" i="141"/>
  <c r="BV275" i="141"/>
  <c r="AE275" i="141"/>
  <c r="AF275" i="141"/>
  <c r="BA244" i="141"/>
  <c r="AZ244" i="141"/>
  <c r="EG245" i="141"/>
  <c r="EF245" i="141"/>
  <c r="AF244" i="141"/>
  <c r="AE244" i="141"/>
  <c r="HW22" i="77"/>
  <c r="HV22" i="77"/>
  <c r="HU22" i="77"/>
  <c r="HT22" i="77"/>
  <c r="HS22" i="77"/>
  <c r="HW21" i="77"/>
  <c r="HV21" i="77"/>
  <c r="HU21" i="77"/>
  <c r="HT21" i="77"/>
  <c r="HS21" i="77"/>
  <c r="HW20" i="77"/>
  <c r="HV20" i="77"/>
  <c r="HU20" i="77"/>
  <c r="HT20" i="77"/>
  <c r="HS20" i="77"/>
  <c r="HW19" i="77"/>
  <c r="HV19" i="77"/>
  <c r="HU19" i="77"/>
  <c r="HT19" i="77"/>
  <c r="HS19" i="77"/>
  <c r="HW18" i="77"/>
  <c r="HV18" i="77"/>
  <c r="HU18" i="77"/>
  <c r="HT18" i="77"/>
  <c r="HS18" i="77"/>
  <c r="HW17" i="77"/>
  <c r="HV17" i="77"/>
  <c r="HU17" i="77"/>
  <c r="HT17" i="77"/>
  <c r="HS17" i="77"/>
  <c r="HW16" i="77"/>
  <c r="HV16" i="77"/>
  <c r="HU16" i="77"/>
  <c r="HT16" i="77"/>
  <c r="HS16" i="77"/>
  <c r="HW14" i="77"/>
  <c r="HV14" i="77"/>
  <c r="HU14" i="77"/>
  <c r="HT14" i="77"/>
  <c r="HS14" i="77"/>
  <c r="HW13" i="77"/>
  <c r="HV13" i="77"/>
  <c r="HU13" i="77"/>
  <c r="HT13" i="77"/>
  <c r="HS13" i="77"/>
  <c r="DJ243" i="141"/>
  <c r="CO243" i="141"/>
  <c r="BT243" i="141"/>
  <c r="AY243" i="141"/>
  <c r="EE245" i="141"/>
  <c r="ED245" i="141"/>
  <c r="EC245" i="141"/>
  <c r="EB245" i="141"/>
  <c r="EE244" i="141"/>
  <c r="ED244" i="141"/>
  <c r="EC244" i="141"/>
  <c r="EB244" i="141"/>
  <c r="DI23" i="77" l="1"/>
  <c r="IB23" i="77" s="1"/>
  <c r="DL23" i="77"/>
  <c r="DA24" i="77"/>
  <c r="CA24" i="77"/>
  <c r="BX24" i="77"/>
  <c r="IA24" i="77" s="1"/>
  <c r="BP23" i="77"/>
  <c r="AM23" i="77"/>
  <c r="HZ23" i="77" s="1"/>
  <c r="AP23" i="77"/>
  <c r="FW23" i="77"/>
  <c r="ET23" i="77"/>
  <c r="IC23" i="77" s="1"/>
  <c r="EW23" i="77"/>
  <c r="GH23" i="77"/>
  <c r="HH23" i="77"/>
  <c r="DA23" i="77"/>
  <c r="BX23" i="77"/>
  <c r="IA23" i="77" s="1"/>
  <c r="CA23" i="77"/>
  <c r="AP24" i="77"/>
  <c r="AM24" i="77"/>
  <c r="HZ24" i="77" s="1"/>
  <c r="BP24" i="77"/>
  <c r="B24" i="77"/>
  <c r="HY24" i="77" s="1"/>
  <c r="E24" i="77"/>
  <c r="AE24" i="77"/>
  <c r="EL23" i="77"/>
  <c r="HH24" i="77"/>
  <c r="GH24" i="77"/>
  <c r="EW24" i="77"/>
  <c r="ET24" i="77"/>
  <c r="IC24" i="77" s="1"/>
  <c r="FW24" i="77"/>
  <c r="AE23" i="77"/>
  <c r="B23" i="77"/>
  <c r="HY23" i="77" s="1"/>
  <c r="E23" i="77"/>
  <c r="DI24" i="77"/>
  <c r="IB24" i="77" s="1"/>
  <c r="EL24" i="77"/>
  <c r="DL24" i="77"/>
  <c r="BV243" i="141"/>
  <c r="BT302" i="141"/>
  <c r="BT301" i="141" s="1"/>
  <c r="BT274" i="141"/>
  <c r="BT273" i="141" s="1"/>
  <c r="CP243" i="141"/>
  <c r="CP242" i="141" s="1"/>
  <c r="CP248" i="141" s="1"/>
  <c r="CO302" i="141"/>
  <c r="CO301" i="141" s="1"/>
  <c r="CO274" i="141"/>
  <c r="CO273" i="141" s="1"/>
  <c r="DK243" i="141"/>
  <c r="DK242" i="141" s="1"/>
  <c r="DK248" i="141" s="1"/>
  <c r="DJ274" i="141"/>
  <c r="DJ273" i="141" s="1"/>
  <c r="DJ302" i="141"/>
  <c r="DJ301" i="141" s="1"/>
  <c r="CQ303" i="141"/>
  <c r="AZ243" i="141"/>
  <c r="AZ242" i="141" s="1"/>
  <c r="AZ248" i="141" s="1"/>
  <c r="AY302" i="141"/>
  <c r="AY274" i="141"/>
  <c r="DL303" i="141"/>
  <c r="DK303" i="141"/>
  <c r="CP303" i="141"/>
  <c r="BV303" i="141"/>
  <c r="BU303" i="141"/>
  <c r="AF303" i="141"/>
  <c r="AE303" i="141"/>
  <c r="HX17" i="77"/>
  <c r="HX21" i="77"/>
  <c r="EF244" i="141"/>
  <c r="HW26" i="77"/>
  <c r="HV26" i="77"/>
  <c r="HX14" i="77"/>
  <c r="HX19" i="77"/>
  <c r="HU26" i="77"/>
  <c r="HT26" i="77"/>
  <c r="HX16" i="77"/>
  <c r="HX18" i="77"/>
  <c r="HX20" i="77"/>
  <c r="HX22" i="77"/>
  <c r="HS26" i="77"/>
  <c r="HX13" i="77"/>
  <c r="EG244" i="141"/>
  <c r="EE243" i="141"/>
  <c r="BU243" i="141"/>
  <c r="AF243" i="141"/>
  <c r="AE243" i="141"/>
  <c r="DL243" i="141"/>
  <c r="CQ243" i="141"/>
  <c r="BA243" i="141"/>
  <c r="ED246" i="141"/>
  <c r="EC246" i="141"/>
  <c r="EB246" i="141"/>
  <c r="DJ242" i="141"/>
  <c r="DJ248" i="141" s="1"/>
  <c r="CO242" i="141"/>
  <c r="CO248" i="141" s="1"/>
  <c r="BV242" i="141"/>
  <c r="BV248" i="141" s="1"/>
  <c r="BT242" i="141"/>
  <c r="BT248" i="141" s="1"/>
  <c r="AY242" i="141"/>
  <c r="AY248" i="141" s="1"/>
  <c r="EG246" i="141"/>
  <c r="EF246" i="141"/>
  <c r="EE246" i="141"/>
  <c r="EG247" i="141"/>
  <c r="EG305" i="141" s="1"/>
  <c r="EF247" i="141"/>
  <c r="EF305" i="141" s="1"/>
  <c r="EE247" i="141"/>
  <c r="EE305" i="141" s="1"/>
  <c r="ED247" i="141"/>
  <c r="EC247" i="141"/>
  <c r="EB247" i="141"/>
  <c r="ED242" i="141"/>
  <c r="EC242" i="141"/>
  <c r="EB242" i="141"/>
  <c r="FW27" i="140"/>
  <c r="EL27" i="140"/>
  <c r="DA27" i="140"/>
  <c r="BP27" i="140"/>
  <c r="GV26" i="140"/>
  <c r="GL26" i="140"/>
  <c r="FK26" i="140"/>
  <c r="FA26" i="140"/>
  <c r="DZ26" i="140"/>
  <c r="EO21" i="140"/>
  <c r="DP26" i="140"/>
  <c r="CO26" i="140"/>
  <c r="DD20" i="140"/>
  <c r="CE26" i="140"/>
  <c r="BD26" i="140"/>
  <c r="BS20" i="140"/>
  <c r="AT26" i="140"/>
  <c r="S26" i="140"/>
  <c r="I26" i="140"/>
  <c r="GV22" i="140"/>
  <c r="GQ22" i="140"/>
  <c r="HP22" i="140" s="1"/>
  <c r="GO22" i="140"/>
  <c r="GN22" i="140"/>
  <c r="GM22" i="140"/>
  <c r="GL22" i="140"/>
  <c r="GB22" i="140"/>
  <c r="FZ22" i="140"/>
  <c r="FK22" i="140"/>
  <c r="FG22" i="140"/>
  <c r="FU22" i="140" s="1"/>
  <c r="FA22" i="140"/>
  <c r="EQ22" i="140"/>
  <c r="EO22" i="140"/>
  <c r="DZ22" i="140"/>
  <c r="DV22" i="140"/>
  <c r="EJ22" i="140" s="1"/>
  <c r="DP22" i="140"/>
  <c r="DF22" i="140"/>
  <c r="CO22" i="140"/>
  <c r="CK22" i="140"/>
  <c r="CY22" i="140" s="1"/>
  <c r="CE22" i="140"/>
  <c r="BS22" i="140"/>
  <c r="BD22" i="140"/>
  <c r="AZ22" i="140"/>
  <c r="BN22" i="140" s="1"/>
  <c r="AT22" i="140"/>
  <c r="AJ22" i="140"/>
  <c r="AH22" i="140"/>
  <c r="S22" i="140"/>
  <c r="O22" i="140"/>
  <c r="AC22" i="140" s="1"/>
  <c r="I22" i="140"/>
  <c r="GV21" i="140"/>
  <c r="GQ21" i="140"/>
  <c r="GO21" i="140"/>
  <c r="GN21" i="140"/>
  <c r="GM21" i="140"/>
  <c r="GL21" i="140"/>
  <c r="GB21" i="140"/>
  <c r="FZ21" i="140"/>
  <c r="FK21" i="140"/>
  <c r="FG21" i="140"/>
  <c r="FU21" i="140" s="1"/>
  <c r="FA21" i="140"/>
  <c r="EQ21" i="140"/>
  <c r="DZ21" i="140"/>
  <c r="DV21" i="140"/>
  <c r="EJ21" i="140" s="1"/>
  <c r="DP21" i="140"/>
  <c r="CO21" i="140"/>
  <c r="CK21" i="140"/>
  <c r="CY21" i="140" s="1"/>
  <c r="CE21" i="140"/>
  <c r="BD21" i="140"/>
  <c r="AZ21" i="140"/>
  <c r="BN21" i="140" s="1"/>
  <c r="AT21" i="140"/>
  <c r="AH21" i="140"/>
  <c r="S21" i="140"/>
  <c r="O21" i="140"/>
  <c r="AC21" i="140" s="1"/>
  <c r="I21" i="140"/>
  <c r="GV20" i="140"/>
  <c r="GQ20" i="140"/>
  <c r="HP20" i="140" s="1"/>
  <c r="GO20" i="140"/>
  <c r="GN20" i="140"/>
  <c r="GM20" i="140"/>
  <c r="GL20" i="140"/>
  <c r="FZ20" i="140"/>
  <c r="FK20" i="140"/>
  <c r="FG20" i="140"/>
  <c r="FU20" i="140" s="1"/>
  <c r="FA20" i="140"/>
  <c r="EQ20" i="140"/>
  <c r="DZ20" i="140"/>
  <c r="DV20" i="140"/>
  <c r="EJ20" i="140" s="1"/>
  <c r="DP20" i="140"/>
  <c r="DF20" i="140"/>
  <c r="CO20" i="140"/>
  <c r="CK20" i="140"/>
  <c r="CY20" i="140" s="1"/>
  <c r="CE20" i="140"/>
  <c r="BD20" i="140"/>
  <c r="AZ20" i="140"/>
  <c r="BN20" i="140" s="1"/>
  <c r="AT20" i="140"/>
  <c r="AH20" i="140"/>
  <c r="S20" i="140"/>
  <c r="O20" i="140"/>
  <c r="AC20" i="140" s="1"/>
  <c r="I20" i="140"/>
  <c r="GV19" i="140"/>
  <c r="GQ19" i="140"/>
  <c r="GO19" i="140"/>
  <c r="GN19" i="140"/>
  <c r="GM19" i="140"/>
  <c r="GL19" i="140"/>
  <c r="GB19" i="140"/>
  <c r="FZ19" i="140"/>
  <c r="FK19" i="140"/>
  <c r="FG19" i="140"/>
  <c r="FU19" i="140" s="1"/>
  <c r="FA19" i="140"/>
  <c r="EQ19" i="140"/>
  <c r="DZ19" i="140"/>
  <c r="DV19" i="140"/>
  <c r="EJ19" i="140" s="1"/>
  <c r="DP19" i="140"/>
  <c r="CO19" i="140"/>
  <c r="CK19" i="140"/>
  <c r="CY19" i="140" s="1"/>
  <c r="CE19" i="140"/>
  <c r="BD19" i="140"/>
  <c r="AZ19" i="140"/>
  <c r="BN19" i="140" s="1"/>
  <c r="AT19" i="140"/>
  <c r="AH19" i="140"/>
  <c r="S19" i="140"/>
  <c r="O19" i="140"/>
  <c r="AC19" i="140" s="1"/>
  <c r="I19" i="140"/>
  <c r="GV18" i="140"/>
  <c r="GQ18" i="140"/>
  <c r="HP18" i="140" s="1"/>
  <c r="GO18" i="140"/>
  <c r="GN18" i="140"/>
  <c r="GM18" i="140"/>
  <c r="GL18" i="140"/>
  <c r="GB18" i="140"/>
  <c r="FZ18" i="140"/>
  <c r="FK18" i="140"/>
  <c r="FG18" i="140"/>
  <c r="FU18" i="140" s="1"/>
  <c r="FA18" i="140"/>
  <c r="EQ18" i="140"/>
  <c r="DZ18" i="140"/>
  <c r="DV18" i="140"/>
  <c r="EJ18" i="140" s="1"/>
  <c r="DP18" i="140"/>
  <c r="DF18" i="140"/>
  <c r="CO18" i="140"/>
  <c r="CK18" i="140"/>
  <c r="CY18" i="140" s="1"/>
  <c r="CE18" i="140"/>
  <c r="BD18" i="140"/>
  <c r="AZ18" i="140"/>
  <c r="BN18" i="140" s="1"/>
  <c r="AT18" i="140"/>
  <c r="AJ18" i="140"/>
  <c r="AH18" i="140"/>
  <c r="S18" i="140"/>
  <c r="O18" i="140"/>
  <c r="AC18" i="140" s="1"/>
  <c r="I18" i="140"/>
  <c r="GV17" i="140"/>
  <c r="GQ17" i="140"/>
  <c r="GO17" i="140"/>
  <c r="GN17" i="140"/>
  <c r="GM17" i="140"/>
  <c r="GL17" i="140"/>
  <c r="GB17" i="140"/>
  <c r="FZ17" i="140"/>
  <c r="FK17" i="140"/>
  <c r="FG17" i="140"/>
  <c r="FU17" i="140" s="1"/>
  <c r="FA17" i="140"/>
  <c r="EQ17" i="140"/>
  <c r="DZ17" i="140"/>
  <c r="DV17" i="140"/>
  <c r="EJ17" i="140" s="1"/>
  <c r="DP17" i="140"/>
  <c r="DF17" i="140"/>
  <c r="CO17" i="140"/>
  <c r="CK17" i="140"/>
  <c r="CY17" i="140" s="1"/>
  <c r="CE17" i="140"/>
  <c r="BD17" i="140"/>
  <c r="AZ17" i="140"/>
  <c r="BN17" i="140" s="1"/>
  <c r="AT17" i="140"/>
  <c r="AJ17" i="140"/>
  <c r="AH17" i="140"/>
  <c r="S17" i="140"/>
  <c r="O17" i="140"/>
  <c r="AC17" i="140" s="1"/>
  <c r="I17" i="140"/>
  <c r="GV16" i="140"/>
  <c r="GQ16" i="140"/>
  <c r="HP16" i="140" s="1"/>
  <c r="GO16" i="140"/>
  <c r="GN16" i="140"/>
  <c r="GM16" i="140"/>
  <c r="GL16" i="140"/>
  <c r="GB16" i="140"/>
  <c r="FZ16" i="140"/>
  <c r="FK16" i="140"/>
  <c r="FG16" i="140"/>
  <c r="FU16" i="140" s="1"/>
  <c r="FA16" i="140"/>
  <c r="EQ16" i="140"/>
  <c r="DZ16" i="140"/>
  <c r="DV16" i="140"/>
  <c r="EJ16" i="140" s="1"/>
  <c r="DP16" i="140"/>
  <c r="CO16" i="140"/>
  <c r="CK16" i="140"/>
  <c r="CY16" i="140" s="1"/>
  <c r="CE16" i="140"/>
  <c r="BD16" i="140"/>
  <c r="AZ16" i="140"/>
  <c r="BN16" i="140" s="1"/>
  <c r="AT16" i="140"/>
  <c r="AH16" i="140"/>
  <c r="S16" i="140"/>
  <c r="O16" i="140"/>
  <c r="AC16" i="140" s="1"/>
  <c r="I16" i="140"/>
  <c r="GV15" i="140"/>
  <c r="GL15" i="140"/>
  <c r="FK15" i="140"/>
  <c r="GB15" i="140"/>
  <c r="FA15" i="140"/>
  <c r="DZ15" i="140"/>
  <c r="EQ15" i="140"/>
  <c r="DP15" i="140"/>
  <c r="CO15" i="140"/>
  <c r="CE15" i="140"/>
  <c r="BD15" i="140"/>
  <c r="AT15" i="140"/>
  <c r="S15" i="140"/>
  <c r="I15" i="140"/>
  <c r="GV14" i="140"/>
  <c r="GQ14" i="140"/>
  <c r="HP14" i="140" s="1"/>
  <c r="GO14" i="140"/>
  <c r="GN14" i="140"/>
  <c r="GM14" i="140"/>
  <c r="GL14" i="140"/>
  <c r="GB14" i="140"/>
  <c r="FZ14" i="140"/>
  <c r="FK14" i="140"/>
  <c r="FG14" i="140"/>
  <c r="FU14" i="140" s="1"/>
  <c r="FA14" i="140"/>
  <c r="DZ14" i="140"/>
  <c r="DV14" i="140"/>
  <c r="EJ14" i="140" s="1"/>
  <c r="DP14" i="140"/>
  <c r="CO14" i="140"/>
  <c r="CK14" i="140"/>
  <c r="CY14" i="140" s="1"/>
  <c r="CE14" i="140"/>
  <c r="BU14" i="140"/>
  <c r="BD14" i="140"/>
  <c r="AZ14" i="140"/>
  <c r="BN14" i="140" s="1"/>
  <c r="AT14" i="140"/>
  <c r="AH14" i="140"/>
  <c r="S14" i="140"/>
  <c r="O14" i="140"/>
  <c r="AC14" i="140" s="1"/>
  <c r="I14" i="140"/>
  <c r="GV13" i="140"/>
  <c r="GQ13" i="140"/>
  <c r="GO13" i="140"/>
  <c r="GN13" i="140"/>
  <c r="GM13" i="140"/>
  <c r="GL13" i="140"/>
  <c r="GB13" i="140"/>
  <c r="FZ13" i="140"/>
  <c r="FK13" i="140"/>
  <c r="FG13" i="140"/>
  <c r="FA13" i="140"/>
  <c r="EQ13" i="140"/>
  <c r="DZ13" i="140"/>
  <c r="DV13" i="140"/>
  <c r="DP13" i="140"/>
  <c r="DD13" i="140"/>
  <c r="CO13" i="140"/>
  <c r="CK13" i="140"/>
  <c r="CE13" i="140"/>
  <c r="BU13" i="140"/>
  <c r="BD13" i="140"/>
  <c r="AZ13" i="140"/>
  <c r="AT13" i="140"/>
  <c r="AH13" i="140"/>
  <c r="S13" i="140"/>
  <c r="O13" i="140"/>
  <c r="I13" i="140"/>
  <c r="HE22" i="140"/>
  <c r="FT22" i="140"/>
  <c r="EI22" i="140"/>
  <c r="CX22" i="140"/>
  <c r="BM22" i="140"/>
  <c r="AB22" i="140"/>
  <c r="HE20" i="140"/>
  <c r="FT20" i="140"/>
  <c r="EI20" i="140"/>
  <c r="CX20" i="140"/>
  <c r="BM20" i="140"/>
  <c r="AB20" i="140"/>
  <c r="FW27" i="139"/>
  <c r="EL27" i="139"/>
  <c r="DA27" i="139"/>
  <c r="BP27" i="139"/>
  <c r="GV26" i="139"/>
  <c r="GL26" i="139"/>
  <c r="FK26" i="139"/>
  <c r="FZ22" i="139"/>
  <c r="FA26" i="139"/>
  <c r="DZ26" i="139"/>
  <c r="DP26" i="139"/>
  <c r="CO26" i="139"/>
  <c r="DD20" i="139"/>
  <c r="CE26" i="139"/>
  <c r="BD26" i="139"/>
  <c r="BS22" i="139"/>
  <c r="AT26" i="139"/>
  <c r="S26" i="139"/>
  <c r="AH21" i="139"/>
  <c r="I26" i="139"/>
  <c r="GV22" i="139"/>
  <c r="GQ22" i="139"/>
  <c r="HP22" i="139" s="1"/>
  <c r="GO22" i="139"/>
  <c r="GN22" i="139"/>
  <c r="GM22" i="139"/>
  <c r="GL22" i="139"/>
  <c r="GB22" i="139"/>
  <c r="FK22" i="139"/>
  <c r="FG22" i="139"/>
  <c r="FU22" i="139" s="1"/>
  <c r="FA22" i="139"/>
  <c r="EQ22" i="139"/>
  <c r="EO22" i="139"/>
  <c r="DZ22" i="139"/>
  <c r="DV22" i="139"/>
  <c r="EJ22" i="139" s="1"/>
  <c r="DP22" i="139"/>
  <c r="DF22" i="139"/>
  <c r="CO22" i="139"/>
  <c r="CK22" i="139"/>
  <c r="CY22" i="139" s="1"/>
  <c r="CE22" i="139"/>
  <c r="BD22" i="139"/>
  <c r="AZ22" i="139"/>
  <c r="BN22" i="139" s="1"/>
  <c r="AT22" i="139"/>
  <c r="AJ22" i="139"/>
  <c r="S22" i="139"/>
  <c r="O22" i="139"/>
  <c r="AC22" i="139" s="1"/>
  <c r="I22" i="139"/>
  <c r="GV21" i="139"/>
  <c r="GQ21" i="139"/>
  <c r="HP21" i="139" s="1"/>
  <c r="GO21" i="139"/>
  <c r="GN21" i="139"/>
  <c r="GM21" i="139"/>
  <c r="GL21" i="139"/>
  <c r="GB21" i="139"/>
  <c r="FK21" i="139"/>
  <c r="FG21" i="139"/>
  <c r="FU21" i="139" s="1"/>
  <c r="FA21" i="139"/>
  <c r="EQ21" i="139"/>
  <c r="EO21" i="139"/>
  <c r="DZ21" i="139"/>
  <c r="DV21" i="139"/>
  <c r="EJ21" i="139" s="1"/>
  <c r="DP21" i="139"/>
  <c r="DD21" i="139"/>
  <c r="CO21" i="139"/>
  <c r="CK21" i="139"/>
  <c r="CY21" i="139" s="1"/>
  <c r="CE21" i="139"/>
  <c r="BD21" i="139"/>
  <c r="AZ21" i="139"/>
  <c r="BN21" i="139" s="1"/>
  <c r="AT21" i="139"/>
  <c r="S21" i="139"/>
  <c r="O21" i="139"/>
  <c r="AC21" i="139" s="1"/>
  <c r="I21" i="139"/>
  <c r="GV20" i="139"/>
  <c r="GQ20" i="139"/>
  <c r="HP20" i="139" s="1"/>
  <c r="GO20" i="139"/>
  <c r="GN20" i="139"/>
  <c r="GM20" i="139"/>
  <c r="GL20" i="139"/>
  <c r="FK20" i="139"/>
  <c r="FG20" i="139"/>
  <c r="FU20" i="139" s="1"/>
  <c r="FA20" i="139"/>
  <c r="EQ20" i="139"/>
  <c r="EO20" i="139"/>
  <c r="DZ20" i="139"/>
  <c r="DV20" i="139"/>
  <c r="EJ20" i="139" s="1"/>
  <c r="DP20" i="139"/>
  <c r="DF20" i="139"/>
  <c r="CO20" i="139"/>
  <c r="CK20" i="139"/>
  <c r="CY20" i="139" s="1"/>
  <c r="CE20" i="139"/>
  <c r="BS20" i="139"/>
  <c r="BD20" i="139"/>
  <c r="AZ20" i="139"/>
  <c r="BN20" i="139" s="1"/>
  <c r="AT20" i="139"/>
  <c r="S20" i="139"/>
  <c r="O20" i="139"/>
  <c r="AC20" i="139" s="1"/>
  <c r="I20" i="139"/>
  <c r="GV19" i="139"/>
  <c r="GQ19" i="139"/>
  <c r="HP19" i="139" s="1"/>
  <c r="GO19" i="139"/>
  <c r="GN19" i="139"/>
  <c r="GM19" i="139"/>
  <c r="GL19" i="139"/>
  <c r="GB19" i="139"/>
  <c r="FK19" i="139"/>
  <c r="FG19" i="139"/>
  <c r="FU19" i="139" s="1"/>
  <c r="FA19" i="139"/>
  <c r="EQ19" i="139"/>
  <c r="EO19" i="139"/>
  <c r="DZ19" i="139"/>
  <c r="DV19" i="139"/>
  <c r="EJ19" i="139" s="1"/>
  <c r="DP19" i="139"/>
  <c r="DD19" i="139"/>
  <c r="CO19" i="139"/>
  <c r="CK19" i="139"/>
  <c r="CY19" i="139" s="1"/>
  <c r="CE19" i="139"/>
  <c r="BS19" i="139"/>
  <c r="BD19" i="139"/>
  <c r="AZ19" i="139"/>
  <c r="BN19" i="139" s="1"/>
  <c r="AT19" i="139"/>
  <c r="S19" i="139"/>
  <c r="O19" i="139"/>
  <c r="AC19" i="139" s="1"/>
  <c r="I19" i="139"/>
  <c r="GV18" i="139"/>
  <c r="GQ18" i="139"/>
  <c r="GO18" i="139"/>
  <c r="GN18" i="139"/>
  <c r="GM18" i="139"/>
  <c r="GL18" i="139"/>
  <c r="GB18" i="139"/>
  <c r="FK18" i="139"/>
  <c r="FG18" i="139"/>
  <c r="FU18" i="139" s="1"/>
  <c r="FA18" i="139"/>
  <c r="EQ18" i="139"/>
  <c r="EO18" i="139"/>
  <c r="DZ18" i="139"/>
  <c r="DV18" i="139"/>
  <c r="EJ18" i="139" s="1"/>
  <c r="DP18" i="139"/>
  <c r="DF18" i="139"/>
  <c r="DD18" i="139"/>
  <c r="CO18" i="139"/>
  <c r="CK18" i="139"/>
  <c r="CY18" i="139" s="1"/>
  <c r="CE18" i="139"/>
  <c r="BS18" i="139"/>
  <c r="BD18" i="139"/>
  <c r="AZ18" i="139"/>
  <c r="BN18" i="139" s="1"/>
  <c r="AT18" i="139"/>
  <c r="AJ18" i="139"/>
  <c r="S18" i="139"/>
  <c r="O18" i="139"/>
  <c r="AC18" i="139" s="1"/>
  <c r="I18" i="139"/>
  <c r="GV17" i="139"/>
  <c r="GQ17" i="139"/>
  <c r="HP17" i="139" s="1"/>
  <c r="GO17" i="139"/>
  <c r="GN17" i="139"/>
  <c r="GM17" i="139"/>
  <c r="GL17" i="139"/>
  <c r="GB17" i="139"/>
  <c r="FK17" i="139"/>
  <c r="FG17" i="139"/>
  <c r="FU17" i="139" s="1"/>
  <c r="FA17" i="139"/>
  <c r="EQ17" i="139"/>
  <c r="EO17" i="139"/>
  <c r="DZ17" i="139"/>
  <c r="DV17" i="139"/>
  <c r="EJ17" i="139" s="1"/>
  <c r="DP17" i="139"/>
  <c r="DF17" i="139"/>
  <c r="DD17" i="139"/>
  <c r="CO17" i="139"/>
  <c r="CK17" i="139"/>
  <c r="CY17" i="139" s="1"/>
  <c r="CE17" i="139"/>
  <c r="BS17" i="139"/>
  <c r="BD17" i="139"/>
  <c r="AZ17" i="139"/>
  <c r="BN17" i="139" s="1"/>
  <c r="AT17" i="139"/>
  <c r="AJ17" i="139"/>
  <c r="S17" i="139"/>
  <c r="O17" i="139"/>
  <c r="AC17" i="139" s="1"/>
  <c r="I17" i="139"/>
  <c r="GV16" i="139"/>
  <c r="GQ16" i="139"/>
  <c r="GO16" i="139"/>
  <c r="GN16" i="139"/>
  <c r="GM16" i="139"/>
  <c r="GL16" i="139"/>
  <c r="GB16" i="139"/>
  <c r="FK16" i="139"/>
  <c r="FG16" i="139"/>
  <c r="FU16" i="139" s="1"/>
  <c r="FA16" i="139"/>
  <c r="EQ16" i="139"/>
  <c r="EO16" i="139"/>
  <c r="DZ16" i="139"/>
  <c r="DV16" i="139"/>
  <c r="EJ16" i="139" s="1"/>
  <c r="DP16" i="139"/>
  <c r="DD16" i="139"/>
  <c r="CO16" i="139"/>
  <c r="CK16" i="139"/>
  <c r="CY16" i="139" s="1"/>
  <c r="CE16" i="139"/>
  <c r="BS16" i="139"/>
  <c r="BD16" i="139"/>
  <c r="AZ16" i="139"/>
  <c r="BN16" i="139" s="1"/>
  <c r="AT16" i="139"/>
  <c r="S16" i="139"/>
  <c r="O16" i="139"/>
  <c r="AC16" i="139" s="1"/>
  <c r="I16" i="139"/>
  <c r="GV15" i="139"/>
  <c r="GL15" i="139"/>
  <c r="FK15" i="139"/>
  <c r="FA15" i="139"/>
  <c r="EO15" i="139"/>
  <c r="DZ15" i="139"/>
  <c r="EQ15" i="139"/>
  <c r="DP15" i="139"/>
  <c r="CO15" i="139"/>
  <c r="CE15" i="139"/>
  <c r="BD15" i="139"/>
  <c r="AT15" i="139"/>
  <c r="S15" i="139"/>
  <c r="I15" i="139"/>
  <c r="GV14" i="139"/>
  <c r="GQ14" i="139"/>
  <c r="HP14" i="139" s="1"/>
  <c r="GO14" i="139"/>
  <c r="GN14" i="139"/>
  <c r="GM14" i="139"/>
  <c r="GL14" i="139"/>
  <c r="GB14" i="139"/>
  <c r="FK14" i="139"/>
  <c r="FG14" i="139"/>
  <c r="FU14" i="139" s="1"/>
  <c r="FA14" i="139"/>
  <c r="EO14" i="139"/>
  <c r="DZ14" i="139"/>
  <c r="DV14" i="139"/>
  <c r="EJ14" i="139" s="1"/>
  <c r="DP14" i="139"/>
  <c r="DD14" i="139"/>
  <c r="CO14" i="139"/>
  <c r="CK14" i="139"/>
  <c r="CY14" i="139" s="1"/>
  <c r="CE14" i="139"/>
  <c r="BU14" i="139"/>
  <c r="BS14" i="139"/>
  <c r="BD14" i="139"/>
  <c r="AZ14" i="139"/>
  <c r="BN14" i="139" s="1"/>
  <c r="AT14" i="139"/>
  <c r="S14" i="139"/>
  <c r="O14" i="139"/>
  <c r="AC14" i="139" s="1"/>
  <c r="I14" i="139"/>
  <c r="GV13" i="139"/>
  <c r="GQ13" i="139"/>
  <c r="GQ26" i="139" s="1"/>
  <c r="GO13" i="139"/>
  <c r="GN13" i="139"/>
  <c r="GM13" i="139"/>
  <c r="GL13" i="139"/>
  <c r="GB13" i="139"/>
  <c r="FK13" i="139"/>
  <c r="FG13" i="139"/>
  <c r="FA13" i="139"/>
  <c r="EQ13" i="139"/>
  <c r="EO13" i="139"/>
  <c r="DZ13" i="139"/>
  <c r="DV13" i="139"/>
  <c r="DP13" i="139"/>
  <c r="DD13" i="139"/>
  <c r="CO13" i="139"/>
  <c r="CK13" i="139"/>
  <c r="CE13" i="139"/>
  <c r="BU13" i="139"/>
  <c r="BS13" i="139"/>
  <c r="BD13" i="139"/>
  <c r="AZ13" i="139"/>
  <c r="AT13" i="139"/>
  <c r="S13" i="139"/>
  <c r="O13" i="139"/>
  <c r="I13" i="139"/>
  <c r="HE22" i="139"/>
  <c r="FT22" i="139"/>
  <c r="EI22" i="139"/>
  <c r="CX22" i="139"/>
  <c r="BM22" i="139"/>
  <c r="AB22" i="139"/>
  <c r="HE13" i="139"/>
  <c r="FT16" i="139"/>
  <c r="EI16" i="139"/>
  <c r="CX15" i="139"/>
  <c r="BM18" i="139"/>
  <c r="AB18" i="139"/>
  <c r="GV26" i="77"/>
  <c r="GV22" i="77"/>
  <c r="GV21" i="77"/>
  <c r="GV20" i="77"/>
  <c r="GV19" i="77"/>
  <c r="GV18" i="77"/>
  <c r="GV17" i="77"/>
  <c r="GV16" i="77"/>
  <c r="GV15" i="77"/>
  <c r="GV14" i="77"/>
  <c r="GV13" i="77"/>
  <c r="FK26" i="77"/>
  <c r="FK22" i="77"/>
  <c r="FK21" i="77"/>
  <c r="FK20" i="77"/>
  <c r="FK19" i="77"/>
  <c r="FK18" i="77"/>
  <c r="FK17" i="77"/>
  <c r="FK16" i="77"/>
  <c r="FK15" i="77"/>
  <c r="FK14" i="77"/>
  <c r="FK13" i="77"/>
  <c r="DZ26" i="77"/>
  <c r="DZ22" i="77"/>
  <c r="DZ21" i="77"/>
  <c r="DZ20" i="77"/>
  <c r="DZ19" i="77"/>
  <c r="DZ18" i="77"/>
  <c r="DZ17" i="77"/>
  <c r="DZ16" i="77"/>
  <c r="DZ15" i="77"/>
  <c r="DZ14" i="77"/>
  <c r="DZ13" i="77"/>
  <c r="CO26" i="77"/>
  <c r="CO22" i="77"/>
  <c r="CO21" i="77"/>
  <c r="CO20" i="77"/>
  <c r="CO19" i="77"/>
  <c r="CO18" i="77"/>
  <c r="CO17" i="77"/>
  <c r="CO16" i="77"/>
  <c r="CO15" i="77"/>
  <c r="CO14" i="77"/>
  <c r="CO13" i="77"/>
  <c r="BD26" i="77"/>
  <c r="BD22" i="77"/>
  <c r="BD21" i="77"/>
  <c r="BD20" i="77"/>
  <c r="BD19" i="77"/>
  <c r="BD18" i="77"/>
  <c r="BD17" i="77"/>
  <c r="BD16" i="77"/>
  <c r="BD15" i="77"/>
  <c r="BD14" i="77"/>
  <c r="BD13" i="77"/>
  <c r="S26" i="77"/>
  <c r="S22" i="77"/>
  <c r="S21" i="77"/>
  <c r="S20" i="77"/>
  <c r="S19" i="77"/>
  <c r="S18" i="77"/>
  <c r="S17" i="77"/>
  <c r="S16" i="77"/>
  <c r="S15" i="77"/>
  <c r="S14" i="77"/>
  <c r="S13" i="77"/>
  <c r="GM26" i="140" l="1"/>
  <c r="GM26" i="139"/>
  <c r="GO26" i="139"/>
  <c r="GQ26" i="140"/>
  <c r="GN26" i="140"/>
  <c r="GN26" i="139"/>
  <c r="GO26" i="140"/>
  <c r="ID23" i="77"/>
  <c r="ID24" i="77"/>
  <c r="HK23" i="139"/>
  <c r="HL23" i="139" s="1"/>
  <c r="HM23" i="139" s="1"/>
  <c r="HK24" i="139"/>
  <c r="HL24" i="139" s="1"/>
  <c r="HM24" i="139" s="1"/>
  <c r="HK24" i="140"/>
  <c r="HL24" i="140" s="1"/>
  <c r="HM24" i="140" s="1"/>
  <c r="HK23" i="140"/>
  <c r="HL23" i="140" s="1"/>
  <c r="HM23" i="140" s="1"/>
  <c r="HH27" i="140"/>
  <c r="EO16" i="140"/>
  <c r="DD22" i="139"/>
  <c r="DD27" i="139" s="1"/>
  <c r="HH27" i="139"/>
  <c r="CQ274" i="141"/>
  <c r="CQ273" i="141" s="1"/>
  <c r="CQ302" i="141"/>
  <c r="CQ301" i="141" s="1"/>
  <c r="BU274" i="141"/>
  <c r="BU273" i="141" s="1"/>
  <c r="BU302" i="141"/>
  <c r="BU301" i="141" s="1"/>
  <c r="CP302" i="141"/>
  <c r="CP301" i="141" s="1"/>
  <c r="CP274" i="141"/>
  <c r="CP273" i="141" s="1"/>
  <c r="DK302" i="141"/>
  <c r="DK301" i="141" s="1"/>
  <c r="DK274" i="141"/>
  <c r="DK273" i="141" s="1"/>
  <c r="DL302" i="141"/>
  <c r="DL301" i="141" s="1"/>
  <c r="DL274" i="141"/>
  <c r="DL273" i="141" s="1"/>
  <c r="BV302" i="141"/>
  <c r="BV301" i="141" s="1"/>
  <c r="BV274" i="141"/>
  <c r="BV273" i="141" s="1"/>
  <c r="AE274" i="141"/>
  <c r="AE273" i="141" s="1"/>
  <c r="AE302" i="141"/>
  <c r="AE301" i="141" s="1"/>
  <c r="AF274" i="141"/>
  <c r="AF273" i="141" s="1"/>
  <c r="AF302" i="141"/>
  <c r="AF301" i="141" s="1"/>
  <c r="BA302" i="141"/>
  <c r="BA274" i="141"/>
  <c r="EG243" i="141"/>
  <c r="EE274" i="141"/>
  <c r="EE302" i="141"/>
  <c r="AZ274" i="141"/>
  <c r="AZ302" i="141"/>
  <c r="EF243" i="141"/>
  <c r="AH18" i="139"/>
  <c r="BS13" i="140"/>
  <c r="BS14" i="140"/>
  <c r="BS16" i="140"/>
  <c r="BS17" i="140"/>
  <c r="BS18" i="140"/>
  <c r="BS21" i="140"/>
  <c r="BS19" i="140"/>
  <c r="DD16" i="140"/>
  <c r="DD19" i="140"/>
  <c r="EO17" i="140"/>
  <c r="EO13" i="140"/>
  <c r="EO14" i="140"/>
  <c r="EO20" i="140"/>
  <c r="EO18" i="140"/>
  <c r="EO19" i="140"/>
  <c r="FZ16" i="139"/>
  <c r="FZ15" i="139"/>
  <c r="FZ17" i="139"/>
  <c r="FZ14" i="139"/>
  <c r="FZ19" i="139"/>
  <c r="FZ20" i="139"/>
  <c r="FZ13" i="139"/>
  <c r="FZ18" i="139"/>
  <c r="FZ21" i="139"/>
  <c r="GM15" i="139"/>
  <c r="GR15" i="139" s="1"/>
  <c r="HF15" i="139" s="1"/>
  <c r="GO15" i="139"/>
  <c r="AH13" i="139"/>
  <c r="AH22" i="139"/>
  <c r="AH14" i="139"/>
  <c r="AH16" i="139"/>
  <c r="AH17" i="139"/>
  <c r="AH19" i="139"/>
  <c r="AH20" i="139"/>
  <c r="BS21" i="139"/>
  <c r="BS27" i="139" s="1"/>
  <c r="HP26" i="139"/>
  <c r="GN15" i="140"/>
  <c r="DD22" i="140"/>
  <c r="DD14" i="140"/>
  <c r="DD17" i="140"/>
  <c r="DD18" i="140"/>
  <c r="DD21" i="140"/>
  <c r="AB13" i="139"/>
  <c r="EI13" i="139"/>
  <c r="FT13" i="139"/>
  <c r="BM15" i="139"/>
  <c r="AB16" i="139"/>
  <c r="HE18" i="139"/>
  <c r="AB13" i="140"/>
  <c r="EI13" i="140"/>
  <c r="FT13" i="140"/>
  <c r="AB15" i="140"/>
  <c r="CX15" i="140"/>
  <c r="FT15" i="140"/>
  <c r="HE15" i="140"/>
  <c r="AB17" i="140"/>
  <c r="BM17" i="140"/>
  <c r="HE17" i="140"/>
  <c r="AB19" i="140"/>
  <c r="CX19" i="140"/>
  <c r="AB21" i="140"/>
  <c r="EI26" i="140"/>
  <c r="BM13" i="139"/>
  <c r="CX13" i="139"/>
  <c r="AB15" i="139"/>
  <c r="BM13" i="140"/>
  <c r="CX13" i="140"/>
  <c r="HE13" i="140"/>
  <c r="BM15" i="140"/>
  <c r="EI15" i="140"/>
  <c r="CX17" i="140"/>
  <c r="EI17" i="140"/>
  <c r="FT17" i="140"/>
  <c r="BM19" i="140"/>
  <c r="EI19" i="140"/>
  <c r="FT19" i="140"/>
  <c r="CX21" i="140"/>
  <c r="EI21" i="140"/>
  <c r="FT21" i="140"/>
  <c r="BM26" i="140"/>
  <c r="HE26" i="140"/>
  <c r="HX26" i="77"/>
  <c r="BA242" i="141"/>
  <c r="BA248" i="141" s="1"/>
  <c r="CQ242" i="141"/>
  <c r="CQ248" i="141" s="1"/>
  <c r="AF242" i="141"/>
  <c r="AF248" i="141" s="1"/>
  <c r="AD242" i="141"/>
  <c r="DL242" i="141"/>
  <c r="DL248" i="141" s="1"/>
  <c r="AE242" i="141"/>
  <c r="AE248" i="141" s="1"/>
  <c r="BU242" i="141"/>
  <c r="BU248" i="141" s="1"/>
  <c r="HP13" i="140"/>
  <c r="HP17" i="140"/>
  <c r="GR14" i="140"/>
  <c r="HF14" i="140" s="1"/>
  <c r="GR18" i="140"/>
  <c r="HF18" i="140" s="1"/>
  <c r="GQ15" i="140"/>
  <c r="GM15" i="140"/>
  <c r="GO15" i="140"/>
  <c r="GR16" i="140"/>
  <c r="HF16" i="140" s="1"/>
  <c r="HP19" i="140"/>
  <c r="HP21" i="140"/>
  <c r="AC13" i="140"/>
  <c r="AH27" i="140"/>
  <c r="BN13" i="140"/>
  <c r="CY13" i="140"/>
  <c r="EJ13" i="140"/>
  <c r="FU13" i="140"/>
  <c r="FZ27" i="140"/>
  <c r="HK13" i="140"/>
  <c r="GR13" i="140"/>
  <c r="AB14" i="140"/>
  <c r="BM14" i="140"/>
  <c r="CX14" i="140"/>
  <c r="EI14" i="140"/>
  <c r="FT14" i="140"/>
  <c r="HE14" i="140"/>
  <c r="O15" i="140"/>
  <c r="AC15" i="140" s="1"/>
  <c r="AH15" i="140"/>
  <c r="AZ15" i="140"/>
  <c r="BN15" i="140" s="1"/>
  <c r="BS15" i="140"/>
  <c r="CK15" i="140"/>
  <c r="CY15" i="140" s="1"/>
  <c r="DD15" i="140"/>
  <c r="DV15" i="140"/>
  <c r="EJ15" i="140" s="1"/>
  <c r="EO15" i="140"/>
  <c r="FG15" i="140"/>
  <c r="FU15" i="140" s="1"/>
  <c r="FZ15" i="140"/>
  <c r="AB16" i="140"/>
  <c r="BM16" i="140"/>
  <c r="CX16" i="140"/>
  <c r="EI16" i="140"/>
  <c r="FT16" i="140"/>
  <c r="HE16" i="140"/>
  <c r="GR17" i="140"/>
  <c r="HF17" i="140" s="1"/>
  <c r="AB18" i="140"/>
  <c r="BM18" i="140"/>
  <c r="CX18" i="140"/>
  <c r="EI18" i="140"/>
  <c r="FT18" i="140"/>
  <c r="HE18" i="140"/>
  <c r="HE19" i="140"/>
  <c r="GR20" i="140"/>
  <c r="HF20" i="140" s="1"/>
  <c r="BM21" i="140"/>
  <c r="HE21" i="140"/>
  <c r="GR22" i="140"/>
  <c r="HF22" i="140" s="1"/>
  <c r="AB26" i="140"/>
  <c r="CX26" i="140"/>
  <c r="FT26" i="140"/>
  <c r="GR19" i="140"/>
  <c r="HF19" i="140" s="1"/>
  <c r="GR21" i="140"/>
  <c r="HF21" i="140" s="1"/>
  <c r="O26" i="140"/>
  <c r="AC26" i="140" s="1"/>
  <c r="AH26" i="140"/>
  <c r="AZ26" i="140"/>
  <c r="BN26" i="140" s="1"/>
  <c r="BS26" i="140"/>
  <c r="CK26" i="140"/>
  <c r="CY26" i="140" s="1"/>
  <c r="DD26" i="140"/>
  <c r="DV26" i="140"/>
  <c r="EJ26" i="140" s="1"/>
  <c r="EO26" i="140"/>
  <c r="FG26" i="140"/>
  <c r="FU26" i="140" s="1"/>
  <c r="FZ26" i="140"/>
  <c r="HP18" i="139"/>
  <c r="AB20" i="139"/>
  <c r="AB26" i="139"/>
  <c r="AB21" i="139"/>
  <c r="AB19" i="139"/>
  <c r="AB17" i="139"/>
  <c r="BM20" i="139"/>
  <c r="BM26" i="139"/>
  <c r="BM21" i="139"/>
  <c r="BM19" i="139"/>
  <c r="BM17" i="139"/>
  <c r="CX20" i="139"/>
  <c r="CX26" i="139"/>
  <c r="CX21" i="139"/>
  <c r="CX19" i="139"/>
  <c r="CX17" i="139"/>
  <c r="EI20" i="139"/>
  <c r="EI26" i="139"/>
  <c r="EI21" i="139"/>
  <c r="EI19" i="139"/>
  <c r="EI17" i="139"/>
  <c r="EI15" i="139"/>
  <c r="FT20" i="139"/>
  <c r="FT26" i="139"/>
  <c r="FT21" i="139"/>
  <c r="FT19" i="139"/>
  <c r="FT17" i="139"/>
  <c r="FT15" i="139"/>
  <c r="HE20" i="139"/>
  <c r="HE26" i="139"/>
  <c r="HE21" i="139"/>
  <c r="HE19" i="139"/>
  <c r="HE17" i="139"/>
  <c r="HE15" i="139"/>
  <c r="HP16" i="139"/>
  <c r="GQ15" i="139"/>
  <c r="GR14" i="139"/>
  <c r="HF14" i="139" s="1"/>
  <c r="FG15" i="139"/>
  <c r="FU15" i="139" s="1"/>
  <c r="GB15" i="139"/>
  <c r="AC13" i="139"/>
  <c r="BN13" i="139"/>
  <c r="CY13" i="139"/>
  <c r="EJ13" i="139"/>
  <c r="EO27" i="139"/>
  <c r="FU13" i="139"/>
  <c r="GR13" i="139"/>
  <c r="HP13" i="139"/>
  <c r="AB14" i="139"/>
  <c r="BM14" i="139"/>
  <c r="CX14" i="139"/>
  <c r="EI14" i="139"/>
  <c r="FT14" i="139"/>
  <c r="HE14" i="139"/>
  <c r="O15" i="139"/>
  <c r="AC15" i="139" s="1"/>
  <c r="AH15" i="139"/>
  <c r="AZ15" i="139"/>
  <c r="BN15" i="139" s="1"/>
  <c r="BS15" i="139"/>
  <c r="CK15" i="139"/>
  <c r="CY15" i="139" s="1"/>
  <c r="DD15" i="139"/>
  <c r="DV15" i="139"/>
  <c r="EJ15" i="139" s="1"/>
  <c r="BM16" i="139"/>
  <c r="CX16" i="139"/>
  <c r="GN15" i="139"/>
  <c r="HE16" i="139"/>
  <c r="GR17" i="139"/>
  <c r="HF17" i="139" s="1"/>
  <c r="CX18" i="139"/>
  <c r="EI18" i="139"/>
  <c r="FT18" i="139"/>
  <c r="GR16" i="139"/>
  <c r="HF16" i="139" s="1"/>
  <c r="GR18" i="139"/>
  <c r="HF18" i="139" s="1"/>
  <c r="GR20" i="139"/>
  <c r="HF20" i="139" s="1"/>
  <c r="GR22" i="139"/>
  <c r="HF22" i="139" s="1"/>
  <c r="GR19" i="139"/>
  <c r="HF19" i="139" s="1"/>
  <c r="GR21" i="139"/>
  <c r="HF21" i="139" s="1"/>
  <c r="O26" i="139"/>
  <c r="AC26" i="139" s="1"/>
  <c r="AH26" i="139"/>
  <c r="AZ26" i="139"/>
  <c r="BN26" i="139" s="1"/>
  <c r="BS26" i="139"/>
  <c r="CK26" i="139"/>
  <c r="CY26" i="139" s="1"/>
  <c r="DD26" i="139"/>
  <c r="DV26" i="139"/>
  <c r="EJ26" i="139" s="1"/>
  <c r="EO26" i="139"/>
  <c r="FG26" i="139"/>
  <c r="FU26" i="139" s="1"/>
  <c r="FZ26" i="139"/>
  <c r="J15" i="77"/>
  <c r="HS15" i="77" s="1"/>
  <c r="K15" i="77"/>
  <c r="L15" i="77"/>
  <c r="N15" i="77"/>
  <c r="AH27" i="139" l="1"/>
  <c r="HN23" i="140"/>
  <c r="GE23" i="140"/>
  <c r="H36" i="141" s="1"/>
  <c r="H25" i="141" s="1"/>
  <c r="HN24" i="140"/>
  <c r="GE24" i="140"/>
  <c r="H37" i="141" s="1"/>
  <c r="H26" i="141" s="1"/>
  <c r="HN24" i="139"/>
  <c r="GE24" i="139"/>
  <c r="G37" i="141" s="1"/>
  <c r="G26" i="141" s="1"/>
  <c r="HN23" i="139"/>
  <c r="GE23" i="139"/>
  <c r="G36" i="141" s="1"/>
  <c r="G25" i="141" s="1"/>
  <c r="EO27" i="140"/>
  <c r="FZ27" i="139"/>
  <c r="BS27" i="140"/>
  <c r="EF274" i="141"/>
  <c r="EF302" i="141"/>
  <c r="EG302" i="141"/>
  <c r="EG274" i="141"/>
  <c r="CK27" i="140"/>
  <c r="DD27" i="140"/>
  <c r="FG27" i="140"/>
  <c r="HK18" i="140"/>
  <c r="HK21" i="140"/>
  <c r="HK14" i="140"/>
  <c r="HK17" i="140"/>
  <c r="O27" i="140"/>
  <c r="EE242" i="141"/>
  <c r="AD248" i="141"/>
  <c r="EF242" i="141"/>
  <c r="EG242" i="141"/>
  <c r="GR15" i="140"/>
  <c r="HF15" i="140" s="1"/>
  <c r="HP15" i="140"/>
  <c r="HF13" i="140"/>
  <c r="GR26" i="140"/>
  <c r="HF26" i="140" s="1"/>
  <c r="HK22" i="140"/>
  <c r="HK20" i="140"/>
  <c r="HK16" i="140"/>
  <c r="HP26" i="140"/>
  <c r="DV27" i="140"/>
  <c r="AZ27" i="140"/>
  <c r="HK15" i="140"/>
  <c r="HK19" i="140"/>
  <c r="HK26" i="140"/>
  <c r="GR27" i="139"/>
  <c r="HF13" i="139"/>
  <c r="GR26" i="139"/>
  <c r="HF26" i="139" s="1"/>
  <c r="HP15" i="139"/>
  <c r="HK15" i="139"/>
  <c r="HK13" i="139"/>
  <c r="HK18" i="139"/>
  <c r="HK22" i="139"/>
  <c r="HK21" i="139"/>
  <c r="FG27" i="139"/>
  <c r="DV27" i="139"/>
  <c r="CK27" i="139"/>
  <c r="AZ27" i="139"/>
  <c r="O27" i="139"/>
  <c r="HK14" i="139"/>
  <c r="HK17" i="139"/>
  <c r="HK16" i="139"/>
  <c r="HK20" i="139"/>
  <c r="HK19" i="139"/>
  <c r="HK26" i="139"/>
  <c r="GR27" i="140" l="1"/>
  <c r="EF248" i="141"/>
  <c r="EE248" i="141"/>
  <c r="EG248" i="141"/>
  <c r="HK27" i="140"/>
  <c r="HK27" i="139"/>
  <c r="CT22" i="140" l="1"/>
  <c r="CT22" i="139"/>
  <c r="FV26" i="140"/>
  <c r="FO22" i="140"/>
  <c r="FO22" i="139"/>
  <c r="FM22" i="140"/>
  <c r="FY22" i="140" s="1"/>
  <c r="GA22" i="140" s="1"/>
  <c r="FM22" i="139"/>
  <c r="FY22" i="139" s="1"/>
  <c r="GA22" i="139" s="1"/>
  <c r="CQ20" i="140"/>
  <c r="CQ18" i="140"/>
  <c r="CQ16" i="140"/>
  <c r="CQ14" i="140"/>
  <c r="CQ21" i="140"/>
  <c r="CQ15" i="140"/>
  <c r="CQ19" i="140"/>
  <c r="CQ26" i="140"/>
  <c r="CQ13" i="140"/>
  <c r="CQ17" i="140"/>
  <c r="CQ17" i="139"/>
  <c r="CQ14" i="139"/>
  <c r="CQ26" i="139"/>
  <c r="CQ20" i="139"/>
  <c r="CQ16" i="139"/>
  <c r="CQ13" i="139"/>
  <c r="CQ21" i="139"/>
  <c r="CQ18" i="139"/>
  <c r="CQ15" i="139"/>
  <c r="CQ19" i="139"/>
  <c r="CT18" i="140"/>
  <c r="CT16" i="140"/>
  <c r="CT14" i="140"/>
  <c r="CT21" i="140"/>
  <c r="CT13" i="140"/>
  <c r="CT17" i="140"/>
  <c r="CT20" i="140"/>
  <c r="CT26" i="140"/>
  <c r="CT15" i="140"/>
  <c r="CT19" i="140"/>
  <c r="CT19" i="139"/>
  <c r="CT14" i="139"/>
  <c r="CT21" i="139"/>
  <c r="CT18" i="139"/>
  <c r="CT15" i="139"/>
  <c r="CT26" i="139"/>
  <c r="CT20" i="139"/>
  <c r="CT16" i="139"/>
  <c r="CT13" i="139"/>
  <c r="CT17" i="139"/>
  <c r="CS22" i="140"/>
  <c r="CS22" i="139"/>
  <c r="CZ26" i="139"/>
  <c r="CZ22" i="139"/>
  <c r="CQ22" i="139"/>
  <c r="CQ22" i="140"/>
  <c r="CZ22" i="140"/>
  <c r="CZ26" i="140"/>
  <c r="FP22" i="140"/>
  <c r="FP22" i="139"/>
  <c r="FV22" i="139"/>
  <c r="FV26" i="139"/>
  <c r="EE22" i="140"/>
  <c r="EE22" i="139"/>
  <c r="EB22" i="140"/>
  <c r="EB22" i="139"/>
  <c r="FV22" i="140" l="1"/>
  <c r="X22" i="140"/>
  <c r="X22" i="139"/>
  <c r="DC15" i="139"/>
  <c r="DE15" i="139" s="1"/>
  <c r="DF15" i="139" s="1"/>
  <c r="DC21" i="139"/>
  <c r="DE21" i="139" s="1"/>
  <c r="DF21" i="139" s="1"/>
  <c r="DC16" i="139"/>
  <c r="DE16" i="139" s="1"/>
  <c r="DF16" i="139" s="1"/>
  <c r="DC26" i="139"/>
  <c r="DE26" i="139" s="1"/>
  <c r="DF26" i="139" s="1"/>
  <c r="DC17" i="139"/>
  <c r="DE17" i="139" s="1"/>
  <c r="DC13" i="140"/>
  <c r="DE13" i="140" s="1"/>
  <c r="DF13" i="140" s="1"/>
  <c r="DC19" i="140"/>
  <c r="DE19" i="140" s="1"/>
  <c r="DF19" i="140" s="1"/>
  <c r="DC21" i="140"/>
  <c r="DE21" i="140" s="1"/>
  <c r="DF21" i="140" s="1"/>
  <c r="DC16" i="140"/>
  <c r="DE16" i="140" s="1"/>
  <c r="DF16" i="140" s="1"/>
  <c r="DC20" i="140"/>
  <c r="DE20" i="140" s="1"/>
  <c r="CS15" i="140"/>
  <c r="CS13" i="140"/>
  <c r="CS20" i="140"/>
  <c r="CS18" i="140"/>
  <c r="CS14" i="140"/>
  <c r="CS17" i="140"/>
  <c r="CS26" i="140"/>
  <c r="CS16" i="140"/>
  <c r="CS19" i="140"/>
  <c r="CS21" i="140"/>
  <c r="DC19" i="139"/>
  <c r="DE19" i="139" s="1"/>
  <c r="DF19" i="139" s="1"/>
  <c r="DC18" i="139"/>
  <c r="DE18" i="139" s="1"/>
  <c r="DC13" i="139"/>
  <c r="DE13" i="139" s="1"/>
  <c r="DF13" i="139" s="1"/>
  <c r="DC20" i="139"/>
  <c r="DE20" i="139" s="1"/>
  <c r="DC14" i="139"/>
  <c r="DE14" i="139" s="1"/>
  <c r="DF14" i="139" s="1"/>
  <c r="DC17" i="140"/>
  <c r="DE17" i="140" s="1"/>
  <c r="DC26" i="140"/>
  <c r="DE26" i="140" s="1"/>
  <c r="DF26" i="140" s="1"/>
  <c r="DC15" i="140"/>
  <c r="DE15" i="140" s="1"/>
  <c r="DF15" i="140" s="1"/>
  <c r="DC14" i="140"/>
  <c r="DE14" i="140" s="1"/>
  <c r="DF14" i="140" s="1"/>
  <c r="DC18" i="140"/>
  <c r="DE18" i="140" s="1"/>
  <c r="CZ21" i="139"/>
  <c r="CZ17" i="139"/>
  <c r="CZ18" i="139"/>
  <c r="CZ15" i="139"/>
  <c r="CZ20" i="139"/>
  <c r="CZ19" i="139"/>
  <c r="CZ14" i="139"/>
  <c r="CZ16" i="139"/>
  <c r="CZ13" i="139"/>
  <c r="CZ19" i="140"/>
  <c r="CZ17" i="140"/>
  <c r="CZ21" i="140"/>
  <c r="CZ16" i="140"/>
  <c r="CZ15" i="140"/>
  <c r="CZ20" i="140"/>
  <c r="CZ18" i="140"/>
  <c r="CZ14" i="140"/>
  <c r="CZ13" i="140"/>
  <c r="CS20" i="139"/>
  <c r="CS21" i="139"/>
  <c r="CS17" i="139"/>
  <c r="CS16" i="139"/>
  <c r="CS15" i="139"/>
  <c r="CS26" i="139"/>
  <c r="CS19" i="139"/>
  <c r="CS18" i="139"/>
  <c r="CS14" i="139"/>
  <c r="CS13" i="139"/>
  <c r="FM14" i="139"/>
  <c r="FM17" i="139"/>
  <c r="FM15" i="139"/>
  <c r="FM26" i="139"/>
  <c r="FM20" i="139"/>
  <c r="FM16" i="139"/>
  <c r="FM21" i="139"/>
  <c r="FM18" i="139"/>
  <c r="FM13" i="139"/>
  <c r="FM19" i="139"/>
  <c r="FV20" i="139"/>
  <c r="FV17" i="139"/>
  <c r="FV16" i="139"/>
  <c r="FV19" i="139"/>
  <c r="FV13" i="139"/>
  <c r="FV21" i="139"/>
  <c r="FV15" i="139"/>
  <c r="FV14" i="139"/>
  <c r="FV18" i="139"/>
  <c r="FP19" i="139"/>
  <c r="FP14" i="139"/>
  <c r="FP21" i="139"/>
  <c r="FP18" i="139"/>
  <c r="FP13" i="139"/>
  <c r="FP17" i="139"/>
  <c r="FP26" i="139"/>
  <c r="FP20" i="139"/>
  <c r="FP16" i="139"/>
  <c r="FP15" i="139"/>
  <c r="FM18" i="140"/>
  <c r="FM16" i="140"/>
  <c r="FM20" i="140"/>
  <c r="FM14" i="140"/>
  <c r="FM21" i="140"/>
  <c r="FM17" i="140"/>
  <c r="FM26" i="140"/>
  <c r="FM13" i="140"/>
  <c r="FM15" i="140"/>
  <c r="FM19" i="140"/>
  <c r="FO26" i="139"/>
  <c r="FO19" i="139"/>
  <c r="FO15" i="139"/>
  <c r="FO14" i="139"/>
  <c r="FO13" i="139"/>
  <c r="FO20" i="139"/>
  <c r="FO21" i="139"/>
  <c r="FO17" i="139"/>
  <c r="FO18" i="139"/>
  <c r="FO16" i="139"/>
  <c r="FO15" i="140"/>
  <c r="FO19" i="140"/>
  <c r="FO26" i="140"/>
  <c r="FO16" i="140"/>
  <c r="FO13" i="140"/>
  <c r="FO17" i="140"/>
  <c r="FO21" i="140"/>
  <c r="FO20" i="140"/>
  <c r="FO18" i="140"/>
  <c r="FO14" i="140"/>
  <c r="FV17" i="140"/>
  <c r="FV13" i="140"/>
  <c r="FV20" i="140"/>
  <c r="FV19" i="140"/>
  <c r="FV16" i="140"/>
  <c r="FV15" i="140"/>
  <c r="FV21" i="140"/>
  <c r="FV18" i="140"/>
  <c r="FV14" i="140"/>
  <c r="FP14" i="140"/>
  <c r="FP18" i="140"/>
  <c r="FP16" i="140"/>
  <c r="FP21" i="140"/>
  <c r="FP13" i="140"/>
  <c r="FP15" i="140"/>
  <c r="FP19" i="140"/>
  <c r="FP26" i="140"/>
  <c r="FP17" i="140"/>
  <c r="FP20" i="140"/>
  <c r="U17" i="139"/>
  <c r="AG17" i="139" s="1"/>
  <c r="AI17" i="139" s="1"/>
  <c r="U14" i="139"/>
  <c r="AG14" i="139" s="1"/>
  <c r="AI14" i="139" s="1"/>
  <c r="AJ14" i="139" s="1"/>
  <c r="U26" i="139"/>
  <c r="AG26" i="139" s="1"/>
  <c r="AI26" i="139" s="1"/>
  <c r="AJ26" i="139" s="1"/>
  <c r="U20" i="139"/>
  <c r="AG20" i="139" s="1"/>
  <c r="AI20" i="139" s="1"/>
  <c r="AJ20" i="139" s="1"/>
  <c r="U16" i="139"/>
  <c r="AG16" i="139" s="1"/>
  <c r="AI16" i="139" s="1"/>
  <c r="AJ16" i="139" s="1"/>
  <c r="U21" i="139"/>
  <c r="AG21" i="139" s="1"/>
  <c r="AI21" i="139" s="1"/>
  <c r="AJ21" i="139" s="1"/>
  <c r="U18" i="139"/>
  <c r="AG18" i="139" s="1"/>
  <c r="AI18" i="139" s="1"/>
  <c r="U13" i="139"/>
  <c r="AG13" i="139" s="1"/>
  <c r="AI13" i="139" s="1"/>
  <c r="AJ13" i="139" s="1"/>
  <c r="U15" i="139"/>
  <c r="AG15" i="139" s="1"/>
  <c r="AI15" i="139" s="1"/>
  <c r="AJ15" i="139" s="1"/>
  <c r="U19" i="139"/>
  <c r="AG19" i="139" s="1"/>
  <c r="AI19" i="139" s="1"/>
  <c r="AJ19" i="139" s="1"/>
  <c r="AD20" i="139"/>
  <c r="AD19" i="139"/>
  <c r="AD18" i="139"/>
  <c r="AD14" i="139"/>
  <c r="AD13" i="139"/>
  <c r="AD21" i="139"/>
  <c r="AD17" i="139"/>
  <c r="AD16" i="139"/>
  <c r="AD15" i="139"/>
  <c r="U20" i="140"/>
  <c r="AG20" i="140" s="1"/>
  <c r="AI20" i="140" s="1"/>
  <c r="AJ20" i="140" s="1"/>
  <c r="U14" i="140"/>
  <c r="AG14" i="140" s="1"/>
  <c r="AI14" i="140" s="1"/>
  <c r="AJ14" i="140" s="1"/>
  <c r="U18" i="140"/>
  <c r="AG18" i="140" s="1"/>
  <c r="AI18" i="140" s="1"/>
  <c r="U16" i="140"/>
  <c r="AG16" i="140" s="1"/>
  <c r="AI16" i="140" s="1"/>
  <c r="AJ16" i="140" s="1"/>
  <c r="U21" i="140"/>
  <c r="AG21" i="140" s="1"/>
  <c r="AI21" i="140" s="1"/>
  <c r="AJ21" i="140" s="1"/>
  <c r="U15" i="140"/>
  <c r="AG15" i="140" s="1"/>
  <c r="AI15" i="140" s="1"/>
  <c r="AJ15" i="140" s="1"/>
  <c r="U17" i="140"/>
  <c r="AG17" i="140" s="1"/>
  <c r="AI17" i="140" s="1"/>
  <c r="U19" i="140"/>
  <c r="AG19" i="140" s="1"/>
  <c r="AI19" i="140" s="1"/>
  <c r="AJ19" i="140" s="1"/>
  <c r="U26" i="140"/>
  <c r="AG26" i="140" s="1"/>
  <c r="AI26" i="140" s="1"/>
  <c r="AJ26" i="140" s="1"/>
  <c r="U13" i="140"/>
  <c r="AG13" i="140" s="1"/>
  <c r="AI13" i="140" s="1"/>
  <c r="AJ13" i="140" s="1"/>
  <c r="AD19" i="140"/>
  <c r="AD13" i="140"/>
  <c r="AD20" i="140"/>
  <c r="AD18" i="140"/>
  <c r="AD14" i="140"/>
  <c r="AD21" i="140"/>
  <c r="AD16" i="140"/>
  <c r="AD15" i="140"/>
  <c r="AD17" i="140"/>
  <c r="EB16" i="140"/>
  <c r="EB18" i="140"/>
  <c r="EB14" i="140"/>
  <c r="EB26" i="140"/>
  <c r="EB15" i="140"/>
  <c r="EB19" i="140"/>
  <c r="EB21" i="140"/>
  <c r="EB13" i="140"/>
  <c r="EB17" i="140"/>
  <c r="EB20" i="140"/>
  <c r="EE17" i="139"/>
  <c r="EE14" i="139"/>
  <c r="EE15" i="139"/>
  <c r="EE21" i="139"/>
  <c r="EE18" i="139"/>
  <c r="EE13" i="139"/>
  <c r="EE26" i="139"/>
  <c r="EE20" i="139"/>
  <c r="EE16" i="139"/>
  <c r="EE19" i="139"/>
  <c r="EK15" i="140"/>
  <c r="EK13" i="140"/>
  <c r="EK17" i="140"/>
  <c r="EK21" i="140"/>
  <c r="EK16" i="140"/>
  <c r="EK20" i="140"/>
  <c r="EK18" i="140"/>
  <c r="EK14" i="140"/>
  <c r="EK19" i="140"/>
  <c r="EB19" i="139"/>
  <c r="EB14" i="139"/>
  <c r="EB26" i="139"/>
  <c r="EB20" i="139"/>
  <c r="EB16" i="139"/>
  <c r="EB15" i="139"/>
  <c r="EB17" i="139"/>
  <c r="EB21" i="139"/>
  <c r="EB18" i="139"/>
  <c r="EB13" i="139"/>
  <c r="EE20" i="140"/>
  <c r="EE18" i="140"/>
  <c r="EE14" i="140"/>
  <c r="EE16" i="140"/>
  <c r="EE26" i="140"/>
  <c r="EE13" i="140"/>
  <c r="EE17" i="140"/>
  <c r="EE21" i="140"/>
  <c r="EE15" i="140"/>
  <c r="EE19" i="140"/>
  <c r="EK20" i="139"/>
  <c r="EK19" i="139"/>
  <c r="EK15" i="139"/>
  <c r="EK14" i="139"/>
  <c r="EK13" i="139"/>
  <c r="EK21" i="139"/>
  <c r="EK17" i="139"/>
  <c r="EK16" i="139"/>
  <c r="EK18" i="139"/>
  <c r="BO20" i="139"/>
  <c r="BO19" i="139"/>
  <c r="BO18" i="139"/>
  <c r="BO16" i="139"/>
  <c r="BO13" i="139"/>
  <c r="BO21" i="139"/>
  <c r="BO17" i="139"/>
  <c r="BO14" i="139"/>
  <c r="BO15" i="139"/>
  <c r="BO21" i="140"/>
  <c r="BO15" i="140"/>
  <c r="BO18" i="140"/>
  <c r="BO14" i="140"/>
  <c r="BO13" i="140"/>
  <c r="BO17" i="140"/>
  <c r="BO19" i="140"/>
  <c r="BO20" i="140"/>
  <c r="BO16" i="140"/>
  <c r="BF18" i="140"/>
  <c r="BR18" i="140" s="1"/>
  <c r="BT18" i="140" s="1"/>
  <c r="BU18" i="140" s="1"/>
  <c r="BF16" i="140"/>
  <c r="BR16" i="140" s="1"/>
  <c r="BT16" i="140" s="1"/>
  <c r="BU16" i="140" s="1"/>
  <c r="BF14" i="140"/>
  <c r="BR14" i="140" s="1"/>
  <c r="BT14" i="140" s="1"/>
  <c r="BF21" i="140"/>
  <c r="BR21" i="140" s="1"/>
  <c r="BT21" i="140" s="1"/>
  <c r="BU21" i="140" s="1"/>
  <c r="BF13" i="140"/>
  <c r="BR13" i="140" s="1"/>
  <c r="BT13" i="140" s="1"/>
  <c r="BF15" i="140"/>
  <c r="BR15" i="140" s="1"/>
  <c r="BT15" i="140" s="1"/>
  <c r="BU15" i="140" s="1"/>
  <c r="BF19" i="140"/>
  <c r="BR19" i="140" s="1"/>
  <c r="BT19" i="140" s="1"/>
  <c r="BU19" i="140" s="1"/>
  <c r="BF20" i="140"/>
  <c r="BR20" i="140" s="1"/>
  <c r="BT20" i="140" s="1"/>
  <c r="BU20" i="140" s="1"/>
  <c r="BF26" i="140"/>
  <c r="BR26" i="140" s="1"/>
  <c r="BT26" i="140" s="1"/>
  <c r="BU26" i="140" s="1"/>
  <c r="BF17" i="140"/>
  <c r="BR17" i="140" s="1"/>
  <c r="BT17" i="140" s="1"/>
  <c r="BU17" i="140" s="1"/>
  <c r="BF14" i="139"/>
  <c r="BR14" i="139" s="1"/>
  <c r="BT14" i="139" s="1"/>
  <c r="BF19" i="139"/>
  <c r="BR19" i="139" s="1"/>
  <c r="BT19" i="139" s="1"/>
  <c r="BU19" i="139" s="1"/>
  <c r="BF26" i="139"/>
  <c r="BR26" i="139" s="1"/>
  <c r="BT26" i="139" s="1"/>
  <c r="BU26" i="139" s="1"/>
  <c r="BF20" i="139"/>
  <c r="BR20" i="139" s="1"/>
  <c r="BT20" i="139" s="1"/>
  <c r="BU20" i="139" s="1"/>
  <c r="BF16" i="139"/>
  <c r="BR16" i="139" s="1"/>
  <c r="BT16" i="139" s="1"/>
  <c r="BU16" i="139" s="1"/>
  <c r="BF13" i="139"/>
  <c r="BR13" i="139" s="1"/>
  <c r="BT13" i="139" s="1"/>
  <c r="BF17" i="139"/>
  <c r="BR17" i="139" s="1"/>
  <c r="BT17" i="139" s="1"/>
  <c r="BU17" i="139" s="1"/>
  <c r="BF21" i="139"/>
  <c r="BR21" i="139" s="1"/>
  <c r="BT21" i="139" s="1"/>
  <c r="BU21" i="139" s="1"/>
  <c r="BF18" i="139"/>
  <c r="BR18" i="139" s="1"/>
  <c r="BT18" i="139" s="1"/>
  <c r="BU18" i="139" s="1"/>
  <c r="BF15" i="139"/>
  <c r="BR15" i="139" s="1"/>
  <c r="BT15" i="139" s="1"/>
  <c r="BU15" i="139" s="1"/>
  <c r="BI20" i="140"/>
  <c r="BI18" i="140"/>
  <c r="BI16" i="140"/>
  <c r="BI14" i="140"/>
  <c r="BI26" i="140"/>
  <c r="BI17" i="140"/>
  <c r="BI21" i="140"/>
  <c r="BI13" i="140"/>
  <c r="BI15" i="140"/>
  <c r="BI19" i="140"/>
  <c r="BI14" i="139"/>
  <c r="BI17" i="139"/>
  <c r="BI26" i="139"/>
  <c r="BI20" i="139"/>
  <c r="BI16" i="139"/>
  <c r="BI13" i="139"/>
  <c r="BI19" i="139"/>
  <c r="BI21" i="139"/>
  <c r="BI18" i="139"/>
  <c r="BI15" i="139"/>
  <c r="DC22" i="140"/>
  <c r="DE22" i="140" s="1"/>
  <c r="DC22" i="139"/>
  <c r="DE22" i="139" s="1"/>
  <c r="U22" i="139"/>
  <c r="U22" i="140"/>
  <c r="EN22" i="140"/>
  <c r="EP22" i="140" s="1"/>
  <c r="EK26" i="139"/>
  <c r="EK22" i="139"/>
  <c r="EN22" i="139"/>
  <c r="EP22" i="139" s="1"/>
  <c r="EK26" i="140"/>
  <c r="EK22" i="140"/>
  <c r="BF22" i="140"/>
  <c r="BF22" i="139"/>
  <c r="BO22" i="140"/>
  <c r="BO26" i="140"/>
  <c r="BI22" i="140"/>
  <c r="BI22" i="139"/>
  <c r="BH22" i="140"/>
  <c r="BH22" i="139"/>
  <c r="BO22" i="139"/>
  <c r="BO26" i="139"/>
  <c r="DE27" i="140" l="1"/>
  <c r="DE27" i="139"/>
  <c r="ED22" i="140"/>
  <c r="ED22" i="139"/>
  <c r="CW26" i="139"/>
  <c r="CV26" i="139" s="1"/>
  <c r="BY26" i="139" s="1"/>
  <c r="CW22" i="139"/>
  <c r="CV22" i="139" s="1"/>
  <c r="CW18" i="139"/>
  <c r="CV18" i="139" s="1"/>
  <c r="CW19" i="139"/>
  <c r="CV19" i="139" s="1"/>
  <c r="CW13" i="139"/>
  <c r="CV13" i="139" s="1"/>
  <c r="BY13" i="139" s="1"/>
  <c r="CW14" i="139"/>
  <c r="CV14" i="139" s="1"/>
  <c r="CW21" i="139"/>
  <c r="CV21" i="139" s="1"/>
  <c r="CW20" i="139"/>
  <c r="CV20" i="139" s="1"/>
  <c r="CW16" i="139"/>
  <c r="CV16" i="139" s="1"/>
  <c r="CW15" i="139"/>
  <c r="CV15" i="139" s="1"/>
  <c r="CW17" i="139"/>
  <c r="CV17" i="139" s="1"/>
  <c r="CW16" i="140"/>
  <c r="CV16" i="140" s="1"/>
  <c r="CW21" i="140"/>
  <c r="CV21" i="140" s="1"/>
  <c r="BY21" i="140" s="1"/>
  <c r="CW17" i="140"/>
  <c r="CV17" i="140" s="1"/>
  <c r="CW13" i="140"/>
  <c r="CV13" i="140" s="1"/>
  <c r="BZ13" i="140" s="1"/>
  <c r="DG13" i="140" s="1"/>
  <c r="CW14" i="140"/>
  <c r="CV14" i="140" s="1"/>
  <c r="CW20" i="140"/>
  <c r="CV20" i="140" s="1"/>
  <c r="BY20" i="140" s="1"/>
  <c r="CW22" i="140"/>
  <c r="CV22" i="140" s="1"/>
  <c r="CW26" i="140"/>
  <c r="CV26" i="140" s="1"/>
  <c r="CW19" i="140"/>
  <c r="CV19" i="140" s="1"/>
  <c r="CW15" i="140"/>
  <c r="CV15" i="140" s="1"/>
  <c r="CW18" i="140"/>
  <c r="CV18" i="140" s="1"/>
  <c r="CB13" i="140"/>
  <c r="FY15" i="140"/>
  <c r="GA15" i="140" s="1"/>
  <c r="FY26" i="140"/>
  <c r="GA26" i="140" s="1"/>
  <c r="GB26" i="140" s="1"/>
  <c r="FY21" i="140"/>
  <c r="GA21" i="140" s="1"/>
  <c r="FY20" i="140"/>
  <c r="GA20" i="140" s="1"/>
  <c r="GB20" i="140" s="1"/>
  <c r="FY18" i="140"/>
  <c r="GA18" i="140" s="1"/>
  <c r="FY19" i="139"/>
  <c r="GA19" i="139" s="1"/>
  <c r="FY18" i="139"/>
  <c r="GA18" i="139" s="1"/>
  <c r="FY16" i="139"/>
  <c r="GA16" i="139" s="1"/>
  <c r="FY26" i="139"/>
  <c r="GA26" i="139" s="1"/>
  <c r="GB26" i="139" s="1"/>
  <c r="FY17" i="139"/>
  <c r="GA17" i="139" s="1"/>
  <c r="FS21" i="139"/>
  <c r="FR21" i="139" s="1"/>
  <c r="EX21" i="139" s="1"/>
  <c r="FS20" i="139"/>
  <c r="FR20" i="139" s="1"/>
  <c r="EU20" i="139" s="1"/>
  <c r="FS16" i="139"/>
  <c r="FR16" i="139" s="1"/>
  <c r="EX16" i="139" s="1"/>
  <c r="FS13" i="139"/>
  <c r="FR13" i="139" s="1"/>
  <c r="EV13" i="139" s="1"/>
  <c r="GC13" i="139" s="1"/>
  <c r="FS15" i="139"/>
  <c r="FR15" i="139" s="1"/>
  <c r="EU15" i="139" s="1"/>
  <c r="FS26" i="139"/>
  <c r="FR26" i="139" s="1"/>
  <c r="EX26" i="139" s="1"/>
  <c r="FS22" i="139"/>
  <c r="FR22" i="139" s="1"/>
  <c r="FS18" i="139"/>
  <c r="FR18" i="139" s="1"/>
  <c r="EU18" i="139" s="1"/>
  <c r="FS19" i="139"/>
  <c r="FR19" i="139" s="1"/>
  <c r="EX19" i="139" s="1"/>
  <c r="FS17" i="139"/>
  <c r="FR17" i="139" s="1"/>
  <c r="EX17" i="139" s="1"/>
  <c r="FS14" i="139"/>
  <c r="FR14" i="139" s="1"/>
  <c r="EX14" i="139" s="1"/>
  <c r="FS16" i="140"/>
  <c r="FR16" i="140" s="1"/>
  <c r="EX16" i="140" s="1"/>
  <c r="FS26" i="140"/>
  <c r="FR26" i="140" s="1"/>
  <c r="EX26" i="140" s="1"/>
  <c r="FS19" i="140"/>
  <c r="FR19" i="140" s="1"/>
  <c r="EX19" i="140" s="1"/>
  <c r="FS15" i="140"/>
  <c r="FR15" i="140" s="1"/>
  <c r="EV15" i="140" s="1"/>
  <c r="GC15" i="140" s="1"/>
  <c r="FS18" i="140"/>
  <c r="FR18" i="140" s="1"/>
  <c r="EU18" i="140" s="1"/>
  <c r="FS20" i="140"/>
  <c r="FR20" i="140" s="1"/>
  <c r="EX20" i="140" s="1"/>
  <c r="FS22" i="140"/>
  <c r="FR22" i="140" s="1"/>
  <c r="FS21" i="140"/>
  <c r="FR21" i="140" s="1"/>
  <c r="EX21" i="140" s="1"/>
  <c r="FS17" i="140"/>
  <c r="FR17" i="140" s="1"/>
  <c r="EU17" i="140" s="1"/>
  <c r="FS13" i="140"/>
  <c r="FR13" i="140" s="1"/>
  <c r="EX13" i="140" s="1"/>
  <c r="FS14" i="140"/>
  <c r="FR14" i="140" s="1"/>
  <c r="EX14" i="140" s="1"/>
  <c r="FY19" i="140"/>
  <c r="GA19" i="140" s="1"/>
  <c r="FY13" i="140"/>
  <c r="GA13" i="140" s="1"/>
  <c r="FY17" i="140"/>
  <c r="GA17" i="140" s="1"/>
  <c r="FY14" i="140"/>
  <c r="GA14" i="140" s="1"/>
  <c r="FY16" i="140"/>
  <c r="GA16" i="140" s="1"/>
  <c r="EV16" i="140"/>
  <c r="GC16" i="140" s="1"/>
  <c r="FY13" i="139"/>
  <c r="GA13" i="139" s="1"/>
  <c r="FY21" i="139"/>
  <c r="GA21" i="139" s="1"/>
  <c r="FY20" i="139"/>
  <c r="GA20" i="139" s="1"/>
  <c r="GB20" i="139" s="1"/>
  <c r="EV20" i="139"/>
  <c r="EX20" i="139"/>
  <c r="FY15" i="139"/>
  <c r="GA15" i="139" s="1"/>
  <c r="EV15" i="139"/>
  <c r="GC15" i="139" s="1"/>
  <c r="FY14" i="139"/>
  <c r="GA14" i="139" s="1"/>
  <c r="EU17" i="139"/>
  <c r="X18" i="140"/>
  <c r="X16" i="140"/>
  <c r="X14" i="140"/>
  <c r="X21" i="140"/>
  <c r="X17" i="140"/>
  <c r="X20" i="140"/>
  <c r="X26" i="140"/>
  <c r="X13" i="140"/>
  <c r="X15" i="140"/>
  <c r="X19" i="140"/>
  <c r="X19" i="139"/>
  <c r="X14" i="139"/>
  <c r="X21" i="139"/>
  <c r="X18" i="139"/>
  <c r="X15" i="139"/>
  <c r="X26" i="139"/>
  <c r="X20" i="139"/>
  <c r="X16" i="139"/>
  <c r="X13" i="139"/>
  <c r="X17" i="139"/>
  <c r="EN13" i="139"/>
  <c r="EP13" i="139" s="1"/>
  <c r="EN21" i="139"/>
  <c r="EP21" i="139" s="1"/>
  <c r="EN15" i="139"/>
  <c r="EP15" i="139" s="1"/>
  <c r="EN20" i="139"/>
  <c r="EP20" i="139" s="1"/>
  <c r="EN14" i="139"/>
  <c r="EP14" i="139" s="1"/>
  <c r="EQ14" i="139" s="1"/>
  <c r="EN17" i="140"/>
  <c r="EP17" i="140" s="1"/>
  <c r="EN21" i="140"/>
  <c r="EP21" i="140" s="1"/>
  <c r="EN15" i="140"/>
  <c r="EP15" i="140" s="1"/>
  <c r="EN14" i="140"/>
  <c r="EP14" i="140" s="1"/>
  <c r="EQ14" i="140" s="1"/>
  <c r="EN16" i="140"/>
  <c r="EP16" i="140" s="1"/>
  <c r="ED26" i="139"/>
  <c r="ED19" i="139"/>
  <c r="ED15" i="139"/>
  <c r="ED14" i="139"/>
  <c r="ED13" i="139"/>
  <c r="ED20" i="139"/>
  <c r="ED21" i="139"/>
  <c r="ED17" i="139"/>
  <c r="ED18" i="139"/>
  <c r="ED16" i="139"/>
  <c r="EH18" i="140"/>
  <c r="EG18" i="140" s="1"/>
  <c r="DM18" i="140" s="1"/>
  <c r="EH14" i="140"/>
  <c r="EG14" i="140" s="1"/>
  <c r="DM14" i="140" s="1"/>
  <c r="EH21" i="140"/>
  <c r="EG21" i="140" s="1"/>
  <c r="DM21" i="140" s="1"/>
  <c r="EH20" i="140"/>
  <c r="EG20" i="140" s="1"/>
  <c r="DM20" i="140" s="1"/>
  <c r="EH17" i="140"/>
  <c r="EG17" i="140" s="1"/>
  <c r="DK17" i="140" s="1"/>
  <c r="ER17" i="140" s="1"/>
  <c r="EH13" i="140"/>
  <c r="EG13" i="140" s="1"/>
  <c r="DK13" i="140" s="1"/>
  <c r="ER13" i="140" s="1"/>
  <c r="EH16" i="140"/>
  <c r="EG16" i="140" s="1"/>
  <c r="DM16" i="140" s="1"/>
  <c r="EH26" i="140"/>
  <c r="EG26" i="140" s="1"/>
  <c r="DM26" i="140" s="1"/>
  <c r="EH22" i="140"/>
  <c r="EG22" i="140" s="1"/>
  <c r="DK22" i="140" s="1"/>
  <c r="ER22" i="140" s="1"/>
  <c r="EH19" i="140"/>
  <c r="EG19" i="140" s="1"/>
  <c r="DM19" i="140" s="1"/>
  <c r="EH15" i="140"/>
  <c r="EG15" i="140" s="1"/>
  <c r="DK15" i="140" s="1"/>
  <c r="ER15" i="140" s="1"/>
  <c r="EN18" i="139"/>
  <c r="EP18" i="139" s="1"/>
  <c r="EN17" i="139"/>
  <c r="EP17" i="139" s="1"/>
  <c r="EN16" i="139"/>
  <c r="EP16" i="139" s="1"/>
  <c r="EN26" i="139"/>
  <c r="EP26" i="139" s="1"/>
  <c r="EQ26" i="139" s="1"/>
  <c r="EN19" i="139"/>
  <c r="EP19" i="139" s="1"/>
  <c r="EN20" i="140"/>
  <c r="EP20" i="140" s="1"/>
  <c r="EN13" i="140"/>
  <c r="EP13" i="140" s="1"/>
  <c r="EN19" i="140"/>
  <c r="EP19" i="140" s="1"/>
  <c r="EN26" i="140"/>
  <c r="EP26" i="140" s="1"/>
  <c r="EQ26" i="140" s="1"/>
  <c r="EN18" i="140"/>
  <c r="EP18" i="140" s="1"/>
  <c r="ED26" i="140"/>
  <c r="ED21" i="140"/>
  <c r="ED19" i="140"/>
  <c r="ED18" i="140"/>
  <c r="ED14" i="140"/>
  <c r="ED20" i="140"/>
  <c r="ED16" i="140"/>
  <c r="ED13" i="140"/>
  <c r="ED15" i="140"/>
  <c r="ED17" i="140"/>
  <c r="EH21" i="139"/>
  <c r="EG21" i="139" s="1"/>
  <c r="DM21" i="139" s="1"/>
  <c r="EH20" i="139"/>
  <c r="EG20" i="139" s="1"/>
  <c r="DM20" i="139" s="1"/>
  <c r="EH16" i="139"/>
  <c r="EG16" i="139" s="1"/>
  <c r="DM16" i="139" s="1"/>
  <c r="EH15" i="139"/>
  <c r="EG15" i="139" s="1"/>
  <c r="DK15" i="139" s="1"/>
  <c r="ER15" i="139" s="1"/>
  <c r="EH19" i="139"/>
  <c r="EG19" i="139" s="1"/>
  <c r="DM19" i="139" s="1"/>
  <c r="EH26" i="139"/>
  <c r="EG26" i="139" s="1"/>
  <c r="DJ26" i="139" s="1"/>
  <c r="EH22" i="139"/>
  <c r="EG22" i="139" s="1"/>
  <c r="EH18" i="139"/>
  <c r="EG18" i="139" s="1"/>
  <c r="DJ18" i="139" s="1"/>
  <c r="EH17" i="139"/>
  <c r="EG17" i="139" s="1"/>
  <c r="DJ17" i="139" s="1"/>
  <c r="EH13" i="139"/>
  <c r="EG13" i="139" s="1"/>
  <c r="DK13" i="139" s="1"/>
  <c r="ER13" i="139" s="1"/>
  <c r="EH14" i="139"/>
  <c r="EG14" i="139" s="1"/>
  <c r="DM14" i="139" s="1"/>
  <c r="BH20" i="139"/>
  <c r="BH21" i="139"/>
  <c r="BH17" i="139"/>
  <c r="BH14" i="139"/>
  <c r="BH15" i="139"/>
  <c r="BH26" i="139"/>
  <c r="BH19" i="139"/>
  <c r="BH16" i="139"/>
  <c r="BH18" i="139"/>
  <c r="BH13" i="139"/>
  <c r="GX18" i="140"/>
  <c r="HJ18" i="140" s="1"/>
  <c r="HL18" i="140" s="1"/>
  <c r="HM18" i="140" s="1"/>
  <c r="GX16" i="140"/>
  <c r="HJ16" i="140" s="1"/>
  <c r="HL16" i="140" s="1"/>
  <c r="HM16" i="140" s="1"/>
  <c r="GX14" i="140"/>
  <c r="HJ14" i="140" s="1"/>
  <c r="HL14" i="140" s="1"/>
  <c r="HM14" i="140" s="1"/>
  <c r="GX21" i="140"/>
  <c r="HJ21" i="140" s="1"/>
  <c r="HL21" i="140" s="1"/>
  <c r="HM21" i="140" s="1"/>
  <c r="GX13" i="140"/>
  <c r="HJ13" i="140" s="1"/>
  <c r="HL13" i="140" s="1"/>
  <c r="HM13" i="140" s="1"/>
  <c r="GX15" i="140"/>
  <c r="HJ15" i="140" s="1"/>
  <c r="HL15" i="140" s="1"/>
  <c r="HM15" i="140" s="1"/>
  <c r="GX26" i="140"/>
  <c r="HJ26" i="140" s="1"/>
  <c r="HL26" i="140" s="1"/>
  <c r="HM26" i="140" s="1"/>
  <c r="GX19" i="140"/>
  <c r="HJ19" i="140" s="1"/>
  <c r="HL19" i="140" s="1"/>
  <c r="HM19" i="140" s="1"/>
  <c r="GX17" i="140"/>
  <c r="HJ17" i="140" s="1"/>
  <c r="HL17" i="140" s="1"/>
  <c r="HM17" i="140" s="1"/>
  <c r="GX20" i="140"/>
  <c r="HJ20" i="140" s="1"/>
  <c r="HL20" i="140" s="1"/>
  <c r="HM20" i="140" s="1"/>
  <c r="GX14" i="139"/>
  <c r="HJ14" i="139" s="1"/>
  <c r="HL14" i="139" s="1"/>
  <c r="HM14" i="139" s="1"/>
  <c r="GX21" i="139"/>
  <c r="HJ21" i="139" s="1"/>
  <c r="HL21" i="139" s="1"/>
  <c r="HM21" i="139" s="1"/>
  <c r="GX20" i="139"/>
  <c r="HJ20" i="139" s="1"/>
  <c r="HL20" i="139" s="1"/>
  <c r="HM20" i="139" s="1"/>
  <c r="GX16" i="139"/>
  <c r="HJ16" i="139" s="1"/>
  <c r="HL16" i="139" s="1"/>
  <c r="HM16" i="139" s="1"/>
  <c r="GX13" i="139"/>
  <c r="HJ13" i="139" s="1"/>
  <c r="HL13" i="139" s="1"/>
  <c r="HM13" i="139" s="1"/>
  <c r="GX15" i="139"/>
  <c r="HJ15" i="139" s="1"/>
  <c r="HL15" i="139" s="1"/>
  <c r="HM15" i="139" s="1"/>
  <c r="GX26" i="139"/>
  <c r="HJ26" i="139" s="1"/>
  <c r="HL26" i="139" s="1"/>
  <c r="HM26" i="139" s="1"/>
  <c r="GX19" i="139"/>
  <c r="HJ19" i="139" s="1"/>
  <c r="HL19" i="139" s="1"/>
  <c r="HM19" i="139" s="1"/>
  <c r="GX18" i="139"/>
  <c r="HJ18" i="139" s="1"/>
  <c r="HL18" i="139" s="1"/>
  <c r="HM18" i="139" s="1"/>
  <c r="GX17" i="139"/>
  <c r="HJ17" i="139" s="1"/>
  <c r="HL17" i="139" s="1"/>
  <c r="HM17" i="139" s="1"/>
  <c r="BH13" i="140"/>
  <c r="BH19" i="140"/>
  <c r="BH17" i="140"/>
  <c r="BH20" i="140"/>
  <c r="BH18" i="140"/>
  <c r="BH14" i="140"/>
  <c r="BH15" i="140"/>
  <c r="BH26" i="140"/>
  <c r="BH21" i="140"/>
  <c r="BH16" i="140"/>
  <c r="BL18" i="140"/>
  <c r="BK18" i="140" s="1"/>
  <c r="BL14" i="140"/>
  <c r="BK14" i="140" s="1"/>
  <c r="BL21" i="140"/>
  <c r="BK21" i="140" s="1"/>
  <c r="BL20" i="140"/>
  <c r="BK20" i="140" s="1"/>
  <c r="BL17" i="140"/>
  <c r="BK17" i="140" s="1"/>
  <c r="AN17" i="140" s="1"/>
  <c r="BL13" i="140"/>
  <c r="BK13" i="140" s="1"/>
  <c r="BL26" i="140"/>
  <c r="BK26" i="140" s="1"/>
  <c r="AO26" i="140" s="1"/>
  <c r="BV26" i="140" s="1"/>
  <c r="BL22" i="140"/>
  <c r="BK22" i="140" s="1"/>
  <c r="AN22" i="140" s="1"/>
  <c r="BL19" i="140"/>
  <c r="BK19" i="140" s="1"/>
  <c r="BL15" i="140"/>
  <c r="BK15" i="140" s="1"/>
  <c r="BL16" i="140"/>
  <c r="BK16" i="140" s="1"/>
  <c r="BL21" i="139"/>
  <c r="BK21" i="139" s="1"/>
  <c r="BL20" i="139"/>
  <c r="BK20" i="139" s="1"/>
  <c r="BL16" i="139"/>
  <c r="BK16" i="139" s="1"/>
  <c r="BL15" i="139"/>
  <c r="BK15" i="139" s="1"/>
  <c r="BL19" i="139"/>
  <c r="BK19" i="139" s="1"/>
  <c r="AN19" i="139" s="1"/>
  <c r="BL26" i="139"/>
  <c r="BK26" i="139" s="1"/>
  <c r="AO26" i="139" s="1"/>
  <c r="BV26" i="139" s="1"/>
  <c r="BL22" i="139"/>
  <c r="BK22" i="139" s="1"/>
  <c r="AN22" i="139" s="1"/>
  <c r="BL18" i="139"/>
  <c r="BK18" i="139" s="1"/>
  <c r="AN18" i="139" s="1"/>
  <c r="BL17" i="139"/>
  <c r="BK17" i="139" s="1"/>
  <c r="AN17" i="139" s="1"/>
  <c r="BL13" i="139"/>
  <c r="BK13" i="139" s="1"/>
  <c r="BL14" i="139"/>
  <c r="BK14" i="139" s="1"/>
  <c r="AD22" i="140"/>
  <c r="AD26" i="140"/>
  <c r="AG22" i="139"/>
  <c r="AI22" i="139" s="1"/>
  <c r="AI27" i="139" s="1"/>
  <c r="AD22" i="139"/>
  <c r="AD26" i="139"/>
  <c r="AG22" i="140"/>
  <c r="AI22" i="140" s="1"/>
  <c r="AI27" i="140" s="1"/>
  <c r="HA22" i="139"/>
  <c r="HA22" i="140"/>
  <c r="HG22" i="140"/>
  <c r="HG26" i="140"/>
  <c r="BR22" i="139"/>
  <c r="BT22" i="139" s="1"/>
  <c r="GX22" i="140"/>
  <c r="GX22" i="139"/>
  <c r="HG22" i="139"/>
  <c r="HG26" i="139"/>
  <c r="BR22" i="140"/>
  <c r="BT22" i="140" s="1"/>
  <c r="DJ16" i="140" l="1"/>
  <c r="EU20" i="140"/>
  <c r="DK26" i="140"/>
  <c r="ER26" i="140" s="1"/>
  <c r="DK20" i="140"/>
  <c r="ER20" i="140" s="1"/>
  <c r="DJ14" i="140"/>
  <c r="EU21" i="139"/>
  <c r="EX15" i="139"/>
  <c r="FW15" i="139" s="1"/>
  <c r="DJ21" i="140"/>
  <c r="EL21" i="140" s="1"/>
  <c r="DJ15" i="140"/>
  <c r="DI15" i="140" s="1"/>
  <c r="EU14" i="139"/>
  <c r="FW14" i="139" s="1"/>
  <c r="EV14" i="139"/>
  <c r="GC14" i="139" s="1"/>
  <c r="DJ20" i="140"/>
  <c r="DL20" i="140" s="1"/>
  <c r="DJ26" i="140"/>
  <c r="AN18" i="140"/>
  <c r="AN20" i="140"/>
  <c r="AM20" i="140" s="1"/>
  <c r="DM22" i="140"/>
  <c r="DJ17" i="140"/>
  <c r="DI17" i="140" s="1"/>
  <c r="DJ22" i="140"/>
  <c r="DJ18" i="140"/>
  <c r="EL18" i="140" s="1"/>
  <c r="DK18" i="140"/>
  <c r="ER18" i="140" s="1"/>
  <c r="EV21" i="139"/>
  <c r="GC21" i="139" s="1"/>
  <c r="EU13" i="140"/>
  <c r="AO22" i="140"/>
  <c r="AP22" i="140" s="1"/>
  <c r="AQ22" i="139"/>
  <c r="BP22" i="139" s="1"/>
  <c r="DJ19" i="140"/>
  <c r="DI19" i="140" s="1"/>
  <c r="DM13" i="140"/>
  <c r="AN14" i="140"/>
  <c r="AM14" i="140" s="1"/>
  <c r="DK19" i="140"/>
  <c r="ER19" i="140" s="1"/>
  <c r="EP27" i="140"/>
  <c r="AN13" i="140"/>
  <c r="EU13" i="139"/>
  <c r="ET13" i="139" s="1"/>
  <c r="EX13" i="139"/>
  <c r="AN19" i="140"/>
  <c r="AM19" i="140" s="1"/>
  <c r="EU16" i="140"/>
  <c r="AN16" i="140"/>
  <c r="AM16" i="140" s="1"/>
  <c r="EV17" i="140"/>
  <c r="GC17" i="140" s="1"/>
  <c r="AQ22" i="140"/>
  <c r="BP22" i="140" s="1"/>
  <c r="AN26" i="139"/>
  <c r="AM26" i="139" s="1"/>
  <c r="AQ26" i="139"/>
  <c r="EU19" i="140"/>
  <c r="FW19" i="140" s="1"/>
  <c r="AN14" i="139"/>
  <c r="AM14" i="139" s="1"/>
  <c r="AN16" i="139"/>
  <c r="AN21" i="139"/>
  <c r="AM21" i="139" s="1"/>
  <c r="AN26" i="140"/>
  <c r="AP26" i="140" s="1"/>
  <c r="EU14" i="140"/>
  <c r="AN15" i="140"/>
  <c r="AM15" i="140" s="1"/>
  <c r="EX17" i="140"/>
  <c r="AO22" i="139"/>
  <c r="AP22" i="139" s="1"/>
  <c r="EV14" i="140"/>
  <c r="GC14" i="140" s="1"/>
  <c r="EV19" i="140"/>
  <c r="GC19" i="140" s="1"/>
  <c r="AN21" i="140"/>
  <c r="AM21" i="140" s="1"/>
  <c r="EP27" i="139"/>
  <c r="GC20" i="139"/>
  <c r="AQ26" i="140"/>
  <c r="DM26" i="139"/>
  <c r="DJ20" i="139"/>
  <c r="EL20" i="139" s="1"/>
  <c r="DJ14" i="139"/>
  <c r="EL14" i="139" s="1"/>
  <c r="EV13" i="140"/>
  <c r="GC13" i="140" s="1"/>
  <c r="DJ21" i="139"/>
  <c r="EL21" i="139" s="1"/>
  <c r="DJ13" i="139"/>
  <c r="DI13" i="139" s="1"/>
  <c r="DJ15" i="139"/>
  <c r="DI15" i="139" s="1"/>
  <c r="BX21" i="140"/>
  <c r="BX13" i="139"/>
  <c r="BX26" i="139"/>
  <c r="BX20" i="140"/>
  <c r="CB18" i="140"/>
  <c r="BZ18" i="140"/>
  <c r="DG18" i="140" s="1"/>
  <c r="BY18" i="140"/>
  <c r="CB19" i="140"/>
  <c r="BZ19" i="140"/>
  <c r="DG19" i="140" s="1"/>
  <c r="BY22" i="140"/>
  <c r="BZ22" i="140"/>
  <c r="DG22" i="140" s="1"/>
  <c r="CB22" i="140"/>
  <c r="CB14" i="140"/>
  <c r="BZ14" i="140"/>
  <c r="DG14" i="140" s="1"/>
  <c r="BY14" i="140"/>
  <c r="BZ17" i="140"/>
  <c r="DG17" i="140" s="1"/>
  <c r="BY17" i="140"/>
  <c r="CB17" i="140"/>
  <c r="BZ16" i="140"/>
  <c r="DG16" i="140" s="1"/>
  <c r="CB16" i="140"/>
  <c r="BY15" i="139"/>
  <c r="BZ15" i="139"/>
  <c r="DG15" i="139" s="1"/>
  <c r="CB15" i="139"/>
  <c r="BY20" i="139"/>
  <c r="CB20" i="139"/>
  <c r="BZ20" i="139"/>
  <c r="DG20" i="139" s="1"/>
  <c r="BZ14" i="139"/>
  <c r="DG14" i="139" s="1"/>
  <c r="CB14" i="139"/>
  <c r="BZ19" i="139"/>
  <c r="DG19" i="139" s="1"/>
  <c r="CB19" i="139"/>
  <c r="CB22" i="139"/>
  <c r="BY22" i="139"/>
  <c r="BZ22" i="139"/>
  <c r="DG22" i="139" s="1"/>
  <c r="BY13" i="140"/>
  <c r="BY19" i="139"/>
  <c r="BY19" i="140"/>
  <c r="BY15" i="140"/>
  <c r="BZ15" i="140"/>
  <c r="DG15" i="140" s="1"/>
  <c r="CB15" i="140"/>
  <c r="BZ26" i="140"/>
  <c r="DG26" i="140" s="1"/>
  <c r="BY26" i="140"/>
  <c r="CB26" i="140"/>
  <c r="CB20" i="140"/>
  <c r="DA20" i="140" s="1"/>
  <c r="BZ20" i="140"/>
  <c r="DG20" i="140" s="1"/>
  <c r="CB21" i="140"/>
  <c r="DA21" i="140" s="1"/>
  <c r="BZ21" i="140"/>
  <c r="DG21" i="140" s="1"/>
  <c r="CB17" i="139"/>
  <c r="BZ17" i="139"/>
  <c r="DG17" i="139" s="1"/>
  <c r="BY16" i="139"/>
  <c r="BZ16" i="139"/>
  <c r="DG16" i="139" s="1"/>
  <c r="CB16" i="139"/>
  <c r="BZ21" i="139"/>
  <c r="DG21" i="139" s="1"/>
  <c r="CB21" i="139"/>
  <c r="BZ13" i="139"/>
  <c r="DG13" i="139" s="1"/>
  <c r="CB13" i="139"/>
  <c r="DA13" i="139" s="1"/>
  <c r="BZ18" i="139"/>
  <c r="DG18" i="139" s="1"/>
  <c r="CB18" i="139"/>
  <c r="BZ26" i="139"/>
  <c r="DG26" i="139" s="1"/>
  <c r="CB26" i="139"/>
  <c r="BY16" i="140"/>
  <c r="BY17" i="139"/>
  <c r="BY14" i="139"/>
  <c r="BY21" i="139"/>
  <c r="BY18" i="139"/>
  <c r="ET18" i="140"/>
  <c r="ET14" i="139"/>
  <c r="FW21" i="139"/>
  <c r="EW21" i="139"/>
  <c r="ET21" i="139"/>
  <c r="ET14" i="140"/>
  <c r="FW13" i="140"/>
  <c r="ET13" i="140"/>
  <c r="ET20" i="140"/>
  <c r="FW20" i="140"/>
  <c r="EV22" i="139"/>
  <c r="GC22" i="139" s="1"/>
  <c r="EU22" i="139"/>
  <c r="EX22" i="139"/>
  <c r="EU26" i="139"/>
  <c r="EV16" i="139"/>
  <c r="GC16" i="139" s="1"/>
  <c r="EV18" i="139"/>
  <c r="GC18" i="139" s="1"/>
  <c r="EV19" i="139"/>
  <c r="GC19" i="139" s="1"/>
  <c r="EV18" i="140"/>
  <c r="GC18" i="140" s="1"/>
  <c r="EX18" i="140"/>
  <c r="FW18" i="140" s="1"/>
  <c r="EV20" i="140"/>
  <c r="GC20" i="140" s="1"/>
  <c r="EV21" i="140"/>
  <c r="GC21" i="140" s="1"/>
  <c r="EU21" i="140"/>
  <c r="EU26" i="140"/>
  <c r="EX15" i="140"/>
  <c r="EU15" i="140"/>
  <c r="FW17" i="139"/>
  <c r="ET17" i="139"/>
  <c r="EW15" i="139"/>
  <c r="ET15" i="139"/>
  <c r="FW16" i="140"/>
  <c r="EW16" i="140"/>
  <c r="ET16" i="140"/>
  <c r="FW17" i="140"/>
  <c r="ET17" i="140"/>
  <c r="EV22" i="140"/>
  <c r="GC22" i="140" s="1"/>
  <c r="EU22" i="140"/>
  <c r="EX22" i="140"/>
  <c r="ET18" i="139"/>
  <c r="ET20" i="139"/>
  <c r="FW20" i="139"/>
  <c r="EW20" i="139"/>
  <c r="GA27" i="139"/>
  <c r="GA27" i="140"/>
  <c r="EV17" i="139"/>
  <c r="GC17" i="139" s="1"/>
  <c r="EV26" i="139"/>
  <c r="GC26" i="139" s="1"/>
  <c r="EU16" i="139"/>
  <c r="EX18" i="139"/>
  <c r="FW18" i="139" s="1"/>
  <c r="EU19" i="139"/>
  <c r="EV26" i="140"/>
  <c r="GC26" i="140" s="1"/>
  <c r="W20" i="139"/>
  <c r="W21" i="139"/>
  <c r="W17" i="139"/>
  <c r="W18" i="139"/>
  <c r="W15" i="139"/>
  <c r="W26" i="139"/>
  <c r="W19" i="139"/>
  <c r="W14" i="139"/>
  <c r="W16" i="139"/>
  <c r="W13" i="139"/>
  <c r="W21" i="140"/>
  <c r="W17" i="140"/>
  <c r="W15" i="140"/>
  <c r="W26" i="140"/>
  <c r="W16" i="140"/>
  <c r="W20" i="140"/>
  <c r="W18" i="140"/>
  <c r="W14" i="140"/>
  <c r="W13" i="140"/>
  <c r="W19" i="140"/>
  <c r="AA16" i="140"/>
  <c r="Z16" i="140" s="1"/>
  <c r="AA22" i="140"/>
  <c r="Z22" i="140" s="1"/>
  <c r="AA20" i="140"/>
  <c r="Z20" i="140" s="1"/>
  <c r="AA21" i="140"/>
  <c r="Z21" i="140" s="1"/>
  <c r="AA17" i="140"/>
  <c r="Z17" i="140" s="1"/>
  <c r="AA13" i="140"/>
  <c r="Z13" i="140" s="1"/>
  <c r="AA14" i="140"/>
  <c r="Z14" i="140" s="1"/>
  <c r="AA26" i="140"/>
  <c r="Z26" i="140" s="1"/>
  <c r="D26" i="140" s="1"/>
  <c r="AK26" i="140" s="1"/>
  <c r="AA19" i="140"/>
  <c r="Z19" i="140" s="1"/>
  <c r="AA15" i="140"/>
  <c r="Z15" i="140" s="1"/>
  <c r="AA18" i="140"/>
  <c r="Z18" i="140" s="1"/>
  <c r="C18" i="140" s="1"/>
  <c r="AA26" i="139"/>
  <c r="Z26" i="139" s="1"/>
  <c r="D26" i="139" s="1"/>
  <c r="AK26" i="139" s="1"/>
  <c r="AA22" i="139"/>
  <c r="Z22" i="139" s="1"/>
  <c r="D22" i="139" s="1"/>
  <c r="AK22" i="139" s="1"/>
  <c r="AA18" i="139"/>
  <c r="Z18" i="139" s="1"/>
  <c r="AA19" i="139"/>
  <c r="Z19" i="139" s="1"/>
  <c r="C19" i="139" s="1"/>
  <c r="AA13" i="139"/>
  <c r="Z13" i="139" s="1"/>
  <c r="AA14" i="139"/>
  <c r="Z14" i="139" s="1"/>
  <c r="AA21" i="139"/>
  <c r="Z21" i="139" s="1"/>
  <c r="C21" i="139" s="1"/>
  <c r="AA20" i="139"/>
  <c r="Z20" i="139" s="1"/>
  <c r="C20" i="139" s="1"/>
  <c r="AA16" i="139"/>
  <c r="Z16" i="139" s="1"/>
  <c r="C16" i="139" s="1"/>
  <c r="AA15" i="139"/>
  <c r="Z15" i="139" s="1"/>
  <c r="C15" i="139" s="1"/>
  <c r="AA17" i="139"/>
  <c r="Z17" i="139" s="1"/>
  <c r="DI26" i="139"/>
  <c r="DL15" i="139"/>
  <c r="DI17" i="139"/>
  <c r="DL15" i="140"/>
  <c r="EL16" i="140"/>
  <c r="DI16" i="140"/>
  <c r="DI14" i="140"/>
  <c r="EL14" i="140"/>
  <c r="EL19" i="140"/>
  <c r="DI26" i="140"/>
  <c r="DI14" i="139"/>
  <c r="DK22" i="139"/>
  <c r="ER22" i="139" s="1"/>
  <c r="DM22" i="139"/>
  <c r="DJ22" i="139"/>
  <c r="DJ19" i="139"/>
  <c r="DK19" i="139"/>
  <c r="ER19" i="139" s="1"/>
  <c r="DK26" i="139"/>
  <c r="ER26" i="139" s="1"/>
  <c r="DM17" i="139"/>
  <c r="EL17" i="139" s="1"/>
  <c r="DK17" i="139"/>
  <c r="ER17" i="139" s="1"/>
  <c r="DM18" i="139"/>
  <c r="EL18" i="139" s="1"/>
  <c r="DJ13" i="140"/>
  <c r="DK16" i="140"/>
  <c r="ER16" i="140" s="1"/>
  <c r="DK14" i="140"/>
  <c r="ER14" i="140" s="1"/>
  <c r="DM15" i="140"/>
  <c r="EL15" i="140" s="1"/>
  <c r="DK21" i="140"/>
  <c r="ER21" i="140" s="1"/>
  <c r="DM17" i="140"/>
  <c r="DK14" i="139"/>
  <c r="ER14" i="139" s="1"/>
  <c r="DK21" i="139"/>
  <c r="ER21" i="139" s="1"/>
  <c r="DM13" i="139"/>
  <c r="DI18" i="139"/>
  <c r="DJ16" i="139"/>
  <c r="DK16" i="139"/>
  <c r="ER16" i="139" s="1"/>
  <c r="DK18" i="139"/>
  <c r="ER18" i="139" s="1"/>
  <c r="DK20" i="139"/>
  <c r="ER20" i="139" s="1"/>
  <c r="DM15" i="139"/>
  <c r="HG21" i="139"/>
  <c r="HG17" i="139"/>
  <c r="HG18" i="139"/>
  <c r="HG16" i="139"/>
  <c r="HG20" i="139"/>
  <c r="HG19" i="139"/>
  <c r="HG15" i="139"/>
  <c r="HG14" i="139"/>
  <c r="HG13" i="139"/>
  <c r="HG19" i="140"/>
  <c r="HG21" i="140"/>
  <c r="HG15" i="140"/>
  <c r="HG18" i="140"/>
  <c r="HG14" i="140"/>
  <c r="HG17" i="140"/>
  <c r="HG20" i="140"/>
  <c r="HG16" i="140"/>
  <c r="HG13" i="140"/>
  <c r="AM17" i="139"/>
  <c r="AM18" i="140"/>
  <c r="AM17" i="140"/>
  <c r="AP26" i="139"/>
  <c r="AM19" i="139"/>
  <c r="AO13" i="139"/>
  <c r="BV13" i="139" s="1"/>
  <c r="AQ13" i="139"/>
  <c r="AO18" i="139"/>
  <c r="BV18" i="139" s="1"/>
  <c r="AQ18" i="139"/>
  <c r="BP18" i="139" s="1"/>
  <c r="AO15" i="139"/>
  <c r="BV15" i="139" s="1"/>
  <c r="AQ15" i="139"/>
  <c r="AN20" i="139"/>
  <c r="AQ20" i="139"/>
  <c r="AO20" i="139"/>
  <c r="BV20" i="139" s="1"/>
  <c r="HA14" i="140"/>
  <c r="HA20" i="140"/>
  <c r="HA18" i="140"/>
  <c r="HA16" i="140"/>
  <c r="HA21" i="140"/>
  <c r="HA13" i="140"/>
  <c r="HA15" i="140"/>
  <c r="HA26" i="140"/>
  <c r="HA19" i="140"/>
  <c r="HA17" i="140"/>
  <c r="AQ16" i="140"/>
  <c r="AO16" i="140"/>
  <c r="BV16" i="140" s="1"/>
  <c r="AQ19" i="140"/>
  <c r="AO19" i="140"/>
  <c r="BV19" i="140" s="1"/>
  <c r="AQ17" i="140"/>
  <c r="BP17" i="140" s="1"/>
  <c r="AO17" i="140"/>
  <c r="BV17" i="140" s="1"/>
  <c r="AO21" i="140"/>
  <c r="BV21" i="140" s="1"/>
  <c r="AQ21" i="140"/>
  <c r="AQ18" i="140"/>
  <c r="BP18" i="140" s="1"/>
  <c r="AO18" i="140"/>
  <c r="BV18" i="140" s="1"/>
  <c r="AM13" i="140"/>
  <c r="AM16" i="139"/>
  <c r="AM18" i="139"/>
  <c r="AO14" i="139"/>
  <c r="BV14" i="139" s="1"/>
  <c r="AQ14" i="139"/>
  <c r="AO17" i="139"/>
  <c r="BV17" i="139" s="1"/>
  <c r="AQ17" i="139"/>
  <c r="BP17" i="139" s="1"/>
  <c r="AQ19" i="139"/>
  <c r="BP19" i="139" s="1"/>
  <c r="AO19" i="139"/>
  <c r="BV19" i="139" s="1"/>
  <c r="AO16" i="139"/>
  <c r="BV16" i="139" s="1"/>
  <c r="AQ16" i="139"/>
  <c r="BP16" i="139" s="1"/>
  <c r="AQ21" i="139"/>
  <c r="AO21" i="139"/>
  <c r="BV21" i="139" s="1"/>
  <c r="HA17" i="139"/>
  <c r="HA15" i="139"/>
  <c r="HA14" i="139"/>
  <c r="HA21" i="139"/>
  <c r="HA20" i="139"/>
  <c r="HA16" i="139"/>
  <c r="HA26" i="139"/>
  <c r="HA19" i="139"/>
  <c r="HA18" i="139"/>
  <c r="HA13" i="139"/>
  <c r="AQ15" i="140"/>
  <c r="AO15" i="140"/>
  <c r="BV15" i="140" s="1"/>
  <c r="AQ13" i="140"/>
  <c r="BP13" i="140" s="1"/>
  <c r="AO13" i="140"/>
  <c r="BV13" i="140" s="1"/>
  <c r="AO20" i="140"/>
  <c r="BV20" i="140" s="1"/>
  <c r="AQ20" i="140"/>
  <c r="AQ14" i="140"/>
  <c r="AO14" i="140"/>
  <c r="BV14" i="140" s="1"/>
  <c r="AN13" i="139"/>
  <c r="AN15" i="139"/>
  <c r="BU22" i="140"/>
  <c r="AM22" i="140" s="1"/>
  <c r="BT27" i="140"/>
  <c r="HJ22" i="139"/>
  <c r="HL22" i="139" s="1"/>
  <c r="HJ22" i="140"/>
  <c r="HL22" i="140" s="1"/>
  <c r="BU22" i="139"/>
  <c r="AM22" i="139" s="1"/>
  <c r="BT27" i="139"/>
  <c r="BP20" i="140" l="1"/>
  <c r="EW13" i="139"/>
  <c r="DL26" i="140"/>
  <c r="DI21" i="140"/>
  <c r="EL20" i="140"/>
  <c r="DI20" i="140"/>
  <c r="EW13" i="140"/>
  <c r="C21" i="140"/>
  <c r="B21" i="140" s="1"/>
  <c r="C15" i="140"/>
  <c r="EL13" i="140"/>
  <c r="EW14" i="139"/>
  <c r="FW13" i="139"/>
  <c r="DL18" i="140"/>
  <c r="DI18" i="140"/>
  <c r="EL22" i="140"/>
  <c r="BP21" i="139"/>
  <c r="C18" i="139"/>
  <c r="B18" i="139" s="1"/>
  <c r="EL17" i="140"/>
  <c r="DL17" i="140"/>
  <c r="C13" i="140"/>
  <c r="B13" i="140" s="1"/>
  <c r="EW17" i="140"/>
  <c r="AM26" i="140"/>
  <c r="DL19" i="140"/>
  <c r="EW19" i="140"/>
  <c r="ET19" i="140"/>
  <c r="DL22" i="140"/>
  <c r="DI22" i="140"/>
  <c r="C13" i="139"/>
  <c r="B13" i="139" s="1"/>
  <c r="DI21" i="139"/>
  <c r="BP21" i="140"/>
  <c r="BP14" i="140"/>
  <c r="BP16" i="140"/>
  <c r="BP19" i="140"/>
  <c r="AP18" i="139"/>
  <c r="DL13" i="139"/>
  <c r="F26" i="140"/>
  <c r="C26" i="140"/>
  <c r="E26" i="140" s="1"/>
  <c r="C14" i="140"/>
  <c r="B14" i="140" s="1"/>
  <c r="C19" i="140"/>
  <c r="B19" i="140" s="1"/>
  <c r="C17" i="140"/>
  <c r="C16" i="140"/>
  <c r="B16" i="140" s="1"/>
  <c r="EW18" i="139"/>
  <c r="BP15" i="140"/>
  <c r="BV22" i="140"/>
  <c r="EL15" i="139"/>
  <c r="DA15" i="139"/>
  <c r="F22" i="139"/>
  <c r="EW14" i="140"/>
  <c r="C20" i="140"/>
  <c r="B20" i="140" s="1"/>
  <c r="W22" i="140"/>
  <c r="C22" i="140" s="1"/>
  <c r="B22" i="140" s="1"/>
  <c r="W22" i="139"/>
  <c r="C22" i="139" s="1"/>
  <c r="AE22" i="139" s="1"/>
  <c r="FW14" i="140"/>
  <c r="DI20" i="139"/>
  <c r="EL13" i="139"/>
  <c r="BP14" i="139"/>
  <c r="DA18" i="139"/>
  <c r="CA18" i="139"/>
  <c r="BX18" i="139"/>
  <c r="DA14" i="139"/>
  <c r="CA14" i="139"/>
  <c r="BX14" i="139"/>
  <c r="DA16" i="140"/>
  <c r="CA16" i="140"/>
  <c r="BX16" i="140"/>
  <c r="CA19" i="140"/>
  <c r="BX19" i="140"/>
  <c r="DA13" i="140"/>
  <c r="CA13" i="140"/>
  <c r="BX13" i="140"/>
  <c r="BX22" i="139"/>
  <c r="DA22" i="139"/>
  <c r="CA22" i="139"/>
  <c r="BX20" i="139"/>
  <c r="DA20" i="139"/>
  <c r="CA20" i="139"/>
  <c r="BX22" i="140"/>
  <c r="DA22" i="140"/>
  <c r="CA22" i="140"/>
  <c r="DA19" i="140"/>
  <c r="CA20" i="140"/>
  <c r="DA21" i="139"/>
  <c r="CA21" i="139"/>
  <c r="BX21" i="139"/>
  <c r="CA17" i="139"/>
  <c r="BX17" i="139"/>
  <c r="DA17" i="139"/>
  <c r="BX16" i="139"/>
  <c r="DA16" i="139"/>
  <c r="CA16" i="139"/>
  <c r="BX26" i="140"/>
  <c r="CA26" i="140"/>
  <c r="DA15" i="140"/>
  <c r="CA15" i="140"/>
  <c r="BX15" i="140"/>
  <c r="DA19" i="139"/>
  <c r="CA19" i="139"/>
  <c r="BX19" i="139"/>
  <c r="CA15" i="139"/>
  <c r="BX15" i="139"/>
  <c r="BX17" i="140"/>
  <c r="DA17" i="140"/>
  <c r="CA17" i="140"/>
  <c r="CA14" i="140"/>
  <c r="BX14" i="140"/>
  <c r="DA14" i="140"/>
  <c r="DA18" i="140"/>
  <c r="CA18" i="140"/>
  <c r="BX18" i="140"/>
  <c r="CA26" i="139"/>
  <c r="CA13" i="139"/>
  <c r="CA21" i="140"/>
  <c r="FW19" i="139"/>
  <c r="ET19" i="139"/>
  <c r="EW19" i="139"/>
  <c r="FW16" i="139"/>
  <c r="EW16" i="139"/>
  <c r="ET16" i="139"/>
  <c r="EW22" i="140"/>
  <c r="ET22" i="140"/>
  <c r="FW22" i="140"/>
  <c r="FW15" i="140"/>
  <c r="EW15" i="140"/>
  <c r="ET15" i="140"/>
  <c r="EW26" i="140"/>
  <c r="ET26" i="140"/>
  <c r="FW22" i="139"/>
  <c r="EW22" i="139"/>
  <c r="ET22" i="139"/>
  <c r="EW17" i="139"/>
  <c r="EW20" i="140"/>
  <c r="EW18" i="140"/>
  <c r="ET21" i="140"/>
  <c r="FW21" i="140"/>
  <c r="EW21" i="140"/>
  <c r="ET26" i="139"/>
  <c r="EW26" i="139"/>
  <c r="B16" i="139"/>
  <c r="B19" i="139"/>
  <c r="B15" i="139"/>
  <c r="F15" i="139"/>
  <c r="AE15" i="139" s="1"/>
  <c r="D15" i="139"/>
  <c r="AK15" i="139" s="1"/>
  <c r="F20" i="139"/>
  <c r="AE20" i="139" s="1"/>
  <c r="D20" i="139"/>
  <c r="AK20" i="139" s="1"/>
  <c r="D14" i="139"/>
  <c r="AK14" i="139" s="1"/>
  <c r="F14" i="139"/>
  <c r="D19" i="139"/>
  <c r="AK19" i="139" s="1"/>
  <c r="F19" i="139"/>
  <c r="AE19" i="139" s="1"/>
  <c r="B18" i="140"/>
  <c r="B17" i="140"/>
  <c r="B15" i="140"/>
  <c r="F18" i="140"/>
  <c r="AE18" i="140" s="1"/>
  <c r="D18" i="140"/>
  <c r="AK18" i="140" s="1"/>
  <c r="F19" i="140"/>
  <c r="D19" i="140"/>
  <c r="AK19" i="140" s="1"/>
  <c r="F14" i="140"/>
  <c r="D14" i="140"/>
  <c r="AK14" i="140" s="1"/>
  <c r="F17" i="140"/>
  <c r="AE17" i="140" s="1"/>
  <c r="D17" i="140"/>
  <c r="AK17" i="140" s="1"/>
  <c r="D20" i="140"/>
  <c r="AK20" i="140" s="1"/>
  <c r="F20" i="140"/>
  <c r="F16" i="140"/>
  <c r="AE16" i="140" s="1"/>
  <c r="D16" i="140"/>
  <c r="AK16" i="140" s="1"/>
  <c r="F26" i="139"/>
  <c r="B21" i="139"/>
  <c r="B20" i="139"/>
  <c r="D17" i="139"/>
  <c r="AK17" i="139" s="1"/>
  <c r="F17" i="139"/>
  <c r="D16" i="139"/>
  <c r="AK16" i="139" s="1"/>
  <c r="F16" i="139"/>
  <c r="AE16" i="139" s="1"/>
  <c r="F21" i="139"/>
  <c r="AE21" i="139" s="1"/>
  <c r="D21" i="139"/>
  <c r="AK21" i="139" s="1"/>
  <c r="D13" i="139"/>
  <c r="AK13" i="139" s="1"/>
  <c r="F13" i="139"/>
  <c r="F18" i="139"/>
  <c r="D18" i="139"/>
  <c r="AK18" i="139" s="1"/>
  <c r="B26" i="140"/>
  <c r="D15" i="140"/>
  <c r="AK15" i="140" s="1"/>
  <c r="F15" i="140"/>
  <c r="AE15" i="140" s="1"/>
  <c r="F13" i="140"/>
  <c r="D13" i="140"/>
  <c r="AK13" i="140" s="1"/>
  <c r="F21" i="140"/>
  <c r="AE21" i="140" s="1"/>
  <c r="D21" i="140"/>
  <c r="AK21" i="140" s="1"/>
  <c r="F22" i="140"/>
  <c r="D22" i="140"/>
  <c r="AK22" i="140" s="1"/>
  <c r="C14" i="139"/>
  <c r="C26" i="139"/>
  <c r="C17" i="139"/>
  <c r="DL21" i="139"/>
  <c r="DI16" i="139"/>
  <c r="EL16" i="139"/>
  <c r="DL16" i="139"/>
  <c r="DL13" i="140"/>
  <c r="DI13" i="140"/>
  <c r="DL19" i="139"/>
  <c r="DI19" i="139"/>
  <c r="EL19" i="139"/>
  <c r="DL22" i="139"/>
  <c r="EL22" i="139"/>
  <c r="DI22" i="139"/>
  <c r="DL18" i="139"/>
  <c r="DL14" i="139"/>
  <c r="DL20" i="139"/>
  <c r="DL14" i="140"/>
  <c r="DL16" i="140"/>
  <c r="DL17" i="139"/>
  <c r="DL21" i="140"/>
  <c r="DL26" i="139"/>
  <c r="GZ13" i="140"/>
  <c r="GZ26" i="140"/>
  <c r="GZ17" i="140"/>
  <c r="GZ21" i="140"/>
  <c r="GZ18" i="140"/>
  <c r="GZ14" i="140"/>
  <c r="GZ20" i="140"/>
  <c r="GZ19" i="140"/>
  <c r="GZ16" i="140"/>
  <c r="GZ15" i="140"/>
  <c r="GZ26" i="139"/>
  <c r="GZ19" i="139"/>
  <c r="GZ15" i="139"/>
  <c r="GZ14" i="139"/>
  <c r="GZ13" i="139"/>
  <c r="GZ20" i="139"/>
  <c r="GZ21" i="139"/>
  <c r="GZ17" i="139"/>
  <c r="GZ16" i="139"/>
  <c r="GZ18" i="139"/>
  <c r="AP20" i="140"/>
  <c r="BP15" i="139"/>
  <c r="AP15" i="139"/>
  <c r="AM15" i="139"/>
  <c r="AM20" i="139"/>
  <c r="AP20" i="139"/>
  <c r="AP15" i="140"/>
  <c r="AP16" i="140"/>
  <c r="AP19" i="139"/>
  <c r="AP18" i="140"/>
  <c r="AP21" i="139"/>
  <c r="AM13" i="139"/>
  <c r="BP13" i="139"/>
  <c r="AP13" i="139"/>
  <c r="AP16" i="139"/>
  <c r="AP14" i="139"/>
  <c r="AP13" i="140"/>
  <c r="AP14" i="140"/>
  <c r="AP21" i="140"/>
  <c r="BP20" i="139"/>
  <c r="AP19" i="140"/>
  <c r="AP17" i="140"/>
  <c r="AP17" i="139"/>
  <c r="HM22" i="140"/>
  <c r="HL27" i="140"/>
  <c r="HM22" i="139"/>
  <c r="HL27" i="139"/>
  <c r="BV22" i="139"/>
  <c r="AE22" i="140" l="1"/>
  <c r="EL26" i="140"/>
  <c r="AE14" i="140"/>
  <c r="FW26" i="140"/>
  <c r="BP26" i="140"/>
  <c r="AE13" i="140"/>
  <c r="AE18" i="139"/>
  <c r="DA26" i="139"/>
  <c r="AE13" i="139"/>
  <c r="FW26" i="139"/>
  <c r="EL26" i="139"/>
  <c r="DA26" i="140"/>
  <c r="BP26" i="139"/>
  <c r="E22" i="139"/>
  <c r="B22" i="139"/>
  <c r="AE20" i="140"/>
  <c r="AE19" i="140"/>
  <c r="E20" i="139"/>
  <c r="E22" i="140"/>
  <c r="E20" i="140"/>
  <c r="E14" i="140"/>
  <c r="E19" i="140"/>
  <c r="E16" i="140"/>
  <c r="B26" i="139"/>
  <c r="E26" i="139"/>
  <c r="E21" i="139"/>
  <c r="E18" i="140"/>
  <c r="AE14" i="139"/>
  <c r="E15" i="139"/>
  <c r="E13" i="140"/>
  <c r="E21" i="140"/>
  <c r="E18" i="139"/>
  <c r="E16" i="139"/>
  <c r="AE17" i="139"/>
  <c r="E17" i="139"/>
  <c r="B17" i="139"/>
  <c r="B14" i="139"/>
  <c r="E14" i="139"/>
  <c r="E15" i="140"/>
  <c r="E17" i="140"/>
  <c r="E13" i="139"/>
  <c r="E19" i="139"/>
  <c r="HD18" i="140"/>
  <c r="HC18" i="140" s="1"/>
  <c r="HD14" i="140"/>
  <c r="HC14" i="140" s="1"/>
  <c r="HD21" i="140"/>
  <c r="HC21" i="140" s="1"/>
  <c r="HD22" i="140"/>
  <c r="HC22" i="140" s="1"/>
  <c r="HD17" i="140"/>
  <c r="HC17" i="140" s="1"/>
  <c r="HD13" i="140"/>
  <c r="HC13" i="140" s="1"/>
  <c r="HD16" i="140"/>
  <c r="HC16" i="140" s="1"/>
  <c r="HD26" i="140"/>
  <c r="HC26" i="140" s="1"/>
  <c r="HD19" i="140"/>
  <c r="HC19" i="140" s="1"/>
  <c r="HD20" i="140"/>
  <c r="HC20" i="140" s="1"/>
  <c r="HD15" i="140"/>
  <c r="HC15" i="140" s="1"/>
  <c r="HD21" i="139"/>
  <c r="HC21" i="139" s="1"/>
  <c r="HD22" i="139"/>
  <c r="HC22" i="139" s="1"/>
  <c r="HD18" i="139"/>
  <c r="HC18" i="139" s="1"/>
  <c r="HD17" i="139"/>
  <c r="HC17" i="139" s="1"/>
  <c r="HD13" i="139"/>
  <c r="HC13" i="139" s="1"/>
  <c r="HD26" i="139"/>
  <c r="HC26" i="139" s="1"/>
  <c r="HD19" i="139"/>
  <c r="HC19" i="139" s="1"/>
  <c r="HD20" i="139"/>
  <c r="HC20" i="139" s="1"/>
  <c r="HD16" i="139"/>
  <c r="HC16" i="139" s="1"/>
  <c r="HD15" i="139"/>
  <c r="HC15" i="139" s="1"/>
  <c r="HD14" i="139"/>
  <c r="HC14" i="139" s="1"/>
  <c r="GZ22" i="140"/>
  <c r="GZ22" i="139"/>
  <c r="AE26" i="140" l="1"/>
  <c r="AE26" i="139"/>
  <c r="GF22" i="139"/>
  <c r="GE22" i="139" s="1"/>
  <c r="G35" i="141" s="1"/>
  <c r="G24" i="141" s="1"/>
  <c r="GF22" i="140"/>
  <c r="GE22" i="140" s="1"/>
  <c r="H35" i="141" s="1"/>
  <c r="H24" i="141" s="1"/>
  <c r="GI15" i="139"/>
  <c r="G193" i="141" s="1"/>
  <c r="GG15" i="139"/>
  <c r="HN15" i="139" s="1"/>
  <c r="GF15" i="139"/>
  <c r="GG20" i="139"/>
  <c r="HN20" i="139" s="1"/>
  <c r="GI20" i="139"/>
  <c r="G195" i="141" s="1"/>
  <c r="GF20" i="139"/>
  <c r="GG26" i="139"/>
  <c r="HN26" i="139" s="1"/>
  <c r="GI26" i="139"/>
  <c r="GF26" i="139"/>
  <c r="GF17" i="139"/>
  <c r="GI17" i="139"/>
  <c r="GG17" i="139"/>
  <c r="HN17" i="139" s="1"/>
  <c r="GG22" i="139"/>
  <c r="HN22" i="139" s="1"/>
  <c r="GI22" i="139"/>
  <c r="G197" i="141" s="1"/>
  <c r="GI15" i="140"/>
  <c r="H193" i="141" s="1"/>
  <c r="GG15" i="140"/>
  <c r="HN15" i="140" s="1"/>
  <c r="GF15" i="140"/>
  <c r="GI19" i="140"/>
  <c r="GG19" i="140"/>
  <c r="HN19" i="140" s="1"/>
  <c r="GF19" i="140"/>
  <c r="GG16" i="140"/>
  <c r="HN16" i="140" s="1"/>
  <c r="GI16" i="140"/>
  <c r="GF16" i="140"/>
  <c r="GF17" i="140"/>
  <c r="GG17" i="140"/>
  <c r="HN17" i="140" s="1"/>
  <c r="GI17" i="140"/>
  <c r="GG21" i="140"/>
  <c r="HN21" i="140" s="1"/>
  <c r="GI21" i="140"/>
  <c r="H196" i="141" s="1"/>
  <c r="GF21" i="140"/>
  <c r="GI18" i="140"/>
  <c r="GG18" i="140"/>
  <c r="HN18" i="140" s="1"/>
  <c r="GF18" i="140"/>
  <c r="GG14" i="139"/>
  <c r="HN14" i="139" s="1"/>
  <c r="GI14" i="139"/>
  <c r="G192" i="141" s="1"/>
  <c r="GF14" i="139"/>
  <c r="GI16" i="139"/>
  <c r="GG16" i="139"/>
  <c r="HN16" i="139" s="1"/>
  <c r="GF16" i="139"/>
  <c r="GG19" i="139"/>
  <c r="HN19" i="139" s="1"/>
  <c r="GI19" i="139"/>
  <c r="G194" i="141" s="1"/>
  <c r="GF19" i="139"/>
  <c r="GG13" i="139"/>
  <c r="HN13" i="139" s="1"/>
  <c r="GI13" i="139"/>
  <c r="G191" i="141" s="1"/>
  <c r="GF13" i="139"/>
  <c r="GI18" i="139"/>
  <c r="GG18" i="139"/>
  <c r="HN18" i="139" s="1"/>
  <c r="GF18" i="139"/>
  <c r="GG21" i="139"/>
  <c r="HN21" i="139" s="1"/>
  <c r="GI21" i="139"/>
  <c r="G196" i="141" s="1"/>
  <c r="GF21" i="139"/>
  <c r="GI20" i="140"/>
  <c r="H195" i="141" s="1"/>
  <c r="GG20" i="140"/>
  <c r="HN20" i="140" s="1"/>
  <c r="GF20" i="140"/>
  <c r="GG26" i="140"/>
  <c r="HN26" i="140" s="1"/>
  <c r="GI26" i="140"/>
  <c r="GF26" i="140"/>
  <c r="GF13" i="140"/>
  <c r="GG13" i="140"/>
  <c r="HN13" i="140" s="1"/>
  <c r="GI13" i="140"/>
  <c r="H191" i="141" s="1"/>
  <c r="GG22" i="140"/>
  <c r="HN22" i="140" s="1"/>
  <c r="GI22" i="140"/>
  <c r="H197" i="141" s="1"/>
  <c r="GI14" i="140"/>
  <c r="H192" i="141" s="1"/>
  <c r="GG14" i="140"/>
  <c r="HN14" i="140" s="1"/>
  <c r="GF14" i="140"/>
  <c r="HH22" i="139" l="1"/>
  <c r="GH22" i="139"/>
  <c r="HH22" i="140"/>
  <c r="HH17" i="139"/>
  <c r="HH17" i="140"/>
  <c r="GH22" i="140"/>
  <c r="HH13" i="140"/>
  <c r="GH13" i="140"/>
  <c r="GE13" i="140"/>
  <c r="H29" i="141" s="1"/>
  <c r="HH20" i="140"/>
  <c r="GH20" i="140"/>
  <c r="GE20" i="140"/>
  <c r="H33" i="141" s="1"/>
  <c r="GE18" i="139"/>
  <c r="HH18" i="139"/>
  <c r="GH18" i="139"/>
  <c r="GE19" i="139"/>
  <c r="G32" i="141" s="1"/>
  <c r="HH19" i="139"/>
  <c r="GH19" i="139"/>
  <c r="GH14" i="139"/>
  <c r="GE14" i="139"/>
  <c r="G30" i="141" s="1"/>
  <c r="HH14" i="139"/>
  <c r="GE21" i="140"/>
  <c r="H34" i="141" s="1"/>
  <c r="HH21" i="140"/>
  <c r="GH21" i="140"/>
  <c r="GH16" i="140"/>
  <c r="GE16" i="140"/>
  <c r="GE15" i="140"/>
  <c r="H31" i="141" s="1"/>
  <c r="HH15" i="140"/>
  <c r="GH15" i="140"/>
  <c r="GE26" i="139"/>
  <c r="GH26" i="139"/>
  <c r="GE15" i="139"/>
  <c r="G31" i="141" s="1"/>
  <c r="HH15" i="139"/>
  <c r="GH15" i="139"/>
  <c r="HH14" i="140"/>
  <c r="GH14" i="140"/>
  <c r="GE14" i="140"/>
  <c r="H30" i="141" s="1"/>
  <c r="GE26" i="140"/>
  <c r="GH26" i="140"/>
  <c r="HH21" i="139"/>
  <c r="GH21" i="139"/>
  <c r="GE21" i="139"/>
  <c r="G34" i="141" s="1"/>
  <c r="GE13" i="139"/>
  <c r="G29" i="141" s="1"/>
  <c r="HH13" i="139"/>
  <c r="GH13" i="139"/>
  <c r="GE16" i="139"/>
  <c r="HH16" i="139"/>
  <c r="GH16" i="139"/>
  <c r="GH18" i="140"/>
  <c r="GE18" i="140"/>
  <c r="HH18" i="140"/>
  <c r="GH17" i="140"/>
  <c r="GE17" i="140"/>
  <c r="GE19" i="140"/>
  <c r="H32" i="141" s="1"/>
  <c r="GH19" i="140"/>
  <c r="HH19" i="140"/>
  <c r="H194" i="141"/>
  <c r="GE17" i="139"/>
  <c r="GH17" i="139"/>
  <c r="GH20" i="139"/>
  <c r="GE20" i="139"/>
  <c r="G33" i="141" s="1"/>
  <c r="HH20" i="139"/>
  <c r="HH16" i="140"/>
  <c r="HH26" i="139" l="1"/>
  <c r="HH26" i="140"/>
  <c r="N248" i="112"/>
  <c r="G248" i="112"/>
  <c r="H248" i="112" s="1"/>
  <c r="M248" i="112" s="1"/>
  <c r="N245" i="112"/>
  <c r="G245" i="112"/>
  <c r="L245" i="112" s="1"/>
  <c r="N242" i="112"/>
  <c r="G242" i="112"/>
  <c r="H242" i="112" s="1"/>
  <c r="M242" i="112" s="1"/>
  <c r="N239" i="112"/>
  <c r="G239" i="112"/>
  <c r="L239" i="112" s="1"/>
  <c r="N238" i="112"/>
  <c r="G238" i="112"/>
  <c r="H238" i="112" s="1"/>
  <c r="M238" i="112" s="1"/>
  <c r="N231" i="112"/>
  <c r="G231" i="112"/>
  <c r="L231" i="112" s="1"/>
  <c r="N230" i="112"/>
  <c r="G230" i="112"/>
  <c r="H230" i="112" s="1"/>
  <c r="M230" i="112" s="1"/>
  <c r="L248" i="112"/>
  <c r="L242" i="112"/>
  <c r="F219" i="112"/>
  <c r="N219" i="112"/>
  <c r="G219" i="112"/>
  <c r="L219" i="112" s="1"/>
  <c r="G244" i="112"/>
  <c r="H244" i="112" s="1"/>
  <c r="M244" i="112" s="1"/>
  <c r="N244" i="112"/>
  <c r="N243" i="112" s="1"/>
  <c r="N261" i="112"/>
  <c r="M261" i="112"/>
  <c r="O255" i="112"/>
  <c r="M255" i="112"/>
  <c r="N247" i="112"/>
  <c r="N246" i="112" s="1"/>
  <c r="G247" i="112"/>
  <c r="L247" i="112" s="1"/>
  <c r="L246" i="112" s="1"/>
  <c r="N241" i="112"/>
  <c r="G241" i="112"/>
  <c r="H241" i="112" s="1"/>
  <c r="M241" i="112" s="1"/>
  <c r="M240" i="112" s="1"/>
  <c r="N237" i="112"/>
  <c r="G237" i="112"/>
  <c r="H237" i="112" s="1"/>
  <c r="M237" i="112" s="1"/>
  <c r="N236" i="112"/>
  <c r="G236" i="112"/>
  <c r="H236" i="112" s="1"/>
  <c r="M236" i="112" s="1"/>
  <c r="N235" i="112"/>
  <c r="G235" i="112"/>
  <c r="H235" i="112" s="1"/>
  <c r="M235" i="112" s="1"/>
  <c r="N234" i="112"/>
  <c r="G234" i="112"/>
  <c r="H234" i="112" s="1"/>
  <c r="M234" i="112" s="1"/>
  <c r="N233" i="112"/>
  <c r="G233" i="112"/>
  <c r="H233" i="112" s="1"/>
  <c r="M233" i="112" s="1"/>
  <c r="N229" i="112"/>
  <c r="G229" i="112"/>
  <c r="H229" i="112" s="1"/>
  <c r="M229" i="112" s="1"/>
  <c r="N228" i="112"/>
  <c r="G228" i="112"/>
  <c r="H228" i="112" s="1"/>
  <c r="M228" i="112" s="1"/>
  <c r="N227" i="112"/>
  <c r="G227" i="112"/>
  <c r="H227" i="112" s="1"/>
  <c r="M227" i="112" s="1"/>
  <c r="N226" i="112"/>
  <c r="G226" i="112"/>
  <c r="H226" i="112" s="1"/>
  <c r="M226" i="112" s="1"/>
  <c r="N225" i="112"/>
  <c r="G225" i="112"/>
  <c r="H225" i="112" s="1"/>
  <c r="M225" i="112" s="1"/>
  <c r="N224" i="112"/>
  <c r="G224" i="112"/>
  <c r="H224" i="112" s="1"/>
  <c r="M224" i="112" s="1"/>
  <c r="N223" i="112"/>
  <c r="G223" i="112"/>
  <c r="L223" i="112" s="1"/>
  <c r="N222" i="112"/>
  <c r="G222" i="112"/>
  <c r="H222" i="112" s="1"/>
  <c r="M222" i="112" s="1"/>
  <c r="N220" i="112"/>
  <c r="G220" i="112"/>
  <c r="L220" i="112" s="1"/>
  <c r="N218" i="112"/>
  <c r="F218" i="112"/>
  <c r="G218" i="112" s="1"/>
  <c r="H218" i="112" s="1"/>
  <c r="M218" i="112" s="1"/>
  <c r="N217" i="112"/>
  <c r="F217" i="112"/>
  <c r="G217" i="112" s="1"/>
  <c r="N216" i="112"/>
  <c r="F216" i="112"/>
  <c r="G216" i="112" s="1"/>
  <c r="L216" i="112" s="1"/>
  <c r="N212" i="112"/>
  <c r="G212" i="112"/>
  <c r="H212" i="112" s="1"/>
  <c r="M212" i="112" s="1"/>
  <c r="N211" i="112"/>
  <c r="G211" i="112"/>
  <c r="H211" i="112" s="1"/>
  <c r="M211" i="112" s="1"/>
  <c r="L211" i="112"/>
  <c r="N210" i="112"/>
  <c r="G210" i="112"/>
  <c r="H210" i="112" s="1"/>
  <c r="M210" i="112" s="1"/>
  <c r="I209" i="112"/>
  <c r="N209" i="112"/>
  <c r="G209" i="112"/>
  <c r="I208" i="112"/>
  <c r="N208" i="112" s="1"/>
  <c r="N213" i="112" s="1"/>
  <c r="G208" i="112"/>
  <c r="L208" i="112"/>
  <c r="N205" i="112"/>
  <c r="N206" i="112"/>
  <c r="F205" i="112"/>
  <c r="E205" i="112"/>
  <c r="N200" i="112"/>
  <c r="F200" i="112"/>
  <c r="G200" i="112" s="1"/>
  <c r="E200" i="112"/>
  <c r="N199" i="112"/>
  <c r="F199" i="112"/>
  <c r="G199" i="112" s="1"/>
  <c r="E199" i="112"/>
  <c r="N198" i="112"/>
  <c r="N201" i="112"/>
  <c r="N202" i="112" s="1"/>
  <c r="F198" i="112"/>
  <c r="E198" i="112"/>
  <c r="G198" i="112" s="1"/>
  <c r="O196" i="112"/>
  <c r="N196" i="112"/>
  <c r="M196" i="112"/>
  <c r="L196" i="112"/>
  <c r="N191" i="112"/>
  <c r="J191" i="112"/>
  <c r="G191" i="112"/>
  <c r="L191" i="112" s="1"/>
  <c r="N190" i="112"/>
  <c r="D190" i="112"/>
  <c r="J190" i="112" s="1"/>
  <c r="N189" i="112"/>
  <c r="J189" i="112"/>
  <c r="G189" i="112"/>
  <c r="N188" i="112"/>
  <c r="J188" i="112"/>
  <c r="G188" i="112"/>
  <c r="L188" i="112"/>
  <c r="N187" i="112"/>
  <c r="J187" i="112"/>
  <c r="G187" i="112"/>
  <c r="N186" i="112"/>
  <c r="J186" i="112"/>
  <c r="G186" i="112"/>
  <c r="L186" i="112" s="1"/>
  <c r="N185" i="112"/>
  <c r="J185" i="112"/>
  <c r="G185" i="112"/>
  <c r="N182" i="112"/>
  <c r="E182" i="112"/>
  <c r="N181" i="112"/>
  <c r="J181" i="112"/>
  <c r="G181" i="112"/>
  <c r="L181" i="112" s="1"/>
  <c r="N178" i="112"/>
  <c r="N179" i="112" s="1"/>
  <c r="G178" i="112"/>
  <c r="E178" i="112"/>
  <c r="J178" i="112"/>
  <c r="N175" i="112"/>
  <c r="N176" i="112"/>
  <c r="J175" i="112"/>
  <c r="G175" i="112"/>
  <c r="N172" i="112"/>
  <c r="G172" i="112"/>
  <c r="H172" i="112" s="1"/>
  <c r="M172" i="112" s="1"/>
  <c r="D172" i="112"/>
  <c r="N171" i="112"/>
  <c r="G171" i="112"/>
  <c r="H171" i="112" s="1"/>
  <c r="M171" i="112" s="1"/>
  <c r="L171" i="112"/>
  <c r="N170" i="112"/>
  <c r="G170" i="112"/>
  <c r="H170" i="112" s="1"/>
  <c r="M170" i="112" s="1"/>
  <c r="M173" i="112" s="1"/>
  <c r="N169" i="112"/>
  <c r="G169" i="112"/>
  <c r="H169" i="112" s="1"/>
  <c r="M169" i="112" s="1"/>
  <c r="N168" i="112"/>
  <c r="G168" i="112"/>
  <c r="L168" i="112" s="1"/>
  <c r="O168" i="112" s="1"/>
  <c r="H168" i="112"/>
  <c r="M168" i="112" s="1"/>
  <c r="N167" i="112"/>
  <c r="G167" i="112"/>
  <c r="H167" i="112" s="1"/>
  <c r="M167" i="112" s="1"/>
  <c r="N166" i="112"/>
  <c r="G166" i="112"/>
  <c r="H166" i="112" s="1"/>
  <c r="M166" i="112" s="1"/>
  <c r="N165" i="112"/>
  <c r="G165" i="112"/>
  <c r="H165" i="112" s="1"/>
  <c r="M165" i="112" s="1"/>
  <c r="N164" i="112"/>
  <c r="G164" i="112"/>
  <c r="H164" i="112" s="1"/>
  <c r="M164" i="112" s="1"/>
  <c r="K159" i="112"/>
  <c r="N159" i="112" s="1"/>
  <c r="J159" i="112"/>
  <c r="G159" i="112"/>
  <c r="N158" i="112"/>
  <c r="J158" i="112"/>
  <c r="G158" i="112"/>
  <c r="L158" i="112" s="1"/>
  <c r="N156" i="112"/>
  <c r="J156" i="112"/>
  <c r="G156" i="112"/>
  <c r="N155" i="112"/>
  <c r="G155" i="112"/>
  <c r="H155" i="112" s="1"/>
  <c r="M155" i="112" s="1"/>
  <c r="I154" i="112"/>
  <c r="N154" i="112"/>
  <c r="G154" i="112"/>
  <c r="L154" i="112"/>
  <c r="I153" i="112"/>
  <c r="N153" i="112"/>
  <c r="G153" i="112"/>
  <c r="N152" i="112"/>
  <c r="J152" i="112"/>
  <c r="G152" i="112"/>
  <c r="L152" i="112" s="1"/>
  <c r="N151" i="112"/>
  <c r="J151" i="112"/>
  <c r="G151" i="112"/>
  <c r="N150" i="112"/>
  <c r="J150" i="112"/>
  <c r="G150" i="112"/>
  <c r="L150" i="112" s="1"/>
  <c r="N149" i="112"/>
  <c r="J149" i="112"/>
  <c r="G149" i="112"/>
  <c r="N148" i="112"/>
  <c r="J148" i="112"/>
  <c r="G148" i="112"/>
  <c r="L148" i="112" s="1"/>
  <c r="N147" i="112"/>
  <c r="J147" i="112"/>
  <c r="G147" i="112"/>
  <c r="N144" i="112"/>
  <c r="E144" i="112"/>
  <c r="D144" i="112"/>
  <c r="N143" i="112"/>
  <c r="E143" i="112"/>
  <c r="G143" i="112" s="1"/>
  <c r="D143" i="112"/>
  <c r="N142" i="112"/>
  <c r="E142" i="112"/>
  <c r="D142" i="112"/>
  <c r="K141" i="112"/>
  <c r="N141" i="112" s="1"/>
  <c r="J141" i="112"/>
  <c r="G141" i="112"/>
  <c r="N138" i="112"/>
  <c r="D138" i="112"/>
  <c r="J138" i="112" s="1"/>
  <c r="N137" i="112"/>
  <c r="D137" i="112"/>
  <c r="G137" i="112" s="1"/>
  <c r="N136" i="112"/>
  <c r="D136" i="112"/>
  <c r="G136" i="112" s="1"/>
  <c r="N135" i="112"/>
  <c r="D135" i="112"/>
  <c r="G135" i="112" s="1"/>
  <c r="N134" i="112"/>
  <c r="D134" i="112"/>
  <c r="G134" i="112"/>
  <c r="N133" i="112"/>
  <c r="D133" i="112"/>
  <c r="G133" i="112" s="1"/>
  <c r="N132" i="112"/>
  <c r="N139" i="112"/>
  <c r="N260" i="112" s="1"/>
  <c r="D132" i="112"/>
  <c r="G132" i="112" s="1"/>
  <c r="N127" i="112"/>
  <c r="E127" i="112"/>
  <c r="D127" i="112"/>
  <c r="N126" i="112"/>
  <c r="D126" i="112"/>
  <c r="J126" i="112" s="1"/>
  <c r="J125" i="112"/>
  <c r="G125" i="112"/>
  <c r="N124" i="112"/>
  <c r="J124" i="112"/>
  <c r="G124" i="112"/>
  <c r="N123" i="112"/>
  <c r="D123" i="112"/>
  <c r="N122" i="112"/>
  <c r="D122" i="112"/>
  <c r="N121" i="112"/>
  <c r="D121" i="112"/>
  <c r="N120" i="112"/>
  <c r="D120" i="112"/>
  <c r="J119" i="112"/>
  <c r="F119" i="112"/>
  <c r="J118" i="112"/>
  <c r="F118" i="112"/>
  <c r="K115" i="112"/>
  <c r="N115" i="112" s="1"/>
  <c r="J115" i="112"/>
  <c r="G115" i="112"/>
  <c r="H115" i="112" s="1"/>
  <c r="M115" i="112" s="1"/>
  <c r="N114" i="112"/>
  <c r="J114" i="112"/>
  <c r="G114" i="112"/>
  <c r="L114" i="112" s="1"/>
  <c r="N113" i="112"/>
  <c r="J113" i="112"/>
  <c r="G113" i="112"/>
  <c r="N112" i="112"/>
  <c r="J112" i="112"/>
  <c r="G112" i="112"/>
  <c r="L112" i="112" s="1"/>
  <c r="L116" i="112" s="1"/>
  <c r="N111" i="112"/>
  <c r="J111" i="112"/>
  <c r="G111" i="112"/>
  <c r="N110" i="112"/>
  <c r="J110" i="112"/>
  <c r="G110" i="112"/>
  <c r="N109" i="112"/>
  <c r="J109" i="112"/>
  <c r="G109" i="112"/>
  <c r="N108" i="112"/>
  <c r="J108" i="112"/>
  <c r="G108" i="112"/>
  <c r="L108" i="112" s="1"/>
  <c r="N107" i="112"/>
  <c r="J107" i="112"/>
  <c r="G107" i="112"/>
  <c r="N102" i="112"/>
  <c r="J102" i="112"/>
  <c r="G102" i="112"/>
  <c r="L102" i="112" s="1"/>
  <c r="N101" i="112"/>
  <c r="J101" i="112"/>
  <c r="G101" i="112"/>
  <c r="N100" i="112"/>
  <c r="J100" i="112"/>
  <c r="G100" i="112"/>
  <c r="L100" i="112" s="1"/>
  <c r="N99" i="112"/>
  <c r="J99" i="112"/>
  <c r="G99" i="112"/>
  <c r="K98" i="112"/>
  <c r="N98" i="112" s="1"/>
  <c r="J98" i="112"/>
  <c r="G98" i="112"/>
  <c r="N97" i="112"/>
  <c r="J97" i="112"/>
  <c r="G97" i="112"/>
  <c r="L97" i="112" s="1"/>
  <c r="K96" i="112"/>
  <c r="N96" i="112"/>
  <c r="J96" i="112"/>
  <c r="G96" i="112"/>
  <c r="N95" i="112"/>
  <c r="J95" i="112"/>
  <c r="G95" i="112"/>
  <c r="L95" i="112" s="1"/>
  <c r="N94" i="112"/>
  <c r="J94" i="112"/>
  <c r="G94" i="112"/>
  <c r="L94" i="112" s="1"/>
  <c r="N93" i="112"/>
  <c r="E93" i="112"/>
  <c r="N92" i="112"/>
  <c r="J92" i="112"/>
  <c r="E92" i="112"/>
  <c r="G92" i="112" s="1"/>
  <c r="N91" i="112"/>
  <c r="J91" i="112"/>
  <c r="G91" i="112"/>
  <c r="L91" i="112" s="1"/>
  <c r="K90" i="112"/>
  <c r="N90" i="112" s="1"/>
  <c r="E90" i="112"/>
  <c r="G90" i="112"/>
  <c r="N89" i="112"/>
  <c r="E89" i="112"/>
  <c r="N86" i="112"/>
  <c r="E86" i="112"/>
  <c r="G86" i="112" s="1"/>
  <c r="N85" i="112"/>
  <c r="F85" i="112"/>
  <c r="E85" i="112"/>
  <c r="N84" i="112"/>
  <c r="F84" i="112"/>
  <c r="E84" i="112"/>
  <c r="N83" i="112"/>
  <c r="E83" i="112"/>
  <c r="G83" i="112" s="1"/>
  <c r="N82" i="112"/>
  <c r="F82" i="112"/>
  <c r="G82" i="112" s="1"/>
  <c r="N81" i="112"/>
  <c r="G81" i="112"/>
  <c r="H81" i="112" s="1"/>
  <c r="M81" i="112" s="1"/>
  <c r="N80" i="112"/>
  <c r="G80" i="112"/>
  <c r="H80" i="112" s="1"/>
  <c r="M80" i="112" s="1"/>
  <c r="N79" i="112"/>
  <c r="E79" i="112"/>
  <c r="G79" i="112"/>
  <c r="H79" i="112" s="1"/>
  <c r="M79" i="112" s="1"/>
  <c r="N78" i="112"/>
  <c r="E78" i="112"/>
  <c r="G78" i="112" s="1"/>
  <c r="N77" i="112"/>
  <c r="E77" i="112"/>
  <c r="G77" i="112" s="1"/>
  <c r="N76" i="112"/>
  <c r="G76" i="112"/>
  <c r="N75" i="112"/>
  <c r="F75" i="112"/>
  <c r="E75" i="112"/>
  <c r="N74" i="112"/>
  <c r="G74" i="112"/>
  <c r="H74" i="112" s="1"/>
  <c r="M74" i="112" s="1"/>
  <c r="N73" i="112"/>
  <c r="F73" i="112"/>
  <c r="E73" i="112"/>
  <c r="G73" i="112" s="1"/>
  <c r="N72" i="112"/>
  <c r="N71" i="112"/>
  <c r="G71" i="112"/>
  <c r="H71" i="112" s="1"/>
  <c r="M71" i="112" s="1"/>
  <c r="L71" i="112"/>
  <c r="N70" i="112"/>
  <c r="F70" i="112"/>
  <c r="F72" i="112" s="1"/>
  <c r="E70" i="112"/>
  <c r="E72" i="112" s="1"/>
  <c r="F65" i="112"/>
  <c r="I65" i="112" s="1"/>
  <c r="N65" i="112" s="1"/>
  <c r="E65" i="112"/>
  <c r="I64" i="112"/>
  <c r="N64" i="112" s="1"/>
  <c r="G64" i="112"/>
  <c r="H64" i="112" s="1"/>
  <c r="M64" i="112" s="1"/>
  <c r="F63" i="112"/>
  <c r="I63" i="112" s="1"/>
  <c r="N63" i="112" s="1"/>
  <c r="E63" i="112"/>
  <c r="G63" i="112" s="1"/>
  <c r="F62" i="112"/>
  <c r="I62" i="112" s="1"/>
  <c r="N62" i="112" s="1"/>
  <c r="E62" i="112"/>
  <c r="F61" i="112"/>
  <c r="I61" i="112" s="1"/>
  <c r="N61" i="112" s="1"/>
  <c r="E61" i="112"/>
  <c r="G61" i="112" s="1"/>
  <c r="F60" i="112"/>
  <c r="I60" i="112" s="1"/>
  <c r="N60" i="112" s="1"/>
  <c r="E60" i="112"/>
  <c r="F59" i="112"/>
  <c r="I59" i="112"/>
  <c r="N59" i="112" s="1"/>
  <c r="E59" i="112"/>
  <c r="G59" i="112" s="1"/>
  <c r="F58" i="112"/>
  <c r="I58" i="112" s="1"/>
  <c r="N58" i="112" s="1"/>
  <c r="E58" i="112"/>
  <c r="F57" i="112"/>
  <c r="I57" i="112" s="1"/>
  <c r="N57" i="112" s="1"/>
  <c r="E57" i="112"/>
  <c r="F56" i="112"/>
  <c r="I56" i="112" s="1"/>
  <c r="N56" i="112" s="1"/>
  <c r="E56" i="112"/>
  <c r="F55" i="112"/>
  <c r="I55" i="112" s="1"/>
  <c r="N55" i="112" s="1"/>
  <c r="E55" i="112"/>
  <c r="F54" i="112"/>
  <c r="I54" i="112" s="1"/>
  <c r="N54" i="112" s="1"/>
  <c r="E54" i="112"/>
  <c r="F53" i="112"/>
  <c r="I53" i="112" s="1"/>
  <c r="N53" i="112" s="1"/>
  <c r="E53" i="112"/>
  <c r="G53" i="112"/>
  <c r="F52" i="112"/>
  <c r="I52" i="112"/>
  <c r="N52" i="112" s="1"/>
  <c r="E52" i="112"/>
  <c r="F51" i="112"/>
  <c r="I51" i="112" s="1"/>
  <c r="N51" i="112" s="1"/>
  <c r="E51" i="112"/>
  <c r="F50" i="112"/>
  <c r="I50" i="112" s="1"/>
  <c r="N50" i="112" s="1"/>
  <c r="E50" i="112"/>
  <c r="F49" i="112"/>
  <c r="I49" i="112" s="1"/>
  <c r="N49" i="112" s="1"/>
  <c r="E49" i="112"/>
  <c r="G49" i="112" s="1"/>
  <c r="I48" i="112"/>
  <c r="N48" i="112" s="1"/>
  <c r="G48" i="112"/>
  <c r="F47" i="112"/>
  <c r="I47" i="112" s="1"/>
  <c r="N47" i="112" s="1"/>
  <c r="E47" i="112"/>
  <c r="F46" i="112"/>
  <c r="I46" i="112" s="1"/>
  <c r="N46" i="112" s="1"/>
  <c r="E46" i="112"/>
  <c r="F45" i="112"/>
  <c r="I45" i="112"/>
  <c r="N45" i="112" s="1"/>
  <c r="E45" i="112"/>
  <c r="G45" i="112" s="1"/>
  <c r="F44" i="112"/>
  <c r="I44" i="112" s="1"/>
  <c r="N44" i="112" s="1"/>
  <c r="E44" i="112"/>
  <c r="F43" i="112"/>
  <c r="I43" i="112" s="1"/>
  <c r="N43" i="112" s="1"/>
  <c r="E43" i="112"/>
  <c r="F42" i="112"/>
  <c r="I42" i="112" s="1"/>
  <c r="N42" i="112" s="1"/>
  <c r="E42" i="112"/>
  <c r="F41" i="112"/>
  <c r="I41" i="112" s="1"/>
  <c r="N41" i="112" s="1"/>
  <c r="E41" i="112"/>
  <c r="F40" i="112"/>
  <c r="I40" i="112" s="1"/>
  <c r="N40" i="112" s="1"/>
  <c r="E40" i="112"/>
  <c r="F39" i="112"/>
  <c r="I39" i="112" s="1"/>
  <c r="N39" i="112" s="1"/>
  <c r="E39" i="112"/>
  <c r="G39" i="112" s="1"/>
  <c r="F38" i="112"/>
  <c r="I38" i="112" s="1"/>
  <c r="N38" i="112" s="1"/>
  <c r="E38" i="112"/>
  <c r="F37" i="112"/>
  <c r="I37" i="112" s="1"/>
  <c r="N37" i="112" s="1"/>
  <c r="E37" i="112"/>
  <c r="G37" i="112" s="1"/>
  <c r="F36" i="112"/>
  <c r="I36" i="112" s="1"/>
  <c r="N36" i="112"/>
  <c r="E36" i="112"/>
  <c r="G36" i="112"/>
  <c r="L36" i="112" s="1"/>
  <c r="F35" i="112"/>
  <c r="I35" i="112" s="1"/>
  <c r="N35" i="112"/>
  <c r="E35" i="112"/>
  <c r="G35" i="112"/>
  <c r="F34" i="112"/>
  <c r="I34" i="112"/>
  <c r="N34" i="112" s="1"/>
  <c r="E34" i="112"/>
  <c r="N33" i="112"/>
  <c r="F33" i="112"/>
  <c r="I33" i="112" s="1"/>
  <c r="E33" i="112"/>
  <c r="G33" i="112" s="1"/>
  <c r="F32" i="112"/>
  <c r="I32" i="112" s="1"/>
  <c r="N32" i="112"/>
  <c r="E32" i="112"/>
  <c r="F31" i="112"/>
  <c r="I31" i="112" s="1"/>
  <c r="N31" i="112" s="1"/>
  <c r="E31" i="112"/>
  <c r="F30" i="112"/>
  <c r="I30" i="112" s="1"/>
  <c r="N30" i="112" s="1"/>
  <c r="E30" i="112"/>
  <c r="I29" i="112"/>
  <c r="N29" i="112" s="1"/>
  <c r="G29" i="112"/>
  <c r="I28" i="112"/>
  <c r="N28" i="112" s="1"/>
  <c r="E28" i="112"/>
  <c r="G28" i="112" s="1"/>
  <c r="N27" i="112"/>
  <c r="I27" i="112"/>
  <c r="E27" i="112"/>
  <c r="G27" i="112" s="1"/>
  <c r="I26" i="112"/>
  <c r="N26" i="112" s="1"/>
  <c r="E26" i="112"/>
  <c r="G26" i="112" s="1"/>
  <c r="L26" i="112" s="1"/>
  <c r="F25" i="112"/>
  <c r="I25" i="112"/>
  <c r="N25" i="112" s="1"/>
  <c r="E25" i="112"/>
  <c r="N20" i="112"/>
  <c r="G20" i="112"/>
  <c r="N19" i="112"/>
  <c r="F19" i="112"/>
  <c r="E19" i="112"/>
  <c r="G19" i="112" s="1"/>
  <c r="L19" i="112" s="1"/>
  <c r="F17" i="112"/>
  <c r="I17" i="112"/>
  <c r="N17" i="112" s="1"/>
  <c r="E17" i="112"/>
  <c r="G17" i="112" s="1"/>
  <c r="N16" i="112"/>
  <c r="F16" i="112"/>
  <c r="E16" i="112"/>
  <c r="G16" i="112" s="1"/>
  <c r="N15" i="112"/>
  <c r="F15" i="112"/>
  <c r="E15" i="112"/>
  <c r="N13" i="112"/>
  <c r="G13" i="112"/>
  <c r="H13" i="112" s="1"/>
  <c r="M13" i="112" s="1"/>
  <c r="N12" i="112"/>
  <c r="G12" i="112"/>
  <c r="F10" i="112"/>
  <c r="E10" i="112"/>
  <c r="BI77" i="111"/>
  <c r="BD77" i="111"/>
  <c r="AV77" i="111"/>
  <c r="AL77" i="111"/>
  <c r="AB77" i="111"/>
  <c r="R77" i="111"/>
  <c r="H77" i="111"/>
  <c r="AY65" i="111"/>
  <c r="AY88" i="111" s="1"/>
  <c r="AO65" i="111"/>
  <c r="AO88" i="111" s="1"/>
  <c r="AE65" i="111"/>
  <c r="AE88" i="111" s="1"/>
  <c r="U65" i="111"/>
  <c r="U88" i="111" s="1"/>
  <c r="BI54" i="111"/>
  <c r="BD54" i="111"/>
  <c r="AV54" i="111"/>
  <c r="AL54" i="111"/>
  <c r="AB54" i="111"/>
  <c r="R54" i="111"/>
  <c r="H54" i="111"/>
  <c r="BI43" i="111"/>
  <c r="BD43" i="111"/>
  <c r="AV43" i="111"/>
  <c r="AL43" i="111"/>
  <c r="AB43" i="111"/>
  <c r="R43" i="111"/>
  <c r="H43" i="111"/>
  <c r="BD32" i="111"/>
  <c r="AV32" i="111"/>
  <c r="AL32" i="111"/>
  <c r="AB32" i="111"/>
  <c r="R32" i="111"/>
  <c r="BI21" i="111"/>
  <c r="BD21" i="111"/>
  <c r="AV21" i="111"/>
  <c r="AL21" i="111"/>
  <c r="AB21" i="111"/>
  <c r="R21" i="111"/>
  <c r="H21" i="111"/>
  <c r="BI10" i="111"/>
  <c r="BD10" i="111"/>
  <c r="AV10" i="111"/>
  <c r="AL10" i="111"/>
  <c r="AB10" i="111"/>
  <c r="R10" i="111"/>
  <c r="H10" i="111"/>
  <c r="GL26" i="77"/>
  <c r="FZ22" i="77"/>
  <c r="FA26" i="77"/>
  <c r="EO22" i="77"/>
  <c r="DP26" i="77"/>
  <c r="DD22" i="77"/>
  <c r="CE26" i="77"/>
  <c r="AZ26" i="77"/>
  <c r="BN26" i="77" s="1"/>
  <c r="AT26" i="77"/>
  <c r="AH22" i="77"/>
  <c r="I26" i="77"/>
  <c r="FW27" i="77"/>
  <c r="HK10" i="77"/>
  <c r="GQ22" i="77"/>
  <c r="HP22" i="77" s="1"/>
  <c r="GO22" i="77"/>
  <c r="GR22" i="77"/>
  <c r="HF22" i="77" s="1"/>
  <c r="GQ21" i="77"/>
  <c r="HP21" i="77" s="1"/>
  <c r="GO21" i="77"/>
  <c r="GR21" i="77"/>
  <c r="HF21" i="77" s="1"/>
  <c r="GQ20" i="77"/>
  <c r="HP20" i="77" s="1"/>
  <c r="GO20" i="77"/>
  <c r="GR20" i="77"/>
  <c r="HF20" i="77" s="1"/>
  <c r="GQ19" i="77"/>
  <c r="HP19" i="77" s="1"/>
  <c r="GO19" i="77"/>
  <c r="GR19" i="77"/>
  <c r="HF19" i="77" s="1"/>
  <c r="GQ18" i="77"/>
  <c r="HP18" i="77" s="1"/>
  <c r="GO18" i="77"/>
  <c r="GR18" i="77"/>
  <c r="HF18" i="77" s="1"/>
  <c r="GQ17" i="77"/>
  <c r="GO17" i="77"/>
  <c r="GR17" i="77"/>
  <c r="HF17" i="77" s="1"/>
  <c r="GQ16" i="77"/>
  <c r="HP16" i="77" s="1"/>
  <c r="GO16" i="77"/>
  <c r="GM14" i="77"/>
  <c r="GR14" i="77" s="1"/>
  <c r="HF14" i="77" s="1"/>
  <c r="GQ14" i="77"/>
  <c r="HP14" i="77" s="1"/>
  <c r="GO14" i="77"/>
  <c r="GN14" i="77"/>
  <c r="GQ13" i="77"/>
  <c r="HP13" i="77" s="1"/>
  <c r="GO13" i="77"/>
  <c r="GN13" i="77"/>
  <c r="GM13" i="77"/>
  <c r="GL22" i="77"/>
  <c r="GL21" i="77"/>
  <c r="GL20" i="77"/>
  <c r="GL19" i="77"/>
  <c r="GL18" i="77"/>
  <c r="GL17" i="77"/>
  <c r="GL16" i="77"/>
  <c r="GL15" i="77"/>
  <c r="GL14" i="77"/>
  <c r="GL13" i="77"/>
  <c r="HE22" i="77"/>
  <c r="HE16" i="77"/>
  <c r="EL27" i="77"/>
  <c r="DA27" i="77"/>
  <c r="HH27" i="77" s="1"/>
  <c r="BP27" i="77"/>
  <c r="GB22" i="77"/>
  <c r="FG22" i="77"/>
  <c r="FU22" i="77" s="1"/>
  <c r="FA22" i="77"/>
  <c r="EQ22" i="77"/>
  <c r="DV22" i="77"/>
  <c r="EJ22" i="77" s="1"/>
  <c r="DP22" i="77"/>
  <c r="DF22" i="77"/>
  <c r="CK22" i="77"/>
  <c r="CY22" i="77" s="1"/>
  <c r="CE22" i="77"/>
  <c r="AZ22" i="77"/>
  <c r="BN22" i="77" s="1"/>
  <c r="AT22" i="77"/>
  <c r="O22" i="77"/>
  <c r="AC22" i="77" s="1"/>
  <c r="I22" i="77"/>
  <c r="GB21" i="77"/>
  <c r="FG21" i="77"/>
  <c r="FU21" i="77" s="1"/>
  <c r="FA21" i="77"/>
  <c r="DV21" i="77"/>
  <c r="EJ21" i="77" s="1"/>
  <c r="DP21" i="77"/>
  <c r="CK21" i="77"/>
  <c r="CY21" i="77" s="1"/>
  <c r="CE21" i="77"/>
  <c r="AZ21" i="77"/>
  <c r="BN21" i="77" s="1"/>
  <c r="AT21" i="77"/>
  <c r="O21" i="77"/>
  <c r="AC21" i="77" s="1"/>
  <c r="I21" i="77"/>
  <c r="FG20" i="77"/>
  <c r="FU20" i="77" s="1"/>
  <c r="FA20" i="77"/>
  <c r="DV20" i="77"/>
  <c r="EJ20" i="77" s="1"/>
  <c r="DP20" i="77"/>
  <c r="DF20" i="77"/>
  <c r="CK20" i="77"/>
  <c r="CY20" i="77" s="1"/>
  <c r="CE20" i="77"/>
  <c r="AZ20" i="77"/>
  <c r="BN20" i="77" s="1"/>
  <c r="AT20" i="77"/>
  <c r="O20" i="77"/>
  <c r="AC20" i="77" s="1"/>
  <c r="I20" i="77"/>
  <c r="FG19" i="77"/>
  <c r="FU19" i="77" s="1"/>
  <c r="FA19" i="77"/>
  <c r="DV19" i="77"/>
  <c r="EJ19" i="77" s="1"/>
  <c r="DP19" i="77"/>
  <c r="CK19" i="77"/>
  <c r="CY19" i="77" s="1"/>
  <c r="CE19" i="77"/>
  <c r="BS19" i="77"/>
  <c r="AZ19" i="77"/>
  <c r="BN19" i="77" s="1"/>
  <c r="AT19" i="77"/>
  <c r="O19" i="77"/>
  <c r="AC19" i="77" s="1"/>
  <c r="I19" i="77"/>
  <c r="GB18" i="77"/>
  <c r="FG18" i="77"/>
  <c r="FU18" i="77" s="1"/>
  <c r="FA18" i="77"/>
  <c r="EQ18" i="77"/>
  <c r="DV18" i="77"/>
  <c r="EJ18" i="77" s="1"/>
  <c r="DP18" i="77"/>
  <c r="DF18" i="77"/>
  <c r="CK18" i="77"/>
  <c r="CY18" i="77" s="1"/>
  <c r="CE18" i="77"/>
  <c r="AZ18" i="77"/>
  <c r="BN18" i="77" s="1"/>
  <c r="AT18" i="77"/>
  <c r="O18" i="77"/>
  <c r="AC18" i="77" s="1"/>
  <c r="I18" i="77"/>
  <c r="GB17" i="77"/>
  <c r="FG17" i="77"/>
  <c r="FU17" i="77" s="1"/>
  <c r="FA17" i="77"/>
  <c r="EQ17" i="77"/>
  <c r="DV17" i="77"/>
  <c r="EJ17" i="77" s="1"/>
  <c r="DP17" i="77"/>
  <c r="DF17" i="77"/>
  <c r="CK17" i="77"/>
  <c r="CY17" i="77" s="1"/>
  <c r="CE17" i="77"/>
  <c r="AZ17" i="77"/>
  <c r="BN17" i="77" s="1"/>
  <c r="AT17" i="77"/>
  <c r="O17" i="77"/>
  <c r="AC17" i="77" s="1"/>
  <c r="I17" i="77"/>
  <c r="FG16" i="77"/>
  <c r="FU16" i="77" s="1"/>
  <c r="FA16" i="77"/>
  <c r="DV16" i="77"/>
  <c r="EJ16" i="77" s="1"/>
  <c r="DP16" i="77"/>
  <c r="CK16" i="77"/>
  <c r="CY16" i="77" s="1"/>
  <c r="CE16" i="77"/>
  <c r="AZ16" i="77"/>
  <c r="BN16" i="77" s="1"/>
  <c r="AT16" i="77"/>
  <c r="AH16" i="77"/>
  <c r="O16" i="77"/>
  <c r="AC16" i="77" s="1"/>
  <c r="I16" i="77"/>
  <c r="FF15" i="77"/>
  <c r="FD15" i="77"/>
  <c r="FC15" i="77"/>
  <c r="FB15" i="77"/>
  <c r="HW15" i="77" s="1"/>
  <c r="FA15" i="77"/>
  <c r="DU15" i="77"/>
  <c r="DS15" i="77"/>
  <c r="DR15" i="77"/>
  <c r="DQ15" i="77"/>
  <c r="EO15" i="77" s="1"/>
  <c r="DP15" i="77"/>
  <c r="CJ15" i="77"/>
  <c r="CH15" i="77"/>
  <c r="CG15" i="77"/>
  <c r="CF15" i="77"/>
  <c r="CE15" i="77"/>
  <c r="AY15" i="77"/>
  <c r="AW15" i="77"/>
  <c r="AV15" i="77"/>
  <c r="AU15" i="77"/>
  <c r="HT15" i="77" s="1"/>
  <c r="AT15" i="77"/>
  <c r="O15" i="77"/>
  <c r="AC15" i="77" s="1"/>
  <c r="I15" i="77"/>
  <c r="FG14" i="77"/>
  <c r="FU14" i="77" s="1"/>
  <c r="FA14" i="77"/>
  <c r="DV14" i="77"/>
  <c r="EJ14" i="77" s="1"/>
  <c r="DP14" i="77"/>
  <c r="CK14" i="77"/>
  <c r="CY14" i="77" s="1"/>
  <c r="CE14" i="77"/>
  <c r="BU14" i="77"/>
  <c r="BS14" i="77"/>
  <c r="AZ14" i="77"/>
  <c r="BN14" i="77" s="1"/>
  <c r="AT14" i="77"/>
  <c r="AH14" i="77"/>
  <c r="O14" i="77"/>
  <c r="AC14" i="77" s="1"/>
  <c r="I14" i="77"/>
  <c r="FG13" i="77"/>
  <c r="FU13" i="77" s="1"/>
  <c r="FA13" i="77"/>
  <c r="DV13" i="77"/>
  <c r="EJ13" i="77" s="1"/>
  <c r="DP13" i="77"/>
  <c r="CK13" i="77"/>
  <c r="CY13" i="77" s="1"/>
  <c r="CE13" i="77"/>
  <c r="BU13" i="77"/>
  <c r="AZ13" i="77"/>
  <c r="BN13" i="77" s="1"/>
  <c r="AT13" i="77"/>
  <c r="O13" i="77"/>
  <c r="AC13" i="77" s="1"/>
  <c r="I13" i="77"/>
  <c r="FT22" i="77"/>
  <c r="EI22" i="77"/>
  <c r="CX22" i="77"/>
  <c r="BM22" i="77"/>
  <c r="AB22" i="77"/>
  <c r="FT26" i="77"/>
  <c r="EI19" i="77"/>
  <c r="CX26" i="77"/>
  <c r="BM13" i="77"/>
  <c r="AB26" i="77"/>
  <c r="BM26" i="77"/>
  <c r="HE14" i="77"/>
  <c r="BM21" i="77"/>
  <c r="CX21" i="77"/>
  <c r="AJ22" i="77"/>
  <c r="AH15" i="77"/>
  <c r="GB19" i="77"/>
  <c r="EQ16" i="77"/>
  <c r="EQ21" i="77"/>
  <c r="AJ18" i="77"/>
  <c r="AJ17" i="77"/>
  <c r="GB14" i="77"/>
  <c r="EQ19" i="77"/>
  <c r="EQ20" i="77"/>
  <c r="GB13" i="77"/>
  <c r="FZ26" i="77"/>
  <c r="FZ13" i="77"/>
  <c r="FZ14" i="77"/>
  <c r="FZ16" i="77"/>
  <c r="GB16" i="77"/>
  <c r="FZ17" i="77"/>
  <c r="FZ18" i="77"/>
  <c r="FZ19" i="77"/>
  <c r="FZ20" i="77"/>
  <c r="DD19" i="77"/>
  <c r="H16" i="112"/>
  <c r="M16" i="112" s="1"/>
  <c r="L16" i="112"/>
  <c r="L33" i="112"/>
  <c r="H33" i="112"/>
  <c r="M33" i="112" s="1"/>
  <c r="L63" i="112"/>
  <c r="H63" i="112"/>
  <c r="M63" i="112" s="1"/>
  <c r="L17" i="112"/>
  <c r="H17" i="112"/>
  <c r="M17" i="112" s="1"/>
  <c r="L35" i="112"/>
  <c r="H35" i="112"/>
  <c r="M35" i="112"/>
  <c r="L37" i="112"/>
  <c r="H37" i="112"/>
  <c r="M37" i="112" s="1"/>
  <c r="L45" i="112"/>
  <c r="H45" i="112"/>
  <c r="M45" i="112" s="1"/>
  <c r="L53" i="112"/>
  <c r="H53" i="112"/>
  <c r="M53" i="112"/>
  <c r="L59" i="112"/>
  <c r="H59" i="112"/>
  <c r="M59" i="112" s="1"/>
  <c r="L73" i="112"/>
  <c r="H73" i="112"/>
  <c r="M73" i="112" s="1"/>
  <c r="L82" i="112"/>
  <c r="H82" i="112"/>
  <c r="M82" i="112" s="1"/>
  <c r="F11" i="112"/>
  <c r="I10" i="112"/>
  <c r="N10" i="112" s="1"/>
  <c r="L29" i="112"/>
  <c r="H29" i="112"/>
  <c r="M29" i="112" s="1"/>
  <c r="L78" i="112"/>
  <c r="H78" i="112"/>
  <c r="M78" i="112" s="1"/>
  <c r="L86" i="112"/>
  <c r="H86" i="112"/>
  <c r="M86" i="112" s="1"/>
  <c r="H19" i="112"/>
  <c r="M19" i="112" s="1"/>
  <c r="O19" i="112" s="1"/>
  <c r="H36" i="112"/>
  <c r="M36" i="112" s="1"/>
  <c r="O36" i="112" s="1"/>
  <c r="G25" i="112"/>
  <c r="H25" i="112" s="1"/>
  <c r="M25" i="112" s="1"/>
  <c r="O25" i="112" s="1"/>
  <c r="H26" i="112"/>
  <c r="M26" i="112" s="1"/>
  <c r="O26" i="112" s="1"/>
  <c r="G30" i="112"/>
  <c r="G34" i="112"/>
  <c r="H34" i="112" s="1"/>
  <c r="M34" i="112" s="1"/>
  <c r="G38" i="112"/>
  <c r="G42" i="112"/>
  <c r="H42" i="112" s="1"/>
  <c r="M42" i="112" s="1"/>
  <c r="G46" i="112"/>
  <c r="G50" i="112"/>
  <c r="G54" i="112"/>
  <c r="G58" i="112"/>
  <c r="G62" i="112"/>
  <c r="G72" i="112"/>
  <c r="L99" i="112"/>
  <c r="H99" i="112"/>
  <c r="M99" i="112" s="1"/>
  <c r="L101" i="112"/>
  <c r="H101" i="112"/>
  <c r="M101" i="112" s="1"/>
  <c r="L107" i="112"/>
  <c r="H107" i="112"/>
  <c r="M107" i="112" s="1"/>
  <c r="L109" i="112"/>
  <c r="H109" i="112"/>
  <c r="M109" i="112"/>
  <c r="O109" i="112" s="1"/>
  <c r="L111" i="112"/>
  <c r="H111" i="112"/>
  <c r="M111" i="112" s="1"/>
  <c r="O111" i="112" s="1"/>
  <c r="L113" i="112"/>
  <c r="H113" i="112"/>
  <c r="M113" i="112" s="1"/>
  <c r="J120" i="112"/>
  <c r="G120" i="112"/>
  <c r="J121" i="112"/>
  <c r="G121" i="112"/>
  <c r="J122" i="112"/>
  <c r="G122" i="112"/>
  <c r="J123" i="112"/>
  <c r="G123" i="112"/>
  <c r="L124" i="112"/>
  <c r="H124" i="112"/>
  <c r="M124" i="112" s="1"/>
  <c r="J127" i="112"/>
  <c r="G127" i="112"/>
  <c r="L209" i="112"/>
  <c r="H209" i="112"/>
  <c r="M209" i="112" s="1"/>
  <c r="O209" i="112" s="1"/>
  <c r="I118" i="112"/>
  <c r="N118" i="112" s="1"/>
  <c r="G118" i="112"/>
  <c r="L118" i="112" s="1"/>
  <c r="J142" i="112"/>
  <c r="G142" i="112"/>
  <c r="L142" i="112" s="1"/>
  <c r="J144" i="112"/>
  <c r="G144" i="112"/>
  <c r="H144" i="112" s="1"/>
  <c r="M144" i="112" s="1"/>
  <c r="L147" i="112"/>
  <c r="H147" i="112"/>
  <c r="M147" i="112" s="1"/>
  <c r="L149" i="112"/>
  <c r="H149" i="112"/>
  <c r="M149" i="112"/>
  <c r="O149" i="112" s="1"/>
  <c r="L151" i="112"/>
  <c r="H151" i="112"/>
  <c r="M151" i="112" s="1"/>
  <c r="O151" i="112" s="1"/>
  <c r="L153" i="112"/>
  <c r="H153" i="112"/>
  <c r="M153" i="112" s="1"/>
  <c r="L156" i="112"/>
  <c r="H156" i="112"/>
  <c r="M156" i="112" s="1"/>
  <c r="L175" i="112"/>
  <c r="H175" i="112"/>
  <c r="M175" i="112" s="1"/>
  <c r="L178" i="112"/>
  <c r="H178" i="112"/>
  <c r="M178" i="112" s="1"/>
  <c r="J182" i="112"/>
  <c r="G182" i="112"/>
  <c r="L185" i="112"/>
  <c r="H185" i="112"/>
  <c r="M185" i="112" s="1"/>
  <c r="L187" i="112"/>
  <c r="H187" i="112"/>
  <c r="M187" i="112" s="1"/>
  <c r="L189" i="112"/>
  <c r="H189" i="112"/>
  <c r="M189" i="112"/>
  <c r="O189" i="112" s="1"/>
  <c r="L79" i="112"/>
  <c r="O79" i="112"/>
  <c r="L80" i="112"/>
  <c r="L81" i="112"/>
  <c r="O81" i="112" s="1"/>
  <c r="L90" i="112"/>
  <c r="L98" i="112"/>
  <c r="G70" i="112"/>
  <c r="H91" i="112"/>
  <c r="M91" i="112" s="1"/>
  <c r="O91" i="112" s="1"/>
  <c r="H95" i="112"/>
  <c r="M95" i="112" s="1"/>
  <c r="O95" i="112" s="1"/>
  <c r="L115" i="112"/>
  <c r="L155" i="112"/>
  <c r="O155" i="112" s="1"/>
  <c r="H159" i="112"/>
  <c r="M159" i="112" s="1"/>
  <c r="L172" i="112"/>
  <c r="O172" i="112" s="1"/>
  <c r="G205" i="112"/>
  <c r="H205" i="112" s="1"/>
  <c r="M205" i="112" s="1"/>
  <c r="L218" i="112"/>
  <c r="L205" i="112"/>
  <c r="L144" i="112"/>
  <c r="H118" i="112"/>
  <c r="M118" i="112" s="1"/>
  <c r="H127" i="112"/>
  <c r="M127" i="112" s="1"/>
  <c r="L127" i="112"/>
  <c r="H122" i="112"/>
  <c r="M122" i="112" s="1"/>
  <c r="L122" i="112"/>
  <c r="H120" i="112"/>
  <c r="M120" i="112" s="1"/>
  <c r="L120" i="112"/>
  <c r="H58" i="112"/>
  <c r="M58" i="112" s="1"/>
  <c r="L58" i="112"/>
  <c r="H50" i="112"/>
  <c r="M50" i="112" s="1"/>
  <c r="L50" i="112"/>
  <c r="H46" i="112"/>
  <c r="M46" i="112" s="1"/>
  <c r="L46" i="112"/>
  <c r="H38" i="112"/>
  <c r="M38" i="112" s="1"/>
  <c r="L38" i="112"/>
  <c r="H30" i="112"/>
  <c r="M30" i="112" s="1"/>
  <c r="L30" i="112"/>
  <c r="I11" i="112"/>
  <c r="N11" i="112" s="1"/>
  <c r="F14" i="112"/>
  <c r="L182" i="112"/>
  <c r="L183" i="112" s="1"/>
  <c r="H142" i="112"/>
  <c r="M142" i="112" s="1"/>
  <c r="H123" i="112"/>
  <c r="M123" i="112" s="1"/>
  <c r="L123" i="112"/>
  <c r="H121" i="112"/>
  <c r="M121" i="112" s="1"/>
  <c r="L121" i="112"/>
  <c r="L70" i="112"/>
  <c r="O70" i="112" s="1"/>
  <c r="H70" i="112"/>
  <c r="M70" i="112" s="1"/>
  <c r="L179" i="112"/>
  <c r="L176" i="112"/>
  <c r="L72" i="112"/>
  <c r="H72" i="112"/>
  <c r="M72" i="112" s="1"/>
  <c r="H62" i="112"/>
  <c r="M62" i="112" s="1"/>
  <c r="L62" i="112"/>
  <c r="H54" i="112"/>
  <c r="M54" i="112" s="1"/>
  <c r="L54" i="112"/>
  <c r="L206" i="112"/>
  <c r="I14" i="112"/>
  <c r="N14" i="112" s="1"/>
  <c r="EI13" i="77"/>
  <c r="EI17" i="77"/>
  <c r="HE21" i="77"/>
  <c r="HE17" i="77"/>
  <c r="J93" i="112"/>
  <c r="G93" i="112"/>
  <c r="L93" i="112" s="1"/>
  <c r="H134" i="112"/>
  <c r="M134" i="112" s="1"/>
  <c r="L134" i="112"/>
  <c r="E11" i="112"/>
  <c r="G10" i="112"/>
  <c r="L10" i="112"/>
  <c r="H12" i="112"/>
  <c r="M12" i="112"/>
  <c r="L12" i="112"/>
  <c r="H20" i="112"/>
  <c r="M20" i="112" s="1"/>
  <c r="O20" i="112" s="1"/>
  <c r="L20" i="112"/>
  <c r="L27" i="112"/>
  <c r="H27" i="112"/>
  <c r="M27" i="112"/>
  <c r="L48" i="112"/>
  <c r="H48" i="112"/>
  <c r="M48" i="112" s="1"/>
  <c r="O48" i="112" s="1"/>
  <c r="L76" i="112"/>
  <c r="H76" i="112"/>
  <c r="M76" i="112" s="1"/>
  <c r="O76" i="112" s="1"/>
  <c r="J89" i="112"/>
  <c r="G89" i="112"/>
  <c r="L96" i="112"/>
  <c r="H96" i="112"/>
  <c r="M96" i="112" s="1"/>
  <c r="L110" i="112"/>
  <c r="H110" i="112"/>
  <c r="M110" i="112" s="1"/>
  <c r="J90" i="112"/>
  <c r="H90" i="112" s="1"/>
  <c r="M90" i="112" s="1"/>
  <c r="O90" i="112" s="1"/>
  <c r="I119" i="112"/>
  <c r="N119" i="112" s="1"/>
  <c r="G119" i="112"/>
  <c r="L125" i="112"/>
  <c r="H125" i="112"/>
  <c r="G32" i="112"/>
  <c r="H32" i="112" s="1"/>
  <c r="M32" i="112" s="1"/>
  <c r="G40" i="112"/>
  <c r="G52" i="112"/>
  <c r="L52" i="112" s="1"/>
  <c r="G60" i="112"/>
  <c r="H60" i="112" s="1"/>
  <c r="M60" i="112" s="1"/>
  <c r="N87" i="112"/>
  <c r="H94" i="112"/>
  <c r="M94" i="112" s="1"/>
  <c r="O94" i="112" s="1"/>
  <c r="H100" i="112"/>
  <c r="M100" i="112" s="1"/>
  <c r="O100" i="112" s="1"/>
  <c r="H108" i="112"/>
  <c r="M108" i="112" s="1"/>
  <c r="O108" i="112" s="1"/>
  <c r="H112" i="112"/>
  <c r="M112" i="112" s="1"/>
  <c r="G138" i="112"/>
  <c r="L138" i="112" s="1"/>
  <c r="H148" i="112"/>
  <c r="M148" i="112" s="1"/>
  <c r="O148" i="112" s="1"/>
  <c r="H152" i="112"/>
  <c r="M152" i="112" s="1"/>
  <c r="O152" i="112" s="1"/>
  <c r="H158" i="112"/>
  <c r="M158" i="112" s="1"/>
  <c r="O158" i="112" s="1"/>
  <c r="L165" i="112"/>
  <c r="O165" i="112"/>
  <c r="L166" i="112"/>
  <c r="O166" i="112" s="1"/>
  <c r="L167" i="112"/>
  <c r="O167" i="112" s="1"/>
  <c r="H186" i="112"/>
  <c r="M186" i="112" s="1"/>
  <c r="O186" i="112" s="1"/>
  <c r="H188" i="112"/>
  <c r="M188" i="112" s="1"/>
  <c r="O188" i="112" s="1"/>
  <c r="G190" i="112"/>
  <c r="L190" i="112"/>
  <c r="L210" i="112"/>
  <c r="H216" i="112"/>
  <c r="M216" i="112" s="1"/>
  <c r="L226" i="112"/>
  <c r="L228" i="112"/>
  <c r="O228" i="112" s="1"/>
  <c r="L235" i="112"/>
  <c r="H247" i="112"/>
  <c r="M247" i="112" s="1"/>
  <c r="M246" i="112" s="1"/>
  <c r="H150" i="112"/>
  <c r="M150" i="112" s="1"/>
  <c r="H154" i="112"/>
  <c r="M154" i="112" s="1"/>
  <c r="O154" i="112" s="1"/>
  <c r="H181" i="112"/>
  <c r="M181" i="112" s="1"/>
  <c r="H191" i="112"/>
  <c r="M191" i="112" s="1"/>
  <c r="H208" i="112"/>
  <c r="M208" i="112" s="1"/>
  <c r="M213" i="112" s="1"/>
  <c r="O210" i="112"/>
  <c r="H138" i="112"/>
  <c r="M138" i="112" s="1"/>
  <c r="L60" i="112"/>
  <c r="L40" i="112"/>
  <c r="H40" i="112"/>
  <c r="M40" i="112" s="1"/>
  <c r="L119" i="112"/>
  <c r="H119" i="112"/>
  <c r="M119" i="112" s="1"/>
  <c r="E14" i="112"/>
  <c r="G14" i="112" s="1"/>
  <c r="G11" i="112"/>
  <c r="H93" i="112"/>
  <c r="M93" i="112" s="1"/>
  <c r="H190" i="112"/>
  <c r="M190" i="112" s="1"/>
  <c r="O190" i="112" s="1"/>
  <c r="H52" i="112"/>
  <c r="M52" i="112" s="1"/>
  <c r="O52" i="112" s="1"/>
  <c r="L32" i="112"/>
  <c r="L89" i="112"/>
  <c r="H89" i="112"/>
  <c r="M89" i="112" s="1"/>
  <c r="H10" i="112"/>
  <c r="M10" i="112" s="1"/>
  <c r="O10" i="112" s="1"/>
  <c r="O12" i="112"/>
  <c r="H11" i="112"/>
  <c r="M11" i="112" s="1"/>
  <c r="L11" i="112"/>
  <c r="O40" i="112"/>
  <c r="EB20" i="77"/>
  <c r="EN20" i="77" s="1"/>
  <c r="O181" i="112"/>
  <c r="N21" i="112"/>
  <c r="L25" i="112"/>
  <c r="L34" i="112"/>
  <c r="L42" i="112"/>
  <c r="O42" i="112" s="1"/>
  <c r="AH26" i="77"/>
  <c r="O26" i="77"/>
  <c r="AC26" i="77" s="1"/>
  <c r="EO20" i="77"/>
  <c r="FG26" i="77"/>
  <c r="FU26" i="77" s="1"/>
  <c r="AH13" i="77"/>
  <c r="AH17" i="77"/>
  <c r="AH18" i="77"/>
  <c r="AH19" i="77"/>
  <c r="AH20" i="77"/>
  <c r="AH21" i="77"/>
  <c r="N22" i="112"/>
  <c r="L22" i="112" s="1"/>
  <c r="CQ19" i="77"/>
  <c r="DC19" i="77" s="1"/>
  <c r="CQ26" i="77"/>
  <c r="DC26" i="77" s="1"/>
  <c r="CQ15" i="77"/>
  <c r="DC15" i="77" s="1"/>
  <c r="U22" i="77"/>
  <c r="BF22" i="77"/>
  <c r="O248" i="112"/>
  <c r="O242" i="112"/>
  <c r="O226" i="112"/>
  <c r="H219" i="112"/>
  <c r="M219" i="112" s="1"/>
  <c r="O216" i="112"/>
  <c r="L224" i="112"/>
  <c r="O224" i="112" s="1"/>
  <c r="L233" i="112"/>
  <c r="O233" i="112" s="1"/>
  <c r="L237" i="112"/>
  <c r="O218" i="112"/>
  <c r="L222" i="112"/>
  <c r="O222" i="112" s="1"/>
  <c r="L225" i="112"/>
  <c r="O225" i="112" s="1"/>
  <c r="FG15" i="77" l="1"/>
  <c r="FU15" i="77" s="1"/>
  <c r="GM15" i="77"/>
  <c r="GR15" i="77" s="1"/>
  <c r="HF15" i="77" s="1"/>
  <c r="BS15" i="77"/>
  <c r="E35" i="141"/>
  <c r="E197" i="141"/>
  <c r="GN26" i="77"/>
  <c r="GO26" i="77"/>
  <c r="HP17" i="77"/>
  <c r="GQ26" i="77"/>
  <c r="HP26" i="77" s="1"/>
  <c r="GR13" i="77"/>
  <c r="GR27" i="77" s="1"/>
  <c r="GM26" i="77"/>
  <c r="HK20" i="77" s="1"/>
  <c r="AV19" i="111"/>
  <c r="AW19" i="111" s="1"/>
  <c r="AV18" i="111"/>
  <c r="AW18" i="111" s="1"/>
  <c r="AL51" i="111"/>
  <c r="AM51" i="111" s="1"/>
  <c r="AN51" i="111" s="1"/>
  <c r="AL52" i="111"/>
  <c r="AM52" i="111" s="1"/>
  <c r="AN52" i="111" s="1"/>
  <c r="R18" i="111"/>
  <c r="R19" i="111"/>
  <c r="S19" i="111" s="1"/>
  <c r="AB30" i="111"/>
  <c r="AC30" i="111" s="1"/>
  <c r="AD30" i="111" s="1"/>
  <c r="AB29" i="111"/>
  <c r="AC29" i="111" s="1"/>
  <c r="AD29" i="111" s="1"/>
  <c r="R40" i="111"/>
  <c r="R41" i="111"/>
  <c r="S41" i="111" s="1"/>
  <c r="T41" i="111" s="1"/>
  <c r="H52" i="111"/>
  <c r="H51" i="111"/>
  <c r="I51" i="111" s="1"/>
  <c r="J51" i="111" s="1"/>
  <c r="AV52" i="111"/>
  <c r="AW52" i="111" s="1"/>
  <c r="AX52" i="111" s="1"/>
  <c r="AV51" i="111"/>
  <c r="AW51" i="111" s="1"/>
  <c r="AX51" i="111" s="1"/>
  <c r="AB63" i="111"/>
  <c r="AC63" i="111" s="1"/>
  <c r="AD63" i="111" s="1"/>
  <c r="AB62" i="111"/>
  <c r="AC62" i="111" s="1"/>
  <c r="AD62" i="111" s="1"/>
  <c r="H86" i="111"/>
  <c r="H85" i="111"/>
  <c r="I85" i="111" s="1"/>
  <c r="J85" i="111" s="1"/>
  <c r="AV86" i="111"/>
  <c r="AW86" i="111" s="1"/>
  <c r="AX86" i="111" s="1"/>
  <c r="AV85" i="111"/>
  <c r="AW85" i="111" s="1"/>
  <c r="AX85" i="111" s="1"/>
  <c r="H13" i="111"/>
  <c r="H19" i="111"/>
  <c r="H18" i="111"/>
  <c r="I18" i="111" s="1"/>
  <c r="R62" i="111"/>
  <c r="R63" i="111"/>
  <c r="S63" i="111" s="1"/>
  <c r="T63" i="111" s="1"/>
  <c r="H12" i="111"/>
  <c r="AB19" i="111"/>
  <c r="AC19" i="111" s="1"/>
  <c r="AB18" i="111"/>
  <c r="AC18" i="111" s="1"/>
  <c r="AL29" i="111"/>
  <c r="AM29" i="111" s="1"/>
  <c r="AN29" i="111" s="1"/>
  <c r="AL30" i="111"/>
  <c r="AM30" i="111" s="1"/>
  <c r="AN30" i="111" s="1"/>
  <c r="AB41" i="111"/>
  <c r="AC41" i="111" s="1"/>
  <c r="AD41" i="111" s="1"/>
  <c r="AB40" i="111"/>
  <c r="AC40" i="111" s="1"/>
  <c r="AD40" i="111" s="1"/>
  <c r="R51" i="111"/>
  <c r="R52" i="111"/>
  <c r="S52" i="111" s="1"/>
  <c r="T52" i="111" s="1"/>
  <c r="AL62" i="111"/>
  <c r="AM62" i="111" s="1"/>
  <c r="AN62" i="111" s="1"/>
  <c r="AL63" i="111"/>
  <c r="AM63" i="111" s="1"/>
  <c r="AN63" i="111" s="1"/>
  <c r="R85" i="111"/>
  <c r="R86" i="111"/>
  <c r="S86" i="111" s="1"/>
  <c r="T86" i="111" s="1"/>
  <c r="R29" i="111"/>
  <c r="R30" i="111"/>
  <c r="S30" i="111" s="1"/>
  <c r="T30" i="111" s="1"/>
  <c r="AV41" i="111"/>
  <c r="AW41" i="111" s="1"/>
  <c r="AX41" i="111" s="1"/>
  <c r="AV40" i="111"/>
  <c r="AW40" i="111" s="1"/>
  <c r="AX40" i="111" s="1"/>
  <c r="AL85" i="111"/>
  <c r="AM85" i="111" s="1"/>
  <c r="AN85" i="111" s="1"/>
  <c r="AL86" i="111"/>
  <c r="AM86" i="111" s="1"/>
  <c r="AN86" i="111" s="1"/>
  <c r="AL18" i="111"/>
  <c r="AM18" i="111" s="1"/>
  <c r="AL19" i="111"/>
  <c r="AM19" i="111" s="1"/>
  <c r="H30" i="111"/>
  <c r="H29" i="111"/>
  <c r="I29" i="111" s="1"/>
  <c r="J29" i="111" s="1"/>
  <c r="AV30" i="111"/>
  <c r="AW30" i="111" s="1"/>
  <c r="AX30" i="111" s="1"/>
  <c r="AV29" i="111"/>
  <c r="AW29" i="111" s="1"/>
  <c r="AX29" i="111" s="1"/>
  <c r="AL40" i="111"/>
  <c r="AM40" i="111" s="1"/>
  <c r="AN40" i="111" s="1"/>
  <c r="AL41" i="111"/>
  <c r="AM41" i="111" s="1"/>
  <c r="AN41" i="111" s="1"/>
  <c r="AB52" i="111"/>
  <c r="AC52" i="111" s="1"/>
  <c r="AD52" i="111" s="1"/>
  <c r="AB51" i="111"/>
  <c r="AC51" i="111" s="1"/>
  <c r="AD51" i="111" s="1"/>
  <c r="H63" i="111"/>
  <c r="H62" i="111"/>
  <c r="I62" i="111" s="1"/>
  <c r="J62" i="111" s="1"/>
  <c r="AV63" i="111"/>
  <c r="AW63" i="111" s="1"/>
  <c r="AX63" i="111" s="1"/>
  <c r="AV62" i="111"/>
  <c r="AW62" i="111" s="1"/>
  <c r="AX62" i="111" s="1"/>
  <c r="AB86" i="111"/>
  <c r="AC86" i="111" s="1"/>
  <c r="AD86" i="111" s="1"/>
  <c r="AB85" i="111"/>
  <c r="AC85" i="111" s="1"/>
  <c r="AD85" i="111" s="1"/>
  <c r="H16" i="111"/>
  <c r="H15" i="111"/>
  <c r="AV42" i="111"/>
  <c r="AW42" i="111" s="1"/>
  <c r="AX42" i="111" s="1"/>
  <c r="AV37" i="111"/>
  <c r="AV34" i="111"/>
  <c r="AV39" i="111"/>
  <c r="AV35" i="111"/>
  <c r="AV38" i="111"/>
  <c r="AV36" i="111"/>
  <c r="AV49" i="111"/>
  <c r="AV47" i="111"/>
  <c r="AV46" i="111"/>
  <c r="AV53" i="111"/>
  <c r="AW53" i="111" s="1"/>
  <c r="AX53" i="111" s="1"/>
  <c r="AV48" i="111"/>
  <c r="AV45" i="111"/>
  <c r="AV50" i="111"/>
  <c r="AV87" i="111"/>
  <c r="AW87" i="111" s="1"/>
  <c r="AX87" i="111" s="1"/>
  <c r="AV82" i="111"/>
  <c r="AV79" i="111"/>
  <c r="AV84" i="111"/>
  <c r="AV80" i="111"/>
  <c r="AV83" i="111"/>
  <c r="AV81" i="111"/>
  <c r="R17" i="111"/>
  <c r="R12" i="111"/>
  <c r="R16" i="111"/>
  <c r="R14" i="111"/>
  <c r="R15" i="111"/>
  <c r="R13" i="111"/>
  <c r="R20" i="111"/>
  <c r="S20" i="111" s="1"/>
  <c r="H17" i="111"/>
  <c r="H20" i="111"/>
  <c r="AV16" i="111"/>
  <c r="AV14" i="111"/>
  <c r="AV13" i="111"/>
  <c r="AV17" i="111"/>
  <c r="AV20" i="111"/>
  <c r="AW20" i="111" s="1"/>
  <c r="AV15" i="111"/>
  <c r="AV12" i="111"/>
  <c r="AV24" i="111"/>
  <c r="AV25" i="111"/>
  <c r="AV31" i="111"/>
  <c r="AW31" i="111" s="1"/>
  <c r="AX31" i="111" s="1"/>
  <c r="AV26" i="111"/>
  <c r="AV23" i="111"/>
  <c r="AV28" i="111"/>
  <c r="AV27" i="111"/>
  <c r="AL39" i="111"/>
  <c r="AL42" i="111"/>
  <c r="AM42" i="111" s="1"/>
  <c r="AN42" i="111" s="1"/>
  <c r="AL38" i="111"/>
  <c r="AL36" i="111"/>
  <c r="AL34" i="111"/>
  <c r="AL35" i="111"/>
  <c r="AL37" i="111"/>
  <c r="AV57" i="111"/>
  <c r="AV58" i="111"/>
  <c r="AV64" i="111"/>
  <c r="AW64" i="111" s="1"/>
  <c r="AX64" i="111" s="1"/>
  <c r="AV59" i="111"/>
  <c r="AV56" i="111"/>
  <c r="AV60" i="111"/>
  <c r="AV61" i="111"/>
  <c r="DD13" i="77"/>
  <c r="DD14" i="77"/>
  <c r="GB15" i="77"/>
  <c r="DE19" i="77"/>
  <c r="DF19" i="77" s="1"/>
  <c r="FZ15" i="77"/>
  <c r="AL80" i="111"/>
  <c r="AL84" i="111"/>
  <c r="AL79" i="111"/>
  <c r="AL87" i="111"/>
  <c r="AM87" i="111" s="1"/>
  <c r="AN87" i="111" s="1"/>
  <c r="AL83" i="111"/>
  <c r="AL81" i="111"/>
  <c r="AL82" i="111"/>
  <c r="AB84" i="111"/>
  <c r="AB82" i="111"/>
  <c r="AB83" i="111"/>
  <c r="AB87" i="111"/>
  <c r="AB81" i="111"/>
  <c r="AB79" i="111"/>
  <c r="AB80" i="111"/>
  <c r="R83" i="111"/>
  <c r="R79" i="111"/>
  <c r="R87" i="111"/>
  <c r="S87" i="111" s="1"/>
  <c r="T87" i="111" s="1"/>
  <c r="R82" i="111"/>
  <c r="R84" i="111"/>
  <c r="R80" i="111"/>
  <c r="R81" i="111"/>
  <c r="H84" i="111"/>
  <c r="H83" i="111"/>
  <c r="H82" i="111"/>
  <c r="H81" i="111"/>
  <c r="H79" i="111"/>
  <c r="H87" i="111"/>
  <c r="H80" i="111"/>
  <c r="AL57" i="111"/>
  <c r="AL61" i="111"/>
  <c r="AL56" i="111"/>
  <c r="AL64" i="111"/>
  <c r="AM64" i="111" s="1"/>
  <c r="AN64" i="111" s="1"/>
  <c r="AL60" i="111"/>
  <c r="AL58" i="111"/>
  <c r="AL59" i="111"/>
  <c r="AL50" i="111"/>
  <c r="AL45" i="111"/>
  <c r="AL53" i="111"/>
  <c r="AM53" i="111" s="1"/>
  <c r="AN53" i="111" s="1"/>
  <c r="AL49" i="111"/>
  <c r="AL47" i="111"/>
  <c r="AL48" i="111"/>
  <c r="AL46" i="111"/>
  <c r="AB60" i="111"/>
  <c r="AB64" i="111"/>
  <c r="AB57" i="111"/>
  <c r="AB61" i="111"/>
  <c r="AB59" i="111"/>
  <c r="AB58" i="111"/>
  <c r="AB56" i="111"/>
  <c r="AB50" i="111"/>
  <c r="AB48" i="111"/>
  <c r="AB53" i="111"/>
  <c r="AB47" i="111"/>
  <c r="AB45" i="111"/>
  <c r="AB49" i="111"/>
  <c r="AB46" i="111"/>
  <c r="R60" i="111"/>
  <c r="R59" i="111"/>
  <c r="R58" i="111"/>
  <c r="R57" i="111"/>
  <c r="R64" i="111"/>
  <c r="S64" i="111" s="1"/>
  <c r="T64" i="111" s="1"/>
  <c r="R56" i="111"/>
  <c r="R61" i="111"/>
  <c r="R53" i="111"/>
  <c r="S53" i="111" s="1"/>
  <c r="T53" i="111" s="1"/>
  <c r="R45" i="111"/>
  <c r="R46" i="111"/>
  <c r="R49" i="111"/>
  <c r="R48" i="111"/>
  <c r="R47" i="111"/>
  <c r="R50" i="111"/>
  <c r="H58" i="111"/>
  <c r="H56" i="111"/>
  <c r="H64" i="111"/>
  <c r="H60" i="111"/>
  <c r="H59" i="111"/>
  <c r="H61" i="111"/>
  <c r="H57" i="111"/>
  <c r="H49" i="111"/>
  <c r="H48" i="111"/>
  <c r="H53" i="111"/>
  <c r="H46" i="111"/>
  <c r="H47" i="111"/>
  <c r="H45" i="111"/>
  <c r="H50" i="111"/>
  <c r="AL28" i="111"/>
  <c r="AL23" i="111"/>
  <c r="AL24" i="111"/>
  <c r="AL27" i="111"/>
  <c r="AL25" i="111"/>
  <c r="AL31" i="111"/>
  <c r="AM31" i="111" s="1"/>
  <c r="AN31" i="111" s="1"/>
  <c r="AL26" i="111"/>
  <c r="AB31" i="111"/>
  <c r="AB25" i="111"/>
  <c r="AB23" i="111"/>
  <c r="AB24" i="111"/>
  <c r="AB27" i="111"/>
  <c r="AB28" i="111"/>
  <c r="AB26" i="111"/>
  <c r="R31" i="111"/>
  <c r="S31" i="111" s="1"/>
  <c r="T31" i="111" s="1"/>
  <c r="R27" i="111"/>
  <c r="R26" i="111"/>
  <c r="R25" i="111"/>
  <c r="R23" i="111"/>
  <c r="R28" i="111"/>
  <c r="R24" i="111"/>
  <c r="H25" i="111"/>
  <c r="H23" i="111"/>
  <c r="H31" i="111"/>
  <c r="H24" i="111"/>
  <c r="H28" i="111"/>
  <c r="H27" i="111"/>
  <c r="H26" i="111"/>
  <c r="AL13" i="111"/>
  <c r="AL17" i="111"/>
  <c r="AL20" i="111"/>
  <c r="AM20" i="111" s="1"/>
  <c r="AL16" i="111"/>
  <c r="AL14" i="111"/>
  <c r="AL12" i="111"/>
  <c r="AL15" i="111"/>
  <c r="AB20" i="111"/>
  <c r="AB14" i="111"/>
  <c r="AB12" i="111"/>
  <c r="AB17" i="111"/>
  <c r="AB15" i="111"/>
  <c r="AB16" i="111"/>
  <c r="AB13" i="111"/>
  <c r="AB39" i="111"/>
  <c r="AB37" i="111"/>
  <c r="AB42" i="111"/>
  <c r="AB36" i="111"/>
  <c r="AB34" i="111"/>
  <c r="AB35" i="111"/>
  <c r="AB38" i="111"/>
  <c r="R38" i="111"/>
  <c r="R37" i="111"/>
  <c r="R36" i="111"/>
  <c r="R34" i="111"/>
  <c r="R39" i="111"/>
  <c r="R35" i="111"/>
  <c r="R42" i="111"/>
  <c r="S42" i="111" s="1"/>
  <c r="GO15" i="77"/>
  <c r="GR16" i="77"/>
  <c r="HF16" i="77" s="1"/>
  <c r="FG27" i="77"/>
  <c r="EO26" i="77"/>
  <c r="EO21" i="77"/>
  <c r="EO19" i="77"/>
  <c r="DV26" i="77"/>
  <c r="EJ26" i="77" s="1"/>
  <c r="EO18" i="77"/>
  <c r="EO14" i="77"/>
  <c r="EO17" i="77"/>
  <c r="EO13" i="77"/>
  <c r="EO16" i="77"/>
  <c r="H14" i="111"/>
  <c r="BF21" i="111"/>
  <c r="BF10" i="111"/>
  <c r="BF54" i="111"/>
  <c r="M179" i="112"/>
  <c r="O178" i="112"/>
  <c r="O179" i="112" s="1"/>
  <c r="L49" i="112"/>
  <c r="H49" i="112"/>
  <c r="M49" i="112" s="1"/>
  <c r="L92" i="112"/>
  <c r="H92" i="112"/>
  <c r="M92" i="112" s="1"/>
  <c r="O92" i="112" s="1"/>
  <c r="L143" i="112"/>
  <c r="H200" i="112"/>
  <c r="M200" i="112" s="1"/>
  <c r="L200" i="112"/>
  <c r="O200" i="112" s="1"/>
  <c r="L39" i="112"/>
  <c r="H39" i="112"/>
  <c r="M39" i="112" s="1"/>
  <c r="H199" i="112"/>
  <c r="M199" i="112" s="1"/>
  <c r="L199" i="112"/>
  <c r="O96" i="112"/>
  <c r="O54" i="112"/>
  <c r="O72" i="112"/>
  <c r="H182" i="112"/>
  <c r="M182" i="112" s="1"/>
  <c r="O147" i="112"/>
  <c r="BF43" i="111"/>
  <c r="G41" i="112"/>
  <c r="G51" i="112"/>
  <c r="G56" i="112"/>
  <c r="H141" i="112"/>
  <c r="M141" i="112" s="1"/>
  <c r="J143" i="112"/>
  <c r="H143" i="112" s="1"/>
  <c r="M143" i="112" s="1"/>
  <c r="N160" i="112"/>
  <c r="N161" i="112" s="1"/>
  <c r="L170" i="112"/>
  <c r="L192" i="112"/>
  <c r="O211" i="112"/>
  <c r="O112" i="112"/>
  <c r="O115" i="112"/>
  <c r="O34" i="112"/>
  <c r="O119" i="112"/>
  <c r="O134" i="112"/>
  <c r="O62" i="112"/>
  <c r="O107" i="112"/>
  <c r="O16" i="112"/>
  <c r="G57" i="112"/>
  <c r="G75" i="112"/>
  <c r="O80" i="112"/>
  <c r="N145" i="112"/>
  <c r="N258" i="112" s="1"/>
  <c r="L212" i="112"/>
  <c r="L213" i="112" s="1"/>
  <c r="G65" i="112"/>
  <c r="G84" i="112"/>
  <c r="L159" i="112"/>
  <c r="L160" i="112" s="1"/>
  <c r="N173" i="112"/>
  <c r="N183" i="112"/>
  <c r="L229" i="112"/>
  <c r="O229" i="112" s="1"/>
  <c r="H220" i="112"/>
  <c r="M220" i="112" s="1"/>
  <c r="L241" i="112"/>
  <c r="L240" i="112" s="1"/>
  <c r="L234" i="112"/>
  <c r="H223" i="112"/>
  <c r="M223" i="112" s="1"/>
  <c r="O223" i="112" s="1"/>
  <c r="L236" i="112"/>
  <c r="L227" i="112"/>
  <c r="O227" i="112" s="1"/>
  <c r="N221" i="112"/>
  <c r="H231" i="112"/>
  <c r="M231" i="112" s="1"/>
  <c r="O231" i="112" s="1"/>
  <c r="L244" i="112"/>
  <c r="L243" i="112" s="1"/>
  <c r="N215" i="112"/>
  <c r="N232" i="112"/>
  <c r="N240" i="112"/>
  <c r="O235" i="112"/>
  <c r="O237" i="112"/>
  <c r="O142" i="112"/>
  <c r="O185" i="112"/>
  <c r="M192" i="112"/>
  <c r="L28" i="112"/>
  <c r="H28" i="112"/>
  <c r="M28" i="112" s="1"/>
  <c r="H57" i="112"/>
  <c r="M57" i="112" s="1"/>
  <c r="L57" i="112"/>
  <c r="H75" i="112"/>
  <c r="M75" i="112" s="1"/>
  <c r="O75" i="112" s="1"/>
  <c r="L75" i="112"/>
  <c r="H132" i="112"/>
  <c r="M132" i="112" s="1"/>
  <c r="L132" i="112"/>
  <c r="L135" i="112"/>
  <c r="H135" i="112"/>
  <c r="M135" i="112" s="1"/>
  <c r="H136" i="112"/>
  <c r="M136" i="112" s="1"/>
  <c r="L136" i="112"/>
  <c r="H137" i="112"/>
  <c r="M137" i="112" s="1"/>
  <c r="L137" i="112"/>
  <c r="N128" i="112"/>
  <c r="N129" i="112" s="1"/>
  <c r="M206" i="112"/>
  <c r="O205" i="112"/>
  <c r="O206" i="112" s="1"/>
  <c r="O118" i="112"/>
  <c r="O73" i="112"/>
  <c r="H61" i="112"/>
  <c r="M61" i="112" s="1"/>
  <c r="L61" i="112"/>
  <c r="H77" i="112"/>
  <c r="M77" i="112" s="1"/>
  <c r="L77" i="112"/>
  <c r="H83" i="112"/>
  <c r="M83" i="112" s="1"/>
  <c r="L83" i="112"/>
  <c r="H198" i="112"/>
  <c r="M198" i="112" s="1"/>
  <c r="M201" i="112" s="1"/>
  <c r="M202" i="112" s="1"/>
  <c r="L202" i="112" s="1"/>
  <c r="L198" i="112"/>
  <c r="L217" i="112"/>
  <c r="H217" i="112"/>
  <c r="M217" i="112" s="1"/>
  <c r="M215" i="112" s="1"/>
  <c r="O89" i="112"/>
  <c r="O93" i="112"/>
  <c r="O191" i="112"/>
  <c r="O150" i="112"/>
  <c r="O138" i="112"/>
  <c r="O60" i="112"/>
  <c r="O27" i="112"/>
  <c r="M183" i="112"/>
  <c r="M259" i="112" s="1"/>
  <c r="O144" i="112"/>
  <c r="O101" i="112"/>
  <c r="O53" i="112"/>
  <c r="O45" i="112"/>
  <c r="O35" i="112"/>
  <c r="O49" i="112"/>
  <c r="O39" i="112"/>
  <c r="N66" i="112"/>
  <c r="L103" i="112"/>
  <c r="O234" i="112"/>
  <c r="O247" i="112"/>
  <c r="O246" i="112" s="1"/>
  <c r="O32" i="112"/>
  <c r="O110" i="112"/>
  <c r="O220" i="112"/>
  <c r="O187" i="112"/>
  <c r="O156" i="112"/>
  <c r="O153" i="112"/>
  <c r="O124" i="112"/>
  <c r="O113" i="112"/>
  <c r="O99" i="112"/>
  <c r="O199" i="112"/>
  <c r="O86" i="112"/>
  <c r="O78" i="112"/>
  <c r="O29" i="112"/>
  <c r="O82" i="112"/>
  <c r="O59" i="112"/>
  <c r="O37" i="112"/>
  <c r="O17" i="112"/>
  <c r="O63" i="112"/>
  <c r="O33" i="112"/>
  <c r="G15" i="112"/>
  <c r="G31" i="112"/>
  <c r="G55" i="112"/>
  <c r="G85" i="112"/>
  <c r="N103" i="112"/>
  <c r="H98" i="112"/>
  <c r="M98" i="112" s="1"/>
  <c r="O98" i="112" s="1"/>
  <c r="N116" i="112"/>
  <c r="N263" i="112" s="1"/>
  <c r="G126" i="112"/>
  <c r="L164" i="112"/>
  <c r="L169" i="112"/>
  <c r="O169" i="112" s="1"/>
  <c r="N192" i="112"/>
  <c r="O236" i="112"/>
  <c r="GN15" i="77"/>
  <c r="DV15" i="77"/>
  <c r="EJ15" i="77" s="1"/>
  <c r="HV15" i="77"/>
  <c r="BF77" i="111"/>
  <c r="CK15" i="77"/>
  <c r="CY15" i="77" s="1"/>
  <c r="HU15" i="77"/>
  <c r="DD21" i="77"/>
  <c r="DD17" i="77"/>
  <c r="DD15" i="77"/>
  <c r="DE15" i="77" s="1"/>
  <c r="DF15" i="77" s="1"/>
  <c r="AZ15" i="77"/>
  <c r="BN15" i="77" s="1"/>
  <c r="GQ15" i="77"/>
  <c r="HP15" i="77" s="1"/>
  <c r="E193" i="141" s="1"/>
  <c r="BS26" i="77"/>
  <c r="BS13" i="77"/>
  <c r="BS16" i="77"/>
  <c r="BS17" i="77"/>
  <c r="BS18" i="77"/>
  <c r="BS20" i="77"/>
  <c r="BS22" i="77"/>
  <c r="O27" i="77"/>
  <c r="E194" i="141"/>
  <c r="E32" i="141"/>
  <c r="E33" i="141"/>
  <c r="E195" i="141"/>
  <c r="E196" i="141"/>
  <c r="E34" i="141"/>
  <c r="E191" i="141"/>
  <c r="E29" i="141"/>
  <c r="E192" i="141"/>
  <c r="E30" i="141"/>
  <c r="L141" i="112"/>
  <c r="O159" i="112"/>
  <c r="M160" i="112"/>
  <c r="M161" i="112" s="1"/>
  <c r="L161" i="112" s="1"/>
  <c r="O160" i="112"/>
  <c r="O162" i="112" s="1"/>
  <c r="L162" i="112" s="1"/>
  <c r="O182" i="112"/>
  <c r="O183" i="112" s="1"/>
  <c r="M243" i="112"/>
  <c r="O241" i="112"/>
  <c r="O240" i="112" s="1"/>
  <c r="L238" i="112"/>
  <c r="L232" i="112" s="1"/>
  <c r="EI14" i="77"/>
  <c r="EI26" i="77"/>
  <c r="HE13" i="77"/>
  <c r="EI20" i="77"/>
  <c r="EI18" i="77"/>
  <c r="BM16" i="77"/>
  <c r="FT17" i="77"/>
  <c r="FT15" i="77"/>
  <c r="CX16" i="77"/>
  <c r="AB16" i="77"/>
  <c r="FT20" i="77"/>
  <c r="CX13" i="77"/>
  <c r="FT18" i="77"/>
  <c r="CX17" i="77"/>
  <c r="CX20" i="77"/>
  <c r="AB17" i="77"/>
  <c r="AB21" i="77"/>
  <c r="HE20" i="77"/>
  <c r="HE19" i="77"/>
  <c r="HE15" i="77"/>
  <c r="HE26" i="77"/>
  <c r="EI16" i="77"/>
  <c r="EI21" i="77"/>
  <c r="BM17" i="77"/>
  <c r="BM20" i="77"/>
  <c r="HE18" i="77"/>
  <c r="FT21" i="77"/>
  <c r="FT16" i="77"/>
  <c r="FT13" i="77"/>
  <c r="AB13" i="77"/>
  <c r="FT14" i="77"/>
  <c r="FT19" i="77"/>
  <c r="CX15" i="77"/>
  <c r="CX14" i="77"/>
  <c r="CX18" i="77"/>
  <c r="CX19" i="77"/>
  <c r="AB15" i="77"/>
  <c r="AB14" i="77"/>
  <c r="AB20" i="77"/>
  <c r="EP20" i="77"/>
  <c r="CQ18" i="77"/>
  <c r="DC18" i="77" s="1"/>
  <c r="CQ17" i="77"/>
  <c r="DC17" i="77" s="1"/>
  <c r="CQ13" i="77"/>
  <c r="DC13" i="77" s="1"/>
  <c r="CQ16" i="77"/>
  <c r="DC16" i="77" s="1"/>
  <c r="CQ14" i="77"/>
  <c r="DC14" i="77" s="1"/>
  <c r="DE14" i="77" s="1"/>
  <c r="DF14" i="77" s="1"/>
  <c r="CQ20" i="77"/>
  <c r="DC20" i="77" s="1"/>
  <c r="CQ21" i="77"/>
  <c r="DC21" i="77" s="1"/>
  <c r="EB18" i="77"/>
  <c r="EN18" i="77" s="1"/>
  <c r="EP18" i="77" s="1"/>
  <c r="EB16" i="77"/>
  <c r="EN16" i="77" s="1"/>
  <c r="EB21" i="77"/>
  <c r="EN21" i="77" s="1"/>
  <c r="EB26" i="77"/>
  <c r="EN26" i="77" s="1"/>
  <c r="EB15" i="77"/>
  <c r="EN15" i="77" s="1"/>
  <c r="EP15" i="77" s="1"/>
  <c r="EB17" i="77"/>
  <c r="EN17" i="77" s="1"/>
  <c r="EB19" i="77"/>
  <c r="EN19" i="77" s="1"/>
  <c r="EB13" i="77"/>
  <c r="EN13" i="77" s="1"/>
  <c r="EB14" i="77"/>
  <c r="EN14" i="77" s="1"/>
  <c r="DD20" i="77"/>
  <c r="DD18" i="77"/>
  <c r="DE18" i="77" s="1"/>
  <c r="DD16" i="77"/>
  <c r="CK26" i="77"/>
  <c r="CY26" i="77" s="1"/>
  <c r="DD26" i="77"/>
  <c r="DE26" i="77" s="1"/>
  <c r="DF26" i="77" s="1"/>
  <c r="BS21" i="77"/>
  <c r="AH27" i="77"/>
  <c r="HF13" i="77"/>
  <c r="AG22" i="77"/>
  <c r="AI22" i="77" s="1"/>
  <c r="O219" i="112"/>
  <c r="BR22" i="77"/>
  <c r="O121" i="112"/>
  <c r="O123" i="112"/>
  <c r="O30" i="112"/>
  <c r="O38" i="112"/>
  <c r="O46" i="112"/>
  <c r="O50" i="112"/>
  <c r="O58" i="112"/>
  <c r="O120" i="112"/>
  <c r="O122" i="112"/>
  <c r="O127" i="112"/>
  <c r="H14" i="112"/>
  <c r="M14" i="112" s="1"/>
  <c r="L14" i="112"/>
  <c r="M176" i="112"/>
  <c r="O175" i="112"/>
  <c r="O176" i="112" s="1"/>
  <c r="O11" i="112"/>
  <c r="O192" i="112"/>
  <c r="O208" i="112"/>
  <c r="EQ15" i="77"/>
  <c r="EI15" i="77"/>
  <c r="BM15" i="77"/>
  <c r="BM14" i="77"/>
  <c r="BM18" i="77"/>
  <c r="BM19" i="77"/>
  <c r="FZ21" i="77"/>
  <c r="FZ27" i="77" s="1"/>
  <c r="O170" i="112"/>
  <c r="O171" i="112"/>
  <c r="N259" i="112"/>
  <c r="O212" i="112"/>
  <c r="N249" i="112"/>
  <c r="H133" i="112"/>
  <c r="M133" i="112" s="1"/>
  <c r="M139" i="112" s="1"/>
  <c r="M260" i="112" s="1"/>
  <c r="L133" i="112"/>
  <c r="L13" i="112"/>
  <c r="G43" i="112"/>
  <c r="G44" i="112"/>
  <c r="G47" i="112"/>
  <c r="O71" i="112"/>
  <c r="O238" i="112"/>
  <c r="L64" i="112"/>
  <c r="O64" i="112" s="1"/>
  <c r="L74" i="112"/>
  <c r="H114" i="112"/>
  <c r="M114" i="112" s="1"/>
  <c r="H97" i="112"/>
  <c r="M97" i="112" s="1"/>
  <c r="O97" i="112" s="1"/>
  <c r="H102" i="112"/>
  <c r="M102" i="112" s="1"/>
  <c r="O102" i="112" s="1"/>
  <c r="L230" i="112"/>
  <c r="H239" i="112"/>
  <c r="M239" i="112" s="1"/>
  <c r="M232" i="112" s="1"/>
  <c r="H245" i="112"/>
  <c r="M245" i="112" s="1"/>
  <c r="O245" i="112" s="1"/>
  <c r="AB18" i="77"/>
  <c r="AB19" i="77"/>
  <c r="DE13" i="77" l="1"/>
  <c r="DF13" i="77" s="1"/>
  <c r="CK27" i="77"/>
  <c r="HK24" i="77"/>
  <c r="HL24" i="77" s="1"/>
  <c r="HM24" i="77" s="1"/>
  <c r="HK23" i="77"/>
  <c r="HL23" i="77" s="1"/>
  <c r="HM23" i="77" s="1"/>
  <c r="DE17" i="77"/>
  <c r="AD18" i="111"/>
  <c r="AD73" i="111" s="1"/>
  <c r="AD96" i="111" s="1"/>
  <c r="AG18" i="111"/>
  <c r="AC73" i="111"/>
  <c r="AC96" i="111" s="1"/>
  <c r="BF62" i="111"/>
  <c r="BF63" i="111"/>
  <c r="AG19" i="111"/>
  <c r="AD19" i="111"/>
  <c r="AD74" i="111" s="1"/>
  <c r="AD97" i="111" s="1"/>
  <c r="AC74" i="111"/>
  <c r="AC97" i="111" s="1"/>
  <c r="J18" i="111"/>
  <c r="BF85" i="111"/>
  <c r="BF86" i="111"/>
  <c r="BF51" i="111"/>
  <c r="BF52" i="111"/>
  <c r="BF18" i="111"/>
  <c r="BF19" i="111"/>
  <c r="AQ19" i="111"/>
  <c r="AN19" i="111"/>
  <c r="AN74" i="111" s="1"/>
  <c r="AN97" i="111" s="1"/>
  <c r="AM74" i="111"/>
  <c r="AM97" i="111" s="1"/>
  <c r="T19" i="111"/>
  <c r="T74" i="111" s="1"/>
  <c r="T97" i="111" s="1"/>
  <c r="W19" i="111"/>
  <c r="S74" i="111"/>
  <c r="S97" i="111" s="1"/>
  <c r="BA18" i="111"/>
  <c r="AX18" i="111"/>
  <c r="AX73" i="111" s="1"/>
  <c r="AX96" i="111" s="1"/>
  <c r="AW73" i="111"/>
  <c r="AW96" i="111" s="1"/>
  <c r="BF29" i="111"/>
  <c r="BF30" i="111"/>
  <c r="AQ18" i="111"/>
  <c r="AN18" i="111"/>
  <c r="AN73" i="111" s="1"/>
  <c r="AN96" i="111" s="1"/>
  <c r="AM73" i="111"/>
  <c r="AM96" i="111" s="1"/>
  <c r="BA19" i="111"/>
  <c r="AX19" i="111"/>
  <c r="AX74" i="111" s="1"/>
  <c r="AX97" i="111" s="1"/>
  <c r="AW74" i="111"/>
  <c r="AW97" i="111" s="1"/>
  <c r="W20" i="111"/>
  <c r="T20" i="111"/>
  <c r="AX20" i="111"/>
  <c r="AX75" i="111" s="1"/>
  <c r="AX98" i="111" s="1"/>
  <c r="BA20" i="111"/>
  <c r="AW75" i="111"/>
  <c r="AW98" i="111" s="1"/>
  <c r="EP19" i="77"/>
  <c r="EP17" i="77"/>
  <c r="DE21" i="77"/>
  <c r="DF21" i="77" s="1"/>
  <c r="DE16" i="77"/>
  <c r="DF16" i="77" s="1"/>
  <c r="EO27" i="77"/>
  <c r="BF87" i="111"/>
  <c r="BF83" i="111"/>
  <c r="BF82" i="111"/>
  <c r="BF81" i="111"/>
  <c r="BF79" i="111"/>
  <c r="BF84" i="111"/>
  <c r="BF80" i="111"/>
  <c r="BF61" i="111"/>
  <c r="BF57" i="111"/>
  <c r="BF60" i="111"/>
  <c r="BF59" i="111"/>
  <c r="BF58" i="111"/>
  <c r="BF56" i="111"/>
  <c r="BF64" i="111"/>
  <c r="BF53" i="111"/>
  <c r="BF50" i="111"/>
  <c r="BF49" i="111"/>
  <c r="BF48" i="111"/>
  <c r="BF47" i="111"/>
  <c r="BF45" i="111"/>
  <c r="BF46" i="111"/>
  <c r="BF31" i="111"/>
  <c r="BF24" i="111"/>
  <c r="BF27" i="111"/>
  <c r="BF26" i="111"/>
  <c r="BF25" i="111"/>
  <c r="BF23" i="111"/>
  <c r="BF28" i="111"/>
  <c r="AM75" i="111"/>
  <c r="AM98" i="111" s="1"/>
  <c r="AQ20" i="111"/>
  <c r="AN20" i="111"/>
  <c r="AN75" i="111" s="1"/>
  <c r="AN98" i="111" s="1"/>
  <c r="BF20" i="111"/>
  <c r="BF13" i="111"/>
  <c r="BF16" i="111"/>
  <c r="BF15" i="111"/>
  <c r="BF14" i="111"/>
  <c r="BF12" i="111"/>
  <c r="BF17" i="111"/>
  <c r="S75" i="111"/>
  <c r="S98" i="111" s="1"/>
  <c r="T42" i="111"/>
  <c r="BT22" i="77"/>
  <c r="BU22" i="77" s="1"/>
  <c r="EP16" i="77"/>
  <c r="DV27" i="77"/>
  <c r="EP26" i="77"/>
  <c r="EQ26" i="77" s="1"/>
  <c r="EP21" i="77"/>
  <c r="EP14" i="77"/>
  <c r="EQ14" i="77" s="1"/>
  <c r="EP13" i="77"/>
  <c r="EQ13" i="77" s="1"/>
  <c r="O143" i="112"/>
  <c r="M145" i="112"/>
  <c r="H84" i="112"/>
  <c r="M84" i="112" s="1"/>
  <c r="L84" i="112"/>
  <c r="H65" i="112"/>
  <c r="M65" i="112" s="1"/>
  <c r="L65" i="112"/>
  <c r="O65" i="112" s="1"/>
  <c r="L56" i="112"/>
  <c r="H56" i="112"/>
  <c r="M56" i="112" s="1"/>
  <c r="M258" i="112"/>
  <c r="L51" i="112"/>
  <c r="H51" i="112"/>
  <c r="M51" i="112" s="1"/>
  <c r="L41" i="112"/>
  <c r="O41" i="112" s="1"/>
  <c r="H41" i="112"/>
  <c r="M41" i="112" s="1"/>
  <c r="M221" i="112"/>
  <c r="M249" i="112" s="1"/>
  <c r="O244" i="112"/>
  <c r="O243" i="112" s="1"/>
  <c r="O217" i="112"/>
  <c r="O215" i="112" s="1"/>
  <c r="H126" i="112"/>
  <c r="M126" i="112" s="1"/>
  <c r="L126" i="112"/>
  <c r="L128" i="112" s="1"/>
  <c r="H85" i="112"/>
  <c r="M85" i="112" s="1"/>
  <c r="M87" i="112" s="1"/>
  <c r="L85" i="112"/>
  <c r="H31" i="112"/>
  <c r="M31" i="112" s="1"/>
  <c r="L31" i="112"/>
  <c r="O31" i="112" s="1"/>
  <c r="N67" i="112"/>
  <c r="N251" i="112"/>
  <c r="O14" i="112"/>
  <c r="O164" i="112"/>
  <c r="L173" i="112"/>
  <c r="L55" i="112"/>
  <c r="H55" i="112"/>
  <c r="M55" i="112" s="1"/>
  <c r="H15" i="112"/>
  <c r="M15" i="112" s="1"/>
  <c r="M21" i="112" s="1"/>
  <c r="M23" i="112" s="1"/>
  <c r="L15" i="112"/>
  <c r="O15" i="112" s="1"/>
  <c r="L201" i="112"/>
  <c r="O198" i="112"/>
  <c r="O201" i="112" s="1"/>
  <c r="O203" i="112" s="1"/>
  <c r="L129" i="112"/>
  <c r="N256" i="112"/>
  <c r="O173" i="112"/>
  <c r="L215" i="112"/>
  <c r="O83" i="112"/>
  <c r="O77" i="112"/>
  <c r="O61" i="112"/>
  <c r="O137" i="112"/>
  <c r="O136" i="112"/>
  <c r="O135" i="112"/>
  <c r="O132" i="112"/>
  <c r="O57" i="112"/>
  <c r="O28" i="112"/>
  <c r="DE20" i="77"/>
  <c r="HX15" i="77"/>
  <c r="AZ27" i="77"/>
  <c r="HK17" i="77"/>
  <c r="E31" i="141"/>
  <c r="BS27" i="77"/>
  <c r="HK22" i="77"/>
  <c r="L145" i="112"/>
  <c r="L258" i="112" s="1"/>
  <c r="O141" i="112"/>
  <c r="O145" i="112" s="1"/>
  <c r="O258" i="112" s="1"/>
  <c r="O239" i="112"/>
  <c r="DD27" i="77"/>
  <c r="HK13" i="77"/>
  <c r="HK19" i="77"/>
  <c r="HK14" i="77"/>
  <c r="HK26" i="77"/>
  <c r="GR26" i="77"/>
  <c r="HF26" i="77" s="1"/>
  <c r="HK15" i="77"/>
  <c r="HK18" i="77"/>
  <c r="HK21" i="77"/>
  <c r="HK16" i="77"/>
  <c r="O230" i="112"/>
  <c r="O221" i="112" s="1"/>
  <c r="L221" i="112"/>
  <c r="L249" i="112" s="1"/>
  <c r="O103" i="112"/>
  <c r="O104" i="112"/>
  <c r="O114" i="112"/>
  <c r="O116" i="112" s="1"/>
  <c r="M116" i="112"/>
  <c r="H47" i="112"/>
  <c r="M47" i="112" s="1"/>
  <c r="L47" i="112"/>
  <c r="H43" i="112"/>
  <c r="M43" i="112" s="1"/>
  <c r="L43" i="112"/>
  <c r="M103" i="112"/>
  <c r="M105" i="112" s="1"/>
  <c r="O74" i="112"/>
  <c r="L87" i="112"/>
  <c r="L44" i="112"/>
  <c r="H44" i="112"/>
  <c r="M44" i="112" s="1"/>
  <c r="O13" i="112"/>
  <c r="O21" i="112" s="1"/>
  <c r="L21" i="112"/>
  <c r="O133" i="112"/>
  <c r="O139" i="112" s="1"/>
  <c r="O260" i="112" s="1"/>
  <c r="L139" i="112"/>
  <c r="L260" i="112" s="1"/>
  <c r="O232" i="112"/>
  <c r="O213" i="112"/>
  <c r="GE24" i="77" l="1"/>
  <c r="F37" i="141" s="1"/>
  <c r="F26" i="141" s="1"/>
  <c r="HN24" i="77"/>
  <c r="GE23" i="77"/>
  <c r="F36" i="141" s="1"/>
  <c r="F25" i="141" s="1"/>
  <c r="HN23" i="77"/>
  <c r="T75" i="111"/>
  <c r="T98" i="111" s="1"/>
  <c r="O85" i="112"/>
  <c r="O84" i="112"/>
  <c r="O56" i="112"/>
  <c r="O87" i="112"/>
  <c r="O51" i="112"/>
  <c r="O249" i="112"/>
  <c r="L203" i="112"/>
  <c r="L261" i="112" s="1"/>
  <c r="O261" i="112"/>
  <c r="L67" i="112"/>
  <c r="L255" i="112" s="1"/>
  <c r="N255" i="112"/>
  <c r="N264" i="112" s="1"/>
  <c r="O126" i="112"/>
  <c r="O128" i="112" s="1"/>
  <c r="O130" i="112" s="1"/>
  <c r="M128" i="112"/>
  <c r="M130" i="112" s="1"/>
  <c r="L130" i="112" s="1"/>
  <c r="O47" i="112"/>
  <c r="O55" i="112"/>
  <c r="F175" i="141"/>
  <c r="F172" i="141"/>
  <c r="F176" i="141"/>
  <c r="F174" i="141"/>
  <c r="F173" i="141"/>
  <c r="F171" i="141"/>
  <c r="F156" i="141"/>
  <c r="F154" i="141"/>
  <c r="F153" i="141"/>
  <c r="F151" i="141"/>
  <c r="F155" i="141"/>
  <c r="F152" i="141"/>
  <c r="HK27" i="77"/>
  <c r="AD26" i="77"/>
  <c r="AD22" i="77"/>
  <c r="EK20" i="77"/>
  <c r="EK19" i="77"/>
  <c r="EK21" i="77"/>
  <c r="EK13" i="77"/>
  <c r="EK15" i="77"/>
  <c r="EK17" i="77"/>
  <c r="EK18" i="77"/>
  <c r="EK16" i="77"/>
  <c r="EK14" i="77"/>
  <c r="L104" i="112"/>
  <c r="L259" i="112" s="1"/>
  <c r="O259" i="112"/>
  <c r="L23" i="112"/>
  <c r="O256" i="112"/>
  <c r="O44" i="112"/>
  <c r="M66" i="112"/>
  <c r="O43" i="112"/>
  <c r="L66" i="112"/>
  <c r="L251" i="112" s="1"/>
  <c r="O105" i="112"/>
  <c r="O66" i="112" l="1"/>
  <c r="O251" i="112" s="1"/>
  <c r="M263" i="112"/>
  <c r="F54" i="141"/>
  <c r="F51" i="141"/>
  <c r="F55" i="141"/>
  <c r="F53" i="141"/>
  <c r="F52" i="141"/>
  <c r="F50" i="141"/>
  <c r="G173" i="141"/>
  <c r="H173" i="141"/>
  <c r="G176" i="141"/>
  <c r="H176" i="141"/>
  <c r="H172" i="141"/>
  <c r="G172" i="141"/>
  <c r="H175" i="141"/>
  <c r="G175" i="141"/>
  <c r="G171" i="141"/>
  <c r="H171" i="141"/>
  <c r="G174" i="141"/>
  <c r="H174" i="141"/>
  <c r="G153" i="141"/>
  <c r="H153" i="141"/>
  <c r="G156" i="141"/>
  <c r="H156" i="141"/>
  <c r="H152" i="141"/>
  <c r="G152" i="141"/>
  <c r="H155" i="141"/>
  <c r="G155" i="141"/>
  <c r="G151" i="141"/>
  <c r="H151" i="141"/>
  <c r="G154" i="141"/>
  <c r="H154" i="141"/>
  <c r="F166" i="141"/>
  <c r="F164" i="141"/>
  <c r="F163" i="141"/>
  <c r="F161" i="141"/>
  <c r="F165" i="141"/>
  <c r="F162" i="141"/>
  <c r="O263" i="112"/>
  <c r="L105" i="112"/>
  <c r="L263" i="112" s="1"/>
  <c r="M68" i="112"/>
  <c r="M251" i="112"/>
  <c r="O264" i="112"/>
  <c r="G52" i="141" l="1"/>
  <c r="H52" i="141"/>
  <c r="G55" i="141"/>
  <c r="H55" i="141"/>
  <c r="G50" i="141"/>
  <c r="H50" i="141"/>
  <c r="G53" i="141"/>
  <c r="H53" i="141"/>
  <c r="H51" i="141"/>
  <c r="G51" i="141"/>
  <c r="H54" i="141"/>
  <c r="G54" i="141"/>
  <c r="G162" i="141"/>
  <c r="H162" i="141"/>
  <c r="G165" i="141"/>
  <c r="H165" i="141"/>
  <c r="H163" i="141"/>
  <c r="G163" i="141"/>
  <c r="H166" i="141"/>
  <c r="G166" i="141"/>
  <c r="H161" i="141"/>
  <c r="G161" i="141"/>
  <c r="H164" i="141"/>
  <c r="G164" i="141"/>
  <c r="F206" i="141"/>
  <c r="F204" i="141"/>
  <c r="F203" i="141"/>
  <c r="F201" i="141"/>
  <c r="F205" i="141"/>
  <c r="F202" i="141"/>
  <c r="W22" i="77"/>
  <c r="L68" i="112"/>
  <c r="L256" i="112" s="1"/>
  <c r="M256" i="112"/>
  <c r="M264" i="112" s="1"/>
  <c r="L264" i="112" l="1"/>
  <c r="F65" i="141"/>
  <c r="F43" i="141" s="1"/>
  <c r="F62" i="141"/>
  <c r="F66" i="141"/>
  <c r="F44" i="141" s="1"/>
  <c r="F64" i="141"/>
  <c r="F63" i="141"/>
  <c r="F61" i="141"/>
  <c r="H202" i="141"/>
  <c r="G202" i="141"/>
  <c r="H205" i="141"/>
  <c r="G205" i="141"/>
  <c r="H203" i="141"/>
  <c r="G203" i="141"/>
  <c r="H206" i="141"/>
  <c r="G206" i="141"/>
  <c r="H201" i="141"/>
  <c r="G201" i="141"/>
  <c r="H204" i="141"/>
  <c r="G204" i="141"/>
  <c r="EH21" i="77"/>
  <c r="EG21" i="77" s="1"/>
  <c r="EH13" i="77"/>
  <c r="EG13" i="77" s="1"/>
  <c r="EH26" i="77"/>
  <c r="EG26" i="77" s="1"/>
  <c r="EH18" i="77"/>
  <c r="EG18" i="77" s="1"/>
  <c r="EH15" i="77"/>
  <c r="EG15" i="77" s="1"/>
  <c r="EH22" i="77"/>
  <c r="EG22" i="77" s="1"/>
  <c r="EH16" i="77"/>
  <c r="EG16" i="77" s="1"/>
  <c r="EH19" i="77"/>
  <c r="EG19" i="77" s="1"/>
  <c r="EH14" i="77"/>
  <c r="EG14" i="77" s="1"/>
  <c r="EH17" i="77"/>
  <c r="EG17" i="77" s="1"/>
  <c r="EH20" i="77"/>
  <c r="EG20" i="77" s="1"/>
  <c r="CZ21" i="77"/>
  <c r="CZ13" i="77"/>
  <c r="CZ14" i="77"/>
  <c r="CZ17" i="77"/>
  <c r="CZ19" i="77"/>
  <c r="CZ16" i="77"/>
  <c r="CZ15" i="77"/>
  <c r="CZ20" i="77"/>
  <c r="CZ18" i="77"/>
  <c r="FP22" i="77"/>
  <c r="EE26" i="77"/>
  <c r="EE16" i="77"/>
  <c r="EE17" i="77"/>
  <c r="EE15" i="77"/>
  <c r="EE20" i="77"/>
  <c r="EE21" i="77"/>
  <c r="EE14" i="77"/>
  <c r="EE18" i="77"/>
  <c r="EE13" i="77"/>
  <c r="EE19" i="77"/>
  <c r="EB22" i="77"/>
  <c r="U19" i="77"/>
  <c r="U18" i="77"/>
  <c r="U20" i="77"/>
  <c r="U21" i="77"/>
  <c r="U14" i="77"/>
  <c r="U26" i="77"/>
  <c r="U16" i="77"/>
  <c r="U17" i="77"/>
  <c r="U15" i="77"/>
  <c r="U13" i="77"/>
  <c r="BH22" i="77"/>
  <c r="BO22" i="77"/>
  <c r="BO26" i="77"/>
  <c r="CQ22" i="77"/>
  <c r="ED22" i="77"/>
  <c r="CS16" i="77"/>
  <c r="CS14" i="77"/>
  <c r="CS20" i="77"/>
  <c r="CS19" i="77"/>
  <c r="CS15" i="77"/>
  <c r="CS21" i="77"/>
  <c r="CS13" i="77"/>
  <c r="CS18" i="77"/>
  <c r="CS17" i="77"/>
  <c r="CS26" i="77"/>
  <c r="CS22" i="77"/>
  <c r="FM22" i="77"/>
  <c r="FO22" i="77"/>
  <c r="H61" i="141" l="1"/>
  <c r="H39" i="141" s="1"/>
  <c r="H18" i="141" s="1"/>
  <c r="F39" i="141"/>
  <c r="G61" i="141"/>
  <c r="G39" i="141" s="1"/>
  <c r="G18" i="141" s="1"/>
  <c r="H64" i="141"/>
  <c r="H42" i="141" s="1"/>
  <c r="H21" i="141" s="1"/>
  <c r="F42" i="141"/>
  <c r="G64" i="141"/>
  <c r="G42" i="141" s="1"/>
  <c r="G21" i="141" s="1"/>
  <c r="H63" i="141"/>
  <c r="H41" i="141" s="1"/>
  <c r="H20" i="141" s="1"/>
  <c r="F41" i="141"/>
  <c r="G63" i="141"/>
  <c r="G41" i="141" s="1"/>
  <c r="G20" i="141" s="1"/>
  <c r="H66" i="141"/>
  <c r="H44" i="141" s="1"/>
  <c r="H23" i="141" s="1"/>
  <c r="G66" i="141"/>
  <c r="G44" i="141" s="1"/>
  <c r="G23" i="141" s="1"/>
  <c r="G62" i="141"/>
  <c r="G40" i="141" s="1"/>
  <c r="G19" i="141" s="1"/>
  <c r="F40" i="141"/>
  <c r="H62" i="141"/>
  <c r="H40" i="141" s="1"/>
  <c r="H19" i="141" s="1"/>
  <c r="G65" i="141"/>
  <c r="G43" i="141" s="1"/>
  <c r="G22" i="141" s="1"/>
  <c r="H65" i="141"/>
  <c r="H43" i="141" s="1"/>
  <c r="H22" i="141" s="1"/>
  <c r="DC22" i="77"/>
  <c r="DE22" i="77" s="1"/>
  <c r="DE27" i="77" s="1"/>
  <c r="BI22" i="77"/>
  <c r="AG13" i="77"/>
  <c r="AI13" i="77" s="1"/>
  <c r="AG17" i="77"/>
  <c r="AI17" i="77" s="1"/>
  <c r="AG26" i="77"/>
  <c r="AI26" i="77" s="1"/>
  <c r="AJ26" i="77" s="1"/>
  <c r="AG21" i="77"/>
  <c r="AI21" i="77" s="1"/>
  <c r="AJ21" i="77" s="1"/>
  <c r="AG18" i="77"/>
  <c r="AI18" i="77" s="1"/>
  <c r="GX22" i="77"/>
  <c r="EN22" i="77"/>
  <c r="EP22" i="77" s="1"/>
  <c r="EP27" i="77" s="1"/>
  <c r="DK22" i="77"/>
  <c r="ER22" i="77" s="1"/>
  <c r="DK20" i="77"/>
  <c r="ER20" i="77" s="1"/>
  <c r="DM20" i="77"/>
  <c r="DK14" i="77"/>
  <c r="ER14" i="77" s="1"/>
  <c r="DM14" i="77"/>
  <c r="DK16" i="77"/>
  <c r="ER16" i="77" s="1"/>
  <c r="DM16" i="77"/>
  <c r="DK15" i="77"/>
  <c r="ER15" i="77" s="1"/>
  <c r="DM15" i="77"/>
  <c r="DK26" i="77"/>
  <c r="ER26" i="77" s="1"/>
  <c r="DM21" i="77"/>
  <c r="DK21" i="77"/>
  <c r="ER21" i="77" s="1"/>
  <c r="GZ22" i="77"/>
  <c r="FY22" i="77"/>
  <c r="GA22" i="77" s="1"/>
  <c r="FV22" i="77"/>
  <c r="FV26" i="77"/>
  <c r="ED20" i="77"/>
  <c r="ED15" i="77"/>
  <c r="DJ15" i="77" s="1"/>
  <c r="ED13" i="77"/>
  <c r="ED16" i="77"/>
  <c r="DJ16" i="77" s="1"/>
  <c r="ED26" i="77"/>
  <c r="ED17" i="77"/>
  <c r="ED19" i="77"/>
  <c r="DJ19" i="77" s="1"/>
  <c r="ED21" i="77"/>
  <c r="DJ21" i="77" s="1"/>
  <c r="ED18" i="77"/>
  <c r="DJ18" i="77" s="1"/>
  <c r="ED14" i="77"/>
  <c r="DJ14" i="77" s="1"/>
  <c r="AD21" i="77"/>
  <c r="AD13" i="77"/>
  <c r="AD14" i="77"/>
  <c r="AD17" i="77"/>
  <c r="AD19" i="77"/>
  <c r="AD16" i="77"/>
  <c r="AD15" i="77"/>
  <c r="AD20" i="77"/>
  <c r="AD18" i="77"/>
  <c r="EK26" i="77"/>
  <c r="DM26" i="77" s="1"/>
  <c r="EK22" i="77"/>
  <c r="DM22" i="77" s="1"/>
  <c r="EE22" i="77"/>
  <c r="DJ22" i="77" s="1"/>
  <c r="AG15" i="77"/>
  <c r="AI15" i="77" s="1"/>
  <c r="AJ15" i="77" s="1"/>
  <c r="AG16" i="77"/>
  <c r="AI16" i="77" s="1"/>
  <c r="AJ16" i="77" s="1"/>
  <c r="AG14" i="77"/>
  <c r="AI14" i="77" s="1"/>
  <c r="AJ14" i="77" s="1"/>
  <c r="AG20" i="77"/>
  <c r="AI20" i="77" s="1"/>
  <c r="AJ20" i="77" s="1"/>
  <c r="AG19" i="77"/>
  <c r="AI19" i="77" s="1"/>
  <c r="AJ19" i="77" s="1"/>
  <c r="X22" i="77"/>
  <c r="CT22" i="77"/>
  <c r="DK17" i="77"/>
  <c r="ER17" i="77" s="1"/>
  <c r="DM17" i="77"/>
  <c r="DM19" i="77"/>
  <c r="DK19" i="77"/>
  <c r="ER19" i="77" s="1"/>
  <c r="DM18" i="77"/>
  <c r="DK18" i="77"/>
  <c r="ER18" i="77" s="1"/>
  <c r="DK13" i="77"/>
  <c r="ER13" i="77" s="1"/>
  <c r="DM13" i="77"/>
  <c r="DJ13" i="77"/>
  <c r="DJ20" i="77"/>
  <c r="DJ17" i="77"/>
  <c r="DJ26" i="77"/>
  <c r="EL18" i="77" l="1"/>
  <c r="DI22" i="77"/>
  <c r="IB22" i="77" s="1"/>
  <c r="EL22" i="77"/>
  <c r="DL22" i="77"/>
  <c r="DI19" i="77"/>
  <c r="IB19" i="77" s="1"/>
  <c r="DL19" i="77"/>
  <c r="DI21" i="77"/>
  <c r="IB21" i="77" s="1"/>
  <c r="DL21" i="77"/>
  <c r="DL16" i="77"/>
  <c r="DI16" i="77"/>
  <c r="IB16" i="77" s="1"/>
  <c r="EL16" i="77"/>
  <c r="DI15" i="77"/>
  <c r="IB15" i="77" s="1"/>
  <c r="DL15" i="77"/>
  <c r="FP18" i="77"/>
  <c r="FP17" i="77"/>
  <c r="FP20" i="77"/>
  <c r="FP21" i="77"/>
  <c r="FP16" i="77"/>
  <c r="FP15" i="77"/>
  <c r="FP19" i="77"/>
  <c r="FP14" i="77"/>
  <c r="FP26" i="77"/>
  <c r="FP13" i="77"/>
  <c r="EL17" i="77"/>
  <c r="DI17" i="77"/>
  <c r="IB17" i="77" s="1"/>
  <c r="DL17" i="77"/>
  <c r="DI26" i="77"/>
  <c r="DL26" i="77"/>
  <c r="EL20" i="77"/>
  <c r="DI20" i="77"/>
  <c r="IB20" i="77" s="1"/>
  <c r="DL20" i="77"/>
  <c r="DI13" i="77"/>
  <c r="IB13" i="77" s="1"/>
  <c r="DL13" i="77"/>
  <c r="BF17" i="77"/>
  <c r="BF13" i="77"/>
  <c r="BF26" i="77"/>
  <c r="BF18" i="77"/>
  <c r="BF19" i="77"/>
  <c r="BF20" i="77"/>
  <c r="BF14" i="77"/>
  <c r="BF16" i="77"/>
  <c r="BF21" i="77"/>
  <c r="BF15" i="77"/>
  <c r="HJ22" i="77"/>
  <c r="HL22" i="77" s="1"/>
  <c r="HM22" i="77" s="1"/>
  <c r="FS20" i="77"/>
  <c r="FR20" i="77" s="1"/>
  <c r="FS17" i="77"/>
  <c r="FR17" i="77" s="1"/>
  <c r="FS14" i="77"/>
  <c r="FR14" i="77" s="1"/>
  <c r="FS16" i="77"/>
  <c r="FR16" i="77" s="1"/>
  <c r="FS15" i="77"/>
  <c r="FR15" i="77" s="1"/>
  <c r="FS26" i="77"/>
  <c r="FR26" i="77" s="1"/>
  <c r="FS21" i="77"/>
  <c r="FR21" i="77" s="1"/>
  <c r="FS13" i="77"/>
  <c r="FR13" i="77" s="1"/>
  <c r="FS22" i="77"/>
  <c r="FR22" i="77" s="1"/>
  <c r="FS19" i="77"/>
  <c r="FR19" i="77" s="1"/>
  <c r="FS18" i="77"/>
  <c r="FR18" i="77" s="1"/>
  <c r="EL19" i="77"/>
  <c r="EL21" i="77"/>
  <c r="DI14" i="77"/>
  <c r="IB14" i="77" s="1"/>
  <c r="DL14" i="77"/>
  <c r="HA22" i="77"/>
  <c r="BH20" i="77"/>
  <c r="BH14" i="77"/>
  <c r="BH13" i="77"/>
  <c r="BH15" i="77"/>
  <c r="BH16" i="77"/>
  <c r="BH17" i="77"/>
  <c r="BH21" i="77"/>
  <c r="BH19" i="77"/>
  <c r="BH18" i="77"/>
  <c r="BH26" i="77"/>
  <c r="BL22" i="77"/>
  <c r="BK22" i="77" s="1"/>
  <c r="BL17" i="77"/>
  <c r="BK17" i="77" s="1"/>
  <c r="BL16" i="77"/>
  <c r="BK16" i="77" s="1"/>
  <c r="BL19" i="77"/>
  <c r="BK19" i="77" s="1"/>
  <c r="BL20" i="77"/>
  <c r="BK20" i="77" s="1"/>
  <c r="BL14" i="77"/>
  <c r="BK14" i="77" s="1"/>
  <c r="BL21" i="77"/>
  <c r="BK21" i="77" s="1"/>
  <c r="BL13" i="77"/>
  <c r="BK13" i="77" s="1"/>
  <c r="BL26" i="77"/>
  <c r="BK26" i="77" s="1"/>
  <c r="BL18" i="77"/>
  <c r="BK18" i="77" s="1"/>
  <c r="BL15" i="77"/>
  <c r="BK15" i="77" s="1"/>
  <c r="CT26" i="77"/>
  <c r="CT17" i="77"/>
  <c r="CT16" i="77"/>
  <c r="CT15" i="77"/>
  <c r="CT19" i="77"/>
  <c r="CT21" i="77"/>
  <c r="CT13" i="77"/>
  <c r="CT20" i="77"/>
  <c r="CT14" i="77"/>
  <c r="CT18" i="77"/>
  <c r="W14" i="77"/>
  <c r="W20" i="77"/>
  <c r="W19" i="77"/>
  <c r="W21" i="77"/>
  <c r="W13" i="77"/>
  <c r="W26" i="77"/>
  <c r="W15" i="77"/>
  <c r="W17" i="77"/>
  <c r="W16" i="77"/>
  <c r="W18" i="77"/>
  <c r="HG22" i="77"/>
  <c r="HG26" i="77"/>
  <c r="CZ22" i="77"/>
  <c r="CZ26" i="77"/>
  <c r="DI18" i="77"/>
  <c r="IB18" i="77" s="1"/>
  <c r="DL18" i="77"/>
  <c r="AJ13" i="77"/>
  <c r="AI27" i="77"/>
  <c r="CW21" i="77"/>
  <c r="CV21" i="77" s="1"/>
  <c r="CW15" i="77"/>
  <c r="CV15" i="77" s="1"/>
  <c r="CW26" i="77"/>
  <c r="CV26" i="77" s="1"/>
  <c r="CW17" i="77"/>
  <c r="CV17" i="77" s="1"/>
  <c r="CW19" i="77"/>
  <c r="CV19" i="77" s="1"/>
  <c r="CW22" i="77"/>
  <c r="CV22" i="77" s="1"/>
  <c r="CW18" i="77"/>
  <c r="CV18" i="77" s="1"/>
  <c r="CW16" i="77"/>
  <c r="CV16" i="77" s="1"/>
  <c r="CW20" i="77"/>
  <c r="CV20" i="77" s="1"/>
  <c r="CW14" i="77"/>
  <c r="CV14" i="77" s="1"/>
  <c r="CW13" i="77"/>
  <c r="CV13" i="77" s="1"/>
  <c r="EL13" i="77"/>
  <c r="EL15" i="77"/>
  <c r="EL14" i="77"/>
  <c r="EL26" i="77" l="1"/>
  <c r="IB26" i="77"/>
  <c r="AA15" i="77"/>
  <c r="Z15" i="77" s="1"/>
  <c r="AA16" i="77"/>
  <c r="Z16" i="77" s="1"/>
  <c r="AA22" i="77"/>
  <c r="Z22" i="77" s="1"/>
  <c r="AA17" i="77"/>
  <c r="Z17" i="77" s="1"/>
  <c r="AA14" i="77"/>
  <c r="Z14" i="77" s="1"/>
  <c r="AA21" i="77"/>
  <c r="Z21" i="77" s="1"/>
  <c r="AA18" i="77"/>
  <c r="Z18" i="77" s="1"/>
  <c r="AA26" i="77"/>
  <c r="Z26" i="77" s="1"/>
  <c r="AA20" i="77"/>
  <c r="Z20" i="77" s="1"/>
  <c r="AA19" i="77"/>
  <c r="Z19" i="77" s="1"/>
  <c r="AA13" i="77"/>
  <c r="Z13" i="77" s="1"/>
  <c r="CB14" i="77"/>
  <c r="BZ14" i="77"/>
  <c r="DG14" i="77" s="1"/>
  <c r="CB16" i="77"/>
  <c r="BZ16" i="77"/>
  <c r="DG16" i="77" s="1"/>
  <c r="BZ22" i="77"/>
  <c r="DG22" i="77" s="1"/>
  <c r="CB22" i="77"/>
  <c r="CB17" i="77"/>
  <c r="BZ17" i="77"/>
  <c r="DG17" i="77" s="1"/>
  <c r="CB15" i="77"/>
  <c r="BZ15" i="77"/>
  <c r="DG15" i="77" s="1"/>
  <c r="GX26" i="77"/>
  <c r="GX18" i="77"/>
  <c r="GX21" i="77"/>
  <c r="GX13" i="77"/>
  <c r="GX19" i="77"/>
  <c r="GX15" i="77"/>
  <c r="GX14" i="77"/>
  <c r="GX20" i="77"/>
  <c r="GX16" i="77"/>
  <c r="GX17" i="77"/>
  <c r="X21" i="77"/>
  <c r="X26" i="77"/>
  <c r="X15" i="77"/>
  <c r="X19" i="77"/>
  <c r="X14" i="77"/>
  <c r="X20" i="77"/>
  <c r="X17" i="77"/>
  <c r="X18" i="77"/>
  <c r="X16" i="77"/>
  <c r="X13" i="77"/>
  <c r="FM21" i="77"/>
  <c r="FM19" i="77"/>
  <c r="FM18" i="77"/>
  <c r="FM26" i="77"/>
  <c r="FM17" i="77"/>
  <c r="FM15" i="77"/>
  <c r="FM14" i="77"/>
  <c r="FM20" i="77"/>
  <c r="FM16" i="77"/>
  <c r="FM13" i="77"/>
  <c r="BR15" i="77"/>
  <c r="BT15" i="77" s="1"/>
  <c r="BU15" i="77" s="1"/>
  <c r="AO15" i="77"/>
  <c r="BR16" i="77"/>
  <c r="BT16" i="77" s="1"/>
  <c r="BU16" i="77" s="1"/>
  <c r="AO16" i="77"/>
  <c r="AO20" i="77"/>
  <c r="BR20" i="77"/>
  <c r="BT20" i="77" s="1"/>
  <c r="BU20" i="77" s="1"/>
  <c r="BR18" i="77"/>
  <c r="BT18" i="77" s="1"/>
  <c r="BU18" i="77" s="1"/>
  <c r="AO18" i="77"/>
  <c r="BR13" i="77"/>
  <c r="BT13" i="77" s="1"/>
  <c r="AO13" i="77"/>
  <c r="BV13" i="77" s="1"/>
  <c r="BY14" i="77"/>
  <c r="BY13" i="77"/>
  <c r="BY19" i="77"/>
  <c r="BY16" i="77"/>
  <c r="BY26" i="77"/>
  <c r="CB13" i="77"/>
  <c r="BZ13" i="77"/>
  <c r="DG13" i="77" s="1"/>
  <c r="CB20" i="77"/>
  <c r="BZ20" i="77"/>
  <c r="DG20" i="77" s="1"/>
  <c r="BZ18" i="77"/>
  <c r="DG18" i="77" s="1"/>
  <c r="CB18" i="77"/>
  <c r="CB19" i="77"/>
  <c r="BZ19" i="77"/>
  <c r="DG19" i="77" s="1"/>
  <c r="CB26" i="77"/>
  <c r="BZ26" i="77"/>
  <c r="DG26" i="77" s="1"/>
  <c r="BZ21" i="77"/>
  <c r="DG21" i="77" s="1"/>
  <c r="CB21" i="77"/>
  <c r="AQ22" i="77"/>
  <c r="AO22" i="77"/>
  <c r="BV22" i="77" s="1"/>
  <c r="AN22" i="77"/>
  <c r="BO20" i="77"/>
  <c r="AQ20" i="77" s="1"/>
  <c r="BO14" i="77"/>
  <c r="AQ14" i="77" s="1"/>
  <c r="BO21" i="77"/>
  <c r="BO19" i="77"/>
  <c r="AQ19" i="77" s="1"/>
  <c r="BO13" i="77"/>
  <c r="AQ13" i="77" s="1"/>
  <c r="BO17" i="77"/>
  <c r="AQ17" i="77" s="1"/>
  <c r="BO15" i="77"/>
  <c r="AQ15" i="77" s="1"/>
  <c r="BO16" i="77"/>
  <c r="AQ16" i="77" s="1"/>
  <c r="BO18" i="77"/>
  <c r="AQ18" i="77" s="1"/>
  <c r="BI15" i="77"/>
  <c r="AN15" i="77" s="1"/>
  <c r="BI20" i="77"/>
  <c r="AN20" i="77" s="1"/>
  <c r="BI21" i="77"/>
  <c r="BI19" i="77"/>
  <c r="AN19" i="77" s="1"/>
  <c r="BI14" i="77"/>
  <c r="AN14" i="77" s="1"/>
  <c r="BI18" i="77"/>
  <c r="AN18" i="77" s="1"/>
  <c r="BI13" i="77"/>
  <c r="AN13" i="77" s="1"/>
  <c r="BI16" i="77"/>
  <c r="AN16" i="77" s="1"/>
  <c r="BI17" i="77"/>
  <c r="AN17" i="77" s="1"/>
  <c r="BI26" i="77"/>
  <c r="AN26" i="77" s="1"/>
  <c r="FO20" i="77"/>
  <c r="FO19" i="77"/>
  <c r="FO21" i="77"/>
  <c r="FO13" i="77"/>
  <c r="FO15" i="77"/>
  <c r="FO26" i="77"/>
  <c r="EU26" i="77" s="1"/>
  <c r="FO17" i="77"/>
  <c r="FO18" i="77"/>
  <c r="FO16" i="77"/>
  <c r="FO14" i="77"/>
  <c r="EV22" i="77"/>
  <c r="GC22" i="77" s="1"/>
  <c r="EU22" i="77"/>
  <c r="EX22" i="77"/>
  <c r="FV19" i="77"/>
  <c r="FV13" i="77"/>
  <c r="FV16" i="77"/>
  <c r="FV20" i="77"/>
  <c r="FV15" i="77"/>
  <c r="FV14" i="77"/>
  <c r="FV18" i="77"/>
  <c r="FV17" i="77"/>
  <c r="FV21" i="77"/>
  <c r="BR21" i="77"/>
  <c r="BT21" i="77" s="1"/>
  <c r="BU21" i="77" s="1"/>
  <c r="AQ21" i="77"/>
  <c r="AO21" i="77"/>
  <c r="BR14" i="77"/>
  <c r="BT14" i="77" s="1"/>
  <c r="AO14" i="77"/>
  <c r="BV14" i="77" s="1"/>
  <c r="AO19" i="77"/>
  <c r="BR19" i="77"/>
  <c r="BT19" i="77" s="1"/>
  <c r="BU19" i="77" s="1"/>
  <c r="BR26" i="77"/>
  <c r="BT26" i="77" s="1"/>
  <c r="BU26" i="77" s="1"/>
  <c r="AO26" i="77"/>
  <c r="AQ26" i="77"/>
  <c r="BR17" i="77"/>
  <c r="BT17" i="77" s="1"/>
  <c r="BU17" i="77" s="1"/>
  <c r="AO17" i="77"/>
  <c r="BY18" i="77"/>
  <c r="BY20" i="77"/>
  <c r="BY21" i="77"/>
  <c r="BY15" i="77"/>
  <c r="BY17" i="77"/>
  <c r="AN21" i="77"/>
  <c r="BY22" i="77"/>
  <c r="C16" i="77" l="1"/>
  <c r="B16" i="77" s="1"/>
  <c r="HY16" i="77" s="1"/>
  <c r="EX17" i="77"/>
  <c r="C17" i="77"/>
  <c r="B17" i="77" s="1"/>
  <c r="HY17" i="77" s="1"/>
  <c r="BV16" i="77"/>
  <c r="EU19" i="77"/>
  <c r="ET19" i="77" s="1"/>
  <c r="IC19" i="77" s="1"/>
  <c r="C19" i="77"/>
  <c r="C14" i="77"/>
  <c r="B14" i="77" s="1"/>
  <c r="HY14" i="77" s="1"/>
  <c r="C15" i="77"/>
  <c r="B15" i="77" s="1"/>
  <c r="HY15" i="77" s="1"/>
  <c r="BV19" i="77"/>
  <c r="BV26" i="77"/>
  <c r="EX21" i="77"/>
  <c r="EX18" i="77"/>
  <c r="C18" i="77"/>
  <c r="B18" i="77" s="1"/>
  <c r="HY18" i="77" s="1"/>
  <c r="C21" i="77"/>
  <c r="B21" i="77" s="1"/>
  <c r="HY21" i="77" s="1"/>
  <c r="BV15" i="77"/>
  <c r="C26" i="77"/>
  <c r="B26" i="77" s="1"/>
  <c r="BV20" i="77"/>
  <c r="C13" i="77"/>
  <c r="B13" i="77" s="1"/>
  <c r="HY13" i="77" s="1"/>
  <c r="C20" i="77"/>
  <c r="B20" i="77" s="1"/>
  <c r="HY20" i="77" s="1"/>
  <c r="AP26" i="77"/>
  <c r="AM26" i="77"/>
  <c r="BP19" i="77"/>
  <c r="AP19" i="77"/>
  <c r="AM19" i="77"/>
  <c r="HZ19" i="77" s="1"/>
  <c r="BP20" i="77"/>
  <c r="AP20" i="77"/>
  <c r="AM20" i="77"/>
  <c r="HZ20" i="77" s="1"/>
  <c r="BP17" i="77"/>
  <c r="AP17" i="77"/>
  <c r="AM17" i="77"/>
  <c r="HZ17" i="77" s="1"/>
  <c r="AP15" i="77"/>
  <c r="BP15" i="77"/>
  <c r="BP18" i="77"/>
  <c r="AP18" i="77"/>
  <c r="AM18" i="77"/>
  <c r="HZ18" i="77" s="1"/>
  <c r="CA15" i="77"/>
  <c r="DA15" i="77"/>
  <c r="BX15" i="77"/>
  <c r="IA15" i="77" s="1"/>
  <c r="BX20" i="77"/>
  <c r="IA20" i="77" s="1"/>
  <c r="CA20" i="77"/>
  <c r="DA20" i="77"/>
  <c r="AM14" i="77"/>
  <c r="HZ14" i="77" s="1"/>
  <c r="BP14" i="77"/>
  <c r="AP14" i="77"/>
  <c r="ET22" i="77"/>
  <c r="IC22" i="77" s="1"/>
  <c r="EW22" i="77"/>
  <c r="AM16" i="77"/>
  <c r="HZ16" i="77" s="1"/>
  <c r="BP16" i="77"/>
  <c r="AP16" i="77"/>
  <c r="GZ18" i="77"/>
  <c r="GZ21" i="77"/>
  <c r="GZ26" i="77"/>
  <c r="GZ20" i="77"/>
  <c r="GZ13" i="77"/>
  <c r="GZ14" i="77"/>
  <c r="GZ15" i="77"/>
  <c r="GZ17" i="77"/>
  <c r="GZ16" i="77"/>
  <c r="GZ19" i="77"/>
  <c r="CA16" i="77"/>
  <c r="DA16" i="77"/>
  <c r="BX16" i="77"/>
  <c r="IA16" i="77" s="1"/>
  <c r="DA13" i="77"/>
  <c r="BX13" i="77"/>
  <c r="IA13" i="77" s="1"/>
  <c r="CA13" i="77"/>
  <c r="EX13" i="77"/>
  <c r="EV13" i="77"/>
  <c r="GC13" i="77" s="1"/>
  <c r="FY13" i="77"/>
  <c r="GA13" i="77" s="1"/>
  <c r="EU13" i="77"/>
  <c r="EX20" i="77"/>
  <c r="FY20" i="77"/>
  <c r="GA20" i="77" s="1"/>
  <c r="GB20" i="77" s="1"/>
  <c r="EV20" i="77"/>
  <c r="EU20" i="77"/>
  <c r="FY15" i="77"/>
  <c r="GA15" i="77" s="1"/>
  <c r="EV15" i="77"/>
  <c r="GC15" i="77" s="1"/>
  <c r="EX15" i="77"/>
  <c r="EU15" i="77"/>
  <c r="FY26" i="77"/>
  <c r="GA26" i="77" s="1"/>
  <c r="GB26" i="77" s="1"/>
  <c r="ET26" i="77" s="1"/>
  <c r="EV26" i="77"/>
  <c r="EW26" i="77" s="1"/>
  <c r="EX26" i="77"/>
  <c r="FY19" i="77"/>
  <c r="GA19" i="77" s="1"/>
  <c r="EV19" i="77"/>
  <c r="GC19" i="77" s="1"/>
  <c r="EX19" i="77"/>
  <c r="HA13" i="77"/>
  <c r="HA18" i="77"/>
  <c r="HA26" i="77"/>
  <c r="HA17" i="77"/>
  <c r="HA21" i="77"/>
  <c r="HA16" i="77"/>
  <c r="HA15" i="77"/>
  <c r="HA14" i="77"/>
  <c r="HA19" i="77"/>
  <c r="HA20" i="77"/>
  <c r="HJ16" i="77"/>
  <c r="HL16" i="77" s="1"/>
  <c r="HM16" i="77" s="1"/>
  <c r="HJ14" i="77"/>
  <c r="HL14" i="77" s="1"/>
  <c r="HM14" i="77" s="1"/>
  <c r="HJ19" i="77"/>
  <c r="HL19" i="77" s="1"/>
  <c r="HM19" i="77" s="1"/>
  <c r="HJ21" i="77"/>
  <c r="HL21" i="77" s="1"/>
  <c r="HM21" i="77" s="1"/>
  <c r="HJ26" i="77"/>
  <c r="HL26" i="77" s="1"/>
  <c r="HM26" i="77" s="1"/>
  <c r="HD20" i="77"/>
  <c r="HC20" i="77" s="1"/>
  <c r="GF20" i="77" s="1"/>
  <c r="HD15" i="77"/>
  <c r="HC15" i="77" s="1"/>
  <c r="GG15" i="77" s="1"/>
  <c r="HD26" i="77"/>
  <c r="HC26" i="77" s="1"/>
  <c r="GI26" i="77" s="1"/>
  <c r="HD17" i="77"/>
  <c r="HC17" i="77" s="1"/>
  <c r="HD18" i="77"/>
  <c r="HC18" i="77" s="1"/>
  <c r="GG18" i="77" s="1"/>
  <c r="HD19" i="77"/>
  <c r="HC19" i="77" s="1"/>
  <c r="HD14" i="77"/>
  <c r="HC14" i="77" s="1"/>
  <c r="GG14" i="77" s="1"/>
  <c r="HD16" i="77"/>
  <c r="HC16" i="77" s="1"/>
  <c r="GG16" i="77" s="1"/>
  <c r="HN16" i="77" s="1"/>
  <c r="HD22" i="77"/>
  <c r="HC22" i="77" s="1"/>
  <c r="HD13" i="77"/>
  <c r="HC13" i="77" s="1"/>
  <c r="GG13" i="77" s="1"/>
  <c r="HD21" i="77"/>
  <c r="HC21" i="77" s="1"/>
  <c r="GG21" i="77" s="1"/>
  <c r="HN21" i="77" s="1"/>
  <c r="F13" i="77"/>
  <c r="D13" i="77"/>
  <c r="AK13" i="77" s="1"/>
  <c r="F20" i="77"/>
  <c r="D20" i="77"/>
  <c r="AK20" i="77" s="1"/>
  <c r="F18" i="77"/>
  <c r="D18" i="77"/>
  <c r="AK18" i="77" s="1"/>
  <c r="D14" i="77"/>
  <c r="AK14" i="77" s="1"/>
  <c r="F14" i="77"/>
  <c r="F22" i="77"/>
  <c r="D22" i="77"/>
  <c r="AK22" i="77" s="1"/>
  <c r="C22" i="77"/>
  <c r="D15" i="77"/>
  <c r="AK15" i="77" s="1"/>
  <c r="F15" i="77"/>
  <c r="AM15" i="77"/>
  <c r="HZ15" i="77" s="1"/>
  <c r="DA22" i="77"/>
  <c r="CA22" i="77"/>
  <c r="BX22" i="77"/>
  <c r="IA22" i="77" s="1"/>
  <c r="AP21" i="77"/>
  <c r="AM21" i="77"/>
  <c r="HZ21" i="77" s="1"/>
  <c r="BP21" i="77"/>
  <c r="BX17" i="77"/>
  <c r="IA17" i="77" s="1"/>
  <c r="DA17" i="77"/>
  <c r="CA17" i="77"/>
  <c r="DA21" i="77"/>
  <c r="CA21" i="77"/>
  <c r="BX21" i="77"/>
  <c r="IA21" i="77" s="1"/>
  <c r="CA18" i="77"/>
  <c r="DA18" i="77"/>
  <c r="BX18" i="77"/>
  <c r="IA18" i="77" s="1"/>
  <c r="B19" i="77"/>
  <c r="HY19" i="77" s="1"/>
  <c r="BP13" i="77"/>
  <c r="AM13" i="77"/>
  <c r="HZ13" i="77" s="1"/>
  <c r="AP13" i="77"/>
  <c r="BP22" i="77"/>
  <c r="AP22" i="77"/>
  <c r="AM22" i="77"/>
  <c r="HZ22" i="77" s="1"/>
  <c r="HG20" i="77"/>
  <c r="HG15" i="77"/>
  <c r="HG18" i="77"/>
  <c r="HG17" i="77"/>
  <c r="HG16" i="77"/>
  <c r="HG13" i="77"/>
  <c r="HG14" i="77"/>
  <c r="HG21" i="77"/>
  <c r="HG19" i="77"/>
  <c r="CA26" i="77"/>
  <c r="BX26" i="77"/>
  <c r="BX19" i="77"/>
  <c r="IA19" i="77" s="1"/>
  <c r="CA19" i="77"/>
  <c r="DA19" i="77"/>
  <c r="BX14" i="77"/>
  <c r="IA14" i="77" s="1"/>
  <c r="DA14" i="77"/>
  <c r="CA14" i="77"/>
  <c r="FY16" i="77"/>
  <c r="GA16" i="77" s="1"/>
  <c r="EX16" i="77"/>
  <c r="EV16" i="77"/>
  <c r="GC16" i="77" s="1"/>
  <c r="EU16" i="77"/>
  <c r="EX14" i="77"/>
  <c r="EV14" i="77"/>
  <c r="GC14" i="77" s="1"/>
  <c r="FY14" i="77"/>
  <c r="GA14" i="77" s="1"/>
  <c r="EU14" i="77"/>
  <c r="EV17" i="77"/>
  <c r="GC17" i="77" s="1"/>
  <c r="EU17" i="77"/>
  <c r="FW17" i="77" s="1"/>
  <c r="FY17" i="77"/>
  <c r="GA17" i="77" s="1"/>
  <c r="EV18" i="77"/>
  <c r="GC18" i="77" s="1"/>
  <c r="EU18" i="77"/>
  <c r="FY18" i="77"/>
  <c r="GA18" i="77" s="1"/>
  <c r="EU21" i="77"/>
  <c r="FY21" i="77"/>
  <c r="GA21" i="77" s="1"/>
  <c r="EV21" i="77"/>
  <c r="GC21" i="77" s="1"/>
  <c r="HJ17" i="77"/>
  <c r="HL17" i="77" s="1"/>
  <c r="HM17" i="77" s="1"/>
  <c r="HJ20" i="77"/>
  <c r="HL20" i="77" s="1"/>
  <c r="HM20" i="77" s="1"/>
  <c r="HJ15" i="77"/>
  <c r="HL15" i="77" s="1"/>
  <c r="HM15" i="77" s="1"/>
  <c r="HJ13" i="77"/>
  <c r="HL13" i="77" s="1"/>
  <c r="HJ18" i="77"/>
  <c r="HL18" i="77" s="1"/>
  <c r="HM18" i="77" s="1"/>
  <c r="D19" i="77"/>
  <c r="AK19" i="77" s="1"/>
  <c r="F19" i="77"/>
  <c r="AE19" i="77" s="1"/>
  <c r="D26" i="77"/>
  <c r="AK26" i="77" s="1"/>
  <c r="F26" i="77"/>
  <c r="D21" i="77"/>
  <c r="AK21" i="77" s="1"/>
  <c r="F21" i="77"/>
  <c r="F17" i="77"/>
  <c r="D17" i="77"/>
  <c r="AK17" i="77" s="1"/>
  <c r="D16" i="77"/>
  <c r="AK16" i="77" s="1"/>
  <c r="F16" i="77"/>
  <c r="BV17" i="77"/>
  <c r="BV21" i="77"/>
  <c r="FW22" i="77"/>
  <c r="BT27" i="77"/>
  <c r="BV18" i="77"/>
  <c r="AE16" i="77" l="1"/>
  <c r="AE17" i="77"/>
  <c r="DA26" i="77"/>
  <c r="BP26" i="77"/>
  <c r="GF17" i="77"/>
  <c r="GE17" i="77" s="1"/>
  <c r="FW19" i="77"/>
  <c r="HN14" i="77"/>
  <c r="AE21" i="77"/>
  <c r="IA26" i="77"/>
  <c r="HZ26" i="77"/>
  <c r="ID19" i="77"/>
  <c r="AE14" i="77"/>
  <c r="AE15" i="77"/>
  <c r="E18" i="77"/>
  <c r="GI20" i="77"/>
  <c r="F195" i="141" s="1"/>
  <c r="AE18" i="77"/>
  <c r="AE20" i="77"/>
  <c r="FW18" i="77"/>
  <c r="GI15" i="77"/>
  <c r="F193" i="141" s="1"/>
  <c r="GF15" i="77"/>
  <c r="GG17" i="77"/>
  <c r="GH17" i="77" s="1"/>
  <c r="GF13" i="77"/>
  <c r="GI13" i="77"/>
  <c r="F191" i="141" s="1"/>
  <c r="GC20" i="77"/>
  <c r="GI19" i="77"/>
  <c r="F194" i="141" s="1"/>
  <c r="GF18" i="77"/>
  <c r="GE18" i="77" s="1"/>
  <c r="GG20" i="77"/>
  <c r="GH20" i="77" s="1"/>
  <c r="GI18" i="77"/>
  <c r="AE13" i="77"/>
  <c r="ET17" i="77"/>
  <c r="IC17" i="77" s="1"/>
  <c r="ID17" i="77" s="1"/>
  <c r="EW17" i="77"/>
  <c r="ET14" i="77"/>
  <c r="IC14" i="77" s="1"/>
  <c r="ID14" i="77" s="1"/>
  <c r="EW14" i="77"/>
  <c r="FW14" i="77"/>
  <c r="FW16" i="77"/>
  <c r="EW16" i="77"/>
  <c r="ET16" i="77"/>
  <c r="IC16" i="77" s="1"/>
  <c r="ID16" i="77" s="1"/>
  <c r="E22" i="77"/>
  <c r="B22" i="77"/>
  <c r="HY22" i="77" s="1"/>
  <c r="ID22" i="77" s="1"/>
  <c r="FW15" i="77"/>
  <c r="ET15" i="77"/>
  <c r="IC15" i="77" s="1"/>
  <c r="ID15" i="77" s="1"/>
  <c r="EW15" i="77"/>
  <c r="FW20" i="77"/>
  <c r="ET20" i="77"/>
  <c r="IC20" i="77" s="1"/>
  <c r="ID20" i="77" s="1"/>
  <c r="EW20" i="77"/>
  <c r="ET13" i="77"/>
  <c r="IC13" i="77" s="1"/>
  <c r="ID13" i="77" s="1"/>
  <c r="FW13" i="77"/>
  <c r="EW13" i="77"/>
  <c r="HN15" i="77"/>
  <c r="E26" i="77"/>
  <c r="E16" i="77"/>
  <c r="AE22" i="77"/>
  <c r="GI17" i="77"/>
  <c r="HH17" i="77" s="1"/>
  <c r="GG26" i="77"/>
  <c r="HN26" i="77" s="1"/>
  <c r="GF26" i="77"/>
  <c r="GF21" i="77"/>
  <c r="GI21" i="77"/>
  <c r="F196" i="141" s="1"/>
  <c r="GF19" i="77"/>
  <c r="GG19" i="77"/>
  <c r="HN19" i="77" s="1"/>
  <c r="GF14" i="77"/>
  <c r="GF16" i="77"/>
  <c r="GC26" i="77"/>
  <c r="E15" i="77"/>
  <c r="EW19" i="77"/>
  <c r="HM13" i="77"/>
  <c r="HN13" i="77" s="1"/>
  <c r="HL27" i="77"/>
  <c r="GE20" i="77"/>
  <c r="F33" i="141" s="1"/>
  <c r="F22" i="141" s="1"/>
  <c r="ET21" i="77"/>
  <c r="IC21" i="77" s="1"/>
  <c r="ID21" i="77" s="1"/>
  <c r="EW21" i="77"/>
  <c r="ET18" i="77"/>
  <c r="IC18" i="77" s="1"/>
  <c r="ID18" i="77" s="1"/>
  <c r="EW18" i="77"/>
  <c r="GG22" i="77"/>
  <c r="HN22" i="77" s="1"/>
  <c r="GI22" i="77"/>
  <c r="F197" i="141" s="1"/>
  <c r="GF22" i="77"/>
  <c r="E19" i="77"/>
  <c r="FW21" i="77"/>
  <c r="HN18" i="77"/>
  <c r="GI14" i="77"/>
  <c r="F192" i="141" s="1"/>
  <c r="GI16" i="77"/>
  <c r="E20" i="77"/>
  <c r="E13" i="77"/>
  <c r="GA27" i="77"/>
  <c r="E17" i="77"/>
  <c r="E21" i="77"/>
  <c r="E14" i="77"/>
  <c r="FW26" i="77" l="1"/>
  <c r="AE26" i="77"/>
  <c r="HN20" i="77"/>
  <c r="HN17" i="77"/>
  <c r="HH20" i="77"/>
  <c r="HH18" i="77"/>
  <c r="IC26" i="77"/>
  <c r="HY26" i="77"/>
  <c r="ID26" i="77"/>
  <c r="HH13" i="77"/>
  <c r="HH15" i="77"/>
  <c r="GE15" i="77"/>
  <c r="F31" i="141" s="1"/>
  <c r="F20" i="141" s="1"/>
  <c r="GH13" i="77"/>
  <c r="GH15" i="77"/>
  <c r="GH18" i="77"/>
  <c r="GE13" i="77"/>
  <c r="F29" i="141" s="1"/>
  <c r="F18" i="141" s="1"/>
  <c r="GH22" i="77"/>
  <c r="HH22" i="77"/>
  <c r="GE22" i="77"/>
  <c r="F35" i="141" s="1"/>
  <c r="F24" i="141" s="1"/>
  <c r="GH14" i="77"/>
  <c r="HH14" i="77"/>
  <c r="GE14" i="77"/>
  <c r="F30" i="141" s="1"/>
  <c r="F19" i="141" s="1"/>
  <c r="GE19" i="77"/>
  <c r="F32" i="141" s="1"/>
  <c r="F21" i="141" s="1"/>
  <c r="GH19" i="77"/>
  <c r="HH19" i="77"/>
  <c r="GE21" i="77"/>
  <c r="F34" i="141" s="1"/>
  <c r="F23" i="141" s="1"/>
  <c r="HH21" i="77"/>
  <c r="GH21" i="77"/>
  <c r="GE16" i="77"/>
  <c r="GH16" i="77"/>
  <c r="HH16" i="77"/>
  <c r="GH26" i="77"/>
  <c r="GE26" i="77"/>
  <c r="HH26" i="77" l="1"/>
  <c r="J14" i="156"/>
  <c r="G7" i="156"/>
  <c r="G14" i="156" l="1"/>
  <c r="G11" i="156"/>
  <c r="G9" i="156"/>
  <c r="G10" i="156"/>
  <c r="G8" i="156"/>
  <c r="J12" i="156"/>
  <c r="J13" i="156" s="1"/>
  <c r="G12" i="156" l="1"/>
  <c r="G13" i="156" s="1"/>
  <c r="BG232" i="141" l="1"/>
  <c r="BF232" i="141"/>
  <c r="CV233" i="141" l="1"/>
  <c r="CW233" i="141"/>
  <c r="CW231" i="141"/>
  <c r="CV231" i="141"/>
  <c r="CA232" i="141"/>
  <c r="CB232" i="141"/>
  <c r="CV228" i="141"/>
  <c r="CW228" i="141"/>
  <c r="CB233" i="141"/>
  <c r="CA233" i="141"/>
  <c r="AK229" i="141"/>
  <c r="AL229" i="141"/>
  <c r="AL232" i="141"/>
  <c r="AK232" i="141"/>
  <c r="X16" i="111"/>
  <c r="BE232" i="141"/>
  <c r="CA231" i="141"/>
  <c r="CB231" i="141"/>
  <c r="CB230" i="141"/>
  <c r="CA230" i="141"/>
  <c r="CW230" i="141"/>
  <c r="CV230" i="141"/>
  <c r="CV229" i="141"/>
  <c r="CW229" i="141"/>
  <c r="CB228" i="141"/>
  <c r="CA228" i="141"/>
  <c r="AG227" i="141" l="1"/>
  <c r="AY275" i="141" s="1"/>
  <c r="AK228" i="141"/>
  <c r="AH227" i="141"/>
  <c r="AZ275" i="141" s="1"/>
  <c r="AL228" i="141"/>
  <c r="AI227" i="141"/>
  <c r="BA275" i="141" s="1"/>
  <c r="AA16" i="111"/>
  <c r="AC16" i="111" s="1"/>
  <c r="AR12" i="111"/>
  <c r="CU228" i="141"/>
  <c r="AR15" i="111"/>
  <c r="CU231" i="141"/>
  <c r="AR17" i="111"/>
  <c r="AU17" i="111" s="1"/>
  <c r="AW17" i="111" s="1"/>
  <c r="CU233" i="141"/>
  <c r="AR13" i="111"/>
  <c r="CU229" i="141"/>
  <c r="AR14" i="111"/>
  <c r="CU230" i="141"/>
  <c r="N16" i="111"/>
  <c r="AJ232" i="141"/>
  <c r="X60" i="111"/>
  <c r="X49" i="111"/>
  <c r="X94" i="111"/>
  <c r="X27" i="111"/>
  <c r="X83" i="111"/>
  <c r="X71" i="111"/>
  <c r="X38" i="111"/>
  <c r="AH14" i="111"/>
  <c r="BZ230" i="141"/>
  <c r="N12" i="111"/>
  <c r="Q12" i="111" s="1"/>
  <c r="S12" i="111" s="1"/>
  <c r="AJ228" i="141"/>
  <c r="AH17" i="111"/>
  <c r="BZ233" i="141"/>
  <c r="AH12" i="111"/>
  <c r="AK12" i="111" s="1"/>
  <c r="AM12" i="111" s="1"/>
  <c r="BZ228" i="141"/>
  <c r="AH15" i="111"/>
  <c r="BZ231" i="141"/>
  <c r="N13" i="111"/>
  <c r="Q13" i="111" s="1"/>
  <c r="S13" i="111" s="1"/>
  <c r="AJ229" i="141"/>
  <c r="AH16" i="111"/>
  <c r="BZ232" i="141"/>
  <c r="AZ303" i="141" l="1"/>
  <c r="AZ273" i="141"/>
  <c r="EF273" i="141" s="1"/>
  <c r="EF275" i="141"/>
  <c r="BA303" i="141"/>
  <c r="BA273" i="141"/>
  <c r="EG273" i="141" s="1"/>
  <c r="EG275" i="141"/>
  <c r="AY303" i="141"/>
  <c r="AY273" i="141"/>
  <c r="EE273" i="141" s="1"/>
  <c r="EE275" i="141"/>
  <c r="W13" i="111"/>
  <c r="T13" i="111"/>
  <c r="W12" i="111"/>
  <c r="T12" i="111"/>
  <c r="BA17" i="111"/>
  <c r="AX17" i="111"/>
  <c r="AU13" i="111"/>
  <c r="AW13" i="111" s="1"/>
  <c r="AU15" i="111"/>
  <c r="AW15" i="111" s="1"/>
  <c r="AU12" i="111"/>
  <c r="AW12" i="111" s="1"/>
  <c r="AU14" i="111"/>
  <c r="AW14" i="111" s="1"/>
  <c r="AN12" i="111"/>
  <c r="AQ12" i="111"/>
  <c r="AK16" i="111"/>
  <c r="AM16" i="111" s="1"/>
  <c r="AK15" i="111"/>
  <c r="AM15" i="111" s="1"/>
  <c r="AK17" i="111"/>
  <c r="AM17" i="111" s="1"/>
  <c r="AK14" i="111"/>
  <c r="AM14" i="111" s="1"/>
  <c r="AA49" i="111"/>
  <c r="AC49" i="111" s="1"/>
  <c r="AD49" i="111" s="1"/>
  <c r="AA83" i="111"/>
  <c r="AC83" i="111" s="1"/>
  <c r="AD83" i="111" s="1"/>
  <c r="AA60" i="111"/>
  <c r="AC60" i="111" s="1"/>
  <c r="AD60" i="111" s="1"/>
  <c r="AD16" i="111"/>
  <c r="AG16" i="111"/>
  <c r="AA27" i="111"/>
  <c r="AC27" i="111" s="1"/>
  <c r="AD27" i="111" s="1"/>
  <c r="AA38" i="111"/>
  <c r="AC38" i="111" s="1"/>
  <c r="AH37" i="111"/>
  <c r="AH26" i="111"/>
  <c r="AH93" i="111"/>
  <c r="AH48" i="111"/>
  <c r="AH82" i="111"/>
  <c r="AH70" i="111"/>
  <c r="AH59" i="111"/>
  <c r="AH84" i="111"/>
  <c r="AH72" i="111"/>
  <c r="AH61" i="111"/>
  <c r="AH39" i="111"/>
  <c r="AH50" i="111"/>
  <c r="AH95" i="111"/>
  <c r="AH28" i="111"/>
  <c r="AH25" i="111"/>
  <c r="AH92" i="111"/>
  <c r="AH47" i="111"/>
  <c r="AH81" i="111"/>
  <c r="AH69" i="111"/>
  <c r="AH58" i="111"/>
  <c r="AH36" i="111"/>
  <c r="AR36" i="111"/>
  <c r="AR92" i="111"/>
  <c r="AR25" i="111"/>
  <c r="AR81" i="111"/>
  <c r="AR47" i="111"/>
  <c r="AR58" i="111"/>
  <c r="AR69" i="111"/>
  <c r="AR28" i="111"/>
  <c r="AR95" i="111"/>
  <c r="AR84" i="111"/>
  <c r="AR61" i="111"/>
  <c r="AR39" i="111"/>
  <c r="AR50" i="111"/>
  <c r="AR72" i="111"/>
  <c r="N91" i="111"/>
  <c r="N35" i="111"/>
  <c r="N68" i="111"/>
  <c r="N57" i="111"/>
  <c r="N46" i="111"/>
  <c r="N24" i="111"/>
  <c r="N80" i="111"/>
  <c r="AH79" i="111"/>
  <c r="AH67" i="111"/>
  <c r="AH34" i="111"/>
  <c r="AH23" i="111"/>
  <c r="AH90" i="111"/>
  <c r="AH56" i="111"/>
  <c r="AH45" i="111"/>
  <c r="N79" i="111"/>
  <c r="N90" i="111"/>
  <c r="N56" i="111"/>
  <c r="N45" i="111"/>
  <c r="N67" i="111"/>
  <c r="N34" i="111"/>
  <c r="N23" i="111"/>
  <c r="N83" i="111"/>
  <c r="N94" i="111"/>
  <c r="N27" i="111"/>
  <c r="N38" i="111"/>
  <c r="N60" i="111"/>
  <c r="N49" i="111"/>
  <c r="N71" i="111"/>
  <c r="AR91" i="111"/>
  <c r="AR46" i="111"/>
  <c r="AR80" i="111"/>
  <c r="AR68" i="111"/>
  <c r="AR57" i="111"/>
  <c r="AR35" i="111"/>
  <c r="AR24" i="111"/>
  <c r="AR82" i="111"/>
  <c r="AR37" i="111"/>
  <c r="AR26" i="111"/>
  <c r="AR93" i="111"/>
  <c r="AR48" i="111"/>
  <c r="AR59" i="111"/>
  <c r="AR70" i="111"/>
  <c r="AH38" i="111"/>
  <c r="AH94" i="111"/>
  <c r="AH27" i="111"/>
  <c r="AH49" i="111"/>
  <c r="AH60" i="111"/>
  <c r="AH71" i="111"/>
  <c r="AH83" i="111"/>
  <c r="AR56" i="111"/>
  <c r="AR23" i="111"/>
  <c r="AR34" i="111"/>
  <c r="AR67" i="111"/>
  <c r="AR45" i="111"/>
  <c r="AR79" i="111"/>
  <c r="AR90" i="111"/>
  <c r="BA301" i="141" l="1"/>
  <c r="EG301" i="141" s="1"/>
  <c r="EG303" i="141"/>
  <c r="AY301" i="141"/>
  <c r="EE301" i="141" s="1"/>
  <c r="EE303" i="141"/>
  <c r="AZ301" i="141"/>
  <c r="EF301" i="141" s="1"/>
  <c r="EF303" i="141"/>
  <c r="Q24" i="111"/>
  <c r="S24" i="111" s="1"/>
  <c r="Q23" i="111"/>
  <c r="S23" i="111" s="1"/>
  <c r="Q56" i="111"/>
  <c r="S56" i="111" s="1"/>
  <c r="T56" i="111" s="1"/>
  <c r="Q46" i="111"/>
  <c r="S46" i="111" s="1"/>
  <c r="T46" i="111" s="1"/>
  <c r="Q34" i="111"/>
  <c r="S34" i="111" s="1"/>
  <c r="T34" i="111" s="1"/>
  <c r="Q57" i="111"/>
  <c r="S57" i="111" s="1"/>
  <c r="T57" i="111" s="1"/>
  <c r="Q45" i="111"/>
  <c r="S45" i="111" s="1"/>
  <c r="T45" i="111" s="1"/>
  <c r="Q35" i="111"/>
  <c r="S35" i="111" s="1"/>
  <c r="T35" i="111" s="1"/>
  <c r="Q79" i="111"/>
  <c r="S79" i="111" s="1"/>
  <c r="T79" i="111" s="1"/>
  <c r="Q80" i="111"/>
  <c r="S80" i="111" s="1"/>
  <c r="T80" i="111" s="1"/>
  <c r="AU84" i="111"/>
  <c r="AW84" i="111" s="1"/>
  <c r="AX84" i="111" s="1"/>
  <c r="AU50" i="111"/>
  <c r="AW50" i="111" s="1"/>
  <c r="AX50" i="111" s="1"/>
  <c r="AU39" i="111"/>
  <c r="AW39" i="111" s="1"/>
  <c r="AX39" i="111" s="1"/>
  <c r="AU28" i="111"/>
  <c r="AW28" i="111" s="1"/>
  <c r="AU61" i="111"/>
  <c r="AW61" i="111" s="1"/>
  <c r="AX61" i="111" s="1"/>
  <c r="AU45" i="111"/>
  <c r="AW45" i="111" s="1"/>
  <c r="AX45" i="111" s="1"/>
  <c r="AU56" i="111"/>
  <c r="AW56" i="111" s="1"/>
  <c r="AX56" i="111" s="1"/>
  <c r="AU26" i="111"/>
  <c r="AW26" i="111" s="1"/>
  <c r="AU35" i="111"/>
  <c r="AW35" i="111" s="1"/>
  <c r="AX35" i="111" s="1"/>
  <c r="AU46" i="111"/>
  <c r="AW46" i="111" s="1"/>
  <c r="AX46" i="111" s="1"/>
  <c r="AU81" i="111"/>
  <c r="AW81" i="111" s="1"/>
  <c r="AX81" i="111" s="1"/>
  <c r="AU59" i="111"/>
  <c r="AW59" i="111" s="1"/>
  <c r="AX59" i="111" s="1"/>
  <c r="AU37" i="111"/>
  <c r="AW37" i="111" s="1"/>
  <c r="AX37" i="111" s="1"/>
  <c r="AU57" i="111"/>
  <c r="AW57" i="111" s="1"/>
  <c r="AX57" i="111" s="1"/>
  <c r="AU25" i="111"/>
  <c r="AW25" i="111" s="1"/>
  <c r="AX25" i="111" s="1"/>
  <c r="BA15" i="111"/>
  <c r="AX15" i="111"/>
  <c r="AU34" i="111"/>
  <c r="AW34" i="111" s="1"/>
  <c r="AU48" i="111"/>
  <c r="AW48" i="111" s="1"/>
  <c r="AX48" i="111" s="1"/>
  <c r="AU82" i="111"/>
  <c r="AW82" i="111" s="1"/>
  <c r="AX82" i="111" s="1"/>
  <c r="AU58" i="111"/>
  <c r="AW58" i="111" s="1"/>
  <c r="AX58" i="111" s="1"/>
  <c r="BA12" i="111"/>
  <c r="AX12" i="111"/>
  <c r="AU79" i="111"/>
  <c r="AW79" i="111" s="1"/>
  <c r="AX79" i="111" s="1"/>
  <c r="AU23" i="111"/>
  <c r="AW23" i="111" s="1"/>
  <c r="AX23" i="111" s="1"/>
  <c r="AU24" i="111"/>
  <c r="AW24" i="111" s="1"/>
  <c r="AU80" i="111"/>
  <c r="AW80" i="111" s="1"/>
  <c r="AX80" i="111" s="1"/>
  <c r="AU47" i="111"/>
  <c r="AW47" i="111" s="1"/>
  <c r="AX47" i="111" s="1"/>
  <c r="AU36" i="111"/>
  <c r="AW36" i="111" s="1"/>
  <c r="AX36" i="111" s="1"/>
  <c r="BA14" i="111"/>
  <c r="AX14" i="111"/>
  <c r="AX13" i="111"/>
  <c r="BA13" i="111"/>
  <c r="AK45" i="111"/>
  <c r="AM45" i="111" s="1"/>
  <c r="AN45" i="111" s="1"/>
  <c r="AK34" i="111"/>
  <c r="AM34" i="111" s="1"/>
  <c r="AN34" i="111" s="1"/>
  <c r="AK79" i="111"/>
  <c r="AM79" i="111" s="1"/>
  <c r="AN79" i="111" s="1"/>
  <c r="AK56" i="111"/>
  <c r="AM56" i="111" s="1"/>
  <c r="AN56" i="111" s="1"/>
  <c r="AK23" i="111"/>
  <c r="AM23" i="111" s="1"/>
  <c r="AK25" i="111"/>
  <c r="AM25" i="111" s="1"/>
  <c r="AK39" i="111"/>
  <c r="AM39" i="111" s="1"/>
  <c r="AK59" i="111"/>
  <c r="AM59" i="111" s="1"/>
  <c r="AN59" i="111" s="1"/>
  <c r="AK60" i="111"/>
  <c r="AM60" i="111" s="1"/>
  <c r="AN60" i="111" s="1"/>
  <c r="AK38" i="111"/>
  <c r="AM38" i="111" s="1"/>
  <c r="AK81" i="111"/>
  <c r="AM81" i="111" s="1"/>
  <c r="AN81" i="111" s="1"/>
  <c r="AK28" i="111"/>
  <c r="AM28" i="111" s="1"/>
  <c r="AN28" i="111" s="1"/>
  <c r="AK61" i="111"/>
  <c r="AM61" i="111" s="1"/>
  <c r="AN61" i="111" s="1"/>
  <c r="AK26" i="111"/>
  <c r="AM26" i="111" s="1"/>
  <c r="AQ17" i="111"/>
  <c r="AN17" i="111"/>
  <c r="AQ16" i="111"/>
  <c r="AN16" i="111"/>
  <c r="AK49" i="111"/>
  <c r="AM49" i="111" s="1"/>
  <c r="AN49" i="111" s="1"/>
  <c r="AK36" i="111"/>
  <c r="AM36" i="111" s="1"/>
  <c r="AN36" i="111" s="1"/>
  <c r="AK47" i="111"/>
  <c r="AM47" i="111" s="1"/>
  <c r="AN47" i="111" s="1"/>
  <c r="AK82" i="111"/>
  <c r="AM82" i="111" s="1"/>
  <c r="AN82" i="111" s="1"/>
  <c r="AK37" i="111"/>
  <c r="AM37" i="111" s="1"/>
  <c r="AN37" i="111" s="1"/>
  <c r="AQ14" i="111"/>
  <c r="AN14" i="111"/>
  <c r="AK83" i="111"/>
  <c r="AM83" i="111" s="1"/>
  <c r="AN83" i="111" s="1"/>
  <c r="AK27" i="111"/>
  <c r="AM27" i="111" s="1"/>
  <c r="AN27" i="111" s="1"/>
  <c r="AK58" i="111"/>
  <c r="AM58" i="111" s="1"/>
  <c r="AN58" i="111" s="1"/>
  <c r="AK50" i="111"/>
  <c r="AM50" i="111" s="1"/>
  <c r="AN50" i="111" s="1"/>
  <c r="AK84" i="111"/>
  <c r="AM84" i="111" s="1"/>
  <c r="AN84" i="111" s="1"/>
  <c r="AK48" i="111"/>
  <c r="AM48" i="111" s="1"/>
  <c r="AN48" i="111" s="1"/>
  <c r="AQ15" i="111"/>
  <c r="AN15" i="111"/>
  <c r="AD38" i="111"/>
  <c r="AD71" i="111" s="1"/>
  <c r="AD94" i="111" s="1"/>
  <c r="AC71" i="111"/>
  <c r="AC94" i="111" s="1"/>
  <c r="T23" i="111" l="1"/>
  <c r="T67" i="111" s="1"/>
  <c r="T90" i="111" s="1"/>
  <c r="S67" i="111"/>
  <c r="S90" i="111" s="1"/>
  <c r="T24" i="111"/>
  <c r="T68" i="111" s="1"/>
  <c r="T91" i="111" s="1"/>
  <c r="S68" i="111"/>
  <c r="S91" i="111" s="1"/>
  <c r="AX28" i="111"/>
  <c r="AX72" i="111" s="1"/>
  <c r="AX95" i="111" s="1"/>
  <c r="AW72" i="111"/>
  <c r="AW95" i="111" s="1"/>
  <c r="AX69" i="111"/>
  <c r="AX92" i="111" s="1"/>
  <c r="AX24" i="111"/>
  <c r="AX68" i="111" s="1"/>
  <c r="AX91" i="111" s="1"/>
  <c r="AW68" i="111"/>
  <c r="AW91" i="111" s="1"/>
  <c r="AX26" i="111"/>
  <c r="AX70" i="111" s="1"/>
  <c r="AX93" i="111" s="1"/>
  <c r="AW70" i="111"/>
  <c r="AW93" i="111" s="1"/>
  <c r="AX34" i="111"/>
  <c r="AX67" i="111" s="1"/>
  <c r="AX90" i="111" s="1"/>
  <c r="AW67" i="111"/>
  <c r="AW90" i="111" s="1"/>
  <c r="AW69" i="111"/>
  <c r="AW92" i="111" s="1"/>
  <c r="AN23" i="111"/>
  <c r="AN67" i="111" s="1"/>
  <c r="AN90" i="111" s="1"/>
  <c r="AM67" i="111"/>
  <c r="AM90" i="111" s="1"/>
  <c r="AN26" i="111"/>
  <c r="AN70" i="111" s="1"/>
  <c r="AN93" i="111" s="1"/>
  <c r="AM70" i="111"/>
  <c r="AM93" i="111" s="1"/>
  <c r="AN38" i="111"/>
  <c r="AN71" i="111" s="1"/>
  <c r="AN94" i="111" s="1"/>
  <c r="AM71" i="111"/>
  <c r="AM94" i="111" s="1"/>
  <c r="AN25" i="111"/>
  <c r="AN69" i="111" s="1"/>
  <c r="AN92" i="111" s="1"/>
  <c r="AM69" i="111"/>
  <c r="AM92" i="111" s="1"/>
  <c r="AN39" i="111"/>
  <c r="AN72" i="111" s="1"/>
  <c r="AN95" i="111" s="1"/>
  <c r="AM72" i="111"/>
  <c r="AM95" i="111" s="1"/>
  <c r="Q232" i="141"/>
  <c r="P229" i="141"/>
  <c r="P232" i="141"/>
  <c r="AL231" i="141"/>
  <c r="AL233" i="141"/>
  <c r="AK233" i="141"/>
  <c r="P233" i="141"/>
  <c r="BF228" i="141"/>
  <c r="D17" i="111"/>
  <c r="O233" i="141"/>
  <c r="D16" i="111"/>
  <c r="O232" i="141"/>
  <c r="BG228" i="141"/>
  <c r="Q233" i="141"/>
  <c r="BE228" i="141"/>
  <c r="X12" i="111"/>
  <c r="BG229" i="141"/>
  <c r="BF229" i="141"/>
  <c r="BG233" i="141"/>
  <c r="BF233" i="141"/>
  <c r="P230" i="141" l="1"/>
  <c r="Q230" i="141"/>
  <c r="O229" i="141"/>
  <c r="Q229" i="141"/>
  <c r="AK231" i="141"/>
  <c r="DO233" i="141"/>
  <c r="DR233" i="141" s="1"/>
  <c r="BF231" i="141"/>
  <c r="DM231" i="141"/>
  <c r="BG231" i="141"/>
  <c r="O230" i="141"/>
  <c r="D14" i="111"/>
  <c r="X17" i="111"/>
  <c r="BE233" i="141"/>
  <c r="BE229" i="141"/>
  <c r="X13" i="111"/>
  <c r="D84" i="111"/>
  <c r="D61" i="111"/>
  <c r="D39" i="111"/>
  <c r="D28" i="111"/>
  <c r="D50" i="111"/>
  <c r="D72" i="111"/>
  <c r="D95" i="111"/>
  <c r="O231" i="141"/>
  <c r="D15" i="111"/>
  <c r="X90" i="111"/>
  <c r="X23" i="111"/>
  <c r="X67" i="111"/>
  <c r="X45" i="111"/>
  <c r="X79" i="111"/>
  <c r="X56" i="111"/>
  <c r="X34" i="111"/>
  <c r="Q231" i="141"/>
  <c r="AJ233" i="141"/>
  <c r="N17" i="111"/>
  <c r="DM233" i="141"/>
  <c r="DP233" i="141" s="1"/>
  <c r="D60" i="111"/>
  <c r="D49" i="111"/>
  <c r="D71" i="111"/>
  <c r="D94" i="111"/>
  <c r="D83" i="111"/>
  <c r="D38" i="111"/>
  <c r="D27" i="111"/>
  <c r="P231" i="141"/>
  <c r="N15" i="111"/>
  <c r="AJ231" i="141"/>
  <c r="DN233" i="141"/>
  <c r="DQ233" i="141" s="1"/>
  <c r="DP231" i="141" l="1"/>
  <c r="DO231" i="141"/>
  <c r="D13" i="111"/>
  <c r="D68" i="111" s="1"/>
  <c r="DN231" i="141"/>
  <c r="N84" i="111"/>
  <c r="N61" i="111"/>
  <c r="N95" i="111"/>
  <c r="N39" i="111"/>
  <c r="N72" i="111"/>
  <c r="N28" i="111"/>
  <c r="N50" i="111"/>
  <c r="D81" i="111"/>
  <c r="D25" i="111"/>
  <c r="D47" i="111"/>
  <c r="D36" i="111"/>
  <c r="D69" i="111"/>
  <c r="D92" i="111"/>
  <c r="D58" i="111"/>
  <c r="X57" i="111"/>
  <c r="X68" i="111"/>
  <c r="X35" i="111"/>
  <c r="X91" i="111"/>
  <c r="X80" i="111"/>
  <c r="X46" i="111"/>
  <c r="X24" i="111"/>
  <c r="BE231" i="141"/>
  <c r="X15" i="111"/>
  <c r="BB17" i="111"/>
  <c r="D37" i="111"/>
  <c r="D70" i="111"/>
  <c r="D26" i="111"/>
  <c r="D48" i="111"/>
  <c r="D59" i="111"/>
  <c r="D93" i="111"/>
  <c r="D82" i="111"/>
  <c r="X95" i="111"/>
  <c r="X84" i="111"/>
  <c r="X50" i="111"/>
  <c r="X39" i="111"/>
  <c r="X72" i="111"/>
  <c r="X28" i="111"/>
  <c r="X61" i="111"/>
  <c r="N26" i="111"/>
  <c r="N59" i="111"/>
  <c r="N82" i="111"/>
  <c r="N37" i="111"/>
  <c r="N48" i="111"/>
  <c r="N70" i="111"/>
  <c r="N93" i="111"/>
  <c r="DO232" i="141"/>
  <c r="DR232" i="141" s="1"/>
  <c r="CW232" i="141"/>
  <c r="DN232" i="141"/>
  <c r="DQ232" i="141" s="1"/>
  <c r="CV232" i="141"/>
  <c r="CU232" i="141"/>
  <c r="DM232" i="141"/>
  <c r="DP232" i="141" s="1"/>
  <c r="AR16" i="111"/>
  <c r="DN229" i="141"/>
  <c r="CA229" i="141"/>
  <c r="DM229" i="141"/>
  <c r="AH13" i="111"/>
  <c r="BZ229" i="141"/>
  <c r="DO229" i="141"/>
  <c r="CB229" i="141"/>
  <c r="CV227" i="141" l="1"/>
  <c r="CV238" i="141" s="1"/>
  <c r="DB239" i="141" s="1"/>
  <c r="AR10" i="111"/>
  <c r="CW227" i="141"/>
  <c r="CW238" i="141" s="1"/>
  <c r="DC239" i="141" s="1"/>
  <c r="CU227" i="141"/>
  <c r="CU238" i="141" s="1"/>
  <c r="DA239" i="141" s="1"/>
  <c r="BZ227" i="141"/>
  <c r="BZ238" i="141" s="1"/>
  <c r="CF239" i="141" s="1"/>
  <c r="AH10" i="111"/>
  <c r="CB227" i="141"/>
  <c r="CB238" i="141" s="1"/>
  <c r="CH239" i="141" s="1"/>
  <c r="CA227" i="141"/>
  <c r="CA238" i="141" s="1"/>
  <c r="CG239" i="141" s="1"/>
  <c r="BB15" i="111"/>
  <c r="DR231" i="141"/>
  <c r="DQ231" i="141"/>
  <c r="D57" i="111"/>
  <c r="D35" i="111"/>
  <c r="D46" i="111"/>
  <c r="D91" i="111"/>
  <c r="D80" i="111"/>
  <c r="D24" i="111"/>
  <c r="BB84" i="111"/>
  <c r="BB28" i="111"/>
  <c r="BB72" i="111"/>
  <c r="BB95" i="111"/>
  <c r="AK230" i="141"/>
  <c r="AK227" i="141" s="1"/>
  <c r="DN230" i="141"/>
  <c r="DQ230" i="141" s="1"/>
  <c r="BE230" i="141"/>
  <c r="X14" i="111"/>
  <c r="AJ230" i="141"/>
  <c r="N14" i="111"/>
  <c r="DM230" i="141"/>
  <c r="DP230" i="141" s="1"/>
  <c r="BG230" i="141"/>
  <c r="BB39" i="111"/>
  <c r="BF230" i="141"/>
  <c r="BB50" i="111"/>
  <c r="AL230" i="141"/>
  <c r="DO230" i="141"/>
  <c r="DR230" i="141" s="1"/>
  <c r="X93" i="111"/>
  <c r="BB93" i="111" s="1"/>
  <c r="X70" i="111"/>
  <c r="BB70" i="111" s="1"/>
  <c r="X37" i="111"/>
  <c r="X26" i="111"/>
  <c r="X82" i="111"/>
  <c r="X59" i="111"/>
  <c r="X48" i="111"/>
  <c r="BB61" i="111"/>
  <c r="BB16" i="111"/>
  <c r="AR38" i="111"/>
  <c r="AR49" i="111"/>
  <c r="AR83" i="111"/>
  <c r="AR71" i="111"/>
  <c r="AR65" i="111" s="1"/>
  <c r="AR27" i="111"/>
  <c r="AR94" i="111"/>
  <c r="AR88" i="111" s="1"/>
  <c r="AR60" i="111"/>
  <c r="DR229" i="141"/>
  <c r="DQ229" i="141"/>
  <c r="BB13" i="111"/>
  <c r="AH35" i="111"/>
  <c r="AH80" i="111"/>
  <c r="AH91" i="111"/>
  <c r="AH88" i="111" s="1"/>
  <c r="AH57" i="111"/>
  <c r="AH46" i="111"/>
  <c r="AH68" i="111"/>
  <c r="AH65" i="111" s="1"/>
  <c r="AH24" i="111"/>
  <c r="DP229" i="141"/>
  <c r="AI13" i="111" l="1"/>
  <c r="AJ13" i="111" s="1"/>
  <c r="AK13" i="111" s="1"/>
  <c r="AM13" i="111" s="1"/>
  <c r="AQ13" i="111" s="1"/>
  <c r="AI18" i="111"/>
  <c r="AJ18" i="111" s="1"/>
  <c r="AI19" i="111"/>
  <c r="AJ19" i="111" s="1"/>
  <c r="AS16" i="111"/>
  <c r="AT16" i="111" s="1"/>
  <c r="AU16" i="111" s="1"/>
  <c r="AW16" i="111" s="1"/>
  <c r="BA16" i="111" s="1"/>
  <c r="AS18" i="111"/>
  <c r="AT18" i="111" s="1"/>
  <c r="AS19" i="111"/>
  <c r="AT19" i="111" s="1"/>
  <c r="CG293" i="141"/>
  <c r="CM293" i="141" s="1"/>
  <c r="CG294" i="141"/>
  <c r="CM294" i="141" s="1"/>
  <c r="DA293" i="141"/>
  <c r="DG293" i="141" s="1"/>
  <c r="DA294" i="141"/>
  <c r="DG294" i="141" s="1"/>
  <c r="CH293" i="141"/>
  <c r="CN293" i="141" s="1"/>
  <c r="CH294" i="141"/>
  <c r="CN294" i="141" s="1"/>
  <c r="DC293" i="141"/>
  <c r="DI293" i="141" s="1"/>
  <c r="DC294" i="141"/>
  <c r="DI294" i="141" s="1"/>
  <c r="CF293" i="141"/>
  <c r="CL293" i="141" s="1"/>
  <c r="CF294" i="141"/>
  <c r="CL294" i="141" s="1"/>
  <c r="DB293" i="141"/>
  <c r="DH293" i="141" s="1"/>
  <c r="DB294" i="141"/>
  <c r="DH294" i="141" s="1"/>
  <c r="CG265" i="141"/>
  <c r="CM265" i="141" s="1"/>
  <c r="CG266" i="141"/>
  <c r="CM266" i="141" s="1"/>
  <c r="DA265" i="141"/>
  <c r="DG265" i="141" s="1"/>
  <c r="DA266" i="141"/>
  <c r="DG266" i="141" s="1"/>
  <c r="DC265" i="141"/>
  <c r="DI265" i="141" s="1"/>
  <c r="DC266" i="141"/>
  <c r="DI266" i="141" s="1"/>
  <c r="CH265" i="141"/>
  <c r="CN265" i="141" s="1"/>
  <c r="CH266" i="141"/>
  <c r="CN266" i="141" s="1"/>
  <c r="CF265" i="141"/>
  <c r="CL265" i="141" s="1"/>
  <c r="CF266" i="141"/>
  <c r="CL266" i="141" s="1"/>
  <c r="DB265" i="141"/>
  <c r="DH265" i="141" s="1"/>
  <c r="DB266" i="141"/>
  <c r="DH266" i="141" s="1"/>
  <c r="CG234" i="141"/>
  <c r="CM234" i="141" s="1"/>
  <c r="CG235" i="141"/>
  <c r="CM235" i="141" s="1"/>
  <c r="DA234" i="141"/>
  <c r="DG234" i="141" s="1"/>
  <c r="DA235" i="141"/>
  <c r="DG235" i="141" s="1"/>
  <c r="CH234" i="141"/>
  <c r="CN234" i="141" s="1"/>
  <c r="CH235" i="141"/>
  <c r="CN235" i="141" s="1"/>
  <c r="DC234" i="141"/>
  <c r="DI234" i="141" s="1"/>
  <c r="DC235" i="141"/>
  <c r="DI235" i="141" s="1"/>
  <c r="CF234" i="141"/>
  <c r="CL234" i="141" s="1"/>
  <c r="CF235" i="141"/>
  <c r="CL235" i="141" s="1"/>
  <c r="DB234" i="141"/>
  <c r="DH234" i="141" s="1"/>
  <c r="DB235" i="141"/>
  <c r="DH235" i="141" s="1"/>
  <c r="CG289" i="141"/>
  <c r="CM289" i="141" s="1"/>
  <c r="CG290" i="141"/>
  <c r="CM290" i="141" s="1"/>
  <c r="CG295" i="141"/>
  <c r="CM295" i="141" s="1"/>
  <c r="CG291" i="141"/>
  <c r="CM291" i="141" s="1"/>
  <c r="CG292" i="141"/>
  <c r="CM292" i="141" s="1"/>
  <c r="CG288" i="141"/>
  <c r="CM288" i="141" s="1"/>
  <c r="CG287" i="141"/>
  <c r="CM287" i="141" s="1"/>
  <c r="DA289" i="141"/>
  <c r="DG289" i="141" s="1"/>
  <c r="DA288" i="141"/>
  <c r="DG288" i="141" s="1"/>
  <c r="DA292" i="141"/>
  <c r="DG292" i="141" s="1"/>
  <c r="DA295" i="141"/>
  <c r="DG295" i="141" s="1"/>
  <c r="DA291" i="141"/>
  <c r="DG291" i="141" s="1"/>
  <c r="DA290" i="141"/>
  <c r="DG290" i="141" s="1"/>
  <c r="DA287" i="141"/>
  <c r="DG287" i="141" s="1"/>
  <c r="CH290" i="141"/>
  <c r="CN290" i="141" s="1"/>
  <c r="CH295" i="141"/>
  <c r="CN295" i="141" s="1"/>
  <c r="CH291" i="141"/>
  <c r="CN291" i="141" s="1"/>
  <c r="CH292" i="141"/>
  <c r="CN292" i="141" s="1"/>
  <c r="CH288" i="141"/>
  <c r="CN288" i="141" s="1"/>
  <c r="CH289" i="141"/>
  <c r="CN289" i="141" s="1"/>
  <c r="CH287" i="141"/>
  <c r="CN287" i="141" s="1"/>
  <c r="DC295" i="141"/>
  <c r="DI295" i="141" s="1"/>
  <c r="DC291" i="141"/>
  <c r="DI291" i="141" s="1"/>
  <c r="DC290" i="141"/>
  <c r="DI290" i="141" s="1"/>
  <c r="DC289" i="141"/>
  <c r="DI289" i="141" s="1"/>
  <c r="DC287" i="141"/>
  <c r="DI287" i="141" s="1"/>
  <c r="DC288" i="141"/>
  <c r="DI288" i="141" s="1"/>
  <c r="DC292" i="141"/>
  <c r="DI292" i="141" s="1"/>
  <c r="CF292" i="141"/>
  <c r="CL292" i="141" s="1"/>
  <c r="CF288" i="141"/>
  <c r="CL288" i="141" s="1"/>
  <c r="CF289" i="141"/>
  <c r="CL289" i="141" s="1"/>
  <c r="CF290" i="141"/>
  <c r="CL290" i="141" s="1"/>
  <c r="CF287" i="141"/>
  <c r="CL287" i="141" s="1"/>
  <c r="CF291" i="141"/>
  <c r="CL291" i="141" s="1"/>
  <c r="CF295" i="141"/>
  <c r="CL295" i="141" s="1"/>
  <c r="DB292" i="141"/>
  <c r="DH292" i="141" s="1"/>
  <c r="DB295" i="141"/>
  <c r="DH295" i="141" s="1"/>
  <c r="DB291" i="141"/>
  <c r="DH291" i="141" s="1"/>
  <c r="DB290" i="141"/>
  <c r="DH290" i="141" s="1"/>
  <c r="DB288" i="141"/>
  <c r="DH288" i="141" s="1"/>
  <c r="DB289" i="141"/>
  <c r="DH289" i="141" s="1"/>
  <c r="DB287" i="141"/>
  <c r="DH287" i="141" s="1"/>
  <c r="CG260" i="141"/>
  <c r="CM260" i="141" s="1"/>
  <c r="CG264" i="141"/>
  <c r="CM264" i="141" s="1"/>
  <c r="CG263" i="141"/>
  <c r="CM263" i="141" s="1"/>
  <c r="CG259" i="141"/>
  <c r="CM259" i="141" s="1"/>
  <c r="CG267" i="141"/>
  <c r="CM267" i="141" s="1"/>
  <c r="CG262" i="141"/>
  <c r="CM262" i="141" s="1"/>
  <c r="CG261" i="141"/>
  <c r="CM261" i="141" s="1"/>
  <c r="DA267" i="141"/>
  <c r="DG267" i="141" s="1"/>
  <c r="DA259" i="141"/>
  <c r="DG259" i="141" s="1"/>
  <c r="DA263" i="141"/>
  <c r="DG263" i="141" s="1"/>
  <c r="DA262" i="141"/>
  <c r="DG262" i="141" s="1"/>
  <c r="DA264" i="141"/>
  <c r="DG264" i="141" s="1"/>
  <c r="DA261" i="141"/>
  <c r="DG261" i="141" s="1"/>
  <c r="DA260" i="141"/>
  <c r="DG260" i="141" s="1"/>
  <c r="CH264" i="141"/>
  <c r="CN264" i="141" s="1"/>
  <c r="CH263" i="141"/>
  <c r="CN263" i="141" s="1"/>
  <c r="CH267" i="141"/>
  <c r="CN267" i="141" s="1"/>
  <c r="CH262" i="141"/>
  <c r="CN262" i="141" s="1"/>
  <c r="CH261" i="141"/>
  <c r="CN261" i="141" s="1"/>
  <c r="CH260" i="141"/>
  <c r="CN260" i="141" s="1"/>
  <c r="CH259" i="141"/>
  <c r="CN259" i="141" s="1"/>
  <c r="DC264" i="141"/>
  <c r="DI264" i="141" s="1"/>
  <c r="DC261" i="141"/>
  <c r="DI261" i="141" s="1"/>
  <c r="DC260" i="141"/>
  <c r="DI260" i="141" s="1"/>
  <c r="DC267" i="141"/>
  <c r="DI267" i="141" s="1"/>
  <c r="DC259" i="141"/>
  <c r="DI259" i="141" s="1"/>
  <c r="DC263" i="141"/>
  <c r="DI263" i="141" s="1"/>
  <c r="DC262" i="141"/>
  <c r="DI262" i="141" s="1"/>
  <c r="CF267" i="141"/>
  <c r="CL267" i="141" s="1"/>
  <c r="CF262" i="141"/>
  <c r="CL262" i="141" s="1"/>
  <c r="CF261" i="141"/>
  <c r="CL261" i="141" s="1"/>
  <c r="CF260" i="141"/>
  <c r="CL260" i="141" s="1"/>
  <c r="CF264" i="141"/>
  <c r="CL264" i="141" s="1"/>
  <c r="CF263" i="141"/>
  <c r="CL263" i="141" s="1"/>
  <c r="CF259" i="141"/>
  <c r="CL259" i="141" s="1"/>
  <c r="DB263" i="141"/>
  <c r="DH263" i="141" s="1"/>
  <c r="DB262" i="141"/>
  <c r="DH262" i="141" s="1"/>
  <c r="DB264" i="141"/>
  <c r="DH264" i="141" s="1"/>
  <c r="DB261" i="141"/>
  <c r="DH261" i="141" s="1"/>
  <c r="DB260" i="141"/>
  <c r="DH260" i="141" s="1"/>
  <c r="DB267" i="141"/>
  <c r="DH267" i="141" s="1"/>
  <c r="DB259" i="141"/>
  <c r="DH259" i="141" s="1"/>
  <c r="AK238" i="141"/>
  <c r="AQ239" i="141" s="1"/>
  <c r="AQ294" i="141" s="1"/>
  <c r="AW294" i="141" s="1"/>
  <c r="AJ227" i="141"/>
  <c r="AJ238" i="141" s="1"/>
  <c r="AP239" i="141" s="1"/>
  <c r="AL227" i="141"/>
  <c r="AL238" i="141" s="1"/>
  <c r="AR239" i="141" s="1"/>
  <c r="DA236" i="141"/>
  <c r="DG236" i="141" s="1"/>
  <c r="DA233" i="141"/>
  <c r="DG233" i="141" s="1"/>
  <c r="DA228" i="141"/>
  <c r="DG228" i="141" s="1"/>
  <c r="DA229" i="141"/>
  <c r="DG229" i="141" s="1"/>
  <c r="DA231" i="141"/>
  <c r="DG231" i="141" s="1"/>
  <c r="DA230" i="141"/>
  <c r="DG230" i="141" s="1"/>
  <c r="DA232" i="141"/>
  <c r="DG232" i="141" s="1"/>
  <c r="DC229" i="141"/>
  <c r="DI229" i="141" s="1"/>
  <c r="DC232" i="141"/>
  <c r="DI232" i="141" s="1"/>
  <c r="DC233" i="141"/>
  <c r="DI233" i="141" s="1"/>
  <c r="DC236" i="141"/>
  <c r="DI236" i="141" s="1"/>
  <c r="DC230" i="141"/>
  <c r="DI230" i="141" s="1"/>
  <c r="DC231" i="141"/>
  <c r="DI231" i="141" s="1"/>
  <c r="DC228" i="141"/>
  <c r="DI228" i="141" s="1"/>
  <c r="DB230" i="141"/>
  <c r="DH230" i="141" s="1"/>
  <c r="DB236" i="141"/>
  <c r="DH236" i="141" s="1"/>
  <c r="DB232" i="141"/>
  <c r="DH232" i="141" s="1"/>
  <c r="DB233" i="141"/>
  <c r="DH233" i="141" s="1"/>
  <c r="DB228" i="141"/>
  <c r="DH228" i="141" s="1"/>
  <c r="DB229" i="141"/>
  <c r="DH229" i="141" s="1"/>
  <c r="DB231" i="141"/>
  <c r="DH231" i="141" s="1"/>
  <c r="AR43" i="111"/>
  <c r="AR21" i="111"/>
  <c r="AR32" i="111"/>
  <c r="AS15" i="111"/>
  <c r="AT15" i="111" s="1"/>
  <c r="AS12" i="111"/>
  <c r="AT12" i="111" s="1"/>
  <c r="AS20" i="111"/>
  <c r="AT20" i="111" s="1"/>
  <c r="AS14" i="111"/>
  <c r="AT14" i="111" s="1"/>
  <c r="AS17" i="111"/>
  <c r="AT17" i="111" s="1"/>
  <c r="AS13" i="111"/>
  <c r="AT13" i="111" s="1"/>
  <c r="AR54" i="111"/>
  <c r="AR77" i="111"/>
  <c r="CH236" i="141"/>
  <c r="CN236" i="141" s="1"/>
  <c r="CH229" i="141"/>
  <c r="CN229" i="141" s="1"/>
  <c r="CH232" i="141"/>
  <c r="CN232" i="141" s="1"/>
  <c r="CH228" i="141"/>
  <c r="CN228" i="141" s="1"/>
  <c r="CH233" i="141"/>
  <c r="CN233" i="141" s="1"/>
  <c r="CH230" i="141"/>
  <c r="CN230" i="141" s="1"/>
  <c r="CH231" i="141"/>
  <c r="CN231" i="141" s="1"/>
  <c r="CG236" i="141"/>
  <c r="CM236" i="141" s="1"/>
  <c r="CG229" i="141"/>
  <c r="CM229" i="141" s="1"/>
  <c r="CG233" i="141"/>
  <c r="CM233" i="141" s="1"/>
  <c r="CG228" i="141"/>
  <c r="CM228" i="141" s="1"/>
  <c r="CG232" i="141"/>
  <c r="CM232" i="141" s="1"/>
  <c r="CG231" i="141"/>
  <c r="CM231" i="141" s="1"/>
  <c r="CG230" i="141"/>
  <c r="CM230" i="141" s="1"/>
  <c r="CF230" i="141"/>
  <c r="CL230" i="141" s="1"/>
  <c r="CF232" i="141"/>
  <c r="CL232" i="141" s="1"/>
  <c r="CF233" i="141"/>
  <c r="CL233" i="141" s="1"/>
  <c r="CF231" i="141"/>
  <c r="CL231" i="141" s="1"/>
  <c r="CF236" i="141"/>
  <c r="CL236" i="141" s="1"/>
  <c r="CF228" i="141"/>
  <c r="CL228" i="141" s="1"/>
  <c r="CF229" i="141"/>
  <c r="CL229" i="141" s="1"/>
  <c r="AH43" i="111"/>
  <c r="AH32" i="111"/>
  <c r="AI16" i="111"/>
  <c r="AJ16" i="111" s="1"/>
  <c r="AI20" i="111"/>
  <c r="AJ20" i="111" s="1"/>
  <c r="AI17" i="111"/>
  <c r="AJ17" i="111" s="1"/>
  <c r="AI12" i="111"/>
  <c r="AJ12" i="111" s="1"/>
  <c r="AI14" i="111"/>
  <c r="AJ14" i="111" s="1"/>
  <c r="AI15" i="111"/>
  <c r="AJ15" i="111" s="1"/>
  <c r="AH77" i="111"/>
  <c r="AH54" i="111"/>
  <c r="AH21" i="111"/>
  <c r="BF227" i="141"/>
  <c r="BF238" i="141" s="1"/>
  <c r="BL239" i="141" s="1"/>
  <c r="BG227" i="141"/>
  <c r="BG238" i="141" s="1"/>
  <c r="BM239" i="141" s="1"/>
  <c r="X10" i="111"/>
  <c r="BE227" i="141"/>
  <c r="BE238" i="141" s="1"/>
  <c r="BK239" i="141" s="1"/>
  <c r="N10" i="111"/>
  <c r="BB37" i="111"/>
  <c r="X81" i="111"/>
  <c r="X25" i="111"/>
  <c r="X58" i="111"/>
  <c r="X92" i="111"/>
  <c r="X88" i="111" s="1"/>
  <c r="X47" i="111"/>
  <c r="X69" i="111"/>
  <c r="X65" i="111" s="1"/>
  <c r="X36" i="111"/>
  <c r="BB48" i="111"/>
  <c r="BB26" i="111"/>
  <c r="BB82" i="111"/>
  <c r="N58" i="111"/>
  <c r="N69" i="111"/>
  <c r="N65" i="111" s="1"/>
  <c r="N92" i="111"/>
  <c r="N88" i="111" s="1"/>
  <c r="N36" i="111"/>
  <c r="N81" i="111"/>
  <c r="N25" i="111"/>
  <c r="N47" i="111"/>
  <c r="BB14" i="111"/>
  <c r="BB59" i="111"/>
  <c r="BB60" i="111"/>
  <c r="BB71" i="111"/>
  <c r="BB27" i="111"/>
  <c r="BB38" i="111"/>
  <c r="AU10" i="111"/>
  <c r="AW10" i="111" s="1"/>
  <c r="BB49" i="111"/>
  <c r="BB94" i="111"/>
  <c r="BB83" i="111"/>
  <c r="BB24" i="111"/>
  <c r="BB91" i="111"/>
  <c r="BB57" i="111"/>
  <c r="BB35" i="111"/>
  <c r="BB46" i="111"/>
  <c r="BB80" i="111"/>
  <c r="BB68" i="111"/>
  <c r="AK10" i="111"/>
  <c r="AM10" i="111" s="1"/>
  <c r="AX16" i="111" l="1"/>
  <c r="AN13" i="111"/>
  <c r="AQ228" i="141"/>
  <c r="AW228" i="141" s="1"/>
  <c r="AQ236" i="141"/>
  <c r="AW236" i="141" s="1"/>
  <c r="AI63" i="111"/>
  <c r="AJ63" i="111" s="1"/>
  <c r="AI62" i="111"/>
  <c r="AJ62" i="111" s="1"/>
  <c r="O14" i="111"/>
  <c r="P14" i="111" s="1"/>
  <c r="Q14" i="111" s="1"/>
  <c r="S14" i="111" s="1"/>
  <c r="O19" i="111"/>
  <c r="P19" i="111" s="1"/>
  <c r="O18" i="111"/>
  <c r="P18" i="111" s="1"/>
  <c r="Q18" i="111" s="1"/>
  <c r="AI80" i="111"/>
  <c r="AJ80" i="111" s="1"/>
  <c r="AK80" i="111" s="1"/>
  <c r="AM80" i="111" s="1"/>
  <c r="AI85" i="111"/>
  <c r="AJ85" i="111" s="1"/>
  <c r="AI86" i="111"/>
  <c r="AJ86" i="111" s="1"/>
  <c r="AS83" i="111"/>
  <c r="AT83" i="111" s="1"/>
  <c r="AU83" i="111" s="1"/>
  <c r="AW83" i="111" s="1"/>
  <c r="AX83" i="111" s="1"/>
  <c r="AS85" i="111"/>
  <c r="AT85" i="111" s="1"/>
  <c r="AS86" i="111"/>
  <c r="AT86" i="111" s="1"/>
  <c r="AS49" i="111"/>
  <c r="AT49" i="111" s="1"/>
  <c r="AU49" i="111" s="1"/>
  <c r="AW49" i="111" s="1"/>
  <c r="AX49" i="111" s="1"/>
  <c r="AS51" i="111"/>
  <c r="AT51" i="111" s="1"/>
  <c r="AS52" i="111"/>
  <c r="AT52" i="111" s="1"/>
  <c r="Y19" i="111"/>
  <c r="Z19" i="111" s="1"/>
  <c r="Y18" i="111"/>
  <c r="Z18" i="111" s="1"/>
  <c r="AI41" i="111"/>
  <c r="AJ41" i="111" s="1"/>
  <c r="AI40" i="111"/>
  <c r="AJ40" i="111" s="1"/>
  <c r="AS60" i="111"/>
  <c r="AT60" i="111" s="1"/>
  <c r="AU60" i="111" s="1"/>
  <c r="AW60" i="111" s="1"/>
  <c r="AX60" i="111" s="1"/>
  <c r="AS62" i="111"/>
  <c r="AT62" i="111" s="1"/>
  <c r="AS63" i="111"/>
  <c r="AT63" i="111" s="1"/>
  <c r="AS27" i="111"/>
  <c r="AT27" i="111" s="1"/>
  <c r="AU27" i="111" s="1"/>
  <c r="AW27" i="111" s="1"/>
  <c r="AS29" i="111"/>
  <c r="AT29" i="111" s="1"/>
  <c r="AS30" i="111"/>
  <c r="AT30" i="111" s="1"/>
  <c r="AI24" i="111"/>
  <c r="AJ24" i="111" s="1"/>
  <c r="AK24" i="111" s="1"/>
  <c r="AM24" i="111" s="1"/>
  <c r="AI30" i="111"/>
  <c r="AJ30" i="111" s="1"/>
  <c r="AI29" i="111"/>
  <c r="AJ29" i="111" s="1"/>
  <c r="AI46" i="111"/>
  <c r="AJ46" i="111" s="1"/>
  <c r="AK46" i="111" s="1"/>
  <c r="AM46" i="111" s="1"/>
  <c r="AI51" i="111"/>
  <c r="AJ51" i="111" s="1"/>
  <c r="AI52" i="111"/>
  <c r="AJ52" i="111" s="1"/>
  <c r="AS38" i="111"/>
  <c r="AT38" i="111" s="1"/>
  <c r="AU38" i="111" s="1"/>
  <c r="AW38" i="111" s="1"/>
  <c r="AX38" i="111" s="1"/>
  <c r="AS40" i="111"/>
  <c r="AT40" i="111" s="1"/>
  <c r="AS41" i="111"/>
  <c r="AT41" i="111" s="1"/>
  <c r="BK293" i="141"/>
  <c r="BQ293" i="141" s="1"/>
  <c r="BK294" i="141"/>
  <c r="BQ294" i="141" s="1"/>
  <c r="AR293" i="141"/>
  <c r="AX293" i="141" s="1"/>
  <c r="AR294" i="141"/>
  <c r="AX294" i="141" s="1"/>
  <c r="BL293" i="141"/>
  <c r="BR293" i="141" s="1"/>
  <c r="BL294" i="141"/>
  <c r="BR294" i="141" s="1"/>
  <c r="AP293" i="141"/>
  <c r="AV293" i="141" s="1"/>
  <c r="AP294" i="141"/>
  <c r="AV294" i="141" s="1"/>
  <c r="BM293" i="141"/>
  <c r="BS293" i="141" s="1"/>
  <c r="BM294" i="141"/>
  <c r="BS294" i="141" s="1"/>
  <c r="AQ266" i="141"/>
  <c r="AW266" i="141" s="1"/>
  <c r="AQ293" i="141"/>
  <c r="AW293" i="141" s="1"/>
  <c r="BL265" i="141"/>
  <c r="BR265" i="141" s="1"/>
  <c r="BL266" i="141"/>
  <c r="BR266" i="141" s="1"/>
  <c r="BK265" i="141"/>
  <c r="BQ265" i="141" s="1"/>
  <c r="BK266" i="141"/>
  <c r="BQ266" i="141" s="1"/>
  <c r="AR265" i="141"/>
  <c r="AX265" i="141" s="1"/>
  <c r="AR266" i="141"/>
  <c r="AX266" i="141" s="1"/>
  <c r="AP265" i="141"/>
  <c r="AV265" i="141" s="1"/>
  <c r="AP266" i="141"/>
  <c r="AV266" i="141" s="1"/>
  <c r="BM265" i="141"/>
  <c r="BS265" i="141" s="1"/>
  <c r="BM266" i="141"/>
  <c r="BS266" i="141" s="1"/>
  <c r="AQ235" i="141"/>
  <c r="AW235" i="141" s="1"/>
  <c r="AQ265" i="141"/>
  <c r="AW265" i="141" s="1"/>
  <c r="BL234" i="141"/>
  <c r="BR234" i="141" s="1"/>
  <c r="BL235" i="141"/>
  <c r="BR235" i="141" s="1"/>
  <c r="BK234" i="141"/>
  <c r="BQ234" i="141" s="1"/>
  <c r="BK235" i="141"/>
  <c r="BQ235" i="141" s="1"/>
  <c r="AR234" i="141"/>
  <c r="AX234" i="141" s="1"/>
  <c r="AR235" i="141"/>
  <c r="AX235" i="141" s="1"/>
  <c r="AP234" i="141"/>
  <c r="AV234" i="141" s="1"/>
  <c r="AP235" i="141"/>
  <c r="AV235" i="141" s="1"/>
  <c r="BM234" i="141"/>
  <c r="BS234" i="141" s="1"/>
  <c r="BM235" i="141"/>
  <c r="BS235" i="141" s="1"/>
  <c r="AQ229" i="141"/>
  <c r="AW229" i="141" s="1"/>
  <c r="AQ234" i="141"/>
  <c r="AW234" i="141" s="1"/>
  <c r="AQ230" i="141"/>
  <c r="AW230" i="141" s="1"/>
  <c r="AQ232" i="141"/>
  <c r="AW232" i="141" s="1"/>
  <c r="AQ233" i="141"/>
  <c r="AW233" i="141" s="1"/>
  <c r="AQ231" i="141"/>
  <c r="AW231" i="141" s="1"/>
  <c r="DH286" i="141"/>
  <c r="DH299" i="141" s="1"/>
  <c r="DH300" i="141" s="1"/>
  <c r="DI286" i="141"/>
  <c r="DI299" i="141" s="1"/>
  <c r="DI300" i="141" s="1"/>
  <c r="BL289" i="141"/>
  <c r="BR289" i="141" s="1"/>
  <c r="BL295" i="141"/>
  <c r="BR295" i="141" s="1"/>
  <c r="BL291" i="141"/>
  <c r="BR291" i="141" s="1"/>
  <c r="BL290" i="141"/>
  <c r="BR290" i="141" s="1"/>
  <c r="BL288" i="141"/>
  <c r="BR288" i="141" s="1"/>
  <c r="BL292" i="141"/>
  <c r="BR292" i="141" s="1"/>
  <c r="BL287" i="141"/>
  <c r="BR287" i="141" s="1"/>
  <c r="BK292" i="141"/>
  <c r="BQ292" i="141" s="1"/>
  <c r="BK289" i="141"/>
  <c r="BQ289" i="141" s="1"/>
  <c r="BK295" i="141"/>
  <c r="BQ295" i="141" s="1"/>
  <c r="BK290" i="141"/>
  <c r="BQ290" i="141" s="1"/>
  <c r="BK288" i="141"/>
  <c r="BQ288" i="141" s="1"/>
  <c r="BK287" i="141"/>
  <c r="BQ287" i="141" s="1"/>
  <c r="BK291" i="141"/>
  <c r="BQ291" i="141" s="1"/>
  <c r="AR290" i="141"/>
  <c r="AX290" i="141" s="1"/>
  <c r="AR295" i="141"/>
  <c r="AX295" i="141" s="1"/>
  <c r="AR289" i="141"/>
  <c r="AX289" i="141" s="1"/>
  <c r="AR287" i="141"/>
  <c r="AX287" i="141" s="1"/>
  <c r="AR292" i="141"/>
  <c r="AX292" i="141" s="1"/>
  <c r="AR291" i="141"/>
  <c r="AX291" i="141" s="1"/>
  <c r="AR288" i="141"/>
  <c r="AX288" i="141" s="1"/>
  <c r="CL286" i="141"/>
  <c r="CL299" i="141" s="1"/>
  <c r="CL300" i="141" s="1"/>
  <c r="CN286" i="141"/>
  <c r="CN299" i="141" s="1"/>
  <c r="CN300" i="141" s="1"/>
  <c r="AP292" i="141"/>
  <c r="AV292" i="141" s="1"/>
  <c r="AP291" i="141"/>
  <c r="AV291" i="141" s="1"/>
  <c r="AP290" i="141"/>
  <c r="AV290" i="141" s="1"/>
  <c r="AP295" i="141"/>
  <c r="AV295" i="141" s="1"/>
  <c r="AP288" i="141"/>
  <c r="AV288" i="141" s="1"/>
  <c r="AP289" i="141"/>
  <c r="AV289" i="141" s="1"/>
  <c r="AP287" i="141"/>
  <c r="AV287" i="141" s="1"/>
  <c r="DG286" i="141"/>
  <c r="DG299" i="141" s="1"/>
  <c r="DG300" i="141" s="1"/>
  <c r="BM295" i="141"/>
  <c r="BS295" i="141" s="1"/>
  <c r="BM291" i="141"/>
  <c r="BS291" i="141" s="1"/>
  <c r="BM290" i="141"/>
  <c r="BS290" i="141" s="1"/>
  <c r="BM292" i="141"/>
  <c r="BS292" i="141" s="1"/>
  <c r="BM288" i="141"/>
  <c r="BS288" i="141" s="1"/>
  <c r="BM289" i="141"/>
  <c r="BS289" i="141" s="1"/>
  <c r="BM287" i="141"/>
  <c r="BS287" i="141" s="1"/>
  <c r="AQ292" i="141"/>
  <c r="AW292" i="141" s="1"/>
  <c r="AQ291" i="141"/>
  <c r="AW291" i="141" s="1"/>
  <c r="AQ290" i="141"/>
  <c r="AW290" i="141" s="1"/>
  <c r="AQ295" i="141"/>
  <c r="AW295" i="141" s="1"/>
  <c r="AQ289" i="141"/>
  <c r="AW289" i="141" s="1"/>
  <c r="AQ287" i="141"/>
  <c r="AW287" i="141" s="1"/>
  <c r="AQ288" i="141"/>
  <c r="AW288" i="141" s="1"/>
  <c r="CM286" i="141"/>
  <c r="CM299" i="141" s="1"/>
  <c r="CM300" i="141" s="1"/>
  <c r="BM263" i="141"/>
  <c r="BS263" i="141" s="1"/>
  <c r="BM259" i="141"/>
  <c r="BS259" i="141" s="1"/>
  <c r="BM267" i="141"/>
  <c r="BS267" i="141" s="1"/>
  <c r="BM264" i="141"/>
  <c r="BS264" i="141" s="1"/>
  <c r="BM262" i="141"/>
  <c r="BS262" i="141" s="1"/>
  <c r="BM261" i="141"/>
  <c r="BS261" i="141" s="1"/>
  <c r="BM260" i="141"/>
  <c r="BS260" i="141" s="1"/>
  <c r="AQ264" i="141"/>
  <c r="AW264" i="141" s="1"/>
  <c r="AQ262" i="141"/>
  <c r="AW262" i="141" s="1"/>
  <c r="AQ261" i="141"/>
  <c r="AW261" i="141" s="1"/>
  <c r="AQ263" i="141"/>
  <c r="AW263" i="141" s="1"/>
  <c r="AQ267" i="141"/>
  <c r="AW267" i="141" s="1"/>
  <c r="AQ260" i="141"/>
  <c r="AW260" i="141" s="1"/>
  <c r="AQ259" i="141"/>
  <c r="AW259" i="141" s="1"/>
  <c r="CN258" i="141"/>
  <c r="CN271" i="141" s="1"/>
  <c r="CN272" i="141" s="1"/>
  <c r="DG258" i="141"/>
  <c r="DG271" i="141" s="1"/>
  <c r="DG272" i="141" s="1"/>
  <c r="BL263" i="141"/>
  <c r="BR263" i="141" s="1"/>
  <c r="BL259" i="141"/>
  <c r="BR259" i="141" s="1"/>
  <c r="BL267" i="141"/>
  <c r="BR267" i="141" s="1"/>
  <c r="BL264" i="141"/>
  <c r="BR264" i="141" s="1"/>
  <c r="BL262" i="141"/>
  <c r="BR262" i="141" s="1"/>
  <c r="BL261" i="141"/>
  <c r="BR261" i="141" s="1"/>
  <c r="BL260" i="141"/>
  <c r="BR260" i="141" s="1"/>
  <c r="DH258" i="141"/>
  <c r="DH271" i="141" s="1"/>
  <c r="DH272" i="141" s="1"/>
  <c r="AP267" i="141"/>
  <c r="AV267" i="141" s="1"/>
  <c r="AP260" i="141"/>
  <c r="AV260" i="141" s="1"/>
  <c r="AP264" i="141"/>
  <c r="AV264" i="141" s="1"/>
  <c r="AP262" i="141"/>
  <c r="AV262" i="141" s="1"/>
  <c r="AP261" i="141"/>
  <c r="AV261" i="141" s="1"/>
  <c r="AP263" i="141"/>
  <c r="AV263" i="141" s="1"/>
  <c r="AP259" i="141"/>
  <c r="AV259" i="141" s="1"/>
  <c r="BK267" i="141"/>
  <c r="BQ267" i="141" s="1"/>
  <c r="BK264" i="141"/>
  <c r="BQ264" i="141" s="1"/>
  <c r="BK262" i="141"/>
  <c r="BQ262" i="141" s="1"/>
  <c r="BK261" i="141"/>
  <c r="BQ261" i="141" s="1"/>
  <c r="BK260" i="141"/>
  <c r="BQ260" i="141" s="1"/>
  <c r="BK263" i="141"/>
  <c r="BQ263" i="141" s="1"/>
  <c r="BK259" i="141"/>
  <c r="BQ259" i="141" s="1"/>
  <c r="AR263" i="141"/>
  <c r="AX263" i="141" s="1"/>
  <c r="AR259" i="141"/>
  <c r="AX259" i="141" s="1"/>
  <c r="AR267" i="141"/>
  <c r="AX267" i="141" s="1"/>
  <c r="AR260" i="141"/>
  <c r="AX260" i="141" s="1"/>
  <c r="AR264" i="141"/>
  <c r="AX264" i="141" s="1"/>
  <c r="AR262" i="141"/>
  <c r="AX262" i="141" s="1"/>
  <c r="AR261" i="141"/>
  <c r="AX261" i="141" s="1"/>
  <c r="CL258" i="141"/>
  <c r="CL271" i="141" s="1"/>
  <c r="CL272" i="141" s="1"/>
  <c r="DI258" i="141"/>
  <c r="DI271" i="141" s="1"/>
  <c r="DI272" i="141" s="1"/>
  <c r="CM258" i="141"/>
  <c r="CM271" i="141" s="1"/>
  <c r="CM272" i="141" s="1"/>
  <c r="DG227" i="141"/>
  <c r="DG240" i="141" s="1"/>
  <c r="DG241" i="141" s="1"/>
  <c r="DI227" i="141"/>
  <c r="DI240" i="141" s="1"/>
  <c r="DI241" i="141" s="1"/>
  <c r="CN227" i="141"/>
  <c r="CN240" i="141" s="1"/>
  <c r="CN241" i="141" s="1"/>
  <c r="AR236" i="141"/>
  <c r="AX236" i="141" s="1"/>
  <c r="AR233" i="141"/>
  <c r="AX233" i="141" s="1"/>
  <c r="AR229" i="141"/>
  <c r="AX229" i="141" s="1"/>
  <c r="AR230" i="141"/>
  <c r="AX230" i="141" s="1"/>
  <c r="AR231" i="141"/>
  <c r="AX231" i="141" s="1"/>
  <c r="AR228" i="141"/>
  <c r="AX228" i="141" s="1"/>
  <c r="AR232" i="141"/>
  <c r="AX232" i="141" s="1"/>
  <c r="AP233" i="141"/>
  <c r="AV233" i="141" s="1"/>
  <c r="AP232" i="141"/>
  <c r="AV232" i="141" s="1"/>
  <c r="AP230" i="141"/>
  <c r="AV230" i="141" s="1"/>
  <c r="AP231" i="141"/>
  <c r="AV231" i="141" s="1"/>
  <c r="AP228" i="141"/>
  <c r="AV228" i="141" s="1"/>
  <c r="AP229" i="141"/>
  <c r="AV229" i="141" s="1"/>
  <c r="AP236" i="141"/>
  <c r="AV236" i="141" s="1"/>
  <c r="CL227" i="141"/>
  <c r="CL240" i="141" s="1"/>
  <c r="CL241" i="141" s="1"/>
  <c r="CM227" i="141"/>
  <c r="CM240" i="141" s="1"/>
  <c r="CM241" i="141" s="1"/>
  <c r="AS59" i="111"/>
  <c r="AT59" i="111" s="1"/>
  <c r="AS58" i="111"/>
  <c r="AT58" i="111" s="1"/>
  <c r="AS56" i="111"/>
  <c r="AT56" i="111" s="1"/>
  <c r="AS57" i="111"/>
  <c r="AT57" i="111" s="1"/>
  <c r="AS61" i="111"/>
  <c r="AT61" i="111" s="1"/>
  <c r="AS64" i="111"/>
  <c r="AT64" i="111" s="1"/>
  <c r="AS26" i="111"/>
  <c r="AT26" i="111" s="1"/>
  <c r="AS28" i="111"/>
  <c r="AT28" i="111" s="1"/>
  <c r="AS24" i="111"/>
  <c r="AT24" i="111" s="1"/>
  <c r="AS23" i="111"/>
  <c r="AT23" i="111" s="1"/>
  <c r="AS31" i="111"/>
  <c r="AT31" i="111" s="1"/>
  <c r="AS25" i="111"/>
  <c r="AT25" i="111" s="1"/>
  <c r="DH227" i="141"/>
  <c r="DH240" i="141" s="1"/>
  <c r="DH241" i="141" s="1"/>
  <c r="AS81" i="111"/>
  <c r="AT81" i="111" s="1"/>
  <c r="AS84" i="111"/>
  <c r="AT84" i="111" s="1"/>
  <c r="AS82" i="111"/>
  <c r="AT82" i="111" s="1"/>
  <c r="AS80" i="111"/>
  <c r="AT80" i="111" s="1"/>
  <c r="AS87" i="111"/>
  <c r="AT87" i="111" s="1"/>
  <c r="AS79" i="111"/>
  <c r="AT79" i="111" s="1"/>
  <c r="AS37" i="111"/>
  <c r="AT37" i="111" s="1"/>
  <c r="AS36" i="111"/>
  <c r="AT36" i="111" s="1"/>
  <c r="AS35" i="111"/>
  <c r="AT35" i="111" s="1"/>
  <c r="AS39" i="111"/>
  <c r="AT39" i="111" s="1"/>
  <c r="AS34" i="111"/>
  <c r="AT34" i="111" s="1"/>
  <c r="AS42" i="111"/>
  <c r="AT42" i="111" s="1"/>
  <c r="AS47" i="111"/>
  <c r="AT47" i="111" s="1"/>
  <c r="AS48" i="111"/>
  <c r="AT48" i="111" s="1"/>
  <c r="AS53" i="111"/>
  <c r="AT53" i="111" s="1"/>
  <c r="AS45" i="111"/>
  <c r="AT45" i="111" s="1"/>
  <c r="AS50" i="111"/>
  <c r="AT50" i="111" s="1"/>
  <c r="AS46" i="111"/>
  <c r="AT46" i="111" s="1"/>
  <c r="AI59" i="111"/>
  <c r="AJ59" i="111" s="1"/>
  <c r="AI58" i="111"/>
  <c r="AJ58" i="111" s="1"/>
  <c r="AI60" i="111"/>
  <c r="AJ60" i="111" s="1"/>
  <c r="AI56" i="111"/>
  <c r="AJ56" i="111" s="1"/>
  <c r="AI64" i="111"/>
  <c r="AJ64" i="111" s="1"/>
  <c r="AI61" i="111"/>
  <c r="AJ61" i="111" s="1"/>
  <c r="AI25" i="111"/>
  <c r="AJ25" i="111" s="1"/>
  <c r="AI26" i="111"/>
  <c r="AJ26" i="111" s="1"/>
  <c r="AI27" i="111"/>
  <c r="AJ27" i="111" s="1"/>
  <c r="AI28" i="111"/>
  <c r="AJ28" i="111" s="1"/>
  <c r="AI31" i="111"/>
  <c r="AJ31" i="111" s="1"/>
  <c r="AI23" i="111"/>
  <c r="AJ23" i="111" s="1"/>
  <c r="AI81" i="111"/>
  <c r="AJ81" i="111" s="1"/>
  <c r="AI82" i="111"/>
  <c r="AJ82" i="111" s="1"/>
  <c r="AI84" i="111"/>
  <c r="AJ84" i="111" s="1"/>
  <c r="AI83" i="111"/>
  <c r="AJ83" i="111" s="1"/>
  <c r="AI87" i="111"/>
  <c r="AJ87" i="111" s="1"/>
  <c r="AI79" i="111"/>
  <c r="AJ79" i="111" s="1"/>
  <c r="AI48" i="111"/>
  <c r="AJ48" i="111" s="1"/>
  <c r="AI53" i="111"/>
  <c r="AJ53" i="111" s="1"/>
  <c r="AI45" i="111"/>
  <c r="AJ45" i="111" s="1"/>
  <c r="AI49" i="111"/>
  <c r="AJ49" i="111" s="1"/>
  <c r="AI47" i="111"/>
  <c r="AJ47" i="111" s="1"/>
  <c r="AI50" i="111"/>
  <c r="AJ50" i="111" s="1"/>
  <c r="AI39" i="111"/>
  <c r="AJ39" i="111" s="1"/>
  <c r="AI34" i="111"/>
  <c r="AJ34" i="111" s="1"/>
  <c r="AI37" i="111"/>
  <c r="AJ37" i="111" s="1"/>
  <c r="AI42" i="111"/>
  <c r="AJ42" i="111" s="1"/>
  <c r="AI36" i="111"/>
  <c r="AJ36" i="111" s="1"/>
  <c r="AI38" i="111"/>
  <c r="AJ38" i="111" s="1"/>
  <c r="AI57" i="111"/>
  <c r="AJ57" i="111" s="1"/>
  <c r="AK57" i="111" s="1"/>
  <c r="AM57" i="111" s="1"/>
  <c r="AN57" i="111" s="1"/>
  <c r="AI35" i="111"/>
  <c r="AJ35" i="111" s="1"/>
  <c r="AK35" i="111" s="1"/>
  <c r="AM35" i="111" s="1"/>
  <c r="AN35" i="111" s="1"/>
  <c r="BM233" i="141"/>
  <c r="BS233" i="141" s="1"/>
  <c r="BM232" i="141"/>
  <c r="BS232" i="141" s="1"/>
  <c r="BM236" i="141"/>
  <c r="BS236" i="141" s="1"/>
  <c r="BM228" i="141"/>
  <c r="BS228" i="141" s="1"/>
  <c r="BM229" i="141"/>
  <c r="BS229" i="141" s="1"/>
  <c r="BM231" i="141"/>
  <c r="BS231" i="141" s="1"/>
  <c r="BM230" i="141"/>
  <c r="BS230" i="141" s="1"/>
  <c r="BK236" i="141"/>
  <c r="BQ236" i="141" s="1"/>
  <c r="BK230" i="141"/>
  <c r="BQ230" i="141" s="1"/>
  <c r="BK233" i="141"/>
  <c r="BQ233" i="141" s="1"/>
  <c r="BK229" i="141"/>
  <c r="BQ229" i="141" s="1"/>
  <c r="BK228" i="141"/>
  <c r="BQ228" i="141" s="1"/>
  <c r="BK232" i="141"/>
  <c r="BQ232" i="141" s="1"/>
  <c r="BK231" i="141"/>
  <c r="BQ231" i="141" s="1"/>
  <c r="BL236" i="141"/>
  <c r="BR236" i="141" s="1"/>
  <c r="BL228" i="141"/>
  <c r="BR228" i="141" s="1"/>
  <c r="BL229" i="141"/>
  <c r="BR229" i="141" s="1"/>
  <c r="BL230" i="141"/>
  <c r="BR230" i="141" s="1"/>
  <c r="BL233" i="141"/>
  <c r="BR233" i="141" s="1"/>
  <c r="BL231" i="141"/>
  <c r="BR231" i="141" s="1"/>
  <c r="BL232" i="141"/>
  <c r="BR232" i="141" s="1"/>
  <c r="X32" i="111"/>
  <c r="X54" i="111"/>
  <c r="Y20" i="111"/>
  <c r="Z20" i="111" s="1"/>
  <c r="AA20" i="111" s="1"/>
  <c r="AC20" i="111" s="1"/>
  <c r="Y16" i="111"/>
  <c r="Z16" i="111" s="1"/>
  <c r="Y12" i="111"/>
  <c r="Z12" i="111" s="1"/>
  <c r="AA12" i="111" s="1"/>
  <c r="AC12" i="111" s="1"/>
  <c r="Y17" i="111"/>
  <c r="Z17" i="111" s="1"/>
  <c r="AA17" i="111" s="1"/>
  <c r="AC17" i="111" s="1"/>
  <c r="Y13" i="111"/>
  <c r="Z13" i="111" s="1"/>
  <c r="AA13" i="111" s="1"/>
  <c r="AC13" i="111" s="1"/>
  <c r="Y15" i="111"/>
  <c r="Z15" i="111" s="1"/>
  <c r="AA15" i="111" s="1"/>
  <c r="AC15" i="111" s="1"/>
  <c r="X21" i="111"/>
  <c r="Y14" i="111"/>
  <c r="Z14" i="111" s="1"/>
  <c r="X43" i="111"/>
  <c r="X77" i="111"/>
  <c r="N77" i="111"/>
  <c r="N54" i="111"/>
  <c r="N32" i="111"/>
  <c r="N43" i="111"/>
  <c r="N21" i="111"/>
  <c r="O13" i="111"/>
  <c r="P13" i="111" s="1"/>
  <c r="O20" i="111"/>
  <c r="P20" i="111" s="1"/>
  <c r="O16" i="111"/>
  <c r="P16" i="111" s="1"/>
  <c r="Q16" i="111" s="1"/>
  <c r="S16" i="111" s="1"/>
  <c r="O15" i="111"/>
  <c r="P15" i="111" s="1"/>
  <c r="Q15" i="111" s="1"/>
  <c r="S15" i="111" s="1"/>
  <c r="O17" i="111"/>
  <c r="P17" i="111" s="1"/>
  <c r="Q17" i="111" s="1"/>
  <c r="S17" i="111" s="1"/>
  <c r="O12" i="111"/>
  <c r="P12" i="111" s="1"/>
  <c r="Q10" i="111"/>
  <c r="S10" i="111" s="1"/>
  <c r="BB69" i="111"/>
  <c r="BB25" i="111"/>
  <c r="BB92" i="111"/>
  <c r="AA10" i="111"/>
  <c r="AC10" i="111" s="1"/>
  <c r="BB47" i="111"/>
  <c r="BB36" i="111"/>
  <c r="BB81" i="111"/>
  <c r="BB58" i="111"/>
  <c r="AU32" i="111"/>
  <c r="AW32" i="111" s="1"/>
  <c r="AX32" i="111" s="1"/>
  <c r="AU54" i="111"/>
  <c r="AW54" i="111" s="1"/>
  <c r="AX54" i="111" s="1"/>
  <c r="AU77" i="111"/>
  <c r="AW77" i="111" s="1"/>
  <c r="AX77" i="111" s="1"/>
  <c r="AU43" i="111"/>
  <c r="AW43" i="111" s="1"/>
  <c r="AX43" i="111" s="1"/>
  <c r="AU21" i="111"/>
  <c r="AW21" i="111" s="1"/>
  <c r="AX21" i="111" s="1"/>
  <c r="AX10" i="111"/>
  <c r="AK77" i="111"/>
  <c r="AM77" i="111" s="1"/>
  <c r="AK21" i="111"/>
  <c r="AM21" i="111" s="1"/>
  <c r="AK43" i="111"/>
  <c r="AM43" i="111" s="1"/>
  <c r="AK32" i="111"/>
  <c r="AM32" i="111" s="1"/>
  <c r="AN10" i="111"/>
  <c r="AK54" i="111"/>
  <c r="AM54" i="111" s="1"/>
  <c r="T14" i="111" l="1"/>
  <c r="W14" i="111"/>
  <c r="O41" i="111"/>
  <c r="P41" i="111" s="1"/>
  <c r="O40" i="111"/>
  <c r="P40" i="111" s="1"/>
  <c r="Q40" i="111" s="1"/>
  <c r="AA43" i="111"/>
  <c r="AC43" i="111" s="1"/>
  <c r="AD43" i="111" s="1"/>
  <c r="AF43" i="111" s="1"/>
  <c r="Y51" i="111"/>
  <c r="Z51" i="111" s="1"/>
  <c r="Y52" i="111"/>
  <c r="Z52" i="111" s="1"/>
  <c r="O63" i="111"/>
  <c r="P63" i="111" s="1"/>
  <c r="O62" i="111"/>
  <c r="P62" i="111" s="1"/>
  <c r="Q62" i="111" s="1"/>
  <c r="O86" i="111"/>
  <c r="P86" i="111" s="1"/>
  <c r="O85" i="111"/>
  <c r="P85" i="111" s="1"/>
  <c r="Q85" i="111" s="1"/>
  <c r="AA21" i="111"/>
  <c r="AC21" i="111" s="1"/>
  <c r="AD21" i="111" s="1"/>
  <c r="AF21" i="111" s="1"/>
  <c r="Y29" i="111"/>
  <c r="Z29" i="111" s="1"/>
  <c r="Y30" i="111"/>
  <c r="Z30" i="111" s="1"/>
  <c r="O30" i="111"/>
  <c r="P30" i="111" s="1"/>
  <c r="O29" i="111"/>
  <c r="P29" i="111" s="1"/>
  <c r="Q29" i="111" s="1"/>
  <c r="AA32" i="111"/>
  <c r="AC32" i="111" s="1"/>
  <c r="AD32" i="111" s="1"/>
  <c r="AF32" i="111" s="1"/>
  <c r="Y41" i="111"/>
  <c r="Z41" i="111" s="1"/>
  <c r="Y40" i="111"/>
  <c r="Z40" i="111" s="1"/>
  <c r="O52" i="111"/>
  <c r="P52" i="111" s="1"/>
  <c r="O51" i="111"/>
  <c r="P51" i="111" s="1"/>
  <c r="Q51" i="111" s="1"/>
  <c r="Y81" i="111"/>
  <c r="Z81" i="111" s="1"/>
  <c r="AA81" i="111" s="1"/>
  <c r="AC81" i="111" s="1"/>
  <c r="AD81" i="111" s="1"/>
  <c r="Y85" i="111"/>
  <c r="Z85" i="111" s="1"/>
  <c r="Y86" i="111"/>
  <c r="Z86" i="111" s="1"/>
  <c r="Y58" i="111"/>
  <c r="Z58" i="111" s="1"/>
  <c r="AA58" i="111" s="1"/>
  <c r="AC58" i="111" s="1"/>
  <c r="AD58" i="111" s="1"/>
  <c r="Y63" i="111"/>
  <c r="Z63" i="111" s="1"/>
  <c r="Y62" i="111"/>
  <c r="Z62" i="111" s="1"/>
  <c r="AA14" i="111"/>
  <c r="AC14" i="111" s="1"/>
  <c r="AG14" i="111" s="1"/>
  <c r="S18" i="111"/>
  <c r="AW227" i="141"/>
  <c r="AW240" i="141" s="1"/>
  <c r="AW241" i="141" s="1"/>
  <c r="AW258" i="141"/>
  <c r="AW271" i="141" s="1"/>
  <c r="AW272" i="141" s="1"/>
  <c r="AW286" i="141"/>
  <c r="AW299" i="141" s="1"/>
  <c r="AW300" i="141" s="1"/>
  <c r="AX258" i="141"/>
  <c r="AX271" i="141" s="1"/>
  <c r="AX272" i="141" s="1"/>
  <c r="AV286" i="141"/>
  <c r="AV299" i="141" s="1"/>
  <c r="AV300" i="141" s="1"/>
  <c r="AX286" i="141"/>
  <c r="AX299" i="141" s="1"/>
  <c r="AX300" i="141" s="1"/>
  <c r="AV258" i="141"/>
  <c r="AV271" i="141" s="1"/>
  <c r="AV272" i="141" s="1"/>
  <c r="BS286" i="141"/>
  <c r="BS299" i="141" s="1"/>
  <c r="BS300" i="141" s="1"/>
  <c r="BQ286" i="141"/>
  <c r="BQ299" i="141" s="1"/>
  <c r="BQ300" i="141" s="1"/>
  <c r="BR286" i="141"/>
  <c r="BR299" i="141" s="1"/>
  <c r="BR300" i="141" s="1"/>
  <c r="BQ258" i="141"/>
  <c r="BQ271" i="141" s="1"/>
  <c r="BQ272" i="141" s="1"/>
  <c r="BR258" i="141"/>
  <c r="BR271" i="141" s="1"/>
  <c r="BR272" i="141" s="1"/>
  <c r="BS258" i="141"/>
  <c r="BS271" i="141" s="1"/>
  <c r="BS272" i="141" s="1"/>
  <c r="AV227" i="141"/>
  <c r="AV240" i="141" s="1"/>
  <c r="AV241" i="141" s="1"/>
  <c r="AX227" i="141"/>
  <c r="AX240" i="141" s="1"/>
  <c r="AX241" i="141" s="1"/>
  <c r="AA54" i="111"/>
  <c r="AC54" i="111" s="1"/>
  <c r="AD54" i="111" s="1"/>
  <c r="AF54" i="111" s="1"/>
  <c r="BS227" i="141"/>
  <c r="BS240" i="141" s="1"/>
  <c r="BS241" i="141" s="1"/>
  <c r="AD20" i="111"/>
  <c r="AG20" i="111"/>
  <c r="Y31" i="111"/>
  <c r="Z31" i="111" s="1"/>
  <c r="AA31" i="111" s="1"/>
  <c r="AC31" i="111" s="1"/>
  <c r="Y27" i="111"/>
  <c r="Z27" i="111" s="1"/>
  <c r="Y23" i="111"/>
  <c r="Z23" i="111" s="1"/>
  <c r="AA23" i="111" s="1"/>
  <c r="AC23" i="111" s="1"/>
  <c r="AD23" i="111" s="1"/>
  <c r="Y28" i="111"/>
  <c r="Z28" i="111" s="1"/>
  <c r="AA28" i="111" s="1"/>
  <c r="AC28" i="111" s="1"/>
  <c r="AD28" i="111" s="1"/>
  <c r="Y24" i="111"/>
  <c r="Z24" i="111" s="1"/>
  <c r="AA24" i="111" s="1"/>
  <c r="AC24" i="111" s="1"/>
  <c r="AD24" i="111" s="1"/>
  <c r="Y26" i="111"/>
  <c r="Z26" i="111" s="1"/>
  <c r="AA26" i="111" s="1"/>
  <c r="AC26" i="111" s="1"/>
  <c r="AD26" i="111" s="1"/>
  <c r="AG13" i="111"/>
  <c r="AD13" i="111"/>
  <c r="Y53" i="111"/>
  <c r="Z53" i="111" s="1"/>
  <c r="AA53" i="111" s="1"/>
  <c r="AC53" i="111" s="1"/>
  <c r="Y49" i="111"/>
  <c r="Z49" i="111" s="1"/>
  <c r="Y45" i="111"/>
  <c r="Z45" i="111" s="1"/>
  <c r="AA45" i="111" s="1"/>
  <c r="AC45" i="111" s="1"/>
  <c r="AD45" i="111" s="1"/>
  <c r="Y46" i="111"/>
  <c r="Z46" i="111" s="1"/>
  <c r="AA46" i="111" s="1"/>
  <c r="AC46" i="111" s="1"/>
  <c r="AD46" i="111" s="1"/>
  <c r="Y50" i="111"/>
  <c r="Z50" i="111" s="1"/>
  <c r="AA50" i="111" s="1"/>
  <c r="AC50" i="111" s="1"/>
  <c r="AD50" i="111" s="1"/>
  <c r="Y48" i="111"/>
  <c r="Z48" i="111" s="1"/>
  <c r="AA48" i="111" s="1"/>
  <c r="AC48" i="111" s="1"/>
  <c r="AD48" i="111" s="1"/>
  <c r="Y25" i="111"/>
  <c r="Z25" i="111" s="1"/>
  <c r="AG17" i="111"/>
  <c r="AD17" i="111"/>
  <c r="BR227" i="141"/>
  <c r="BR240" i="141" s="1"/>
  <c r="BR241" i="141" s="1"/>
  <c r="Y47" i="111"/>
  <c r="Z47" i="111" s="1"/>
  <c r="AD12" i="111"/>
  <c r="AG12" i="111"/>
  <c r="Y42" i="111"/>
  <c r="Z42" i="111" s="1"/>
  <c r="AA42" i="111" s="1"/>
  <c r="AC42" i="111" s="1"/>
  <c r="AD42" i="111" s="1"/>
  <c r="Y38" i="111"/>
  <c r="Z38" i="111" s="1"/>
  <c r="Y34" i="111"/>
  <c r="Z34" i="111" s="1"/>
  <c r="AA34" i="111" s="1"/>
  <c r="AC34" i="111" s="1"/>
  <c r="AD34" i="111" s="1"/>
  <c r="Y35" i="111"/>
  <c r="Z35" i="111" s="1"/>
  <c r="AA35" i="111" s="1"/>
  <c r="AC35" i="111" s="1"/>
  <c r="AD35" i="111" s="1"/>
  <c r="Y39" i="111"/>
  <c r="Z39" i="111" s="1"/>
  <c r="AA39" i="111" s="1"/>
  <c r="AC39" i="111" s="1"/>
  <c r="AD39" i="111" s="1"/>
  <c r="Y37" i="111"/>
  <c r="Z37" i="111" s="1"/>
  <c r="AA37" i="111" s="1"/>
  <c r="AC37" i="111" s="1"/>
  <c r="AD37" i="111" s="1"/>
  <c r="BQ227" i="141"/>
  <c r="BQ240" i="141" s="1"/>
  <c r="BQ241" i="141" s="1"/>
  <c r="Y87" i="111"/>
  <c r="Z87" i="111" s="1"/>
  <c r="AA87" i="111" s="1"/>
  <c r="AC87" i="111" s="1"/>
  <c r="Y83" i="111"/>
  <c r="Z83" i="111" s="1"/>
  <c r="Y79" i="111"/>
  <c r="Z79" i="111" s="1"/>
  <c r="AA79" i="111" s="1"/>
  <c r="Y84" i="111"/>
  <c r="Z84" i="111" s="1"/>
  <c r="AA84" i="111" s="1"/>
  <c r="AC84" i="111" s="1"/>
  <c r="AD84" i="111" s="1"/>
  <c r="Y80" i="111"/>
  <c r="Z80" i="111" s="1"/>
  <c r="AA80" i="111" s="1"/>
  <c r="AC80" i="111" s="1"/>
  <c r="AD80" i="111" s="1"/>
  <c r="Y82" i="111"/>
  <c r="Z82" i="111" s="1"/>
  <c r="AA82" i="111" s="1"/>
  <c r="AC82" i="111" s="1"/>
  <c r="AD82" i="111" s="1"/>
  <c r="AD15" i="111"/>
  <c r="AG15" i="111"/>
  <c r="Y64" i="111"/>
  <c r="Z64" i="111" s="1"/>
  <c r="AA64" i="111" s="1"/>
  <c r="AC64" i="111" s="1"/>
  <c r="Y60" i="111"/>
  <c r="Z60" i="111" s="1"/>
  <c r="Y56" i="111"/>
  <c r="Z56" i="111" s="1"/>
  <c r="AA56" i="111" s="1"/>
  <c r="AC56" i="111" s="1"/>
  <c r="AD56" i="111" s="1"/>
  <c r="Y61" i="111"/>
  <c r="Z61" i="111" s="1"/>
  <c r="AA61" i="111" s="1"/>
  <c r="AC61" i="111" s="1"/>
  <c r="AD61" i="111" s="1"/>
  <c r="Y57" i="111"/>
  <c r="Z57" i="111" s="1"/>
  <c r="AA57" i="111" s="1"/>
  <c r="AC57" i="111" s="1"/>
  <c r="AD57" i="111" s="1"/>
  <c r="Y59" i="111"/>
  <c r="Z59" i="111" s="1"/>
  <c r="AA59" i="111" s="1"/>
  <c r="AC59" i="111" s="1"/>
  <c r="AD59" i="111" s="1"/>
  <c r="Y36" i="111"/>
  <c r="Z36" i="111" s="1"/>
  <c r="W15" i="111"/>
  <c r="T15" i="111"/>
  <c r="O27" i="111"/>
  <c r="P27" i="111" s="1"/>
  <c r="Q27" i="111" s="1"/>
  <c r="S27" i="111" s="1"/>
  <c r="T27" i="111" s="1"/>
  <c r="O23" i="111"/>
  <c r="P23" i="111" s="1"/>
  <c r="O31" i="111"/>
  <c r="P31" i="111" s="1"/>
  <c r="O26" i="111"/>
  <c r="P26" i="111" s="1"/>
  <c r="Q26" i="111" s="1"/>
  <c r="S26" i="111" s="1"/>
  <c r="T26" i="111" s="1"/>
  <c r="O24" i="111"/>
  <c r="P24" i="111" s="1"/>
  <c r="O28" i="111"/>
  <c r="P28" i="111" s="1"/>
  <c r="Q28" i="111" s="1"/>
  <c r="S28" i="111" s="1"/>
  <c r="T28" i="111" s="1"/>
  <c r="O49" i="111"/>
  <c r="P49" i="111" s="1"/>
  <c r="Q49" i="111" s="1"/>
  <c r="S49" i="111" s="1"/>
  <c r="T49" i="111" s="1"/>
  <c r="O45" i="111"/>
  <c r="P45" i="111" s="1"/>
  <c r="O48" i="111"/>
  <c r="P48" i="111" s="1"/>
  <c r="Q48" i="111" s="1"/>
  <c r="S48" i="111" s="1"/>
  <c r="T48" i="111" s="1"/>
  <c r="O53" i="111"/>
  <c r="P53" i="111" s="1"/>
  <c r="O46" i="111"/>
  <c r="P46" i="111" s="1"/>
  <c r="O50" i="111"/>
  <c r="P50" i="111" s="1"/>
  <c r="Q50" i="111" s="1"/>
  <c r="S50" i="111" s="1"/>
  <c r="T50" i="111" s="1"/>
  <c r="O60" i="111"/>
  <c r="P60" i="111" s="1"/>
  <c r="Q60" i="111" s="1"/>
  <c r="S60" i="111" s="1"/>
  <c r="T60" i="111" s="1"/>
  <c r="O56" i="111"/>
  <c r="P56" i="111" s="1"/>
  <c r="O57" i="111"/>
  <c r="P57" i="111" s="1"/>
  <c r="O64" i="111"/>
  <c r="P64" i="111" s="1"/>
  <c r="O59" i="111"/>
  <c r="P59" i="111" s="1"/>
  <c r="Q59" i="111" s="1"/>
  <c r="S59" i="111" s="1"/>
  <c r="T59" i="111" s="1"/>
  <c r="O61" i="111"/>
  <c r="P61" i="111" s="1"/>
  <c r="Q61" i="111" s="1"/>
  <c r="S61" i="111" s="1"/>
  <c r="T61" i="111" s="1"/>
  <c r="W16" i="111"/>
  <c r="T16" i="111"/>
  <c r="O25" i="111"/>
  <c r="P25" i="111" s="1"/>
  <c r="O47" i="111"/>
  <c r="P47" i="111" s="1"/>
  <c r="O58" i="111"/>
  <c r="P58" i="111" s="1"/>
  <c r="O38" i="111"/>
  <c r="P38" i="111" s="1"/>
  <c r="Q38" i="111" s="1"/>
  <c r="S38" i="111" s="1"/>
  <c r="T38" i="111" s="1"/>
  <c r="O34" i="111"/>
  <c r="P34" i="111" s="1"/>
  <c r="O42" i="111"/>
  <c r="P42" i="111" s="1"/>
  <c r="O37" i="111"/>
  <c r="P37" i="111" s="1"/>
  <c r="Q37" i="111" s="1"/>
  <c r="S37" i="111" s="1"/>
  <c r="T37" i="111" s="1"/>
  <c r="O35" i="111"/>
  <c r="P35" i="111" s="1"/>
  <c r="O39" i="111"/>
  <c r="P39" i="111" s="1"/>
  <c r="Q39" i="111" s="1"/>
  <c r="S39" i="111" s="1"/>
  <c r="T39" i="111" s="1"/>
  <c r="O87" i="111"/>
  <c r="P87" i="111" s="1"/>
  <c r="O82" i="111"/>
  <c r="P82" i="111" s="1"/>
  <c r="Q82" i="111" s="1"/>
  <c r="S82" i="111" s="1"/>
  <c r="T82" i="111" s="1"/>
  <c r="O80" i="111"/>
  <c r="P80" i="111" s="1"/>
  <c r="O79" i="111"/>
  <c r="P79" i="111" s="1"/>
  <c r="O84" i="111"/>
  <c r="P84" i="111" s="1"/>
  <c r="Q84" i="111" s="1"/>
  <c r="S84" i="111" s="1"/>
  <c r="T84" i="111" s="1"/>
  <c r="O83" i="111"/>
  <c r="P83" i="111" s="1"/>
  <c r="Q83" i="111" s="1"/>
  <c r="S83" i="111" s="1"/>
  <c r="T83" i="111" s="1"/>
  <c r="W17" i="111"/>
  <c r="T17" i="111"/>
  <c r="O36" i="111"/>
  <c r="P36" i="111" s="1"/>
  <c r="O81" i="111"/>
  <c r="P81" i="111" s="1"/>
  <c r="AM65" i="111"/>
  <c r="AN65" i="111" s="1"/>
  <c r="Q43" i="111"/>
  <c r="S43" i="111" s="1"/>
  <c r="T43" i="111" s="1"/>
  <c r="AD10" i="111"/>
  <c r="AF10" i="111" s="1"/>
  <c r="T10" i="111"/>
  <c r="Q54" i="111"/>
  <c r="S54" i="111" s="1"/>
  <c r="T54" i="111" s="1"/>
  <c r="AA77" i="111"/>
  <c r="AC77" i="111" s="1"/>
  <c r="AD77" i="111" s="1"/>
  <c r="AF77" i="111" s="1"/>
  <c r="Q21" i="111"/>
  <c r="S21" i="111" s="1"/>
  <c r="T21" i="111" s="1"/>
  <c r="AW65" i="111"/>
  <c r="AW88" i="111" s="1"/>
  <c r="AX88" i="111" s="1"/>
  <c r="Q32" i="111"/>
  <c r="S32" i="111" s="1"/>
  <c r="T32" i="111" s="1"/>
  <c r="Q77" i="111"/>
  <c r="S77" i="111" s="1"/>
  <c r="T77" i="111" s="1"/>
  <c r="AX27" i="111"/>
  <c r="AX71" i="111" s="1"/>
  <c r="AX94" i="111" s="1"/>
  <c r="AW71" i="111"/>
  <c r="AW94" i="111" s="1"/>
  <c r="AZ10" i="111"/>
  <c r="AZ77" i="111"/>
  <c r="AZ54" i="111"/>
  <c r="AZ21" i="111"/>
  <c r="AZ43" i="111"/>
  <c r="AZ32" i="111"/>
  <c r="AN43" i="111"/>
  <c r="AN77" i="111"/>
  <c r="AN46" i="111"/>
  <c r="AN54" i="111"/>
  <c r="AN24" i="111"/>
  <c r="AM68" i="111"/>
  <c r="AM91" i="111" s="1"/>
  <c r="AN32" i="111"/>
  <c r="AN21" i="111"/>
  <c r="AN11" i="111"/>
  <c r="AP10" i="111"/>
  <c r="AN80" i="111"/>
  <c r="AD14" i="111" l="1"/>
  <c r="Q81" i="111"/>
  <c r="S81" i="111" s="1"/>
  <c r="T81" i="111" s="1"/>
  <c r="S85" i="111"/>
  <c r="Q58" i="111"/>
  <c r="S58" i="111" s="1"/>
  <c r="T58" i="111" s="1"/>
  <c r="S62" i="111"/>
  <c r="AA47" i="111"/>
  <c r="AC47" i="111" s="1"/>
  <c r="AD47" i="111" s="1"/>
  <c r="AD44" i="111" s="1"/>
  <c r="Q47" i="111"/>
  <c r="S47" i="111" s="1"/>
  <c r="T47" i="111" s="1"/>
  <c r="S51" i="111"/>
  <c r="Q36" i="111"/>
  <c r="S36" i="111" s="1"/>
  <c r="T36" i="111" s="1"/>
  <c r="AA36" i="111"/>
  <c r="AC36" i="111" s="1"/>
  <c r="AD36" i="111" s="1"/>
  <c r="AD33" i="111" s="1"/>
  <c r="S40" i="111"/>
  <c r="Q25" i="111"/>
  <c r="S25" i="111" s="1"/>
  <c r="T25" i="111" s="1"/>
  <c r="AA25" i="111"/>
  <c r="AC25" i="111" s="1"/>
  <c r="AD25" i="111" s="1"/>
  <c r="AD22" i="111" s="1"/>
  <c r="S29" i="111"/>
  <c r="W18" i="111"/>
  <c r="T18" i="111"/>
  <c r="AC65" i="111"/>
  <c r="AD65" i="111" s="1"/>
  <c r="AD72" i="111"/>
  <c r="AD95" i="111" s="1"/>
  <c r="AD70" i="111"/>
  <c r="AD93" i="111" s="1"/>
  <c r="AD68" i="111"/>
  <c r="AD91" i="111" s="1"/>
  <c r="AC70" i="111"/>
  <c r="AC93" i="111" s="1"/>
  <c r="AC68" i="111"/>
  <c r="AC91" i="111" s="1"/>
  <c r="AC72" i="111"/>
  <c r="AC95" i="111" s="1"/>
  <c r="AD55" i="111"/>
  <c r="AD31" i="111"/>
  <c r="AD53" i="111"/>
  <c r="AD64" i="111"/>
  <c r="AD87" i="111"/>
  <c r="AC75" i="111"/>
  <c r="AC98" i="111" s="1"/>
  <c r="AX65" i="111"/>
  <c r="AZ65" i="111" s="1"/>
  <c r="AN68" i="111"/>
  <c r="AN66" i="111" s="1"/>
  <c r="AM88" i="111"/>
  <c r="AN88" i="111" s="1"/>
  <c r="AP88" i="111" s="1"/>
  <c r="T72" i="111"/>
  <c r="T95" i="111" s="1"/>
  <c r="V54" i="111"/>
  <c r="V43" i="111"/>
  <c r="T71" i="111"/>
  <c r="T94" i="111" s="1"/>
  <c r="V77" i="111"/>
  <c r="V32" i="111"/>
  <c r="V21" i="111"/>
  <c r="S72" i="111"/>
  <c r="S95" i="111" s="1"/>
  <c r="S71" i="111"/>
  <c r="S94" i="111" s="1"/>
  <c r="AC67" i="111"/>
  <c r="V10" i="111"/>
  <c r="T70" i="111"/>
  <c r="T93" i="111" s="1"/>
  <c r="AC79" i="111"/>
  <c r="AD79" i="111" s="1"/>
  <c r="AD78" i="111" s="1"/>
  <c r="S70" i="111"/>
  <c r="S93" i="111" s="1"/>
  <c r="S65" i="111"/>
  <c r="AZ88" i="111"/>
  <c r="AN22" i="111"/>
  <c r="AP21" i="111"/>
  <c r="AP65" i="111"/>
  <c r="AP77" i="111"/>
  <c r="AN78" i="111"/>
  <c r="AN33" i="111"/>
  <c r="AP32" i="111"/>
  <c r="AN55" i="111"/>
  <c r="AP54" i="111"/>
  <c r="AN44" i="111"/>
  <c r="AP43" i="111"/>
  <c r="AC88" i="111" l="1"/>
  <c r="AD88" i="111" s="1"/>
  <c r="T69" i="111"/>
  <c r="T92" i="111" s="1"/>
  <c r="AC69" i="111"/>
  <c r="AC92" i="111" s="1"/>
  <c r="S69" i="111"/>
  <c r="S92" i="111" s="1"/>
  <c r="AD69" i="111"/>
  <c r="AD92" i="111" s="1"/>
  <c r="S73" i="111"/>
  <c r="S96" i="111" s="1"/>
  <c r="T85" i="111"/>
  <c r="T62" i="111"/>
  <c r="T51" i="111"/>
  <c r="T40" i="111"/>
  <c r="T29" i="111"/>
  <c r="AD75" i="111"/>
  <c r="AD98" i="111" s="1"/>
  <c r="AN91" i="111"/>
  <c r="AN89" i="111" s="1"/>
  <c r="AD11" i="111"/>
  <c r="AD67" i="111"/>
  <c r="AD90" i="111" s="1"/>
  <c r="S88" i="111"/>
  <c r="T88" i="111" s="1"/>
  <c r="T65" i="111"/>
  <c r="AC90" i="111"/>
  <c r="AF88" i="111"/>
  <c r="AF65" i="111"/>
  <c r="AD89" i="111" l="1"/>
  <c r="T73" i="111"/>
  <c r="T96" i="111" s="1"/>
  <c r="AD66" i="111"/>
  <c r="V88" i="111"/>
  <c r="V65" i="111"/>
  <c r="Q228" i="141" l="1"/>
  <c r="DO228" i="141"/>
  <c r="DO227" i="141" s="1"/>
  <c r="DM228" i="141"/>
  <c r="DM227" i="141" s="1"/>
  <c r="D12" i="111"/>
  <c r="D10" i="111" s="1"/>
  <c r="O228" i="141"/>
  <c r="P228" i="141"/>
  <c r="DN228" i="141"/>
  <c r="DN227" i="141" s="1"/>
  <c r="E18" i="111" l="1"/>
  <c r="F18" i="111" s="1"/>
  <c r="E19" i="111"/>
  <c r="F19" i="111" s="1"/>
  <c r="P227" i="141"/>
  <c r="P238" i="141" s="1"/>
  <c r="V239" i="141" s="1"/>
  <c r="O227" i="141"/>
  <c r="O238" i="141" s="1"/>
  <c r="U239" i="141" s="1"/>
  <c r="Q227" i="141"/>
  <c r="Q238" i="141" s="1"/>
  <c r="W239" i="141" s="1"/>
  <c r="E20" i="111"/>
  <c r="F20" i="111" s="1"/>
  <c r="G20" i="111" s="1"/>
  <c r="I20" i="111" s="1"/>
  <c r="DP228" i="141"/>
  <c r="DQ228" i="141"/>
  <c r="D67" i="111"/>
  <c r="D65" i="111" s="1"/>
  <c r="D23" i="111"/>
  <c r="D45" i="111"/>
  <c r="D90" i="111"/>
  <c r="D88" i="111" s="1"/>
  <c r="D79" i="111"/>
  <c r="BB12" i="111"/>
  <c r="D34" i="111"/>
  <c r="D56" i="111"/>
  <c r="DR228" i="141"/>
  <c r="W293" i="141" l="1"/>
  <c r="AC293" i="141" s="1"/>
  <c r="W294" i="141"/>
  <c r="AC294" i="141" s="1"/>
  <c r="U293" i="141"/>
  <c r="AA293" i="141" s="1"/>
  <c r="U294" i="141"/>
  <c r="AA294" i="141" s="1"/>
  <c r="V293" i="141"/>
  <c r="AB293" i="141" s="1"/>
  <c r="V294" i="141"/>
  <c r="AB294" i="141" s="1"/>
  <c r="W265" i="141"/>
  <c r="AC265" i="141" s="1"/>
  <c r="W266" i="141"/>
  <c r="AC266" i="141" s="1"/>
  <c r="U265" i="141"/>
  <c r="AA265" i="141" s="1"/>
  <c r="U266" i="141"/>
  <c r="AA266" i="141" s="1"/>
  <c r="V265" i="141"/>
  <c r="AB265" i="141" s="1"/>
  <c r="V266" i="141"/>
  <c r="AB266" i="141" s="1"/>
  <c r="W234" i="141"/>
  <c r="AC234" i="141" s="1"/>
  <c r="W235" i="141"/>
  <c r="AC235" i="141" s="1"/>
  <c r="U234" i="141"/>
  <c r="AA234" i="141" s="1"/>
  <c r="U235" i="141"/>
  <c r="AA235" i="141" s="1"/>
  <c r="V234" i="141"/>
  <c r="AB234" i="141" s="1"/>
  <c r="V235" i="141"/>
  <c r="AB235" i="141" s="1"/>
  <c r="W290" i="141"/>
  <c r="AC290" i="141" s="1"/>
  <c r="W289" i="141"/>
  <c r="AC289" i="141" s="1"/>
  <c r="W291" i="141"/>
  <c r="AC291" i="141" s="1"/>
  <c r="W295" i="141"/>
  <c r="AC295" i="141" s="1"/>
  <c r="W287" i="141"/>
  <c r="AC287" i="141" s="1"/>
  <c r="W292" i="141"/>
  <c r="AC292" i="141" s="1"/>
  <c r="W288" i="141"/>
  <c r="AC288" i="141" s="1"/>
  <c r="U291" i="141"/>
  <c r="AA291" i="141" s="1"/>
  <c r="U295" i="141"/>
  <c r="AA295" i="141" s="1"/>
  <c r="U292" i="141"/>
  <c r="AA292" i="141" s="1"/>
  <c r="U290" i="141"/>
  <c r="AA290" i="141" s="1"/>
  <c r="U289" i="141"/>
  <c r="AA289" i="141" s="1"/>
  <c r="U287" i="141"/>
  <c r="AA287" i="141" s="1"/>
  <c r="U288" i="141"/>
  <c r="AA288" i="141" s="1"/>
  <c r="V295" i="141"/>
  <c r="AB295" i="141" s="1"/>
  <c r="V292" i="141"/>
  <c r="AB292" i="141" s="1"/>
  <c r="V290" i="141"/>
  <c r="AB290" i="141" s="1"/>
  <c r="V289" i="141"/>
  <c r="AB289" i="141" s="1"/>
  <c r="V287" i="141"/>
  <c r="AB287" i="141" s="1"/>
  <c r="V291" i="141"/>
  <c r="AB291" i="141" s="1"/>
  <c r="V288" i="141"/>
  <c r="AB288" i="141" s="1"/>
  <c r="W264" i="141"/>
  <c r="AC264" i="141" s="1"/>
  <c r="W267" i="141"/>
  <c r="AC267" i="141" s="1"/>
  <c r="W260" i="141"/>
  <c r="AC260" i="141" s="1"/>
  <c r="W263" i="141"/>
  <c r="AC263" i="141" s="1"/>
  <c r="W262" i="141"/>
  <c r="AC262" i="141" s="1"/>
  <c r="W261" i="141"/>
  <c r="AC261" i="141" s="1"/>
  <c r="W259" i="141"/>
  <c r="AC259" i="141" s="1"/>
  <c r="U267" i="141"/>
  <c r="AA267" i="141" s="1"/>
  <c r="U260" i="141"/>
  <c r="AA260" i="141" s="1"/>
  <c r="U263" i="141"/>
  <c r="AA263" i="141" s="1"/>
  <c r="U262" i="141"/>
  <c r="AA262" i="141" s="1"/>
  <c r="U261" i="141"/>
  <c r="AA261" i="141" s="1"/>
  <c r="U264" i="141"/>
  <c r="AA264" i="141" s="1"/>
  <c r="U259" i="141"/>
  <c r="AA259" i="141" s="1"/>
  <c r="V263" i="141"/>
  <c r="AB263" i="141" s="1"/>
  <c r="V262" i="141"/>
  <c r="AB262" i="141" s="1"/>
  <c r="V261" i="141"/>
  <c r="AB261" i="141" s="1"/>
  <c r="V264" i="141"/>
  <c r="AB264" i="141" s="1"/>
  <c r="V259" i="141"/>
  <c r="AB259" i="141" s="1"/>
  <c r="V267" i="141"/>
  <c r="AB267" i="141" s="1"/>
  <c r="V260" i="141"/>
  <c r="AB260" i="141" s="1"/>
  <c r="U230" i="141"/>
  <c r="AA230" i="141" s="1"/>
  <c r="U229" i="141"/>
  <c r="AA229" i="141" s="1"/>
  <c r="U236" i="141"/>
  <c r="AA236" i="141" s="1"/>
  <c r="U228" i="141"/>
  <c r="AA228" i="141" s="1"/>
  <c r="U231" i="141"/>
  <c r="AA231" i="141" s="1"/>
  <c r="U233" i="141"/>
  <c r="AA233" i="141" s="1"/>
  <c r="U232" i="141"/>
  <c r="AA232" i="141" s="1"/>
  <c r="W228" i="141"/>
  <c r="AC228" i="141" s="1"/>
  <c r="W230" i="141"/>
  <c r="AC230" i="141" s="1"/>
  <c r="W229" i="141"/>
  <c r="AC229" i="141" s="1"/>
  <c r="W231" i="141"/>
  <c r="AC231" i="141" s="1"/>
  <c r="W236" i="141"/>
  <c r="AC236" i="141" s="1"/>
  <c r="W233" i="141"/>
  <c r="AC233" i="141" s="1"/>
  <c r="W232" i="141"/>
  <c r="AC232" i="141" s="1"/>
  <c r="V232" i="141"/>
  <c r="AB232" i="141" s="1"/>
  <c r="V233" i="141"/>
  <c r="AB233" i="141" s="1"/>
  <c r="V236" i="141"/>
  <c r="AB236" i="141" s="1"/>
  <c r="V230" i="141"/>
  <c r="AB230" i="141" s="1"/>
  <c r="V231" i="141"/>
  <c r="AB231" i="141" s="1"/>
  <c r="V228" i="141"/>
  <c r="AB228" i="141" s="1"/>
  <c r="V229" i="141"/>
  <c r="AB229" i="141" s="1"/>
  <c r="DR227" i="141"/>
  <c r="DR238" i="141" s="1"/>
  <c r="DX239" i="141" s="1"/>
  <c r="DP227" i="141"/>
  <c r="DP238" i="141" s="1"/>
  <c r="DV239" i="141" s="1"/>
  <c r="DQ227" i="141"/>
  <c r="DQ238" i="141" s="1"/>
  <c r="DW239" i="141" s="1"/>
  <c r="J20" i="111"/>
  <c r="D77" i="111"/>
  <c r="D54" i="111"/>
  <c r="D32" i="111"/>
  <c r="D43" i="111"/>
  <c r="BB10" i="111"/>
  <c r="D21" i="111"/>
  <c r="BB79" i="111"/>
  <c r="BB23" i="111"/>
  <c r="BB45" i="111"/>
  <c r="BB34" i="111"/>
  <c r="BB90" i="111"/>
  <c r="BB88" i="111" s="1"/>
  <c r="BB56" i="111"/>
  <c r="E12" i="111"/>
  <c r="F12" i="111" s="1"/>
  <c r="G10" i="111"/>
  <c r="I10" i="111" s="1"/>
  <c r="E17" i="111"/>
  <c r="F17" i="111" s="1"/>
  <c r="G17" i="111" s="1"/>
  <c r="I17" i="111" s="1"/>
  <c r="E16" i="111"/>
  <c r="F16" i="111" s="1"/>
  <c r="G16" i="111" s="1"/>
  <c r="I16" i="111" s="1"/>
  <c r="E14" i="111"/>
  <c r="F14" i="111" s="1"/>
  <c r="E15" i="111"/>
  <c r="F15" i="111" s="1"/>
  <c r="G15" i="111" s="1"/>
  <c r="I15" i="111" s="1"/>
  <c r="E13" i="111"/>
  <c r="F13" i="111" s="1"/>
  <c r="G13" i="111" s="1"/>
  <c r="I13" i="111" s="1"/>
  <c r="BB67" i="111"/>
  <c r="BB65" i="111" s="1"/>
  <c r="BC18" i="111" l="1"/>
  <c r="BD18" i="111" s="1"/>
  <c r="BE18" i="111" s="1"/>
  <c r="E97" i="141" s="1"/>
  <c r="BC19" i="111"/>
  <c r="BD19" i="111" s="1"/>
  <c r="BE19" i="111" s="1"/>
  <c r="E98" i="141" s="1"/>
  <c r="E85" i="111"/>
  <c r="F85" i="111" s="1"/>
  <c r="E86" i="111"/>
  <c r="F86" i="111" s="1"/>
  <c r="G86" i="111" s="1"/>
  <c r="E45" i="111"/>
  <c r="F45" i="111" s="1"/>
  <c r="G45" i="111" s="1"/>
  <c r="E51" i="111"/>
  <c r="F51" i="111" s="1"/>
  <c r="E52" i="111"/>
  <c r="F52" i="111" s="1"/>
  <c r="G52" i="111" s="1"/>
  <c r="E40" i="111"/>
  <c r="F40" i="111" s="1"/>
  <c r="E41" i="111"/>
  <c r="F41" i="111" s="1"/>
  <c r="G41" i="111" s="1"/>
  <c r="E23" i="111"/>
  <c r="F23" i="111" s="1"/>
  <c r="G23" i="111" s="1"/>
  <c r="E29" i="111"/>
  <c r="F29" i="111" s="1"/>
  <c r="E30" i="111"/>
  <c r="F30" i="111" s="1"/>
  <c r="G30" i="111" s="1"/>
  <c r="E62" i="111"/>
  <c r="F62" i="111" s="1"/>
  <c r="E63" i="111"/>
  <c r="F63" i="111" s="1"/>
  <c r="G63" i="111" s="1"/>
  <c r="G14" i="111"/>
  <c r="I14" i="111" s="1"/>
  <c r="J14" i="111" s="1"/>
  <c r="G19" i="111"/>
  <c r="I19" i="111" s="1"/>
  <c r="DW293" i="141"/>
  <c r="EC293" i="141" s="1"/>
  <c r="DW294" i="141"/>
  <c r="EC294" i="141" s="1"/>
  <c r="DX293" i="141"/>
  <c r="ED293" i="141" s="1"/>
  <c r="DX294" i="141"/>
  <c r="ED294" i="141" s="1"/>
  <c r="DV293" i="141"/>
  <c r="EB293" i="141" s="1"/>
  <c r="DV294" i="141"/>
  <c r="EB294" i="141" s="1"/>
  <c r="DW265" i="141"/>
  <c r="EC265" i="141" s="1"/>
  <c r="DW266" i="141"/>
  <c r="EC266" i="141" s="1"/>
  <c r="DV265" i="141"/>
  <c r="EB265" i="141" s="1"/>
  <c r="DV266" i="141"/>
  <c r="EB266" i="141" s="1"/>
  <c r="DX265" i="141"/>
  <c r="ED265" i="141" s="1"/>
  <c r="DX266" i="141"/>
  <c r="ED266" i="141" s="1"/>
  <c r="DX234" i="141"/>
  <c r="ED234" i="141" s="1"/>
  <c r="DX235" i="141"/>
  <c r="ED235" i="141" s="1"/>
  <c r="DW234" i="141"/>
  <c r="EC234" i="141" s="1"/>
  <c r="DW235" i="141"/>
  <c r="EC235" i="141" s="1"/>
  <c r="DV234" i="141"/>
  <c r="EB234" i="141" s="1"/>
  <c r="DV235" i="141"/>
  <c r="EB235" i="141" s="1"/>
  <c r="AC286" i="141"/>
  <c r="AC299" i="141" s="1"/>
  <c r="AC300" i="141" s="1"/>
  <c r="DW288" i="141"/>
  <c r="EC288" i="141" s="1"/>
  <c r="DW295" i="141"/>
  <c r="EC295" i="141" s="1"/>
  <c r="DW292" i="141"/>
  <c r="EC292" i="141" s="1"/>
  <c r="DW290" i="141"/>
  <c r="EC290" i="141" s="1"/>
  <c r="DW289" i="141"/>
  <c r="EC289" i="141" s="1"/>
  <c r="DW291" i="141"/>
  <c r="EC291" i="141" s="1"/>
  <c r="DW287" i="141"/>
  <c r="EC287" i="141" s="1"/>
  <c r="DV291" i="141"/>
  <c r="EB291" i="141" s="1"/>
  <c r="DV287" i="141"/>
  <c r="EB287" i="141" s="1"/>
  <c r="DV290" i="141"/>
  <c r="EB290" i="141" s="1"/>
  <c r="DV295" i="141"/>
  <c r="EB295" i="141" s="1"/>
  <c r="DV292" i="141"/>
  <c r="EB292" i="141" s="1"/>
  <c r="DV289" i="141"/>
  <c r="EB289" i="141" s="1"/>
  <c r="DV288" i="141"/>
  <c r="EB288" i="141" s="1"/>
  <c r="DX288" i="141"/>
  <c r="ED288" i="141" s="1"/>
  <c r="DX295" i="141"/>
  <c r="ED295" i="141" s="1"/>
  <c r="DX292" i="141"/>
  <c r="ED292" i="141" s="1"/>
  <c r="DX290" i="141"/>
  <c r="ED290" i="141" s="1"/>
  <c r="DX289" i="141"/>
  <c r="ED289" i="141" s="1"/>
  <c r="DX291" i="141"/>
  <c r="ED291" i="141" s="1"/>
  <c r="DX287" i="141"/>
  <c r="ED287" i="141" s="1"/>
  <c r="AB286" i="141"/>
  <c r="AB299" i="141" s="1"/>
  <c r="AB300" i="141" s="1"/>
  <c r="AA286" i="141"/>
  <c r="AA299" i="141" s="1"/>
  <c r="AA300" i="141" s="1"/>
  <c r="DV261" i="141"/>
  <c r="EB261" i="141" s="1"/>
  <c r="DV264" i="141"/>
  <c r="EB264" i="141" s="1"/>
  <c r="DV263" i="141"/>
  <c r="EB263" i="141" s="1"/>
  <c r="DV262" i="141"/>
  <c r="EB262" i="141" s="1"/>
  <c r="DV267" i="141"/>
  <c r="EB267" i="141" s="1"/>
  <c r="DV260" i="141"/>
  <c r="EB260" i="141" s="1"/>
  <c r="DV259" i="141"/>
  <c r="EB259" i="141" s="1"/>
  <c r="DX267" i="141"/>
  <c r="ED267" i="141" s="1"/>
  <c r="DX260" i="141"/>
  <c r="ED260" i="141" s="1"/>
  <c r="DX261" i="141"/>
  <c r="ED261" i="141" s="1"/>
  <c r="DX259" i="141"/>
  <c r="ED259" i="141" s="1"/>
  <c r="DX264" i="141"/>
  <c r="ED264" i="141" s="1"/>
  <c r="DX263" i="141"/>
  <c r="ED263" i="141" s="1"/>
  <c r="DX262" i="141"/>
  <c r="ED262" i="141" s="1"/>
  <c r="AA258" i="141"/>
  <c r="AA271" i="141" s="1"/>
  <c r="AA272" i="141" s="1"/>
  <c r="DW264" i="141"/>
  <c r="EC264" i="141" s="1"/>
  <c r="DW263" i="141"/>
  <c r="EC263" i="141" s="1"/>
  <c r="DW262" i="141"/>
  <c r="EC262" i="141" s="1"/>
  <c r="DW267" i="141"/>
  <c r="EC267" i="141" s="1"/>
  <c r="DW260" i="141"/>
  <c r="EC260" i="141" s="1"/>
  <c r="DW261" i="141"/>
  <c r="EC261" i="141" s="1"/>
  <c r="DW259" i="141"/>
  <c r="EC259" i="141" s="1"/>
  <c r="AB258" i="141"/>
  <c r="AB271" i="141" s="1"/>
  <c r="AB272" i="141" s="1"/>
  <c r="AC258" i="141"/>
  <c r="AC271" i="141" s="1"/>
  <c r="AC272" i="141" s="1"/>
  <c r="AC227" i="141"/>
  <c r="AC240" i="141" s="1"/>
  <c r="AC241" i="141" s="1"/>
  <c r="AB227" i="141"/>
  <c r="AB240" i="141" s="1"/>
  <c r="AB241" i="141" s="1"/>
  <c r="AA227" i="141"/>
  <c r="AA240" i="141" s="1"/>
  <c r="AA241" i="141" s="1"/>
  <c r="DV231" i="141"/>
  <c r="EB231" i="141" s="1"/>
  <c r="DV230" i="141"/>
  <c r="EB230" i="141" s="1"/>
  <c r="DV236" i="141"/>
  <c r="EB236" i="141" s="1"/>
  <c r="DV232" i="141"/>
  <c r="EB232" i="141" s="1"/>
  <c r="DV228" i="141"/>
  <c r="EB228" i="141" s="1"/>
  <c r="DV229" i="141"/>
  <c r="EB229" i="141" s="1"/>
  <c r="DV233" i="141"/>
  <c r="EB233" i="141" s="1"/>
  <c r="DW230" i="141"/>
  <c r="EC230" i="141" s="1"/>
  <c r="DW232" i="141"/>
  <c r="EC232" i="141" s="1"/>
  <c r="DW233" i="141"/>
  <c r="EC233" i="141" s="1"/>
  <c r="DW231" i="141"/>
  <c r="EC231" i="141" s="1"/>
  <c r="DW228" i="141"/>
  <c r="EC228" i="141" s="1"/>
  <c r="DW236" i="141"/>
  <c r="EC236" i="141" s="1"/>
  <c r="DW229" i="141"/>
  <c r="EC229" i="141" s="1"/>
  <c r="DX229" i="141"/>
  <c r="ED229" i="141" s="1"/>
  <c r="DX233" i="141"/>
  <c r="ED233" i="141" s="1"/>
  <c r="DX232" i="141"/>
  <c r="ED232" i="141" s="1"/>
  <c r="DX230" i="141"/>
  <c r="ED230" i="141" s="1"/>
  <c r="DX236" i="141"/>
  <c r="ED236" i="141" s="1"/>
  <c r="DX228" i="141"/>
  <c r="ED228" i="141" s="1"/>
  <c r="DX231" i="141"/>
  <c r="ED231" i="141" s="1"/>
  <c r="BB54" i="111"/>
  <c r="BB21" i="111"/>
  <c r="BC20" i="111"/>
  <c r="BD20" i="111" s="1"/>
  <c r="BE20" i="111" s="1"/>
  <c r="E99" i="141" s="1"/>
  <c r="BC17" i="111"/>
  <c r="BD17" i="111" s="1"/>
  <c r="BE17" i="111" s="1"/>
  <c r="BG17" i="111" s="1"/>
  <c r="BH17" i="111" s="1"/>
  <c r="BC15" i="111"/>
  <c r="BD15" i="111" s="1"/>
  <c r="BE15" i="111" s="1"/>
  <c r="BG15" i="111" s="1"/>
  <c r="BH15" i="111" s="1"/>
  <c r="BC13" i="111"/>
  <c r="BD13" i="111" s="1"/>
  <c r="BE13" i="111" s="1"/>
  <c r="BG13" i="111" s="1"/>
  <c r="BH13" i="111" s="1"/>
  <c r="BC16" i="111"/>
  <c r="BD16" i="111" s="1"/>
  <c r="BE16" i="111" s="1"/>
  <c r="BG16" i="111" s="1"/>
  <c r="BH16" i="111" s="1"/>
  <c r="BC14" i="111"/>
  <c r="BD14" i="111" s="1"/>
  <c r="E42" i="111"/>
  <c r="F42" i="111" s="1"/>
  <c r="G42" i="111" s="1"/>
  <c r="E38" i="111"/>
  <c r="F38" i="111" s="1"/>
  <c r="G38" i="111" s="1"/>
  <c r="E39" i="111"/>
  <c r="F39" i="111" s="1"/>
  <c r="G39" i="111" s="1"/>
  <c r="E36" i="111"/>
  <c r="F36" i="111" s="1"/>
  <c r="E37" i="111"/>
  <c r="F37" i="111" s="1"/>
  <c r="G37" i="111" s="1"/>
  <c r="E35" i="111"/>
  <c r="F35" i="111" s="1"/>
  <c r="G35" i="111" s="1"/>
  <c r="BB77" i="111"/>
  <c r="BC12" i="111"/>
  <c r="BD12" i="111" s="1"/>
  <c r="BE12" i="111" s="1"/>
  <c r="BG12" i="111" s="1"/>
  <c r="BH12" i="111" s="1"/>
  <c r="E34" i="111"/>
  <c r="F34" i="111" s="1"/>
  <c r="G34" i="111" s="1"/>
  <c r="BB32" i="111"/>
  <c r="BB43" i="111"/>
  <c r="E64" i="111"/>
  <c r="F64" i="111" s="1"/>
  <c r="G64" i="111" s="1"/>
  <c r="I64" i="111" s="1"/>
  <c r="E61" i="111"/>
  <c r="F61" i="111" s="1"/>
  <c r="G61" i="111" s="1"/>
  <c r="I61" i="111" s="1"/>
  <c r="E60" i="111"/>
  <c r="F60" i="111" s="1"/>
  <c r="G60" i="111" s="1"/>
  <c r="I60" i="111" s="1"/>
  <c r="E59" i="111"/>
  <c r="F59" i="111" s="1"/>
  <c r="G59" i="111" s="1"/>
  <c r="I59" i="111" s="1"/>
  <c r="E58" i="111"/>
  <c r="F58" i="111" s="1"/>
  <c r="E57" i="111"/>
  <c r="F57" i="111" s="1"/>
  <c r="G57" i="111" s="1"/>
  <c r="I57" i="111" s="1"/>
  <c r="E87" i="111"/>
  <c r="F87" i="111" s="1"/>
  <c r="G87" i="111" s="1"/>
  <c r="I87" i="111" s="1"/>
  <c r="E84" i="111"/>
  <c r="F84" i="111" s="1"/>
  <c r="G84" i="111" s="1"/>
  <c r="I84" i="111" s="1"/>
  <c r="E83" i="111"/>
  <c r="F83" i="111" s="1"/>
  <c r="G83" i="111" s="1"/>
  <c r="I83" i="111" s="1"/>
  <c r="E82" i="111"/>
  <c r="F82" i="111" s="1"/>
  <c r="G82" i="111" s="1"/>
  <c r="I82" i="111" s="1"/>
  <c r="E81" i="111"/>
  <c r="F81" i="111" s="1"/>
  <c r="E80" i="111"/>
  <c r="F80" i="111" s="1"/>
  <c r="G80" i="111" s="1"/>
  <c r="I80" i="111" s="1"/>
  <c r="E31" i="111"/>
  <c r="F31" i="111" s="1"/>
  <c r="G31" i="111" s="1"/>
  <c r="I31" i="111" s="1"/>
  <c r="E28" i="111"/>
  <c r="F28" i="111" s="1"/>
  <c r="G28" i="111" s="1"/>
  <c r="I28" i="111" s="1"/>
  <c r="E27" i="111"/>
  <c r="F27" i="111" s="1"/>
  <c r="G27" i="111" s="1"/>
  <c r="I27" i="111" s="1"/>
  <c r="E25" i="111"/>
  <c r="F25" i="111" s="1"/>
  <c r="E26" i="111"/>
  <c r="F26" i="111" s="1"/>
  <c r="G26" i="111" s="1"/>
  <c r="I26" i="111" s="1"/>
  <c r="E24" i="111"/>
  <c r="F24" i="111" s="1"/>
  <c r="G24" i="111" s="1"/>
  <c r="I24" i="111" s="1"/>
  <c r="E53" i="111"/>
  <c r="F53" i="111" s="1"/>
  <c r="G53" i="111" s="1"/>
  <c r="I53" i="111" s="1"/>
  <c r="E50" i="111"/>
  <c r="F50" i="111" s="1"/>
  <c r="G50" i="111" s="1"/>
  <c r="I50" i="111" s="1"/>
  <c r="E49" i="111"/>
  <c r="F49" i="111" s="1"/>
  <c r="G49" i="111" s="1"/>
  <c r="I49" i="111" s="1"/>
  <c r="E48" i="111"/>
  <c r="F48" i="111" s="1"/>
  <c r="G48" i="111" s="1"/>
  <c r="I48" i="111" s="1"/>
  <c r="E47" i="111"/>
  <c r="F47" i="111" s="1"/>
  <c r="E46" i="111"/>
  <c r="F46" i="111" s="1"/>
  <c r="G46" i="111" s="1"/>
  <c r="I46" i="111" s="1"/>
  <c r="E56" i="111"/>
  <c r="F56" i="111" s="1"/>
  <c r="G56" i="111" s="1"/>
  <c r="E79" i="111"/>
  <c r="F79" i="111" s="1"/>
  <c r="G79" i="111" s="1"/>
  <c r="J16" i="111"/>
  <c r="G12" i="111"/>
  <c r="I12" i="111" s="1"/>
  <c r="G43" i="111"/>
  <c r="I43" i="111" s="1"/>
  <c r="G54" i="111"/>
  <c r="I54" i="111" s="1"/>
  <c r="G32" i="111"/>
  <c r="G77" i="111"/>
  <c r="I77" i="111" s="1"/>
  <c r="J15" i="111"/>
  <c r="J10" i="111"/>
  <c r="J13" i="111"/>
  <c r="J17" i="111"/>
  <c r="BE10" i="111"/>
  <c r="BG10" i="111" s="1"/>
  <c r="M10" i="111" s="1"/>
  <c r="G21" i="111"/>
  <c r="I21" i="111" s="1"/>
  <c r="BC52" i="111" l="1"/>
  <c r="BD52" i="111" s="1"/>
  <c r="BE52" i="111" s="1"/>
  <c r="E128" i="141" s="1"/>
  <c r="BC51" i="111"/>
  <c r="BD51" i="111" s="1"/>
  <c r="BE51" i="111" s="1"/>
  <c r="E127" i="141" s="1"/>
  <c r="BC79" i="111"/>
  <c r="BD79" i="111" s="1"/>
  <c r="BE79" i="111" s="1"/>
  <c r="BC85" i="111"/>
  <c r="BD85" i="111" s="1"/>
  <c r="BE85" i="111" s="1"/>
  <c r="E147" i="141" s="1"/>
  <c r="BC86" i="111"/>
  <c r="BD86" i="111" s="1"/>
  <c r="BE86" i="111" s="1"/>
  <c r="E148" i="141" s="1"/>
  <c r="BC41" i="111"/>
  <c r="BD41" i="111" s="1"/>
  <c r="BE41" i="111" s="1"/>
  <c r="E118" i="141" s="1"/>
  <c r="BC40" i="111"/>
  <c r="BD40" i="111" s="1"/>
  <c r="BE40" i="111" s="1"/>
  <c r="E117" i="141" s="1"/>
  <c r="BC29" i="111"/>
  <c r="BD29" i="111" s="1"/>
  <c r="BE29" i="111" s="1"/>
  <c r="E107" i="141" s="1"/>
  <c r="BC30" i="111"/>
  <c r="BD30" i="111" s="1"/>
  <c r="BE30" i="111" s="1"/>
  <c r="E108" i="141" s="1"/>
  <c r="BC56" i="111"/>
  <c r="BD56" i="111" s="1"/>
  <c r="BE56" i="111" s="1"/>
  <c r="BC63" i="111"/>
  <c r="BD63" i="111" s="1"/>
  <c r="BE63" i="111" s="1"/>
  <c r="E138" i="141" s="1"/>
  <c r="BC62" i="111"/>
  <c r="BD62" i="111" s="1"/>
  <c r="BE62" i="111" s="1"/>
  <c r="E137" i="141" s="1"/>
  <c r="G81" i="111"/>
  <c r="I81" i="111" s="1"/>
  <c r="J81" i="111" s="1"/>
  <c r="I86" i="111"/>
  <c r="G58" i="111"/>
  <c r="I58" i="111" s="1"/>
  <c r="J58" i="111" s="1"/>
  <c r="I63" i="111"/>
  <c r="G47" i="111"/>
  <c r="I47" i="111" s="1"/>
  <c r="J47" i="111" s="1"/>
  <c r="I52" i="111"/>
  <c r="G36" i="111"/>
  <c r="G25" i="111"/>
  <c r="I25" i="111" s="1"/>
  <c r="J25" i="111" s="1"/>
  <c r="I30" i="111"/>
  <c r="BE14" i="111"/>
  <c r="BG14" i="111" s="1"/>
  <c r="BH14" i="111" s="1"/>
  <c r="BG19" i="111"/>
  <c r="F98" i="141" s="1"/>
  <c r="J19" i="111"/>
  <c r="BG18" i="111"/>
  <c r="F97" i="141" s="1"/>
  <c r="BG20" i="111"/>
  <c r="F99" i="141" s="1"/>
  <c r="ED286" i="141"/>
  <c r="ED299" i="141" s="1"/>
  <c r="ED300" i="141" s="1"/>
  <c r="EC258" i="141"/>
  <c r="EC271" i="141" s="1"/>
  <c r="EC272" i="141" s="1"/>
  <c r="EC286" i="141"/>
  <c r="EC299" i="141" s="1"/>
  <c r="EC300" i="141" s="1"/>
  <c r="ED258" i="141"/>
  <c r="ED271" i="141" s="1"/>
  <c r="ED272" i="141" s="1"/>
  <c r="EB286" i="141"/>
  <c r="EB299" i="141" s="1"/>
  <c r="EB300" i="141" s="1"/>
  <c r="EB258" i="141"/>
  <c r="EB271" i="141" s="1"/>
  <c r="EB272" i="141" s="1"/>
  <c r="EB227" i="141"/>
  <c r="EB240" i="141" s="1"/>
  <c r="EB241" i="141" s="1"/>
  <c r="EC227" i="141"/>
  <c r="EC240" i="141" s="1"/>
  <c r="EC241" i="141" s="1"/>
  <c r="ED227" i="141"/>
  <c r="ED240" i="141" s="1"/>
  <c r="ED241" i="141" s="1"/>
  <c r="J87" i="111"/>
  <c r="J64" i="111"/>
  <c r="J53" i="111"/>
  <c r="J31" i="111"/>
  <c r="BC53" i="111"/>
  <c r="BD53" i="111" s="1"/>
  <c r="BE53" i="111" s="1"/>
  <c r="E129" i="141" s="1"/>
  <c r="BC50" i="111"/>
  <c r="BD50" i="111" s="1"/>
  <c r="BE50" i="111" s="1"/>
  <c r="BC48" i="111"/>
  <c r="BD48" i="111" s="1"/>
  <c r="BE48" i="111" s="1"/>
  <c r="BC49" i="111"/>
  <c r="BD49" i="111" s="1"/>
  <c r="BE49" i="111" s="1"/>
  <c r="BC46" i="111"/>
  <c r="BD46" i="111" s="1"/>
  <c r="BE46" i="111" s="1"/>
  <c r="BC47" i="111"/>
  <c r="BD47" i="111" s="1"/>
  <c r="BC31" i="111"/>
  <c r="BD31" i="111" s="1"/>
  <c r="BE31" i="111" s="1"/>
  <c r="E109" i="141" s="1"/>
  <c r="BC28" i="111"/>
  <c r="BD28" i="111" s="1"/>
  <c r="BE28" i="111" s="1"/>
  <c r="BC26" i="111"/>
  <c r="BD26" i="111" s="1"/>
  <c r="BE26" i="111" s="1"/>
  <c r="BC27" i="111"/>
  <c r="BD27" i="111" s="1"/>
  <c r="BE27" i="111" s="1"/>
  <c r="BC24" i="111"/>
  <c r="BD24" i="111" s="1"/>
  <c r="BE24" i="111" s="1"/>
  <c r="BC25" i="111"/>
  <c r="BD25" i="111" s="1"/>
  <c r="BC45" i="111"/>
  <c r="BD45" i="111" s="1"/>
  <c r="BE45" i="111" s="1"/>
  <c r="BC23" i="111"/>
  <c r="BD23" i="111" s="1"/>
  <c r="BE23" i="111" s="1"/>
  <c r="BC42" i="111"/>
  <c r="BD42" i="111" s="1"/>
  <c r="BE42" i="111" s="1"/>
  <c r="E119" i="141" s="1"/>
  <c r="BC39" i="111"/>
  <c r="BD39" i="111" s="1"/>
  <c r="BE39" i="111" s="1"/>
  <c r="BC37" i="111"/>
  <c r="BD37" i="111" s="1"/>
  <c r="BE37" i="111" s="1"/>
  <c r="BC35" i="111"/>
  <c r="BD35" i="111" s="1"/>
  <c r="BE35" i="111" s="1"/>
  <c r="BC38" i="111"/>
  <c r="BD38" i="111" s="1"/>
  <c r="BE38" i="111" s="1"/>
  <c r="BC36" i="111"/>
  <c r="BD36" i="111" s="1"/>
  <c r="BC34" i="111"/>
  <c r="BD34" i="111" s="1"/>
  <c r="BE34" i="111" s="1"/>
  <c r="BC87" i="111"/>
  <c r="BD87" i="111" s="1"/>
  <c r="BE87" i="111" s="1"/>
  <c r="E149" i="141" s="1"/>
  <c r="BC84" i="111"/>
  <c r="BD84" i="111" s="1"/>
  <c r="BE84" i="111" s="1"/>
  <c r="BC80" i="111"/>
  <c r="BD80" i="111" s="1"/>
  <c r="BE80" i="111" s="1"/>
  <c r="BC82" i="111"/>
  <c r="BD82" i="111" s="1"/>
  <c r="BE82" i="111" s="1"/>
  <c r="BC83" i="111"/>
  <c r="BD83" i="111" s="1"/>
  <c r="BE83" i="111" s="1"/>
  <c r="BC81" i="111"/>
  <c r="BD81" i="111" s="1"/>
  <c r="BC64" i="111"/>
  <c r="BD64" i="111" s="1"/>
  <c r="BE64" i="111" s="1"/>
  <c r="E139" i="141" s="1"/>
  <c r="BC61" i="111"/>
  <c r="BD61" i="111" s="1"/>
  <c r="BE61" i="111" s="1"/>
  <c r="BC60" i="111"/>
  <c r="BD60" i="111" s="1"/>
  <c r="BE60" i="111" s="1"/>
  <c r="BC57" i="111"/>
  <c r="BD57" i="111" s="1"/>
  <c r="BE57" i="111" s="1"/>
  <c r="BC59" i="111"/>
  <c r="BD59" i="111" s="1"/>
  <c r="BE59" i="111" s="1"/>
  <c r="BC58" i="111"/>
  <c r="BD58" i="111" s="1"/>
  <c r="E96" i="141"/>
  <c r="AQ10" i="111"/>
  <c r="W10" i="111"/>
  <c r="BA10" i="111"/>
  <c r="AG10" i="111"/>
  <c r="BH10" i="111"/>
  <c r="BE43" i="111"/>
  <c r="BG43" i="111" s="1"/>
  <c r="M43" i="111" s="1"/>
  <c r="J82" i="111"/>
  <c r="J54" i="111"/>
  <c r="J50" i="111"/>
  <c r="J12" i="111"/>
  <c r="E94" i="141"/>
  <c r="E92" i="141"/>
  <c r="J80" i="111"/>
  <c r="J84" i="111"/>
  <c r="J59" i="111"/>
  <c r="J60" i="111"/>
  <c r="BE77" i="111"/>
  <c r="BG77" i="111" s="1"/>
  <c r="M77" i="111" s="1"/>
  <c r="BE21" i="111"/>
  <c r="BG21" i="111" s="1"/>
  <c r="M21" i="111" s="1"/>
  <c r="J49" i="111"/>
  <c r="I45" i="111"/>
  <c r="BE32" i="111"/>
  <c r="J24" i="111"/>
  <c r="J26" i="111"/>
  <c r="J28" i="111"/>
  <c r="E95" i="141"/>
  <c r="BE54" i="111"/>
  <c r="BG54" i="111" s="1"/>
  <c r="J83" i="111"/>
  <c r="I79" i="111"/>
  <c r="J61" i="111"/>
  <c r="I56" i="111"/>
  <c r="J46" i="111"/>
  <c r="J21" i="111"/>
  <c r="J27" i="111"/>
  <c r="I23" i="111"/>
  <c r="E93" i="141"/>
  <c r="L10" i="111"/>
  <c r="M12" i="111"/>
  <c r="E91" i="141"/>
  <c r="J77" i="111"/>
  <c r="J57" i="111"/>
  <c r="J48" i="111"/>
  <c r="J43" i="111"/>
  <c r="H98" i="141" l="1"/>
  <c r="G98" i="141"/>
  <c r="H99" i="141"/>
  <c r="G99" i="141"/>
  <c r="H97" i="141"/>
  <c r="G97" i="141"/>
  <c r="M20" i="111"/>
  <c r="M19" i="111"/>
  <c r="BE81" i="111"/>
  <c r="BG81" i="111" s="1"/>
  <c r="BG86" i="111"/>
  <c r="J86" i="111"/>
  <c r="BG85" i="111"/>
  <c r="F147" i="141" s="1"/>
  <c r="BE58" i="111"/>
  <c r="E133" i="141" s="1"/>
  <c r="BG63" i="111"/>
  <c r="J63" i="111"/>
  <c r="BG62" i="111"/>
  <c r="F137" i="141" s="1"/>
  <c r="BE47" i="111"/>
  <c r="BG47" i="111" s="1"/>
  <c r="BG52" i="111"/>
  <c r="J52" i="111"/>
  <c r="BG51" i="111"/>
  <c r="F127" i="141" s="1"/>
  <c r="BE36" i="111"/>
  <c r="E113" i="141" s="1"/>
  <c r="BE25" i="111"/>
  <c r="BG25" i="111" s="1"/>
  <c r="BG30" i="111"/>
  <c r="J30" i="111"/>
  <c r="BG29" i="111"/>
  <c r="F107" i="141" s="1"/>
  <c r="BH19" i="111"/>
  <c r="BL19" i="111"/>
  <c r="BH18" i="111"/>
  <c r="M18" i="111"/>
  <c r="BL18" i="111"/>
  <c r="BL20" i="111"/>
  <c r="BH20" i="111"/>
  <c r="BG53" i="111"/>
  <c r="F129" i="141" s="1"/>
  <c r="BG31" i="111"/>
  <c r="BG64" i="111"/>
  <c r="F139" i="141" s="1"/>
  <c r="BG87" i="111"/>
  <c r="J56" i="111"/>
  <c r="J79" i="111"/>
  <c r="E135" i="141"/>
  <c r="BG60" i="111"/>
  <c r="E116" i="141"/>
  <c r="E104" i="141"/>
  <c r="BG26" i="111"/>
  <c r="E105" i="141"/>
  <c r="BG27" i="111"/>
  <c r="BG82" i="111"/>
  <c r="E144" i="141"/>
  <c r="F92" i="141"/>
  <c r="BL13" i="111"/>
  <c r="M13" i="111"/>
  <c r="AQ43" i="111"/>
  <c r="AG43" i="111"/>
  <c r="W43" i="111"/>
  <c r="BA43" i="111"/>
  <c r="BH43" i="111"/>
  <c r="BJ43" i="111" s="1"/>
  <c r="BG48" i="111"/>
  <c r="E124" i="141"/>
  <c r="L21" i="111"/>
  <c r="BH54" i="111"/>
  <c r="BJ54" i="111" s="1"/>
  <c r="W54" i="111"/>
  <c r="AQ54" i="111"/>
  <c r="BA54" i="111"/>
  <c r="AG54" i="111"/>
  <c r="F95" i="141"/>
  <c r="BL16" i="111"/>
  <c r="M16" i="111"/>
  <c r="E112" i="141"/>
  <c r="J45" i="111"/>
  <c r="E106" i="141"/>
  <c r="BG28" i="111"/>
  <c r="BG84" i="111"/>
  <c r="E146" i="141"/>
  <c r="L54" i="111"/>
  <c r="BG50" i="111"/>
  <c r="E126" i="141"/>
  <c r="L43" i="111"/>
  <c r="J23" i="111"/>
  <c r="E132" i="141"/>
  <c r="BG57" i="111"/>
  <c r="BG61" i="111"/>
  <c r="E136" i="141"/>
  <c r="E115" i="141"/>
  <c r="BG24" i="111"/>
  <c r="E102" i="141"/>
  <c r="AQ21" i="111"/>
  <c r="BH21" i="111"/>
  <c r="BJ21" i="111" s="1"/>
  <c r="BA21" i="111"/>
  <c r="W21" i="111"/>
  <c r="AG21" i="111"/>
  <c r="AG77" i="111"/>
  <c r="BH77" i="111"/>
  <c r="BJ77" i="111" s="1"/>
  <c r="AQ77" i="111"/>
  <c r="W77" i="111"/>
  <c r="BA77" i="111"/>
  <c r="E145" i="141"/>
  <c r="BG83" i="111"/>
  <c r="BL15" i="111"/>
  <c r="F94" i="141"/>
  <c r="M15" i="111"/>
  <c r="BG49" i="111"/>
  <c r="E125" i="141"/>
  <c r="E122" i="141"/>
  <c r="BG46" i="111"/>
  <c r="F96" i="141"/>
  <c r="BL17" i="111"/>
  <c r="M17" i="111"/>
  <c r="M54" i="111"/>
  <c r="L77" i="111"/>
  <c r="F91" i="141"/>
  <c r="BL12" i="111"/>
  <c r="BL14" i="111"/>
  <c r="F93" i="141"/>
  <c r="M14" i="111"/>
  <c r="BG45" i="111"/>
  <c r="E121" i="141"/>
  <c r="E134" i="141"/>
  <c r="BG59" i="111"/>
  <c r="E114" i="141"/>
  <c r="E142" i="141"/>
  <c r="BG80" i="111"/>
  <c r="BJ10" i="111"/>
  <c r="BA31" i="111" l="1"/>
  <c r="F109" i="141"/>
  <c r="M52" i="111"/>
  <c r="F128" i="141"/>
  <c r="M63" i="111"/>
  <c r="F138" i="141"/>
  <c r="M86" i="111"/>
  <c r="F148" i="141"/>
  <c r="H129" i="141"/>
  <c r="G129" i="141"/>
  <c r="H107" i="141"/>
  <c r="G107" i="141"/>
  <c r="AQ87" i="111"/>
  <c r="F149" i="141"/>
  <c r="H127" i="141"/>
  <c r="G127" i="141"/>
  <c r="H137" i="141"/>
  <c r="G137" i="141"/>
  <c r="H147" i="141"/>
  <c r="G147" i="141"/>
  <c r="H139" i="141"/>
  <c r="G139" i="141"/>
  <c r="M30" i="111"/>
  <c r="F108" i="141"/>
  <c r="BG58" i="111"/>
  <c r="BA58" i="111" s="1"/>
  <c r="E123" i="141"/>
  <c r="E143" i="141"/>
  <c r="E103" i="141"/>
  <c r="BH86" i="111"/>
  <c r="BA86" i="111"/>
  <c r="AG86" i="111"/>
  <c r="W86" i="111"/>
  <c r="AQ86" i="111"/>
  <c r="BL86" i="111"/>
  <c r="BH85" i="111"/>
  <c r="BA85" i="111"/>
  <c r="AG85" i="111"/>
  <c r="AQ85" i="111"/>
  <c r="M85" i="111"/>
  <c r="BL85" i="111"/>
  <c r="W85" i="111"/>
  <c r="BH63" i="111"/>
  <c r="BA63" i="111"/>
  <c r="W63" i="111"/>
  <c r="AG63" i="111"/>
  <c r="AQ63" i="111"/>
  <c r="BL63" i="111"/>
  <c r="BH62" i="111"/>
  <c r="BA62" i="111"/>
  <c r="AG62" i="111"/>
  <c r="M62" i="111"/>
  <c r="AQ62" i="111"/>
  <c r="BL62" i="111"/>
  <c r="W62" i="111"/>
  <c r="BH52" i="111"/>
  <c r="BA52" i="111"/>
  <c r="AQ52" i="111"/>
  <c r="W52" i="111"/>
  <c r="AG52" i="111"/>
  <c r="BL52" i="111"/>
  <c r="BH51" i="111"/>
  <c r="BA51" i="111"/>
  <c r="AG51" i="111"/>
  <c r="M51" i="111"/>
  <c r="AQ51" i="111"/>
  <c r="BL51" i="111"/>
  <c r="W51" i="111"/>
  <c r="BH30" i="111"/>
  <c r="AQ30" i="111"/>
  <c r="AG30" i="111"/>
  <c r="W30" i="111"/>
  <c r="BA30" i="111"/>
  <c r="BL30" i="111"/>
  <c r="BH29" i="111"/>
  <c r="BA29" i="111"/>
  <c r="AG29" i="111"/>
  <c r="M29" i="111"/>
  <c r="AQ29" i="111"/>
  <c r="BL29" i="111"/>
  <c r="W29" i="111"/>
  <c r="AG64" i="111"/>
  <c r="AG53" i="111"/>
  <c r="M31" i="111"/>
  <c r="BH53" i="111"/>
  <c r="M53" i="111"/>
  <c r="BH31" i="111"/>
  <c r="W87" i="111"/>
  <c r="AQ53" i="111"/>
  <c r="AG87" i="111"/>
  <c r="BA64" i="111"/>
  <c r="BL53" i="111"/>
  <c r="AQ31" i="111"/>
  <c r="M64" i="111"/>
  <c r="BL87" i="111"/>
  <c r="BA53" i="111"/>
  <c r="BA87" i="111"/>
  <c r="W64" i="111"/>
  <c r="W31" i="111"/>
  <c r="BL64" i="111"/>
  <c r="M87" i="111"/>
  <c r="BH87" i="111"/>
  <c r="AQ64" i="111"/>
  <c r="BH64" i="111"/>
  <c r="W53" i="111"/>
  <c r="AG31" i="111"/>
  <c r="BL31" i="111"/>
  <c r="BA81" i="111"/>
  <c r="W81" i="111"/>
  <c r="AG81" i="111"/>
  <c r="F143" i="141"/>
  <c r="AQ81" i="111"/>
  <c r="BH81" i="111"/>
  <c r="BL81" i="111"/>
  <c r="M81" i="111"/>
  <c r="W57" i="111"/>
  <c r="BL57" i="111"/>
  <c r="BA57" i="111"/>
  <c r="BH57" i="111"/>
  <c r="F132" i="141"/>
  <c r="AG57" i="111"/>
  <c r="AQ57" i="111"/>
  <c r="M57" i="111"/>
  <c r="BG56" i="111"/>
  <c r="E131" i="141"/>
  <c r="BL82" i="111"/>
  <c r="BA82" i="111"/>
  <c r="AG82" i="111"/>
  <c r="W82" i="111"/>
  <c r="F144" i="141"/>
  <c r="AQ82" i="111"/>
  <c r="BH82" i="111"/>
  <c r="M82" i="111"/>
  <c r="AQ59" i="111"/>
  <c r="W59" i="111"/>
  <c r="AG59" i="111"/>
  <c r="BL59" i="111"/>
  <c r="BA59" i="111"/>
  <c r="F134" i="141"/>
  <c r="BH59" i="111"/>
  <c r="M59" i="111"/>
  <c r="BG23" i="111"/>
  <c r="E101" i="141"/>
  <c r="H91" i="141"/>
  <c r="G91" i="141"/>
  <c r="H96" i="141"/>
  <c r="G96" i="141"/>
  <c r="H94" i="141"/>
  <c r="G94" i="141"/>
  <c r="W24" i="111"/>
  <c r="BL24" i="111"/>
  <c r="F102" i="141"/>
  <c r="BA24" i="111"/>
  <c r="BH24" i="111"/>
  <c r="AG24" i="111"/>
  <c r="AQ24" i="111"/>
  <c r="M24" i="111"/>
  <c r="BL61" i="111"/>
  <c r="F136" i="141"/>
  <c r="AQ61" i="111"/>
  <c r="BA61" i="111"/>
  <c r="AG61" i="111"/>
  <c r="BH61" i="111"/>
  <c r="W61" i="111"/>
  <c r="M61" i="111"/>
  <c r="AG50" i="111"/>
  <c r="BL50" i="111"/>
  <c r="F126" i="141"/>
  <c r="W50" i="111"/>
  <c r="BA50" i="111"/>
  <c r="BH50" i="111"/>
  <c r="AQ50" i="111"/>
  <c r="M50" i="111"/>
  <c r="G95" i="141"/>
  <c r="H95" i="141"/>
  <c r="W26" i="111"/>
  <c r="AQ26" i="111"/>
  <c r="AG26" i="111"/>
  <c r="BL26" i="111"/>
  <c r="BH26" i="111"/>
  <c r="F104" i="141"/>
  <c r="BA26" i="111"/>
  <c r="M26" i="111"/>
  <c r="BH60" i="111"/>
  <c r="F135" i="141"/>
  <c r="AQ60" i="111"/>
  <c r="AG60" i="111"/>
  <c r="W60" i="111"/>
  <c r="BA60" i="111"/>
  <c r="BL60" i="111"/>
  <c r="M60" i="111"/>
  <c r="BA80" i="111"/>
  <c r="AQ80" i="111"/>
  <c r="F142" i="141"/>
  <c r="BL80" i="111"/>
  <c r="W80" i="111"/>
  <c r="BH80" i="111"/>
  <c r="AG80" i="111"/>
  <c r="M80" i="111"/>
  <c r="AQ45" i="111"/>
  <c r="F121" i="141"/>
  <c r="AG45" i="111"/>
  <c r="W45" i="111"/>
  <c r="BH45" i="111"/>
  <c r="BA45" i="111"/>
  <c r="BL45" i="111"/>
  <c r="G93" i="141"/>
  <c r="H93" i="141"/>
  <c r="F122" i="141"/>
  <c r="BL46" i="111"/>
  <c r="BA46" i="111"/>
  <c r="W46" i="111"/>
  <c r="AG46" i="111"/>
  <c r="BH46" i="111"/>
  <c r="AQ46" i="111"/>
  <c r="M46" i="111"/>
  <c r="AG83" i="111"/>
  <c r="F145" i="141"/>
  <c r="BH83" i="111"/>
  <c r="W83" i="111"/>
  <c r="AQ83" i="111"/>
  <c r="BA83" i="111"/>
  <c r="BL83" i="111"/>
  <c r="M83" i="111"/>
  <c r="E141" i="141"/>
  <c r="BG79" i="111"/>
  <c r="AG28" i="111"/>
  <c r="BH28" i="111"/>
  <c r="BL28" i="111"/>
  <c r="AQ28" i="111"/>
  <c r="BA28" i="111"/>
  <c r="W28" i="111"/>
  <c r="F106" i="141"/>
  <c r="M28" i="111"/>
  <c r="BL58" i="111"/>
  <c r="F133" i="141"/>
  <c r="AG58" i="111"/>
  <c r="M58" i="111"/>
  <c r="M45" i="111"/>
  <c r="F125" i="141"/>
  <c r="W49" i="111"/>
  <c r="BH49" i="111"/>
  <c r="AG49" i="111"/>
  <c r="BA49" i="111"/>
  <c r="BL49" i="111"/>
  <c r="AQ49" i="111"/>
  <c r="M49" i="111"/>
  <c r="BA47" i="111"/>
  <c r="W47" i="111"/>
  <c r="BL47" i="111"/>
  <c r="AG47" i="111"/>
  <c r="AQ47" i="111"/>
  <c r="F123" i="141"/>
  <c r="BH47" i="111"/>
  <c r="M47" i="111"/>
  <c r="BH84" i="111"/>
  <c r="AQ84" i="111"/>
  <c r="W84" i="111"/>
  <c r="BA84" i="111"/>
  <c r="AG84" i="111"/>
  <c r="F146" i="141"/>
  <c r="BL84" i="111"/>
  <c r="M84" i="111"/>
  <c r="F103" i="141"/>
  <c r="AG25" i="111"/>
  <c r="AQ25" i="111"/>
  <c r="BA25" i="111"/>
  <c r="BL25" i="111"/>
  <c r="W25" i="111"/>
  <c r="BH25" i="111"/>
  <c r="M25" i="111"/>
  <c r="BL48" i="111"/>
  <c r="AG48" i="111"/>
  <c r="W48" i="111"/>
  <c r="F124" i="141"/>
  <c r="BH48" i="111"/>
  <c r="AQ48" i="111"/>
  <c r="BA48" i="111"/>
  <c r="M48" i="111"/>
  <c r="G92" i="141"/>
  <c r="H92" i="141"/>
  <c r="W27" i="111"/>
  <c r="BH27" i="111"/>
  <c r="AQ27" i="111"/>
  <c r="BA27" i="111"/>
  <c r="F105" i="141"/>
  <c r="BL27" i="111"/>
  <c r="AG27" i="111"/>
  <c r="M27" i="111"/>
  <c r="E111" i="141"/>
  <c r="W58" i="111" l="1"/>
  <c r="BH58" i="111"/>
  <c r="AQ58" i="111"/>
  <c r="H108" i="141"/>
  <c r="G108" i="141"/>
  <c r="H148" i="141"/>
  <c r="G148" i="141"/>
  <c r="H128" i="141"/>
  <c r="G128" i="141"/>
  <c r="H138" i="141"/>
  <c r="G138" i="141"/>
  <c r="H109" i="141"/>
  <c r="G109" i="141"/>
  <c r="H149" i="141"/>
  <c r="G149" i="141"/>
  <c r="H105" i="141"/>
  <c r="G105" i="141"/>
  <c r="G133" i="141"/>
  <c r="H133" i="141"/>
  <c r="BH79" i="111"/>
  <c r="BA79" i="111"/>
  <c r="AG79" i="111"/>
  <c r="W79" i="111"/>
  <c r="F141" i="141"/>
  <c r="AQ79" i="111"/>
  <c r="BL79" i="111"/>
  <c r="M79" i="111"/>
  <c r="H145" i="141"/>
  <c r="G145" i="141"/>
  <c r="G142" i="141"/>
  <c r="H142" i="141"/>
  <c r="H135" i="141"/>
  <c r="G135" i="141"/>
  <c r="G104" i="141"/>
  <c r="H104" i="141"/>
  <c r="H126" i="141"/>
  <c r="G126" i="141"/>
  <c r="G134" i="141"/>
  <c r="H134" i="141"/>
  <c r="BA56" i="111"/>
  <c r="F131" i="141"/>
  <c r="W56" i="111"/>
  <c r="AQ56" i="111"/>
  <c r="BH56" i="111"/>
  <c r="AG56" i="111"/>
  <c r="BL56" i="111"/>
  <c r="M56" i="111"/>
  <c r="G132" i="141"/>
  <c r="H132" i="141"/>
  <c r="G103" i="141"/>
  <c r="H103" i="141"/>
  <c r="G125" i="141"/>
  <c r="H125" i="141"/>
  <c r="H136" i="141"/>
  <c r="G136" i="141"/>
  <c r="H146" i="141"/>
  <c r="G146" i="141"/>
  <c r="H123" i="141"/>
  <c r="G123" i="141"/>
  <c r="H102" i="141"/>
  <c r="G102" i="141"/>
  <c r="H144" i="141"/>
  <c r="G144" i="141"/>
  <c r="G124" i="141"/>
  <c r="H124" i="141"/>
  <c r="H106" i="141"/>
  <c r="G106" i="141"/>
  <c r="G122" i="141"/>
  <c r="H122" i="141"/>
  <c r="H121" i="141"/>
  <c r="G121" i="141"/>
  <c r="BA23" i="111"/>
  <c r="F101" i="141"/>
  <c r="BH23" i="111"/>
  <c r="W23" i="111"/>
  <c r="AQ23" i="111"/>
  <c r="AG23" i="111"/>
  <c r="BL23" i="111"/>
  <c r="M23" i="111"/>
  <c r="H143" i="141"/>
  <c r="G143" i="141"/>
  <c r="H141" i="141" l="1"/>
  <c r="G141" i="141"/>
  <c r="H101" i="141"/>
  <c r="G101" i="141"/>
  <c r="G131" i="141"/>
  <c r="H131" i="141"/>
  <c r="F11" i="111" l="1"/>
  <c r="J11" i="111" l="1"/>
  <c r="T11" i="111"/>
  <c r="P11" i="111"/>
  <c r="Z11" i="111" l="1"/>
  <c r="AJ11" i="111"/>
  <c r="AT11" i="111"/>
  <c r="AX11" i="111" l="1"/>
  <c r="BH11" i="111"/>
  <c r="BD11" i="111"/>
  <c r="BL10" i="111" l="1"/>
  <c r="F22" i="111"/>
  <c r="J22" i="111" l="1"/>
  <c r="F33" i="111"/>
  <c r="F44" i="111" l="1"/>
  <c r="J44" i="111" l="1"/>
  <c r="F55" i="111"/>
  <c r="J55" i="111" l="1"/>
  <c r="F78" i="111"/>
  <c r="J78" i="111" l="1"/>
  <c r="P22" i="111"/>
  <c r="T22" i="111" l="1"/>
  <c r="Z22" i="111"/>
  <c r="AJ22" i="111" l="1"/>
  <c r="AT22" i="111"/>
  <c r="AX22" i="111" l="1"/>
  <c r="BD22" i="111"/>
  <c r="BL21" i="111" l="1"/>
  <c r="BH22" i="111"/>
  <c r="P33" i="111"/>
  <c r="T33" i="111" l="1"/>
  <c r="Z33" i="111"/>
  <c r="AJ33" i="111" l="1"/>
  <c r="AT33" i="111"/>
  <c r="AX33" i="111" l="1"/>
  <c r="BD33" i="111"/>
  <c r="P44" i="111" l="1"/>
  <c r="T44" i="111" l="1"/>
  <c r="Z44" i="111"/>
  <c r="Z55" i="111" l="1"/>
  <c r="P55" i="111" l="1"/>
  <c r="AJ44" i="111" l="1"/>
  <c r="T66" i="111" l="1"/>
  <c r="T55" i="111"/>
  <c r="AJ55" i="111"/>
  <c r="AT44" i="111" l="1"/>
  <c r="AX44" i="111" l="1"/>
  <c r="AT55" i="111"/>
  <c r="AX55" i="111" l="1"/>
  <c r="AX66" i="111" l="1"/>
  <c r="BD44" i="111"/>
  <c r="BL43" i="111" l="1"/>
  <c r="BH44" i="111"/>
  <c r="BD55" i="111"/>
  <c r="BH55" i="111" l="1"/>
  <c r="BL54" i="111"/>
  <c r="P78" i="111" l="1"/>
  <c r="Z78" i="111" l="1"/>
  <c r="AJ78" i="111"/>
  <c r="T89" i="111" l="1"/>
  <c r="T78" i="111"/>
  <c r="AT78" i="111"/>
  <c r="AX78" i="111" l="1"/>
  <c r="AX89" i="111"/>
  <c r="BD78" i="111"/>
  <c r="BL77" i="111" l="1"/>
  <c r="BH78" i="111"/>
  <c r="K65" i="111"/>
  <c r="K88" i="111" s="1"/>
  <c r="BI32" i="111"/>
  <c r="BF32" i="111" s="1"/>
  <c r="H32" i="111"/>
  <c r="H41" i="111" l="1"/>
  <c r="I41" i="111" s="1"/>
  <c r="H40" i="111"/>
  <c r="I40" i="111" s="1"/>
  <c r="BF40" i="111"/>
  <c r="BG40" i="111" s="1"/>
  <c r="F117" i="141" s="1"/>
  <c r="BF41" i="111"/>
  <c r="BG41" i="111" s="1"/>
  <c r="F118" i="141" s="1"/>
  <c r="BF35" i="111"/>
  <c r="BG35" i="111" s="1"/>
  <c r="BF38" i="111"/>
  <c r="BG38" i="111" s="1"/>
  <c r="BF37" i="111"/>
  <c r="BG37" i="111" s="1"/>
  <c r="BF34" i="111"/>
  <c r="BG34" i="111" s="1"/>
  <c r="BF36" i="111"/>
  <c r="BG36" i="111" s="1"/>
  <c r="BF39" i="111"/>
  <c r="BG39" i="111" s="1"/>
  <c r="BG32" i="111"/>
  <c r="BF42" i="111"/>
  <c r="BG42" i="111" s="1"/>
  <c r="F119" i="141" s="1"/>
  <c r="I32" i="111"/>
  <c r="H42" i="111"/>
  <c r="I42" i="111" s="1"/>
  <c r="H36" i="111"/>
  <c r="I36" i="111" s="1"/>
  <c r="H38" i="111"/>
  <c r="I38" i="111" s="1"/>
  <c r="BI65" i="111"/>
  <c r="H37" i="111"/>
  <c r="I37" i="111" s="1"/>
  <c r="H34" i="111"/>
  <c r="I34" i="111" s="1"/>
  <c r="H35" i="111"/>
  <c r="I35" i="111" s="1"/>
  <c r="H39" i="111"/>
  <c r="I39" i="111" s="1"/>
  <c r="H119" i="141" l="1"/>
  <c r="G119" i="141"/>
  <c r="F89" i="141"/>
  <c r="F79" i="141"/>
  <c r="F219" i="141" s="1"/>
  <c r="I236" i="141" s="1"/>
  <c r="H118" i="141"/>
  <c r="G118" i="141"/>
  <c r="F88" i="141"/>
  <c r="F78" i="141"/>
  <c r="F218" i="141" s="1"/>
  <c r="I235" i="141" s="1"/>
  <c r="H117" i="141"/>
  <c r="G117" i="141"/>
  <c r="F87" i="141"/>
  <c r="F77" i="141"/>
  <c r="F217" i="141" s="1"/>
  <c r="I234" i="141" s="1"/>
  <c r="AQ40" i="111"/>
  <c r="BG73" i="111"/>
  <c r="BH40" i="111"/>
  <c r="BH73" i="111" s="1"/>
  <c r="BH96" i="111" s="1"/>
  <c r="BA40" i="111"/>
  <c r="BL40" i="111"/>
  <c r="AG40" i="111"/>
  <c r="W40" i="111"/>
  <c r="J40" i="111"/>
  <c r="J73" i="111" s="1"/>
  <c r="J96" i="111" s="1"/>
  <c r="I73" i="111"/>
  <c r="M40" i="111"/>
  <c r="J41" i="111"/>
  <c r="J74" i="111" s="1"/>
  <c r="J97" i="111" s="1"/>
  <c r="I74" i="111"/>
  <c r="M41" i="111"/>
  <c r="AG41" i="111"/>
  <c r="BL41" i="111"/>
  <c r="W41" i="111"/>
  <c r="AQ41" i="111"/>
  <c r="BG74" i="111"/>
  <c r="BH41" i="111"/>
  <c r="BH74" i="111" s="1"/>
  <c r="BH97" i="111" s="1"/>
  <c r="BA41" i="111"/>
  <c r="I72" i="111"/>
  <c r="M39" i="111"/>
  <c r="J39" i="111"/>
  <c r="J72" i="111" s="1"/>
  <c r="J95" i="111" s="1"/>
  <c r="M38" i="111"/>
  <c r="I71" i="111"/>
  <c r="J38" i="111"/>
  <c r="J71" i="111" s="1"/>
  <c r="J94" i="111" s="1"/>
  <c r="J32" i="111"/>
  <c r="I65" i="111"/>
  <c r="M32" i="111"/>
  <c r="AG36" i="111"/>
  <c r="BH36" i="111"/>
  <c r="BH69" i="111" s="1"/>
  <c r="BH92" i="111" s="1"/>
  <c r="F113" i="141"/>
  <c r="W36" i="111"/>
  <c r="BA36" i="111"/>
  <c r="BG69" i="111"/>
  <c r="AQ36" i="111"/>
  <c r="BL36" i="111"/>
  <c r="F115" i="141"/>
  <c r="BL38" i="111"/>
  <c r="AG38" i="111"/>
  <c r="W38" i="111"/>
  <c r="BA38" i="111"/>
  <c r="BG71" i="111"/>
  <c r="BH38" i="111"/>
  <c r="BH71" i="111" s="1"/>
  <c r="BH94" i="111" s="1"/>
  <c r="AQ38" i="111"/>
  <c r="BL42" i="111"/>
  <c r="BG75" i="111"/>
  <c r="BA42" i="111"/>
  <c r="W42" i="111"/>
  <c r="AQ42" i="111"/>
  <c r="BH42" i="111"/>
  <c r="BH75" i="111" s="1"/>
  <c r="BH98" i="111" s="1"/>
  <c r="AG42" i="111"/>
  <c r="W35" i="111"/>
  <c r="BG68" i="111"/>
  <c r="AQ35" i="111"/>
  <c r="BH35" i="111"/>
  <c r="BH68" i="111" s="1"/>
  <c r="BH91" i="111" s="1"/>
  <c r="AG35" i="111"/>
  <c r="BA35" i="111"/>
  <c r="F112" i="141"/>
  <c r="BL35" i="111"/>
  <c r="J34" i="111"/>
  <c r="J67" i="111" s="1"/>
  <c r="J90" i="111" s="1"/>
  <c r="I67" i="111"/>
  <c r="M34" i="111"/>
  <c r="M36" i="111"/>
  <c r="J36" i="111"/>
  <c r="J69" i="111" s="1"/>
  <c r="J92" i="111" s="1"/>
  <c r="I69" i="111"/>
  <c r="BH32" i="111"/>
  <c r="AG32" i="111"/>
  <c r="W32" i="111"/>
  <c r="BA32" i="111"/>
  <c r="BG65" i="111"/>
  <c r="AQ32" i="111"/>
  <c r="BL34" i="111"/>
  <c r="F111" i="141"/>
  <c r="BH34" i="111"/>
  <c r="BH67" i="111" s="1"/>
  <c r="BH90" i="111" s="1"/>
  <c r="AG34" i="111"/>
  <c r="AQ34" i="111"/>
  <c r="W34" i="111"/>
  <c r="BG67" i="111"/>
  <c r="BA34" i="111"/>
  <c r="J35" i="111"/>
  <c r="J68" i="111" s="1"/>
  <c r="J91" i="111" s="1"/>
  <c r="M35" i="111"/>
  <c r="I68" i="111"/>
  <c r="I70" i="111"/>
  <c r="J37" i="111"/>
  <c r="J70" i="111" s="1"/>
  <c r="J93" i="111" s="1"/>
  <c r="M37" i="111"/>
  <c r="BI88" i="111"/>
  <c r="J42" i="111"/>
  <c r="J75" i="111" s="1"/>
  <c r="J98" i="111" s="1"/>
  <c r="I75" i="111"/>
  <c r="M42" i="111"/>
  <c r="BH39" i="111"/>
  <c r="BH72" i="111" s="1"/>
  <c r="BH95" i="111" s="1"/>
  <c r="AQ39" i="111"/>
  <c r="BL39" i="111"/>
  <c r="AG39" i="111"/>
  <c r="BA39" i="111"/>
  <c r="F116" i="141"/>
  <c r="BG72" i="111"/>
  <c r="W39" i="111"/>
  <c r="BG70" i="111"/>
  <c r="W37" i="111"/>
  <c r="AQ37" i="111"/>
  <c r="BA37" i="111"/>
  <c r="BH37" i="111"/>
  <c r="BH70" i="111" s="1"/>
  <c r="BH93" i="111" s="1"/>
  <c r="F114" i="141"/>
  <c r="BL37" i="111"/>
  <c r="AG37" i="111"/>
  <c r="I266" i="141" l="1"/>
  <c r="R235" i="141"/>
  <c r="CX235" i="141"/>
  <c r="BH235" i="141"/>
  <c r="CC235" i="141"/>
  <c r="DS235" i="141"/>
  <c r="AM235" i="141"/>
  <c r="I294" i="141"/>
  <c r="R236" i="141"/>
  <c r="I267" i="141"/>
  <c r="I295" i="141"/>
  <c r="AM236" i="141"/>
  <c r="CX236" i="141"/>
  <c r="DS236" i="141"/>
  <c r="CC236" i="141"/>
  <c r="BH236" i="141"/>
  <c r="G87" i="141"/>
  <c r="G77" i="141"/>
  <c r="G217" i="141" s="1"/>
  <c r="J234" i="141" s="1"/>
  <c r="G78" i="141"/>
  <c r="G218" i="141" s="1"/>
  <c r="J235" i="141" s="1"/>
  <c r="G88" i="141"/>
  <c r="G79" i="141"/>
  <c r="G219" i="141" s="1"/>
  <c r="J236" i="141" s="1"/>
  <c r="G89" i="141"/>
  <c r="H87" i="141"/>
  <c r="H77" i="141"/>
  <c r="H217" i="141" s="1"/>
  <c r="K234" i="141" s="1"/>
  <c r="H88" i="141"/>
  <c r="H78" i="141"/>
  <c r="H218" i="141" s="1"/>
  <c r="K235" i="141" s="1"/>
  <c r="H79" i="141"/>
  <c r="H219" i="141" s="1"/>
  <c r="K236" i="141" s="1"/>
  <c r="H89" i="141"/>
  <c r="I97" i="111"/>
  <c r="M74" i="111"/>
  <c r="W74" i="111"/>
  <c r="AG74" i="111"/>
  <c r="BG97" i="111"/>
  <c r="AQ74" i="111"/>
  <c r="BA74" i="111"/>
  <c r="AG73" i="111"/>
  <c r="AQ73" i="111"/>
  <c r="W73" i="111"/>
  <c r="BG96" i="111"/>
  <c r="BA73" i="111"/>
  <c r="I96" i="111"/>
  <c r="M73" i="111"/>
  <c r="I265" i="141"/>
  <c r="I293" i="141"/>
  <c r="CX234" i="141"/>
  <c r="BH234" i="141"/>
  <c r="R234" i="141"/>
  <c r="AM234" i="141"/>
  <c r="CC234" i="141"/>
  <c r="DS234" i="141"/>
  <c r="BL32" i="111"/>
  <c r="BG93" i="111"/>
  <c r="AQ70" i="111"/>
  <c r="BA70" i="111"/>
  <c r="W70" i="111"/>
  <c r="AG70" i="111"/>
  <c r="I93" i="111"/>
  <c r="M70" i="111"/>
  <c r="BG90" i="111"/>
  <c r="AQ67" i="111"/>
  <c r="BA67" i="111"/>
  <c r="W67" i="111"/>
  <c r="AG67" i="111"/>
  <c r="BH65" i="111"/>
  <c r="BG88" i="111"/>
  <c r="W65" i="111"/>
  <c r="AQ65" i="111"/>
  <c r="AG65" i="111"/>
  <c r="BA65" i="111"/>
  <c r="BH33" i="111"/>
  <c r="BJ32" i="111"/>
  <c r="H112" i="141"/>
  <c r="F82" i="141"/>
  <c r="F72" i="141"/>
  <c r="F212" i="141" s="1"/>
  <c r="I229" i="141" s="1"/>
  <c r="G112" i="141"/>
  <c r="BG98" i="111"/>
  <c r="W75" i="111"/>
  <c r="AQ75" i="111"/>
  <c r="AG75" i="111"/>
  <c r="BA75" i="111"/>
  <c r="G113" i="141"/>
  <c r="F73" i="141"/>
  <c r="F213" i="141" s="1"/>
  <c r="I230" i="141" s="1"/>
  <c r="F83" i="141"/>
  <c r="H113" i="141"/>
  <c r="M65" i="111"/>
  <c r="I88" i="111"/>
  <c r="J65" i="111"/>
  <c r="I91" i="111"/>
  <c r="M68" i="111"/>
  <c r="G111" i="141"/>
  <c r="H111" i="141"/>
  <c r="F71" i="141"/>
  <c r="F211" i="141" s="1"/>
  <c r="I228" i="141" s="1"/>
  <c r="F81" i="141"/>
  <c r="M69" i="111"/>
  <c r="I92" i="111"/>
  <c r="I90" i="111"/>
  <c r="M67" i="111"/>
  <c r="AG68" i="111"/>
  <c r="AQ68" i="111"/>
  <c r="BA68" i="111"/>
  <c r="BG91" i="111"/>
  <c r="W68" i="111"/>
  <c r="BA71" i="111"/>
  <c r="AQ71" i="111"/>
  <c r="AG71" i="111"/>
  <c r="BG94" i="111"/>
  <c r="W71" i="111"/>
  <c r="BG92" i="111"/>
  <c r="BA69" i="111"/>
  <c r="AQ69" i="111"/>
  <c r="AG69" i="111"/>
  <c r="W69" i="111"/>
  <c r="J33" i="111"/>
  <c r="L32" i="111"/>
  <c r="BG95" i="111"/>
  <c r="AQ72" i="111"/>
  <c r="W72" i="111"/>
  <c r="AG72" i="111"/>
  <c r="BA72" i="111"/>
  <c r="G115" i="141"/>
  <c r="F75" i="141"/>
  <c r="F215" i="141" s="1"/>
  <c r="I232" i="141" s="1"/>
  <c r="F85" i="141"/>
  <c r="H115" i="141"/>
  <c r="I98" i="111"/>
  <c r="M75" i="111"/>
  <c r="H114" i="141"/>
  <c r="F84" i="141"/>
  <c r="G114" i="141"/>
  <c r="F74" i="141"/>
  <c r="F214" i="141" s="1"/>
  <c r="I231" i="141" s="1"/>
  <c r="F86" i="141"/>
  <c r="G116" i="141"/>
  <c r="F76" i="141"/>
  <c r="F216" i="141" s="1"/>
  <c r="I233" i="141" s="1"/>
  <c r="H116" i="141"/>
  <c r="I94" i="111"/>
  <c r="M71" i="111"/>
  <c r="I95" i="111"/>
  <c r="M72" i="111"/>
  <c r="CX294" i="141" l="1"/>
  <c r="AM294" i="141"/>
  <c r="DS294" i="141"/>
  <c r="BH294" i="141"/>
  <c r="R294" i="141"/>
  <c r="CC294" i="141"/>
  <c r="K295" i="141"/>
  <c r="T236" i="141"/>
  <c r="CZ236" i="141"/>
  <c r="K267" i="141"/>
  <c r="DU236" i="141"/>
  <c r="BJ236" i="141"/>
  <c r="CE236" i="141"/>
  <c r="AO236" i="141"/>
  <c r="AN235" i="141"/>
  <c r="CD235" i="141"/>
  <c r="S235" i="141"/>
  <c r="J266" i="141"/>
  <c r="J294" i="141"/>
  <c r="CY235" i="141"/>
  <c r="DT235" i="141"/>
  <c r="BI235" i="141"/>
  <c r="R295" i="141"/>
  <c r="BH295" i="141"/>
  <c r="CC295" i="141"/>
  <c r="AM295" i="141"/>
  <c r="CX295" i="141"/>
  <c r="DS295" i="141"/>
  <c r="K294" i="141"/>
  <c r="DU235" i="141"/>
  <c r="K266" i="141"/>
  <c r="CZ235" i="141"/>
  <c r="AO235" i="141"/>
  <c r="T235" i="141"/>
  <c r="BJ235" i="141"/>
  <c r="CE235" i="141"/>
  <c r="CX267" i="141"/>
  <c r="R267" i="141"/>
  <c r="CC267" i="141"/>
  <c r="BH267" i="141"/>
  <c r="AM267" i="141"/>
  <c r="DS267" i="141"/>
  <c r="J267" i="141"/>
  <c r="S236" i="141"/>
  <c r="BI236" i="141"/>
  <c r="CD236" i="141"/>
  <c r="DT236" i="141"/>
  <c r="CY236" i="141"/>
  <c r="J295" i="141"/>
  <c r="AN236" i="141"/>
  <c r="R266" i="141"/>
  <c r="BH266" i="141"/>
  <c r="DS266" i="141"/>
  <c r="CX266" i="141"/>
  <c r="AM266" i="141"/>
  <c r="CC266" i="141"/>
  <c r="M96" i="111"/>
  <c r="AG96" i="111"/>
  <c r="W96" i="111"/>
  <c r="AQ96" i="111"/>
  <c r="BA96" i="111"/>
  <c r="W97" i="111"/>
  <c r="AQ97" i="111"/>
  <c r="AG97" i="111"/>
  <c r="BA97" i="111"/>
  <c r="M97" i="111"/>
  <c r="M95" i="111"/>
  <c r="M94" i="111"/>
  <c r="K265" i="141"/>
  <c r="BJ234" i="141"/>
  <c r="K293" i="141"/>
  <c r="CE234" i="141"/>
  <c r="CZ234" i="141"/>
  <c r="T234" i="141"/>
  <c r="AO234" i="141"/>
  <c r="DU234" i="141"/>
  <c r="J293" i="141"/>
  <c r="J265" i="141"/>
  <c r="S234" i="141"/>
  <c r="CD234" i="141"/>
  <c r="BI234" i="141"/>
  <c r="CY234" i="141"/>
  <c r="AN234" i="141"/>
  <c r="DT234" i="141"/>
  <c r="BH293" i="141"/>
  <c r="R293" i="141"/>
  <c r="CX293" i="141"/>
  <c r="DS293" i="141"/>
  <c r="CC293" i="141"/>
  <c r="AM293" i="141"/>
  <c r="R265" i="141"/>
  <c r="CX265" i="141"/>
  <c r="BH265" i="141"/>
  <c r="DS265" i="141"/>
  <c r="CC265" i="141"/>
  <c r="AM265" i="141"/>
  <c r="I290" i="141"/>
  <c r="I262" i="141"/>
  <c r="I287" i="141"/>
  <c r="I259" i="141"/>
  <c r="I260" i="141"/>
  <c r="I288" i="141"/>
  <c r="I264" i="141"/>
  <c r="I292" i="141"/>
  <c r="I263" i="141"/>
  <c r="I291" i="141"/>
  <c r="I261" i="141"/>
  <c r="I289" i="141"/>
  <c r="M98" i="111"/>
  <c r="M93" i="111"/>
  <c r="M90" i="111"/>
  <c r="CC231" i="141"/>
  <c r="R231" i="141"/>
  <c r="DS231" i="141"/>
  <c r="CX231" i="141"/>
  <c r="BH231" i="141"/>
  <c r="AM231" i="141"/>
  <c r="R232" i="141"/>
  <c r="BH232" i="141"/>
  <c r="CC232" i="141"/>
  <c r="DS232" i="141"/>
  <c r="AM232" i="141"/>
  <c r="CX232" i="141"/>
  <c r="W92" i="111"/>
  <c r="AQ92" i="111"/>
  <c r="AG92" i="111"/>
  <c r="BA92" i="111"/>
  <c r="AG91" i="111"/>
  <c r="AQ91" i="111"/>
  <c r="BA91" i="111"/>
  <c r="W91" i="111"/>
  <c r="J66" i="111"/>
  <c r="L65" i="111"/>
  <c r="G72" i="141"/>
  <c r="G212" i="141" s="1"/>
  <c r="J229" i="141" s="1"/>
  <c r="G82" i="141"/>
  <c r="AG90" i="111"/>
  <c r="BA90" i="111"/>
  <c r="W90" i="111"/>
  <c r="AQ90" i="111"/>
  <c r="R233" i="141"/>
  <c r="CC233" i="141"/>
  <c r="DS233" i="141"/>
  <c r="AM233" i="141"/>
  <c r="CX233" i="141"/>
  <c r="BH233" i="141"/>
  <c r="G74" i="141"/>
  <c r="G214" i="141" s="1"/>
  <c r="J231" i="141" s="1"/>
  <c r="G84" i="141"/>
  <c r="W95" i="111"/>
  <c r="AQ95" i="111"/>
  <c r="AG95" i="111"/>
  <c r="BA95" i="111"/>
  <c r="CC228" i="141"/>
  <c r="AM228" i="141"/>
  <c r="BH228" i="141"/>
  <c r="R228" i="141"/>
  <c r="CX228" i="141"/>
  <c r="DS228" i="141"/>
  <c r="J88" i="111"/>
  <c r="M88" i="111"/>
  <c r="CC230" i="141"/>
  <c r="R230" i="141"/>
  <c r="DS230" i="141"/>
  <c r="BH230" i="141"/>
  <c r="CX230" i="141"/>
  <c r="AM230" i="141"/>
  <c r="BH229" i="141"/>
  <c r="CX229" i="141"/>
  <c r="R229" i="141"/>
  <c r="DS229" i="141"/>
  <c r="AM229" i="141"/>
  <c r="CC229" i="141"/>
  <c r="H76" i="141"/>
  <c r="H216" i="141" s="1"/>
  <c r="K233" i="141" s="1"/>
  <c r="H86" i="141"/>
  <c r="G75" i="141"/>
  <c r="G215" i="141" s="1"/>
  <c r="J232" i="141" s="1"/>
  <c r="G85" i="141"/>
  <c r="G76" i="141"/>
  <c r="G216" i="141" s="1"/>
  <c r="J233" i="141" s="1"/>
  <c r="G86" i="141"/>
  <c r="H75" i="141"/>
  <c r="H215" i="141" s="1"/>
  <c r="K232" i="141" s="1"/>
  <c r="H85" i="141"/>
  <c r="BA94" i="111"/>
  <c r="AQ94" i="111"/>
  <c r="W94" i="111"/>
  <c r="AG94" i="111"/>
  <c r="M92" i="111"/>
  <c r="H71" i="141"/>
  <c r="H211" i="141" s="1"/>
  <c r="K228" i="141" s="1"/>
  <c r="H81" i="141"/>
  <c r="M91" i="111"/>
  <c r="G73" i="141"/>
  <c r="G213" i="141" s="1"/>
  <c r="J230" i="141" s="1"/>
  <c r="G83" i="141"/>
  <c r="BH88" i="111"/>
  <c r="AG88" i="111"/>
  <c r="AQ88" i="111"/>
  <c r="W88" i="111"/>
  <c r="BA88" i="111"/>
  <c r="H74" i="141"/>
  <c r="H214" i="141" s="1"/>
  <c r="K231" i="141" s="1"/>
  <c r="H84" i="141"/>
  <c r="G71" i="141"/>
  <c r="G211" i="141" s="1"/>
  <c r="J228" i="141" s="1"/>
  <c r="G81" i="141"/>
  <c r="H73" i="141"/>
  <c r="H213" i="141" s="1"/>
  <c r="K230" i="141" s="1"/>
  <c r="H83" i="141"/>
  <c r="BA98" i="111"/>
  <c r="W98" i="111"/>
  <c r="AG98" i="111"/>
  <c r="AQ98" i="111"/>
  <c r="H82" i="141"/>
  <c r="H72" i="141"/>
  <c r="H212" i="141" s="1"/>
  <c r="K229" i="141" s="1"/>
  <c r="BH66" i="111"/>
  <c r="BJ65" i="111"/>
  <c r="AQ93" i="111"/>
  <c r="W93" i="111"/>
  <c r="BA93" i="111"/>
  <c r="AG93" i="111"/>
  <c r="CY267" i="141" l="1"/>
  <c r="S267" i="141"/>
  <c r="DT267" i="141"/>
  <c r="BI267" i="141"/>
  <c r="CD267" i="141"/>
  <c r="AN267" i="141"/>
  <c r="T266" i="141"/>
  <c r="BJ266" i="141"/>
  <c r="CE266" i="141"/>
  <c r="AO266" i="141"/>
  <c r="CZ266" i="141"/>
  <c r="DU266" i="141"/>
  <c r="CY294" i="141"/>
  <c r="CD294" i="141"/>
  <c r="DT294" i="141"/>
  <c r="AN294" i="141"/>
  <c r="BI294" i="141"/>
  <c r="S294" i="141"/>
  <c r="AO295" i="141"/>
  <c r="T295" i="141"/>
  <c r="BJ295" i="141"/>
  <c r="DU295" i="141"/>
  <c r="CZ295" i="141"/>
  <c r="CE295" i="141"/>
  <c r="DT266" i="141"/>
  <c r="S266" i="141"/>
  <c r="CY266" i="141"/>
  <c r="BI266" i="141"/>
  <c r="AN266" i="141"/>
  <c r="CD266" i="141"/>
  <c r="BJ267" i="141"/>
  <c r="CZ267" i="141"/>
  <c r="T267" i="141"/>
  <c r="DU267" i="141"/>
  <c r="CE267" i="141"/>
  <c r="AO267" i="141"/>
  <c r="AN295" i="141"/>
  <c r="CY295" i="141"/>
  <c r="DT295" i="141"/>
  <c r="CD295" i="141"/>
  <c r="S295" i="141"/>
  <c r="BI295" i="141"/>
  <c r="BJ294" i="141"/>
  <c r="CZ294" i="141"/>
  <c r="CE294" i="141"/>
  <c r="T294" i="141"/>
  <c r="DU294" i="141"/>
  <c r="AO294" i="141"/>
  <c r="DU293" i="141"/>
  <c r="BJ293" i="141"/>
  <c r="T293" i="141"/>
  <c r="CE293" i="141"/>
  <c r="AO293" i="141"/>
  <c r="CZ293" i="141"/>
  <c r="S265" i="141"/>
  <c r="DT265" i="141"/>
  <c r="CY265" i="141"/>
  <c r="BI265" i="141"/>
  <c r="AN265" i="141"/>
  <c r="CD265" i="141"/>
  <c r="CY293" i="141"/>
  <c r="DT293" i="141"/>
  <c r="AN293" i="141"/>
  <c r="BI293" i="141"/>
  <c r="CD293" i="141"/>
  <c r="S293" i="141"/>
  <c r="DU265" i="141"/>
  <c r="BJ265" i="141"/>
  <c r="CZ265" i="141"/>
  <c r="CE265" i="141"/>
  <c r="T265" i="141"/>
  <c r="AO265" i="141"/>
  <c r="K289" i="141"/>
  <c r="K261" i="141"/>
  <c r="K260" i="141"/>
  <c r="K288" i="141"/>
  <c r="K291" i="141"/>
  <c r="K263" i="141"/>
  <c r="J263" i="141"/>
  <c r="J291" i="141"/>
  <c r="J262" i="141"/>
  <c r="J290" i="141"/>
  <c r="J288" i="141"/>
  <c r="J260" i="141"/>
  <c r="DS261" i="141"/>
  <c r="R261" i="141"/>
  <c r="CX261" i="141"/>
  <c r="AM261" i="141"/>
  <c r="CC261" i="141"/>
  <c r="BH261" i="141"/>
  <c r="BH264" i="141"/>
  <c r="CC264" i="141"/>
  <c r="DS264" i="141"/>
  <c r="R264" i="141"/>
  <c r="CX264" i="141"/>
  <c r="AM264" i="141"/>
  <c r="R287" i="141"/>
  <c r="AM287" i="141"/>
  <c r="CX287" i="141"/>
  <c r="DS287" i="141"/>
  <c r="CC287" i="141"/>
  <c r="BH287" i="141"/>
  <c r="CC289" i="141"/>
  <c r="AM289" i="141"/>
  <c r="BH289" i="141"/>
  <c r="DS289" i="141"/>
  <c r="CX289" i="141"/>
  <c r="R289" i="141"/>
  <c r="CX292" i="141"/>
  <c r="AM292" i="141"/>
  <c r="CC292" i="141"/>
  <c r="DS292" i="141"/>
  <c r="BH292" i="141"/>
  <c r="R292" i="141"/>
  <c r="J259" i="141"/>
  <c r="J287" i="141"/>
  <c r="K262" i="141"/>
  <c r="K290" i="141"/>
  <c r="K259" i="141"/>
  <c r="K287" i="141"/>
  <c r="BH291" i="141"/>
  <c r="R291" i="141"/>
  <c r="CX291" i="141"/>
  <c r="DS291" i="141"/>
  <c r="AM291" i="141"/>
  <c r="CC291" i="141"/>
  <c r="AM288" i="141"/>
  <c r="BH288" i="141"/>
  <c r="R288" i="141"/>
  <c r="CC288" i="141"/>
  <c r="CX288" i="141"/>
  <c r="DS288" i="141"/>
  <c r="CX262" i="141"/>
  <c r="CC262" i="141"/>
  <c r="BH262" i="141"/>
  <c r="DS262" i="141"/>
  <c r="R262" i="141"/>
  <c r="AM262" i="141"/>
  <c r="CC259" i="141"/>
  <c r="BH259" i="141"/>
  <c r="AM259" i="141"/>
  <c r="R259" i="141"/>
  <c r="CX259" i="141"/>
  <c r="DS259" i="141"/>
  <c r="J261" i="141"/>
  <c r="J289" i="141"/>
  <c r="J264" i="141"/>
  <c r="J292" i="141"/>
  <c r="K264" i="141"/>
  <c r="K292" i="141"/>
  <c r="CX263" i="141"/>
  <c r="R263" i="141"/>
  <c r="DS263" i="141"/>
  <c r="BH263" i="141"/>
  <c r="AM263" i="141"/>
  <c r="CC263" i="141"/>
  <c r="R260" i="141"/>
  <c r="BH260" i="141"/>
  <c r="CX260" i="141"/>
  <c r="DS260" i="141"/>
  <c r="AM260" i="141"/>
  <c r="CC260" i="141"/>
  <c r="CX290" i="141"/>
  <c r="R290" i="141"/>
  <c r="CC290" i="141"/>
  <c r="BH290" i="141"/>
  <c r="DS290" i="141"/>
  <c r="AM290" i="141"/>
  <c r="DS227" i="141"/>
  <c r="DS238" i="141" s="1"/>
  <c r="DY239" i="141" s="1"/>
  <c r="DY294" i="141" s="1"/>
  <c r="EE294" i="141" s="1"/>
  <c r="AM227" i="141"/>
  <c r="AM238" i="141" s="1"/>
  <c r="AS239" i="141" s="1"/>
  <c r="AS294" i="141" s="1"/>
  <c r="AY294" i="141" s="1"/>
  <c r="CX227" i="141"/>
  <c r="CX238" i="141" s="1"/>
  <c r="DD239" i="141" s="1"/>
  <c r="DD294" i="141" s="1"/>
  <c r="DJ294" i="141" s="1"/>
  <c r="CC227" i="141"/>
  <c r="CC238" i="141" s="1"/>
  <c r="CI239" i="141" s="1"/>
  <c r="CI294" i="141" s="1"/>
  <c r="CO294" i="141" s="1"/>
  <c r="R227" i="141"/>
  <c r="R238" i="141" s="1"/>
  <c r="X239" i="141" s="1"/>
  <c r="X294" i="141" s="1"/>
  <c r="AD294" i="141" s="1"/>
  <c r="BH227" i="141"/>
  <c r="BH238" i="141" s="1"/>
  <c r="BN239" i="141" s="1"/>
  <c r="BJ230" i="141"/>
  <c r="AO230" i="141"/>
  <c r="CE230" i="141"/>
  <c r="DU230" i="141"/>
  <c r="T230" i="141"/>
  <c r="CZ230" i="141"/>
  <c r="DU228" i="141"/>
  <c r="AO228" i="141"/>
  <c r="BJ228" i="141"/>
  <c r="T228" i="141"/>
  <c r="CZ228" i="141"/>
  <c r="CE228" i="141"/>
  <c r="DU229" i="141"/>
  <c r="T229" i="141"/>
  <c r="CE229" i="141"/>
  <c r="BJ229" i="141"/>
  <c r="AO229" i="141"/>
  <c r="CZ229" i="141"/>
  <c r="BI230" i="141"/>
  <c r="CY230" i="141"/>
  <c r="CD230" i="141"/>
  <c r="AN230" i="141"/>
  <c r="S230" i="141"/>
  <c r="DT230" i="141"/>
  <c r="DT233" i="141"/>
  <c r="BI233" i="141"/>
  <c r="CD233" i="141"/>
  <c r="CY233" i="141"/>
  <c r="S233" i="141"/>
  <c r="AN233" i="141"/>
  <c r="DU233" i="141"/>
  <c r="BJ233" i="141"/>
  <c r="AO233" i="141"/>
  <c r="T233" i="141"/>
  <c r="CE233" i="141"/>
  <c r="CZ233" i="141"/>
  <c r="CD231" i="141"/>
  <c r="DT231" i="141"/>
  <c r="CY231" i="141"/>
  <c r="BI231" i="141"/>
  <c r="AN231" i="141"/>
  <c r="S231" i="141"/>
  <c r="CY228" i="141"/>
  <c r="CD228" i="141"/>
  <c r="DT228" i="141"/>
  <c r="S228" i="141"/>
  <c r="BI228" i="141"/>
  <c r="AN228" i="141"/>
  <c r="CE231" i="141"/>
  <c r="BJ231" i="141"/>
  <c r="AO231" i="141"/>
  <c r="CZ231" i="141"/>
  <c r="DU231" i="141"/>
  <c r="T231" i="141"/>
  <c r="BH89" i="111"/>
  <c r="BJ88" i="111"/>
  <c r="CE232" i="141"/>
  <c r="AO232" i="141"/>
  <c r="BJ232" i="141"/>
  <c r="T232" i="141"/>
  <c r="CZ232" i="141"/>
  <c r="DU232" i="141"/>
  <c r="CY232" i="141"/>
  <c r="DT232" i="141"/>
  <c r="CD232" i="141"/>
  <c r="S232" i="141"/>
  <c r="AN232" i="141"/>
  <c r="BI232" i="141"/>
  <c r="J89" i="111"/>
  <c r="L88" i="111"/>
  <c r="CY229" i="141"/>
  <c r="AN229" i="141"/>
  <c r="BI229" i="141"/>
  <c r="CD229" i="141"/>
  <c r="DT229" i="141"/>
  <c r="S229" i="141"/>
  <c r="BN293" i="141" l="1"/>
  <c r="BT293" i="141" s="1"/>
  <c r="BN294" i="141"/>
  <c r="BT294" i="141" s="1"/>
  <c r="CI266" i="141"/>
  <c r="CO266" i="141" s="1"/>
  <c r="CI293" i="141"/>
  <c r="CO293" i="141" s="1"/>
  <c r="DD266" i="141"/>
  <c r="DJ266" i="141" s="1"/>
  <c r="DD293" i="141"/>
  <c r="DJ293" i="141" s="1"/>
  <c r="AS266" i="141"/>
  <c r="AY266" i="141" s="1"/>
  <c r="AS293" i="141"/>
  <c r="AY293" i="141" s="1"/>
  <c r="X266" i="141"/>
  <c r="AD266" i="141" s="1"/>
  <c r="X293" i="141"/>
  <c r="AD293" i="141" s="1"/>
  <c r="DY266" i="141"/>
  <c r="EE266" i="141" s="1"/>
  <c r="DY293" i="141"/>
  <c r="EE293" i="141" s="1"/>
  <c r="BN265" i="141"/>
  <c r="BT265" i="141" s="1"/>
  <c r="BN266" i="141"/>
  <c r="BT266" i="141" s="1"/>
  <c r="CI235" i="141"/>
  <c r="CO235" i="141" s="1"/>
  <c r="CI265" i="141"/>
  <c r="CO265" i="141" s="1"/>
  <c r="DD235" i="141"/>
  <c r="DJ235" i="141" s="1"/>
  <c r="DD265" i="141"/>
  <c r="DJ265" i="141" s="1"/>
  <c r="AS235" i="141"/>
  <c r="AY235" i="141" s="1"/>
  <c r="AS265" i="141"/>
  <c r="AY265" i="141" s="1"/>
  <c r="X235" i="141"/>
  <c r="AD235" i="141" s="1"/>
  <c r="X265" i="141"/>
  <c r="AD265" i="141" s="1"/>
  <c r="DY235" i="141"/>
  <c r="EE235" i="141" s="1"/>
  <c r="DY265" i="141"/>
  <c r="EE265" i="141" s="1"/>
  <c r="BN234" i="141"/>
  <c r="BT234" i="141" s="1"/>
  <c r="BN235" i="141"/>
  <c r="BT235" i="141" s="1"/>
  <c r="CI291" i="141"/>
  <c r="CO291" i="141" s="1"/>
  <c r="CI234" i="141"/>
  <c r="CO234" i="141" s="1"/>
  <c r="DD289" i="141"/>
  <c r="DJ289" i="141" s="1"/>
  <c r="DD234" i="141"/>
  <c r="DJ234" i="141" s="1"/>
  <c r="AS288" i="141"/>
  <c r="AY288" i="141" s="1"/>
  <c r="AS234" i="141"/>
  <c r="AY234" i="141" s="1"/>
  <c r="X234" i="141"/>
  <c r="AD234" i="141" s="1"/>
  <c r="DY287" i="141"/>
  <c r="EE287" i="141" s="1"/>
  <c r="DY234" i="141"/>
  <c r="EE234" i="141" s="1"/>
  <c r="AM286" i="141"/>
  <c r="AM297" i="141" s="1"/>
  <c r="AS298" i="141" s="1"/>
  <c r="DS286" i="141"/>
  <c r="DS297" i="141" s="1"/>
  <c r="DY298" i="141" s="1"/>
  <c r="AM258" i="141"/>
  <c r="AM269" i="141" s="1"/>
  <c r="AS270" i="141" s="1"/>
  <c r="DS258" i="141"/>
  <c r="DS269" i="141" s="1"/>
  <c r="DY270" i="141" s="1"/>
  <c r="X287" i="141"/>
  <c r="AD287" i="141" s="1"/>
  <c r="DD291" i="141"/>
  <c r="DJ291" i="141" s="1"/>
  <c r="CI289" i="141"/>
  <c r="CO289" i="141" s="1"/>
  <c r="CI290" i="141"/>
  <c r="CO290" i="141" s="1"/>
  <c r="CX258" i="141"/>
  <c r="CX269" i="141" s="1"/>
  <c r="DD270" i="141" s="1"/>
  <c r="DY288" i="141"/>
  <c r="EE288" i="141" s="1"/>
  <c r="DD288" i="141"/>
  <c r="DJ288" i="141" s="1"/>
  <c r="CI292" i="141"/>
  <c r="CO292" i="141" s="1"/>
  <c r="CY289" i="141"/>
  <c r="BI289" i="141"/>
  <c r="CD289" i="141"/>
  <c r="S289" i="141"/>
  <c r="DT289" i="141"/>
  <c r="AN289" i="141"/>
  <c r="AS292" i="141"/>
  <c r="AY292" i="141" s="1"/>
  <c r="AS287" i="141"/>
  <c r="AY287" i="141" s="1"/>
  <c r="CE288" i="141"/>
  <c r="T288" i="141"/>
  <c r="DU288" i="141"/>
  <c r="AO288" i="141"/>
  <c r="BJ288" i="141"/>
  <c r="CZ288" i="141"/>
  <c r="X295" i="141"/>
  <c r="AD295" i="141" s="1"/>
  <c r="DY295" i="141"/>
  <c r="EE295" i="141" s="1"/>
  <c r="AS290" i="141"/>
  <c r="AY290" i="141" s="1"/>
  <c r="DD290" i="141"/>
  <c r="DJ290" i="141" s="1"/>
  <c r="CZ264" i="141"/>
  <c r="DU264" i="141"/>
  <c r="T264" i="141"/>
  <c r="AO264" i="141"/>
  <c r="BJ264" i="141"/>
  <c r="CE264" i="141"/>
  <c r="CY261" i="141"/>
  <c r="CD261" i="141"/>
  <c r="DT261" i="141"/>
  <c r="S261" i="141"/>
  <c r="BI261" i="141"/>
  <c r="AN261" i="141"/>
  <c r="CI288" i="141"/>
  <c r="CO288" i="141" s="1"/>
  <c r="AS291" i="141"/>
  <c r="AY291" i="141" s="1"/>
  <c r="BJ262" i="141"/>
  <c r="T262" i="141"/>
  <c r="CE262" i="141"/>
  <c r="AO262" i="141"/>
  <c r="CZ262" i="141"/>
  <c r="DU262" i="141"/>
  <c r="X292" i="141"/>
  <c r="AD292" i="141" s="1"/>
  <c r="DD292" i="141"/>
  <c r="DJ292" i="141" s="1"/>
  <c r="BH286" i="141"/>
  <c r="BH297" i="141" s="1"/>
  <c r="BN298" i="141" s="1"/>
  <c r="DD287" i="141"/>
  <c r="DJ287" i="141" s="1"/>
  <c r="R286" i="141"/>
  <c r="R297" i="141" s="1"/>
  <c r="X298" i="141" s="1"/>
  <c r="AN288" i="141"/>
  <c r="DT288" i="141"/>
  <c r="BI288" i="141"/>
  <c r="CD288" i="141"/>
  <c r="S288" i="141"/>
  <c r="CY288" i="141"/>
  <c r="CY263" i="141"/>
  <c r="S263" i="141"/>
  <c r="CD263" i="141"/>
  <c r="DT263" i="141"/>
  <c r="AN263" i="141"/>
  <c r="BI263" i="141"/>
  <c r="T260" i="141"/>
  <c r="AO260" i="141"/>
  <c r="CZ260" i="141"/>
  <c r="BJ260" i="141"/>
  <c r="DU260" i="141"/>
  <c r="CE260" i="141"/>
  <c r="BN295" i="141"/>
  <c r="BT295" i="141" s="1"/>
  <c r="R258" i="141"/>
  <c r="R269" i="141" s="1"/>
  <c r="X270" i="141" s="1"/>
  <c r="DU290" i="141"/>
  <c r="BJ290" i="141"/>
  <c r="T290" i="141"/>
  <c r="CZ290" i="141"/>
  <c r="AO290" i="141"/>
  <c r="CE290" i="141"/>
  <c r="S260" i="141"/>
  <c r="CY260" i="141"/>
  <c r="AN260" i="141"/>
  <c r="BI260" i="141"/>
  <c r="CD260" i="141"/>
  <c r="DT260" i="141"/>
  <c r="AN291" i="141"/>
  <c r="DT291" i="141"/>
  <c r="CY291" i="141"/>
  <c r="S291" i="141"/>
  <c r="CD291" i="141"/>
  <c r="BI291" i="141"/>
  <c r="CI295" i="141"/>
  <c r="CO295" i="141" s="1"/>
  <c r="X290" i="141"/>
  <c r="AD290" i="141" s="1"/>
  <c r="DY290" i="141"/>
  <c r="EE290" i="141" s="1"/>
  <c r="DT292" i="141"/>
  <c r="BI292" i="141"/>
  <c r="S292" i="141"/>
  <c r="AN292" i="141"/>
  <c r="CD292" i="141"/>
  <c r="CY292" i="141"/>
  <c r="BH258" i="141"/>
  <c r="BH269" i="141" s="1"/>
  <c r="BN270" i="141" s="1"/>
  <c r="BN291" i="141"/>
  <c r="BT291" i="141" s="1"/>
  <c r="CE287" i="141"/>
  <c r="AO287" i="141"/>
  <c r="DU287" i="141"/>
  <c r="BJ287" i="141"/>
  <c r="T287" i="141"/>
  <c r="CZ287" i="141"/>
  <c r="BI287" i="141"/>
  <c r="CY287" i="141"/>
  <c r="S287" i="141"/>
  <c r="AN287" i="141"/>
  <c r="DT287" i="141"/>
  <c r="CD287" i="141"/>
  <c r="BN292" i="141"/>
  <c r="BT292" i="141" s="1"/>
  <c r="X289" i="141"/>
  <c r="AD289" i="141" s="1"/>
  <c r="CI287" i="141"/>
  <c r="CO287" i="141" s="1"/>
  <c r="CC286" i="141"/>
  <c r="CC297" i="141" s="1"/>
  <c r="CI298" i="141" s="1"/>
  <c r="CX286" i="141"/>
  <c r="CX297" i="141" s="1"/>
  <c r="DD298" i="141" s="1"/>
  <c r="S290" i="141"/>
  <c r="BI290" i="141"/>
  <c r="CD290" i="141"/>
  <c r="DT290" i="141"/>
  <c r="AN290" i="141"/>
  <c r="CY290" i="141"/>
  <c r="DU263" i="141"/>
  <c r="CE263" i="141"/>
  <c r="T263" i="141"/>
  <c r="CZ263" i="141"/>
  <c r="BJ263" i="141"/>
  <c r="AO263" i="141"/>
  <c r="BJ261" i="141"/>
  <c r="T261" i="141"/>
  <c r="CZ261" i="141"/>
  <c r="DU261" i="141"/>
  <c r="CE261" i="141"/>
  <c r="AO261" i="141"/>
  <c r="AS295" i="141"/>
  <c r="AY295" i="141" s="1"/>
  <c r="T292" i="141"/>
  <c r="BJ292" i="141"/>
  <c r="CE292" i="141"/>
  <c r="AO292" i="141"/>
  <c r="DU292" i="141"/>
  <c r="CZ292" i="141"/>
  <c r="DD295" i="141"/>
  <c r="DJ295" i="141" s="1"/>
  <c r="BN290" i="141"/>
  <c r="BT290" i="141" s="1"/>
  <c r="AN264" i="141"/>
  <c r="CY264" i="141"/>
  <c r="CD264" i="141"/>
  <c r="DT264" i="141"/>
  <c r="BI264" i="141"/>
  <c r="S264" i="141"/>
  <c r="CC258" i="141"/>
  <c r="CC269" i="141" s="1"/>
  <c r="CI270" i="141" s="1"/>
  <c r="BN288" i="141"/>
  <c r="BT288" i="141" s="1"/>
  <c r="X288" i="141"/>
  <c r="AD288" i="141" s="1"/>
  <c r="X291" i="141"/>
  <c r="AD291" i="141" s="1"/>
  <c r="DY291" i="141"/>
  <c r="EE291" i="141" s="1"/>
  <c r="BJ259" i="141"/>
  <c r="AO259" i="141"/>
  <c r="DU259" i="141"/>
  <c r="T259" i="141"/>
  <c r="CE259" i="141"/>
  <c r="CZ259" i="141"/>
  <c r="S259" i="141"/>
  <c r="BI259" i="141"/>
  <c r="CD259" i="141"/>
  <c r="CY259" i="141"/>
  <c r="AN259" i="141"/>
  <c r="DT259" i="141"/>
  <c r="DY292" i="141"/>
  <c r="EE292" i="141" s="1"/>
  <c r="AS289" i="141"/>
  <c r="AY289" i="141" s="1"/>
  <c r="DY289" i="141"/>
  <c r="EE289" i="141" s="1"/>
  <c r="BN289" i="141"/>
  <c r="BT289" i="141" s="1"/>
  <c r="BN287" i="141"/>
  <c r="BT287" i="141" s="1"/>
  <c r="DT262" i="141"/>
  <c r="AN262" i="141"/>
  <c r="BI262" i="141"/>
  <c r="CY262" i="141"/>
  <c r="S262" i="141"/>
  <c r="CD262" i="141"/>
  <c r="DU291" i="141"/>
  <c r="CZ291" i="141"/>
  <c r="CE291" i="141"/>
  <c r="AO291" i="141"/>
  <c r="T291" i="141"/>
  <c r="BJ291" i="141"/>
  <c r="T289" i="141"/>
  <c r="CZ289" i="141"/>
  <c r="BJ289" i="141"/>
  <c r="AO289" i="141"/>
  <c r="CE289" i="141"/>
  <c r="DU289" i="141"/>
  <c r="CI259" i="141"/>
  <c r="CO259" i="141" s="1"/>
  <c r="CI262" i="141"/>
  <c r="CO262" i="141" s="1"/>
  <c r="CI261" i="141"/>
  <c r="CO261" i="141" s="1"/>
  <c r="CI263" i="141"/>
  <c r="CO263" i="141" s="1"/>
  <c r="CI267" i="141"/>
  <c r="CO267" i="141" s="1"/>
  <c r="CI264" i="141"/>
  <c r="CO264" i="141" s="1"/>
  <c r="CI260" i="141"/>
  <c r="CO260" i="141" s="1"/>
  <c r="DD264" i="141"/>
  <c r="DJ264" i="141" s="1"/>
  <c r="DD263" i="141"/>
  <c r="DJ263" i="141" s="1"/>
  <c r="DD261" i="141"/>
  <c r="DJ261" i="141" s="1"/>
  <c r="DD262" i="141"/>
  <c r="DJ262" i="141" s="1"/>
  <c r="DD260" i="141"/>
  <c r="DJ260" i="141" s="1"/>
  <c r="DD259" i="141"/>
  <c r="DJ259" i="141" s="1"/>
  <c r="DD267" i="141"/>
  <c r="DJ267" i="141" s="1"/>
  <c r="BN259" i="141"/>
  <c r="BT259" i="141" s="1"/>
  <c r="BN263" i="141"/>
  <c r="BT263" i="141" s="1"/>
  <c r="BN262" i="141"/>
  <c r="BT262" i="141" s="1"/>
  <c r="BN267" i="141"/>
  <c r="BT267" i="141" s="1"/>
  <c r="BN261" i="141"/>
  <c r="BT261" i="141" s="1"/>
  <c r="BN260" i="141"/>
  <c r="BT260" i="141" s="1"/>
  <c r="BN264" i="141"/>
  <c r="BT264" i="141" s="1"/>
  <c r="AS263" i="141"/>
  <c r="AY263" i="141" s="1"/>
  <c r="AS260" i="141"/>
  <c r="AY260" i="141" s="1"/>
  <c r="AS261" i="141"/>
  <c r="AY261" i="141" s="1"/>
  <c r="AS262" i="141"/>
  <c r="AY262" i="141" s="1"/>
  <c r="AS259" i="141"/>
  <c r="AY259" i="141" s="1"/>
  <c r="AS264" i="141"/>
  <c r="AY264" i="141" s="1"/>
  <c r="AS267" i="141"/>
  <c r="AY267" i="141" s="1"/>
  <c r="X263" i="141"/>
  <c r="AD263" i="141" s="1"/>
  <c r="X261" i="141"/>
  <c r="AD261" i="141" s="1"/>
  <c r="X264" i="141"/>
  <c r="AD264" i="141" s="1"/>
  <c r="X260" i="141"/>
  <c r="AD260" i="141" s="1"/>
  <c r="X267" i="141"/>
  <c r="AD267" i="141" s="1"/>
  <c r="X259" i="141"/>
  <c r="AD259" i="141" s="1"/>
  <c r="X262" i="141"/>
  <c r="AD262" i="141" s="1"/>
  <c r="DY264" i="141"/>
  <c r="EE264" i="141" s="1"/>
  <c r="DY261" i="141"/>
  <c r="EE261" i="141" s="1"/>
  <c r="DY262" i="141"/>
  <c r="EE262" i="141" s="1"/>
  <c r="DY263" i="141"/>
  <c r="EE263" i="141" s="1"/>
  <c r="DY259" i="141"/>
  <c r="EE259" i="141" s="1"/>
  <c r="DY260" i="141"/>
  <c r="EE260" i="141" s="1"/>
  <c r="DY267" i="141"/>
  <c r="EE267" i="141" s="1"/>
  <c r="CI228" i="141"/>
  <c r="CO228" i="141" s="1"/>
  <c r="CI230" i="141"/>
  <c r="CO230" i="141" s="1"/>
  <c r="CI233" i="141"/>
  <c r="CO233" i="141" s="1"/>
  <c r="CI232" i="141"/>
  <c r="CO232" i="141" s="1"/>
  <c r="CI229" i="141"/>
  <c r="CO229" i="141" s="1"/>
  <c r="CI231" i="141"/>
  <c r="CO231" i="141" s="1"/>
  <c r="CI236" i="141"/>
  <c r="CO236" i="141" s="1"/>
  <c r="DD230" i="141"/>
  <c r="DJ230" i="141" s="1"/>
  <c r="DD236" i="141"/>
  <c r="DJ236" i="141" s="1"/>
  <c r="DD232" i="141"/>
  <c r="DJ232" i="141" s="1"/>
  <c r="DD229" i="141"/>
  <c r="DJ229" i="141" s="1"/>
  <c r="DD231" i="141"/>
  <c r="DJ231" i="141" s="1"/>
  <c r="DD233" i="141"/>
  <c r="DJ233" i="141" s="1"/>
  <c r="DD228" i="141"/>
  <c r="DJ228" i="141" s="1"/>
  <c r="BN228" i="141"/>
  <c r="BT228" i="141" s="1"/>
  <c r="BN229" i="141"/>
  <c r="BT229" i="141" s="1"/>
  <c r="BN236" i="141"/>
  <c r="BT236" i="141" s="1"/>
  <c r="BN233" i="141"/>
  <c r="BT233" i="141" s="1"/>
  <c r="BN232" i="141"/>
  <c r="BT232" i="141" s="1"/>
  <c r="BN230" i="141"/>
  <c r="BT230" i="141" s="1"/>
  <c r="BN231" i="141"/>
  <c r="BT231" i="141" s="1"/>
  <c r="AS228" i="141"/>
  <c r="AY228" i="141" s="1"/>
  <c r="AS230" i="141"/>
  <c r="AY230" i="141" s="1"/>
  <c r="AS236" i="141"/>
  <c r="AY236" i="141" s="1"/>
  <c r="AS232" i="141"/>
  <c r="AY232" i="141" s="1"/>
  <c r="AS229" i="141"/>
  <c r="AY229" i="141" s="1"/>
  <c r="AS233" i="141"/>
  <c r="AY233" i="141" s="1"/>
  <c r="AS231" i="141"/>
  <c r="AY231" i="141" s="1"/>
  <c r="X231" i="141"/>
  <c r="AD231" i="141" s="1"/>
  <c r="X229" i="141"/>
  <c r="AD229" i="141" s="1"/>
  <c r="X228" i="141"/>
  <c r="AD228" i="141" s="1"/>
  <c r="X233" i="141"/>
  <c r="AD233" i="141" s="1"/>
  <c r="X232" i="141"/>
  <c r="AD232" i="141" s="1"/>
  <c r="X236" i="141"/>
  <c r="AD236" i="141" s="1"/>
  <c r="X230" i="141"/>
  <c r="AD230" i="141" s="1"/>
  <c r="DY228" i="141"/>
  <c r="EE228" i="141" s="1"/>
  <c r="DY232" i="141"/>
  <c r="EE232" i="141" s="1"/>
  <c r="DY229" i="141"/>
  <c r="EE229" i="141" s="1"/>
  <c r="DY230" i="141"/>
  <c r="EE230" i="141" s="1"/>
  <c r="DY236" i="141"/>
  <c r="EE236" i="141" s="1"/>
  <c r="DY233" i="141"/>
  <c r="EE233" i="141" s="1"/>
  <c r="DY231" i="141"/>
  <c r="EE231" i="141" s="1"/>
  <c r="BI227" i="141"/>
  <c r="BI238" i="141" s="1"/>
  <c r="BO239" i="141" s="1"/>
  <c r="BO294" i="141" s="1"/>
  <c r="BU294" i="141" s="1"/>
  <c r="CY227" i="141"/>
  <c r="CY238" i="141" s="1"/>
  <c r="DE239" i="141" s="1"/>
  <c r="DE294" i="141" s="1"/>
  <c r="DK294" i="141" s="1"/>
  <c r="CZ227" i="141"/>
  <c r="CZ238" i="141" s="1"/>
  <c r="DF239" i="141" s="1"/>
  <c r="DU227" i="141"/>
  <c r="DU238" i="141" s="1"/>
  <c r="EA239" i="141" s="1"/>
  <c r="EA294" i="141" s="1"/>
  <c r="EG294" i="141" s="1"/>
  <c r="S227" i="141"/>
  <c r="S238" i="141" s="1"/>
  <c r="Y239" i="141" s="1"/>
  <c r="Y294" i="141" s="1"/>
  <c r="AE294" i="141" s="1"/>
  <c r="T227" i="141"/>
  <c r="T238" i="141" s="1"/>
  <c r="Z239" i="141" s="1"/>
  <c r="Z294" i="141" s="1"/>
  <c r="AF294" i="141" s="1"/>
  <c r="DT227" i="141"/>
  <c r="DT238" i="141" s="1"/>
  <c r="DZ239" i="141" s="1"/>
  <c r="DZ294" i="141" s="1"/>
  <c r="EF294" i="141" s="1"/>
  <c r="BJ227" i="141"/>
  <c r="BJ238" i="141" s="1"/>
  <c r="BP239" i="141" s="1"/>
  <c r="BP294" i="141" s="1"/>
  <c r="BV294" i="141" s="1"/>
  <c r="AN227" i="141"/>
  <c r="AN238" i="141" s="1"/>
  <c r="AT239" i="141" s="1"/>
  <c r="AT294" i="141" s="1"/>
  <c r="AZ294" i="141" s="1"/>
  <c r="CD227" i="141"/>
  <c r="CD238" i="141" s="1"/>
  <c r="CJ239" i="141" s="1"/>
  <c r="CJ294" i="141" s="1"/>
  <c r="CP294" i="141" s="1"/>
  <c r="CE227" i="141"/>
  <c r="CE238" i="141" s="1"/>
  <c r="CK239" i="141" s="1"/>
  <c r="AO227" i="141"/>
  <c r="AO238" i="141" s="1"/>
  <c r="AU239" i="141" s="1"/>
  <c r="AU294" i="141" s="1"/>
  <c r="BA294" i="141" s="1"/>
  <c r="EJ230" i="141" l="1"/>
  <c r="EJ234" i="141"/>
  <c r="EJ227" i="141" s="1"/>
  <c r="CK293" i="141"/>
  <c r="CQ293" i="141" s="1"/>
  <c r="CK294" i="141"/>
  <c r="CQ294" i="141" s="1"/>
  <c r="DF293" i="141"/>
  <c r="DL293" i="141" s="1"/>
  <c r="DF294" i="141"/>
  <c r="DL294" i="141" s="1"/>
  <c r="AT266" i="141"/>
  <c r="AZ266" i="141" s="1"/>
  <c r="AT293" i="141"/>
  <c r="AZ293" i="141" s="1"/>
  <c r="Y266" i="141"/>
  <c r="AE266" i="141" s="1"/>
  <c r="Y293" i="141"/>
  <c r="AE293" i="141" s="1"/>
  <c r="BO266" i="141"/>
  <c r="BU266" i="141" s="1"/>
  <c r="BO293" i="141"/>
  <c r="BU293" i="141" s="1"/>
  <c r="AU266" i="141"/>
  <c r="BA266" i="141" s="1"/>
  <c r="AU293" i="141"/>
  <c r="BA293" i="141" s="1"/>
  <c r="BP266" i="141"/>
  <c r="BV266" i="141" s="1"/>
  <c r="BP293" i="141"/>
  <c r="BV293" i="141" s="1"/>
  <c r="EA266" i="141"/>
  <c r="EG266" i="141" s="1"/>
  <c r="EA293" i="141"/>
  <c r="EG293" i="141" s="1"/>
  <c r="DZ266" i="141"/>
  <c r="EF266" i="141" s="1"/>
  <c r="DZ293" i="141"/>
  <c r="EF293" i="141" s="1"/>
  <c r="CJ266" i="141"/>
  <c r="CP266" i="141" s="1"/>
  <c r="CJ293" i="141"/>
  <c r="CP293" i="141" s="1"/>
  <c r="Z266" i="141"/>
  <c r="AF266" i="141" s="1"/>
  <c r="Z293" i="141"/>
  <c r="AF293" i="141" s="1"/>
  <c r="DE266" i="141"/>
  <c r="DK266" i="141" s="1"/>
  <c r="DE293" i="141"/>
  <c r="DK293" i="141" s="1"/>
  <c r="CK265" i="141"/>
  <c r="CQ265" i="141" s="1"/>
  <c r="CK266" i="141"/>
  <c r="CQ266" i="141" s="1"/>
  <c r="DF265" i="141"/>
  <c r="DL265" i="141" s="1"/>
  <c r="DF266" i="141"/>
  <c r="DL266" i="141" s="1"/>
  <c r="AT235" i="141"/>
  <c r="AZ235" i="141" s="1"/>
  <c r="AT265" i="141"/>
  <c r="AZ265" i="141" s="1"/>
  <c r="Y235" i="141"/>
  <c r="AE235" i="141" s="1"/>
  <c r="Y265" i="141"/>
  <c r="AE265" i="141" s="1"/>
  <c r="BO235" i="141"/>
  <c r="BU235" i="141" s="1"/>
  <c r="BO265" i="141"/>
  <c r="BU265" i="141" s="1"/>
  <c r="AU235" i="141"/>
  <c r="BA235" i="141" s="1"/>
  <c r="AU265" i="141"/>
  <c r="BA265" i="141" s="1"/>
  <c r="EA235" i="141"/>
  <c r="EG235" i="141" s="1"/>
  <c r="EA265" i="141"/>
  <c r="EG265" i="141" s="1"/>
  <c r="DZ235" i="141"/>
  <c r="EF235" i="141" s="1"/>
  <c r="DZ265" i="141"/>
  <c r="EF265" i="141" s="1"/>
  <c r="BP235" i="141"/>
  <c r="BV235" i="141" s="1"/>
  <c r="BP265" i="141"/>
  <c r="BV265" i="141" s="1"/>
  <c r="CJ235" i="141"/>
  <c r="CP235" i="141" s="1"/>
  <c r="CJ265" i="141"/>
  <c r="CP265" i="141" s="1"/>
  <c r="Z235" i="141"/>
  <c r="AF235" i="141" s="1"/>
  <c r="Z265" i="141"/>
  <c r="AF265" i="141" s="1"/>
  <c r="DE235" i="141"/>
  <c r="DK235" i="141" s="1"/>
  <c r="DE265" i="141"/>
  <c r="DK265" i="141" s="1"/>
  <c r="CK234" i="141"/>
  <c r="CQ234" i="141" s="1"/>
  <c r="CK235" i="141"/>
  <c r="CQ235" i="141" s="1"/>
  <c r="DF234" i="141"/>
  <c r="DL234" i="141" s="1"/>
  <c r="DF235" i="141"/>
  <c r="DL235" i="141" s="1"/>
  <c r="AT287" i="141"/>
  <c r="AZ287" i="141" s="1"/>
  <c r="AT234" i="141"/>
  <c r="AZ234" i="141" s="1"/>
  <c r="Y291" i="141"/>
  <c r="AE291" i="141" s="1"/>
  <c r="Y234" i="141"/>
  <c r="AE234" i="141" s="1"/>
  <c r="BO291" i="141"/>
  <c r="BU291" i="141" s="1"/>
  <c r="BO234" i="141"/>
  <c r="BU234" i="141" s="1"/>
  <c r="AU288" i="141"/>
  <c r="BA288" i="141" s="1"/>
  <c r="AU234" i="141"/>
  <c r="BA234" i="141" s="1"/>
  <c r="BP290" i="141"/>
  <c r="BV290" i="141" s="1"/>
  <c r="BP234" i="141"/>
  <c r="BV234" i="141" s="1"/>
  <c r="EA234" i="141"/>
  <c r="EG234" i="141" s="1"/>
  <c r="DZ289" i="141"/>
  <c r="EF289" i="141" s="1"/>
  <c r="DZ234" i="141"/>
  <c r="EF234" i="141" s="1"/>
  <c r="CJ288" i="141"/>
  <c r="CP288" i="141" s="1"/>
  <c r="CJ234" i="141"/>
  <c r="CP234" i="141" s="1"/>
  <c r="Z234" i="141"/>
  <c r="AF234" i="141" s="1"/>
  <c r="DE234" i="141"/>
  <c r="DK234" i="141" s="1"/>
  <c r="T258" i="141"/>
  <c r="T269" i="141" s="1"/>
  <c r="Z270" i="141" s="1"/>
  <c r="DU258" i="141"/>
  <c r="DU269" i="141" s="1"/>
  <c r="EA270" i="141" s="1"/>
  <c r="AY258" i="141"/>
  <c r="AY271" i="141" s="1"/>
  <c r="AY272" i="141" s="1"/>
  <c r="AO258" i="141"/>
  <c r="AO269" i="141" s="1"/>
  <c r="AU270" i="141" s="1"/>
  <c r="EE258" i="141"/>
  <c r="EE271" i="141" s="1"/>
  <c r="EE272" i="141" s="1"/>
  <c r="DT258" i="141"/>
  <c r="DT269" i="141" s="1"/>
  <c r="DZ270" i="141" s="1"/>
  <c r="AN286" i="141"/>
  <c r="AN297" i="141" s="1"/>
  <c r="AT298" i="141" s="1"/>
  <c r="AO286" i="141"/>
  <c r="AO297" i="141" s="1"/>
  <c r="AU298" i="141" s="1"/>
  <c r="AN258" i="141"/>
  <c r="AN269" i="141" s="1"/>
  <c r="AT270" i="141" s="1"/>
  <c r="EE286" i="141"/>
  <c r="EE299" i="141" s="1"/>
  <c r="EE300" i="141" s="1"/>
  <c r="AY286" i="141"/>
  <c r="AY299" i="141" s="1"/>
  <c r="AY300" i="141" s="1"/>
  <c r="DT286" i="141"/>
  <c r="DT297" i="141" s="1"/>
  <c r="DZ298" i="141" s="1"/>
  <c r="DU286" i="141"/>
  <c r="DU297" i="141" s="1"/>
  <c r="EA298" i="141" s="1"/>
  <c r="BI258" i="141"/>
  <c r="BI269" i="141" s="1"/>
  <c r="BO270" i="141" s="1"/>
  <c r="AD286" i="141"/>
  <c r="AD299" i="141" s="1"/>
  <c r="AD300" i="141" s="1"/>
  <c r="Z289" i="141"/>
  <c r="AF289" i="141" s="1"/>
  <c r="EA291" i="141"/>
  <c r="EG291" i="141" s="1"/>
  <c r="Y292" i="141"/>
  <c r="AE292" i="141" s="1"/>
  <c r="BO289" i="141"/>
  <c r="BU289" i="141" s="1"/>
  <c r="CJ292" i="141"/>
  <c r="CP292" i="141" s="1"/>
  <c r="BO288" i="141"/>
  <c r="BU288" i="141" s="1"/>
  <c r="BP288" i="141"/>
  <c r="BV288" i="141" s="1"/>
  <c r="BP289" i="141"/>
  <c r="BV289" i="141" s="1"/>
  <c r="BP291" i="141"/>
  <c r="BV291" i="141" s="1"/>
  <c r="BP292" i="141"/>
  <c r="BV292" i="141" s="1"/>
  <c r="BO287" i="141"/>
  <c r="BU287" i="141" s="1"/>
  <c r="BJ286" i="141"/>
  <c r="BJ297" i="141" s="1"/>
  <c r="BP298" i="141" s="1"/>
  <c r="EA289" i="141"/>
  <c r="EG289" i="141" s="1"/>
  <c r="AU292" i="141"/>
  <c r="BA292" i="141" s="1"/>
  <c r="BP287" i="141"/>
  <c r="BV287" i="141" s="1"/>
  <c r="AU290" i="141"/>
  <c r="BA290" i="141" s="1"/>
  <c r="DF295" i="141"/>
  <c r="DL295" i="141" s="1"/>
  <c r="DF287" i="141"/>
  <c r="DL287" i="141" s="1"/>
  <c r="DZ291" i="141"/>
  <c r="EF291" i="141" s="1"/>
  <c r="CJ295" i="141"/>
  <c r="CP295" i="141" s="1"/>
  <c r="S258" i="141"/>
  <c r="S269" i="141" s="1"/>
  <c r="Y270" i="141" s="1"/>
  <c r="Z292" i="141"/>
  <c r="AF292" i="141" s="1"/>
  <c r="DZ287" i="141"/>
  <c r="EF287" i="141" s="1"/>
  <c r="DZ292" i="141"/>
  <c r="EF292" i="141" s="1"/>
  <c r="CK295" i="141"/>
  <c r="CQ295" i="141" s="1"/>
  <c r="CK292" i="141"/>
  <c r="CQ292" i="141" s="1"/>
  <c r="CD286" i="141"/>
  <c r="CD297" i="141" s="1"/>
  <c r="CJ298" i="141" s="1"/>
  <c r="DE295" i="141"/>
  <c r="DK295" i="141" s="1"/>
  <c r="DF291" i="141"/>
  <c r="DL291" i="141" s="1"/>
  <c r="CY286" i="141"/>
  <c r="CY297" i="141" s="1"/>
  <c r="DE298" i="141" s="1"/>
  <c r="CK287" i="141"/>
  <c r="CQ287" i="141" s="1"/>
  <c r="CJ291" i="141"/>
  <c r="CP291" i="141" s="1"/>
  <c r="Z290" i="141"/>
  <c r="AF290" i="141" s="1"/>
  <c r="DJ286" i="141"/>
  <c r="DJ299" i="141" s="1"/>
  <c r="DJ300" i="141" s="1"/>
  <c r="Z288" i="141"/>
  <c r="AF288" i="141" s="1"/>
  <c r="DF288" i="141"/>
  <c r="DL288" i="141" s="1"/>
  <c r="CJ289" i="141"/>
  <c r="CP289" i="141" s="1"/>
  <c r="DE289" i="141"/>
  <c r="DK289" i="141" s="1"/>
  <c r="AT295" i="141"/>
  <c r="AZ295" i="141" s="1"/>
  <c r="Y295" i="141"/>
  <c r="AE295" i="141" s="1"/>
  <c r="BO295" i="141"/>
  <c r="BU295" i="141" s="1"/>
  <c r="CK289" i="141"/>
  <c r="CQ289" i="141" s="1"/>
  <c r="AU289" i="141"/>
  <c r="BA289" i="141" s="1"/>
  <c r="CK291" i="141"/>
  <c r="CQ291" i="141" s="1"/>
  <c r="CY258" i="141"/>
  <c r="CY269" i="141" s="1"/>
  <c r="DE270" i="141" s="1"/>
  <c r="CZ258" i="141"/>
  <c r="CZ269" i="141" s="1"/>
  <c r="DF270" i="141" s="1"/>
  <c r="DF292" i="141"/>
  <c r="DL292" i="141" s="1"/>
  <c r="BO290" i="141"/>
  <c r="BU290" i="141" s="1"/>
  <c r="DE290" i="141"/>
  <c r="DK290" i="141" s="1"/>
  <c r="S286" i="141"/>
  <c r="S297" i="141" s="1"/>
  <c r="Y298" i="141" s="1"/>
  <c r="CJ287" i="141"/>
  <c r="CP287" i="141" s="1"/>
  <c r="AU287" i="141"/>
  <c r="BA287" i="141" s="1"/>
  <c r="Z287" i="141"/>
  <c r="AF287" i="141" s="1"/>
  <c r="BO292" i="141"/>
  <c r="BU292" i="141" s="1"/>
  <c r="AT291" i="141"/>
  <c r="AZ291" i="141" s="1"/>
  <c r="DF290" i="141"/>
  <c r="DL290" i="141" s="1"/>
  <c r="AT288" i="141"/>
  <c r="AZ288" i="141" s="1"/>
  <c r="DZ288" i="141"/>
  <c r="EF288" i="141" s="1"/>
  <c r="Y289" i="141"/>
  <c r="AE289" i="141" s="1"/>
  <c r="DZ295" i="141"/>
  <c r="EF295" i="141" s="1"/>
  <c r="DZ290" i="141"/>
  <c r="EF290" i="141" s="1"/>
  <c r="Z295" i="141"/>
  <c r="AF295" i="141" s="1"/>
  <c r="CJ290" i="141"/>
  <c r="CP290" i="141" s="1"/>
  <c r="CO286" i="141"/>
  <c r="CO299" i="141" s="1"/>
  <c r="CO300" i="141" s="1"/>
  <c r="CZ286" i="141"/>
  <c r="CZ297" i="141" s="1"/>
  <c r="DF298" i="141" s="1"/>
  <c r="CK290" i="141"/>
  <c r="CQ290" i="141" s="1"/>
  <c r="AU295" i="141"/>
  <c r="BA295" i="141" s="1"/>
  <c r="BP295" i="141"/>
  <c r="BV295" i="141" s="1"/>
  <c r="EA295" i="141"/>
  <c r="EG295" i="141" s="1"/>
  <c r="DF289" i="141"/>
  <c r="DL289" i="141" s="1"/>
  <c r="AU291" i="141"/>
  <c r="BA291" i="141" s="1"/>
  <c r="Z291" i="141"/>
  <c r="AF291" i="141" s="1"/>
  <c r="BT286" i="141"/>
  <c r="BT299" i="141" s="1"/>
  <c r="BT300" i="141" s="1"/>
  <c r="CD258" i="141"/>
  <c r="CD269" i="141" s="1"/>
  <c r="CJ270" i="141" s="1"/>
  <c r="CE258" i="141"/>
  <c r="CE269" i="141" s="1"/>
  <c r="CK270" i="141" s="1"/>
  <c r="BJ258" i="141"/>
  <c r="BJ269" i="141" s="1"/>
  <c r="BP270" i="141" s="1"/>
  <c r="EA292" i="141"/>
  <c r="EG292" i="141" s="1"/>
  <c r="Y290" i="141"/>
  <c r="AE290" i="141" s="1"/>
  <c r="AT290" i="141"/>
  <c r="AZ290" i="141" s="1"/>
  <c r="DE287" i="141"/>
  <c r="DK287" i="141" s="1"/>
  <c r="Y287" i="141"/>
  <c r="AE287" i="141" s="1"/>
  <c r="BI286" i="141"/>
  <c r="BI297" i="141" s="1"/>
  <c r="BO298" i="141" s="1"/>
  <c r="T286" i="141"/>
  <c r="T297" i="141" s="1"/>
  <c r="Z298" i="141" s="1"/>
  <c r="EA287" i="141"/>
  <c r="EG287" i="141" s="1"/>
  <c r="CE286" i="141"/>
  <c r="CE297" i="141" s="1"/>
  <c r="CK298" i="141" s="1"/>
  <c r="DE292" i="141"/>
  <c r="DK292" i="141" s="1"/>
  <c r="AT292" i="141"/>
  <c r="AZ292" i="141" s="1"/>
  <c r="DE291" i="141"/>
  <c r="DK291" i="141" s="1"/>
  <c r="EA290" i="141"/>
  <c r="EG290" i="141" s="1"/>
  <c r="DE288" i="141"/>
  <c r="DK288" i="141" s="1"/>
  <c r="Y288" i="141"/>
  <c r="AE288" i="141" s="1"/>
  <c r="CK288" i="141"/>
  <c r="CQ288" i="141" s="1"/>
  <c r="EA288" i="141"/>
  <c r="EG288" i="141" s="1"/>
  <c r="AT289" i="141"/>
  <c r="AZ289" i="141" s="1"/>
  <c r="AT262" i="141"/>
  <c r="AZ262" i="141" s="1"/>
  <c r="AT267" i="141"/>
  <c r="AZ267" i="141" s="1"/>
  <c r="AT259" i="141"/>
  <c r="AZ259" i="141" s="1"/>
  <c r="AT260" i="141"/>
  <c r="AZ260" i="141" s="1"/>
  <c r="AT264" i="141"/>
  <c r="AZ264" i="141" s="1"/>
  <c r="AT263" i="141"/>
  <c r="AZ263" i="141" s="1"/>
  <c r="AT261" i="141"/>
  <c r="AZ261" i="141" s="1"/>
  <c r="AU259" i="141"/>
  <c r="BA259" i="141" s="1"/>
  <c r="AU261" i="141"/>
  <c r="BA261" i="141" s="1"/>
  <c r="AU260" i="141"/>
  <c r="BA260" i="141" s="1"/>
  <c r="AU263" i="141"/>
  <c r="BA263" i="141" s="1"/>
  <c r="AU267" i="141"/>
  <c r="BA267" i="141" s="1"/>
  <c r="AU264" i="141"/>
  <c r="BA264" i="141" s="1"/>
  <c r="AU262" i="141"/>
  <c r="BA262" i="141" s="1"/>
  <c r="BP267" i="141"/>
  <c r="BV267" i="141" s="1"/>
  <c r="BP259" i="141"/>
  <c r="BV259" i="141" s="1"/>
  <c r="BP260" i="141"/>
  <c r="BV260" i="141" s="1"/>
  <c r="BP261" i="141"/>
  <c r="BV261" i="141" s="1"/>
  <c r="BP262" i="141"/>
  <c r="BV262" i="141" s="1"/>
  <c r="BP264" i="141"/>
  <c r="BV264" i="141" s="1"/>
  <c r="BP263" i="141"/>
  <c r="BV263" i="141" s="1"/>
  <c r="EA261" i="141"/>
  <c r="EG261" i="141" s="1"/>
  <c r="EA259" i="141"/>
  <c r="EG259" i="141" s="1"/>
  <c r="EA262" i="141"/>
  <c r="EG262" i="141" s="1"/>
  <c r="EA260" i="141"/>
  <c r="EG260" i="141" s="1"/>
  <c r="EA267" i="141"/>
  <c r="EG267" i="141" s="1"/>
  <c r="EA264" i="141"/>
  <c r="EG264" i="141" s="1"/>
  <c r="EA263" i="141"/>
  <c r="EG263" i="141" s="1"/>
  <c r="AD258" i="141"/>
  <c r="AD271" i="141" s="1"/>
  <c r="AD272" i="141" s="1"/>
  <c r="BT258" i="141"/>
  <c r="BT271" i="141" s="1"/>
  <c r="BT272" i="141" s="1"/>
  <c r="DZ260" i="141"/>
  <c r="EF260" i="141" s="1"/>
  <c r="DZ262" i="141"/>
  <c r="EF262" i="141" s="1"/>
  <c r="DZ261" i="141"/>
  <c r="EF261" i="141" s="1"/>
  <c r="DZ259" i="141"/>
  <c r="EF259" i="141" s="1"/>
  <c r="DZ263" i="141"/>
  <c r="EF263" i="141" s="1"/>
  <c r="DZ264" i="141"/>
  <c r="EF264" i="141" s="1"/>
  <c r="DZ267" i="141"/>
  <c r="EF267" i="141" s="1"/>
  <c r="DF259" i="141"/>
  <c r="DL259" i="141" s="1"/>
  <c r="DF260" i="141"/>
  <c r="DL260" i="141" s="1"/>
  <c r="DF264" i="141"/>
  <c r="DL264" i="141" s="1"/>
  <c r="DF263" i="141"/>
  <c r="DL263" i="141" s="1"/>
  <c r="DF262" i="141"/>
  <c r="DL262" i="141" s="1"/>
  <c r="DF267" i="141"/>
  <c r="DL267" i="141" s="1"/>
  <c r="DF261" i="141"/>
  <c r="DL261" i="141" s="1"/>
  <c r="DJ258" i="141"/>
  <c r="DJ271" i="141" s="1"/>
  <c r="DJ272" i="141" s="1"/>
  <c r="CK260" i="141"/>
  <c r="CQ260" i="141" s="1"/>
  <c r="CK264" i="141"/>
  <c r="CQ264" i="141" s="1"/>
  <c r="CK262" i="141"/>
  <c r="CQ262" i="141" s="1"/>
  <c r="CK267" i="141"/>
  <c r="CQ267" i="141" s="1"/>
  <c r="CK259" i="141"/>
  <c r="CQ259" i="141" s="1"/>
  <c r="CK261" i="141"/>
  <c r="CQ261" i="141" s="1"/>
  <c r="CK263" i="141"/>
  <c r="CQ263" i="141" s="1"/>
  <c r="CJ264" i="141"/>
  <c r="CP264" i="141" s="1"/>
  <c r="CJ260" i="141"/>
  <c r="CP260" i="141" s="1"/>
  <c r="CJ262" i="141"/>
  <c r="CP262" i="141" s="1"/>
  <c r="CJ261" i="141"/>
  <c r="CP261" i="141" s="1"/>
  <c r="CJ259" i="141"/>
  <c r="CP259" i="141" s="1"/>
  <c r="CJ267" i="141"/>
  <c r="CP267" i="141" s="1"/>
  <c r="CJ263" i="141"/>
  <c r="CP263" i="141" s="1"/>
  <c r="Z260" i="141"/>
  <c r="AF260" i="141" s="1"/>
  <c r="Z264" i="141"/>
  <c r="AF264" i="141" s="1"/>
  <c r="Z263" i="141"/>
  <c r="AF263" i="141" s="1"/>
  <c r="Z267" i="141"/>
  <c r="AF267" i="141" s="1"/>
  <c r="Z259" i="141"/>
  <c r="AF259" i="141" s="1"/>
  <c r="Z261" i="141"/>
  <c r="AF261" i="141" s="1"/>
  <c r="Z262" i="141"/>
  <c r="AF262" i="141" s="1"/>
  <c r="DE259" i="141"/>
  <c r="DK259" i="141" s="1"/>
  <c r="DE263" i="141"/>
  <c r="DK263" i="141" s="1"/>
  <c r="DE264" i="141"/>
  <c r="DK264" i="141" s="1"/>
  <c r="DE267" i="141"/>
  <c r="DK267" i="141" s="1"/>
  <c r="DE260" i="141"/>
  <c r="DK260" i="141" s="1"/>
  <c r="DE261" i="141"/>
  <c r="DK261" i="141" s="1"/>
  <c r="DE262" i="141"/>
  <c r="DK262" i="141" s="1"/>
  <c r="Y264" i="141"/>
  <c r="AE264" i="141" s="1"/>
  <c r="Y260" i="141"/>
  <c r="AE260" i="141" s="1"/>
  <c r="Y259" i="141"/>
  <c r="AE259" i="141" s="1"/>
  <c r="Y263" i="141"/>
  <c r="AE263" i="141" s="1"/>
  <c r="Y267" i="141"/>
  <c r="AE267" i="141" s="1"/>
  <c r="Y261" i="141"/>
  <c r="AE261" i="141" s="1"/>
  <c r="Y262" i="141"/>
  <c r="AE262" i="141" s="1"/>
  <c r="BO260" i="141"/>
  <c r="BU260" i="141" s="1"/>
  <c r="BO261" i="141"/>
  <c r="BU261" i="141" s="1"/>
  <c r="BO262" i="141"/>
  <c r="BU262" i="141" s="1"/>
  <c r="BO259" i="141"/>
  <c r="BU259" i="141" s="1"/>
  <c r="BO263" i="141"/>
  <c r="BU263" i="141" s="1"/>
  <c r="BO267" i="141"/>
  <c r="BU267" i="141" s="1"/>
  <c r="BO264" i="141"/>
  <c r="BU264" i="141" s="1"/>
  <c r="CO258" i="141"/>
  <c r="CO271" i="141" s="1"/>
  <c r="CO272" i="141" s="1"/>
  <c r="DJ227" i="141"/>
  <c r="DJ240" i="141" s="1"/>
  <c r="DJ241" i="141" s="1"/>
  <c r="AY227" i="141"/>
  <c r="AY240" i="141" s="1"/>
  <c r="AY241" i="141" s="1"/>
  <c r="BT227" i="141"/>
  <c r="BT240" i="141" s="1"/>
  <c r="BT241" i="141" s="1"/>
  <c r="EE227" i="141"/>
  <c r="EE240" i="141" s="1"/>
  <c r="CO227" i="141"/>
  <c r="CO240" i="141" s="1"/>
  <c r="CO241" i="141" s="1"/>
  <c r="DE230" i="141"/>
  <c r="DK230" i="141" s="1"/>
  <c r="DE236" i="141"/>
  <c r="DK236" i="141" s="1"/>
  <c r="DE233" i="141"/>
  <c r="DK233" i="141" s="1"/>
  <c r="DE231" i="141"/>
  <c r="DK231" i="141" s="1"/>
  <c r="CJ229" i="141"/>
  <c r="CP229" i="141" s="1"/>
  <c r="CJ233" i="141"/>
  <c r="CP233" i="141" s="1"/>
  <c r="CJ231" i="141"/>
  <c r="CP231" i="141" s="1"/>
  <c r="CJ236" i="141"/>
  <c r="CP236" i="141" s="1"/>
  <c r="CJ230" i="141"/>
  <c r="CP230" i="141" s="1"/>
  <c r="CJ228" i="141"/>
  <c r="CP228" i="141" s="1"/>
  <c r="AU228" i="141"/>
  <c r="BA228" i="141" s="1"/>
  <c r="AU229" i="141"/>
  <c r="BA229" i="141" s="1"/>
  <c r="AU230" i="141"/>
  <c r="BA230" i="141" s="1"/>
  <c r="AU236" i="141"/>
  <c r="BA236" i="141" s="1"/>
  <c r="EA230" i="141"/>
  <c r="EG230" i="141" s="1"/>
  <c r="EA232" i="141"/>
  <c r="EG232" i="141" s="1"/>
  <c r="EA228" i="141"/>
  <c r="EG228" i="141" s="1"/>
  <c r="EA231" i="141"/>
  <c r="EG231" i="141" s="1"/>
  <c r="EA233" i="141"/>
  <c r="EG233" i="141" s="1"/>
  <c r="EA236" i="141"/>
  <c r="EG236" i="141" s="1"/>
  <c r="BP229" i="141"/>
  <c r="BV229" i="141" s="1"/>
  <c r="BP233" i="141"/>
  <c r="BV233" i="141" s="1"/>
  <c r="BP232" i="141"/>
  <c r="BV232" i="141" s="1"/>
  <c r="BP230" i="141"/>
  <c r="BV230" i="141" s="1"/>
  <c r="BP228" i="141"/>
  <c r="BV228" i="141" s="1"/>
  <c r="BP236" i="141"/>
  <c r="BV236" i="141" s="1"/>
  <c r="Z230" i="141"/>
  <c r="AF230" i="141" s="1"/>
  <c r="Z233" i="141"/>
  <c r="AF233" i="141" s="1"/>
  <c r="Z236" i="141"/>
  <c r="AF236" i="141" s="1"/>
  <c r="Z229" i="141"/>
  <c r="AF229" i="141" s="1"/>
  <c r="Z232" i="141"/>
  <c r="AF232" i="141" s="1"/>
  <c r="Z228" i="141"/>
  <c r="AF228" i="141" s="1"/>
  <c r="DZ230" i="141"/>
  <c r="EF230" i="141" s="1"/>
  <c r="DZ236" i="141"/>
  <c r="EF236" i="141" s="1"/>
  <c r="DZ233" i="141"/>
  <c r="EF233" i="141" s="1"/>
  <c r="DZ228" i="141"/>
  <c r="EF228" i="141" s="1"/>
  <c r="DZ232" i="141"/>
  <c r="EF232" i="141" s="1"/>
  <c r="DZ229" i="141"/>
  <c r="EF229" i="141" s="1"/>
  <c r="DZ231" i="141"/>
  <c r="EF231" i="141" s="1"/>
  <c r="AT232" i="141"/>
  <c r="AZ232" i="141" s="1"/>
  <c r="AT233" i="141"/>
  <c r="AZ233" i="141" s="1"/>
  <c r="AT231" i="141"/>
  <c r="AZ231" i="141" s="1"/>
  <c r="AT229" i="141"/>
  <c r="AZ229" i="141" s="1"/>
  <c r="AT236" i="141"/>
  <c r="AZ236" i="141" s="1"/>
  <c r="AT230" i="141"/>
  <c r="AZ230" i="141" s="1"/>
  <c r="AT228" i="141"/>
  <c r="AZ228" i="141" s="1"/>
  <c r="BO232" i="141"/>
  <c r="BU232" i="141" s="1"/>
  <c r="BO236" i="141"/>
  <c r="BU236" i="141" s="1"/>
  <c r="BO230" i="141"/>
  <c r="BU230" i="141" s="1"/>
  <c r="BO231" i="141"/>
  <c r="BU231" i="141" s="1"/>
  <c r="BO228" i="141"/>
  <c r="BU228" i="141" s="1"/>
  <c r="BO233" i="141"/>
  <c r="BU233" i="141" s="1"/>
  <c r="BO229" i="141"/>
  <c r="BU229" i="141" s="1"/>
  <c r="CK229" i="141"/>
  <c r="CQ229" i="141" s="1"/>
  <c r="CK232" i="141"/>
  <c r="CQ232" i="141" s="1"/>
  <c r="CK231" i="141"/>
  <c r="CQ231" i="141" s="1"/>
  <c r="CK228" i="141"/>
  <c r="CQ228" i="141" s="1"/>
  <c r="CK230" i="141"/>
  <c r="CQ230" i="141" s="1"/>
  <c r="CK233" i="141"/>
  <c r="CQ233" i="141" s="1"/>
  <c r="CK236" i="141"/>
  <c r="CQ236" i="141" s="1"/>
  <c r="DF231" i="141"/>
  <c r="DL231" i="141" s="1"/>
  <c r="DF232" i="141"/>
  <c r="DL232" i="141" s="1"/>
  <c r="DF229" i="141"/>
  <c r="DL229" i="141" s="1"/>
  <c r="DF233" i="141"/>
  <c r="DL233" i="141" s="1"/>
  <c r="DF236" i="141"/>
  <c r="DL236" i="141" s="1"/>
  <c r="DF230" i="141"/>
  <c r="DL230" i="141" s="1"/>
  <c r="DF228" i="141"/>
  <c r="DL228" i="141" s="1"/>
  <c r="Y232" i="141"/>
  <c r="AE232" i="141" s="1"/>
  <c r="Y230" i="141"/>
  <c r="AE230" i="141" s="1"/>
  <c r="Y228" i="141"/>
  <c r="AE228" i="141" s="1"/>
  <c r="Y236" i="141"/>
  <c r="AE236" i="141" s="1"/>
  <c r="Y233" i="141"/>
  <c r="AE233" i="141" s="1"/>
  <c r="Y229" i="141"/>
  <c r="AE229" i="141" s="1"/>
  <c r="Y231" i="141"/>
  <c r="AE231" i="141" s="1"/>
  <c r="AU233" i="141"/>
  <c r="BA233" i="141" s="1"/>
  <c r="AU231" i="141"/>
  <c r="BA231" i="141" s="1"/>
  <c r="AD227" i="141"/>
  <c r="AD240" i="141" s="1"/>
  <c r="AD241" i="141" s="1"/>
  <c r="BP231" i="141"/>
  <c r="BV231" i="141" s="1"/>
  <c r="CJ232" i="141"/>
  <c r="CP232" i="141" s="1"/>
  <c r="AU232" i="141"/>
  <c r="BA232" i="141" s="1"/>
  <c r="Z231" i="141"/>
  <c r="AF231" i="141" s="1"/>
  <c r="EA229" i="141"/>
  <c r="EG229" i="141" s="1"/>
  <c r="DE228" i="141"/>
  <c r="DK228" i="141" s="1"/>
  <c r="DE232" i="141"/>
  <c r="DK232" i="141" s="1"/>
  <c r="DE229" i="141"/>
  <c r="DK229" i="141" s="1"/>
  <c r="BA286" i="141" l="1"/>
  <c r="BA299" i="141" s="1"/>
  <c r="BA300" i="141" s="1"/>
  <c r="AZ258" i="141"/>
  <c r="AZ271" i="141" s="1"/>
  <c r="AZ272" i="141" s="1"/>
  <c r="EF258" i="141"/>
  <c r="EF271" i="141" s="1"/>
  <c r="EF272" i="141" s="1"/>
  <c r="AZ286" i="141"/>
  <c r="AZ299" i="141" s="1"/>
  <c r="AZ300" i="141" s="1"/>
  <c r="EF286" i="141"/>
  <c r="EF299" i="141" s="1"/>
  <c r="EF300" i="141" s="1"/>
  <c r="EG286" i="141"/>
  <c r="EG299" i="141" s="1"/>
  <c r="EG300" i="141" s="1"/>
  <c r="BA258" i="141"/>
  <c r="BA271" i="141" s="1"/>
  <c r="BA272" i="141" s="1"/>
  <c r="EG258" i="141"/>
  <c r="EG271" i="141" s="1"/>
  <c r="EG272" i="141" s="1"/>
  <c r="BU286" i="141"/>
  <c r="BU299" i="141" s="1"/>
  <c r="BU300" i="141" s="1"/>
  <c r="BV286" i="141"/>
  <c r="BV299" i="141" s="1"/>
  <c r="BV300" i="141" s="1"/>
  <c r="DK286" i="141"/>
  <c r="DK299" i="141" s="1"/>
  <c r="DK300" i="141" s="1"/>
  <c r="DL286" i="141"/>
  <c r="DL299" i="141" s="1"/>
  <c r="DL300" i="141" s="1"/>
  <c r="CP286" i="141"/>
  <c r="CP299" i="141" s="1"/>
  <c r="CP300" i="141" s="1"/>
  <c r="AE286" i="141"/>
  <c r="AE299" i="141" s="1"/>
  <c r="AE300" i="141" s="1"/>
  <c r="AF286" i="141"/>
  <c r="AF299" i="141" s="1"/>
  <c r="AF300" i="141" s="1"/>
  <c r="CQ286" i="141"/>
  <c r="CQ299" i="141" s="1"/>
  <c r="CQ300" i="141" s="1"/>
  <c r="CP258" i="141"/>
  <c r="CP271" i="141" s="1"/>
  <c r="CP272" i="141" s="1"/>
  <c r="CQ258" i="141"/>
  <c r="CQ271" i="141" s="1"/>
  <c r="CQ272" i="141" s="1"/>
  <c r="AE258" i="141"/>
  <c r="AE271" i="141" s="1"/>
  <c r="AE272" i="141" s="1"/>
  <c r="DL258" i="141"/>
  <c r="DL271" i="141" s="1"/>
  <c r="DL272" i="141" s="1"/>
  <c r="BU258" i="141"/>
  <c r="BU271" i="141" s="1"/>
  <c r="BU272" i="141" s="1"/>
  <c r="BV258" i="141"/>
  <c r="BV271" i="141" s="1"/>
  <c r="BV272" i="141" s="1"/>
  <c r="DK258" i="141"/>
  <c r="DK271" i="141" s="1"/>
  <c r="DK272" i="141" s="1"/>
  <c r="AF258" i="141"/>
  <c r="AF271" i="141" s="1"/>
  <c r="AF272" i="141" s="1"/>
  <c r="DL227" i="141"/>
  <c r="DL240" i="141" s="1"/>
  <c r="DL241" i="141" s="1"/>
  <c r="AZ227" i="141"/>
  <c r="AZ240" i="141" s="1"/>
  <c r="AZ241" i="141" s="1"/>
  <c r="BV227" i="141"/>
  <c r="BV240" i="141" s="1"/>
  <c r="BV241" i="141" s="1"/>
  <c r="CQ227" i="141"/>
  <c r="CQ240" i="141" s="1"/>
  <c r="CQ241" i="141" s="1"/>
  <c r="BU227" i="141"/>
  <c r="BU240" i="141" s="1"/>
  <c r="BU241" i="141" s="1"/>
  <c r="EF227" i="141"/>
  <c r="EF240" i="141" s="1"/>
  <c r="EF241" i="141" s="1"/>
  <c r="CP227" i="141"/>
  <c r="CP240" i="141" s="1"/>
  <c r="CP241" i="141" s="1"/>
  <c r="EE241" i="141"/>
  <c r="DK227" i="141"/>
  <c r="DK240" i="141" s="1"/>
  <c r="DK241" i="141" s="1"/>
  <c r="AF227" i="141"/>
  <c r="AF240" i="141" s="1"/>
  <c r="AF241" i="141" s="1"/>
  <c r="EG227" i="141"/>
  <c r="EG240" i="141" s="1"/>
  <c r="EG241" i="141" s="1"/>
  <c r="BA227" i="141"/>
  <c r="BA240" i="141" s="1"/>
  <c r="BA241" i="141" s="1"/>
  <c r="AE227" i="141"/>
  <c r="AE240" i="141" s="1"/>
  <c r="AE241" i="14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K7" authorId="0" shapeId="0" xr:uid="{252BAC51-03CD-4577-89A5-28F3A692C128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 влияет на расчет</t>
        </r>
      </text>
    </comment>
    <comment ref="L7" authorId="0" shapeId="0" xr:uid="{AEA55908-88F3-4179-AEDD-8CB58AE9B5E4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 влияет на расчет</t>
        </r>
      </text>
    </comment>
    <comment ref="M7" authorId="0" shapeId="0" xr:uid="{C7DC7F78-5341-467C-937F-50743632B9DA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не влияет на расчет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K199" authorId="0" shapeId="0" xr:uid="{00000000-0006-0000-0900-000001000000}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 Ростова электричка 120, маршрутка 140</t>
        </r>
      </text>
    </comment>
  </commentList>
</comments>
</file>

<file path=xl/sharedStrings.xml><?xml version="1.0" encoding="utf-8"?>
<sst xmlns="http://schemas.openxmlformats.org/spreadsheetml/2006/main" count="8235" uniqueCount="1488">
  <si>
    <t>наименование муниципальной услуги</t>
  </si>
  <si>
    <t>уникальный номер реестровой записи</t>
  </si>
  <si>
    <t>№ п/п</t>
  </si>
  <si>
    <t>наименование</t>
  </si>
  <si>
    <t>1.</t>
  </si>
  <si>
    <t>1.1</t>
  </si>
  <si>
    <t>1.2</t>
  </si>
  <si>
    <t>расходы на приобретение и содержание средств обучения и воспитания (учебников, в том числе учебников с электронными приложениями, являющимися их составной частью, учебно-методической литературы и материалов в форме печатных и электронных образовательных и информационных ресурсов по всем учебным предметам, дополнительной литературы, дидактических материалов, аудио- и видеоматериалов, канцелярских принадлежностей и расходных материалов для занятий с обучающимися, приборов, оборудования и инвентаря, включая игровое и спортивное оборудование и инвентарь, инструментов (в том числе музыкальных), учебно-наглядных пособий, игр и игрушек, компьютеров, аппаратно-программных и аудиовизуальных средств,  необходимых для организации всех видов учебной деятельности и создания развивающей предметно-пространственной среды, в том числе специальных для детей с ограниченными возможностями здоровья)</t>
  </si>
  <si>
    <t>1.3</t>
  </si>
  <si>
    <t>2.</t>
  </si>
  <si>
    <t>Натуральные нормы на общехозяйственные нужды</t>
  </si>
  <si>
    <t>2.1</t>
  </si>
  <si>
    <t>Коммунальные услуги</t>
  </si>
  <si>
    <t>2.2</t>
  </si>
  <si>
    <t>Содержание объектов недвижимого имущества, необходимого для выполнения муниципального задания</t>
  </si>
  <si>
    <t>2.3</t>
  </si>
  <si>
    <t>Содержание объектов особо ценного движимого имущества, необходимого для выполнения муниципального задания</t>
  </si>
  <si>
    <t>2.4</t>
  </si>
  <si>
    <t>Услуги связи</t>
  </si>
  <si>
    <t>2.5</t>
  </si>
  <si>
    <t>Транспортные услуги</t>
  </si>
  <si>
    <t>2.6</t>
  </si>
  <si>
    <t>2.7</t>
  </si>
  <si>
    <t>Прочие общехозяйственные нужды</t>
  </si>
  <si>
    <t>Затраты на оплату труда с начислениями на выплаты по оплате труда работников, которые не принимают непосредственного участия в оказании муниципальной услуги</t>
  </si>
  <si>
    <t>Материальные запасы и особо ценное движимое имущество, потребляемые (используемые) в процессе оказания муниципальной услуги -</t>
  </si>
  <si>
    <t>Натуральные нормы, непосредственно связанные с оказанием муниципальной услуги:</t>
  </si>
  <si>
    <t>Иные натуральные нормы, непосредственно используемые в процессе оказания муниципальной услуги:</t>
  </si>
  <si>
    <t>1.2+1.3</t>
  </si>
  <si>
    <t>в том числе</t>
  </si>
  <si>
    <t>Заместитель директора по учебно-воспитательной работе</t>
  </si>
  <si>
    <t>Заместитель директора по административно-хозяйственной работе</t>
  </si>
  <si>
    <t>Главный бухгалтер</t>
  </si>
  <si>
    <t>Заведующий отделением</t>
  </si>
  <si>
    <t>Социальный педагог</t>
  </si>
  <si>
    <t>Педагог дополнительного образования</t>
  </si>
  <si>
    <t>Методист</t>
  </si>
  <si>
    <t>Педагог-организатор</t>
  </si>
  <si>
    <t>Концертмейстер</t>
  </si>
  <si>
    <t>Заведующий хозяйством</t>
  </si>
  <si>
    <t>Заведующий костюмерной</t>
  </si>
  <si>
    <t>Секретарь учебной части</t>
  </si>
  <si>
    <t>Ветеринарный врач</t>
  </si>
  <si>
    <t>Механик</t>
  </si>
  <si>
    <t>Слесарь-сантехник</t>
  </si>
  <si>
    <t>Электромонтер по ремонту и обслуживанию электрооборудования</t>
  </si>
  <si>
    <t>Гардеробщик</t>
  </si>
  <si>
    <t>Костюмер</t>
  </si>
  <si>
    <t>ДДТ</t>
  </si>
  <si>
    <t>ЦВР</t>
  </si>
  <si>
    <t>Итого</t>
  </si>
  <si>
    <t>физкультурно-спортивная направленность</t>
  </si>
  <si>
    <t>техническая направленность</t>
  </si>
  <si>
    <t>естественнонаучная направленность</t>
  </si>
  <si>
    <t>художественная направленность</t>
  </si>
  <si>
    <t>туристско-краеведческая направленность</t>
  </si>
  <si>
    <t>cоциально-педагогическая направленность</t>
  </si>
  <si>
    <t>куб.м</t>
  </si>
  <si>
    <t>квт/ч</t>
  </si>
  <si>
    <t>Гкал</t>
  </si>
  <si>
    <t>ИТОГО</t>
  </si>
  <si>
    <t>МБУ ДО ЦВР</t>
  </si>
  <si>
    <t>СЮН</t>
  </si>
  <si>
    <t>средневзвешенный тариф на единицу комм. услуг, руб.</t>
  </si>
  <si>
    <t>2.1.1.</t>
  </si>
  <si>
    <t>Газ</t>
  </si>
  <si>
    <t>2.1.2.</t>
  </si>
  <si>
    <t>Электроэнергия</t>
  </si>
  <si>
    <t>2.1.3.</t>
  </si>
  <si>
    <t>Теплоэнергия на отопление зданий, помещений и сооружений</t>
  </si>
  <si>
    <t>2.1.4.</t>
  </si>
  <si>
    <t>Холодное водоснабжение</t>
  </si>
  <si>
    <t>2.1.5.</t>
  </si>
  <si>
    <t>Водоотведение</t>
  </si>
  <si>
    <t>примечание</t>
  </si>
  <si>
    <t>Бумага А4 (для принтера и копир. аппарата)</t>
  </si>
  <si>
    <t>Компьютер (со всеми комплектующими)</t>
  </si>
  <si>
    <t>Принтер лазерный формат А4 для монохромной печати</t>
  </si>
  <si>
    <t>Многофункциональное устройство для монохромной печати, копирования и сканирования в формате А4 (МФУ)</t>
  </si>
  <si>
    <t>Телефон-факс</t>
  </si>
  <si>
    <t>Термочувствительная бумага для факсимильных аппаратов</t>
  </si>
  <si>
    <t>1 в год на устройство</t>
  </si>
  <si>
    <t>Картридж для лазерного монохромного принтера</t>
  </si>
  <si>
    <t>Картридж для МФУ</t>
  </si>
  <si>
    <t>средняя рыночная цена за 1 единицу, руб.</t>
  </si>
  <si>
    <t>1 на учреждение</t>
  </si>
  <si>
    <t>1 учреждение</t>
  </si>
  <si>
    <t>1 в месяц на устройство</t>
  </si>
  <si>
    <t>носители информации</t>
  </si>
  <si>
    <t xml:space="preserve">мобильные носители информации 
USBфлэш - накопитель
</t>
  </si>
  <si>
    <t>внешний жесткий диск</t>
  </si>
  <si>
    <t>2 единицы на учреждение</t>
  </si>
  <si>
    <t>канцелярские принадлежности</t>
  </si>
  <si>
    <t>компьютеры, оргтехника и расходные материалы и запасные части к компьютерам и оргтехнике</t>
  </si>
  <si>
    <t>Папка с арочным механизмом (для бумаг формата А4, 50мм)</t>
  </si>
  <si>
    <t>Дырокол на 2 отверстия</t>
  </si>
  <si>
    <t>Линейка 30см</t>
  </si>
  <si>
    <t>Ластик</t>
  </si>
  <si>
    <t>Книга учета формат А4, 96 листов</t>
  </si>
  <si>
    <t>1 раз в год на учреждение</t>
  </si>
  <si>
    <t xml:space="preserve">Папка-скоросшиватель бумажная </t>
  </si>
  <si>
    <t>по 4 на 1 работника и на 1 группу в год</t>
  </si>
  <si>
    <t>Папка скоросшиватель пластиковая</t>
  </si>
  <si>
    <t>Папка-файл прозрачный с боковой перфорацией,  А4 (упаковка -100шт.)</t>
  </si>
  <si>
    <t xml:space="preserve">Маркер-выделитель </t>
  </si>
  <si>
    <t xml:space="preserve">по 1 упаковке в год на 1 работника и на 1 преподавателя  </t>
  </si>
  <si>
    <t>Папка-уголок А4 цветная</t>
  </si>
  <si>
    <t>Антистеплер</t>
  </si>
  <si>
    <t>Степлер №10</t>
  </si>
  <si>
    <t>Степлер №24</t>
  </si>
  <si>
    <t>Скобы №10</t>
  </si>
  <si>
    <t>Скобы №24</t>
  </si>
  <si>
    <t>Ручка шариковая</t>
  </si>
  <si>
    <t>Ручка гелевая черная</t>
  </si>
  <si>
    <t>Ручка гелевая красная</t>
  </si>
  <si>
    <t>Калькулятор</t>
  </si>
  <si>
    <t>Скрепки канцелярские (28мм)</t>
  </si>
  <si>
    <t>Скрепки канцелярские (50мм)</t>
  </si>
  <si>
    <t>Скрепочница</t>
  </si>
  <si>
    <t>Папка для документов (на подпись)</t>
  </si>
  <si>
    <t>Зажим для бумаг металлический (19мм)</t>
  </si>
  <si>
    <t>Зажим для бумаг металлический (32мм)</t>
  </si>
  <si>
    <t>Зажим для бумаг металлический (51мм)</t>
  </si>
  <si>
    <t>на 1 зам.руководителя, 1 гл.бухгалтера, 1 завхоза, 1 секретаря</t>
  </si>
  <si>
    <t>Скотч прозрачный канцелярская (ширина 19мм)</t>
  </si>
  <si>
    <t xml:space="preserve">Клеящий карандаш, 20 г </t>
  </si>
  <si>
    <t>Клей ПВА-М канцелярский (125г)</t>
  </si>
  <si>
    <t>Ножницы</t>
  </si>
  <si>
    <t>Стикеры-закладки с клейким краем пластиковые цветные, формат 45х12 мм (упаковка – 5 цветов по 20 листов)</t>
  </si>
  <si>
    <t>Бумага для заметок с липким краем, формат 76х76 (упаковка – 400 листов)</t>
  </si>
  <si>
    <t>Корректирующая жидкость, 20мл</t>
  </si>
  <si>
    <t>Блок для записей</t>
  </si>
  <si>
    <t>Точилка для карандашей</t>
  </si>
  <si>
    <t>Календарь перекидной ежедневный</t>
  </si>
  <si>
    <t>Подставка под перекидной календарь</t>
  </si>
  <si>
    <t>Вертикальный накопитель для бумаг</t>
  </si>
  <si>
    <t>Штемпельная краска</t>
  </si>
  <si>
    <t xml:space="preserve">Ежедневник </t>
  </si>
  <si>
    <t>по 1 в год на 1 секретаря и 1 гл.бухгалтера</t>
  </si>
  <si>
    <t>Корзина для бумаг</t>
  </si>
  <si>
    <t>Вешалка-плечики</t>
  </si>
  <si>
    <t>Шнурки для подшивки дел</t>
  </si>
  <si>
    <t>Корзина для мусора</t>
  </si>
  <si>
    <t>Мешки для мусора (в упаковке 20 шт.)</t>
  </si>
  <si>
    <t>Мыло жидкое для рук (500мл)</t>
  </si>
  <si>
    <t>Салфетки влажные числящие для оргтехники</t>
  </si>
  <si>
    <t>Средство моющее (для мытья сантехники, объем 500 мл)</t>
  </si>
  <si>
    <t>Батарейка (аккумуляторная) для часов</t>
  </si>
  <si>
    <t>1 на учреждение, на 1 учебный кабинет</t>
  </si>
  <si>
    <t>Часы</t>
  </si>
  <si>
    <t>по 1 на 1 работника и на 1 учебный кабинет</t>
  </si>
  <si>
    <t>хозяйственные товары и инвентарь</t>
  </si>
  <si>
    <t>Салфетки вискозные (для мытья поверхностей кроме пола)</t>
  </si>
  <si>
    <t>1 в месяц на учреждение</t>
  </si>
  <si>
    <t>Набор: щетка для подметания пола с черенком и совком</t>
  </si>
  <si>
    <t>Тряпка (насадка) из микрофибры для мытья пола</t>
  </si>
  <si>
    <t>Перчатки резиновые (пара)</t>
  </si>
  <si>
    <t>Бумага туалетная</t>
  </si>
  <si>
    <t>Швабра с корпусом из пластмассы и ручкой из легкого металла</t>
  </si>
  <si>
    <t>по 1 на 1 компьютер в год</t>
  </si>
  <si>
    <t>Средство моющее (для мытья полов, объем 500 мл)</t>
  </si>
  <si>
    <t xml:space="preserve">1 в месяц на учреждение </t>
  </si>
  <si>
    <t>1 на кабинет рук-ля, по 1 на 1 учебный кабинет</t>
  </si>
  <si>
    <t>по 1 в год на бухгалтерские документы, документы по личному составу, документы по обучающимся</t>
  </si>
  <si>
    <t>2 пары на 1 уборщика в месяц</t>
  </si>
  <si>
    <t>2 на санузлы (1 муж. и 1 жен) для служебного персонала и 2 на санузлы (1 муж. и 1 жен) для учащихся</t>
  </si>
  <si>
    <t>по 1 в месяц на 1 работника и на 1 учебный кабинет,  2 в месяц на санузлы (1 муж. и 1 жен) для служебного персонала и 2 в месяц на санузлы (1 муж. и 1 жен)  для учащихся</t>
  </si>
  <si>
    <t>2 в год на санузлы (1 муж. и 1 жен) для служебного персонала и 2 в год на санузлы (1 муж. и 1 жен)  для учащихся</t>
  </si>
  <si>
    <t>2 в месяц на санузлы (1 муж. и 1 жен) для служебного персонала и 8 в месяц на санузлы (4 муж. и 4 жен) для учащихся</t>
  </si>
  <si>
    <t>4 в месяц на санузлы (2 муж. и 2 жен) для служебного персонала и 40 в месяц на санузлы (20 муж. и 20 жен) для учащихся</t>
  </si>
  <si>
    <t>обучение лиц, ответственных за газовое хозяйство</t>
  </si>
  <si>
    <t>по 1 на рук-ля, 1 зам.рук-ля, 2 бухгалтеров, 1 завхоза, 1 секретаря; 1 на 10-ть осн.педагогов</t>
  </si>
  <si>
    <t>1 на рук-ля и зам.рук.ля в месяц, 4 на бухгалтерию в месяц, 1 на завхоза в месяц, 2 на секретаря в месяц; 2 на 1 осн.педагога в квартал</t>
  </si>
  <si>
    <t>по 2 ед. мобильного носителя информации на 1 рук-ля и 1 гл.бух (в качестве ключевого носителя для электронной подписи и для временного хранения информации), по 1 на зам.рук-ля, 1 секретаря, 1 бухгалтера, 1 завхоза и осн.педагогов групп</t>
  </si>
  <si>
    <t xml:space="preserve">по 1 на 1 работника и на 1 осн.педагога </t>
  </si>
  <si>
    <t xml:space="preserve">по 2 на 1 работника и на 1 осн.педагога </t>
  </si>
  <si>
    <t>по 4 в год на 1 работника и на 1 осн.педагога</t>
  </si>
  <si>
    <t>обучение</t>
  </si>
  <si>
    <t>норматив, непосредственно связанный с оказанием муниципальной услуги</t>
  </si>
  <si>
    <t>норматив на общехозяйственные нужды</t>
  </si>
  <si>
    <t>обучение ответственных лиц за исправность и безопасность эксплуатации энергоустановок</t>
  </si>
  <si>
    <t>обучение электротехнического персонала</t>
  </si>
  <si>
    <t>обучение по охране труда</t>
  </si>
  <si>
    <t>обучение ответственных лиц пожарно-техническому минимуму</t>
  </si>
  <si>
    <t>гигиеническое обучение</t>
  </si>
  <si>
    <t>1 ответственное лицо</t>
  </si>
  <si>
    <t>2 ответственных лица</t>
  </si>
  <si>
    <t>весь персонал</t>
  </si>
  <si>
    <t>медосмотр</t>
  </si>
  <si>
    <t>медосмотр мужчин</t>
  </si>
  <si>
    <t>медосмотр женщин</t>
  </si>
  <si>
    <t>аккарицидная обработка</t>
  </si>
  <si>
    <t>лаврицидная обработка</t>
  </si>
  <si>
    <t>энтомологическое обследование</t>
  </si>
  <si>
    <t>исследование средств дезинфекции</t>
  </si>
  <si>
    <t>серологические исследование крови (лошади)</t>
  </si>
  <si>
    <t>1 раз в год    (кол-во периодов)</t>
  </si>
  <si>
    <t>исследование почвы (песка)</t>
  </si>
  <si>
    <t>Нормы на общехозяйственные нужды</t>
  </si>
  <si>
    <t>услуги связи</t>
  </si>
  <si>
    <t>на 1 учреждение 12 месяцев (кол-во периодов)</t>
  </si>
  <si>
    <t>содержание в чистоте помещений, зданий, дворов, иного имущества</t>
  </si>
  <si>
    <t>дератизация</t>
  </si>
  <si>
    <t>дезинсекция</t>
  </si>
  <si>
    <t>1 раз в год весь персонал</t>
  </si>
  <si>
    <t>ремонт и техническое обслуживание оборудования и техники</t>
  </si>
  <si>
    <t>содержание и ремонт многоквартирного дома</t>
  </si>
  <si>
    <t>заправка катриджей</t>
  </si>
  <si>
    <t>ремонт и техобслуживание компьютеров и оргтехники</t>
  </si>
  <si>
    <t>ежеквартально на 1 учреждение (кол-во периодов)</t>
  </si>
  <si>
    <t>услуги в области информационных технологий</t>
  </si>
  <si>
    <t>1 в год на 5 устройств</t>
  </si>
  <si>
    <t xml:space="preserve">ключ ЭЦП </t>
  </si>
  <si>
    <t>ПП "Парус-бюджет"</t>
  </si>
  <si>
    <t>информационно-консультационное обслуживание ПП "1С 8.0"</t>
  </si>
  <si>
    <t xml:space="preserve">подписка на обновление ПП "1С 8.0" </t>
  </si>
  <si>
    <t>хостинг для сайта учреждения</t>
  </si>
  <si>
    <t>ЭЦП, продление лицензии, ru-токен, ЭЦП для торговых площадок</t>
  </si>
  <si>
    <t>антивирусные программные  программные продукты</t>
  </si>
  <si>
    <t>лицензионное программное обеспечение (Office)</t>
  </si>
  <si>
    <t xml:space="preserve">кол-во приобретаемых единиц или периодов оплаты в год </t>
  </si>
  <si>
    <t>Ведро для уборки 12л оцинкованное без крышки</t>
  </si>
  <si>
    <t>1 на 1 уборщика</t>
  </si>
  <si>
    <t>Средство моющее (для мытья стекол, объем 500 мл)</t>
  </si>
  <si>
    <t>2 в год на учреждение и по 0,5 в год на учебный кабинет</t>
  </si>
  <si>
    <t>на 1 учреждение (кол-во периодов)</t>
  </si>
  <si>
    <t>Ремонтные работы по подготовке к зиме</t>
  </si>
  <si>
    <t>гидравлические испытания</t>
  </si>
  <si>
    <t>ИТОГО норматив на 1 обучающегося в год</t>
  </si>
  <si>
    <t>норматив на 1 обучающегося в год</t>
  </si>
  <si>
    <t>Значение</t>
  </si>
  <si>
    <t>муниципальные учреждения дополнительного образования</t>
  </si>
  <si>
    <t xml:space="preserve">значение натуральной нормы </t>
  </si>
  <si>
    <t xml:space="preserve">примечание </t>
  </si>
  <si>
    <t xml:space="preserve">наименование натуральной нормы </t>
  </si>
  <si>
    <t>Материальные и иные затраты всего:</t>
  </si>
  <si>
    <t>расходы на оплату труда учителей,  воспитателей (включая старших), прочих педагогических работников, с учетом требований примерных образовательных программ дошкольного, начального общего, основного общего и среднего общего образования,  административно-управленческого, учебно-вспомогательного  и обслуживающего персонала  (за исключением персонала, обеспечивающего создание условий для осуществления присмотра и ухода за детьми  и оказание услуг по присмотру и уходу за детьми, а также персонала, непосредственно связанного с обслуживанием зданий, сооружений,  систем,  оборудования,  содержанием территории  и обеспечением  сохранности имущества)</t>
  </si>
  <si>
    <t>в части коммунальных услуг</t>
  </si>
  <si>
    <t>в части фонда оплаты труда</t>
  </si>
  <si>
    <t>№</t>
  </si>
  <si>
    <t>1.2.</t>
  </si>
  <si>
    <t>1.3.</t>
  </si>
  <si>
    <t>из него непосредственно для организации учебной деятельности</t>
  </si>
  <si>
    <t>2.7.</t>
  </si>
  <si>
    <t>Охранные услуги</t>
  </si>
  <si>
    <t>Противопожарные мероприятия</t>
  </si>
  <si>
    <t>Обслуживание пожарной сигнализации (кнопка "01")</t>
  </si>
  <si>
    <t>в месяц на 4 здания (кол-во периодов)</t>
  </si>
  <si>
    <t>перезарядка огнетушителей</t>
  </si>
  <si>
    <t>проверка дымоходов и вентиляции</t>
  </si>
  <si>
    <t>проведение испытаний пожарной лестницы</t>
  </si>
  <si>
    <t>на 1 учреждение (кол-во огнетушителей)</t>
  </si>
  <si>
    <t>1 здание 2 раза в год (кол-во периодов)</t>
  </si>
  <si>
    <t>на 1 учреждение 1 раз в год (кол-во периодов)</t>
  </si>
  <si>
    <t>Налоги</t>
  </si>
  <si>
    <t>1 раз в квартал на 1 учреждение (кол-во периодов)</t>
  </si>
  <si>
    <t>2.4.</t>
  </si>
  <si>
    <t>2.2.</t>
  </si>
  <si>
    <t>2.3.</t>
  </si>
  <si>
    <t>ремонт, диагностика и техобслуживание иного оборудования</t>
  </si>
  <si>
    <t>2.6.</t>
  </si>
  <si>
    <t>1.1.</t>
  </si>
  <si>
    <t>2.5.</t>
  </si>
  <si>
    <t>2.1.</t>
  </si>
  <si>
    <t>отдельный расчет</t>
  </si>
  <si>
    <t>муниципальных учреждений дополнительного образования</t>
  </si>
  <si>
    <t>не используется</t>
  </si>
  <si>
    <t>7=(п.5+ п.6)/ п.3/ п.4</t>
  </si>
  <si>
    <t>8=п.7- п.9</t>
  </si>
  <si>
    <t>8а</t>
  </si>
  <si>
    <t>11=п.7* п.10</t>
  </si>
  <si>
    <t>12=п.8* п.10</t>
  </si>
  <si>
    <t>12а= п.8а* п.10</t>
  </si>
  <si>
    <t>13=п.9* п.10</t>
  </si>
  <si>
    <t>О.Ю.Воронина</t>
  </si>
  <si>
    <t>в соответствии с прилагаемым расчетом</t>
  </si>
  <si>
    <t>-</t>
  </si>
  <si>
    <t>количество услуг (ед.), количество зданий (ед.), площади территории (кв.м), периодов оплаты (месяц и пр.)</t>
  </si>
  <si>
    <t>количество услуг (ед.), количество периодов оплаты (месяц и пр.)</t>
  </si>
  <si>
    <t>постоянно не используется, оплачивается за счет экономии по другим статьям затрат</t>
  </si>
  <si>
    <t>количество услуг (ед.), количество зданий (ед.), периодов оплаты (месяц и пр.)</t>
  </si>
  <si>
    <t>количество услуг (ед.), количество зданий (ед.), площади помещений (кв.м), периодов оплаты (месяц и пр.)</t>
  </si>
  <si>
    <t>количество услуг (ед.), количество работников (чел.), товаров (ед.), периодов оплаты (месяц и пр.)</t>
  </si>
  <si>
    <t>в т.ч. среднегодовой норматив с округлением</t>
  </si>
  <si>
    <t>натуральных норм, необходимых для определения базовых нормативов затрат на оказание муниципальных услуг в сфере образования,</t>
  </si>
  <si>
    <t>всего</t>
  </si>
  <si>
    <t>МБУ ДО СЮТур</t>
  </si>
  <si>
    <t>МБУ ДО СЮН</t>
  </si>
  <si>
    <t>Дополнительное профессиональное образование педагогических работников; текущие расходы, связанные с обеспечением осуществления образовательного  процесса, управлением образовательной организацией,  ведением бухгалтерского учета и финансовой деятельности (услуги связи, оплата широкополосного доступа к информационно-телекоммуникационной сети «Интернет»,  используемого в учебном процессе,  оплата обязательных медицинских осмотров педагогических работников, подписка на периодические и справочные издания, техническое обслуживание и ремонт оборудования, включая приобретение комплектующих и расходных материалов, командировочные расходы,  программное обеспечение, приобретение канцелярских принадлежностей, бланков, хозяйственных материалов, услуги по установке и  обновлению баз данных,  иные расходы,   за исключением расходов на содержание зданий сооружений, систем, содержание территории  и обеспечение  сохранности имущества, приобретение и содержание основных средств, не относящихся к средствам обучения и воспитания, оплату коммунальных услуг и расходов на оказание услуг по присмотру и уходу за детьми)</t>
  </si>
  <si>
    <t>Приложение № 1 к приказу</t>
  </si>
  <si>
    <t>Работники, непосредственно связанные с оказанием муниципальной услуги (фонд оплаты труда)</t>
  </si>
  <si>
    <t>количество часов педагогической работы с учетом коэффициента, учитывающего фонд оплаты труда обслуживающего персонала, не принимающего непосредственного участия в оказании услуг (час)</t>
  </si>
  <si>
    <t>Карандаш черно-графитный с ластиком</t>
  </si>
  <si>
    <t>по 4 на 1 работника и на 1 обучающегося в год</t>
  </si>
  <si>
    <t>4 на уборщика в год</t>
  </si>
  <si>
    <t>Командировочные расходы</t>
  </si>
  <si>
    <t>суточные (для повышения квалификации)</t>
  </si>
  <si>
    <t>проезд (для повышения квалификации)</t>
  </si>
  <si>
    <t>проживание (для повышения квалификации)</t>
  </si>
  <si>
    <t xml:space="preserve">Повышение квалификации </t>
  </si>
  <si>
    <t xml:space="preserve">повышение квалификации </t>
  </si>
  <si>
    <t>Подписка на периодические и справочные издания</t>
  </si>
  <si>
    <t>главный бухгалтер</t>
  </si>
  <si>
    <t>справочник педагога-психолога</t>
  </si>
  <si>
    <t>Средства обучения и воспитания</t>
  </si>
  <si>
    <t>для туристического направления</t>
  </si>
  <si>
    <t xml:space="preserve"> - палатка 4-хместная туристическая</t>
  </si>
  <si>
    <t xml:space="preserve">1 на 1 группу  </t>
  </si>
  <si>
    <t xml:space="preserve"> - рюкзак туристический</t>
  </si>
  <si>
    <t>1 на 10 учащихся</t>
  </si>
  <si>
    <t xml:space="preserve"> - карабин</t>
  </si>
  <si>
    <t>1 на 1 учащихся</t>
  </si>
  <si>
    <t xml:space="preserve"> - веревка альпинистская</t>
  </si>
  <si>
    <t>для  художественного направления</t>
  </si>
  <si>
    <t xml:space="preserve"> - набор духовых инструментов</t>
  </si>
  <si>
    <t xml:space="preserve">1 на 1 учреждение  </t>
  </si>
  <si>
    <t xml:space="preserve">2 на 1 учреждение  </t>
  </si>
  <si>
    <t xml:space="preserve"> - микрофон</t>
  </si>
  <si>
    <t xml:space="preserve"> - аккустическая система</t>
  </si>
  <si>
    <t xml:space="preserve"> - усилители</t>
  </si>
  <si>
    <t xml:space="preserve"> - световое оборудование</t>
  </si>
  <si>
    <t xml:space="preserve"> - синтезатор</t>
  </si>
  <si>
    <t xml:space="preserve">10 на 1 учреждение  </t>
  </si>
  <si>
    <t xml:space="preserve"> - стойки</t>
  </si>
  <si>
    <t xml:space="preserve">5 на 1 учреждение  </t>
  </si>
  <si>
    <t xml:space="preserve"> - мольберт</t>
  </si>
  <si>
    <t xml:space="preserve"> - этюдник</t>
  </si>
  <si>
    <t>для физкультурно-спортивного (конного) направления</t>
  </si>
  <si>
    <t xml:space="preserve"> - уздечки</t>
  </si>
  <si>
    <t xml:space="preserve"> - трензель</t>
  </si>
  <si>
    <t xml:space="preserve"> - недоуздок</t>
  </si>
  <si>
    <t xml:space="preserve"> - седло волонжировочное</t>
  </si>
  <si>
    <t xml:space="preserve"> - мондштук</t>
  </si>
  <si>
    <t xml:space="preserve"> - корда</t>
  </si>
  <si>
    <t xml:space="preserve">4 на 1 учреждение  </t>
  </si>
  <si>
    <t>Утверждаю</t>
  </si>
  <si>
    <t>Начальник Управления образования г.Таганрога</t>
  </si>
  <si>
    <t>проверка</t>
  </si>
  <si>
    <t xml:space="preserve">Материальные запасы и особо ценное движимое имущество, потребляемые (используемые) в процессе оказания муниципальной услуги </t>
  </si>
  <si>
    <t>Иные натуральные нормы, непосредственно используемые в процессе оказания муниципальной услуги</t>
  </si>
  <si>
    <t>Коэффициент, учитывающий начисления на выплаты по оплате труда</t>
  </si>
  <si>
    <t>Коэффициент за сельскую местность</t>
  </si>
  <si>
    <t>Количество месяцев в календарном году</t>
  </si>
  <si>
    <t>Коэффициент, учитывающий увеличение ФОТ на АУП, УВП и обслуживающий персонал</t>
  </si>
  <si>
    <t>Коэффициент учитывающий оплату труда прочих педагогических работников</t>
  </si>
  <si>
    <t>За индивидуальное обучение на дому больных детей-хроников и  детей, находящихся на длительном лечении</t>
  </si>
  <si>
    <t>Коэффициент удорожания</t>
  </si>
  <si>
    <t>Педработники</t>
  </si>
  <si>
    <t>АУП, УВП и прочие</t>
  </si>
  <si>
    <t>Норма времени в год - учебная нагрузка педагога дополнительного образования, в соответствии с п. 7.1.3 Приказа Минобрнауки России от 22.12.2014 N 1601, час.</t>
  </si>
  <si>
    <t>стоимость в год на 1 человеко-час, руб.</t>
  </si>
  <si>
    <t>ФОТ работников на 1 человеко-час в год (на оказание услуги), руб.</t>
  </si>
  <si>
    <t>ФОТ работников на 1 человеко-час в год (не связанный с оказанием услуги, на содержание зданий и помещений), руб.</t>
  </si>
  <si>
    <t>_________________________________О.Л.Морозова</t>
  </si>
  <si>
    <t>Расчет нормативов,</t>
  </si>
  <si>
    <t>применяемых при определении затрат на финансовое обеспечение образовательного учреждения</t>
  </si>
  <si>
    <t>Приложение № 1</t>
  </si>
  <si>
    <t xml:space="preserve">доплата за работу с вредными и (или) опасными условиями труда </t>
  </si>
  <si>
    <t>Делопроизводитель</t>
  </si>
  <si>
    <t>МАУ ДО ДДТ</t>
  </si>
  <si>
    <t>МБУ ДО ЦТТ</t>
  </si>
  <si>
    <t>3=1+2</t>
  </si>
  <si>
    <t>п.1</t>
  </si>
  <si>
    <t>п.2</t>
  </si>
  <si>
    <t>п.3а</t>
  </si>
  <si>
    <t>п.3б</t>
  </si>
  <si>
    <t>п.4</t>
  </si>
  <si>
    <t>п.4а</t>
  </si>
  <si>
    <t>п.5</t>
  </si>
  <si>
    <t>№ гр</t>
  </si>
  <si>
    <t>количество человеко-часов</t>
  </si>
  <si>
    <t>коэф. направленности по уд.весу кол-ва чел-часов</t>
  </si>
  <si>
    <t>кол-во единиц комм. услуг в год по направленности</t>
  </si>
  <si>
    <t>кол-во единиц комм. услуг в год на 1 чел-час</t>
  </si>
  <si>
    <t>стоимость в год на все чел-часы, руб.</t>
  </si>
  <si>
    <t>ед.изм</t>
  </si>
  <si>
    <t>2.1.6.</t>
  </si>
  <si>
    <t>ИТОГО по коммунальным услугам</t>
  </si>
  <si>
    <t>объем для проверки затрат, руб.</t>
  </si>
  <si>
    <t>корректирующий коэффициент на коммунальные услуги</t>
  </si>
  <si>
    <t>7=п.6/ п.4</t>
  </si>
  <si>
    <t>9=п.7*п.8</t>
  </si>
  <si>
    <t>10=п.4* п.9</t>
  </si>
  <si>
    <t>11= п.9учр/ п.9свод</t>
  </si>
  <si>
    <t xml:space="preserve"> КОСГУ 211 "Заработная плата"</t>
  </si>
  <si>
    <t xml:space="preserve"> КОСГУ 213 "Начисления на заработную плату"</t>
  </si>
  <si>
    <t>финансовое обеспечение муниципального задания</t>
  </si>
  <si>
    <t>наименование учреждения</t>
  </si>
  <si>
    <t>должность, категория, разряд</t>
  </si>
  <si>
    <t>надбавка за квалификационную категорию</t>
  </si>
  <si>
    <t xml:space="preserve">надбавка за выслугу лет </t>
  </si>
  <si>
    <t xml:space="preserve">надбавка за наличие ученой степени, почетного звания </t>
  </si>
  <si>
    <t xml:space="preserve">надбавка за качество работы рабочим, имеющим не ниже 6-го разряда и привлекаемым для выполнения важных (особо важных) и ответственных (особо ответственных) работ, а также водителям автомобилей, тарифицированным по 4-му и 5-му разрядам, занятым перевозкой обучающихся (воспитанников)
</t>
  </si>
  <si>
    <t>надбавка за классность водителям автомобилей</t>
  </si>
  <si>
    <t>Заработная плата в месяц ст.211</t>
  </si>
  <si>
    <t>количество месяцев оплаты</t>
  </si>
  <si>
    <t>Заработная плата в год (ст.211), руб.</t>
  </si>
  <si>
    <t>Начисления на выплаты по оплате труда (ст.213), руб.</t>
  </si>
  <si>
    <t>Художник</t>
  </si>
  <si>
    <t>Специалист по закупкам</t>
  </si>
  <si>
    <t>Направление образовательных программ</t>
  </si>
  <si>
    <t>Кол-во человеко-часов в год на всех обучающихся по учебному плану и образовательным программам</t>
  </si>
  <si>
    <t>Кол-во учащихся</t>
  </si>
  <si>
    <t xml:space="preserve"> - прочие пед.работники</t>
  </si>
  <si>
    <t xml:space="preserve"> - АУП без содержания зданий</t>
  </si>
  <si>
    <t xml:space="preserve"> - АУП в части содержания зданий</t>
  </si>
  <si>
    <t xml:space="preserve"> - педагог доп.образ, тренер-препод</t>
  </si>
  <si>
    <t>Кол-во групп</t>
  </si>
  <si>
    <t>физкультурно-спортивная направленность всего</t>
  </si>
  <si>
    <t xml:space="preserve"> - физкультурно-спортивная направленность (36 часов)</t>
  </si>
  <si>
    <t xml:space="preserve"> - физкультурно-спортивная направленность (37 часов)</t>
  </si>
  <si>
    <t>Кол-во учебных недель в год по учебному плану и образовательным программам</t>
  </si>
  <si>
    <t>Коэффициент, учитывающий увеличение ФОТ на ОП, на содержание имущества, связанное с оказанием услуги</t>
  </si>
  <si>
    <r>
      <t xml:space="preserve">учитывающий соотношение кол-ва дней невыходов (отпуск - 42дн. </t>
    </r>
    <r>
      <rPr>
        <sz val="9"/>
        <color indexed="60"/>
        <rFont val="Times New Roman"/>
        <family val="2"/>
        <charset val="204"/>
      </rPr>
      <t>или 56 дн. для компенсир</t>
    </r>
    <r>
      <rPr>
        <sz val="9"/>
        <color indexed="8"/>
        <rFont val="Times New Roman"/>
        <family val="2"/>
        <charset val="204"/>
      </rPr>
      <t>, бол/лист = 3дн) к кол-ву календарных дней в году (365дн.)</t>
    </r>
  </si>
  <si>
    <t>Кол-во человеко-часов обучающихся на 1-го основного пед работника в год</t>
  </si>
  <si>
    <t>Фактическая численность детей, приходящихся на 1 основного пед работника, по учебному плану и образовательным программам</t>
  </si>
  <si>
    <t>Нормативная численность детей и молодежи в возрасте от 5 до 18 лет (не включая 18 лет), приходящихся в расчете на 1 педагогического работника организаций дополнительного образования (распоряжение Правительства
Российской Федерации от 30.04.2014 №722-р)</t>
  </si>
  <si>
    <t>учитывающий соотношение нормативной и фактической численности детей, приходящихся на 1-го основного пед работника</t>
  </si>
  <si>
    <t>расчетный годовой ФОТ</t>
  </si>
  <si>
    <t>7=п.5*п.6</t>
  </si>
  <si>
    <t>13=п.8/ 800час</t>
  </si>
  <si>
    <t>17= см.прил 1.1.1, 1.1.2</t>
  </si>
  <si>
    <t>18= см.прил 1.1.1, 1.1.2</t>
  </si>
  <si>
    <t>19= см.прил 1.1.1, 1.1.2</t>
  </si>
  <si>
    <t>20=п.21* п.22* п.23</t>
  </si>
  <si>
    <t>21= см.прил 1.1.1, 1.1.2</t>
  </si>
  <si>
    <t>22= 1+ (42дн+ 3дн)/ 365дн, для ОВЗ = 1+ (56дн + 3дн)/ 365дн</t>
  </si>
  <si>
    <t>23=п.5/ п.13</t>
  </si>
  <si>
    <t>24= см.прил 1.1.1, 1.1.2</t>
  </si>
  <si>
    <t>25=п.1*п.8+ п.4*п.8</t>
  </si>
  <si>
    <t>средний срок использования, лет</t>
  </si>
  <si>
    <t>И.о.заведующего планово-экономическим отделом</t>
  </si>
  <si>
    <t>28= распределение по чел-час в п.8</t>
  </si>
  <si>
    <t>27=п.26- п.15* п.17</t>
  </si>
  <si>
    <t>Cправочно</t>
  </si>
  <si>
    <t>Дополнительно</t>
  </si>
  <si>
    <t>расчет дополнительных средств по указу по чел-часам в год</t>
  </si>
  <si>
    <t>29=п.27* п.28* 1,302* 12мес</t>
  </si>
  <si>
    <t>30=п.29/ п.8</t>
  </si>
  <si>
    <t>коэффициент, учитывающий дополнительные средства на реализацию указа по зарплате педработников</t>
  </si>
  <si>
    <t>31=(п.30+ п.2)/ п.2</t>
  </si>
  <si>
    <t>физкультурно-спортивная направленность для детей с ОВЗ</t>
  </si>
  <si>
    <t>8= см.прил 1.4</t>
  </si>
  <si>
    <t>9= см.прил 1.4</t>
  </si>
  <si>
    <t>10= см.прил 1.4</t>
  </si>
  <si>
    <t>11= см.прил 1.4</t>
  </si>
  <si>
    <t>12= см.прил 1.4</t>
  </si>
  <si>
    <t>коэффициенты - без ОВЗ</t>
  </si>
  <si>
    <t>коэффициенты - ОВЗ</t>
  </si>
  <si>
    <t>расчет норматива фот по МБУ ДО СЮН</t>
  </si>
  <si>
    <t>расчет норматива фот по МБУ ДО ЦТТ</t>
  </si>
  <si>
    <t>всего для сверки</t>
  </si>
  <si>
    <t>сверка</t>
  </si>
  <si>
    <t>Дополнительный норматив на ФОТ педработников на реализацию указу на 1 чел-час в год, руб.</t>
  </si>
  <si>
    <t>Приложение № 1/3</t>
  </si>
  <si>
    <t>Приложение № 1/2</t>
  </si>
  <si>
    <t>расчет норматива коммунальных услуг по МБУ ДО ЦТТ</t>
  </si>
  <si>
    <t>расчет норматива коммунальных услуг по МБУ ДО СЮТур</t>
  </si>
  <si>
    <t>расчет норматива коммунальных услуг по МБУ ДО СЮН</t>
  </si>
  <si>
    <t>расчет норматива коммунальных услуг по МАУ ДО ДДТ</t>
  </si>
  <si>
    <t>расчет норматива коммунальных услуг по МБУ ДО ЦВР</t>
  </si>
  <si>
    <t>расчет норматива фот по МБУ ДО СЮТур</t>
  </si>
  <si>
    <t>расчет - приложение №1/1</t>
  </si>
  <si>
    <t>Кол-во ставок основных пед работников по учебному пдану при норме 18 часов в неделю</t>
  </si>
  <si>
    <t>32=п.12* 18час</t>
  </si>
  <si>
    <t>Кол-во часов педагогической работы в неделю по учебному плану при норме 18 часов в неделю</t>
  </si>
  <si>
    <t>расчет - приложение №1/3</t>
  </si>
  <si>
    <t>количество часов педагогической работы с учетом коэффициента увеличения фонда оплаты труда на административно-управленческий, учебно-вспомогательный и обслуживающий персонал, связанный с оказанием услуги (час)</t>
  </si>
  <si>
    <t>расчет - приложение №1/2</t>
  </si>
  <si>
    <t>физкультурно-спортивная направленность для детей с ограниченными возможностями здоровья</t>
  </si>
  <si>
    <t>ФОТ работников на 1 человеко-час в год (на оказание услуги) с дополнительным нормативом на указ, руб.</t>
  </si>
  <si>
    <t>х</t>
  </si>
  <si>
    <t>налоги, в качестве объекта налогообложения по которым признается имущество муниципального учреждения, руб.</t>
  </si>
  <si>
    <t>Реализация дополнительных общеразвивающих программ, в т.ч.</t>
  </si>
  <si>
    <t>за счет средств областного бюджета</t>
  </si>
  <si>
    <t>за счет средств местного бюджета</t>
  </si>
  <si>
    <t>количество услуг</t>
  </si>
  <si>
    <t>финансовое обеспечение по базовому нормативу  за счет средств областного бюджета, руб.</t>
  </si>
  <si>
    <t>финансовое обеспечение по базовому нормативу  за счет средств местного бюджета, руб.</t>
  </si>
  <si>
    <t>Всего по услуге</t>
  </si>
  <si>
    <t>Итого по всем услугам , в т.ч.</t>
  </si>
  <si>
    <t>округление, руб.</t>
  </si>
  <si>
    <t>СВОД</t>
  </si>
  <si>
    <t>4</t>
  </si>
  <si>
    <t>5</t>
  </si>
  <si>
    <t>6</t>
  </si>
  <si>
    <t>7</t>
  </si>
  <si>
    <t>8</t>
  </si>
  <si>
    <t>9</t>
  </si>
  <si>
    <t>Главный экономист планово-экономическим отдела</t>
  </si>
  <si>
    <t>расчет норматива фот по МБУ ДО ЦВР</t>
  </si>
  <si>
    <t>оклад с учетом нагрузки, руб.</t>
  </si>
  <si>
    <t>доплата за работу в особых условиях труда</t>
  </si>
  <si>
    <t>Тренер-преподаватель</t>
  </si>
  <si>
    <t>Рабочий по комплексному обслуживанию и ремонту зданий</t>
  </si>
  <si>
    <t>Инженер</t>
  </si>
  <si>
    <t>расчет норматива фот по МАУ ДО ДДТ</t>
  </si>
  <si>
    <t xml:space="preserve">Коэффициент увеличения ФОТ ПДО на величину компенсационных и стимулирующих выплат </t>
  </si>
  <si>
    <t>коэфф отнош к ПДО:</t>
  </si>
  <si>
    <t>коэфф компен и стим выплат ПДО:</t>
  </si>
  <si>
    <t>руб.</t>
  </si>
  <si>
    <t>базовый норматив затрат на 1-у услугу, руб.</t>
  </si>
  <si>
    <t>ЦТТ</t>
  </si>
  <si>
    <t>Твердые коммунальные отходы</t>
  </si>
  <si>
    <t>вывоз мусора (твердых бытовых отходов)</t>
  </si>
  <si>
    <t>стоимость в год на 1 человеко-час (с округлением по направлениям), руб.</t>
  </si>
  <si>
    <t>***</t>
  </si>
  <si>
    <t>среднее кол-во человеко-часов на 1 учреждение</t>
  </si>
  <si>
    <t>кол-во в год на 1 человеко-час</t>
  </si>
  <si>
    <t>расчетный норматив на 1 единицу товара, работы, услуги или расчет по эффективному учреждению</t>
  </si>
  <si>
    <t>для сотрудников/ учреждение в целом</t>
  </si>
  <si>
    <t>для обучающихся/ педагогов</t>
  </si>
  <si>
    <t>прочие товары и услуги</t>
  </si>
  <si>
    <t>специальная оценка труда (аттестация рабочих мест)</t>
  </si>
  <si>
    <t>1 раз в 5 лет на 1 учреждение (количество штатных единиц)</t>
  </si>
  <si>
    <t>утилизация и хранение люминисцентных ламп</t>
  </si>
  <si>
    <t>1 раз в 2 года на 1 учреждение (кол-во ламп)</t>
  </si>
  <si>
    <t>предрейсовый технический осмотр транспорта</t>
  </si>
  <si>
    <t xml:space="preserve">кол-во дней в год на 1 автомобиль для 1-го учреждения </t>
  </si>
  <si>
    <t>периодическое техническое обслуживание  транспорта</t>
  </si>
  <si>
    <t>1 автомобиль на 1 учреждение</t>
  </si>
  <si>
    <t>ежегодный плановый ремонт автотранспорта</t>
  </si>
  <si>
    <t>автострахование гражданской ответственности владельца опасного объекта за причинение вреда в результате аварии на опасном объекте</t>
  </si>
  <si>
    <t>горюче-смазочные материалы (для автотраспорта)</t>
  </si>
  <si>
    <t>расход топлива в литрах на год на 1 автомобиль на 1 учреждение</t>
  </si>
  <si>
    <t>корм животным</t>
  </si>
  <si>
    <t>расход корма в год на 1 учреждение</t>
  </si>
  <si>
    <t>обучение по закупкам</t>
  </si>
  <si>
    <t>3 ответственных лица</t>
  </si>
  <si>
    <t>обучение по гражданской обороне и ЧС</t>
  </si>
  <si>
    <t>обучение механика в целях организации проведения самостоятельного технического осмотра автомобиля</t>
  </si>
  <si>
    <t>1 обработка в год на площадь прилегающей территории (га)</t>
  </si>
  <si>
    <t>контроль эффективности обработки</t>
  </si>
  <si>
    <t>5 раз в год (кол-во периодов)</t>
  </si>
  <si>
    <t>предрейсовый медицинский осмотр водителей</t>
  </si>
  <si>
    <t>90 дней в год    (кол-во периодов)</t>
  </si>
  <si>
    <t>услуги электросвязи Интернет</t>
  </si>
  <si>
    <t>услуги электросвязи (абонентская плата за телефон)</t>
  </si>
  <si>
    <t>услуги междугородней и международной телефонной связи</t>
  </si>
  <si>
    <t>прочие услуги (установка телефона, сети интернет и пр.)</t>
  </si>
  <si>
    <t>услуги проводного вещания (радио)</t>
  </si>
  <si>
    <t>услуги почтовой связи (маркированные конверты)</t>
  </si>
  <si>
    <t>оказание телематических услуг связи (для обслуживания системы мониторинга автомобилей на базе ГЛОНАСС )</t>
  </si>
  <si>
    <t>санитарная обработка контейнеров для твердых отходов</t>
  </si>
  <si>
    <t>обработка 12 раз в год на количество кулеров</t>
  </si>
  <si>
    <t>обработка 12 раз в год на площадь помещений (кв.м)</t>
  </si>
  <si>
    <t>техобслуживание узла учета теплоэнергии</t>
  </si>
  <si>
    <t>1 раз в год на 1 учреждение (кол-во техники и оборудования)</t>
  </si>
  <si>
    <t>техобслуживание системы вентиляции</t>
  </si>
  <si>
    <t>техобслуживание систем видеонаблюдения</t>
  </si>
  <si>
    <t>техобслуживание систем электрооборудования</t>
  </si>
  <si>
    <t>профилактические испытания и измерения электрооборудования</t>
  </si>
  <si>
    <t>поверка средств измерения (весов, гирь, манометров)</t>
  </si>
  <si>
    <t>замена картриджей</t>
  </si>
  <si>
    <t>техобслуживание газового оборудования</t>
  </si>
  <si>
    <t>обслуживание в системах по сдаче отчетности</t>
  </si>
  <si>
    <t>оперативное реагирование при срабатывании тревожной сигнализации</t>
  </si>
  <si>
    <t>Техническое обслуживание пожарной сигнализации здания</t>
  </si>
  <si>
    <t>поверка и испытание противопожарных кранов</t>
  </si>
  <si>
    <t>огнезащитная обработка деревянных конструкций</t>
  </si>
  <si>
    <t>на 1 учреждение 1 раз в 3 года (кол-во периодов)</t>
  </si>
  <si>
    <t xml:space="preserve">проверка состояния огнезащитной обработки </t>
  </si>
  <si>
    <t>замена пожарных рукавов (шлангов)</t>
  </si>
  <si>
    <t>на 1 учреждение 1 раз в 20 лет (кол-во периодов)</t>
  </si>
  <si>
    <t xml:space="preserve">ДДТ  </t>
  </si>
  <si>
    <t>на 1 учреждение 1 раз в 5 лет (кол-во периодов)</t>
  </si>
  <si>
    <t>из расчета 10 дней командировки и количества человек - руководитель, зам.руководителя, весь педагогический персонал</t>
  </si>
  <si>
    <t>из расчета 2 поездок (туда и обратно) и количества человек - руководитель,зам. руководителя, весь педагогический персонал</t>
  </si>
  <si>
    <t>из расчета стоимости очного обучения по 72-часовой программе и количества человек руководитель, заместитель руководителя, весь педагогический персонал</t>
  </si>
  <si>
    <t>справочник руководителя образовательного учреждения</t>
  </si>
  <si>
    <t>количество экземпляров в год (12) и периодов оплаты в год (12)</t>
  </si>
  <si>
    <t>количество экземпляров в год (24 по 2 в месяц) и периодов оплаты в год (12)</t>
  </si>
  <si>
    <t>дополнительное образование и воспитание (с приложением)</t>
  </si>
  <si>
    <t>количество экземпляров в год (журнал 12 и приложение 6) и периодов оплаты в год (6)</t>
  </si>
  <si>
    <t xml:space="preserve">нормативные документы образования </t>
  </si>
  <si>
    <t>для естественнонаучного направления</t>
  </si>
  <si>
    <t xml:space="preserve"> - триммер</t>
  </si>
  <si>
    <t>для технического направления</t>
  </si>
  <si>
    <t>1а=п.1+п.30</t>
  </si>
  <si>
    <t>1=п.12*п.14* п.15*п.16*п.17* (1+п.18+п.19)* п.20/п.5/п.6</t>
  </si>
  <si>
    <t>2=п.12*п.14* п.15*п.16* п.17*п.20/ п.5/п.6</t>
  </si>
  <si>
    <t>3=п.1-п.2</t>
  </si>
  <si>
    <t>4=п.12*п.14* п.15*п.16* п.17*п.20 п.24/ п.5/п.6</t>
  </si>
  <si>
    <t>33=п.8/ п.9</t>
  </si>
  <si>
    <t>от _______________ №________</t>
  </si>
  <si>
    <t>для социально-педагогического направления</t>
  </si>
  <si>
    <t xml:space="preserve">3 на 1 учреждение  </t>
  </si>
  <si>
    <t xml:space="preserve"> - учебные пособия</t>
  </si>
  <si>
    <t xml:space="preserve">100 м на 1 учреждение  </t>
  </si>
  <si>
    <t xml:space="preserve"> - техника</t>
  </si>
  <si>
    <t xml:space="preserve"> - видеопроектор</t>
  </si>
  <si>
    <t xml:space="preserve"> КОСГУ 223 "Коммунальные услуги"</t>
  </si>
  <si>
    <t xml:space="preserve">Перечень учреждений </t>
  </si>
  <si>
    <t>223.11</t>
  </si>
  <si>
    <t>223.12</t>
  </si>
  <si>
    <t>223.13</t>
  </si>
  <si>
    <t>223.14</t>
  </si>
  <si>
    <t xml:space="preserve">Средневзвешенный тариф по теплу
</t>
  </si>
  <si>
    <t>Бюджет на год по теплоснабжению</t>
  </si>
  <si>
    <t>контрольная сумма, год, руб.</t>
  </si>
  <si>
    <t>контрольная сумма, год, тыс.руб.</t>
  </si>
  <si>
    <t xml:space="preserve">Средневзвешенный тариф по газоснабжению
</t>
  </si>
  <si>
    <t>Бюджет на год по газоснабжению</t>
  </si>
  <si>
    <t xml:space="preserve">Средневзвешенный тариф по электроэнергии
</t>
  </si>
  <si>
    <t>Бюджет на год по электроснабжению</t>
  </si>
  <si>
    <t xml:space="preserve">Средневзвешенный тариф по водоснабжению
</t>
  </si>
  <si>
    <t xml:space="preserve">Средневзвешенный тариф по водоотведению
</t>
  </si>
  <si>
    <t>Бюджет на год по водоснабжению,водоотведению</t>
  </si>
  <si>
    <t xml:space="preserve"> год, руб.</t>
  </si>
  <si>
    <t xml:space="preserve"> год, тыс.руб.</t>
  </si>
  <si>
    <t>ИТОГО на 12 месяцев</t>
  </si>
  <si>
    <t>водоснабжение</t>
  </si>
  <si>
    <t>водоотведение</t>
  </si>
  <si>
    <t>руб/Гкал</t>
  </si>
  <si>
    <t>руб/м3</t>
  </si>
  <si>
    <t>м3</t>
  </si>
  <si>
    <t>руб/кВт</t>
  </si>
  <si>
    <t>кВт/ч</t>
  </si>
  <si>
    <t>руб./м3</t>
  </si>
  <si>
    <t>бюджетные</t>
  </si>
  <si>
    <t>автономные</t>
  </si>
  <si>
    <t>223.15</t>
  </si>
  <si>
    <t>вывоз мусора (ежемесячно)</t>
  </si>
  <si>
    <t>среднемесячное количество куб. метров твердых отходов</t>
  </si>
  <si>
    <t>стоимость (тариф) 1 куб.м в месяц, руб.</t>
  </si>
  <si>
    <t>кол-во месяцев потребления услуги</t>
  </si>
  <si>
    <t>сумма, руб.</t>
  </si>
  <si>
    <t>СЮТур</t>
  </si>
  <si>
    <t>Инспектор по кадрам</t>
  </si>
  <si>
    <t>Инструктор-методист</t>
  </si>
  <si>
    <t>КОСГУ 291 "Налоги, пошлины и сборы"</t>
  </si>
  <si>
    <t>Расчет налога на имущество на очередной финансовый год</t>
  </si>
  <si>
    <t>Наименование учреждения</t>
  </si>
  <si>
    <t xml:space="preserve">Ставка налога, % </t>
  </si>
  <si>
    <t>Расчет земельного налога на очередной финансовый год</t>
  </si>
  <si>
    <t>Земельный участок</t>
  </si>
  <si>
    <t>ставка налога, %</t>
  </si>
  <si>
    <t>Расчет транспортного налога на очередной финансовый год</t>
  </si>
  <si>
    <t>Наименование объекта налогообложения (автотранспортного средства)</t>
  </si>
  <si>
    <t>мощность двигателя, тяга реактивного двигателя (в лошадиных силах)</t>
  </si>
  <si>
    <t>Газель с801нк/61</t>
  </si>
  <si>
    <t>Газ-53 р960ух/161(грузовой)</t>
  </si>
  <si>
    <t>итого</t>
  </si>
  <si>
    <t>Художественная</t>
  </si>
  <si>
    <t>Физкультурно-спортивная</t>
  </si>
  <si>
    <t>Туристско-краеведческая</t>
  </si>
  <si>
    <t>Естественнонаучная</t>
  </si>
  <si>
    <t>Техническая</t>
  </si>
  <si>
    <t>ВСЕГО</t>
  </si>
  <si>
    <t>15а</t>
  </si>
  <si>
    <t>15б</t>
  </si>
  <si>
    <t>15=15а* 15б</t>
  </si>
  <si>
    <r>
      <rPr>
        <sz val="9"/>
        <rFont val="Times New Roman"/>
        <family val="2"/>
        <charset val="204"/>
      </rPr>
      <t>Размер должностного оклада педагога дополнительного образования</t>
    </r>
    <r>
      <rPr>
        <sz val="9"/>
        <color indexed="10"/>
        <rFont val="Times New Roman"/>
        <family val="2"/>
        <charset val="204"/>
      </rPr>
      <t xml:space="preserve"> </t>
    </r>
    <r>
      <rPr>
        <sz val="9"/>
        <color indexed="60"/>
        <rFont val="Times New Roman"/>
        <family val="1"/>
        <charset val="204"/>
      </rPr>
      <t>с учетом планируемого увеличения</t>
    </r>
  </si>
  <si>
    <t xml:space="preserve">БАЗОВЫЙ (СРЕДНИЙ) НОРМАТИВ коммунальных услуг по всем учреждениям </t>
  </si>
  <si>
    <t>налоги, в качестве объекта налогообложения по которым признается имущество муниципального учреждения с учетом коэффициента платной деятельности, руб.</t>
  </si>
  <si>
    <t>коэффициент платной деятельности</t>
  </si>
  <si>
    <t>объем субсидии, полученной из местного бюджета в отчетном (предыдущем) финансовом году, на финансовое обеспечение выполнения муниципального задания, руб.</t>
  </si>
  <si>
    <t>объем доходов от платной деятельности, полученных в отчетном (предыдщем) году, руб.</t>
  </si>
  <si>
    <t>кол-во услуг 2021</t>
  </si>
  <si>
    <t>нормативный фот 2021</t>
  </si>
  <si>
    <t>расчет фот в субсидии по нормативу</t>
  </si>
  <si>
    <t>Заведующий планово-экономическим отделом</t>
  </si>
  <si>
    <t>В.А.Надолинская</t>
  </si>
  <si>
    <t>а</t>
  </si>
  <si>
    <t>б</t>
  </si>
  <si>
    <t>с</t>
  </si>
  <si>
    <t>д</t>
  </si>
  <si>
    <t>б/(б+с)</t>
  </si>
  <si>
    <t>д*а</t>
  </si>
  <si>
    <t>коэффициент выравнивания</t>
  </si>
  <si>
    <t>финансовое обеспечение с учетом коэффициента выравнивания, руб.</t>
  </si>
  <si>
    <t>финансовое обеспечение с учетом коэффициента выравнивания, а также с учетом налогов, в качестве объекта налогообложения по которым признается имущество муниципального учреждения, руб.</t>
  </si>
  <si>
    <t>Количество услуг, расчет финансового обеспечения по базовому нормативу, расчет коэффициентов выравнивания и платной деятельности, а также финансового обеспечения с учетом коэффициентов</t>
  </si>
  <si>
    <t>нормативы затрат с учетом коэффициента выравнивания за счет средств областного бюджета, руб.</t>
  </si>
  <si>
    <t>нормативы затрат с учетом коэффициента выравнивания за счет средств местного бюджета, руб.</t>
  </si>
  <si>
    <t>финансовое обеспечение с учетом коэффициента выравнивания за счет средств областного бюджета, руб.</t>
  </si>
  <si>
    <t>финансовое обеспечение с учетом коэффициента выравнивания за счет средств местного бюджета, руб.</t>
  </si>
  <si>
    <t>расчет на год</t>
  </si>
  <si>
    <t>БАЗОВЫЙ (СРЕДНИЙ) НОРМАТИВ фот по всем учреждениям дополнительного образования в 2024 году</t>
  </si>
  <si>
    <t>земля</t>
  </si>
  <si>
    <t>2024 год величина базового норматива затрат на 1 услугу в год (руб.)</t>
  </si>
  <si>
    <t>2025 год величина базового норматива затрат на 1 услугу в год (руб.)</t>
  </si>
  <si>
    <t>в части товаров, работ и услуг (кроме фонда оплаты труда, коммунальных услуг, налогов)</t>
  </si>
  <si>
    <t>итого сумма из внебюджета, руб.</t>
  </si>
  <si>
    <t>контрольная сумма в местном бюджете</t>
  </si>
  <si>
    <t>отклонение утв.суммы от проекта</t>
  </si>
  <si>
    <t>коэффициент выравнивания к утвержденому бюджету</t>
  </si>
  <si>
    <t xml:space="preserve"> сумма, год, руб.</t>
  </si>
  <si>
    <t xml:space="preserve">Средневзвешенный тариф по негативному воздействию на ЦСВ
</t>
  </si>
  <si>
    <t>сумма уменьшения потребности за счет возмещения коммунальных расходов из внебюджета</t>
  </si>
  <si>
    <t>негативное воздействие на ЦС водоотведения</t>
  </si>
  <si>
    <t>МБУ ЦМППС</t>
  </si>
  <si>
    <t>Прогнозируемая сумма налога, подлежащего уплате в очередном финансовом 2023 году за счет бюджетных средств  с учетом коэф.платной деятельности, тыс.руб.</t>
  </si>
  <si>
    <t>Прогнозируемая сумма налога, подлежащего уплате в очередном финансовом 2023 году за счет средств от платной деятельности, тыс.руб.</t>
  </si>
  <si>
    <t>бюджетные:</t>
  </si>
  <si>
    <t>автономные:</t>
  </si>
  <si>
    <t>7=п.6/1000</t>
  </si>
  <si>
    <t>10=п.7-п.9</t>
  </si>
  <si>
    <t>о</t>
  </si>
  <si>
    <t>средний процент надбавки/доплаты, %</t>
  </si>
  <si>
    <t>ФОТ на год (ст.211+213), руб.</t>
  </si>
  <si>
    <t>Бухгалтер ведущий</t>
  </si>
  <si>
    <t>Экономист ведущий</t>
  </si>
  <si>
    <t>Режиссер</t>
  </si>
  <si>
    <t>Настройщик пианино и роялей</t>
  </si>
  <si>
    <t>2024 год</t>
  </si>
  <si>
    <t>Организация</t>
  </si>
  <si>
    <t>отклонение по налогу для выплаты за счет платной деятельности, руб.</t>
  </si>
  <si>
    <t>4=п.2/(п.1+п.2)</t>
  </si>
  <si>
    <t>5=п.3*п.4</t>
  </si>
  <si>
    <t>6=п.3-п.5</t>
  </si>
  <si>
    <t>02 МАОУ гимназия им.А.П.Чехова</t>
  </si>
  <si>
    <t>03 МОБУ СОШ № 3 Ю.А.Гагарина</t>
  </si>
  <si>
    <t>04 МАОУ лицей № 4 (ТМОЛ)</t>
  </si>
  <si>
    <t>05 МОБУ СОШ № 5</t>
  </si>
  <si>
    <t>06 МОБУ СОШ № 6</t>
  </si>
  <si>
    <t>07 МОБУ лицей  №7</t>
  </si>
  <si>
    <t>08 МОБУ СОШ № 8 А.Г. Ломакина</t>
  </si>
  <si>
    <t>09 МОБУ СОШ № 9</t>
  </si>
  <si>
    <t>10 МАОУ СОШ № 10</t>
  </si>
  <si>
    <t>12 МАОУ СОШ №12</t>
  </si>
  <si>
    <t>15 МАОУ гимназия Мариинская</t>
  </si>
  <si>
    <t>16 МОБУ СОШ № 16</t>
  </si>
  <si>
    <t>20 МОБУ СОШ № 20</t>
  </si>
  <si>
    <t>21 МОБУ СОШ № 21</t>
  </si>
  <si>
    <t>22 МАОУСОШ№22</t>
  </si>
  <si>
    <t>23 МОБУ СОШ № 23</t>
  </si>
  <si>
    <t>24 МОБУ СОШ № 24</t>
  </si>
  <si>
    <t>25 МАОУ СОШ № 25/11</t>
  </si>
  <si>
    <t>26 МОБУ СОШ № 26</t>
  </si>
  <si>
    <t>27 МАОУ СОШ № 27</t>
  </si>
  <si>
    <t>28 МАОУ лицей № 28</t>
  </si>
  <si>
    <t>30 МОБУ СОШ № 30</t>
  </si>
  <si>
    <t>31 МОБУ СОШ № 31</t>
  </si>
  <si>
    <t>32 МОБУ СОШ № 32</t>
  </si>
  <si>
    <t>33 МОБУ лицей № 33</t>
  </si>
  <si>
    <t>34 МОБУ СОШ №34</t>
  </si>
  <si>
    <t>35 МОБУ СОШ № 35</t>
  </si>
  <si>
    <t>36 МОБУ СОШ №36</t>
  </si>
  <si>
    <t>37 МАОУ СОШ № 37</t>
  </si>
  <si>
    <t>38 МОБУ СОШ № 38</t>
  </si>
  <si>
    <t>39 МАБУ СОШ № 39</t>
  </si>
  <si>
    <t>001 МАДОУ д/с № 1</t>
  </si>
  <si>
    <t>002 МБДОУ  д/с №2</t>
  </si>
  <si>
    <t>003 МБДОУ  д/с № 3</t>
  </si>
  <si>
    <t>004 МАДОУ д/с № 4</t>
  </si>
  <si>
    <t>005 МБДОУ  д/с № 5</t>
  </si>
  <si>
    <t>007 МАДОУ д/с №7</t>
  </si>
  <si>
    <t>010 МБДОУ д/с №10</t>
  </si>
  <si>
    <t>012 МБДОУ д/с № 12</t>
  </si>
  <si>
    <t>013 МБДОУ д/с №13/38</t>
  </si>
  <si>
    <t>015 МБДОУ  д/с № 15</t>
  </si>
  <si>
    <t>017 МБДОУ д/с № 17</t>
  </si>
  <si>
    <t>020 МБДОУ д/с № 20</t>
  </si>
  <si>
    <t>024 МБДОУ д/с № 24</t>
  </si>
  <si>
    <t>025 МБДОУ д/с № 25</t>
  </si>
  <si>
    <t>029 МБДОУ д/с №29 "Маячок"</t>
  </si>
  <si>
    <t>031 МБДОУ  д/с № 31</t>
  </si>
  <si>
    <t>032 МБДОУ д/с № 32</t>
  </si>
  <si>
    <t>036 МБДОУ д/с №36</t>
  </si>
  <si>
    <t>037 МБДОУ д/с № 37</t>
  </si>
  <si>
    <t>039 МБДОУ д/с №39</t>
  </si>
  <si>
    <t>041 МБДОУ д/с №41</t>
  </si>
  <si>
    <t>043 МБДОУ д/с № 43</t>
  </si>
  <si>
    <t>044 МБДОУ д/с №44</t>
  </si>
  <si>
    <t>045 МБДОУ ЦРР "Ромашка"</t>
  </si>
  <si>
    <t>046 МБДОУ д/с № 46</t>
  </si>
  <si>
    <t>048 МБДОУ д/с № 48</t>
  </si>
  <si>
    <t>051 МБДОУ д/с № 51</t>
  </si>
  <si>
    <t>052 МБДОУ д/с № 52</t>
  </si>
  <si>
    <t>055 МБДОУ д/с №55</t>
  </si>
  <si>
    <t>059 МБДОУ д/с № 59</t>
  </si>
  <si>
    <t>062 МБДОУ д/с № 62 "Журавушка"</t>
  </si>
  <si>
    <t>063 МБДОУ д/с № 63</t>
  </si>
  <si>
    <t>064 МБДОУ д/с № 64</t>
  </si>
  <si>
    <t>065 МБДОУ д/с №65 "Буратино"</t>
  </si>
  <si>
    <t>066 МАДОУ ЦРР "Улыбка"</t>
  </si>
  <si>
    <t>067 МБДОУ д/с № 67</t>
  </si>
  <si>
    <t>068 МАДОУ д/с № 68"Светлячок"</t>
  </si>
  <si>
    <t>071 МБДОУ д/с № 71</t>
  </si>
  <si>
    <t>073 МБДОУ д/с № 73</t>
  </si>
  <si>
    <t>076 МБДОУ д/с № 76</t>
  </si>
  <si>
    <t>078 МБДОУ д/с №78</t>
  </si>
  <si>
    <t>080 МБДОУ д/с № 80</t>
  </si>
  <si>
    <t>083 МБДОУ д/с  № 83</t>
  </si>
  <si>
    <t>084 МБДОУ д/с № 84</t>
  </si>
  <si>
    <t>086 МБДОУ д/с Здоровый ребёнок</t>
  </si>
  <si>
    <t xml:space="preserve">091 МБДОУ д/с № 91 </t>
  </si>
  <si>
    <t>092 МБДОУ д/с № 92</t>
  </si>
  <si>
    <t>093 МБДОУ д/с № 93</t>
  </si>
  <si>
    <t>094 МБДОУ д/с № 94</t>
  </si>
  <si>
    <t>095 МБДОУ ДС № 95</t>
  </si>
  <si>
    <t>097 МБДОУ д/с № 97</t>
  </si>
  <si>
    <t>099 МБДОУ д/с №99</t>
  </si>
  <si>
    <t>100 МБДОУ д/с № 100</t>
  </si>
  <si>
    <t>101 МБДОУ д/с № 101</t>
  </si>
  <si>
    <t>102 МБДОУ д/с № 102</t>
  </si>
  <si>
    <t>КОСГУ 291 на 2023 год и плановый период 2024 и 2025 годов</t>
  </si>
  <si>
    <t>2024-2025 год</t>
  </si>
  <si>
    <t>Всего налоги, руб.</t>
  </si>
  <si>
    <t>в т.ч.</t>
  </si>
  <si>
    <t>имущество</t>
  </si>
  <si>
    <t>ВСЕГО:</t>
  </si>
  <si>
    <t xml:space="preserve">МАУ ДО ДДТ </t>
  </si>
  <si>
    <t>транспорт</t>
  </si>
  <si>
    <t xml:space="preserve"> - физкультурно-спортивная направленность (44 часов)</t>
  </si>
  <si>
    <t>среднемесячный ФОТ без МРОТ 211</t>
  </si>
  <si>
    <t>коэфф на увелич МРОТ</t>
  </si>
  <si>
    <r>
      <rPr>
        <sz val="9"/>
        <rFont val="Times New Roman"/>
        <family val="2"/>
        <charset val="204"/>
      </rPr>
      <t>Размер должностного оклада педагога дополнительного образования</t>
    </r>
    <r>
      <rPr>
        <sz val="9"/>
        <color indexed="10"/>
        <rFont val="Times New Roman"/>
        <family val="2"/>
        <charset val="204"/>
      </rPr>
      <t xml:space="preserve"> </t>
    </r>
    <r>
      <rPr>
        <sz val="9"/>
        <rFont val="Times New Roman"/>
        <family val="1"/>
        <charset val="204"/>
      </rPr>
      <t>в месяц с учетом индексации</t>
    </r>
    <r>
      <rPr>
        <sz val="9"/>
        <color indexed="60"/>
        <rFont val="Times New Roman"/>
        <family val="1"/>
        <charset val="204"/>
      </rPr>
      <t xml:space="preserve"> 4% с 01.10.2024</t>
    </r>
  </si>
  <si>
    <r>
      <rPr>
        <sz val="9"/>
        <rFont val="Times New Roman"/>
        <family val="2"/>
        <charset val="204"/>
      </rP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2025 = 1,01</t>
    </r>
  </si>
  <si>
    <r>
      <t xml:space="preserve">прогнозный целевой показатель среднемесячной заработной платы педагогического работника </t>
    </r>
    <r>
      <rPr>
        <sz val="10"/>
        <color indexed="60"/>
        <rFont val="Times New Roman"/>
        <family val="1"/>
        <charset val="204"/>
      </rPr>
      <t>в 2025 году</t>
    </r>
    <r>
      <rPr>
        <sz val="10"/>
        <color indexed="8"/>
        <rFont val="Times New Roman"/>
        <family val="1"/>
        <charset val="204"/>
      </rPr>
      <t>, руб</t>
    </r>
  </si>
  <si>
    <r>
      <t xml:space="preserve">прогнозный целевой показатель среднемесячной заработной платы педагогического работника </t>
    </r>
    <r>
      <rPr>
        <sz val="10"/>
        <color indexed="60"/>
        <rFont val="Times New Roman"/>
        <family val="1"/>
        <charset val="204"/>
      </rPr>
      <t>в 2024 году</t>
    </r>
    <r>
      <rPr>
        <sz val="10"/>
        <color indexed="8"/>
        <rFont val="Times New Roman"/>
        <family val="1"/>
        <charset val="204"/>
      </rPr>
      <t>, руб</t>
    </r>
  </si>
  <si>
    <r>
      <t xml:space="preserve">дополнительные средства на выполнение указа </t>
    </r>
    <r>
      <rPr>
        <sz val="10"/>
        <color indexed="60"/>
        <rFont val="Times New Roman"/>
        <family val="1"/>
        <charset val="204"/>
      </rPr>
      <t>в 2024 году</t>
    </r>
    <r>
      <rPr>
        <sz val="10"/>
        <color indexed="8"/>
        <rFont val="Times New Roman"/>
        <family val="1"/>
        <charset val="204"/>
      </rPr>
      <t xml:space="preserve"> на 1-го пед.работника</t>
    </r>
  </si>
  <si>
    <r>
      <t xml:space="preserve">дополнительные средства на выполнение указа </t>
    </r>
    <r>
      <rPr>
        <sz val="10"/>
        <color indexed="60"/>
        <rFont val="Times New Roman"/>
        <family val="1"/>
        <charset val="204"/>
      </rPr>
      <t>в 2025 году</t>
    </r>
    <r>
      <rPr>
        <sz val="10"/>
        <color indexed="8"/>
        <rFont val="Times New Roman"/>
        <family val="1"/>
        <charset val="204"/>
      </rPr>
      <t xml:space="preserve"> на 1-го пед.работника</t>
    </r>
  </si>
  <si>
    <t>с учетом уменьшения потребности за счет возмещения коммунальных расходов из внебюджета</t>
  </si>
  <si>
    <t>с пониж.коэфф 0 = 0</t>
  </si>
  <si>
    <t>804200О.99.0.ББ52АЗ68000</t>
  </si>
  <si>
    <t>804200О.99.0.ББ52АЗ20000</t>
  </si>
  <si>
    <t>804200О.99.0.ББ52АО92000</t>
  </si>
  <si>
    <t>804200О.99.0.ББ52АЖ96000</t>
  </si>
  <si>
    <t>804200О.99.0.ББ52АЗ92000</t>
  </si>
  <si>
    <t>804200О.99.0.ББ52АП64000</t>
  </si>
  <si>
    <t>804200О.99.0.ББ52АЖ72000</t>
  </si>
  <si>
    <t>804200О.99.0.ББ52АЗ44000</t>
  </si>
  <si>
    <t>804200О.99.0.ББ52АП16000</t>
  </si>
  <si>
    <t>художественная направленность для детей с ограниченными возможностями здоровья</t>
  </si>
  <si>
    <t>cоциально-педагогическая направленность для детей с ограниченными возможностями здоровья</t>
  </si>
  <si>
    <t>художественная направленность для детей с ОВЗ</t>
  </si>
  <si>
    <t>cоциально-педагогическая направленность для детей с ОВЗ</t>
  </si>
  <si>
    <t>в 2024, 2025, 2026 годах</t>
  </si>
  <si>
    <t>Расшифровка к проекту бюджета на 2024-2026 годы в части местного бюджета</t>
  </si>
  <si>
    <t>ВСЕГО на год, потребность по ожидаемому исполнению, руб.</t>
  </si>
  <si>
    <t>итого сумма на энергосервисные контракты, руб.</t>
  </si>
  <si>
    <t>ВСЕГО по проекту бюджета на год, за вычетом внебюджета и энергосбережения, руб.</t>
  </si>
  <si>
    <t>ВСЕГО по проекту бюджета на год, за вычетом внебюджета и энергосбережения, тыс.руб.</t>
  </si>
  <si>
    <t>объем тепловой энергии за 2 полугодие предыдущего года</t>
  </si>
  <si>
    <t>объем тепловой энергии за 1 полугодие текущего года</t>
  </si>
  <si>
    <t>объем тепловой энергии всего на год</t>
  </si>
  <si>
    <t>объем газоснабжения за 2 полугодие предыдущего года</t>
  </si>
  <si>
    <t>объем газоснабжения за 1 полугодие текущего года</t>
  </si>
  <si>
    <t>объем газоснабжения всего на год</t>
  </si>
  <si>
    <t>объем электро энергии за 2 полугодие предыдущего года</t>
  </si>
  <si>
    <t>объем электро энергии за 1 полугодие текущего года</t>
  </si>
  <si>
    <t>объем электро энергии всего на год</t>
  </si>
  <si>
    <t>объем водоснабжения за 2 полугодие предыдущего года</t>
  </si>
  <si>
    <t>объем водоснабжения за 1 полугодие текущего года</t>
  </si>
  <si>
    <t>объем водоснабжения всего на год</t>
  </si>
  <si>
    <t>объем водоотведения за 2 полугодие предыдущего года</t>
  </si>
  <si>
    <t>объем водоотведения за 1 полугодие текущего года</t>
  </si>
  <si>
    <t>объем водоотведения всего на год</t>
  </si>
  <si>
    <t>итого сумма на год по проекту бюджета, руб.</t>
  </si>
  <si>
    <t>сумма уменьшения потребности по энергоэффективным контрактам</t>
  </si>
  <si>
    <t>тыс.руб.</t>
  </si>
  <si>
    <t>5=гр.3+гр.4</t>
  </si>
  <si>
    <t>6=гр.2*гр.5</t>
  </si>
  <si>
    <t>8=гр.6-гр.7</t>
  </si>
  <si>
    <t>10=гр.8*гр.9</t>
  </si>
  <si>
    <t>11=гр.10/1000</t>
  </si>
  <si>
    <t>15=гр.13+гр.14</t>
  </si>
  <si>
    <t>16=гр.12*гр.15</t>
  </si>
  <si>
    <t>18=гр.16-гр.17</t>
  </si>
  <si>
    <t>20=гр.18*гр.19</t>
  </si>
  <si>
    <t>21=гр.20/1000</t>
  </si>
  <si>
    <t>25=гр.23+гр.24</t>
  </si>
  <si>
    <t>26=гр.22*гр.25</t>
  </si>
  <si>
    <t>27.1.</t>
  </si>
  <si>
    <t>28=гр.26-гр.27-гр.27.1</t>
  </si>
  <si>
    <t>30=гр.28*гр.29</t>
  </si>
  <si>
    <t>31=гр.30/1000</t>
  </si>
  <si>
    <t>35=гр.33+гр.34</t>
  </si>
  <si>
    <t>39=гр.37+гр.38</t>
  </si>
  <si>
    <t>41=гр.32*гр.35</t>
  </si>
  <si>
    <t>42=гр.36*гр.39</t>
  </si>
  <si>
    <t>43=гр.39*гр.40</t>
  </si>
  <si>
    <t>44=гр.41+гр.42+гр.43</t>
  </si>
  <si>
    <t>46=гр.44-гр.45</t>
  </si>
  <si>
    <t>48=гр.46*гр.47</t>
  </si>
  <si>
    <t>49=гр.48/1000</t>
  </si>
  <si>
    <t>53=гр.50*гр.51</t>
  </si>
  <si>
    <t>55=гр.53-гр.54</t>
  </si>
  <si>
    <t>57=гр.55*гр.56</t>
  </si>
  <si>
    <t>58=гр.57/1000</t>
  </si>
  <si>
    <t>59=гр.6+гр.16+гр.26+гр.44+ гр.53</t>
  </si>
  <si>
    <t>60=гр.7+гр.17+   гр.27+гр.45+гр.54</t>
  </si>
  <si>
    <t>60.1=гр.27.1</t>
  </si>
  <si>
    <t>61=гр.59-гр.60</t>
  </si>
  <si>
    <t>62=гр.61/1000</t>
  </si>
  <si>
    <t>63=гр.10+гр.20+гр.30+ гр.48+ гр.57</t>
  </si>
  <si>
    <t>64=гр.11+гр.21+         гр.31+ гр.49+ гр.58</t>
  </si>
  <si>
    <t>001 МАДОУ д/с №1</t>
  </si>
  <si>
    <t>002 МБДОУ д\с №2</t>
  </si>
  <si>
    <t>003 МБДОУ д/с № 3</t>
  </si>
  <si>
    <t>005 МБДОУ д/с № 5</t>
  </si>
  <si>
    <t>006 МАДОУ д/с № 6</t>
  </si>
  <si>
    <t>007 МАДОУ д/с № 7</t>
  </si>
  <si>
    <t>008 МАДОУ д/с № 8</t>
  </si>
  <si>
    <t>010 МБДОУ д/с № 10</t>
  </si>
  <si>
    <t>015 МБДОУ д/с № 15</t>
  </si>
  <si>
    <t>029 МБДОУ д/с № 29</t>
  </si>
  <si>
    <t>031 МБДОУ д/с № 31</t>
  </si>
  <si>
    <t>036 МБДОУ д/с № 36</t>
  </si>
  <si>
    <t>041 МБДОУ д/с № 41</t>
  </si>
  <si>
    <t>046 МБДОУ д/с№46</t>
  </si>
  <si>
    <t>052 МБДОУ д/с №52</t>
  </si>
  <si>
    <t>055 МБДОУ д/с № 55</t>
  </si>
  <si>
    <t>059 МБДОУ д/с №59</t>
  </si>
  <si>
    <t>065 МБДОУ д/с № 65 "Буратино"</t>
  </si>
  <si>
    <t>068 МАДОУ д/с №68</t>
  </si>
  <si>
    <t>071 МБДОУ д/с №71</t>
  </si>
  <si>
    <t>073 МБДОУ д/с 73</t>
  </si>
  <si>
    <t>076 МБДОУд/с №76</t>
  </si>
  <si>
    <t>078 МБДОУ Д/С №78</t>
  </si>
  <si>
    <t>080 МБДОУ д/с 80</t>
  </si>
  <si>
    <t>083 МБДОУ д/с № 83</t>
  </si>
  <si>
    <t>084 МБДОУ Д/С №84</t>
  </si>
  <si>
    <t>086 МБДОУ д/с "Здоровый ребенок"</t>
  </si>
  <si>
    <t>091 МБДОУ д/с №91</t>
  </si>
  <si>
    <t>093 МБДОУ д/с №93</t>
  </si>
  <si>
    <t>099 МБДОУ д/с № 99</t>
  </si>
  <si>
    <t>102 МБДОУ д/с №102</t>
  </si>
  <si>
    <t>Итого сады, в т.ч.</t>
  </si>
  <si>
    <t>02 МАОУ гимназия имени А.П. Чехова</t>
  </si>
  <si>
    <t>03 МОБУ СОШ № 3 им.Ю.А. Гагарина</t>
  </si>
  <si>
    <t>07 МОБУ лицей №7</t>
  </si>
  <si>
    <t>08 МОБУ СОШ № 8</t>
  </si>
  <si>
    <t>12 МАОУ СОШ № 12</t>
  </si>
  <si>
    <t>15 МАОУ гимназия "Мариинская"</t>
  </si>
  <si>
    <t>16 МОБУ СОШ №16</t>
  </si>
  <si>
    <t>28 МАОУ лицей №28</t>
  </si>
  <si>
    <t>36 МОБУ СОШ № 36</t>
  </si>
  <si>
    <t>38 МОБУ СОШ №38</t>
  </si>
  <si>
    <t>39 МАОУ СОШ №39</t>
  </si>
  <si>
    <t>Итого школы, в т.ч.</t>
  </si>
  <si>
    <t>МБУДО ЦВР</t>
  </si>
  <si>
    <t>Итого, в т.ч.</t>
  </si>
  <si>
    <t>потребность на 2023 год, тыс.руб.</t>
  </si>
  <si>
    <t>% роста</t>
  </si>
  <si>
    <t>увеличение по новым дс 6 и 8, тыс.руб.</t>
  </si>
  <si>
    <t>новое здание ЦВР, тыс.руб.</t>
  </si>
  <si>
    <t>увеличение по МАОУ СОШ №39 на 18% в связи с увеличением крол-ва учащихся, тыс.руб.</t>
  </si>
  <si>
    <t>потребность на 2024 год без новой сети, тыс.руб.</t>
  </si>
  <si>
    <t>Расшифровка к проекту бюджета на 2024 -2026 годы в части местного бюджета</t>
  </si>
  <si>
    <t>информация по остаточной стоимостина конец отчетного финансового года, руб.</t>
  </si>
  <si>
    <t>Сумма налога, уплаченного в отчетном финансовом году (в 2022 году - уплачено за 4 квартал 2021 и 1,2,3 кварталы 2022), руб.</t>
  </si>
  <si>
    <t>Сумма налога, подлежащего уплате, в текущем финансовом году (в 2023 году - за 4 квартал 2022 и за 1,2,3 квартал 2023), руб.</t>
  </si>
  <si>
    <r>
      <t xml:space="preserve">Прогнозируемая сумма налога исходя из остаточной стоимости, подлежащего уплате в очередном финансовом 2024 году, </t>
    </r>
    <r>
      <rPr>
        <b/>
        <sz val="10"/>
        <rFont val="Times New Roman"/>
        <family val="1"/>
        <charset val="204"/>
      </rPr>
      <t>руб.</t>
    </r>
  </si>
  <si>
    <r>
      <t xml:space="preserve">Прогнозируемая сумма налога исходя из остаточной стоимости, подлежащего уплате в очередном финансовом 2024 году, </t>
    </r>
    <r>
      <rPr>
        <b/>
        <sz val="10"/>
        <rFont val="Times New Roman"/>
        <family val="1"/>
        <charset val="204"/>
      </rPr>
      <t>тыс.руб.</t>
    </r>
  </si>
  <si>
    <r>
      <t xml:space="preserve">Прогнозируемая сумма налога, подлежащего уплате в очередном финансовом 2024 году </t>
    </r>
    <r>
      <rPr>
        <b/>
        <sz val="10"/>
        <rFont val="Times New Roman"/>
        <family val="1"/>
        <charset val="204"/>
      </rPr>
      <t>за счет бюджетных средств</t>
    </r>
    <r>
      <rPr>
        <sz val="10"/>
        <rFont val="Times New Roman"/>
        <family val="1"/>
        <charset val="204"/>
      </rPr>
      <t xml:space="preserve">  с учетом коэф.платной деятельности, тыс.руб.</t>
    </r>
  </si>
  <si>
    <r>
      <t>Прогнозируемая сумма налога, подлежащего уплате в очередном финансовом 2024 году</t>
    </r>
    <r>
      <rPr>
        <i/>
        <u/>
        <sz val="10"/>
        <rFont val="Times New Roman"/>
        <family val="1"/>
        <charset val="204"/>
      </rPr>
      <t xml:space="preserve"> за счет средств от платной деятельности, </t>
    </r>
    <r>
      <rPr>
        <i/>
        <sz val="10"/>
        <rFont val="Times New Roman"/>
        <family val="1"/>
        <charset val="204"/>
      </rPr>
      <t>тыс.руб.</t>
    </r>
  </si>
  <si>
    <t>Утверждено в бюджете, тыс.руб.</t>
  </si>
  <si>
    <t>отклонение, тыс.руб.</t>
  </si>
  <si>
    <t xml:space="preserve"> на 01.01.2023</t>
  </si>
  <si>
    <t>6=п.2* п.3/100</t>
  </si>
  <si>
    <t>7=6/1000</t>
  </si>
  <si>
    <t>9=7*8</t>
  </si>
  <si>
    <t>10=7-9</t>
  </si>
  <si>
    <t>12=9*11</t>
  </si>
  <si>
    <t>13=12-9</t>
  </si>
  <si>
    <t>МАДОУ д/с № 1</t>
  </si>
  <si>
    <t>МБДОУ д\с №2</t>
  </si>
  <si>
    <t>МБДОУ д/с № 3</t>
  </si>
  <si>
    <t>МАДОУ д/с № 4</t>
  </si>
  <si>
    <t>МБДОУ д/с № 5"</t>
  </si>
  <si>
    <t>МАДОУ д/с № 6</t>
  </si>
  <si>
    <t>МАДОУ д/с № 7</t>
  </si>
  <si>
    <t>МАДОУ д/с № 8</t>
  </si>
  <si>
    <t>МБДОУ № 10</t>
  </si>
  <si>
    <t>МБДОУ д/с №12</t>
  </si>
  <si>
    <t>МБДОУ д/с №13/38</t>
  </si>
  <si>
    <t>МБДОУ д/с № 15</t>
  </si>
  <si>
    <t>МБДОУ д/с № 17</t>
  </si>
  <si>
    <t>МБДОУ д/с № 20</t>
  </si>
  <si>
    <t>МБДОУ д/с № 24</t>
  </si>
  <si>
    <t>МБДОУ д/с № 25</t>
  </si>
  <si>
    <t>МБДОУ д/с № 29</t>
  </si>
  <si>
    <t>МБДОУ д/с № 31</t>
  </si>
  <si>
    <t>МБДОУ д/с № 32</t>
  </si>
  <si>
    <t>МБДОУ д/с № 36</t>
  </si>
  <si>
    <t>МБДОУ д/с № 37</t>
  </si>
  <si>
    <t>МБДОУ д/с №39</t>
  </si>
  <si>
    <t>МБДОУ д/с № 41</t>
  </si>
  <si>
    <t>МБДОУ д/с № 43</t>
  </si>
  <si>
    <t>МБДОУ д/с № 44</t>
  </si>
  <si>
    <t>МБДОУ ЦРР "Ромашка"</t>
  </si>
  <si>
    <t>МБДОУ д/с № 46</t>
  </si>
  <si>
    <t>МБДОУ д/с № 48</t>
  </si>
  <si>
    <t>МБДОУ д/с №51</t>
  </si>
  <si>
    <t>МБДОУ д/с №52</t>
  </si>
  <si>
    <t>МБДОУ д/с № 55</t>
  </si>
  <si>
    <t>МБДОУ д/с №59</t>
  </si>
  <si>
    <t xml:space="preserve">МБДОУ д/с № 62 </t>
  </si>
  <si>
    <t>МБДОУ д/с № 63</t>
  </si>
  <si>
    <t>МБДОУ д/с № 64</t>
  </si>
  <si>
    <t xml:space="preserve">МБДОУ д/с № 65 </t>
  </si>
  <si>
    <t>МАДОУ ЦРР "Улыбка"</t>
  </si>
  <si>
    <t>МБДОУ д/с № 67</t>
  </si>
  <si>
    <t xml:space="preserve">МАДОУ д/с №68 </t>
  </si>
  <si>
    <t>МБДОУ д/с №71</t>
  </si>
  <si>
    <t>МБДОУ д/с № 73</t>
  </si>
  <si>
    <t>МБДОУ д/с № 76</t>
  </si>
  <si>
    <t>МБДОУ д/с № 78</t>
  </si>
  <si>
    <t>МБДОУ д/с № 80</t>
  </si>
  <si>
    <t>МБДОУ д/с № 83</t>
  </si>
  <si>
    <t>МБДОУ Д/С №84</t>
  </si>
  <si>
    <t xml:space="preserve">МБДОУ д/с "Здоровый ребенок" </t>
  </si>
  <si>
    <t>МБДОУ д/с №91</t>
  </si>
  <si>
    <t>МБДОУ д/с № 92</t>
  </si>
  <si>
    <t>МБДОУ д/с №93</t>
  </si>
  <si>
    <t>МБДОУ д/с № 94</t>
  </si>
  <si>
    <t>МБДОУ ДС № 95</t>
  </si>
  <si>
    <t>МБДОУ д/с № 97</t>
  </si>
  <si>
    <t>МБДОУ д/с № 99</t>
  </si>
  <si>
    <t>МБДОУд /с 100</t>
  </si>
  <si>
    <t>МБДОУ д/с № 101</t>
  </si>
  <si>
    <t>МБДОУ д/с №102</t>
  </si>
  <si>
    <t>МАОУ гимназия имени А.П. Чехова</t>
  </si>
  <si>
    <t>МОБУ СОШ № 3 им.Ю.А. Гагарина</t>
  </si>
  <si>
    <t>МАОУ лицей № 4 (ТМОЛ)</t>
  </si>
  <si>
    <t>МОБУ СОШ № 5</t>
  </si>
  <si>
    <t>МОБУ СОШ № 6</t>
  </si>
  <si>
    <t>МОБУ лицей №7</t>
  </si>
  <si>
    <t>МОБУ СОШ № 8</t>
  </si>
  <si>
    <t>МОБУ СОШ № 9 с углубленным изучением английского языка</t>
  </si>
  <si>
    <t>МАОУ СОШ № 10</t>
  </si>
  <si>
    <t>МАОУ СОШ № 12</t>
  </si>
  <si>
    <t>МАОУ гимназия "Мариинская"</t>
  </si>
  <si>
    <t>МОБУ СОШ №16</t>
  </si>
  <si>
    <t>МОБУ СОШ № 20</t>
  </si>
  <si>
    <t>МОБУ СОШ № 21</t>
  </si>
  <si>
    <t>МАОУСОШ№22</t>
  </si>
  <si>
    <t>МОБУ СОШ № 23</t>
  </si>
  <si>
    <t>МОБУ СОШ № 24</t>
  </si>
  <si>
    <t>МАОУ СОШ № 25/11</t>
  </si>
  <si>
    <t>МОБУ СОШ № 26</t>
  </si>
  <si>
    <t>МАОУ СОШ № 27</t>
  </si>
  <si>
    <t>МАОУ лицей №28</t>
  </si>
  <si>
    <t>МОБУ СОШ № 30</t>
  </si>
  <si>
    <t>МОБУ СОШ № 31</t>
  </si>
  <si>
    <t>МОБУ СОШ № 32</t>
  </si>
  <si>
    <t>МОБУ СОШ № 33</t>
  </si>
  <si>
    <t>МОБУ СОШ № 34</t>
  </si>
  <si>
    <t>МОБУ СОШ № 35</t>
  </si>
  <si>
    <t>МОБУ СОШ № 36</t>
  </si>
  <si>
    <t>МАОУ СОШ № 37</t>
  </si>
  <si>
    <t>МОБУ СОШ №38</t>
  </si>
  <si>
    <t>МАОУ СОШ №39</t>
  </si>
  <si>
    <t>ИТОГО школы, в т.ч.</t>
  </si>
  <si>
    <t>ИТОГО допы, в т.ч.</t>
  </si>
  <si>
    <t>Расшифровка кпроекту бюджета на 2024 -2026 год в части местного бюджета</t>
  </si>
  <si>
    <t>Сумма налога, уплаченного в отчетном финансовом году (в 2022году), руб.</t>
  </si>
  <si>
    <t>Сумма налога, подлежащего уплате, в текущем финансовом году (за 4 квартал 2022 и за 1,2,3 квартал 2023), руб.</t>
  </si>
  <si>
    <r>
      <t>Сумма исчисленного земельного налога, подлежащего уплате, в очередном финансовом году (в 2024 году)</t>
    </r>
    <r>
      <rPr>
        <b/>
        <sz val="10"/>
        <rFont val="Times New Roman"/>
        <family val="1"/>
        <charset val="204"/>
      </rPr>
      <t xml:space="preserve">, руб. </t>
    </r>
  </si>
  <si>
    <r>
      <t xml:space="preserve">Сумма исчисленного земельного налога, подлежащего уплате, в очередном финансовом году (в 2024 году), </t>
    </r>
    <r>
      <rPr>
        <b/>
        <sz val="10"/>
        <rFont val="Times New Roman"/>
        <family val="1"/>
        <charset val="204"/>
      </rPr>
      <t xml:space="preserve">тыс.руб. </t>
    </r>
  </si>
  <si>
    <r>
      <t xml:space="preserve">Прогнозируемая сумма налога, подлежащего уплате в очередном финансовом 2024 году за </t>
    </r>
    <r>
      <rPr>
        <b/>
        <sz val="10"/>
        <rFont val="Times New Roman"/>
        <family val="1"/>
        <charset val="204"/>
      </rPr>
      <t>счет бюджетных сред</t>
    </r>
    <r>
      <rPr>
        <sz val="10"/>
        <rFont val="Times New Roman"/>
        <family val="1"/>
        <charset val="204"/>
      </rPr>
      <t>ств  с учетом коэф.платной деятельности, тыс.руб.</t>
    </r>
  </si>
  <si>
    <r>
      <t>Прогнозируемая сумма налога, подлежащего уплате в очередном финансовом 2024 году за счет с</t>
    </r>
    <r>
      <rPr>
        <i/>
        <u/>
        <sz val="10"/>
        <rFont val="Times New Roman"/>
        <family val="1"/>
        <charset val="204"/>
      </rPr>
      <t xml:space="preserve">редств от платной деятельности, </t>
    </r>
    <r>
      <rPr>
        <i/>
        <sz val="10"/>
        <rFont val="Times New Roman"/>
        <family val="1"/>
        <charset val="204"/>
      </rPr>
      <t>тыс.руб.</t>
    </r>
  </si>
  <si>
    <t>кадастровый номер (перечислить все номера участков)</t>
  </si>
  <si>
    <r>
      <rPr>
        <u/>
        <sz val="10"/>
        <rFont val="Times New Roman"/>
        <family val="1"/>
        <charset val="204"/>
      </rPr>
      <t>общая</t>
    </r>
    <r>
      <rPr>
        <sz val="10"/>
        <rFont val="Times New Roman"/>
        <family val="1"/>
        <charset val="204"/>
      </rPr>
      <t xml:space="preserve"> кадастровая стоимость, руб.</t>
    </r>
  </si>
  <si>
    <t>7=п.3*п.4/100</t>
  </si>
  <si>
    <t>8=п.7/1000</t>
  </si>
  <si>
    <t>10=п.8*п.9</t>
  </si>
  <si>
    <t>11=п.8-п.10</t>
  </si>
  <si>
    <t>13=10*12</t>
  </si>
  <si>
    <t>14=13-10</t>
  </si>
  <si>
    <t>61:58:004349:155</t>
  </si>
  <si>
    <t>61:580005211:79  61:58:0002230:12   61:58:0005281:4504</t>
  </si>
  <si>
    <t>61:58:0005211:2040</t>
  </si>
  <si>
    <t>61:58:0005281:3179</t>
  </si>
  <si>
    <t>61:58:0005281:3233</t>
  </si>
  <si>
    <t>61:58:0005267:1262</t>
  </si>
  <si>
    <t>61:58:0001117</t>
  </si>
  <si>
    <t>61:58:0003230:23</t>
  </si>
  <si>
    <t>61:58:0003490:18</t>
  </si>
  <si>
    <t>61:58:0000000:17917</t>
  </si>
  <si>
    <t>61:58:0005009:18, 61:58:005007:13</t>
  </si>
  <si>
    <t>61:58:0002419:74; 61:58:0002419:71</t>
  </si>
  <si>
    <t>68:58:0002244:0137</t>
  </si>
  <si>
    <t>61:58:0001077:25</t>
  </si>
  <si>
    <t>61:58:0003279:39</t>
  </si>
  <si>
    <t>61:58:0002247:15</t>
  </si>
  <si>
    <t>61:58:0001023:1</t>
  </si>
  <si>
    <t>61:58:0003365:1</t>
  </si>
  <si>
    <t>61:58:0003186:195</t>
  </si>
  <si>
    <t>61:58:0005042:4</t>
  </si>
  <si>
    <t>61:58:0005259:22</t>
  </si>
  <si>
    <t>61:58:0005274:2638,  61:58:0005034:0060</t>
  </si>
  <si>
    <t>61:58:0004169:34; 61:58:0004383:1</t>
  </si>
  <si>
    <t>61:58:0002009:41</t>
  </si>
  <si>
    <t>61:58:0003490:19</t>
  </si>
  <si>
    <t xml:space="preserve">61:58:0003490:21, 61:58:0003490:20 </t>
  </si>
  <si>
    <t>61:58:0003490:17</t>
  </si>
  <si>
    <t>61:58:0002248:40</t>
  </si>
  <si>
    <t>61:58:0003438:13</t>
  </si>
  <si>
    <t>61:58:0004445:2</t>
  </si>
  <si>
    <t>61:58:0003438:2</t>
  </si>
  <si>
    <t>61:58:0005259:2</t>
  </si>
  <si>
    <t>61:58:0005057:2</t>
  </si>
  <si>
    <t>61:58:02046:0004</t>
  </si>
  <si>
    <t>61:58:05044:04</t>
  </si>
  <si>
    <t>61:58:0003277:21, 61:58:0003277:22, 61:58:0003248:64</t>
  </si>
  <si>
    <t>61:58:0002269:0010</t>
  </si>
  <si>
    <t>61:58:0001052:4</t>
  </si>
  <si>
    <t>61:58:0003420:2</t>
  </si>
  <si>
    <t>61:58:0003278:3</t>
  </si>
  <si>
    <t>61:58:0003484:25</t>
  </si>
  <si>
    <t>61:58:0002285:0012</t>
  </si>
  <si>
    <t>61:58:003425:3</t>
  </si>
  <si>
    <t>61:58:0003424:9</t>
  </si>
  <si>
    <t>61:58:0002009:6</t>
  </si>
  <si>
    <t>61:58:003007</t>
  </si>
  <si>
    <t>61:58:0004291:27</t>
  </si>
  <si>
    <t>61:58:0003337:8</t>
  </si>
  <si>
    <t>61:58:0001033:6</t>
  </si>
  <si>
    <t>61:58:0005272:3</t>
  </si>
  <si>
    <t>61:58:0004329:1</t>
  </si>
  <si>
    <t>61:58:0005272:1</t>
  </si>
  <si>
    <t>61:58:0005270:507</t>
  </si>
  <si>
    <t>61:58:0005281:439</t>
  </si>
  <si>
    <t>61:58:0005138:2</t>
  </si>
  <si>
    <t>61:58:0001117:1</t>
  </si>
  <si>
    <t>62:58:0005044:2</t>
  </si>
  <si>
    <t>61:58:0001114:113</t>
  </si>
  <si>
    <t>61:58:0005016:1</t>
  </si>
  <si>
    <t>61:58:00004339:1</t>
  </si>
  <si>
    <t>61:58:0002513:2</t>
  </si>
  <si>
    <t>61:58:0001027:124</t>
  </si>
  <si>
    <t>61:58:0001140:28</t>
  </si>
  <si>
    <t>61:58:0001130:55</t>
  </si>
  <si>
    <t>61:58:0002285:10</t>
  </si>
  <si>
    <t>61:58:0001140:179</t>
  </si>
  <si>
    <t>61:58:0002506:12</t>
  </si>
  <si>
    <t>61:58:0004125:19</t>
  </si>
  <si>
    <t>61:58:0003104:36</t>
  </si>
  <si>
    <t>61:58:0003430:3</t>
  </si>
  <si>
    <t>61:58:0004169:1</t>
  </si>
  <si>
    <t>61:58:0003322:1</t>
  </si>
  <si>
    <t>61:58:0003242:1; 61:58:0003197:131</t>
  </si>
  <si>
    <t>61:58:0002230:1</t>
  </si>
  <si>
    <t>61:58:0002506:18; 61:58:0002506:19</t>
  </si>
  <si>
    <t>61:58:00022551:5; 61:58:0002260:22</t>
  </si>
  <si>
    <t xml:space="preserve">61:58:0005274:3049 </t>
  </si>
  <si>
    <t>61:58:0003419:16</t>
  </si>
  <si>
    <t>61:58:0002068:14</t>
  </si>
  <si>
    <t>61:58:0004080:7; 61:58:0004128:1; 61:58:0004080:8; 61:58:0004080:331; 61:58:0004080:332</t>
  </si>
  <si>
    <t>61:58:0003490:22</t>
  </si>
  <si>
    <t>61:58:0005272:141</t>
  </si>
  <si>
    <t>61:58:0005271:161</t>
  </si>
  <si>
    <t>61:58:0003490:23</t>
  </si>
  <si>
    <t>61:58:0005138:39</t>
  </si>
  <si>
    <t>61:26:0600024:2962</t>
  </si>
  <si>
    <t>61:58:0002439:1; 61:58:0002285:1</t>
  </si>
  <si>
    <t>61:58:0003385:11; 61:58:0003484:27; 61:58:0003198:27; 61:58:0001148:22; 61:58:0004202:68</t>
  </si>
  <si>
    <t>Расшифровка к проекту бюджета на 2024 -2026 год в части местного бюджета</t>
  </si>
  <si>
    <t>Сумма налога, уплаченного в отчетном финансовом году (в 2022 году), руб.</t>
  </si>
  <si>
    <t>Сумма исчисленного транспортного налога, подлежащего уплате, в очередном финансовом году (в 2024 году), руб.</t>
  </si>
  <si>
    <t>Сумма исчисленного транспортного налога, подлежащего уплате, в очередном финансовом году (в 2024 году), тыс.руб.</t>
  </si>
  <si>
    <t>КОСГУ 291 на 2024 год и плановый период 2025 и 2026 годов</t>
  </si>
  <si>
    <t>2024 год и плановый период 2025-2026 годов</t>
  </si>
  <si>
    <t>Расчет коффициента платной деятельности на 2024 год и плановый период 2025-2026 годов</t>
  </si>
  <si>
    <t>+</t>
  </si>
  <si>
    <t>объем доходов от платной деятельности, полученных в отчетном (предыдущем) году  "Оказание платных услуг (работ) (131)" - за 2022 год, руб.</t>
  </si>
  <si>
    <t>объем субсидии, полученной из бюджета в отчетном (предыдущем) финансовом году, на финансовое обеспечение выполнения муниципального задания - за 2022 год, руб.</t>
  </si>
  <si>
    <t>налоги, в качестве объекта налогообложения по которым признается имущество муниципального учреждения - на 2024 год, руб.</t>
  </si>
  <si>
    <t>финансовое обеспечение по базовому нормативу, руб.</t>
  </si>
  <si>
    <t>Распределение человеко-часов и учащихся (мест) для муниципального задания, в том числе для соцзаказа с персонифицированным финансированием</t>
  </si>
  <si>
    <t>наименование учреждения / направление</t>
  </si>
  <si>
    <t>количество учебных недель</t>
  </si>
  <si>
    <t>Стандартные программы с ПФ</t>
  </si>
  <si>
    <t>Адаптированные программы с ПФ</t>
  </si>
  <si>
    <t>ИТОГО программы с ПФ</t>
  </si>
  <si>
    <t>Общеразвивающие программы вне ПФ</t>
  </si>
  <si>
    <t>ИТОГО программы с ПФ и вне ПФ</t>
  </si>
  <si>
    <t>проверка групп</t>
  </si>
  <si>
    <t>места (учащиеся)</t>
  </si>
  <si>
    <t>человеко-часы</t>
  </si>
  <si>
    <t>группы</t>
  </si>
  <si>
    <t>педставки</t>
  </si>
  <si>
    <t>36 учебных недель</t>
  </si>
  <si>
    <t>44 учебных недель</t>
  </si>
  <si>
    <t>Социально-гуманитарная</t>
  </si>
  <si>
    <t>Художественная (адаптированная)</t>
  </si>
  <si>
    <t>Физкультурно-спортивная (адаптированная)</t>
  </si>
  <si>
    <t>Социально-гуманитарная (адаптированная)</t>
  </si>
  <si>
    <t xml:space="preserve">сверка </t>
  </si>
  <si>
    <t>социально-педагогическая направленность для детей с ОВЗ</t>
  </si>
  <si>
    <t>Главный экономист ПЭО</t>
  </si>
  <si>
    <t>в том числе для муниципального задания без персонифицированного финансирования по сертификатам</t>
  </si>
  <si>
    <t>в том числе для социального заказа по муниципальному заданию с персонифицированным финансированием по сертификатам</t>
  </si>
  <si>
    <t>проверка свода бюджета</t>
  </si>
  <si>
    <t>налог за счет оплаты из платной деятельности</t>
  </si>
  <si>
    <t>расчет от общей стоимости пропорционально человеко-часам</t>
  </si>
  <si>
    <t>от 26.12.2023 № 1733</t>
  </si>
  <si>
    <t>учебные недели</t>
  </si>
  <si>
    <r>
      <rPr>
        <sz val="9"/>
        <rFont val="Times New Roman"/>
        <family val="2"/>
        <charset val="204"/>
      </rPr>
      <t>Размер должностного оклада педагога дополнительного образования</t>
    </r>
    <r>
      <rPr>
        <sz val="9"/>
        <color indexed="10"/>
        <rFont val="Times New Roman"/>
        <family val="2"/>
        <charset val="204"/>
      </rPr>
      <t xml:space="preserve"> </t>
    </r>
    <r>
      <rPr>
        <sz val="9"/>
        <rFont val="Times New Roman"/>
        <family val="1"/>
        <charset val="204"/>
      </rPr>
      <t>в месяц с учетом индексации</t>
    </r>
    <r>
      <rPr>
        <sz val="9"/>
        <color indexed="60"/>
        <rFont val="Times New Roman"/>
        <family val="1"/>
        <charset val="204"/>
      </rPr>
      <t xml:space="preserve"> 5,5% с 01.10.2023</t>
    </r>
  </si>
  <si>
    <r>
      <rPr>
        <sz val="9"/>
        <rFont val="Times New Roman"/>
        <family val="2"/>
        <charset val="204"/>
      </rP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2024 = 1+ 4/ 100/ 12мес* 3мес = 1,01</t>
    </r>
  </si>
  <si>
    <r>
      <rPr>
        <sz val="9"/>
        <rFont val="Times New Roman"/>
        <family val="2"/>
        <charset val="204"/>
      </rPr>
      <t>в зависимости от размера МРОТ</t>
    </r>
    <r>
      <rPr>
        <sz val="9"/>
        <color indexed="10"/>
        <rFont val="Times New Roman"/>
        <family val="2"/>
        <charset val="204"/>
      </rPr>
      <t xml:space="preserve"> </t>
    </r>
    <r>
      <rPr>
        <sz val="9"/>
        <color indexed="60"/>
        <rFont val="Times New Roman"/>
        <family val="1"/>
        <charset val="204"/>
      </rPr>
      <t>(с 01.01.19 = 11280, с 01.01.20 = 12130, с 01.01.21 = 12792, с 01.01.22 = 13890, с 01.06.22 = 15279, с 01.01.23 = 16242, с 01.01.24 = 19242)</t>
    </r>
  </si>
  <si>
    <t>Расчет ожидаемых целевых показателей в 2024-2026</t>
  </si>
  <si>
    <t>целевой показатель в 2023 году</t>
  </si>
  <si>
    <t>коэффициент для увеличения целевого показателя в 2024 году</t>
  </si>
  <si>
    <t>целевой показатель в 2024 году</t>
  </si>
  <si>
    <t>коэффициент для увеличения целевого показателя в 2025 году</t>
  </si>
  <si>
    <t>целевой показатель в 2025 году</t>
  </si>
  <si>
    <t>коэффициент для увеличения целевого показателя в 2026 году</t>
  </si>
  <si>
    <t>целевой показатель в 2026 году</t>
  </si>
  <si>
    <t>школы, допы</t>
  </si>
  <si>
    <t>сады</t>
  </si>
  <si>
    <t>в проекте</t>
  </si>
  <si>
    <t xml:space="preserve"> в проекте </t>
  </si>
  <si>
    <r>
      <t xml:space="preserve">26 = </t>
    </r>
    <r>
      <rPr>
        <sz val="10"/>
        <color rgb="FFC00000"/>
        <rFont val="Times New Roman"/>
        <family val="1"/>
        <charset val="204"/>
      </rPr>
      <t>см расчет</t>
    </r>
  </si>
  <si>
    <r>
      <t xml:space="preserve">среднесписочная численность пед.работников по ЗП-образование </t>
    </r>
    <r>
      <rPr>
        <sz val="10"/>
        <color indexed="60"/>
        <rFont val="Times New Roman"/>
        <family val="1"/>
        <charset val="204"/>
      </rPr>
      <t>на 01.07.2023 года</t>
    </r>
  </si>
  <si>
    <r>
      <rPr>
        <sz val="9"/>
        <rFont val="Times New Roman"/>
        <family val="2"/>
        <charset val="204"/>
      </rPr>
      <t>Размер должностного оклада педагога дополнительного образования</t>
    </r>
    <r>
      <rPr>
        <sz val="9"/>
        <color indexed="10"/>
        <rFont val="Times New Roman"/>
        <family val="2"/>
        <charset val="204"/>
      </rPr>
      <t xml:space="preserve"> </t>
    </r>
    <r>
      <rPr>
        <sz val="9"/>
        <rFont val="Times New Roman"/>
        <family val="1"/>
        <charset val="204"/>
      </rPr>
      <t>в месяц с учетом индексации</t>
    </r>
    <r>
      <rPr>
        <sz val="9"/>
        <color indexed="60"/>
        <rFont val="Times New Roman"/>
        <family val="1"/>
        <charset val="204"/>
      </rPr>
      <t xml:space="preserve"> 4% с 01.10.2025</t>
    </r>
  </si>
  <si>
    <r>
      <rPr>
        <sz val="9"/>
        <rFont val="Times New Roman"/>
        <family val="2"/>
        <charset val="204"/>
      </rP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2026 = 1,01</t>
    </r>
  </si>
  <si>
    <r>
      <t xml:space="preserve">прогнозный целевой показатель среднемесячной заработной платы педагогического работника </t>
    </r>
    <r>
      <rPr>
        <sz val="10"/>
        <color indexed="60"/>
        <rFont val="Times New Roman"/>
        <family val="1"/>
        <charset val="204"/>
      </rPr>
      <t>в 2026 году</t>
    </r>
    <r>
      <rPr>
        <sz val="10"/>
        <color indexed="8"/>
        <rFont val="Times New Roman"/>
        <family val="1"/>
        <charset val="204"/>
      </rPr>
      <t>, руб</t>
    </r>
  </si>
  <si>
    <r>
      <t xml:space="preserve">дополнительные средства на выполнение указа </t>
    </r>
    <r>
      <rPr>
        <sz val="10"/>
        <color indexed="60"/>
        <rFont val="Times New Roman"/>
        <family val="1"/>
        <charset val="204"/>
      </rPr>
      <t>в 2026 году</t>
    </r>
    <r>
      <rPr>
        <sz val="10"/>
        <color indexed="8"/>
        <rFont val="Times New Roman"/>
        <family val="1"/>
        <charset val="204"/>
      </rPr>
      <t xml:space="preserve"> на 1-го пед.работника</t>
    </r>
  </si>
  <si>
    <t>1 вариант только на фот</t>
  </si>
  <si>
    <t>2 вариант с прочими</t>
  </si>
  <si>
    <t>(за исключением расходов областного бюджета)</t>
  </si>
  <si>
    <t>в том числе СОЦ ЗАКАЗ на прочие организации</t>
  </si>
  <si>
    <t>МУН ЗАДАНИЕ за минусом иных организаций</t>
  </si>
  <si>
    <r>
      <t xml:space="preserve">количество штатных единиц </t>
    </r>
    <r>
      <rPr>
        <sz val="8"/>
        <rFont val="Times New Roman"/>
        <family val="1"/>
        <charset val="204"/>
      </rPr>
      <t>(по штатному расписанию)</t>
    </r>
  </si>
  <si>
    <t>расчет заработной платы</t>
  </si>
  <si>
    <t>отклонение на коэффициент экономии и коэффициент выравнивания</t>
  </si>
  <si>
    <t>Утвержденная в бюджете (проекте бюджета) сумма по дотации (на доплату до МРОТ, повышение (индексацию) заработной платы, на выполнение целевых показателей по педагогическим работникам)</t>
  </si>
  <si>
    <t>Утвержденная в бюджете (проекте бюджета) сумма без дотации на год</t>
  </si>
  <si>
    <t>расчет средств для надбавки за интенсивность основным пед работникам</t>
  </si>
  <si>
    <t>НАДБАВКА на УКАЗ в тыс.руб.</t>
  </si>
  <si>
    <t>Утвержденная в бюджете (проекте бюджета) сумма с учетом надбавки на выполнение указа</t>
  </si>
  <si>
    <t>платные</t>
  </si>
  <si>
    <t>Утвержденная в бюджете (проекте бюджета) сумма с учетом надбавки на выполнение указа минус платные</t>
  </si>
  <si>
    <t>в том числе доп потребность в сравнении с целевым параметром 2023 года</t>
  </si>
  <si>
    <t xml:space="preserve">в том числе ФОТ по ставкам педработников для реализации целевых показателей по УКАЗУ </t>
  </si>
  <si>
    <t>ИНЫЕ, не относящиеся к учреждениям ГОРУО, бюджетные организации 615</t>
  </si>
  <si>
    <t>ИНЫЕ, не относящиеся к учреждениям ГОРУО, автономные организации 625</t>
  </si>
  <si>
    <t>ИНЫЕ, иные некоммерческие 635</t>
  </si>
  <si>
    <t>ИНЫЕ, коммерческие оргнизации 816</t>
  </si>
  <si>
    <t>ВСЕГО соцзаказ на прочие организации</t>
  </si>
  <si>
    <t>Утвержденная в бюджете (проекте бюджета) сумма с учетом надбавки на выполнение указа минус платные, минус соцзаказ на иные организации с коэффициентом выравнивания</t>
  </si>
  <si>
    <t>должностной оклад на полную ставку</t>
  </si>
  <si>
    <t>коэффициент увеличения должностных окладов в текущем году</t>
  </si>
  <si>
    <t>должностной оклад на полную ставку с учетом увеличения в текущем году</t>
  </si>
  <si>
    <t>среднемесячный коэффициент увеличения должностных окладов в предстоящем году (в плановом периоде)</t>
  </si>
  <si>
    <t>среднемесячный должностной оклад на полную ставку с учетом увеличения в предстоящем году  (в плановом периоде)</t>
  </si>
  <si>
    <t>надбавка за квалификационную категорию с учетом коэффициентов увеличения</t>
  </si>
  <si>
    <t>доплата за работу с вредными и (или) опасными условиями труда с учетом коэффициентов увеличения</t>
  </si>
  <si>
    <t>доплата за работу в особых условиях труда с учетом коэффициентов увеличения</t>
  </si>
  <si>
    <t xml:space="preserve">доплата за осуществление дополнительной работы, не входящей в круг основных должностных обязанностей
</t>
  </si>
  <si>
    <t xml:space="preserve">доплата за осуществление дополнительной работы, не входящей в круг основных должностных обязанностей, с учетом коэффициентов увеличения
</t>
  </si>
  <si>
    <t>надбавка за интенсивность и высокие результаты работы (по педагогическим работникам, работающим по основному трудовому договору)</t>
  </si>
  <si>
    <t>надбавка за интенсивность и высокие результаты работы (педагогическим работникам, работающим по основному трудовому договору) с учетом коэффициентов увеличения</t>
  </si>
  <si>
    <t>надбавка за качество выполняемых работ (кроме педагогических и медицинских работников)</t>
  </si>
  <si>
    <t>надбавка за качество выполняемых работ (кроме педагогических и медицинских работников) с учетом коэффициентов увеличения</t>
  </si>
  <si>
    <t>надбавка за выслугу лет с учетом коэффициентов увеличения</t>
  </si>
  <si>
    <t>надбавка за наличие ученой степени, почетного звания с учетом коэффициентов увеличения</t>
  </si>
  <si>
    <t xml:space="preserve">надбавка за качество работы рабочим, имеющим не ниже 6-го разряда и привлекаемым для выполнения важных (особо важных) и ответственных (особо ответственных) работ, а также водителям автомобилей, тарифицированным по 4-му и 5-му разрядам, занятым перевозкой обучающихся (воспитанников), с учетом коэффициентов увеличения
</t>
  </si>
  <si>
    <t>надбавка за классность водителям автомобилей с учетом коэффициентов увеличения</t>
  </si>
  <si>
    <t xml:space="preserve">размер МРОТ, установленный (прогнозируемый) </t>
  </si>
  <si>
    <t>доплата до мрот</t>
  </si>
  <si>
    <t>размер доплаты за работу в ночное время, выходные и праздничные дни на 1 ставку в месяц</t>
  </si>
  <si>
    <t>доплата за работу в ночное время, выходные и праздничные дни</t>
  </si>
  <si>
    <t>Доплата замещения в дни невыходов за год = 28 дней отпуска + 3 дня бол.лист = 31 день / 365 дней в году = коэффициент невыходов 0,085 (ст.211)</t>
  </si>
  <si>
    <t>Материальная помощь (ст.211)</t>
  </si>
  <si>
    <t>Сумма потребности на год по 211, тыс.руб.</t>
  </si>
  <si>
    <t>Сумма потребности на год по 213, тыс.руб.</t>
  </si>
  <si>
    <t>Потребность по ФОТ на год всего по 211+213, тыс.руб.</t>
  </si>
  <si>
    <t>коэффициент снижения на ожидаемую экономию по ФОТ в размере 5%</t>
  </si>
  <si>
    <t>Сумма потребности на год по 211 с учетом коэффициента экономии, тыс.руб.</t>
  </si>
  <si>
    <t>Сумма потребности на год по 213 с учетом коэффициента экономии, тыс.руб.</t>
  </si>
  <si>
    <t>Потребность по ФОТ на год всего по 211+213с учетом коэффициента экономии, тыс.руб.</t>
  </si>
  <si>
    <t>Сумма потребности на год по 211 с учетом коэффициентов экономии и выравнивания, тыс.руб.</t>
  </si>
  <si>
    <t>Сумма потребности на год по 213 с учетом коэффициентов экономии и выравнивания, тыс.руб.</t>
  </si>
  <si>
    <t>Потребность по 211+213 с учетом коэффициентов экономии и выравнивания, тыс.руб.</t>
  </si>
  <si>
    <t>по 211, тыс.руб.</t>
  </si>
  <si>
    <t>по 213, тыс.руб.</t>
  </si>
  <si>
    <t>по 211+213, тыс.руб.</t>
  </si>
  <si>
    <t>всего 211+213</t>
  </si>
  <si>
    <t>всего 211</t>
  </si>
  <si>
    <t>всего 213</t>
  </si>
  <si>
    <t>кол-во пед ставок по штату, шт.ед.</t>
  </si>
  <si>
    <t>числ-ть пед работников- внешних совместителей</t>
  </si>
  <si>
    <t>кол-во ставок основных пед работников, шт.ед.</t>
  </si>
  <si>
    <t>ст.211 в год без интенсивности по всем педставкам, руб.</t>
  </si>
  <si>
    <t>ст.211 в год без интенсивности по основным педработникам, руб.</t>
  </si>
  <si>
    <t>среднесписочная числ-ть основных пед работников, раб.</t>
  </si>
  <si>
    <t>среднемесячная зарплата (без интенсивности) по основным педработникам, руб.</t>
  </si>
  <si>
    <t>целевой показатель заработной платы, руб.</t>
  </si>
  <si>
    <t>ст.211 в год - на интенсивность, руб.</t>
  </si>
  <si>
    <t>ст.213 в год - на интенсивность, руб.</t>
  </si>
  <si>
    <t>ВСЕГО в год на интенсивность (211+213), руб.</t>
  </si>
  <si>
    <t>распределение по пед должностям</t>
  </si>
  <si>
    <t>ст.211 в год - на интенсивность, тыс.руб.</t>
  </si>
  <si>
    <t>ст.213 в год - на интенсивность,тыс. руб.</t>
  </si>
  <si>
    <t>ВСЕГО в год на интенсивность (211+213), тыс.руб.</t>
  </si>
  <si>
    <t>ст.213 в год - на интенсивность, тыс.руб.</t>
  </si>
  <si>
    <t>коэффициент корректирующий распределение на соцзаказ  иным организациям</t>
  </si>
  <si>
    <t>прочие</t>
  </si>
  <si>
    <t>4 = оклад на 01.07.23</t>
  </si>
  <si>
    <t>5 = с 01.10.23 на 5,5%/100</t>
  </si>
  <si>
    <t>6=п.4*п.5</t>
  </si>
  <si>
    <t>7 = с 01.10.24 на 4%/12мес*3мес/100</t>
  </si>
  <si>
    <t>8=п.6*п.7</t>
  </si>
  <si>
    <t>9=п.3*п.8</t>
  </si>
  <si>
    <t>10=п.11/ (п.3*п.4)</t>
  </si>
  <si>
    <t>12=п.9*п.10</t>
  </si>
  <si>
    <t>13=п.14/ (п.3*п.4)</t>
  </si>
  <si>
    <t>15=п.9*п.13</t>
  </si>
  <si>
    <t>16=п.17/ (п.3*п.4)</t>
  </si>
  <si>
    <t>18=п.9*п.16</t>
  </si>
  <si>
    <t>19=п.20/ (п.3*п.4)</t>
  </si>
  <si>
    <t>21=п.9*п.19</t>
  </si>
  <si>
    <t>22=п.23/ (п.3*п.4)</t>
  </si>
  <si>
    <t>23 = годовой объем, предусмотренный учреждению на надбавку в 2023 году по ст.211 с учетом дотации / 12мес</t>
  </si>
  <si>
    <t>24=п.9*п.22</t>
  </si>
  <si>
    <t>25=п.26/ (п.3*п.4)</t>
  </si>
  <si>
    <t>27=п.9*п.25</t>
  </si>
  <si>
    <t>28=п.29/ (п.3*п.4)</t>
  </si>
  <si>
    <t>30=п.9*п.28</t>
  </si>
  <si>
    <t>31=п.32/ (п.3*п.4)</t>
  </si>
  <si>
    <t>33=п.9*п.31</t>
  </si>
  <si>
    <t>34=п.35/ (п.3*п.4)</t>
  </si>
  <si>
    <t>36=п.9*п.34</t>
  </si>
  <si>
    <t>37=п.38/ (п.3*п.4)</t>
  </si>
  <si>
    <t>39=п.9* п.37/100</t>
  </si>
  <si>
    <t>40а</t>
  </si>
  <si>
    <t>40=п.40а-сумма оклада, доплат и надбавок</t>
  </si>
  <si>
    <t>41а</t>
  </si>
  <si>
    <t>41=п.3*п.41а</t>
  </si>
  <si>
    <t>42= 9+ 12+ 15+ 18+ 21+ 24+ 27+ 30+ 33+ 36+ 39+ 40+ 41</t>
  </si>
  <si>
    <t>44=п.42*п.43</t>
  </si>
  <si>
    <t>45=п.44 * 0,085 - заполнять самостоятельно только по замещаемым должностям</t>
  </si>
  <si>
    <t>46=п.44* 1%</t>
  </si>
  <si>
    <t>47=п.44+ п.45+ п.46</t>
  </si>
  <si>
    <t>48=п.47*0,302</t>
  </si>
  <si>
    <t>49=п.47+п.48</t>
  </si>
  <si>
    <t>50=п.47/1000</t>
  </si>
  <si>
    <t>51=п.50*0,302</t>
  </si>
  <si>
    <t>52=п.50+п.51</t>
  </si>
  <si>
    <t>54=п.50*п.53</t>
  </si>
  <si>
    <t>55=п.54*0,302</t>
  </si>
  <si>
    <t>56=п.54+п.55</t>
  </si>
  <si>
    <t>58=п.54*п.57</t>
  </si>
  <si>
    <t>59=п.58*0,302</t>
  </si>
  <si>
    <t>60=п.58+п.59</t>
  </si>
  <si>
    <t>61=п.58-п.50</t>
  </si>
  <si>
    <t>62=п.59-п.51</t>
  </si>
  <si>
    <t>63=п.61+п.62</t>
  </si>
  <si>
    <t>64=п.66/1,302</t>
  </si>
  <si>
    <t>65=п.66-п.64</t>
  </si>
  <si>
    <t>67=п.58-п.64</t>
  </si>
  <si>
    <t>68=п.59-п.65</t>
  </si>
  <si>
    <t>69=п.67+п.68</t>
  </si>
  <si>
    <t>70= п.3</t>
  </si>
  <si>
    <t>71=ЗП-обр на 01.07.23</t>
  </si>
  <si>
    <t>72=п.70-п.71</t>
  </si>
  <si>
    <t>73=п.47-п.24</t>
  </si>
  <si>
    <t>74=п.73/п.70*п.72</t>
  </si>
  <si>
    <t>75=ЗП-обр на 01.07.23</t>
  </si>
  <si>
    <t>76=п.74/п.75/12мес</t>
  </si>
  <si>
    <t>77=38663,8* 1,079</t>
  </si>
  <si>
    <t>78=(п.77-п.76)*п.75*12мес</t>
  </si>
  <si>
    <t>79=п.78*0,302</t>
  </si>
  <si>
    <t>80=п.78+п.79</t>
  </si>
  <si>
    <t>81=п.78/1000</t>
  </si>
  <si>
    <t>82=п.79/1000</t>
  </si>
  <si>
    <t>83=п.81+п.82</t>
  </si>
  <si>
    <t>84=п.67+п.81</t>
  </si>
  <si>
    <t>85=п.68+п.82</t>
  </si>
  <si>
    <t>86=п.84+п.85</t>
  </si>
  <si>
    <t>88=п.87*0,302</t>
  </si>
  <si>
    <t>89=п.87+п.88</t>
  </si>
  <si>
    <t>90=п.84-п.87</t>
  </si>
  <si>
    <t>91=п.85-п.88</t>
  </si>
  <si>
    <t>92=п.90+п.91</t>
  </si>
  <si>
    <t>94=(п.77-п.93)*п.75*12мес/1000</t>
  </si>
  <si>
    <t>95=п.88*0,302</t>
  </si>
  <si>
    <t>96=п.94+п.95</t>
  </si>
  <si>
    <t>97 = (п.74+п.78)/1000 - п.87</t>
  </si>
  <si>
    <t>98 = п.97*0,302</t>
  </si>
  <si>
    <t>99 = п.97+п.98</t>
  </si>
  <si>
    <t>значения для заполнения</t>
  </si>
  <si>
    <t>Бухгалтер</t>
  </si>
  <si>
    <t>Дворник</t>
  </si>
  <si>
    <t>Директор</t>
  </si>
  <si>
    <t>Заведующий отделением по направленности</t>
  </si>
  <si>
    <t>Зам.директора по учебно-воспитательной работе</t>
  </si>
  <si>
    <t>Заместитель директора по АХР</t>
  </si>
  <si>
    <t>Заместитель директора по организационно-массовой работе</t>
  </si>
  <si>
    <t>Инженер-программист</t>
  </si>
  <si>
    <t>Педагог-психолог</t>
  </si>
  <si>
    <t>Рабочий сцены</t>
  </si>
  <si>
    <t>Специалист по охране труда</t>
  </si>
  <si>
    <t>Сторож</t>
  </si>
  <si>
    <t>Уборщик служебных помещений</t>
  </si>
  <si>
    <t>Экономист</t>
  </si>
  <si>
    <t>Вахтер 1 разряд</t>
  </si>
  <si>
    <t>Гардеробщик 1 разряд</t>
  </si>
  <si>
    <t>Дворник 1 разряд</t>
  </si>
  <si>
    <t>Заместитель директора (по административно-хозяйственной работе)</t>
  </si>
  <si>
    <t>Инженер-электроник ведущий</t>
  </si>
  <si>
    <t>Инспектор по кадрам ведущий</t>
  </si>
  <si>
    <t>Конюх 2 разряд</t>
  </si>
  <si>
    <t>Кузнец 2 разряд</t>
  </si>
  <si>
    <t>Рабочий по комплексному обслуживанию и ремонту зданий 2  разряд</t>
  </si>
  <si>
    <t>Рабочий по уходу за животными 2 разряд</t>
  </si>
  <si>
    <t>Слесарь-сантехник 5 разряд</t>
  </si>
  <si>
    <t>Сторож 1 разряд</t>
  </si>
  <si>
    <t>Техник первая</t>
  </si>
  <si>
    <t>Уборщик служебных помещений 1 разряд</t>
  </si>
  <si>
    <t>Художник ведущий</t>
  </si>
  <si>
    <t>Электромонтер по ремонту и обслуживанию электрооборудования 5 разряд</t>
  </si>
  <si>
    <t>Водитель мототранспортных средств</t>
  </si>
  <si>
    <t>Заместитель директора по методической работе</t>
  </si>
  <si>
    <t>Инженер по охране труда</t>
  </si>
  <si>
    <t>Оператор теплового пункта 2 разряд</t>
  </si>
  <si>
    <t>Оператор теплового пункта 3 разряд</t>
  </si>
  <si>
    <t>Специалист по кадрам</t>
  </si>
  <si>
    <t>Электромонтер по ремонту и обслуживанию электрооборудования 3 разряд</t>
  </si>
  <si>
    <t>Электромонтер по ремонту и обслуживанию электрооборудования 4 разряд</t>
  </si>
  <si>
    <t>Оператор котельной</t>
  </si>
  <si>
    <t>Рабочий по комплексному обслуживанию и ремонту здания</t>
  </si>
  <si>
    <t>мрот ставки</t>
  </si>
  <si>
    <t>фот всего</t>
  </si>
  <si>
    <t>фот на указ</t>
  </si>
  <si>
    <t>фот по мрот</t>
  </si>
  <si>
    <t>фот по прочим</t>
  </si>
  <si>
    <t>из фот</t>
  </si>
  <si>
    <t>на увел-е мрот</t>
  </si>
  <si>
    <t>на увел-е 5,5%</t>
  </si>
  <si>
    <t>БАЗОВЫЙ (СРЕДНИЙ) НОРМАТИВ фот по всем учреждениям дополнительного образования в 2025 году</t>
  </si>
  <si>
    <t>БАЗОВЫЙ (СРЕДНИЙ) НОРМАТИВ фот по всем учреждениям дополнительного образования в 2026 году</t>
  </si>
  <si>
    <t>2026 год величина базового норматива затрат на 1 услугу в год (руб.)</t>
  </si>
  <si>
    <t>а также величина базовых нормативов затрат по муниципальным учреждениям дополнительного образования на 2024 год и плановый период 2025-2026</t>
  </si>
  <si>
    <t>итого для прил.1.1 к общему расчету норматива по мун заданию</t>
  </si>
  <si>
    <t>доля ауп</t>
  </si>
  <si>
    <t>полная потребность 211+213 без указа</t>
  </si>
  <si>
    <t>указ</t>
  </si>
  <si>
    <t>всего полная потребность</t>
  </si>
  <si>
    <t>%</t>
  </si>
  <si>
    <t>без овз</t>
  </si>
  <si>
    <t>овз</t>
  </si>
  <si>
    <t>коэфф овз</t>
  </si>
  <si>
    <t>Расчет доплаты за работу в ночное время и нерабочие праздничные дни</t>
  </si>
  <si>
    <t>с 01.10.2020</t>
  </si>
  <si>
    <t>в 2021 году</t>
  </si>
  <si>
    <t>в 2022 году</t>
  </si>
  <si>
    <t>в 2023 году</t>
  </si>
  <si>
    <t>в 2024 году</t>
  </si>
  <si>
    <t>в 2025 году</t>
  </si>
  <si>
    <t>в 2026 году</t>
  </si>
  <si>
    <t>кол-во раб.дней в году при 5-дневной неделе</t>
  </si>
  <si>
    <t>дн.</t>
  </si>
  <si>
    <t>кол-во раб часов в день при 5-дневной неделе</t>
  </si>
  <si>
    <t>час</t>
  </si>
  <si>
    <t>кол-во укороченных дней в году (предпраздничных по 7 часов)</t>
  </si>
  <si>
    <t>расчет количества рабочих часов в году</t>
  </si>
  <si>
    <t>количество месяцев в году</t>
  </si>
  <si>
    <t>мес</t>
  </si>
  <si>
    <t>среднее количество рабочих часов в месяц</t>
  </si>
  <si>
    <t>размер ставки заработной платы сторожа 1 разряда</t>
  </si>
  <si>
    <t>оклад с 01.10.20=</t>
  </si>
  <si>
    <t>оклад с ув на 3% с 01.10.21=</t>
  </si>
  <si>
    <t>среднегод оклад=</t>
  </si>
  <si>
    <t>оклад с ув на 4% с 01.10.22=</t>
  </si>
  <si>
    <t>оклад с 01.10.22=</t>
  </si>
  <si>
    <t>оклад с ув на 5,5% с 01.10.23=</t>
  </si>
  <si>
    <t>оклад с 01.10.23=</t>
  </si>
  <si>
    <t>оклад с ув на 4% с 01.10.24=</t>
  </si>
  <si>
    <t>оклад с 01.10.24=</t>
  </si>
  <si>
    <t>оклад с ув на 4% с 01.10.25=</t>
  </si>
  <si>
    <t>оклад с 01.10.25=</t>
  </si>
  <si>
    <t>оклад с ув на 4% с 01.10.26=</t>
  </si>
  <si>
    <t>расчет стоимости 1 часа</t>
  </si>
  <si>
    <t>доплата за работу в ночные часы</t>
  </si>
  <si>
    <t>расчет доплаты за 1 час работы в ночное время</t>
  </si>
  <si>
    <t>доплата за работу в нерабочие праздничные дни</t>
  </si>
  <si>
    <t>расчет доплаты за 1 час работы в нерабочие праздничные дни</t>
  </si>
  <si>
    <t>количество календарных дней в году</t>
  </si>
  <si>
    <t>количество ночных часов работы в сутки (с 22.00 до 6.00)</t>
  </si>
  <si>
    <t>количество ночных часов в году</t>
  </si>
  <si>
    <t>в т.ч. в месяц на 1 ставку из 3-х</t>
  </si>
  <si>
    <t>расчет доплаты за работу в ночное время на 1 ставку в месяц</t>
  </si>
  <si>
    <t>количество нерабочих праздничных дней в году</t>
  </si>
  <si>
    <t>количество часов работы в сутки в нерабочий праздничный день</t>
  </si>
  <si>
    <t>количество часов работы в нерабочие праздничные дни в год (14 дн * 24 час)</t>
  </si>
  <si>
    <t>расчет доплаты за работу в праздничные дни на 1 ставку в месяц</t>
  </si>
  <si>
    <t>ИТОГО доплаты на 1 ставку в месяц</t>
  </si>
  <si>
    <t>ИТОГО % доплаты (доплата/ставка зарплаты)</t>
  </si>
  <si>
    <t xml:space="preserve">                или в коэффициенте</t>
  </si>
  <si>
    <t>коэфф</t>
  </si>
  <si>
    <t>на 3 ставки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</si>
</sst>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164" formatCode="_-* #,##0.00\ _₽_-;\-* #,##0.00\ _₽_-;_-* &quot;-&quot;??\ _₽_-;_-@_-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0.000"/>
    <numFmt numFmtId="169" formatCode="#,##0.0"/>
    <numFmt numFmtId="170" formatCode="#,##0.00_ ;[Red]\-#,##0.00\ "/>
    <numFmt numFmtId="171" formatCode="0.00000"/>
    <numFmt numFmtId="172" formatCode="0.0"/>
    <numFmt numFmtId="173" formatCode="[$-419]General"/>
    <numFmt numFmtId="174" formatCode="#,##0.00000"/>
    <numFmt numFmtId="175" formatCode="#,##0.0000000000"/>
    <numFmt numFmtId="176" formatCode="0.00000000"/>
    <numFmt numFmtId="177" formatCode="#,##0.000000"/>
    <numFmt numFmtId="178" formatCode="0.0000000000"/>
    <numFmt numFmtId="179" formatCode="#,##0.0_ ;[Red]\-#,##0.0\ "/>
    <numFmt numFmtId="180" formatCode="#,##0_ ;[Red]\-#,##0\ "/>
    <numFmt numFmtId="181" formatCode="#,##0.0000000000_ ;\-#,##0.0000000000\ "/>
    <numFmt numFmtId="182" formatCode="#,##0.0000000000_ ;[Red]\-#,##0.0000000000\ "/>
    <numFmt numFmtId="183" formatCode="#,##0.00000000_ ;[Red]\-#,##0.00000000\ "/>
    <numFmt numFmtId="184" formatCode="#,##0.00000_ ;[Red]\-#,##0.00000\ "/>
    <numFmt numFmtId="185" formatCode="#,##0.00_ ;[Red]\-#,##0.00,"/>
    <numFmt numFmtId="186" formatCode="0.000000000"/>
    <numFmt numFmtId="187" formatCode="#,##0.0000_ ;[Red]\-#,##0.0000\ "/>
  </numFmts>
  <fonts count="179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4"/>
      <name val="Times New Roman"/>
      <family val="1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1"/>
      <charset val="204"/>
    </font>
    <font>
      <sz val="9"/>
      <name val="Arial Cyr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2"/>
      <name val="Times New Roman"/>
      <family val="2"/>
      <charset val="204"/>
    </font>
    <font>
      <sz val="9"/>
      <name val="Times New Roman"/>
      <family val="1"/>
      <charset val="204"/>
    </font>
    <font>
      <sz val="11"/>
      <color indexed="8"/>
      <name val="Calibri"/>
      <family val="2"/>
      <charset val="1"/>
    </font>
    <font>
      <sz val="9"/>
      <color indexed="8"/>
      <name val="Times New Roman"/>
      <family val="2"/>
      <charset val="204"/>
    </font>
    <font>
      <b/>
      <sz val="11"/>
      <name val="Times New Roman"/>
      <family val="1"/>
      <charset val="204"/>
    </font>
    <font>
      <sz val="9"/>
      <name val="Times New Roman"/>
      <family val="2"/>
      <charset val="204"/>
    </font>
    <font>
      <sz val="9"/>
      <color indexed="10"/>
      <name val="Times New Roman"/>
      <family val="2"/>
      <charset val="204"/>
    </font>
    <font>
      <sz val="9"/>
      <color indexed="60"/>
      <name val="Times New Roman"/>
      <family val="2"/>
      <charset val="204"/>
    </font>
    <font>
      <b/>
      <sz val="12"/>
      <name val="Times New Roman"/>
      <family val="2"/>
      <charset val="204"/>
    </font>
    <font>
      <b/>
      <sz val="9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60"/>
      <name val="Times New Roman"/>
      <family val="1"/>
      <charset val="204"/>
    </font>
    <font>
      <sz val="9"/>
      <color indexed="6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8"/>
      <name val="Arial"/>
      <family val="2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  <charset val="204"/>
    </font>
    <font>
      <i/>
      <sz val="11"/>
      <color rgb="FF7F7F7F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9"/>
      <color theme="1"/>
      <name val="Calibri"/>
      <family val="2"/>
      <charset val="204"/>
      <scheme val="minor"/>
    </font>
    <font>
      <sz val="9"/>
      <color rgb="FF0070C0"/>
      <name val="Calibri"/>
      <family val="2"/>
      <charset val="204"/>
      <scheme val="minor"/>
    </font>
    <font>
      <sz val="8"/>
      <color rgb="FF0070C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7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8"/>
      <color rgb="FF0070C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12"/>
      <color rgb="FF0070C0"/>
      <name val="Times New Roman"/>
      <family val="2"/>
      <charset val="204"/>
    </font>
    <font>
      <b/>
      <sz val="8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i/>
      <sz val="9"/>
      <color rgb="FFC00000"/>
      <name val="Calibri"/>
      <family val="2"/>
      <charset val="204"/>
      <scheme val="minor"/>
    </font>
    <font>
      <i/>
      <sz val="11"/>
      <color rgb="FFC00000"/>
      <name val="Calibri"/>
      <family val="2"/>
      <charset val="204"/>
      <scheme val="minor"/>
    </font>
    <font>
      <i/>
      <sz val="8"/>
      <color rgb="FFC00000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b/>
      <sz val="9"/>
      <color rgb="FFC00000"/>
      <name val="Calibri"/>
      <family val="2"/>
      <charset val="204"/>
      <scheme val="minor"/>
    </font>
    <font>
      <sz val="12"/>
      <color rgb="FF7030A0"/>
      <name val="Times New Roman"/>
      <family val="1"/>
      <charset val="204"/>
    </font>
    <font>
      <b/>
      <sz val="12"/>
      <color rgb="FF0070C0"/>
      <name val="Times New Roman"/>
      <family val="2"/>
      <charset val="204"/>
    </font>
    <font>
      <b/>
      <sz val="12"/>
      <color rgb="FF0070C0"/>
      <name val="Times New Roman"/>
      <family val="1"/>
      <charset val="204"/>
    </font>
    <font>
      <b/>
      <sz val="12"/>
      <color rgb="FF7030A0"/>
      <name val="Times New Roman"/>
      <family val="1"/>
      <charset val="204"/>
    </font>
    <font>
      <b/>
      <sz val="11"/>
      <color rgb="FF7030A0"/>
      <name val="Times New Roman"/>
      <family val="1"/>
      <charset val="204"/>
    </font>
    <font>
      <sz val="9"/>
      <color rgb="FF0070C0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color rgb="FF0070C0"/>
      <name val="Times New Roman"/>
      <family val="1"/>
      <charset val="204"/>
    </font>
    <font>
      <b/>
      <sz val="9"/>
      <color rgb="FF7030A0"/>
      <name val="Times New Roman"/>
      <family val="1"/>
      <charset val="204"/>
    </font>
    <font>
      <b/>
      <sz val="9"/>
      <color theme="9" tint="-0.499984740745262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C0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9"/>
      <color rgb="FF7030A0"/>
      <name val="Calibri"/>
      <family val="2"/>
      <charset val="204"/>
      <scheme val="minor"/>
    </font>
    <font>
      <b/>
      <i/>
      <sz val="9"/>
      <color rgb="FFC00000"/>
      <name val="Calibri"/>
      <family val="2"/>
      <charset val="204"/>
      <scheme val="minor"/>
    </font>
    <font>
      <i/>
      <sz val="9"/>
      <color rgb="FF0070C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color rgb="FFFF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sz val="11"/>
      <color rgb="FF0070C0"/>
      <name val="Calibri"/>
      <family val="2"/>
      <charset val="204"/>
      <scheme val="minor"/>
    </font>
    <font>
      <sz val="9"/>
      <color rgb="FFFF0000"/>
      <name val="Times New Roman"/>
      <family val="2"/>
      <charset val="204"/>
    </font>
    <font>
      <sz val="9"/>
      <color theme="1"/>
      <name val="Times New Roman"/>
      <family val="2"/>
      <charset val="204"/>
    </font>
    <font>
      <b/>
      <sz val="8"/>
      <color rgb="FFC00000"/>
      <name val="Calibri"/>
      <family val="2"/>
      <charset val="204"/>
      <scheme val="minor"/>
    </font>
    <font>
      <b/>
      <sz val="10"/>
      <color rgb="FF0070C0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indexed="8"/>
      <name val="Calibri"/>
      <family val="2"/>
    </font>
    <font>
      <b/>
      <u/>
      <sz val="12"/>
      <name val="Times New Roman"/>
      <family val="1"/>
      <charset val="204"/>
    </font>
    <font>
      <sz val="8"/>
      <name val="Times New Roman"/>
      <family val="1"/>
      <charset val="204"/>
    </font>
    <font>
      <sz val="9"/>
      <color rgb="FFC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i/>
      <sz val="11"/>
      <color rgb="FF7F7F7F"/>
      <name val="Calibri"/>
      <family val="2"/>
      <charset val="204"/>
    </font>
    <font>
      <sz val="8"/>
      <name val="Arial"/>
      <family val="2"/>
      <charset val="204"/>
    </font>
    <font>
      <b/>
      <sz val="10"/>
      <name val="Arial Cyr"/>
      <family val="2"/>
      <charset val="204"/>
    </font>
    <font>
      <sz val="11"/>
      <color rgb="FFC00000"/>
      <name val="Calibri"/>
      <family val="2"/>
      <charset val="204"/>
      <scheme val="minor"/>
    </font>
    <font>
      <b/>
      <i/>
      <sz val="12"/>
      <name val="Times New Roman"/>
      <family val="1"/>
      <charset val="204"/>
    </font>
    <font>
      <b/>
      <sz val="10"/>
      <name val="Arial Cyr"/>
      <charset val="204"/>
    </font>
    <font>
      <sz val="12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8"/>
      <color rgb="FF0070C0"/>
      <name val="Arial"/>
      <family val="2"/>
    </font>
    <font>
      <sz val="11"/>
      <color rgb="FF7030A0"/>
      <name val="Calibri"/>
      <family val="2"/>
      <charset val="204"/>
      <scheme val="minor"/>
    </font>
    <font>
      <b/>
      <sz val="12"/>
      <color rgb="FF7030A0"/>
      <name val="Times New Roman"/>
      <family val="2"/>
      <charset val="204"/>
    </font>
    <font>
      <sz val="12"/>
      <color rgb="FF7030A0"/>
      <name val="Times New Roman"/>
      <family val="2"/>
      <charset val="204"/>
    </font>
    <font>
      <sz val="10"/>
      <color rgb="FFC00000"/>
      <name val="Times New Roman"/>
      <family val="1"/>
      <charset val="204"/>
    </font>
    <font>
      <b/>
      <sz val="11"/>
      <name val="Calibri"/>
      <family val="2"/>
      <charset val="204"/>
    </font>
    <font>
      <b/>
      <sz val="10"/>
      <name val="Calibri"/>
      <family val="2"/>
      <charset val="204"/>
    </font>
    <font>
      <b/>
      <sz val="12"/>
      <name val="Calibri"/>
      <family val="2"/>
      <charset val="204"/>
    </font>
    <font>
      <sz val="12"/>
      <color rgb="FFFF0000"/>
      <name val="Times New Roman"/>
      <family val="1"/>
      <charset val="204"/>
    </font>
    <font>
      <i/>
      <sz val="14"/>
      <name val="Times New Roman"/>
      <family val="1"/>
      <charset val="204"/>
    </font>
    <font>
      <b/>
      <u/>
      <sz val="14"/>
      <name val="Times New Roman"/>
      <family val="1"/>
      <charset val="204"/>
    </font>
    <font>
      <i/>
      <sz val="10"/>
      <name val="Times New Roman"/>
      <family val="1"/>
      <charset val="204"/>
    </font>
    <font>
      <i/>
      <u/>
      <sz val="10"/>
      <name val="Times New Roman"/>
      <family val="1"/>
      <charset val="204"/>
    </font>
    <font>
      <sz val="7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color indexed="21"/>
      <name val="Times New Roman"/>
      <family val="1"/>
      <charset val="204"/>
    </font>
    <font>
      <sz val="12"/>
      <color theme="4"/>
      <name val="Times New Roman"/>
      <family val="1"/>
      <charset val="204"/>
    </font>
    <font>
      <sz val="12"/>
      <name val="Arial Cyr"/>
      <charset val="204"/>
    </font>
    <font>
      <i/>
      <sz val="12"/>
      <name val="Arial Cyr"/>
      <charset val="204"/>
    </font>
    <font>
      <u/>
      <sz val="10"/>
      <name val="Times New Roman"/>
      <family val="1"/>
      <charset val="204"/>
    </font>
    <font>
      <sz val="12"/>
      <color rgb="FF3A3539"/>
      <name val="Times New Roman"/>
      <family val="1"/>
      <charset val="204"/>
    </font>
    <font>
      <sz val="11"/>
      <color rgb="FF000000"/>
      <name val="IBM Plex Sans"/>
      <family val="2"/>
    </font>
    <font>
      <sz val="10.5"/>
      <color theme="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2"/>
      <color rgb="FF0070C0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i/>
      <sz val="12"/>
      <color rgb="FF0070C0"/>
      <name val="Calibri"/>
      <family val="2"/>
      <charset val="204"/>
      <scheme val="minor"/>
    </font>
    <font>
      <b/>
      <i/>
      <sz val="12"/>
      <color rgb="FF0070C0"/>
      <name val="Calibri"/>
      <family val="2"/>
      <charset val="204"/>
      <scheme val="minor"/>
    </font>
    <font>
      <sz val="12"/>
      <color rgb="FF002060"/>
      <name val="Calibri"/>
      <family val="2"/>
      <charset val="204"/>
      <scheme val="minor"/>
    </font>
    <font>
      <i/>
      <sz val="12"/>
      <color rgb="FFC00000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sz val="9"/>
      <color theme="6" tint="-0.499984740745262"/>
      <name val="Times New Roman"/>
      <family val="1"/>
      <charset val="204"/>
    </font>
    <font>
      <i/>
      <sz val="10"/>
      <color theme="1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i/>
      <sz val="10"/>
      <color rgb="FF0070C0"/>
      <name val="Calibri"/>
      <family val="2"/>
      <charset val="204"/>
      <scheme val="minor"/>
    </font>
    <font>
      <i/>
      <sz val="9"/>
      <name val="Calibri"/>
      <family val="2"/>
      <charset val="204"/>
      <scheme val="minor"/>
    </font>
    <font>
      <i/>
      <sz val="9"/>
      <name val="Times New Roman"/>
      <family val="1"/>
      <charset val="204"/>
    </font>
    <font>
      <i/>
      <sz val="9"/>
      <color rgb="FF0070C0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i/>
      <sz val="11"/>
      <color rgb="FFC00000"/>
      <name val="Times New Roman"/>
      <family val="1"/>
      <charset val="204"/>
    </font>
    <font>
      <b/>
      <i/>
      <sz val="11"/>
      <color rgb="FFC00000"/>
      <name val="Times New Roman"/>
      <family val="1"/>
      <charset val="204"/>
    </font>
    <font>
      <i/>
      <sz val="9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i/>
      <sz val="11"/>
      <color rgb="FF0070C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b/>
      <sz val="14"/>
      <color rgb="FF0070C0"/>
      <name val="Calibri"/>
      <family val="2"/>
      <charset val="204"/>
      <scheme val="minor"/>
    </font>
  </fonts>
  <fills count="5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EDAF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rgb="FFFFCC00"/>
      </patternFill>
    </fill>
    <fill>
      <patternFill patternType="solid">
        <fgColor rgb="FFFFFF9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3FFD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0FEB8"/>
        <bgColor indexed="64"/>
      </patternFill>
    </fill>
    <fill>
      <patternFill patternType="solid">
        <fgColor rgb="FFF38DCF"/>
        <bgColor indexed="64"/>
      </patternFill>
    </fill>
    <fill>
      <patternFill patternType="solid">
        <fgColor rgb="FFD6FFC1"/>
        <bgColor indexed="64"/>
      </patternFill>
    </fill>
    <fill>
      <patternFill patternType="solid">
        <fgColor rgb="FF92FF5B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C000"/>
        <bgColor indexed="64"/>
      </patternFill>
    </fill>
  </fills>
  <borders count="9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544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1" fillId="0" borderId="0"/>
    <xf numFmtId="173" fontId="50" fillId="0" borderId="0"/>
    <xf numFmtId="0" fontId="1" fillId="0" borderId="0"/>
    <xf numFmtId="0" fontId="1" fillId="0" borderId="0"/>
    <xf numFmtId="0" fontId="32" fillId="0" borderId="0"/>
    <xf numFmtId="0" fontId="50" fillId="0" borderId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1" fillId="0" borderId="4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5" applyNumberFormat="0" applyFill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4" fillId="21" borderId="7" applyNumberFormat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2" fillId="0" borderId="0"/>
    <xf numFmtId="0" fontId="2" fillId="0" borderId="0"/>
    <xf numFmtId="0" fontId="27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52" fillId="0" borderId="0"/>
    <xf numFmtId="0" fontId="46" fillId="0" borderId="0"/>
    <xf numFmtId="0" fontId="3" fillId="0" borderId="0"/>
    <xf numFmtId="0" fontId="1" fillId="0" borderId="0"/>
    <xf numFmtId="0" fontId="49" fillId="0" borderId="0"/>
    <xf numFmtId="0" fontId="53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54" fillId="0" borderId="0"/>
    <xf numFmtId="0" fontId="49" fillId="0" borderId="0"/>
    <xf numFmtId="0" fontId="2" fillId="0" borderId="0"/>
    <xf numFmtId="0" fontId="54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5" fillId="0" borderId="0"/>
    <xf numFmtId="0" fontId="3" fillId="0" borderId="0"/>
    <xf numFmtId="0" fontId="3" fillId="0" borderId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5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26" fillId="0" borderId="0">
      <alignment vertical="top"/>
    </xf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53" fillId="0" borderId="0" applyFont="0" applyFill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21" fillId="4" borderId="0" applyNumberFormat="0" applyBorder="0" applyAlignment="0" applyProtection="0"/>
    <xf numFmtId="0" fontId="49" fillId="0" borderId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7" fillId="7" borderId="1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8" fillId="20" borderId="2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2" fillId="0" borderId="0"/>
    <xf numFmtId="0" fontId="2" fillId="0" borderId="0"/>
    <xf numFmtId="0" fontId="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12" fillId="0" borderId="0"/>
    <xf numFmtId="0" fontId="25" fillId="0" borderId="0"/>
    <xf numFmtId="0" fontId="49" fillId="0" borderId="0"/>
    <xf numFmtId="0" fontId="5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13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46" fillId="0" borderId="0"/>
    <xf numFmtId="0" fontId="121" fillId="0" borderId="0"/>
    <xf numFmtId="0" fontId="46" fillId="0" borderId="0"/>
    <xf numFmtId="0" fontId="2" fillId="0" borderId="0"/>
    <xf numFmtId="0" fontId="9" fillId="20" borderId="31" applyNumberFormat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49" fillId="0" borderId="0"/>
    <xf numFmtId="0" fontId="22" fillId="0" borderId="0">
      <alignment vertical="top"/>
    </xf>
    <xf numFmtId="0" fontId="7" fillId="7" borderId="26" applyNumberFormat="0" applyAlignment="0" applyProtection="0"/>
    <xf numFmtId="0" fontId="7" fillId="7" borderId="26" applyNumberFormat="0" applyAlignment="0" applyProtection="0"/>
    <xf numFmtId="0" fontId="7" fillId="7" borderId="26" applyNumberFormat="0" applyAlignment="0" applyProtection="0"/>
    <xf numFmtId="0" fontId="7" fillId="7" borderId="26" applyNumberFormat="0" applyAlignment="0" applyProtection="0"/>
    <xf numFmtId="0" fontId="7" fillId="7" borderId="26" applyNumberFormat="0" applyAlignment="0" applyProtection="0"/>
    <xf numFmtId="0" fontId="7" fillId="7" borderId="26" applyNumberFormat="0" applyAlignment="0" applyProtection="0"/>
    <xf numFmtId="0" fontId="7" fillId="7" borderId="26" applyNumberFormat="0" applyAlignment="0" applyProtection="0"/>
    <xf numFmtId="0" fontId="7" fillId="7" borderId="26" applyNumberFormat="0" applyAlignment="0" applyProtection="0"/>
    <xf numFmtId="0" fontId="7" fillId="7" borderId="26" applyNumberFormat="0" applyAlignment="0" applyProtection="0"/>
    <xf numFmtId="0" fontId="8" fillId="20" borderId="27" applyNumberFormat="0" applyAlignment="0" applyProtection="0"/>
    <xf numFmtId="0" fontId="8" fillId="20" borderId="27" applyNumberFormat="0" applyAlignment="0" applyProtection="0"/>
    <xf numFmtId="0" fontId="8" fillId="20" borderId="27" applyNumberFormat="0" applyAlignment="0" applyProtection="0"/>
    <xf numFmtId="0" fontId="8" fillId="20" borderId="27" applyNumberFormat="0" applyAlignment="0" applyProtection="0"/>
    <xf numFmtId="0" fontId="8" fillId="20" borderId="27" applyNumberFormat="0" applyAlignment="0" applyProtection="0"/>
    <xf numFmtId="0" fontId="8" fillId="20" borderId="27" applyNumberFormat="0" applyAlignment="0" applyProtection="0"/>
    <xf numFmtId="0" fontId="8" fillId="20" borderId="27" applyNumberFormat="0" applyAlignment="0" applyProtection="0"/>
    <xf numFmtId="0" fontId="8" fillId="20" borderId="27" applyNumberFormat="0" applyAlignment="0" applyProtection="0"/>
    <xf numFmtId="0" fontId="8" fillId="20" borderId="27" applyNumberFormat="0" applyAlignment="0" applyProtection="0"/>
    <xf numFmtId="0" fontId="9" fillId="20" borderId="26" applyNumberFormat="0" applyAlignment="0" applyProtection="0"/>
    <xf numFmtId="0" fontId="9" fillId="20" borderId="26" applyNumberFormat="0" applyAlignment="0" applyProtection="0"/>
    <xf numFmtId="0" fontId="9" fillId="20" borderId="26" applyNumberFormat="0" applyAlignment="0" applyProtection="0"/>
    <xf numFmtId="0" fontId="9" fillId="20" borderId="26" applyNumberFormat="0" applyAlignment="0" applyProtection="0"/>
    <xf numFmtId="0" fontId="9" fillId="20" borderId="26" applyNumberFormat="0" applyAlignment="0" applyProtection="0"/>
    <xf numFmtId="0" fontId="9" fillId="20" borderId="26" applyNumberFormat="0" applyAlignment="0" applyProtection="0"/>
    <xf numFmtId="0" fontId="9" fillId="20" borderId="26" applyNumberFormat="0" applyAlignment="0" applyProtection="0"/>
    <xf numFmtId="0" fontId="9" fillId="20" borderId="26" applyNumberFormat="0" applyAlignment="0" applyProtection="0"/>
    <xf numFmtId="0" fontId="9" fillId="20" borderId="26" applyNumberFormat="0" applyAlignment="0" applyProtection="0"/>
    <xf numFmtId="0" fontId="13" fillId="0" borderId="28" applyNumberFormat="0" applyFill="0" applyAlignment="0" applyProtection="0"/>
    <xf numFmtId="0" fontId="13" fillId="0" borderId="28" applyNumberFormat="0" applyFill="0" applyAlignment="0" applyProtection="0"/>
    <xf numFmtId="0" fontId="13" fillId="0" borderId="28" applyNumberFormat="0" applyFill="0" applyAlignment="0" applyProtection="0"/>
    <xf numFmtId="0" fontId="13" fillId="0" borderId="28" applyNumberFormat="0" applyFill="0" applyAlignment="0" applyProtection="0"/>
    <xf numFmtId="0" fontId="13" fillId="0" borderId="28" applyNumberFormat="0" applyFill="0" applyAlignment="0" applyProtection="0"/>
    <xf numFmtId="0" fontId="13" fillId="0" borderId="28" applyNumberFormat="0" applyFill="0" applyAlignment="0" applyProtection="0"/>
    <xf numFmtId="0" fontId="13" fillId="0" borderId="28" applyNumberFormat="0" applyFill="0" applyAlignment="0" applyProtection="0"/>
    <xf numFmtId="0" fontId="13" fillId="0" borderId="28" applyNumberFormat="0" applyFill="0" applyAlignment="0" applyProtection="0"/>
    <xf numFmtId="0" fontId="13" fillId="0" borderId="28" applyNumberFormat="0" applyFill="0" applyAlignment="0" applyProtection="0"/>
    <xf numFmtId="0" fontId="22" fillId="0" borderId="0">
      <alignment vertical="top"/>
    </xf>
    <xf numFmtId="0" fontId="1" fillId="23" borderId="29" applyNumberFormat="0" applyFont="0" applyAlignment="0" applyProtection="0"/>
    <xf numFmtId="0" fontId="1" fillId="23" borderId="29" applyNumberFormat="0" applyFont="0" applyAlignment="0" applyProtection="0"/>
    <xf numFmtId="0" fontId="1" fillId="23" borderId="29" applyNumberFormat="0" applyFont="0" applyAlignment="0" applyProtection="0"/>
    <xf numFmtId="0" fontId="1" fillId="23" borderId="29" applyNumberFormat="0" applyFont="0" applyAlignment="0" applyProtection="0"/>
    <xf numFmtId="0" fontId="1" fillId="23" borderId="29" applyNumberFormat="0" applyFont="0" applyAlignment="0" applyProtection="0"/>
    <xf numFmtId="0" fontId="1" fillId="23" borderId="29" applyNumberFormat="0" applyFont="0" applyAlignment="0" applyProtection="0"/>
    <xf numFmtId="0" fontId="1" fillId="23" borderId="29" applyNumberFormat="0" applyFont="0" applyAlignment="0" applyProtection="0"/>
    <xf numFmtId="0" fontId="1" fillId="23" borderId="29" applyNumberFormat="0" applyFont="0" applyAlignment="0" applyProtection="0"/>
    <xf numFmtId="0" fontId="1" fillId="23" borderId="29" applyNumberFormat="0" applyFon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49" fillId="0" borderId="0"/>
    <xf numFmtId="0" fontId="2" fillId="0" borderId="0"/>
    <xf numFmtId="0" fontId="46" fillId="0" borderId="0"/>
    <xf numFmtId="0" fontId="121" fillId="0" borderId="0"/>
    <xf numFmtId="0" fontId="46" fillId="0" borderId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22" fillId="0" borderId="0">
      <alignment vertical="top"/>
    </xf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120" fillId="0" borderId="0" applyNumberFormat="0" applyFill="0" applyBorder="0" applyAlignment="0" applyProtection="0"/>
    <xf numFmtId="0" fontId="49" fillId="0" borderId="0"/>
    <xf numFmtId="0" fontId="7" fillId="7" borderId="31" applyNumberFormat="0" applyAlignment="0" applyProtection="0"/>
    <xf numFmtId="0" fontId="7" fillId="7" borderId="31" applyNumberFormat="0" applyAlignment="0" applyProtection="0"/>
    <xf numFmtId="0" fontId="52" fillId="0" borderId="0"/>
    <xf numFmtId="0" fontId="7" fillId="7" borderId="31" applyNumberFormat="0" applyAlignment="0" applyProtection="0"/>
    <xf numFmtId="0" fontId="7" fillId="7" borderId="31" applyNumberFormat="0" applyAlignment="0" applyProtection="0"/>
    <xf numFmtId="0" fontId="8" fillId="20" borderId="32" applyNumberFormat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9" fillId="20" borderId="31" applyNumberFormat="0" applyAlignment="0" applyProtection="0"/>
    <xf numFmtId="0" fontId="7" fillId="7" borderId="31" applyNumberFormat="0" applyAlignment="0" applyProtection="0"/>
    <xf numFmtId="0" fontId="2" fillId="0" borderId="0"/>
    <xf numFmtId="0" fontId="46" fillId="0" borderId="0"/>
    <xf numFmtId="0" fontId="121" fillId="0" borderId="0"/>
    <xf numFmtId="0" fontId="46" fillId="0" borderId="0"/>
    <xf numFmtId="0" fontId="46" fillId="0" borderId="0"/>
    <xf numFmtId="0" fontId="8" fillId="20" borderId="32" applyNumberFormat="0" applyAlignment="0" applyProtection="0"/>
    <xf numFmtId="0" fontId="121" fillId="0" borderId="0"/>
    <xf numFmtId="0" fontId="121" fillId="0" borderId="0"/>
    <xf numFmtId="0" fontId="46" fillId="0" borderId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167" fontId="49" fillId="0" borderId="0" applyFont="0" applyFill="0" applyBorder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49" fillId="0" borderId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167" fontId="49" fillId="0" borderId="0" applyFont="0" applyFill="0" applyBorder="0" applyAlignment="0" applyProtection="0"/>
    <xf numFmtId="0" fontId="49" fillId="0" borderId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7" fillId="7" borderId="31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8" fillId="20" borderId="32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9" fillId="20" borderId="31" applyNumberFormat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3" fillId="0" borderId="33" applyNumberFormat="0" applyFill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0" fontId="1" fillId="23" borderId="34" applyNumberFormat="0" applyFont="0" applyAlignment="0" applyProtection="0"/>
    <xf numFmtId="167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7" fontId="49" fillId="0" borderId="0" applyFont="0" applyFill="0" applyBorder="0" applyAlignment="0" applyProtection="0"/>
    <xf numFmtId="172" fontId="52" fillId="0" borderId="0" applyFont="0" applyFill="0" applyBorder="0" applyAlignment="0" applyProtection="0"/>
    <xf numFmtId="172" fontId="52" fillId="0" borderId="0" applyFont="0" applyFill="0" applyBorder="0" applyAlignment="0" applyProtection="0"/>
    <xf numFmtId="172" fontId="52" fillId="0" borderId="0" applyFont="0" applyFill="0" applyBorder="0" applyAlignment="0" applyProtection="0"/>
    <xf numFmtId="172" fontId="52" fillId="0" borderId="0" applyFont="0" applyFill="0" applyBorder="0" applyAlignment="0" applyProtection="0"/>
    <xf numFmtId="172" fontId="52" fillId="0" borderId="0" applyFont="0" applyFill="0" applyBorder="0" applyAlignment="0" applyProtection="0"/>
    <xf numFmtId="164" fontId="52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1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6" fillId="0" borderId="0"/>
    <xf numFmtId="0" fontId="46" fillId="0" borderId="0"/>
    <xf numFmtId="0" fontId="126" fillId="0" borderId="0"/>
    <xf numFmtId="0" fontId="49" fillId="0" borderId="0"/>
    <xf numFmtId="0" fontId="49" fillId="0" borderId="0"/>
    <xf numFmtId="0" fontId="49" fillId="0" borderId="0"/>
  </cellStyleXfs>
  <cellXfs count="1261">
    <xf numFmtId="0" fontId="0" fillId="0" borderId="0" xfId="0"/>
    <xf numFmtId="0" fontId="0" fillId="0" borderId="0" xfId="0" applyAlignment="1">
      <alignment vertical="top"/>
    </xf>
    <xf numFmtId="0" fontId="56" fillId="0" borderId="10" xfId="0" applyFont="1" applyBorder="1" applyAlignment="1">
      <alignment horizontal="center" vertical="top" wrapText="1"/>
    </xf>
    <xf numFmtId="0" fontId="57" fillId="24" borderId="10" xfId="0" applyFont="1" applyFill="1" applyBorder="1" applyAlignment="1">
      <alignment horizontal="center" vertical="top" wrapText="1"/>
    </xf>
    <xf numFmtId="0" fontId="56" fillId="0" borderId="10" xfId="0" applyFont="1" applyBorder="1" applyAlignment="1">
      <alignment vertical="top" wrapText="1"/>
    </xf>
    <xf numFmtId="49" fontId="56" fillId="0" borderId="10" xfId="0" applyNumberFormat="1" applyFont="1" applyBorder="1" applyAlignment="1">
      <alignment vertical="top" wrapText="1"/>
    </xf>
    <xf numFmtId="49" fontId="56" fillId="25" borderId="10" xfId="0" applyNumberFormat="1" applyFont="1" applyFill="1" applyBorder="1" applyAlignment="1">
      <alignment vertical="top" wrapText="1"/>
    </xf>
    <xf numFmtId="0" fontId="56" fillId="25" borderId="10" xfId="0" applyFont="1" applyFill="1" applyBorder="1" applyAlignment="1">
      <alignment vertical="top" wrapText="1"/>
    </xf>
    <xf numFmtId="3" fontId="56" fillId="25" borderId="10" xfId="0" applyNumberFormat="1" applyFont="1" applyFill="1" applyBorder="1" applyAlignment="1">
      <alignment vertical="top" wrapText="1"/>
    </xf>
    <xf numFmtId="0" fontId="57" fillId="0" borderId="0" xfId="0" applyFont="1" applyAlignment="1">
      <alignment vertical="top" wrapText="1"/>
    </xf>
    <xf numFmtId="3" fontId="58" fillId="0" borderId="10" xfId="0" applyNumberFormat="1" applyFont="1" applyBorder="1" applyAlignment="1">
      <alignment horizontal="center" vertical="top"/>
    </xf>
    <xf numFmtId="0" fontId="56" fillId="26" borderId="10" xfId="0" applyFont="1" applyFill="1" applyBorder="1" applyAlignment="1">
      <alignment vertical="top" wrapText="1"/>
    </xf>
    <xf numFmtId="0" fontId="56" fillId="0" borderId="10" xfId="0" applyFont="1" applyFill="1" applyBorder="1" applyAlignment="1">
      <alignment vertical="top" wrapText="1"/>
    </xf>
    <xf numFmtId="0" fontId="59" fillId="0" borderId="10" xfId="0" applyFont="1" applyBorder="1" applyAlignment="1">
      <alignment vertical="top" wrapText="1"/>
    </xf>
    <xf numFmtId="49" fontId="59" fillId="25" borderId="10" xfId="0" applyNumberFormat="1" applyFont="1" applyFill="1" applyBorder="1" applyAlignment="1">
      <alignment vertical="top" wrapText="1"/>
    </xf>
    <xf numFmtId="0" fontId="59" fillId="25" borderId="10" xfId="0" applyFont="1" applyFill="1" applyBorder="1" applyAlignment="1">
      <alignment vertical="top" wrapText="1"/>
    </xf>
    <xf numFmtId="49" fontId="59" fillId="26" borderId="10" xfId="0" applyNumberFormat="1" applyFont="1" applyFill="1" applyBorder="1" applyAlignment="1">
      <alignment vertical="top" wrapText="1"/>
    </xf>
    <xf numFmtId="0" fontId="59" fillId="26" borderId="10" xfId="0" applyFont="1" applyFill="1" applyBorder="1" applyAlignment="1">
      <alignment vertical="top" wrapText="1"/>
    </xf>
    <xf numFmtId="49" fontId="59" fillId="0" borderId="10" xfId="0" applyNumberFormat="1" applyFont="1" applyBorder="1" applyAlignment="1">
      <alignment vertical="top" wrapText="1"/>
    </xf>
    <xf numFmtId="3" fontId="60" fillId="0" borderId="10" xfId="0" applyNumberFormat="1" applyFont="1" applyBorder="1" applyAlignment="1">
      <alignment vertical="top" wrapText="1"/>
    </xf>
    <xf numFmtId="0" fontId="57" fillId="0" borderId="10" xfId="0" applyFont="1" applyBorder="1" applyAlignment="1">
      <alignment vertical="top"/>
    </xf>
    <xf numFmtId="0" fontId="57" fillId="0" borderId="10" xfId="0" applyFont="1" applyBorder="1" applyAlignment="1">
      <alignment vertical="top" wrapText="1"/>
    </xf>
    <xf numFmtId="1" fontId="57" fillId="0" borderId="10" xfId="0" applyNumberFormat="1" applyFont="1" applyBorder="1" applyAlignment="1">
      <alignment vertical="top"/>
    </xf>
    <xf numFmtId="171" fontId="61" fillId="0" borderId="10" xfId="0" applyNumberFormat="1" applyFont="1" applyBorder="1" applyAlignment="1">
      <alignment vertical="top"/>
    </xf>
    <xf numFmtId="1" fontId="62" fillId="0" borderId="10" xfId="0" applyNumberFormat="1" applyFont="1" applyBorder="1" applyAlignment="1">
      <alignment vertical="top"/>
    </xf>
    <xf numFmtId="0" fontId="57" fillId="0" borderId="10" xfId="0" applyFont="1" applyFill="1" applyBorder="1" applyAlignment="1">
      <alignment vertical="top" wrapText="1"/>
    </xf>
    <xf numFmtId="0" fontId="57" fillId="0" borderId="10" xfId="0" applyFont="1" applyFill="1" applyBorder="1" applyAlignment="1">
      <alignment vertical="top"/>
    </xf>
    <xf numFmtId="1" fontId="57" fillId="0" borderId="10" xfId="0" applyNumberFormat="1" applyFont="1" applyFill="1" applyBorder="1" applyAlignment="1">
      <alignment vertical="top"/>
    </xf>
    <xf numFmtId="171" fontId="61" fillId="0" borderId="10" xfId="0" applyNumberFormat="1" applyFont="1" applyFill="1" applyBorder="1" applyAlignment="1">
      <alignment vertical="top"/>
    </xf>
    <xf numFmtId="172" fontId="57" fillId="0" borderId="10" xfId="0" applyNumberFormat="1" applyFont="1" applyBorder="1" applyAlignment="1">
      <alignment vertical="top"/>
    </xf>
    <xf numFmtId="4" fontId="57" fillId="0" borderId="10" xfId="0" applyNumberFormat="1" applyFont="1" applyBorder="1" applyAlignment="1">
      <alignment vertical="top"/>
    </xf>
    <xf numFmtId="0" fontId="57" fillId="25" borderId="11" xfId="0" applyFont="1" applyFill="1" applyBorder="1" applyAlignment="1">
      <alignment horizontal="center" vertical="top" wrapText="1"/>
    </xf>
    <xf numFmtId="0" fontId="0" fillId="0" borderId="10" xfId="0" applyFont="1" applyBorder="1" applyAlignment="1">
      <alignment horizontal="center" vertical="top" wrapText="1"/>
    </xf>
    <xf numFmtId="0" fontId="57" fillId="0" borderId="12" xfId="0" applyFont="1" applyBorder="1" applyAlignment="1">
      <alignment vertical="top" wrapText="1"/>
    </xf>
    <xf numFmtId="0" fontId="63" fillId="0" borderId="10" xfId="0" applyFont="1" applyBorder="1" applyAlignment="1">
      <alignment horizontal="center" vertical="top" wrapText="1"/>
    </xf>
    <xf numFmtId="0" fontId="64" fillId="0" borderId="10" xfId="0" applyFont="1" applyBorder="1" applyAlignment="1">
      <alignment vertical="top"/>
    </xf>
    <xf numFmtId="1" fontId="64" fillId="0" borderId="10" xfId="0" applyNumberFormat="1" applyFont="1" applyBorder="1" applyAlignment="1">
      <alignment vertical="top"/>
    </xf>
    <xf numFmtId="171" fontId="65" fillId="0" borderId="10" xfId="0" applyNumberFormat="1" applyFont="1" applyBorder="1" applyAlignment="1">
      <alignment vertical="top"/>
    </xf>
    <xf numFmtId="4" fontId="65" fillId="0" borderId="10" xfId="0" applyNumberFormat="1" applyFont="1" applyBorder="1" applyAlignment="1">
      <alignment vertical="top"/>
    </xf>
    <xf numFmtId="0" fontId="64" fillId="0" borderId="12" xfId="0" applyFont="1" applyBorder="1" applyAlignment="1">
      <alignment vertical="top" wrapText="1"/>
    </xf>
    <xf numFmtId="0" fontId="57" fillId="0" borderId="12" xfId="0" applyFont="1" applyFill="1" applyBorder="1" applyAlignment="1">
      <alignment vertical="top" wrapText="1"/>
    </xf>
    <xf numFmtId="0" fontId="0" fillId="0" borderId="10" xfId="0" applyBorder="1" applyAlignment="1">
      <alignment vertical="top"/>
    </xf>
    <xf numFmtId="0" fontId="0" fillId="24" borderId="10" xfId="0" applyFill="1" applyBorder="1" applyAlignment="1">
      <alignment vertical="top"/>
    </xf>
    <xf numFmtId="0" fontId="57" fillId="24" borderId="10" xfId="0" applyFont="1" applyFill="1" applyBorder="1" applyAlignment="1">
      <alignment vertical="top" wrapText="1"/>
    </xf>
    <xf numFmtId="16" fontId="0" fillId="0" borderId="10" xfId="0" applyNumberFormat="1" applyBorder="1" applyAlignment="1">
      <alignment vertical="top"/>
    </xf>
    <xf numFmtId="49" fontId="56" fillId="0" borderId="10" xfId="0" applyNumberFormat="1" applyFont="1" applyFill="1" applyBorder="1" applyAlignment="1">
      <alignment vertical="top" wrapText="1"/>
    </xf>
    <xf numFmtId="0" fontId="0" fillId="25" borderId="10" xfId="0" applyFill="1" applyBorder="1" applyAlignment="1">
      <alignment vertical="top"/>
    </xf>
    <xf numFmtId="0" fontId="57" fillId="25" borderId="10" xfId="0" applyFont="1" applyFill="1" applyBorder="1" applyAlignment="1">
      <alignment vertical="top" wrapText="1"/>
    </xf>
    <xf numFmtId="0" fontId="64" fillId="25" borderId="12" xfId="0" applyFont="1" applyFill="1" applyBorder="1" applyAlignment="1">
      <alignment vertical="top" wrapText="1"/>
    </xf>
    <xf numFmtId="0" fontId="64" fillId="25" borderId="10" xfId="0" applyFont="1" applyFill="1" applyBorder="1" applyAlignment="1">
      <alignment vertical="top"/>
    </xf>
    <xf numFmtId="1" fontId="64" fillId="25" borderId="10" xfId="0" applyNumberFormat="1" applyFont="1" applyFill="1" applyBorder="1" applyAlignment="1">
      <alignment vertical="top"/>
    </xf>
    <xf numFmtId="171" fontId="65" fillId="25" borderId="10" xfId="0" applyNumberFormat="1" applyFont="1" applyFill="1" applyBorder="1" applyAlignment="1">
      <alignment vertical="top"/>
    </xf>
    <xf numFmtId="4" fontId="65" fillId="25" borderId="10" xfId="0" applyNumberFormat="1" applyFont="1" applyFill="1" applyBorder="1" applyAlignment="1">
      <alignment vertical="top"/>
    </xf>
    <xf numFmtId="0" fontId="57" fillId="24" borderId="10" xfId="0" applyFont="1" applyFill="1" applyBorder="1" applyAlignment="1">
      <alignment horizontal="center" vertical="top"/>
    </xf>
    <xf numFmtId="0" fontId="64" fillId="24" borderId="12" xfId="0" applyFont="1" applyFill="1" applyBorder="1" applyAlignment="1">
      <alignment vertical="top" wrapText="1"/>
    </xf>
    <xf numFmtId="0" fontId="64" fillId="24" borderId="10" xfId="0" applyFont="1" applyFill="1" applyBorder="1" applyAlignment="1">
      <alignment vertical="top"/>
    </xf>
    <xf numFmtId="1" fontId="64" fillId="24" borderId="10" xfId="0" applyNumberFormat="1" applyFont="1" applyFill="1" applyBorder="1" applyAlignment="1">
      <alignment vertical="top"/>
    </xf>
    <xf numFmtId="171" fontId="65" fillId="24" borderId="10" xfId="0" applyNumberFormat="1" applyFont="1" applyFill="1" applyBorder="1" applyAlignment="1">
      <alignment vertical="top"/>
    </xf>
    <xf numFmtId="0" fontId="57" fillId="27" borderId="11" xfId="0" applyFont="1" applyFill="1" applyBorder="1" applyAlignment="1">
      <alignment horizontal="center" vertical="top" wrapText="1"/>
    </xf>
    <xf numFmtId="0" fontId="66" fillId="26" borderId="10" xfId="0" applyFont="1" applyFill="1" applyBorder="1" applyAlignment="1">
      <alignment vertical="top" wrapText="1"/>
    </xf>
    <xf numFmtId="49" fontId="67" fillId="26" borderId="10" xfId="0" applyNumberFormat="1" applyFont="1" applyFill="1" applyBorder="1" applyAlignment="1">
      <alignment vertical="top" wrapText="1"/>
    </xf>
    <xf numFmtId="0" fontId="67" fillId="26" borderId="10" xfId="0" applyFont="1" applyFill="1" applyBorder="1" applyAlignment="1">
      <alignment vertical="top" wrapText="1"/>
    </xf>
    <xf numFmtId="0" fontId="59" fillId="0" borderId="13" xfId="0" applyFont="1" applyFill="1" applyBorder="1" applyAlignment="1">
      <alignment vertical="top" wrapText="1"/>
    </xf>
    <xf numFmtId="0" fontId="59" fillId="0" borderId="14" xfId="0" applyFont="1" applyFill="1" applyBorder="1" applyAlignment="1">
      <alignment vertical="top" wrapText="1"/>
    </xf>
    <xf numFmtId="0" fontId="59" fillId="0" borderId="12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58" fillId="0" borderId="0" xfId="0" applyFont="1" applyAlignment="1">
      <alignment vertical="top"/>
    </xf>
    <xf numFmtId="3" fontId="30" fillId="0" borderId="10" xfId="343" applyNumberFormat="1" applyFont="1" applyBorder="1" applyAlignment="1">
      <alignment horizontal="center" vertical="top"/>
    </xf>
    <xf numFmtId="3" fontId="68" fillId="0" borderId="10" xfId="343" applyNumberFormat="1" applyFont="1" applyBorder="1" applyAlignment="1">
      <alignment horizontal="center" vertical="top"/>
    </xf>
    <xf numFmtId="169" fontId="30" fillId="0" borderId="10" xfId="343" applyNumberFormat="1" applyFont="1" applyBorder="1" applyAlignment="1">
      <alignment horizontal="center" vertical="top"/>
    </xf>
    <xf numFmtId="3" fontId="58" fillId="0" borderId="0" xfId="0" applyNumberFormat="1" applyFont="1" applyAlignment="1">
      <alignment vertical="top"/>
    </xf>
    <xf numFmtId="4" fontId="60" fillId="0" borderId="10" xfId="0" applyNumberFormat="1" applyFont="1" applyBorder="1" applyAlignment="1">
      <alignment vertical="top" wrapText="1"/>
    </xf>
    <xf numFmtId="4" fontId="69" fillId="0" borderId="10" xfId="0" applyNumberFormat="1" applyFont="1" applyBorder="1" applyAlignment="1">
      <alignment vertical="top"/>
    </xf>
    <xf numFmtId="4" fontId="65" fillId="24" borderId="10" xfId="0" applyNumberFormat="1" applyFont="1" applyFill="1" applyBorder="1" applyAlignment="1">
      <alignment vertical="top"/>
    </xf>
    <xf numFmtId="4" fontId="56" fillId="0" borderId="10" xfId="0" applyNumberFormat="1" applyFont="1" applyFill="1" applyBorder="1" applyAlignment="1">
      <alignment vertical="top" wrapText="1"/>
    </xf>
    <xf numFmtId="4" fontId="56" fillId="25" borderId="10" xfId="0" applyNumberFormat="1" applyFont="1" applyFill="1" applyBorder="1" applyAlignment="1">
      <alignment vertical="top" wrapText="1"/>
    </xf>
    <xf numFmtId="4" fontId="60" fillId="0" borderId="10" xfId="0" applyNumberFormat="1" applyFont="1" applyFill="1" applyBorder="1" applyAlignment="1">
      <alignment vertical="top" wrapText="1"/>
    </xf>
    <xf numFmtId="4" fontId="66" fillId="26" borderId="10" xfId="0" applyNumberFormat="1" applyFont="1" applyFill="1" applyBorder="1" applyAlignment="1">
      <alignment vertical="top" wrapText="1"/>
    </xf>
    <xf numFmtId="4" fontId="56" fillId="26" borderId="10" xfId="0" applyNumberFormat="1" applyFont="1" applyFill="1" applyBorder="1" applyAlignment="1">
      <alignment vertical="top" wrapText="1"/>
    </xf>
    <xf numFmtId="4" fontId="59" fillId="26" borderId="10" xfId="0" applyNumberFormat="1" applyFont="1" applyFill="1" applyBorder="1" applyAlignment="1">
      <alignment vertical="top" wrapText="1"/>
    </xf>
    <xf numFmtId="4" fontId="70" fillId="25" borderId="10" xfId="0" applyNumberFormat="1" applyFont="1" applyFill="1" applyBorder="1" applyAlignment="1">
      <alignment vertical="top" wrapText="1"/>
    </xf>
    <xf numFmtId="0" fontId="0" fillId="28" borderId="0" xfId="0" applyFill="1" applyAlignment="1">
      <alignment vertical="top"/>
    </xf>
    <xf numFmtId="0" fontId="65" fillId="0" borderId="10" xfId="0" applyFont="1" applyBorder="1" applyAlignment="1">
      <alignment vertical="top"/>
    </xf>
    <xf numFmtId="0" fontId="61" fillId="0" borderId="10" xfId="0" applyFont="1" applyBorder="1" applyAlignment="1">
      <alignment vertical="top" wrapText="1"/>
    </xf>
    <xf numFmtId="0" fontId="56" fillId="25" borderId="13" xfId="0" applyFont="1" applyFill="1" applyBorder="1" applyAlignment="1">
      <alignment vertical="top"/>
    </xf>
    <xf numFmtId="0" fontId="56" fillId="25" borderId="12" xfId="0" applyFont="1" applyFill="1" applyBorder="1" applyAlignment="1">
      <alignment vertical="top"/>
    </xf>
    <xf numFmtId="0" fontId="56" fillId="0" borderId="13" xfId="0" applyFont="1" applyFill="1" applyBorder="1" applyAlignment="1">
      <alignment vertical="top"/>
    </xf>
    <xf numFmtId="0" fontId="56" fillId="0" borderId="12" xfId="0" applyFont="1" applyFill="1" applyBorder="1" applyAlignment="1">
      <alignment vertical="top"/>
    </xf>
    <xf numFmtId="0" fontId="66" fillId="26" borderId="13" xfId="0" applyFont="1" applyFill="1" applyBorder="1" applyAlignment="1">
      <alignment vertical="top"/>
    </xf>
    <xf numFmtId="0" fontId="66" fillId="26" borderId="12" xfId="0" applyFont="1" applyFill="1" applyBorder="1" applyAlignment="1">
      <alignment vertical="top"/>
    </xf>
    <xf numFmtId="0" fontId="56" fillId="0" borderId="13" xfId="0" applyFont="1" applyBorder="1" applyAlignment="1">
      <alignment vertical="top"/>
    </xf>
    <xf numFmtId="0" fontId="56" fillId="0" borderId="12" xfId="0" applyFont="1" applyBorder="1" applyAlignment="1">
      <alignment vertical="top"/>
    </xf>
    <xf numFmtId="0" fontId="56" fillId="26" borderId="13" xfId="0" applyFont="1" applyFill="1" applyBorder="1" applyAlignment="1">
      <alignment vertical="top"/>
    </xf>
    <xf numFmtId="0" fontId="56" fillId="26" borderId="12" xfId="0" applyFont="1" applyFill="1" applyBorder="1" applyAlignment="1">
      <alignment vertical="top"/>
    </xf>
    <xf numFmtId="0" fontId="59" fillId="26" borderId="13" xfId="0" applyFont="1" applyFill="1" applyBorder="1" applyAlignment="1">
      <alignment vertical="top"/>
    </xf>
    <xf numFmtId="0" fontId="59" fillId="26" borderId="12" xfId="0" applyFont="1" applyFill="1" applyBorder="1" applyAlignment="1">
      <alignment vertical="top"/>
    </xf>
    <xf numFmtId="0" fontId="59" fillId="25" borderId="13" xfId="0" applyFont="1" applyFill="1" applyBorder="1" applyAlignment="1">
      <alignment vertical="top"/>
    </xf>
    <xf numFmtId="0" fontId="59" fillId="25" borderId="12" xfId="0" applyFont="1" applyFill="1" applyBorder="1" applyAlignment="1">
      <alignment vertical="top"/>
    </xf>
    <xf numFmtId="4" fontId="70" fillId="26" borderId="10" xfId="0" applyNumberFormat="1" applyFont="1" applyFill="1" applyBorder="1" applyAlignment="1">
      <alignment vertical="top" wrapText="1"/>
    </xf>
    <xf numFmtId="0" fontId="0" fillId="0" borderId="13" xfId="0" applyFont="1" applyBorder="1" applyAlignment="1">
      <alignment horizontal="center" vertical="top" wrapText="1"/>
    </xf>
    <xf numFmtId="171" fontId="60" fillId="0" borderId="10" xfId="0" applyNumberFormat="1" applyFont="1" applyBorder="1" applyAlignment="1">
      <alignment vertical="top" wrapText="1"/>
    </xf>
    <xf numFmtId="49" fontId="71" fillId="0" borderId="10" xfId="0" applyNumberFormat="1" applyFont="1" applyBorder="1" applyAlignment="1">
      <alignment vertical="top" wrapText="1"/>
    </xf>
    <xf numFmtId="0" fontId="71" fillId="0" borderId="10" xfId="0" applyFont="1" applyBorder="1" applyAlignment="1">
      <alignment vertical="top" wrapText="1"/>
    </xf>
    <xf numFmtId="3" fontId="71" fillId="0" borderId="10" xfId="0" applyNumberFormat="1" applyFont="1" applyBorder="1" applyAlignment="1">
      <alignment vertical="top" wrapText="1"/>
    </xf>
    <xf numFmtId="0" fontId="72" fillId="0" borderId="0" xfId="0" applyFont="1" applyAlignment="1">
      <alignment vertical="top"/>
    </xf>
    <xf numFmtId="0" fontId="73" fillId="24" borderId="10" xfId="0" applyFont="1" applyFill="1" applyBorder="1" applyAlignment="1">
      <alignment horizontal="center" vertical="top" wrapText="1"/>
    </xf>
    <xf numFmtId="3" fontId="71" fillId="25" borderId="10" xfId="0" applyNumberFormat="1" applyFont="1" applyFill="1" applyBorder="1" applyAlignment="1">
      <alignment vertical="top" wrapText="1"/>
    </xf>
    <xf numFmtId="0" fontId="73" fillId="25" borderId="11" xfId="0" applyFont="1" applyFill="1" applyBorder="1" applyAlignment="1">
      <alignment horizontal="center" vertical="top" wrapText="1"/>
    </xf>
    <xf numFmtId="4" fontId="71" fillId="0" borderId="10" xfId="0" applyNumberFormat="1" applyFont="1" applyBorder="1" applyAlignment="1">
      <alignment vertical="top" wrapText="1"/>
    </xf>
    <xf numFmtId="174" fontId="60" fillId="0" borderId="10" xfId="0" applyNumberFormat="1" applyFont="1" applyBorder="1" applyAlignment="1">
      <alignment vertical="top" wrapText="1"/>
    </xf>
    <xf numFmtId="174" fontId="71" fillId="0" borderId="10" xfId="0" applyNumberFormat="1" applyFont="1" applyBorder="1" applyAlignment="1">
      <alignment vertical="top" wrapText="1"/>
    </xf>
    <xf numFmtId="176" fontId="60" fillId="0" borderId="10" xfId="0" applyNumberFormat="1" applyFont="1" applyBorder="1" applyAlignment="1">
      <alignment vertical="top" wrapText="1"/>
    </xf>
    <xf numFmtId="176" fontId="71" fillId="0" borderId="10" xfId="0" applyNumberFormat="1" applyFont="1" applyBorder="1" applyAlignment="1">
      <alignment vertical="top" wrapText="1"/>
    </xf>
    <xf numFmtId="0" fontId="74" fillId="0" borderId="0" xfId="0" applyFont="1" applyAlignment="1">
      <alignment vertical="top"/>
    </xf>
    <xf numFmtId="1" fontId="76" fillId="0" borderId="0" xfId="0" applyNumberFormat="1" applyFont="1" applyAlignment="1">
      <alignment horizontal="center" vertical="top"/>
    </xf>
    <xf numFmtId="1" fontId="76" fillId="29" borderId="13" xfId="0" applyNumberFormat="1" applyFont="1" applyFill="1" applyBorder="1" applyAlignment="1">
      <alignment horizontal="center" vertical="top"/>
    </xf>
    <xf numFmtId="0" fontId="80" fillId="0" borderId="0" xfId="0" applyFont="1" applyAlignment="1">
      <alignment vertical="top"/>
    </xf>
    <xf numFmtId="168" fontId="58" fillId="0" borderId="10" xfId="0" applyNumberFormat="1" applyFont="1" applyBorder="1" applyAlignment="1">
      <alignment horizontal="center" vertical="top"/>
    </xf>
    <xf numFmtId="171" fontId="58" fillId="0" borderId="10" xfId="0" applyNumberFormat="1" applyFont="1" applyBorder="1" applyAlignment="1">
      <alignment horizontal="center" vertical="top"/>
    </xf>
    <xf numFmtId="171" fontId="81" fillId="0" borderId="10" xfId="0" applyNumberFormat="1" applyFont="1" applyBorder="1" applyAlignment="1">
      <alignment horizontal="center" vertical="top"/>
    </xf>
    <xf numFmtId="0" fontId="59" fillId="0" borderId="10" xfId="0" applyFont="1" applyFill="1" applyBorder="1" applyAlignment="1">
      <alignment vertical="top" wrapText="1"/>
    </xf>
    <xf numFmtId="0" fontId="82" fillId="0" borderId="10" xfId="0" applyFont="1" applyFill="1" applyBorder="1" applyAlignment="1">
      <alignment vertical="top" wrapText="1"/>
    </xf>
    <xf numFmtId="171" fontId="81" fillId="0" borderId="13" xfId="0" applyNumberFormat="1" applyFont="1" applyBorder="1" applyAlignment="1">
      <alignment horizontal="center" vertical="top"/>
    </xf>
    <xf numFmtId="3" fontId="83" fillId="0" borderId="10" xfId="0" applyNumberFormat="1" applyFont="1" applyBorder="1" applyAlignment="1">
      <alignment vertical="top"/>
    </xf>
    <xf numFmtId="169" fontId="38" fillId="0" borderId="10" xfId="343" applyNumberFormat="1" applyFont="1" applyBorder="1" applyAlignment="1">
      <alignment horizontal="center" vertical="top"/>
    </xf>
    <xf numFmtId="3" fontId="74" fillId="0" borderId="10" xfId="0" applyNumberFormat="1" applyFont="1" applyBorder="1" applyAlignment="1">
      <alignment horizontal="center" vertical="top"/>
    </xf>
    <xf numFmtId="4" fontId="84" fillId="0" borderId="10" xfId="343" applyNumberFormat="1" applyFont="1" applyBorder="1" applyAlignment="1">
      <alignment horizontal="center" vertical="top"/>
    </xf>
    <xf numFmtId="168" fontId="74" fillId="0" borderId="10" xfId="0" applyNumberFormat="1" applyFont="1" applyBorder="1" applyAlignment="1">
      <alignment horizontal="center" vertical="top"/>
    </xf>
    <xf numFmtId="171" fontId="85" fillId="0" borderId="10" xfId="0" applyNumberFormat="1" applyFont="1" applyBorder="1" applyAlignment="1">
      <alignment horizontal="center" vertical="top"/>
    </xf>
    <xf numFmtId="171" fontId="74" fillId="0" borderId="10" xfId="0" applyNumberFormat="1" applyFont="1" applyBorder="1" applyAlignment="1">
      <alignment horizontal="center" vertical="top"/>
    </xf>
    <xf numFmtId="171" fontId="85" fillId="0" borderId="13" xfId="0" applyNumberFormat="1" applyFont="1" applyBorder="1" applyAlignment="1">
      <alignment horizontal="center" vertical="top"/>
    </xf>
    <xf numFmtId="3" fontId="86" fillId="0" borderId="10" xfId="0" applyNumberFormat="1" applyFont="1" applyBorder="1" applyAlignment="1">
      <alignment vertical="top"/>
    </xf>
    <xf numFmtId="3" fontId="38" fillId="0" borderId="10" xfId="343" applyNumberFormat="1" applyFont="1" applyBorder="1" applyAlignment="1">
      <alignment horizontal="center" vertical="top"/>
    </xf>
    <xf numFmtId="3" fontId="84" fillId="0" borderId="10" xfId="343" applyNumberFormat="1" applyFont="1" applyBorder="1" applyAlignment="1">
      <alignment horizontal="center" vertical="top"/>
    </xf>
    <xf numFmtId="1" fontId="76" fillId="25" borderId="10" xfId="0" applyNumberFormat="1" applyFont="1" applyFill="1" applyBorder="1" applyAlignment="1">
      <alignment horizontal="center" vertical="top" wrapText="1"/>
    </xf>
    <xf numFmtId="4" fontId="85" fillId="29" borderId="10" xfId="0" applyNumberFormat="1" applyFont="1" applyFill="1" applyBorder="1" applyAlignment="1">
      <alignment horizontal="center" vertical="top"/>
    </xf>
    <xf numFmtId="4" fontId="81" fillId="29" borderId="10" xfId="0" applyNumberFormat="1" applyFont="1" applyFill="1" applyBorder="1" applyAlignment="1">
      <alignment horizontal="center" vertical="top"/>
    </xf>
    <xf numFmtId="0" fontId="58" fillId="0" borderId="11" xfId="0" applyFont="1" applyBorder="1" applyAlignment="1">
      <alignment vertical="top"/>
    </xf>
    <xf numFmtId="4" fontId="86" fillId="0" borderId="10" xfId="0" applyNumberFormat="1" applyFont="1" applyBorder="1" applyAlignment="1">
      <alignment vertical="top"/>
    </xf>
    <xf numFmtId="4" fontId="83" fillId="0" borderId="10" xfId="0" applyNumberFormat="1" applyFont="1" applyBorder="1" applyAlignment="1">
      <alignment vertical="top"/>
    </xf>
    <xf numFmtId="174" fontId="86" fillId="0" borderId="10" xfId="0" applyNumberFormat="1" applyFont="1" applyBorder="1" applyAlignment="1">
      <alignment vertical="top"/>
    </xf>
    <xf numFmtId="174" fontId="83" fillId="0" borderId="10" xfId="0" applyNumberFormat="1" applyFont="1" applyBorder="1" applyAlignment="1">
      <alignment vertical="top"/>
    </xf>
    <xf numFmtId="177" fontId="86" fillId="0" borderId="10" xfId="0" applyNumberFormat="1" applyFont="1" applyBorder="1" applyAlignment="1">
      <alignment vertical="top"/>
    </xf>
    <xf numFmtId="177" fontId="83" fillId="0" borderId="10" xfId="0" applyNumberFormat="1" applyFont="1" applyBorder="1" applyAlignment="1">
      <alignment vertical="top"/>
    </xf>
    <xf numFmtId="0" fontId="76" fillId="0" borderId="10" xfId="0" applyFont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center" vertical="top"/>
    </xf>
    <xf numFmtId="0" fontId="75" fillId="29" borderId="10" xfId="0" applyFont="1" applyFill="1" applyBorder="1" applyAlignment="1">
      <alignment horizontal="center" vertical="top" wrapText="1"/>
    </xf>
    <xf numFmtId="170" fontId="0" fillId="0" borderId="0" xfId="0" applyNumberFormat="1" applyAlignment="1">
      <alignment vertical="top"/>
    </xf>
    <xf numFmtId="4" fontId="84" fillId="0" borderId="10" xfId="343" applyNumberFormat="1" applyFont="1" applyFill="1" applyBorder="1" applyAlignment="1">
      <alignment horizontal="center" vertical="top"/>
    </xf>
    <xf numFmtId="4" fontId="68" fillId="0" borderId="10" xfId="343" applyNumberFormat="1" applyFont="1" applyFill="1" applyBorder="1" applyAlignment="1">
      <alignment horizontal="center" vertical="top"/>
    </xf>
    <xf numFmtId="3" fontId="86" fillId="29" borderId="10" xfId="0" applyNumberFormat="1" applyFont="1" applyFill="1" applyBorder="1" applyAlignment="1">
      <alignment vertical="top"/>
    </xf>
    <xf numFmtId="3" fontId="83" fillId="29" borderId="10" xfId="0" applyNumberFormat="1" applyFont="1" applyFill="1" applyBorder="1" applyAlignment="1">
      <alignment vertical="top"/>
    </xf>
    <xf numFmtId="0" fontId="56" fillId="35" borderId="10" xfId="0" applyFont="1" applyFill="1" applyBorder="1" applyAlignment="1">
      <alignment vertical="top" wrapText="1"/>
    </xf>
    <xf numFmtId="4" fontId="56" fillId="35" borderId="10" xfId="0" applyNumberFormat="1" applyFont="1" applyFill="1" applyBorder="1" applyAlignment="1">
      <alignment vertical="top" wrapText="1"/>
    </xf>
    <xf numFmtId="0" fontId="56" fillId="35" borderId="10" xfId="0" applyFont="1" applyFill="1" applyBorder="1" applyAlignment="1">
      <alignment horizontal="center" vertical="top" wrapText="1"/>
    </xf>
    <xf numFmtId="3" fontId="38" fillId="35" borderId="10" xfId="343" applyNumberFormat="1" applyFont="1" applyFill="1" applyBorder="1" applyAlignment="1">
      <alignment horizontal="center" vertical="top"/>
    </xf>
    <xf numFmtId="3" fontId="30" fillId="35" borderId="10" xfId="343" applyNumberFormat="1" applyFont="1" applyFill="1" applyBorder="1" applyAlignment="1">
      <alignment horizontal="center" vertical="top"/>
    </xf>
    <xf numFmtId="3" fontId="74" fillId="35" borderId="10" xfId="0" applyNumberFormat="1" applyFont="1" applyFill="1" applyBorder="1" applyAlignment="1">
      <alignment horizontal="center" vertical="top"/>
    </xf>
    <xf numFmtId="3" fontId="58" fillId="35" borderId="10" xfId="0" applyNumberFormat="1" applyFont="1" applyFill="1" applyBorder="1" applyAlignment="1">
      <alignment horizontal="center" vertical="top"/>
    </xf>
    <xf numFmtId="4" fontId="5" fillId="35" borderId="10" xfId="0" applyNumberFormat="1" applyFont="1" applyFill="1" applyBorder="1" applyAlignment="1">
      <alignment vertical="top"/>
    </xf>
    <xf numFmtId="4" fontId="4" fillId="35" borderId="10" xfId="0" applyNumberFormat="1" applyFont="1" applyFill="1" applyBorder="1" applyAlignment="1">
      <alignment vertical="top"/>
    </xf>
    <xf numFmtId="4" fontId="90" fillId="0" borderId="10" xfId="0" applyNumberFormat="1" applyFont="1" applyFill="1" applyBorder="1" applyAlignment="1">
      <alignment horizontal="center" vertical="top"/>
    </xf>
    <xf numFmtId="169" fontId="39" fillId="0" borderId="10" xfId="343" applyNumberFormat="1" applyFont="1" applyFill="1" applyBorder="1" applyAlignment="1">
      <alignment horizontal="center" vertical="top"/>
    </xf>
    <xf numFmtId="3" fontId="39" fillId="0" borderId="10" xfId="343" applyNumberFormat="1" applyFont="1" applyFill="1" applyBorder="1" applyAlignment="1">
      <alignment horizontal="center" vertical="top"/>
    </xf>
    <xf numFmtId="3" fontId="90" fillId="0" borderId="10" xfId="343" applyNumberFormat="1" applyFont="1" applyFill="1" applyBorder="1" applyAlignment="1">
      <alignment horizontal="center" vertical="top"/>
    </xf>
    <xf numFmtId="4" fontId="88" fillId="0" borderId="10" xfId="0" applyNumberFormat="1" applyFont="1" applyFill="1" applyBorder="1" applyAlignment="1">
      <alignment horizontal="center" vertical="top"/>
    </xf>
    <xf numFmtId="3" fontId="89" fillId="0" borderId="10" xfId="0" applyNumberFormat="1" applyFont="1" applyFill="1" applyBorder="1" applyAlignment="1">
      <alignment horizontal="center" vertical="top"/>
    </xf>
    <xf numFmtId="168" fontId="89" fillId="0" borderId="10" xfId="0" applyNumberFormat="1" applyFont="1" applyFill="1" applyBorder="1" applyAlignment="1">
      <alignment horizontal="center" vertical="top"/>
    </xf>
    <xf numFmtId="171" fontId="90" fillId="0" borderId="10" xfId="0" applyNumberFormat="1" applyFont="1" applyFill="1" applyBorder="1" applyAlignment="1">
      <alignment horizontal="center" vertical="top"/>
    </xf>
    <xf numFmtId="171" fontId="89" fillId="0" borderId="10" xfId="0" applyNumberFormat="1" applyFont="1" applyFill="1" applyBorder="1" applyAlignment="1">
      <alignment horizontal="center" vertical="top"/>
    </xf>
    <xf numFmtId="171" fontId="90" fillId="0" borderId="13" xfId="0" applyNumberFormat="1" applyFont="1" applyFill="1" applyBorder="1" applyAlignment="1">
      <alignment horizontal="center" vertical="top"/>
    </xf>
    <xf numFmtId="3" fontId="88" fillId="0" borderId="10" xfId="0" applyNumberFormat="1" applyFont="1" applyFill="1" applyBorder="1" applyAlignment="1">
      <alignment vertical="top"/>
    </xf>
    <xf numFmtId="4" fontId="91" fillId="0" borderId="10" xfId="0" applyNumberFormat="1" applyFont="1" applyFill="1" applyBorder="1" applyAlignment="1">
      <alignment vertical="top"/>
    </xf>
    <xf numFmtId="177" fontId="91" fillId="0" borderId="10" xfId="0" applyNumberFormat="1" applyFont="1" applyFill="1" applyBorder="1" applyAlignment="1">
      <alignment vertical="top"/>
    </xf>
    <xf numFmtId="3" fontId="91" fillId="0" borderId="10" xfId="0" applyNumberFormat="1" applyFont="1" applyFill="1" applyBorder="1" applyAlignment="1">
      <alignment vertical="top"/>
    </xf>
    <xf numFmtId="174" fontId="91" fillId="0" borderId="10" xfId="0" applyNumberFormat="1" applyFont="1" applyFill="1" applyBorder="1" applyAlignment="1">
      <alignment vertical="top"/>
    </xf>
    <xf numFmtId="0" fontId="78" fillId="0" borderId="0" xfId="0" applyFont="1" applyFill="1" applyAlignment="1">
      <alignment vertical="top"/>
    </xf>
    <xf numFmtId="3" fontId="92" fillId="0" borderId="0" xfId="0" applyNumberFormat="1" applyFont="1" applyFill="1" applyAlignment="1">
      <alignment vertical="top"/>
    </xf>
    <xf numFmtId="4" fontId="60" fillId="35" borderId="10" xfId="0" applyNumberFormat="1" applyFont="1" applyFill="1" applyBorder="1" applyAlignment="1">
      <alignment vertical="top" wrapText="1"/>
    </xf>
    <xf numFmtId="0" fontId="93" fillId="0" borderId="10" xfId="0" applyFont="1" applyBorder="1" applyAlignment="1">
      <alignment horizontal="center" vertical="top" wrapText="1"/>
    </xf>
    <xf numFmtId="0" fontId="0" fillId="0" borderId="18" xfId="0" applyBorder="1" applyAlignment="1">
      <alignment vertical="top" wrapText="1"/>
    </xf>
    <xf numFmtId="0" fontId="0" fillId="0" borderId="19" xfId="0" applyBorder="1" applyAlignment="1">
      <alignment vertical="top" wrapText="1"/>
    </xf>
    <xf numFmtId="0" fontId="0" fillId="0" borderId="20" xfId="0" applyBorder="1" applyAlignment="1">
      <alignment vertical="top" wrapText="1"/>
    </xf>
    <xf numFmtId="0" fontId="96" fillId="37" borderId="14" xfId="0" applyFont="1" applyFill="1" applyBorder="1" applyAlignment="1">
      <alignment vertical="top" wrapText="1"/>
    </xf>
    <xf numFmtId="0" fontId="96" fillId="37" borderId="12" xfId="0" applyFont="1" applyFill="1" applyBorder="1" applyAlignment="1">
      <alignment vertical="top" wrapText="1"/>
    </xf>
    <xf numFmtId="0" fontId="0" fillId="0" borderId="11" xfId="0" applyBorder="1" applyAlignment="1">
      <alignment vertical="top" wrapText="1"/>
    </xf>
    <xf numFmtId="0" fontId="0" fillId="0" borderId="16" xfId="0" applyBorder="1" applyAlignment="1">
      <alignment vertical="top" wrapText="1"/>
    </xf>
    <xf numFmtId="0" fontId="0" fillId="0" borderId="21" xfId="0" applyBorder="1" applyAlignment="1">
      <alignment vertical="top" wrapText="1"/>
    </xf>
    <xf numFmtId="0" fontId="57" fillId="24" borderId="14" xfId="0" applyFont="1" applyFill="1" applyBorder="1" applyAlignment="1">
      <alignment vertical="top" wrapText="1"/>
    </xf>
    <xf numFmtId="0" fontId="57" fillId="24" borderId="13" xfId="0" applyFont="1" applyFill="1" applyBorder="1" applyAlignment="1">
      <alignment vertical="top" wrapText="1"/>
    </xf>
    <xf numFmtId="0" fontId="57" fillId="24" borderId="12" xfId="0" applyFont="1" applyFill="1" applyBorder="1" applyAlignment="1">
      <alignment vertical="top" wrapText="1"/>
    </xf>
    <xf numFmtId="0" fontId="97" fillId="33" borderId="10" xfId="0" applyFont="1" applyFill="1" applyBorder="1" applyAlignment="1">
      <alignment vertical="center" wrapText="1"/>
    </xf>
    <xf numFmtId="0" fontId="59" fillId="0" borderId="0" xfId="0" applyFont="1" applyFill="1" applyBorder="1" applyAlignment="1">
      <alignment vertical="center" wrapText="1"/>
    </xf>
    <xf numFmtId="0" fontId="59" fillId="26" borderId="13" xfId="0" applyFont="1" applyFill="1" applyBorder="1" applyAlignment="1">
      <alignment vertical="top" wrapText="1"/>
    </xf>
    <xf numFmtId="0" fontId="59" fillId="26" borderId="12" xfId="0" applyFont="1" applyFill="1" applyBorder="1" applyAlignment="1">
      <alignment vertical="top" wrapText="1"/>
    </xf>
    <xf numFmtId="4" fontId="67" fillId="26" borderId="10" xfId="0" applyNumberFormat="1" applyFont="1" applyFill="1" applyBorder="1" applyAlignment="1">
      <alignment horizontal="center" vertical="top" wrapText="1"/>
    </xf>
    <xf numFmtId="0" fontId="56" fillId="0" borderId="13" xfId="0" applyFont="1" applyFill="1" applyBorder="1" applyAlignment="1">
      <alignment vertical="top" wrapText="1"/>
    </xf>
    <xf numFmtId="4" fontId="60" fillId="0" borderId="12" xfId="0" applyNumberFormat="1" applyFont="1" applyBorder="1" applyAlignment="1">
      <alignment vertical="top" wrapText="1"/>
    </xf>
    <xf numFmtId="49" fontId="56" fillId="0" borderId="14" xfId="0" applyNumberFormat="1" applyFont="1" applyFill="1" applyBorder="1" applyAlignment="1">
      <alignment vertical="top" wrapText="1"/>
    </xf>
    <xf numFmtId="0" fontId="56" fillId="0" borderId="14" xfId="0" applyFont="1" applyFill="1" applyBorder="1" applyAlignment="1">
      <alignment vertical="top" wrapText="1"/>
    </xf>
    <xf numFmtId="4" fontId="60" fillId="0" borderId="14" xfId="0" applyNumberFormat="1" applyFont="1" applyFill="1" applyBorder="1" applyAlignment="1">
      <alignment vertical="top" wrapText="1"/>
    </xf>
    <xf numFmtId="4" fontId="56" fillId="0" borderId="14" xfId="0" applyNumberFormat="1" applyFont="1" applyFill="1" applyBorder="1" applyAlignment="1">
      <alignment vertical="top" wrapText="1"/>
    </xf>
    <xf numFmtId="49" fontId="59" fillId="26" borderId="18" xfId="0" applyNumberFormat="1" applyFont="1" applyFill="1" applyBorder="1" applyAlignment="1">
      <alignment vertical="top" wrapText="1"/>
    </xf>
    <xf numFmtId="4" fontId="70" fillId="26" borderId="18" xfId="0" applyNumberFormat="1" applyFont="1" applyFill="1" applyBorder="1" applyAlignment="1">
      <alignment vertical="top" wrapText="1"/>
    </xf>
    <xf numFmtId="4" fontId="67" fillId="26" borderId="18" xfId="0" applyNumberFormat="1" applyFont="1" applyFill="1" applyBorder="1" applyAlignment="1">
      <alignment vertical="top" wrapText="1"/>
    </xf>
    <xf numFmtId="0" fontId="56" fillId="26" borderId="12" xfId="0" applyFont="1" applyFill="1" applyBorder="1" applyAlignment="1">
      <alignment vertical="top" wrapText="1"/>
    </xf>
    <xf numFmtId="49" fontId="56" fillId="26" borderId="10" xfId="0" applyNumberFormat="1" applyFont="1" applyFill="1" applyBorder="1" applyAlignment="1">
      <alignment vertical="top" wrapText="1"/>
    </xf>
    <xf numFmtId="0" fontId="56" fillId="26" borderId="13" xfId="0" applyFont="1" applyFill="1" applyBorder="1" applyAlignment="1">
      <alignment vertical="top" wrapText="1"/>
    </xf>
    <xf numFmtId="175" fontId="60" fillId="26" borderId="10" xfId="0" applyNumberFormat="1" applyFont="1" applyFill="1" applyBorder="1" applyAlignment="1">
      <alignment vertical="top" wrapText="1"/>
    </xf>
    <xf numFmtId="0" fontId="99" fillId="0" borderId="13" xfId="0" applyFont="1" applyFill="1" applyBorder="1" applyAlignment="1">
      <alignment vertical="top" wrapText="1"/>
    </xf>
    <xf numFmtId="49" fontId="99" fillId="0" borderId="10" xfId="0" applyNumberFormat="1" applyFont="1" applyFill="1" applyBorder="1" applyAlignment="1">
      <alignment vertical="top" wrapText="1"/>
    </xf>
    <xf numFmtId="0" fontId="99" fillId="0" borderId="12" xfId="0" applyFont="1" applyFill="1" applyBorder="1" applyAlignment="1">
      <alignment vertical="top" wrapText="1"/>
    </xf>
    <xf numFmtId="4" fontId="99" fillId="0" borderId="10" xfId="0" applyNumberFormat="1" applyFont="1" applyFill="1" applyBorder="1" applyAlignment="1">
      <alignment vertical="top" wrapText="1"/>
    </xf>
    <xf numFmtId="49" fontId="59" fillId="26" borderId="11" xfId="0" applyNumberFormat="1" applyFont="1" applyFill="1" applyBorder="1" applyAlignment="1">
      <alignment vertical="top" wrapText="1"/>
    </xf>
    <xf numFmtId="4" fontId="70" fillId="26" borderId="11" xfId="0" applyNumberFormat="1" applyFont="1" applyFill="1" applyBorder="1" applyAlignment="1">
      <alignment vertical="top" wrapText="1"/>
    </xf>
    <xf numFmtId="4" fontId="67" fillId="26" borderId="11" xfId="0" applyNumberFormat="1" applyFont="1" applyFill="1" applyBorder="1" applyAlignment="1">
      <alignment vertical="top" wrapText="1"/>
    </xf>
    <xf numFmtId="4" fontId="67" fillId="35" borderId="11" xfId="0" applyNumberFormat="1" applyFont="1" applyFill="1" applyBorder="1" applyAlignment="1">
      <alignment vertical="top" wrapText="1"/>
    </xf>
    <xf numFmtId="4" fontId="67" fillId="26" borderId="10" xfId="0" applyNumberFormat="1" applyFont="1" applyFill="1" applyBorder="1" applyAlignment="1">
      <alignment vertical="top" wrapText="1"/>
    </xf>
    <xf numFmtId="175" fontId="60" fillId="0" borderId="10" xfId="0" applyNumberFormat="1" applyFont="1" applyFill="1" applyBorder="1" applyAlignment="1">
      <alignment vertical="top" wrapText="1"/>
    </xf>
    <xf numFmtId="3" fontId="60" fillId="35" borderId="10" xfId="0" applyNumberFormat="1" applyFont="1" applyFill="1" applyBorder="1" applyAlignment="1">
      <alignment vertical="top" wrapText="1"/>
    </xf>
    <xf numFmtId="3" fontId="100" fillId="0" borderId="10" xfId="0" applyNumberFormat="1" applyFont="1" applyBorder="1" applyAlignment="1">
      <alignment vertical="top" wrapText="1"/>
    </xf>
    <xf numFmtId="0" fontId="60" fillId="0" borderId="10" xfId="0" applyFont="1" applyBorder="1" applyAlignment="1">
      <alignment vertical="top" wrapText="1"/>
    </xf>
    <xf numFmtId="0" fontId="105" fillId="0" borderId="10" xfId="0" applyFont="1" applyFill="1" applyBorder="1" applyAlignment="1">
      <alignment horizontal="center" vertical="top" wrapText="1"/>
    </xf>
    <xf numFmtId="0" fontId="106" fillId="0" borderId="10" xfId="0" applyFont="1" applyFill="1" applyBorder="1" applyAlignment="1">
      <alignment horizontal="center" vertical="top" wrapText="1"/>
    </xf>
    <xf numFmtId="3" fontId="84" fillId="35" borderId="10" xfId="343" applyNumberFormat="1" applyFont="1" applyFill="1" applyBorder="1" applyAlignment="1">
      <alignment horizontal="center" vertical="top"/>
    </xf>
    <xf numFmtId="3" fontId="68" fillId="35" borderId="10" xfId="343" applyNumberFormat="1" applyFont="1" applyFill="1" applyBorder="1" applyAlignment="1">
      <alignment horizontal="center" vertical="top"/>
    </xf>
    <xf numFmtId="4" fontId="84" fillId="35" borderId="10" xfId="343" applyNumberFormat="1" applyFont="1" applyFill="1" applyBorder="1" applyAlignment="1">
      <alignment horizontal="center" vertical="top"/>
    </xf>
    <xf numFmtId="4" fontId="68" fillId="35" borderId="10" xfId="343" applyNumberFormat="1" applyFont="1" applyFill="1" applyBorder="1" applyAlignment="1">
      <alignment horizontal="center" vertical="top"/>
    </xf>
    <xf numFmtId="4" fontId="70" fillId="35" borderId="11" xfId="0" applyNumberFormat="1" applyFont="1" applyFill="1" applyBorder="1" applyAlignment="1">
      <alignment vertical="top" wrapText="1"/>
    </xf>
    <xf numFmtId="0" fontId="93" fillId="0" borderId="0" xfId="0" applyFont="1" applyAlignment="1">
      <alignment vertical="top"/>
    </xf>
    <xf numFmtId="0" fontId="93" fillId="28" borderId="0" xfId="0" applyFont="1" applyFill="1" applyAlignment="1">
      <alignment vertical="top"/>
    </xf>
    <xf numFmtId="170" fontId="93" fillId="0" borderId="0" xfId="0" applyNumberFormat="1" applyFont="1" applyAlignment="1">
      <alignment vertical="top"/>
    </xf>
    <xf numFmtId="170" fontId="0" fillId="28" borderId="0" xfId="0" applyNumberFormat="1" applyFill="1" applyAlignment="1">
      <alignment vertical="top"/>
    </xf>
    <xf numFmtId="0" fontId="57" fillId="24" borderId="12" xfId="0" applyFont="1" applyFill="1" applyBorder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13" xfId="0" applyBorder="1" applyAlignment="1">
      <alignment horizontal="center" vertical="top" wrapText="1"/>
    </xf>
    <xf numFmtId="0" fontId="0" fillId="0" borderId="0" xfId="0" applyFill="1" applyAlignment="1">
      <alignment vertical="top"/>
    </xf>
    <xf numFmtId="0" fontId="64" fillId="25" borderId="13" xfId="0" applyFont="1" applyFill="1" applyBorder="1" applyAlignment="1">
      <alignment vertical="top" wrapText="1"/>
    </xf>
    <xf numFmtId="0" fontId="57" fillId="36" borderId="12" xfId="0" applyFont="1" applyFill="1" applyBorder="1" applyAlignment="1">
      <alignment vertical="top" wrapText="1"/>
    </xf>
    <xf numFmtId="178" fontId="61" fillId="0" borderId="10" xfId="0" applyNumberFormat="1" applyFont="1" applyBorder="1" applyAlignment="1">
      <alignment vertical="top"/>
    </xf>
    <xf numFmtId="174" fontId="61" fillId="0" borderId="10" xfId="0" applyNumberFormat="1" applyFont="1" applyBorder="1" applyAlignment="1">
      <alignment vertical="top"/>
    </xf>
    <xf numFmtId="174" fontId="65" fillId="0" borderId="10" xfId="0" applyNumberFormat="1" applyFont="1" applyBorder="1" applyAlignment="1">
      <alignment vertical="top"/>
    </xf>
    <xf numFmtId="178" fontId="61" fillId="0" borderId="10" xfId="0" applyNumberFormat="1" applyFont="1" applyFill="1" applyBorder="1" applyAlignment="1">
      <alignment vertical="top"/>
    </xf>
    <xf numFmtId="174" fontId="61" fillId="0" borderId="10" xfId="0" applyNumberFormat="1" applyFont="1" applyFill="1" applyBorder="1" applyAlignment="1">
      <alignment vertical="top"/>
    </xf>
    <xf numFmtId="0" fontId="57" fillId="33" borderId="10" xfId="0" applyFont="1" applyFill="1" applyBorder="1" applyAlignment="1">
      <alignment vertical="top"/>
    </xf>
    <xf numFmtId="174" fontId="107" fillId="0" borderId="10" xfId="0" applyNumberFormat="1" applyFont="1" applyBorder="1" applyAlignment="1">
      <alignment vertical="top"/>
    </xf>
    <xf numFmtId="1" fontId="57" fillId="33" borderId="10" xfId="0" applyNumberFormat="1" applyFont="1" applyFill="1" applyBorder="1" applyAlignment="1">
      <alignment vertical="top"/>
    </xf>
    <xf numFmtId="2" fontId="57" fillId="0" borderId="10" xfId="0" applyNumberFormat="1" applyFont="1" applyBorder="1" applyAlignment="1">
      <alignment vertical="top"/>
    </xf>
    <xf numFmtId="0" fontId="57" fillId="33" borderId="12" xfId="0" applyFont="1" applyFill="1" applyBorder="1" applyAlignment="1">
      <alignment vertical="top" wrapText="1"/>
    </xf>
    <xf numFmtId="4" fontId="0" fillId="0" borderId="0" xfId="0" applyNumberFormat="1" applyAlignment="1">
      <alignment vertical="top"/>
    </xf>
    <xf numFmtId="4" fontId="65" fillId="38" borderId="10" xfId="0" applyNumberFormat="1" applyFont="1" applyFill="1" applyBorder="1" applyAlignment="1">
      <alignment vertical="top"/>
    </xf>
    <xf numFmtId="1" fontId="57" fillId="25" borderId="10" xfId="0" applyNumberFormat="1" applyFont="1" applyFill="1" applyBorder="1" applyAlignment="1">
      <alignment vertical="top"/>
    </xf>
    <xf numFmtId="0" fontId="57" fillId="25" borderId="12" xfId="0" applyFont="1" applyFill="1" applyBorder="1" applyAlignment="1">
      <alignment vertical="top" wrapText="1"/>
    </xf>
    <xf numFmtId="174" fontId="61" fillId="25" borderId="10" xfId="0" applyNumberFormat="1" applyFont="1" applyFill="1" applyBorder="1" applyAlignment="1">
      <alignment vertical="top"/>
    </xf>
    <xf numFmtId="0" fontId="57" fillId="25" borderId="10" xfId="0" applyFont="1" applyFill="1" applyBorder="1" applyAlignment="1">
      <alignment vertical="top"/>
    </xf>
    <xf numFmtId="178" fontId="61" fillId="25" borderId="10" xfId="0" applyNumberFormat="1" applyFont="1" applyFill="1" applyBorder="1" applyAlignment="1">
      <alignment vertical="top"/>
    </xf>
    <xf numFmtId="0" fontId="25" fillId="0" borderId="0" xfId="405" applyAlignment="1">
      <alignment vertical="top" wrapText="1"/>
    </xf>
    <xf numFmtId="0" fontId="25" fillId="0" borderId="0" xfId="405" applyAlignment="1">
      <alignment vertical="top"/>
    </xf>
    <xf numFmtId="0" fontId="48" fillId="0" borderId="0" xfId="405" applyFont="1" applyAlignment="1">
      <alignment vertical="top"/>
    </xf>
    <xf numFmtId="0" fontId="0" fillId="0" borderId="10" xfId="0" applyBorder="1" applyAlignment="1">
      <alignment horizontal="center" vertical="top" wrapText="1"/>
    </xf>
    <xf numFmtId="0" fontId="52" fillId="0" borderId="0" xfId="333" applyAlignment="1">
      <alignment vertical="top"/>
    </xf>
    <xf numFmtId="0" fontId="3" fillId="0" borderId="0" xfId="335" applyAlignment="1">
      <alignment vertical="top"/>
    </xf>
    <xf numFmtId="0" fontId="48" fillId="0" borderId="0" xfId="335" applyFont="1" applyAlignment="1">
      <alignment vertical="top"/>
    </xf>
    <xf numFmtId="0" fontId="5" fillId="0" borderId="0" xfId="335" applyFont="1" applyAlignment="1">
      <alignment horizontal="center" vertical="top"/>
    </xf>
    <xf numFmtId="0" fontId="48" fillId="0" borderId="0" xfId="335" applyFont="1" applyAlignment="1">
      <alignment vertical="top" wrapText="1"/>
    </xf>
    <xf numFmtId="0" fontId="4" fillId="0" borderId="0" xfId="335" applyFont="1" applyAlignment="1">
      <alignment vertical="top"/>
    </xf>
    <xf numFmtId="3" fontId="85" fillId="0" borderId="10" xfId="0" applyNumberFormat="1" applyFont="1" applyFill="1" applyBorder="1" applyAlignment="1">
      <alignment horizontal="center" vertical="top"/>
    </xf>
    <xf numFmtId="0" fontId="110" fillId="0" borderId="0" xfId="0" applyFont="1" applyAlignment="1">
      <alignment vertical="top"/>
    </xf>
    <xf numFmtId="0" fontId="76" fillId="0" borderId="10" xfId="0" applyFont="1" applyFill="1" applyBorder="1" applyAlignment="1">
      <alignment horizontal="center" vertical="top" wrapText="1"/>
    </xf>
    <xf numFmtId="174" fontId="74" fillId="35" borderId="10" xfId="0" applyNumberFormat="1" applyFont="1" applyFill="1" applyBorder="1" applyAlignment="1">
      <alignment horizontal="center" vertical="top"/>
    </xf>
    <xf numFmtId="174" fontId="58" fillId="35" borderId="10" xfId="0" applyNumberFormat="1" applyFont="1" applyFill="1" applyBorder="1" applyAlignment="1">
      <alignment horizontal="center" vertical="top"/>
    </xf>
    <xf numFmtId="3" fontId="90" fillId="0" borderId="10" xfId="0" applyNumberFormat="1" applyFont="1" applyFill="1" applyBorder="1" applyAlignment="1">
      <alignment horizontal="center" vertical="top"/>
    </xf>
    <xf numFmtId="3" fontId="81" fillId="0" borderId="10" xfId="0" applyNumberFormat="1" applyFont="1" applyFill="1" applyBorder="1" applyAlignment="1">
      <alignment horizontal="center" vertical="top"/>
    </xf>
    <xf numFmtId="3" fontId="98" fillId="35" borderId="10" xfId="0" applyNumberFormat="1" applyFont="1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0" xfId="0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0" borderId="0" xfId="0" applyBorder="1" applyAlignment="1">
      <alignment horizontal="center" vertical="top" wrapText="1"/>
    </xf>
    <xf numFmtId="0" fontId="75" fillId="29" borderId="10" xfId="0" applyFont="1" applyFill="1" applyBorder="1" applyAlignment="1">
      <alignment horizontal="center" vertical="top" wrapText="1"/>
    </xf>
    <xf numFmtId="4" fontId="74" fillId="0" borderId="10" xfId="0" applyNumberFormat="1" applyFont="1" applyBorder="1" applyAlignment="1">
      <alignment vertical="top"/>
    </xf>
    <xf numFmtId="3" fontId="74" fillId="29" borderId="11" xfId="0" applyNumberFormat="1" applyFont="1" applyFill="1" applyBorder="1" applyAlignment="1">
      <alignment horizontal="center" vertical="top"/>
    </xf>
    <xf numFmtId="3" fontId="74" fillId="0" borderId="11" xfId="0" applyNumberFormat="1" applyFont="1" applyBorder="1" applyAlignment="1">
      <alignment horizontal="center" vertical="top"/>
    </xf>
    <xf numFmtId="174" fontId="74" fillId="0" borderId="11" xfId="0" applyNumberFormat="1" applyFont="1" applyBorder="1" applyAlignment="1">
      <alignment horizontal="center" vertical="top"/>
    </xf>
    <xf numFmtId="168" fontId="74" fillId="0" borderId="11" xfId="0" applyNumberFormat="1" applyFont="1" applyFill="1" applyBorder="1" applyAlignment="1">
      <alignment horizontal="center" vertical="top"/>
    </xf>
    <xf numFmtId="171" fontId="74" fillId="0" borderId="11" xfId="0" applyNumberFormat="1" applyFont="1" applyFill="1" applyBorder="1" applyAlignment="1">
      <alignment horizontal="center" vertical="top"/>
    </xf>
    <xf numFmtId="171" fontId="74" fillId="0" borderId="16" xfId="0" applyNumberFormat="1" applyFont="1" applyFill="1" applyBorder="1" applyAlignment="1">
      <alignment horizontal="center" vertical="top"/>
    </xf>
    <xf numFmtId="0" fontId="74" fillId="0" borderId="11" xfId="0" applyFont="1" applyFill="1" applyBorder="1" applyAlignment="1">
      <alignment vertical="top"/>
    </xf>
    <xf numFmtId="169" fontId="5" fillId="0" borderId="11" xfId="0" applyNumberFormat="1" applyFont="1" applyFill="1" applyBorder="1" applyAlignment="1">
      <alignment vertical="top"/>
    </xf>
    <xf numFmtId="4" fontId="74" fillId="0" borderId="11" xfId="0" applyNumberFormat="1" applyFont="1" applyFill="1" applyBorder="1" applyAlignment="1">
      <alignment vertical="top"/>
    </xf>
    <xf numFmtId="177" fontId="5" fillId="35" borderId="11" xfId="0" applyNumberFormat="1" applyFont="1" applyFill="1" applyBorder="1" applyAlignment="1">
      <alignment vertical="top"/>
    </xf>
    <xf numFmtId="3" fontId="117" fillId="0" borderId="11" xfId="0" applyNumberFormat="1" applyFont="1" applyFill="1" applyBorder="1" applyAlignment="1">
      <alignment vertical="top"/>
    </xf>
    <xf numFmtId="3" fontId="117" fillId="29" borderId="11" xfId="0" applyNumberFormat="1" applyFont="1" applyFill="1" applyBorder="1" applyAlignment="1">
      <alignment vertical="top"/>
    </xf>
    <xf numFmtId="177" fontId="85" fillId="35" borderId="11" xfId="0" applyNumberFormat="1" applyFont="1" applyFill="1" applyBorder="1" applyAlignment="1">
      <alignment vertical="top"/>
    </xf>
    <xf numFmtId="16" fontId="57" fillId="0" borderId="10" xfId="0" applyNumberFormat="1" applyFont="1" applyBorder="1" applyAlignment="1">
      <alignment vertical="top"/>
    </xf>
    <xf numFmtId="0" fontId="0" fillId="0" borderId="17" xfId="0" applyBorder="1" applyAlignment="1">
      <alignment horizontal="center" vertical="top" wrapText="1"/>
    </xf>
    <xf numFmtId="0" fontId="96" fillId="37" borderId="13" xfId="0" applyFont="1" applyFill="1" applyBorder="1" applyAlignment="1">
      <alignment vertical="top"/>
    </xf>
    <xf numFmtId="0" fontId="0" fillId="0" borderId="16" xfId="0" applyBorder="1" applyAlignment="1">
      <alignment horizontal="center" vertical="top" wrapText="1"/>
    </xf>
    <xf numFmtId="0" fontId="57" fillId="24" borderId="13" xfId="0" applyFont="1" applyFill="1" applyBorder="1" applyAlignment="1">
      <alignment horizontal="center" vertical="top" wrapText="1"/>
    </xf>
    <xf numFmtId="0" fontId="56" fillId="0" borderId="13" xfId="0" applyFont="1" applyBorder="1" applyAlignment="1">
      <alignment horizontal="center" vertical="top" wrapText="1"/>
    </xf>
    <xf numFmtId="4" fontId="60" fillId="35" borderId="11" xfId="0" applyNumberFormat="1" applyFont="1" applyFill="1" applyBorder="1" applyAlignment="1">
      <alignment vertical="top" wrapText="1"/>
    </xf>
    <xf numFmtId="49" fontId="56" fillId="26" borderId="11" xfId="0" applyNumberFormat="1" applyFont="1" applyFill="1" applyBorder="1" applyAlignment="1">
      <alignment vertical="top" wrapText="1"/>
    </xf>
    <xf numFmtId="4" fontId="60" fillId="26" borderId="11" xfId="0" applyNumberFormat="1" applyFont="1" applyFill="1" applyBorder="1" applyAlignment="1">
      <alignment vertical="top" wrapText="1"/>
    </xf>
    <xf numFmtId="4" fontId="66" fillId="26" borderId="11" xfId="0" applyNumberFormat="1" applyFont="1" applyFill="1" applyBorder="1" applyAlignment="1">
      <alignment vertical="top" wrapText="1"/>
    </xf>
    <xf numFmtId="4" fontId="66" fillId="26" borderId="10" xfId="0" applyNumberFormat="1" applyFont="1" applyFill="1" applyBorder="1" applyAlignment="1">
      <alignment horizontal="center" vertical="top" wrapText="1"/>
    </xf>
    <xf numFmtId="4" fontId="66" fillId="35" borderId="11" xfId="0" applyNumberFormat="1" applyFont="1" applyFill="1" applyBorder="1" applyAlignment="1">
      <alignment vertical="top" wrapText="1"/>
    </xf>
    <xf numFmtId="0" fontId="0" fillId="0" borderId="0" xfId="0" applyFont="1" applyAlignment="1">
      <alignment vertical="top"/>
    </xf>
    <xf numFmtId="180" fontId="0" fillId="0" borderId="0" xfId="0" applyNumberFormat="1" applyAlignment="1">
      <alignment vertical="top"/>
    </xf>
    <xf numFmtId="4" fontId="98" fillId="35" borderId="11" xfId="0" applyNumberFormat="1" applyFont="1" applyFill="1" applyBorder="1" applyAlignment="1">
      <alignment vertical="top" wrapText="1"/>
    </xf>
    <xf numFmtId="0" fontId="110" fillId="0" borderId="0" xfId="0" applyFont="1" applyAlignment="1">
      <alignment vertical="top" wrapText="1"/>
    </xf>
    <xf numFmtId="0" fontId="62" fillId="24" borderId="10" xfId="0" applyFont="1" applyFill="1" applyBorder="1" applyAlignment="1">
      <alignment horizontal="center" vertical="top" wrapText="1"/>
    </xf>
    <xf numFmtId="0" fontId="67" fillId="0" borderId="14" xfId="0" applyFont="1" applyFill="1" applyBorder="1" applyAlignment="1">
      <alignment vertical="top" wrapText="1"/>
    </xf>
    <xf numFmtId="0" fontId="66" fillId="25" borderId="10" xfId="0" applyFont="1" applyFill="1" applyBorder="1" applyAlignment="1">
      <alignment vertical="top" wrapText="1"/>
    </xf>
    <xf numFmtId="0" fontId="66" fillId="0" borderId="10" xfId="0" applyFont="1" applyFill="1" applyBorder="1" applyAlignment="1">
      <alignment vertical="top" wrapText="1"/>
    </xf>
    <xf numFmtId="0" fontId="118" fillId="0" borderId="10" xfId="0" applyFont="1" applyBorder="1" applyAlignment="1">
      <alignment horizontal="center" vertical="top" wrapText="1"/>
    </xf>
    <xf numFmtId="0" fontId="67" fillId="0" borderId="0" xfId="0" applyFont="1" applyFill="1" applyBorder="1" applyAlignment="1">
      <alignment vertical="center" wrapText="1"/>
    </xf>
    <xf numFmtId="0" fontId="66" fillId="0" borderId="14" xfId="0" applyFont="1" applyFill="1" applyBorder="1" applyAlignment="1">
      <alignment vertical="top" wrapText="1"/>
    </xf>
    <xf numFmtId="0" fontId="67" fillId="26" borderId="12" xfId="0" applyFont="1" applyFill="1" applyBorder="1" applyAlignment="1">
      <alignment vertical="top" wrapText="1"/>
    </xf>
    <xf numFmtId="0" fontId="66" fillId="26" borderId="12" xfId="0" applyFont="1" applyFill="1" applyBorder="1" applyAlignment="1">
      <alignment vertical="top" wrapText="1"/>
    </xf>
    <xf numFmtId="0" fontId="119" fillId="0" borderId="10" xfId="0" applyFont="1" applyFill="1" applyBorder="1" applyAlignment="1">
      <alignment vertical="top" wrapText="1"/>
    </xf>
    <xf numFmtId="0" fontId="118" fillId="0" borderId="0" xfId="0" applyFont="1" applyAlignment="1">
      <alignment vertical="top"/>
    </xf>
    <xf numFmtId="0" fontId="56" fillId="26" borderId="25" xfId="0" applyFont="1" applyFill="1" applyBorder="1" applyAlignment="1">
      <alignment vertical="top" wrapText="1"/>
    </xf>
    <xf numFmtId="0" fontId="59" fillId="26" borderId="25" xfId="0" applyFont="1" applyFill="1" applyBorder="1" applyAlignment="1">
      <alignment vertical="top" wrapText="1"/>
    </xf>
    <xf numFmtId="0" fontId="0" fillId="0" borderId="17" xfId="0" applyBorder="1" applyAlignment="1">
      <alignment vertical="top"/>
    </xf>
    <xf numFmtId="0" fontId="59" fillId="26" borderId="30" xfId="0" applyFont="1" applyFill="1" applyBorder="1" applyAlignment="1">
      <alignment vertical="top" wrapText="1"/>
    </xf>
    <xf numFmtId="0" fontId="0" fillId="0" borderId="17" xfId="0" applyBorder="1" applyAlignment="1">
      <alignment vertical="top"/>
    </xf>
    <xf numFmtId="0" fontId="122" fillId="0" borderId="0" xfId="405" applyFont="1" applyAlignment="1">
      <alignment vertical="top"/>
    </xf>
    <xf numFmtId="0" fontId="52" fillId="0" borderId="0" xfId="333"/>
    <xf numFmtId="0" fontId="4" fillId="28" borderId="0" xfId="335" applyFont="1" applyFill="1" applyAlignment="1">
      <alignment vertical="top"/>
    </xf>
    <xf numFmtId="2" fontId="4" fillId="28" borderId="0" xfId="335" applyNumberFormat="1" applyFont="1" applyFill="1" applyAlignment="1">
      <alignment vertical="top"/>
    </xf>
    <xf numFmtId="179" fontId="4" fillId="0" borderId="0" xfId="335" applyNumberFormat="1" applyFont="1" applyAlignment="1">
      <alignment vertical="top"/>
    </xf>
    <xf numFmtId="0" fontId="75" fillId="29" borderId="10" xfId="0" applyFont="1" applyFill="1" applyBorder="1" applyAlignment="1">
      <alignment horizontal="center" vertical="top" wrapText="1"/>
    </xf>
    <xf numFmtId="0" fontId="106" fillId="0" borderId="10" xfId="0" applyFont="1" applyFill="1" applyBorder="1" applyAlignment="1">
      <alignment horizontal="center" vertical="top" wrapText="1"/>
    </xf>
    <xf numFmtId="174" fontId="87" fillId="32" borderId="36" xfId="0" applyNumberFormat="1" applyFont="1" applyFill="1" applyBorder="1" applyAlignment="1">
      <alignment vertical="top"/>
    </xf>
    <xf numFmtId="174" fontId="87" fillId="33" borderId="36" xfId="0" applyNumberFormat="1" applyFont="1" applyFill="1" applyBorder="1" applyAlignment="1">
      <alignment vertical="top"/>
    </xf>
    <xf numFmtId="174" fontId="87" fillId="34" borderId="36" xfId="0" applyNumberFormat="1" applyFont="1" applyFill="1" applyBorder="1" applyAlignment="1">
      <alignment vertical="top"/>
    </xf>
    <xf numFmtId="174" fontId="87" fillId="30" borderId="36" xfId="0" applyNumberFormat="1" applyFont="1" applyFill="1" applyBorder="1" applyAlignment="1">
      <alignment vertical="top"/>
    </xf>
    <xf numFmtId="174" fontId="87" fillId="31" borderId="36" xfId="0" applyNumberFormat="1" applyFont="1" applyFill="1" applyBorder="1" applyAlignment="1">
      <alignment vertical="top"/>
    </xf>
    <xf numFmtId="171" fontId="85" fillId="33" borderId="36" xfId="0" applyNumberFormat="1" applyFont="1" applyFill="1" applyBorder="1" applyAlignment="1">
      <alignment horizontal="center" vertical="top"/>
    </xf>
    <xf numFmtId="171" fontId="85" fillId="0" borderId="36" xfId="0" applyNumberFormat="1" applyFont="1" applyBorder="1" applyAlignment="1">
      <alignment horizontal="center" vertical="top"/>
    </xf>
    <xf numFmtId="171" fontId="85" fillId="34" borderId="36" xfId="0" applyNumberFormat="1" applyFont="1" applyFill="1" applyBorder="1" applyAlignment="1">
      <alignment horizontal="center" vertical="top"/>
    </xf>
    <xf numFmtId="171" fontId="85" fillId="30" borderId="36" xfId="0" applyNumberFormat="1" applyFont="1" applyFill="1" applyBorder="1" applyAlignment="1">
      <alignment horizontal="center" vertical="top"/>
    </xf>
    <xf numFmtId="171" fontId="74" fillId="0" borderId="36" xfId="0" applyNumberFormat="1" applyFont="1" applyBorder="1" applyAlignment="1">
      <alignment horizontal="center" vertical="top"/>
    </xf>
    <xf numFmtId="171" fontId="85" fillId="32" borderId="36" xfId="0" applyNumberFormat="1" applyFont="1" applyFill="1" applyBorder="1" applyAlignment="1">
      <alignment horizontal="center" vertical="top"/>
    </xf>
    <xf numFmtId="171" fontId="74" fillId="35" borderId="36" xfId="0" applyNumberFormat="1" applyFont="1" applyFill="1" applyBorder="1" applyAlignment="1">
      <alignment horizontal="center" vertical="top"/>
    </xf>
    <xf numFmtId="171" fontId="74" fillId="0" borderId="36" xfId="0" applyNumberFormat="1" applyFont="1" applyFill="1" applyBorder="1" applyAlignment="1">
      <alignment horizontal="center" vertical="top"/>
    </xf>
    <xf numFmtId="171" fontId="85" fillId="31" borderId="37" xfId="0" applyNumberFormat="1" applyFont="1" applyFill="1" applyBorder="1" applyAlignment="1">
      <alignment horizontal="center" vertical="top"/>
    </xf>
    <xf numFmtId="4" fontId="117" fillId="29" borderId="36" xfId="0" applyNumberFormat="1" applyFont="1" applyFill="1" applyBorder="1" applyAlignment="1">
      <alignment vertical="top"/>
    </xf>
    <xf numFmtId="3" fontId="74" fillId="29" borderId="36" xfId="0" applyNumberFormat="1" applyFont="1" applyFill="1" applyBorder="1" applyAlignment="1">
      <alignment horizontal="center" vertical="top"/>
    </xf>
    <xf numFmtId="3" fontId="74" fillId="0" borderId="36" xfId="0" applyNumberFormat="1" applyFont="1" applyBorder="1" applyAlignment="1">
      <alignment horizontal="center" vertical="top"/>
    </xf>
    <xf numFmtId="174" fontId="74" fillId="0" borderId="36" xfId="0" applyNumberFormat="1" applyFont="1" applyBorder="1" applyAlignment="1">
      <alignment horizontal="center" vertical="top"/>
    </xf>
    <xf numFmtId="168" fontId="74" fillId="0" borderId="36" xfId="0" applyNumberFormat="1" applyFont="1" applyBorder="1" applyAlignment="1">
      <alignment horizontal="center" vertical="top"/>
    </xf>
    <xf numFmtId="0" fontId="74" fillId="0" borderId="36" xfId="0" applyFont="1" applyBorder="1" applyAlignment="1">
      <alignment vertical="top"/>
    </xf>
    <xf numFmtId="4" fontId="74" fillId="0" borderId="36" xfId="0" applyNumberFormat="1" applyFont="1" applyBorder="1" applyAlignment="1">
      <alignment vertical="top"/>
    </xf>
    <xf numFmtId="177" fontId="74" fillId="0" borderId="36" xfId="0" applyNumberFormat="1" applyFont="1" applyBorder="1" applyAlignment="1">
      <alignment vertical="top"/>
    </xf>
    <xf numFmtId="0" fontId="74" fillId="29" borderId="36" xfId="0" applyFont="1" applyFill="1" applyBorder="1" applyAlignment="1">
      <alignment vertical="top"/>
    </xf>
    <xf numFmtId="0" fontId="31" fillId="0" borderId="0" xfId="335" applyFont="1" applyAlignment="1">
      <alignment vertical="top"/>
    </xf>
    <xf numFmtId="0" fontId="4" fillId="0" borderId="0" xfId="335" applyFont="1" applyAlignment="1">
      <alignment horizontal="right" vertical="top"/>
    </xf>
    <xf numFmtId="2" fontId="4" fillId="0" borderId="0" xfId="335" applyNumberFormat="1" applyFont="1" applyAlignment="1">
      <alignment vertical="top"/>
    </xf>
    <xf numFmtId="170" fontId="108" fillId="28" borderId="0" xfId="405" applyNumberFormat="1" applyFont="1" applyFill="1" applyAlignment="1">
      <alignment vertical="top" wrapText="1"/>
    </xf>
    <xf numFmtId="0" fontId="46" fillId="0" borderId="0" xfId="5348" applyAlignment="1">
      <alignment vertical="top"/>
    </xf>
    <xf numFmtId="170" fontId="46" fillId="0" borderId="0" xfId="5348" applyNumberFormat="1" applyAlignment="1">
      <alignment vertical="top"/>
    </xf>
    <xf numFmtId="182" fontId="129" fillId="0" borderId="0" xfId="5348" applyNumberFormat="1" applyFont="1" applyAlignment="1">
      <alignment vertical="top"/>
    </xf>
    <xf numFmtId="170" fontId="129" fillId="0" borderId="0" xfId="5348" applyNumberFormat="1" applyFont="1" applyAlignment="1">
      <alignment vertical="top"/>
    </xf>
    <xf numFmtId="0" fontId="4" fillId="0" borderId="38" xfId="18283" applyFont="1" applyBorder="1" applyAlignment="1">
      <alignment horizontal="center" vertical="top"/>
    </xf>
    <xf numFmtId="0" fontId="115" fillId="25" borderId="38" xfId="18283" applyFont="1" applyFill="1" applyBorder="1" applyAlignment="1">
      <alignment horizontal="center" vertical="top" wrapText="1"/>
    </xf>
    <xf numFmtId="0" fontId="56" fillId="44" borderId="39" xfId="18283" applyFont="1" applyFill="1" applyBorder="1" applyAlignment="1">
      <alignment vertical="top"/>
    </xf>
    <xf numFmtId="170" fontId="104" fillId="0" borderId="39" xfId="18531" applyNumberFormat="1" applyFont="1" applyFill="1" applyBorder="1" applyAlignment="1">
      <alignment vertical="top"/>
    </xf>
    <xf numFmtId="170" fontId="130" fillId="0" borderId="39" xfId="18531" applyNumberFormat="1" applyFont="1" applyFill="1" applyBorder="1" applyAlignment="1">
      <alignment vertical="top"/>
    </xf>
    <xf numFmtId="182" fontId="110" fillId="0" borderId="39" xfId="18531" applyNumberFormat="1" applyFont="1" applyFill="1" applyBorder="1" applyAlignment="1">
      <alignment vertical="top"/>
    </xf>
    <xf numFmtId="0" fontId="49" fillId="31" borderId="38" xfId="18283" applyFill="1" applyBorder="1" applyAlignment="1">
      <alignment vertical="top"/>
    </xf>
    <xf numFmtId="170" fontId="104" fillId="31" borderId="38" xfId="18531" applyNumberFormat="1" applyFont="1" applyFill="1" applyBorder="1" applyAlignment="1">
      <alignment vertical="top"/>
    </xf>
    <xf numFmtId="170" fontId="110" fillId="31" borderId="38" xfId="18531" applyNumberFormat="1" applyFont="1" applyFill="1" applyBorder="1" applyAlignment="1">
      <alignment vertical="top"/>
    </xf>
    <xf numFmtId="0" fontId="56" fillId="0" borderId="38" xfId="18283" applyFont="1" applyFill="1" applyBorder="1" applyAlignment="1">
      <alignment vertical="top" wrapText="1"/>
    </xf>
    <xf numFmtId="0" fontId="56" fillId="0" borderId="38" xfId="18283" applyFont="1" applyFill="1" applyBorder="1" applyAlignment="1">
      <alignment vertical="top"/>
    </xf>
    <xf numFmtId="0" fontId="56" fillId="0" borderId="40" xfId="0" applyFont="1" applyFill="1" applyBorder="1" applyAlignment="1">
      <alignment vertical="top" wrapText="1"/>
    </xf>
    <xf numFmtId="3" fontId="131" fillId="35" borderId="10" xfId="343" applyNumberFormat="1" applyFont="1" applyFill="1" applyBorder="1" applyAlignment="1">
      <alignment horizontal="center" vertical="top"/>
    </xf>
    <xf numFmtId="4" fontId="131" fillId="35" borderId="10" xfId="343" applyNumberFormat="1" applyFont="1" applyFill="1" applyBorder="1" applyAlignment="1">
      <alignment horizontal="center" vertical="top"/>
    </xf>
    <xf numFmtId="3" fontId="132" fillId="35" borderId="10" xfId="343" applyNumberFormat="1" applyFont="1" applyFill="1" applyBorder="1" applyAlignment="1">
      <alignment horizontal="center" vertical="top"/>
    </xf>
    <xf numFmtId="4" fontId="132" fillId="35" borderId="10" xfId="343" applyNumberFormat="1" applyFont="1" applyFill="1" applyBorder="1" applyAlignment="1">
      <alignment horizontal="center" vertical="top"/>
    </xf>
    <xf numFmtId="3" fontId="86" fillId="35" borderId="10" xfId="0" applyNumberFormat="1" applyFont="1" applyFill="1" applyBorder="1" applyAlignment="1">
      <alignment horizontal="center" vertical="top"/>
    </xf>
    <xf numFmtId="174" fontId="86" fillId="35" borderId="10" xfId="0" applyNumberFormat="1" applyFont="1" applyFill="1" applyBorder="1" applyAlignment="1">
      <alignment horizontal="center" vertical="top"/>
    </xf>
    <xf numFmtId="3" fontId="83" fillId="35" borderId="10" xfId="0" applyNumberFormat="1" applyFont="1" applyFill="1" applyBorder="1" applyAlignment="1">
      <alignment horizontal="center" vertical="top"/>
    </xf>
    <xf numFmtId="3" fontId="91" fillId="0" borderId="10" xfId="0" applyNumberFormat="1" applyFont="1" applyFill="1" applyBorder="1" applyAlignment="1">
      <alignment horizontal="center" vertical="top"/>
    </xf>
    <xf numFmtId="174" fontId="91" fillId="0" borderId="10" xfId="0" applyNumberFormat="1" applyFont="1" applyFill="1" applyBorder="1" applyAlignment="1">
      <alignment horizontal="center" vertical="top"/>
    </xf>
    <xf numFmtId="4" fontId="86" fillId="35" borderId="10" xfId="0" applyNumberFormat="1" applyFont="1" applyFill="1" applyBorder="1" applyAlignment="1">
      <alignment vertical="top"/>
    </xf>
    <xf numFmtId="174" fontId="83" fillId="35" borderId="10" xfId="0" applyNumberFormat="1" applyFont="1" applyFill="1" applyBorder="1" applyAlignment="1">
      <alignment horizontal="center" vertical="top"/>
    </xf>
    <xf numFmtId="4" fontId="103" fillId="0" borderId="40" xfId="18445" applyNumberFormat="1" applyFont="1" applyFill="1" applyBorder="1" applyAlignment="1">
      <alignment vertical="top"/>
    </xf>
    <xf numFmtId="0" fontId="64" fillId="39" borderId="12" xfId="0" applyFont="1" applyFill="1" applyBorder="1" applyAlignment="1">
      <alignment vertical="top" wrapText="1"/>
    </xf>
    <xf numFmtId="0" fontId="56" fillId="0" borderId="11" xfId="0" applyFont="1" applyFill="1" applyBorder="1" applyAlignment="1">
      <alignment horizontal="center" vertical="top" wrapText="1"/>
    </xf>
    <xf numFmtId="0" fontId="66" fillId="0" borderId="40" xfId="0" applyFont="1" applyFill="1" applyBorder="1" applyAlignment="1">
      <alignment vertical="top" wrapText="1"/>
    </xf>
    <xf numFmtId="49" fontId="56" fillId="0" borderId="40" xfId="0" applyNumberFormat="1" applyFont="1" applyFill="1" applyBorder="1" applyAlignment="1">
      <alignment vertical="top" wrapText="1"/>
    </xf>
    <xf numFmtId="0" fontId="56" fillId="0" borderId="41" xfId="0" applyFont="1" applyFill="1" applyBorder="1" applyAlignment="1">
      <alignment vertical="top"/>
    </xf>
    <xf numFmtId="0" fontId="56" fillId="0" borderId="43" xfId="0" applyFont="1" applyFill="1" applyBorder="1" applyAlignment="1">
      <alignment vertical="top"/>
    </xf>
    <xf numFmtId="0" fontId="98" fillId="0" borderId="10" xfId="0" applyFont="1" applyFill="1" applyBorder="1" applyAlignment="1">
      <alignment vertical="top" wrapText="1"/>
    </xf>
    <xf numFmtId="4" fontId="56" fillId="35" borderId="40" xfId="0" applyNumberFormat="1" applyFont="1" applyFill="1" applyBorder="1" applyAlignment="1">
      <alignment vertical="top" wrapText="1"/>
    </xf>
    <xf numFmtId="49" fontId="59" fillId="0" borderId="40" xfId="0" applyNumberFormat="1" applyFont="1" applyBorder="1" applyAlignment="1">
      <alignment vertical="top" wrapText="1"/>
    </xf>
    <xf numFmtId="0" fontId="56" fillId="0" borderId="40" xfId="0" applyFont="1" applyBorder="1" applyAlignment="1">
      <alignment vertical="top" wrapText="1"/>
    </xf>
    <xf numFmtId="0" fontId="56" fillId="0" borderId="41" xfId="0" applyFont="1" applyBorder="1" applyAlignment="1">
      <alignment vertical="top"/>
    </xf>
    <xf numFmtId="0" fontId="56" fillId="0" borderId="43" xfId="0" applyFont="1" applyBorder="1" applyAlignment="1">
      <alignment vertical="top"/>
    </xf>
    <xf numFmtId="49" fontId="56" fillId="0" borderId="40" xfId="0" applyNumberFormat="1" applyFont="1" applyBorder="1" applyAlignment="1">
      <alignment vertical="top" wrapText="1"/>
    </xf>
    <xf numFmtId="0" fontId="66" fillId="25" borderId="40" xfId="0" applyFont="1" applyFill="1" applyBorder="1" applyAlignment="1">
      <alignment vertical="top" wrapText="1"/>
    </xf>
    <xf numFmtId="0" fontId="75" fillId="0" borderId="0" xfId="333" applyFont="1" applyAlignment="1">
      <alignment horizontal="center" vertical="top"/>
    </xf>
    <xf numFmtId="0" fontId="114" fillId="0" borderId="0" xfId="335" applyFont="1" applyAlignment="1">
      <alignment horizontal="center" vertical="top" wrapText="1"/>
    </xf>
    <xf numFmtId="0" fontId="98" fillId="0" borderId="40" xfId="0" applyFont="1" applyFill="1" applyBorder="1" applyAlignment="1">
      <alignment vertical="top" wrapText="1"/>
    </xf>
    <xf numFmtId="0" fontId="98" fillId="25" borderId="10" xfId="0" applyFont="1" applyFill="1" applyBorder="1" applyAlignment="1">
      <alignment vertical="top" wrapText="1"/>
    </xf>
    <xf numFmtId="0" fontId="98" fillId="25" borderId="40" xfId="0" applyFont="1" applyFill="1" applyBorder="1" applyAlignment="1">
      <alignment vertical="top" wrapText="1"/>
    </xf>
    <xf numFmtId="3" fontId="60" fillId="0" borderId="10" xfId="0" applyNumberFormat="1" applyFont="1" applyFill="1" applyBorder="1" applyAlignment="1">
      <alignment vertical="top" wrapText="1"/>
    </xf>
    <xf numFmtId="171" fontId="60" fillId="0" borderId="10" xfId="0" applyNumberFormat="1" applyFont="1" applyFill="1" applyBorder="1" applyAlignment="1">
      <alignment vertical="top" wrapText="1"/>
    </xf>
    <xf numFmtId="176" fontId="60" fillId="0" borderId="10" xfId="0" applyNumberFormat="1" applyFont="1" applyFill="1" applyBorder="1" applyAlignment="1">
      <alignment vertical="top" wrapText="1"/>
    </xf>
    <xf numFmtId="0" fontId="56" fillId="45" borderId="10" xfId="0" applyFont="1" applyFill="1" applyBorder="1" applyAlignment="1">
      <alignment vertical="top" wrapText="1"/>
    </xf>
    <xf numFmtId="0" fontId="110" fillId="0" borderId="0" xfId="18537" applyFont="1" applyAlignment="1">
      <alignment vertical="top"/>
    </xf>
    <xf numFmtId="0" fontId="134" fillId="0" borderId="0" xfId="18537" applyFont="1" applyAlignment="1">
      <alignment vertical="top"/>
    </xf>
    <xf numFmtId="0" fontId="135" fillId="0" borderId="0" xfId="18537" applyFont="1" applyAlignment="1">
      <alignment vertical="top"/>
    </xf>
    <xf numFmtId="0" fontId="49" fillId="0" borderId="0" xfId="18537"/>
    <xf numFmtId="0" fontId="110" fillId="0" borderId="0" xfId="18537" applyFont="1"/>
    <xf numFmtId="0" fontId="5" fillId="0" borderId="0" xfId="18537" applyFont="1" applyAlignment="1">
      <alignment vertical="top"/>
    </xf>
    <xf numFmtId="0" fontId="136" fillId="0" borderId="0" xfId="18537" applyFont="1" applyAlignment="1">
      <alignment vertical="top"/>
    </xf>
    <xf numFmtId="0" fontId="136" fillId="0" borderId="0" xfId="18537" applyFont="1" applyAlignment="1">
      <alignment horizontal="center" vertical="top"/>
    </xf>
    <xf numFmtId="0" fontId="5" fillId="0" borderId="0" xfId="18537" applyFont="1" applyAlignment="1">
      <alignment horizontal="left" vertical="top"/>
    </xf>
    <xf numFmtId="0" fontId="48" fillId="0" borderId="46" xfId="405" applyFont="1" applyBorder="1" applyAlignment="1">
      <alignment horizontal="center" vertical="top" wrapText="1"/>
    </xf>
    <xf numFmtId="0" fontId="48" fillId="0" borderId="46" xfId="405" applyFont="1" applyBorder="1" applyAlignment="1">
      <alignment horizontal="center" vertical="top"/>
    </xf>
    <xf numFmtId="0" fontId="47" fillId="0" borderId="46" xfId="405" applyFont="1" applyBorder="1" applyAlignment="1">
      <alignment horizontal="center" vertical="top"/>
    </xf>
    <xf numFmtId="2" fontId="48" fillId="0" borderId="46" xfId="405" applyNumberFormat="1" applyFont="1" applyBorder="1" applyAlignment="1">
      <alignment horizontal="center" vertical="top" wrapText="1"/>
    </xf>
    <xf numFmtId="0" fontId="48" fillId="33" borderId="46" xfId="405" applyFont="1" applyFill="1" applyBorder="1" applyAlignment="1">
      <alignment horizontal="center" vertical="top"/>
    </xf>
    <xf numFmtId="0" fontId="48" fillId="46" borderId="46" xfId="405" applyFont="1" applyFill="1" applyBorder="1" applyAlignment="1">
      <alignment horizontal="center" vertical="top"/>
    </xf>
    <xf numFmtId="16" fontId="48" fillId="0" borderId="46" xfId="405" applyNumberFormat="1" applyFont="1" applyBorder="1" applyAlignment="1">
      <alignment horizontal="center" vertical="top" wrapText="1"/>
    </xf>
    <xf numFmtId="0" fontId="48" fillId="33" borderId="46" xfId="405" applyFont="1" applyFill="1" applyBorder="1" applyAlignment="1">
      <alignment horizontal="center" vertical="top" wrapText="1"/>
    </xf>
    <xf numFmtId="0" fontId="48" fillId="46" borderId="46" xfId="405" applyFont="1" applyFill="1" applyBorder="1" applyAlignment="1">
      <alignment horizontal="center" vertical="top" wrapText="1"/>
    </xf>
    <xf numFmtId="0" fontId="4" fillId="0" borderId="46" xfId="18537" applyFont="1" applyBorder="1" applyAlignment="1" applyProtection="1">
      <alignment vertical="top" wrapText="1"/>
      <protection locked="0"/>
    </xf>
    <xf numFmtId="170" fontId="4" fillId="0" borderId="46" xfId="405" applyNumberFormat="1" applyFont="1" applyBorder="1" applyAlignment="1" applyProtection="1">
      <alignment horizontal="right"/>
      <protection locked="0"/>
    </xf>
    <xf numFmtId="170" fontId="5" fillId="0" borderId="46" xfId="405" applyNumberFormat="1" applyFont="1" applyBorder="1" applyAlignment="1" applyProtection="1">
      <alignment horizontal="right"/>
      <protection locked="0"/>
    </xf>
    <xf numFmtId="183" fontId="4" fillId="0" borderId="46" xfId="405" applyNumberFormat="1" applyFont="1" applyBorder="1" applyAlignment="1" applyProtection="1">
      <alignment horizontal="right"/>
      <protection locked="0"/>
    </xf>
    <xf numFmtId="180" fontId="4" fillId="0" borderId="46" xfId="405" applyNumberFormat="1" applyFont="1" applyBorder="1" applyAlignment="1" applyProtection="1">
      <alignment horizontal="right"/>
      <protection locked="0"/>
    </xf>
    <xf numFmtId="179" fontId="5" fillId="0" borderId="46" xfId="405" applyNumberFormat="1" applyFont="1" applyBorder="1" applyAlignment="1" applyProtection="1">
      <alignment horizontal="right"/>
      <protection locked="0"/>
    </xf>
    <xf numFmtId="170" fontId="5" fillId="46" borderId="46" xfId="405" applyNumberFormat="1" applyFont="1" applyFill="1" applyBorder="1" applyAlignment="1" applyProtection="1">
      <alignment horizontal="right"/>
      <protection locked="0"/>
    </xf>
    <xf numFmtId="170" fontId="5" fillId="0" borderId="46" xfId="405" applyNumberFormat="1" applyFont="1" applyBorder="1" applyProtection="1">
      <protection locked="0"/>
    </xf>
    <xf numFmtId="170" fontId="52" fillId="0" borderId="0" xfId="333" applyNumberFormat="1"/>
    <xf numFmtId="0" fontId="4" fillId="33" borderId="46" xfId="18537" applyFont="1" applyFill="1" applyBorder="1" applyAlignment="1" applyProtection="1">
      <alignment vertical="top" wrapText="1"/>
      <protection locked="0"/>
    </xf>
    <xf numFmtId="170" fontId="4" fillId="33" borderId="46" xfId="405" applyNumberFormat="1" applyFont="1" applyFill="1" applyBorder="1" applyAlignment="1" applyProtection="1">
      <alignment horizontal="right"/>
      <protection locked="0"/>
    </xf>
    <xf numFmtId="170" fontId="5" fillId="33" borderId="46" xfId="405" applyNumberFormat="1" applyFont="1" applyFill="1" applyBorder="1" applyAlignment="1" applyProtection="1">
      <alignment horizontal="right"/>
      <protection locked="0"/>
    </xf>
    <xf numFmtId="170" fontId="137" fillId="0" borderId="46" xfId="405" applyNumberFormat="1" applyFont="1" applyBorder="1" applyAlignment="1" applyProtection="1">
      <alignment horizontal="right"/>
      <protection locked="0"/>
    </xf>
    <xf numFmtId="0" fontId="5" fillId="33" borderId="54" xfId="18537" applyFont="1" applyFill="1" applyBorder="1" applyAlignment="1">
      <alignment vertical="top"/>
    </xf>
    <xf numFmtId="170" fontId="47" fillId="33" borderId="55" xfId="405" applyNumberFormat="1" applyFont="1" applyFill="1" applyBorder="1"/>
    <xf numFmtId="170" fontId="5" fillId="33" borderId="55" xfId="405" applyNumberFormat="1" applyFont="1" applyFill="1" applyBorder="1"/>
    <xf numFmtId="170" fontId="5" fillId="0" borderId="55" xfId="405" applyNumberFormat="1" applyFont="1" applyBorder="1"/>
    <xf numFmtId="179" fontId="5" fillId="33" borderId="55" xfId="405" applyNumberFormat="1" applyFont="1" applyFill="1" applyBorder="1"/>
    <xf numFmtId="0" fontId="5" fillId="33" borderId="56" xfId="18537" applyFont="1" applyFill="1" applyBorder="1" applyAlignment="1">
      <alignment vertical="top"/>
    </xf>
    <xf numFmtId="170" fontId="47" fillId="33" borderId="21" xfId="405" applyNumberFormat="1" applyFont="1" applyFill="1" applyBorder="1"/>
    <xf numFmtId="170" fontId="5" fillId="33" borderId="11" xfId="405" applyNumberFormat="1" applyFont="1" applyFill="1" applyBorder="1"/>
    <xf numFmtId="170" fontId="5" fillId="0" borderId="11" xfId="405" applyNumberFormat="1" applyFont="1" applyBorder="1"/>
    <xf numFmtId="179" fontId="5" fillId="33" borderId="11" xfId="405" applyNumberFormat="1" applyFont="1" applyFill="1" applyBorder="1"/>
    <xf numFmtId="0" fontId="5" fillId="33" borderId="57" xfId="18537" applyFont="1" applyFill="1" applyBorder="1" applyAlignment="1">
      <alignment vertical="top"/>
    </xf>
    <xf numFmtId="170" fontId="47" fillId="33" borderId="49" xfId="405" applyNumberFormat="1" applyFont="1" applyFill="1" applyBorder="1"/>
    <xf numFmtId="170" fontId="5" fillId="33" borderId="46" xfId="405" applyNumberFormat="1" applyFont="1" applyFill="1" applyBorder="1"/>
    <xf numFmtId="170" fontId="5" fillId="0" borderId="46" xfId="405" applyNumberFormat="1" applyFont="1" applyBorder="1"/>
    <xf numFmtId="179" fontId="5" fillId="33" borderId="46" xfId="405" applyNumberFormat="1" applyFont="1" applyFill="1" applyBorder="1"/>
    <xf numFmtId="0" fontId="4" fillId="0" borderId="11" xfId="18537" applyFont="1" applyBorder="1" applyAlignment="1" applyProtection="1">
      <alignment vertical="top" wrapText="1"/>
      <protection locked="0"/>
    </xf>
    <xf numFmtId="0" fontId="4" fillId="0" borderId="50" xfId="18537" applyFont="1" applyBorder="1" applyAlignment="1" applyProtection="1">
      <alignment vertical="top" wrapText="1"/>
      <protection locked="0"/>
    </xf>
    <xf numFmtId="170" fontId="4" fillId="0" borderId="50" xfId="405" applyNumberFormat="1" applyFont="1" applyBorder="1" applyAlignment="1" applyProtection="1">
      <alignment horizontal="right"/>
      <protection locked="0"/>
    </xf>
    <xf numFmtId="170" fontId="5" fillId="0" borderId="50" xfId="405" applyNumberFormat="1" applyFont="1" applyBorder="1" applyAlignment="1" applyProtection="1">
      <alignment horizontal="right"/>
      <protection locked="0"/>
    </xf>
    <xf numFmtId="183" fontId="4" fillId="0" borderId="50" xfId="405" applyNumberFormat="1" applyFont="1" applyBorder="1" applyAlignment="1" applyProtection="1">
      <alignment horizontal="right"/>
      <protection locked="0"/>
    </xf>
    <xf numFmtId="180" fontId="4" fillId="0" borderId="50" xfId="405" applyNumberFormat="1" applyFont="1" applyBorder="1" applyAlignment="1" applyProtection="1">
      <alignment horizontal="right"/>
      <protection locked="0"/>
    </xf>
    <xf numFmtId="170" fontId="5" fillId="33" borderId="50" xfId="405" applyNumberFormat="1" applyFont="1" applyFill="1" applyBorder="1" applyAlignment="1" applyProtection="1">
      <alignment horizontal="right"/>
      <protection locked="0"/>
    </xf>
    <xf numFmtId="179" fontId="5" fillId="0" borderId="50" xfId="405" applyNumberFormat="1" applyFont="1" applyBorder="1" applyAlignment="1" applyProtection="1">
      <alignment horizontal="right"/>
      <protection locked="0"/>
    </xf>
    <xf numFmtId="170" fontId="5" fillId="46" borderId="50" xfId="405" applyNumberFormat="1" applyFont="1" applyFill="1" applyBorder="1" applyAlignment="1" applyProtection="1">
      <alignment horizontal="right"/>
      <protection locked="0"/>
    </xf>
    <xf numFmtId="170" fontId="5" fillId="0" borderId="50" xfId="405" applyNumberFormat="1" applyFont="1" applyBorder="1" applyProtection="1">
      <protection locked="0"/>
    </xf>
    <xf numFmtId="0" fontId="5" fillId="33" borderId="54" xfId="333" applyFont="1" applyFill="1" applyBorder="1" applyAlignment="1">
      <alignment vertical="top"/>
    </xf>
    <xf numFmtId="170" fontId="127" fillId="33" borderId="55" xfId="18537" applyNumberFormat="1" applyFont="1" applyFill="1" applyBorder="1"/>
    <xf numFmtId="170" fontId="5" fillId="33" borderId="55" xfId="18537" applyNumberFormat="1" applyFont="1" applyFill="1" applyBorder="1"/>
    <xf numFmtId="170" fontId="5" fillId="33" borderId="58" xfId="18537" applyNumberFormat="1" applyFont="1" applyFill="1" applyBorder="1"/>
    <xf numFmtId="170" fontId="52" fillId="33" borderId="0" xfId="333" applyNumberFormat="1" applyFill="1"/>
    <xf numFmtId="0" fontId="49" fillId="33" borderId="0" xfId="18537" applyFill="1"/>
    <xf numFmtId="0" fontId="5" fillId="0" borderId="59" xfId="333" applyFont="1" applyBorder="1" applyAlignment="1">
      <alignment vertical="top"/>
    </xf>
    <xf numFmtId="170" fontId="127" fillId="0" borderId="45" xfId="18537" applyNumberFormat="1" applyFont="1" applyBorder="1"/>
    <xf numFmtId="170" fontId="5" fillId="0" borderId="45" xfId="18537" applyNumberFormat="1" applyFont="1" applyBorder="1"/>
    <xf numFmtId="170" fontId="5" fillId="33" borderId="45" xfId="18537" applyNumberFormat="1" applyFont="1" applyFill="1" applyBorder="1"/>
    <xf numFmtId="170" fontId="5" fillId="33" borderId="60" xfId="18537" applyNumberFormat="1" applyFont="1" applyFill="1" applyBorder="1"/>
    <xf numFmtId="0" fontId="5" fillId="0" borderId="61" xfId="333" applyFont="1" applyBorder="1" applyAlignment="1">
      <alignment vertical="top"/>
    </xf>
    <xf numFmtId="170" fontId="127" fillId="0" borderId="62" xfId="18537" applyNumberFormat="1" applyFont="1" applyBorder="1"/>
    <xf numFmtId="170" fontId="5" fillId="0" borderId="62" xfId="18537" applyNumberFormat="1" applyFont="1" applyBorder="1"/>
    <xf numFmtId="170" fontId="5" fillId="33" borderId="62" xfId="18537" applyNumberFormat="1" applyFont="1" applyFill="1" applyBorder="1"/>
    <xf numFmtId="170" fontId="5" fillId="33" borderId="63" xfId="18537" applyNumberFormat="1" applyFont="1" applyFill="1" applyBorder="1"/>
    <xf numFmtId="170" fontId="4" fillId="0" borderId="11" xfId="405" applyNumberFormat="1" applyFont="1" applyBorder="1" applyAlignment="1" applyProtection="1">
      <alignment horizontal="right"/>
      <protection locked="0"/>
    </xf>
    <xf numFmtId="170" fontId="5" fillId="0" borderId="11" xfId="405" applyNumberFormat="1" applyFont="1" applyBorder="1" applyAlignment="1" applyProtection="1">
      <alignment horizontal="right"/>
      <protection locked="0"/>
    </xf>
    <xf numFmtId="183" fontId="4" fillId="0" borderId="11" xfId="405" applyNumberFormat="1" applyFont="1" applyBorder="1" applyAlignment="1" applyProtection="1">
      <alignment horizontal="right"/>
      <protection locked="0"/>
    </xf>
    <xf numFmtId="180" fontId="4" fillId="0" borderId="11" xfId="405" applyNumberFormat="1" applyFont="1" applyBorder="1" applyAlignment="1" applyProtection="1">
      <alignment horizontal="right"/>
      <protection locked="0"/>
    </xf>
    <xf numFmtId="179" fontId="5" fillId="0" borderId="11" xfId="405" applyNumberFormat="1" applyFont="1" applyBorder="1" applyAlignment="1" applyProtection="1">
      <alignment horizontal="right"/>
      <protection locked="0"/>
    </xf>
    <xf numFmtId="170" fontId="5" fillId="46" borderId="11" xfId="405" applyNumberFormat="1" applyFont="1" applyFill="1" applyBorder="1" applyAlignment="1" applyProtection="1">
      <alignment horizontal="right"/>
      <protection locked="0"/>
    </xf>
    <xf numFmtId="170" fontId="5" fillId="0" borderId="11" xfId="405" applyNumberFormat="1" applyFont="1" applyBorder="1" applyProtection="1">
      <protection locked="0"/>
    </xf>
    <xf numFmtId="170" fontId="110" fillId="33" borderId="55" xfId="18537" applyNumberFormat="1" applyFont="1" applyFill="1" applyBorder="1"/>
    <xf numFmtId="183" fontId="4" fillId="33" borderId="55" xfId="405" applyNumberFormat="1" applyFont="1" applyFill="1" applyBorder="1" applyAlignment="1" applyProtection="1">
      <alignment horizontal="right"/>
      <protection locked="0"/>
    </xf>
    <xf numFmtId="0" fontId="5" fillId="0" borderId="44" xfId="333" applyFont="1" applyBorder="1" applyAlignment="1">
      <alignment vertical="top"/>
    </xf>
    <xf numFmtId="170" fontId="110" fillId="0" borderId="11" xfId="18537" applyNumberFormat="1" applyFont="1" applyBorder="1"/>
    <xf numFmtId="170" fontId="5" fillId="0" borderId="11" xfId="18537" applyNumberFormat="1" applyFont="1" applyBorder="1"/>
    <xf numFmtId="170" fontId="5" fillId="33" borderId="11" xfId="18537" applyNumberFormat="1" applyFont="1" applyFill="1" applyBorder="1"/>
    <xf numFmtId="170" fontId="5" fillId="33" borderId="64" xfId="18537" applyNumberFormat="1" applyFont="1" applyFill="1" applyBorder="1"/>
    <xf numFmtId="170" fontId="110" fillId="0" borderId="62" xfId="18537" applyNumberFormat="1" applyFont="1" applyBorder="1"/>
    <xf numFmtId="183" fontId="4" fillId="0" borderId="62" xfId="405" applyNumberFormat="1" applyFont="1" applyBorder="1" applyAlignment="1" applyProtection="1">
      <alignment horizontal="right"/>
      <protection locked="0"/>
    </xf>
    <xf numFmtId="0" fontId="110" fillId="33" borderId="0" xfId="18537" applyFont="1" applyFill="1"/>
    <xf numFmtId="0" fontId="110" fillId="46" borderId="0" xfId="18537" applyFont="1" applyFill="1"/>
    <xf numFmtId="0" fontId="5" fillId="0" borderId="54" xfId="333" applyFont="1" applyBorder="1" applyAlignment="1">
      <alignment vertical="top"/>
    </xf>
    <xf numFmtId="170" fontId="110" fillId="0" borderId="55" xfId="18537" applyNumberFormat="1" applyFont="1" applyBorder="1"/>
    <xf numFmtId="170" fontId="5" fillId="0" borderId="55" xfId="18537" applyNumberFormat="1" applyFont="1" applyBorder="1"/>
    <xf numFmtId="170" fontId="5" fillId="41" borderId="55" xfId="18537" applyNumberFormat="1" applyFont="1" applyFill="1" applyBorder="1"/>
    <xf numFmtId="170" fontId="5" fillId="47" borderId="55" xfId="18537" applyNumberFormat="1" applyFont="1" applyFill="1" applyBorder="1"/>
    <xf numFmtId="170" fontId="5" fillId="26" borderId="55" xfId="18537" applyNumberFormat="1" applyFont="1" applyFill="1" applyBorder="1"/>
    <xf numFmtId="170" fontId="5" fillId="47" borderId="11" xfId="18537" applyNumberFormat="1" applyFont="1" applyFill="1" applyBorder="1"/>
    <xf numFmtId="170" fontId="5" fillId="26" borderId="11" xfId="18537" applyNumberFormat="1" applyFont="1" applyFill="1" applyBorder="1"/>
    <xf numFmtId="170" fontId="5" fillId="47" borderId="62" xfId="18537" applyNumberFormat="1" applyFont="1" applyFill="1" applyBorder="1"/>
    <xf numFmtId="170" fontId="5" fillId="26" borderId="62" xfId="18537" applyNumberFormat="1" applyFont="1" applyFill="1" applyBorder="1"/>
    <xf numFmtId="0" fontId="110" fillId="47" borderId="0" xfId="18537" applyFont="1" applyFill="1"/>
    <xf numFmtId="170" fontId="110" fillId="0" borderId="0" xfId="18537" applyNumberFormat="1" applyFont="1"/>
    <xf numFmtId="164" fontId="110" fillId="0" borderId="0" xfId="18537" applyNumberFormat="1" applyFont="1"/>
    <xf numFmtId="0" fontId="5" fillId="0" borderId="46" xfId="18537" applyFont="1" applyBorder="1" applyAlignment="1">
      <alignment wrapText="1"/>
    </xf>
    <xf numFmtId="0" fontId="4" fillId="0" borderId="46" xfId="18537" applyFont="1" applyBorder="1"/>
    <xf numFmtId="169" fontId="5" fillId="47" borderId="46" xfId="18537" applyNumberFormat="1" applyFont="1" applyFill="1" applyBorder="1"/>
    <xf numFmtId="169" fontId="5" fillId="0" borderId="46" xfId="18537" applyNumberFormat="1" applyFont="1" applyBorder="1"/>
    <xf numFmtId="0" fontId="58" fillId="0" borderId="0" xfId="18537" applyFont="1"/>
    <xf numFmtId="179" fontId="5" fillId="48" borderId="46" xfId="18537" applyNumberFormat="1" applyFont="1" applyFill="1" applyBorder="1"/>
    <xf numFmtId="179" fontId="102" fillId="48" borderId="46" xfId="18537" applyNumberFormat="1" applyFont="1" applyFill="1" applyBorder="1"/>
    <xf numFmtId="0" fontId="5" fillId="0" borderId="0" xfId="18537" applyFont="1" applyAlignment="1">
      <alignment wrapText="1"/>
    </xf>
    <xf numFmtId="0" fontId="4" fillId="0" borderId="0" xfId="18537" applyFont="1"/>
    <xf numFmtId="169" fontId="5" fillId="0" borderId="0" xfId="18537" applyNumberFormat="1" applyFont="1"/>
    <xf numFmtId="169" fontId="127" fillId="0" borderId="0" xfId="18537" applyNumberFormat="1" applyFont="1"/>
    <xf numFmtId="0" fontId="24" fillId="0" borderId="0" xfId="335" applyFont="1" applyAlignment="1">
      <alignment vertical="top"/>
    </xf>
    <xf numFmtId="0" fontId="24" fillId="0" borderId="0" xfId="335" applyFont="1" applyAlignment="1">
      <alignment horizontal="right" vertical="top" wrapText="1"/>
    </xf>
    <xf numFmtId="0" fontId="138" fillId="0" borderId="0" xfId="335" applyFont="1" applyAlignment="1">
      <alignment vertical="top"/>
    </xf>
    <xf numFmtId="0" fontId="40" fillId="0" borderId="0" xfId="335" applyFont="1" applyAlignment="1">
      <alignment vertical="top"/>
    </xf>
    <xf numFmtId="0" fontId="40" fillId="0" borderId="65" xfId="333" applyFont="1" applyBorder="1" applyAlignment="1">
      <alignment horizontal="center"/>
    </xf>
    <xf numFmtId="0" fontId="142" fillId="0" borderId="0" xfId="335" applyFont="1" applyAlignment="1">
      <alignment vertical="top"/>
    </xf>
    <xf numFmtId="0" fontId="48" fillId="0" borderId="50" xfId="335" applyFont="1" applyBorder="1" applyAlignment="1">
      <alignment horizontal="center" vertical="top" wrapText="1"/>
    </xf>
    <xf numFmtId="0" fontId="47" fillId="0" borderId="54" xfId="335" applyFont="1" applyBorder="1" applyAlignment="1">
      <alignment horizontal="center" vertical="top"/>
    </xf>
    <xf numFmtId="0" fontId="47" fillId="0" borderId="55" xfId="335" applyFont="1" applyBorder="1" applyAlignment="1">
      <alignment horizontal="center" vertical="top"/>
    </xf>
    <xf numFmtId="0" fontId="47" fillId="0" borderId="74" xfId="335" applyFont="1" applyBorder="1" applyAlignment="1">
      <alignment horizontal="center" vertical="top"/>
    </xf>
    <xf numFmtId="0" fontId="47" fillId="0" borderId="55" xfId="335" applyFont="1" applyBorder="1" applyAlignment="1">
      <alignment horizontal="center" vertical="top" wrapText="1"/>
    </xf>
    <xf numFmtId="0" fontId="143" fillId="0" borderId="55" xfId="335" applyFont="1" applyBorder="1" applyAlignment="1">
      <alignment horizontal="center" vertical="top"/>
    </xf>
    <xf numFmtId="0" fontId="47" fillId="0" borderId="58" xfId="335" applyFont="1" applyBorder="1" applyAlignment="1">
      <alignment horizontal="center" vertical="top"/>
    </xf>
    <xf numFmtId="0" fontId="4" fillId="0" borderId="75" xfId="333" applyFont="1" applyBorder="1" applyAlignment="1">
      <alignment wrapText="1"/>
    </xf>
    <xf numFmtId="2" fontId="4" fillId="0" borderId="11" xfId="335" applyNumberFormat="1" applyFont="1" applyBorder="1" applyAlignment="1" applyProtection="1">
      <alignment vertical="top"/>
      <protection locked="0"/>
    </xf>
    <xf numFmtId="169" fontId="4" fillId="0" borderId="11" xfId="335" applyNumberFormat="1" applyFont="1" applyBorder="1" applyAlignment="1" applyProtection="1">
      <alignment vertical="top"/>
      <protection locked="0"/>
    </xf>
    <xf numFmtId="4" fontId="4" fillId="0" borderId="11" xfId="335" applyNumberFormat="1" applyFont="1" applyBorder="1" applyAlignment="1" applyProtection="1">
      <alignment vertical="top"/>
      <protection locked="0"/>
    </xf>
    <xf numFmtId="169" fontId="4" fillId="0" borderId="46" xfId="18355" applyNumberFormat="1" applyFont="1" applyBorder="1" applyAlignment="1" applyProtection="1">
      <alignment vertical="top"/>
      <protection locked="0"/>
    </xf>
    <xf numFmtId="175" fontId="4" fillId="0" borderId="11" xfId="335" applyNumberFormat="1" applyFont="1" applyBorder="1" applyAlignment="1" applyProtection="1">
      <alignment vertical="top"/>
      <protection locked="0"/>
    </xf>
    <xf numFmtId="179" fontId="144" fillId="0" borderId="11" xfId="335" applyNumberFormat="1" applyFont="1" applyBorder="1" applyAlignment="1" applyProtection="1">
      <alignment vertical="top"/>
      <protection locked="0"/>
    </xf>
    <xf numFmtId="184" fontId="4" fillId="0" borderId="11" xfId="335" applyNumberFormat="1" applyFont="1" applyBorder="1" applyAlignment="1" applyProtection="1">
      <alignment vertical="top"/>
      <protection locked="0"/>
    </xf>
    <xf numFmtId="179" fontId="4" fillId="0" borderId="64" xfId="335" applyNumberFormat="1" applyFont="1" applyBorder="1" applyAlignment="1" applyProtection="1">
      <alignment vertical="top"/>
      <protection locked="0"/>
    </xf>
    <xf numFmtId="0" fontId="4" fillId="0" borderId="76" xfId="333" applyFont="1" applyBorder="1" applyAlignment="1">
      <alignment wrapText="1"/>
    </xf>
    <xf numFmtId="2" fontId="4" fillId="0" borderId="46" xfId="335" applyNumberFormat="1" applyFont="1" applyBorder="1" applyAlignment="1" applyProtection="1">
      <alignment vertical="top"/>
      <protection locked="0"/>
    </xf>
    <xf numFmtId="169" fontId="4" fillId="0" borderId="46" xfId="335" applyNumberFormat="1" applyFont="1" applyBorder="1" applyAlignment="1" applyProtection="1">
      <alignment vertical="top"/>
      <protection locked="0"/>
    </xf>
    <xf numFmtId="4" fontId="4" fillId="0" borderId="46" xfId="335" applyNumberFormat="1" applyFont="1" applyBorder="1" applyAlignment="1" applyProtection="1">
      <alignment vertical="top"/>
      <protection locked="0"/>
    </xf>
    <xf numFmtId="2" fontId="58" fillId="0" borderId="46" xfId="333" applyNumberFormat="1" applyFont="1" applyBorder="1" applyAlignment="1" applyProtection="1">
      <alignment vertical="top" wrapText="1"/>
      <protection locked="0"/>
    </xf>
    <xf numFmtId="2" fontId="145" fillId="0" borderId="46" xfId="18538" applyNumberFormat="1" applyFont="1" applyBorder="1" applyAlignment="1" applyProtection="1">
      <alignment horizontal="right" vertical="top"/>
      <protection locked="0"/>
    </xf>
    <xf numFmtId="2" fontId="4" fillId="0" borderId="46" xfId="417" applyNumberFormat="1" applyFont="1" applyFill="1" applyBorder="1" applyAlignment="1" applyProtection="1">
      <alignment vertical="top"/>
      <protection locked="0"/>
    </xf>
    <xf numFmtId="0" fontId="4" fillId="0" borderId="76" xfId="417" applyNumberFormat="1" applyFont="1" applyFill="1" applyBorder="1" applyAlignment="1">
      <alignment wrapText="1"/>
    </xf>
    <xf numFmtId="0" fontId="4" fillId="0" borderId="76" xfId="18156" applyFont="1" applyBorder="1" applyAlignment="1">
      <alignment wrapText="1"/>
    </xf>
    <xf numFmtId="0" fontId="4" fillId="0" borderId="76" xfId="4104" applyFont="1" applyBorder="1" applyAlignment="1">
      <alignment wrapText="1"/>
    </xf>
    <xf numFmtId="0" fontId="4" fillId="0" borderId="77" xfId="333" applyFont="1" applyBorder="1" applyAlignment="1">
      <alignment horizontal="left" wrapText="1"/>
    </xf>
    <xf numFmtId="2" fontId="4" fillId="0" borderId="50" xfId="335" applyNumberFormat="1" applyFont="1" applyBorder="1" applyAlignment="1" applyProtection="1">
      <alignment vertical="top"/>
      <protection locked="0"/>
    </xf>
    <xf numFmtId="169" fontId="4" fillId="0" borderId="50" xfId="335" applyNumberFormat="1" applyFont="1" applyBorder="1" applyAlignment="1" applyProtection="1">
      <alignment vertical="top"/>
      <protection locked="0"/>
    </xf>
    <xf numFmtId="4" fontId="4" fillId="0" borderId="50" xfId="335" applyNumberFormat="1" applyFont="1" applyBorder="1" applyAlignment="1" applyProtection="1">
      <alignment vertical="top"/>
      <protection locked="0"/>
    </xf>
    <xf numFmtId="0" fontId="5" fillId="0" borderId="78" xfId="333" applyFont="1" applyBorder="1"/>
    <xf numFmtId="4" fontId="5" fillId="0" borderId="55" xfId="335" applyNumberFormat="1" applyFont="1" applyBorder="1" applyAlignment="1">
      <alignment vertical="top"/>
    </xf>
    <xf numFmtId="169" fontId="5" fillId="0" borderId="55" xfId="335" applyNumberFormat="1" applyFont="1" applyBorder="1" applyAlignment="1">
      <alignment vertical="top"/>
    </xf>
    <xf numFmtId="4" fontId="5" fillId="0" borderId="55" xfId="335" applyNumberFormat="1" applyFont="1" applyBorder="1" applyAlignment="1">
      <alignment horizontal="center" vertical="top"/>
    </xf>
    <xf numFmtId="169" fontId="5" fillId="0" borderId="58" xfId="335" applyNumberFormat="1" applyFont="1" applyBorder="1" applyAlignment="1">
      <alignment vertical="top"/>
    </xf>
    <xf numFmtId="0" fontId="5" fillId="0" borderId="75" xfId="333" applyFont="1" applyBorder="1"/>
    <xf numFmtId="4" fontId="5" fillId="0" borderId="11" xfId="335" applyNumberFormat="1" applyFont="1" applyBorder="1" applyAlignment="1">
      <alignment vertical="top"/>
    </xf>
    <xf numFmtId="169" fontId="4" fillId="0" borderId="22" xfId="335" applyNumberFormat="1" applyFont="1" applyBorder="1" applyAlignment="1">
      <alignment vertical="top"/>
    </xf>
    <xf numFmtId="4" fontId="5" fillId="0" borderId="11" xfId="335" applyNumberFormat="1" applyFont="1" applyBorder="1" applyAlignment="1">
      <alignment horizontal="center" vertical="top"/>
    </xf>
    <xf numFmtId="169" fontId="5" fillId="0" borderId="11" xfId="335" applyNumberFormat="1" applyFont="1" applyBorder="1" applyAlignment="1">
      <alignment vertical="top"/>
    </xf>
    <xf numFmtId="169" fontId="5" fillId="0" borderId="64" xfId="335" applyNumberFormat="1" applyFont="1" applyBorder="1" applyAlignment="1">
      <alignment vertical="top"/>
    </xf>
    <xf numFmtId="0" fontId="5" fillId="0" borderId="79" xfId="333" applyFont="1" applyBorder="1"/>
    <xf numFmtId="4" fontId="5" fillId="0" borderId="62" xfId="335" applyNumberFormat="1" applyFont="1" applyBorder="1" applyAlignment="1">
      <alignment vertical="top"/>
    </xf>
    <xf numFmtId="169" fontId="4" fillId="0" borderId="62" xfId="335" applyNumberFormat="1" applyFont="1" applyBorder="1" applyAlignment="1">
      <alignment vertical="top"/>
    </xf>
    <xf numFmtId="4" fontId="5" fillId="0" borderId="62" xfId="335" applyNumberFormat="1" applyFont="1" applyBorder="1" applyAlignment="1">
      <alignment horizontal="center" vertical="top"/>
    </xf>
    <xf numFmtId="169" fontId="5" fillId="0" borderId="62" xfId="335" applyNumberFormat="1" applyFont="1" applyBorder="1" applyAlignment="1">
      <alignment vertical="top"/>
    </xf>
    <xf numFmtId="169" fontId="5" fillId="0" borderId="63" xfId="335" applyNumberFormat="1" applyFont="1" applyBorder="1" applyAlignment="1">
      <alignment vertical="top"/>
    </xf>
    <xf numFmtId="0" fontId="4" fillId="0" borderId="75" xfId="4079" applyFont="1" applyBorder="1" applyAlignment="1">
      <alignment wrapText="1"/>
    </xf>
    <xf numFmtId="2" fontId="4" fillId="0" borderId="11" xfId="335" applyNumberFormat="1" applyFont="1" applyBorder="1" applyAlignment="1" applyProtection="1">
      <alignment horizontal="center" vertical="top"/>
      <protection locked="0"/>
    </xf>
    <xf numFmtId="169" fontId="4" fillId="0" borderId="11" xfId="18355" applyNumberFormat="1" applyFont="1" applyBorder="1" applyAlignment="1" applyProtection="1">
      <alignment vertical="top"/>
      <protection locked="0"/>
    </xf>
    <xf numFmtId="4" fontId="52" fillId="0" borderId="0" xfId="333" applyNumberFormat="1"/>
    <xf numFmtId="2" fontId="5" fillId="0" borderId="46" xfId="335" applyNumberFormat="1" applyFont="1" applyBorder="1" applyAlignment="1" applyProtection="1">
      <alignment vertical="top"/>
      <protection locked="0"/>
    </xf>
    <xf numFmtId="2" fontId="146" fillId="0" borderId="46" xfId="335" applyNumberFormat="1" applyFont="1" applyBorder="1" applyAlignment="1" applyProtection="1">
      <alignment vertical="top"/>
      <protection locked="0"/>
    </xf>
    <xf numFmtId="2" fontId="58" fillId="0" borderId="46" xfId="333" applyNumberFormat="1" applyFont="1" applyBorder="1" applyAlignment="1" applyProtection="1">
      <alignment vertical="top"/>
      <protection locked="0"/>
    </xf>
    <xf numFmtId="0" fontId="4" fillId="0" borderId="77" xfId="333" applyFont="1" applyBorder="1" applyAlignment="1">
      <alignment wrapText="1"/>
    </xf>
    <xf numFmtId="0" fontId="74" fillId="0" borderId="78" xfId="333" applyFont="1" applyBorder="1"/>
    <xf numFmtId="0" fontId="74" fillId="0" borderId="80" xfId="333" applyFont="1" applyBorder="1"/>
    <xf numFmtId="0" fontId="74" fillId="0" borderId="79" xfId="333" applyFont="1" applyBorder="1"/>
    <xf numFmtId="0" fontId="4" fillId="0" borderId="44" xfId="333" applyFont="1" applyBorder="1" applyAlignment="1">
      <alignment wrapText="1"/>
    </xf>
    <xf numFmtId="0" fontId="4" fillId="0" borderId="81" xfId="333" applyFont="1" applyBorder="1" applyAlignment="1">
      <alignment wrapText="1"/>
    </xf>
    <xf numFmtId="0" fontId="4" fillId="0" borderId="82" xfId="333" applyFont="1" applyBorder="1" applyAlignment="1">
      <alignment wrapText="1"/>
    </xf>
    <xf numFmtId="0" fontId="74" fillId="0" borderId="75" xfId="333" applyFont="1" applyBorder="1"/>
    <xf numFmtId="0" fontId="5" fillId="0" borderId="78" xfId="333" applyFont="1" applyBorder="1" applyAlignment="1">
      <alignment wrapText="1"/>
    </xf>
    <xf numFmtId="2" fontId="4" fillId="0" borderId="55" xfId="335" applyNumberFormat="1" applyFont="1" applyBorder="1" applyAlignment="1" applyProtection="1">
      <alignment vertical="top"/>
      <protection locked="0"/>
    </xf>
    <xf numFmtId="169" fontId="4" fillId="0" borderId="55" xfId="335" applyNumberFormat="1" applyFont="1" applyBorder="1" applyAlignment="1" applyProtection="1">
      <alignment vertical="top"/>
      <protection locked="0"/>
    </xf>
    <xf numFmtId="4" fontId="4" fillId="0" borderId="55" xfId="335" applyNumberFormat="1" applyFont="1" applyBorder="1" applyAlignment="1" applyProtection="1">
      <alignment vertical="top"/>
      <protection locked="0"/>
    </xf>
    <xf numFmtId="169" fontId="4" fillId="0" borderId="55" xfId="18355" applyNumberFormat="1" applyFont="1" applyBorder="1" applyAlignment="1" applyProtection="1">
      <alignment vertical="top"/>
      <protection locked="0"/>
    </xf>
    <xf numFmtId="175" fontId="4" fillId="0" borderId="55" xfId="335" applyNumberFormat="1" applyFont="1" applyBorder="1" applyAlignment="1" applyProtection="1">
      <alignment vertical="top"/>
      <protection locked="0"/>
    </xf>
    <xf numFmtId="179" fontId="144" fillId="0" borderId="55" xfId="335" applyNumberFormat="1" applyFont="1" applyBorder="1" applyAlignment="1" applyProtection="1">
      <alignment vertical="top"/>
      <protection locked="0"/>
    </xf>
    <xf numFmtId="184" fontId="4" fillId="0" borderId="55" xfId="335" applyNumberFormat="1" applyFont="1" applyBorder="1" applyAlignment="1" applyProtection="1">
      <alignment vertical="top"/>
      <protection locked="0"/>
    </xf>
    <xf numFmtId="179" fontId="4" fillId="0" borderId="58" xfId="335" applyNumberFormat="1" applyFont="1" applyBorder="1" applyAlignment="1" applyProtection="1">
      <alignment vertical="top"/>
      <protection locked="0"/>
    </xf>
    <xf numFmtId="0" fontId="5" fillId="0" borderId="66" xfId="333" applyFont="1" applyBorder="1" applyAlignment="1">
      <alignment wrapText="1"/>
    </xf>
    <xf numFmtId="0" fontId="4" fillId="0" borderId="73" xfId="335" applyFont="1" applyBorder="1" applyAlignment="1">
      <alignment vertical="top"/>
    </xf>
    <xf numFmtId="169" fontId="4" fillId="0" borderId="73" xfId="335" applyNumberFormat="1" applyFont="1" applyBorder="1" applyAlignment="1">
      <alignment vertical="top"/>
    </xf>
    <xf numFmtId="4" fontId="4" fillId="0" borderId="73" xfId="335" applyNumberFormat="1" applyFont="1" applyBorder="1" applyAlignment="1">
      <alignment vertical="top"/>
    </xf>
    <xf numFmtId="4" fontId="4" fillId="0" borderId="22" xfId="335" applyNumberFormat="1" applyFont="1" applyBorder="1" applyAlignment="1">
      <alignment vertical="top"/>
    </xf>
    <xf numFmtId="169" fontId="4" fillId="0" borderId="22" xfId="18355" applyNumberFormat="1" applyFont="1" applyBorder="1" applyAlignment="1">
      <alignment vertical="top"/>
    </xf>
    <xf numFmtId="175" fontId="4" fillId="0" borderId="22" xfId="335" applyNumberFormat="1" applyFont="1" applyBorder="1" applyAlignment="1">
      <alignment vertical="top"/>
    </xf>
    <xf numFmtId="179" fontId="144" fillId="0" borderId="22" xfId="335" applyNumberFormat="1" applyFont="1" applyBorder="1" applyAlignment="1">
      <alignment vertical="top"/>
    </xf>
    <xf numFmtId="184" fontId="4" fillId="0" borderId="22" xfId="335" applyNumberFormat="1" applyFont="1" applyBorder="1" applyAlignment="1">
      <alignment vertical="top"/>
    </xf>
    <xf numFmtId="179" fontId="4" fillId="0" borderId="72" xfId="335" applyNumberFormat="1" applyFont="1" applyBorder="1" applyAlignment="1">
      <alignment vertical="top"/>
    </xf>
    <xf numFmtId="169" fontId="5" fillId="0" borderId="55" xfId="335" applyNumberFormat="1" applyFont="1" applyBorder="1" applyAlignment="1">
      <alignment horizontal="center" vertical="top"/>
    </xf>
    <xf numFmtId="169" fontId="5" fillId="0" borderId="11" xfId="335" applyNumberFormat="1" applyFont="1" applyBorder="1" applyAlignment="1">
      <alignment horizontal="center" vertical="top"/>
    </xf>
    <xf numFmtId="169" fontId="5" fillId="0" borderId="62" xfId="335" applyNumberFormat="1" applyFont="1" applyBorder="1" applyAlignment="1">
      <alignment horizontal="center" vertical="top"/>
    </xf>
    <xf numFmtId="4" fontId="4" fillId="0" borderId="0" xfId="335" applyNumberFormat="1" applyFont="1" applyAlignment="1">
      <alignment vertical="top"/>
    </xf>
    <xf numFmtId="169" fontId="4" fillId="0" borderId="0" xfId="335" applyNumberFormat="1" applyFont="1" applyAlignment="1">
      <alignment vertical="top"/>
    </xf>
    <xf numFmtId="0" fontId="144" fillId="0" borderId="0" xfId="335" applyFont="1" applyAlignment="1">
      <alignment vertical="top"/>
    </xf>
    <xf numFmtId="0" fontId="5" fillId="0" borderId="0" xfId="335" applyFont="1" applyAlignment="1">
      <alignment vertical="top"/>
    </xf>
    <xf numFmtId="0" fontId="147" fillId="0" borderId="0" xfId="335" applyFont="1" applyAlignment="1">
      <alignment vertical="top"/>
    </xf>
    <xf numFmtId="0" fontId="74" fillId="0" borderId="0" xfId="333" applyFont="1" applyAlignment="1">
      <alignment horizontal="center" vertical="top"/>
    </xf>
    <xf numFmtId="0" fontId="148" fillId="0" borderId="0" xfId="335" applyFont="1" applyAlignment="1">
      <alignment vertical="top"/>
    </xf>
    <xf numFmtId="0" fontId="5" fillId="0" borderId="0" xfId="333" applyFont="1" applyAlignment="1">
      <alignment horizontal="center" vertical="top"/>
    </xf>
    <xf numFmtId="0" fontId="114" fillId="0" borderId="0" xfId="335" applyFont="1" applyAlignment="1">
      <alignment vertical="top" wrapText="1"/>
    </xf>
    <xf numFmtId="0" fontId="47" fillId="0" borderId="54" xfId="335" applyFont="1" applyBorder="1" applyAlignment="1">
      <alignment horizontal="center" vertical="top" wrapText="1"/>
    </xf>
    <xf numFmtId="0" fontId="47" fillId="0" borderId="74" xfId="335" applyFont="1" applyBorder="1" applyAlignment="1">
      <alignment horizontal="center" vertical="top" wrapText="1"/>
    </xf>
    <xf numFmtId="0" fontId="143" fillId="0" borderId="85" xfId="335" applyFont="1" applyBorder="1" applyAlignment="1">
      <alignment horizontal="center" vertical="top" wrapText="1"/>
    </xf>
    <xf numFmtId="0" fontId="47" fillId="0" borderId="85" xfId="335" applyFont="1" applyBorder="1" applyAlignment="1">
      <alignment horizontal="center" vertical="top" wrapText="1"/>
    </xf>
    <xf numFmtId="0" fontId="47" fillId="0" borderId="86" xfId="335" applyFont="1" applyBorder="1" applyAlignment="1">
      <alignment horizontal="center" vertical="top" wrapText="1"/>
    </xf>
    <xf numFmtId="0" fontId="4" fillId="0" borderId="50" xfId="335" applyFont="1" applyBorder="1" applyAlignment="1">
      <alignment vertical="top"/>
    </xf>
    <xf numFmtId="170" fontId="4" fillId="0" borderId="11" xfId="335" applyNumberFormat="1" applyFont="1" applyBorder="1" applyAlignment="1" applyProtection="1">
      <alignment horizontal="center" vertical="top"/>
      <protection locked="0"/>
    </xf>
    <xf numFmtId="170" fontId="4" fillId="0" borderId="11" xfId="335" applyNumberFormat="1" applyFont="1" applyBorder="1" applyAlignment="1" applyProtection="1">
      <alignment vertical="top"/>
      <protection locked="0"/>
    </xf>
    <xf numFmtId="179" fontId="4" fillId="0" borderId="11" xfId="335" applyNumberFormat="1" applyFont="1" applyBorder="1" applyAlignment="1" applyProtection="1">
      <alignment vertical="top"/>
      <protection locked="0"/>
    </xf>
    <xf numFmtId="0" fontId="4" fillId="0" borderId="46" xfId="335" applyFont="1" applyBorder="1" applyAlignment="1" applyProtection="1">
      <alignment vertical="top"/>
      <protection locked="0"/>
    </xf>
    <xf numFmtId="170" fontId="4" fillId="0" borderId="46" xfId="335" applyNumberFormat="1" applyFont="1" applyBorder="1" applyAlignment="1" applyProtection="1">
      <alignment horizontal="center" vertical="top"/>
      <protection locked="0"/>
    </xf>
    <xf numFmtId="170" fontId="4" fillId="0" borderId="46" xfId="335" applyNumberFormat="1" applyFont="1" applyBorder="1" applyAlignment="1" applyProtection="1">
      <alignment vertical="top"/>
      <protection locked="0"/>
    </xf>
    <xf numFmtId="0" fontId="4" fillId="0" borderId="11" xfId="335" applyFont="1" applyBorder="1" applyAlignment="1">
      <alignment vertical="top"/>
    </xf>
    <xf numFmtId="0" fontId="150" fillId="0" borderId="0" xfId="333" applyFont="1" applyAlignment="1">
      <alignment vertical="top"/>
    </xf>
    <xf numFmtId="0" fontId="4" fillId="0" borderId="46" xfId="335" applyFont="1" applyBorder="1" applyAlignment="1">
      <alignment vertical="top"/>
    </xf>
    <xf numFmtId="0" fontId="150" fillId="0" borderId="46" xfId="333" applyFont="1" applyBorder="1" applyAlignment="1" applyProtection="1">
      <alignment vertical="top"/>
      <protection locked="0"/>
    </xf>
    <xf numFmtId="4" fontId="4" fillId="0" borderId="46" xfId="18539" applyNumberFormat="1" applyFont="1" applyBorder="1" applyAlignment="1" applyProtection="1">
      <alignment horizontal="center" vertical="top" wrapText="1"/>
      <protection locked="0"/>
    </xf>
    <xf numFmtId="3" fontId="151" fillId="0" borderId="50" xfId="333" applyNumberFormat="1" applyFont="1" applyBorder="1" applyAlignment="1">
      <alignment vertical="top"/>
    </xf>
    <xf numFmtId="0" fontId="4" fillId="0" borderId="46" xfId="417" applyNumberFormat="1" applyFont="1" applyFill="1" applyBorder="1" applyAlignment="1">
      <alignment vertical="top"/>
    </xf>
    <xf numFmtId="185" fontId="4" fillId="0" borderId="46" xfId="417" applyNumberFormat="1" applyFont="1" applyFill="1" applyBorder="1" applyAlignment="1" applyProtection="1">
      <alignment horizontal="center" vertical="top"/>
      <protection locked="0"/>
    </xf>
    <xf numFmtId="4" fontId="4" fillId="0" borderId="46" xfId="335" applyNumberFormat="1" applyFont="1" applyBorder="1" applyAlignment="1" applyProtection="1">
      <alignment horizontal="center" vertical="top"/>
      <protection locked="0"/>
    </xf>
    <xf numFmtId="170" fontId="4" fillId="0" borderId="46" xfId="335" applyNumberFormat="1" applyFont="1" applyBorder="1" applyAlignment="1">
      <alignment vertical="top"/>
    </xf>
    <xf numFmtId="0" fontId="4" fillId="0" borderId="46" xfId="333" applyFont="1" applyBorder="1" applyAlignment="1" applyProtection="1">
      <alignment horizontal="center" vertical="top"/>
      <protection locked="0"/>
    </xf>
    <xf numFmtId="0" fontId="4" fillId="0" borderId="73" xfId="335" applyFont="1" applyBorder="1" applyAlignment="1">
      <alignment horizontal="left" vertical="top"/>
    </xf>
    <xf numFmtId="0" fontId="4" fillId="0" borderId="50" xfId="333" applyFont="1" applyBorder="1" applyAlignment="1" applyProtection="1">
      <alignment horizontal="center" vertical="top"/>
      <protection locked="0"/>
    </xf>
    <xf numFmtId="170" fontId="4" fillId="0" borderId="50" xfId="335" applyNumberFormat="1" applyFont="1" applyBorder="1" applyAlignment="1" applyProtection="1">
      <alignment vertical="top"/>
      <protection locked="0"/>
    </xf>
    <xf numFmtId="0" fontId="5" fillId="0" borderId="55" xfId="335" applyFont="1" applyBorder="1" applyAlignment="1">
      <alignment horizontal="center" vertical="top"/>
    </xf>
    <xf numFmtId="170" fontId="5" fillId="0" borderId="55" xfId="335" applyNumberFormat="1" applyFont="1" applyBorder="1" applyAlignment="1">
      <alignment horizontal="center" vertical="top"/>
    </xf>
    <xf numFmtId="170" fontId="5" fillId="0" borderId="55" xfId="335" applyNumberFormat="1" applyFont="1" applyBorder="1" applyAlignment="1">
      <alignment vertical="top"/>
    </xf>
    <xf numFmtId="179" fontId="5" fillId="0" borderId="55" xfId="335" applyNumberFormat="1" applyFont="1" applyBorder="1" applyAlignment="1">
      <alignment vertical="top"/>
    </xf>
    <xf numFmtId="179" fontId="5" fillId="0" borderId="58" xfId="335" applyNumberFormat="1" applyFont="1" applyBorder="1" applyAlignment="1">
      <alignment vertical="top"/>
    </xf>
    <xf numFmtId="0" fontId="125" fillId="0" borderId="0" xfId="335" applyFont="1" applyAlignment="1">
      <alignment vertical="top"/>
    </xf>
    <xf numFmtId="0" fontId="5" fillId="0" borderId="11" xfId="335" applyFont="1" applyBorder="1" applyAlignment="1">
      <alignment horizontal="center" vertical="top"/>
    </xf>
    <xf numFmtId="170" fontId="5" fillId="0" borderId="11" xfId="335" applyNumberFormat="1" applyFont="1" applyBorder="1" applyAlignment="1">
      <alignment horizontal="center" vertical="top"/>
    </xf>
    <xf numFmtId="170" fontId="5" fillId="0" borderId="11" xfId="335" applyNumberFormat="1" applyFont="1" applyBorder="1" applyAlignment="1">
      <alignment vertical="top"/>
    </xf>
    <xf numFmtId="179" fontId="5" fillId="0" borderId="11" xfId="335" applyNumberFormat="1" applyFont="1" applyBorder="1" applyAlignment="1">
      <alignment vertical="top"/>
    </xf>
    <xf numFmtId="179" fontId="5" fillId="0" borderId="64" xfId="335" applyNumberFormat="1" applyFont="1" applyBorder="1" applyAlignment="1">
      <alignment vertical="top"/>
    </xf>
    <xf numFmtId="0" fontId="5" fillId="0" borderId="62" xfId="335" applyFont="1" applyBorder="1" applyAlignment="1">
      <alignment horizontal="center" vertical="top"/>
    </xf>
    <xf numFmtId="170" fontId="5" fillId="0" borderId="62" xfId="335" applyNumberFormat="1" applyFont="1" applyBorder="1" applyAlignment="1">
      <alignment horizontal="center" vertical="top"/>
    </xf>
    <xf numFmtId="170" fontId="5" fillId="0" borderId="62" xfId="335" applyNumberFormat="1" applyFont="1" applyBorder="1" applyAlignment="1">
      <alignment vertical="top"/>
    </xf>
    <xf numFmtId="179" fontId="5" fillId="0" borderId="62" xfId="335" applyNumberFormat="1" applyFont="1" applyBorder="1" applyAlignment="1">
      <alignment vertical="top"/>
    </xf>
    <xf numFmtId="179" fontId="5" fillId="0" borderId="63" xfId="335" applyNumberFormat="1" applyFont="1" applyBorder="1" applyAlignment="1">
      <alignment vertical="top"/>
    </xf>
    <xf numFmtId="0" fontId="4" fillId="0" borderId="46" xfId="335" applyFont="1" applyBorder="1" applyAlignment="1">
      <alignment vertical="top" wrapText="1"/>
    </xf>
    <xf numFmtId="4" fontId="58" fillId="0" borderId="46" xfId="333" applyNumberFormat="1" applyFont="1" applyBorder="1" applyAlignment="1" applyProtection="1">
      <alignment horizontal="center" vertical="top"/>
      <protection locked="0"/>
    </xf>
    <xf numFmtId="4" fontId="4" fillId="0" borderId="46" xfId="333" applyNumberFormat="1" applyFont="1" applyBorder="1" applyAlignment="1" applyProtection="1">
      <alignment horizontal="center" vertical="top"/>
      <protection locked="0"/>
    </xf>
    <xf numFmtId="0" fontId="152" fillId="0" borderId="0" xfId="333" applyFont="1" applyAlignment="1">
      <alignment horizontal="left" vertical="top"/>
    </xf>
    <xf numFmtId="0" fontId="4" fillId="0" borderId="46" xfId="335" applyFont="1" applyBorder="1" applyAlignment="1" applyProtection="1">
      <alignment horizontal="center" vertical="top"/>
      <protection locked="0"/>
    </xf>
    <xf numFmtId="0" fontId="23" fillId="0" borderId="46" xfId="335" applyFont="1" applyBorder="1" applyAlignment="1">
      <alignment vertical="top"/>
    </xf>
    <xf numFmtId="22" fontId="4" fillId="0" borderId="46" xfId="335" applyNumberFormat="1" applyFont="1" applyBorder="1" applyAlignment="1">
      <alignment vertical="top"/>
    </xf>
    <xf numFmtId="0" fontId="4" fillId="0" borderId="46" xfId="335" applyFont="1" applyBorder="1" applyAlignment="1">
      <alignment horizontal="left" vertical="top"/>
    </xf>
    <xf numFmtId="0" fontId="4" fillId="0" borderId="50" xfId="335" applyFont="1" applyBorder="1" applyAlignment="1" applyProtection="1">
      <alignment horizontal="center" vertical="top"/>
      <protection locked="0"/>
    </xf>
    <xf numFmtId="179" fontId="5" fillId="0" borderId="55" xfId="335" applyNumberFormat="1" applyFont="1" applyBorder="1" applyAlignment="1">
      <alignment horizontal="center" vertical="top"/>
    </xf>
    <xf numFmtId="179" fontId="5" fillId="0" borderId="11" xfId="335" applyNumberFormat="1" applyFont="1" applyBorder="1" applyAlignment="1">
      <alignment horizontal="center" vertical="top"/>
    </xf>
    <xf numFmtId="179" fontId="5" fillId="0" borderId="62" xfId="335" applyNumberFormat="1" applyFont="1" applyBorder="1" applyAlignment="1">
      <alignment horizontal="center" vertical="top"/>
    </xf>
    <xf numFmtId="0" fontId="147" fillId="0" borderId="46" xfId="335" applyFont="1" applyBorder="1" applyAlignment="1" applyProtection="1">
      <alignment vertical="top"/>
      <protection locked="0"/>
    </xf>
    <xf numFmtId="0" fontId="147" fillId="0" borderId="50" xfId="335" applyFont="1" applyBorder="1" applyAlignment="1" applyProtection="1">
      <alignment vertical="top"/>
      <protection locked="0"/>
    </xf>
    <xf numFmtId="0" fontId="147" fillId="0" borderId="55" xfId="335" applyFont="1" applyBorder="1" applyAlignment="1">
      <alignment vertical="top"/>
    </xf>
    <xf numFmtId="0" fontId="4" fillId="0" borderId="55" xfId="335" applyFont="1" applyBorder="1" applyAlignment="1">
      <alignment horizontal="center" vertical="top"/>
    </xf>
    <xf numFmtId="170" fontId="4" fillId="0" borderId="55" xfId="335" applyNumberFormat="1" applyFont="1" applyBorder="1" applyAlignment="1">
      <alignment vertical="top"/>
    </xf>
    <xf numFmtId="4" fontId="4" fillId="0" borderId="11" xfId="335" applyNumberFormat="1" applyFont="1" applyBorder="1" applyAlignment="1">
      <alignment vertical="top"/>
    </xf>
    <xf numFmtId="169" fontId="4" fillId="0" borderId="46" xfId="18355" applyNumberFormat="1" applyFont="1" applyBorder="1" applyAlignment="1">
      <alignment vertical="top"/>
    </xf>
    <xf numFmtId="175" fontId="4" fillId="0" borderId="11" xfId="335" applyNumberFormat="1" applyFont="1" applyBorder="1" applyAlignment="1">
      <alignment vertical="top"/>
    </xf>
    <xf numFmtId="179" fontId="144" fillId="0" borderId="11" xfId="335" applyNumberFormat="1" applyFont="1" applyBorder="1" applyAlignment="1">
      <alignment vertical="top"/>
    </xf>
    <xf numFmtId="184" fontId="4" fillId="0" borderId="11" xfId="335" applyNumberFormat="1" applyFont="1" applyBorder="1" applyAlignment="1">
      <alignment vertical="top"/>
    </xf>
    <xf numFmtId="179" fontId="4" fillId="0" borderId="11" xfId="335" applyNumberFormat="1" applyFont="1" applyBorder="1" applyAlignment="1">
      <alignment vertical="top"/>
    </xf>
    <xf numFmtId="179" fontId="4" fillId="0" borderId="22" xfId="335" applyNumberFormat="1" applyFont="1" applyBorder="1" applyAlignment="1">
      <alignment vertical="top"/>
    </xf>
    <xf numFmtId="170" fontId="4" fillId="0" borderId="0" xfId="335" applyNumberFormat="1" applyFont="1" applyAlignment="1">
      <alignment horizontal="center" vertical="top"/>
    </xf>
    <xf numFmtId="170" fontId="147" fillId="0" borderId="0" xfId="335" applyNumberFormat="1" applyFont="1" applyAlignment="1">
      <alignment vertical="top"/>
    </xf>
    <xf numFmtId="179" fontId="147" fillId="0" borderId="0" xfId="335" applyNumberFormat="1" applyFont="1" applyAlignment="1">
      <alignment vertical="top"/>
    </xf>
    <xf numFmtId="0" fontId="4" fillId="0" borderId="0" xfId="335" applyFont="1" applyAlignment="1">
      <alignment horizontal="center" vertical="top"/>
    </xf>
    <xf numFmtId="0" fontId="77" fillId="0" borderId="0" xfId="18411" applyFont="1" applyAlignment="1">
      <alignment vertical="top"/>
    </xf>
    <xf numFmtId="0" fontId="34" fillId="0" borderId="65" xfId="333" applyFont="1" applyBorder="1" applyAlignment="1">
      <alignment horizontal="center"/>
    </xf>
    <xf numFmtId="0" fontId="115" fillId="0" borderId="54" xfId="335" applyFont="1" applyBorder="1" applyAlignment="1">
      <alignment horizontal="center" vertical="top" wrapText="1"/>
    </xf>
    <xf numFmtId="0" fontId="115" fillId="0" borderId="55" xfId="335" applyFont="1" applyBorder="1" applyAlignment="1">
      <alignment horizontal="center" vertical="top" wrapText="1"/>
    </xf>
    <xf numFmtId="0" fontId="115" fillId="0" borderId="58" xfId="335" applyFont="1" applyBorder="1" applyAlignment="1">
      <alignment horizontal="center" vertical="top" wrapText="1"/>
    </xf>
    <xf numFmtId="0" fontId="23" fillId="28" borderId="11" xfId="335" applyFont="1" applyFill="1" applyBorder="1" applyAlignment="1">
      <alignment horizontal="left" vertical="center"/>
    </xf>
    <xf numFmtId="170" fontId="23" fillId="28" borderId="11" xfId="335" applyNumberFormat="1" applyFont="1" applyFill="1" applyBorder="1" applyAlignment="1" applyProtection="1">
      <alignment vertical="top"/>
      <protection locked="0"/>
    </xf>
    <xf numFmtId="170" fontId="23" fillId="40" borderId="11" xfId="417" applyNumberFormat="1" applyFont="1" applyFill="1" applyBorder="1" applyAlignment="1" applyProtection="1">
      <alignment vertical="top"/>
      <protection locked="0"/>
    </xf>
    <xf numFmtId="169" fontId="23" fillId="0" borderId="11" xfId="18355" applyNumberFormat="1" applyFont="1" applyBorder="1" applyAlignment="1" applyProtection="1">
      <alignment vertical="top"/>
      <protection locked="0"/>
    </xf>
    <xf numFmtId="181" fontId="23" fillId="0" borderId="11" xfId="335" applyNumberFormat="1" applyFont="1" applyBorder="1" applyAlignment="1">
      <alignment horizontal="center" vertical="top"/>
    </xf>
    <xf numFmtId="0" fontId="23" fillId="28" borderId="46" xfId="335" applyFont="1" applyFill="1" applyBorder="1" applyAlignment="1">
      <alignment horizontal="left" vertical="center"/>
    </xf>
    <xf numFmtId="170" fontId="23" fillId="28" borderId="46" xfId="335" applyNumberFormat="1" applyFont="1" applyFill="1" applyBorder="1" applyAlignment="1" applyProtection="1">
      <alignment vertical="top"/>
      <protection locked="0"/>
    </xf>
    <xf numFmtId="170" fontId="23" fillId="40" borderId="46" xfId="417" applyNumberFormat="1" applyFont="1" applyFill="1" applyBorder="1" applyAlignment="1" applyProtection="1">
      <alignment vertical="top"/>
      <protection locked="0"/>
    </xf>
    <xf numFmtId="169" fontId="23" fillId="0" borderId="46" xfId="18355" applyNumberFormat="1" applyFont="1" applyBorder="1" applyAlignment="1" applyProtection="1">
      <alignment vertical="top"/>
      <protection locked="0"/>
    </xf>
    <xf numFmtId="181" fontId="23" fillId="0" borderId="46" xfId="335" applyNumberFormat="1" applyFont="1" applyBorder="1" applyAlignment="1">
      <alignment horizontal="center" vertical="top"/>
    </xf>
    <xf numFmtId="0" fontId="23" fillId="0" borderId="46" xfId="335" applyFont="1" applyBorder="1" applyAlignment="1">
      <alignment horizontal="center" vertical="top" wrapText="1"/>
    </xf>
    <xf numFmtId="170" fontId="23" fillId="28" borderId="46" xfId="335" applyNumberFormat="1" applyFont="1" applyFill="1" applyBorder="1" applyAlignment="1">
      <alignment vertical="top"/>
    </xf>
    <xf numFmtId="170" fontId="77" fillId="28" borderId="46" xfId="335" applyNumberFormat="1" applyFont="1" applyFill="1" applyBorder="1" applyAlignment="1">
      <alignment vertical="top"/>
    </xf>
    <xf numFmtId="169" fontId="23" fillId="0" borderId="46" xfId="18355" applyNumberFormat="1" applyFont="1" applyBorder="1" applyAlignment="1">
      <alignment vertical="top"/>
    </xf>
    <xf numFmtId="0" fontId="23" fillId="0" borderId="50" xfId="335" applyFont="1" applyBorder="1" applyAlignment="1">
      <alignment horizontal="center" vertical="top" wrapText="1"/>
    </xf>
    <xf numFmtId="170" fontId="23" fillId="28" borderId="50" xfId="335" applyNumberFormat="1" applyFont="1" applyFill="1" applyBorder="1" applyAlignment="1">
      <alignment vertical="top"/>
    </xf>
    <xf numFmtId="170" fontId="77" fillId="28" borderId="50" xfId="335" applyNumberFormat="1" applyFont="1" applyFill="1" applyBorder="1" applyAlignment="1">
      <alignment vertical="top"/>
    </xf>
    <xf numFmtId="169" fontId="23" fillId="0" borderId="50" xfId="18355" applyNumberFormat="1" applyFont="1" applyBorder="1" applyAlignment="1">
      <alignment vertical="top"/>
    </xf>
    <xf numFmtId="0" fontId="34" fillId="0" borderId="54" xfId="335" applyFont="1" applyBorder="1" applyAlignment="1">
      <alignment vertical="top"/>
    </xf>
    <xf numFmtId="170" fontId="34" fillId="28" borderId="55" xfId="335" applyNumberFormat="1" applyFont="1" applyFill="1" applyBorder="1" applyAlignment="1">
      <alignment vertical="top"/>
    </xf>
    <xf numFmtId="181" fontId="34" fillId="0" borderId="55" xfId="335" applyNumberFormat="1" applyFont="1" applyBorder="1" applyAlignment="1">
      <alignment vertical="top"/>
    </xf>
    <xf numFmtId="169" fontId="34" fillId="0" borderId="55" xfId="18355" applyNumberFormat="1" applyFont="1" applyBorder="1" applyAlignment="1">
      <alignment vertical="top"/>
    </xf>
    <xf numFmtId="179" fontId="153" fillId="0" borderId="55" xfId="335" applyNumberFormat="1" applyFont="1" applyBorder="1" applyAlignment="1">
      <alignment vertical="top"/>
    </xf>
    <xf numFmtId="184" fontId="34" fillId="0" borderId="55" xfId="335" applyNumberFormat="1" applyFont="1" applyBorder="1" applyAlignment="1">
      <alignment vertical="top"/>
    </xf>
    <xf numFmtId="179" fontId="34" fillId="0" borderId="58" xfId="335" applyNumberFormat="1" applyFont="1" applyBorder="1" applyAlignment="1">
      <alignment vertical="top"/>
    </xf>
    <xf numFmtId="0" fontId="4" fillId="0" borderId="0" xfId="333" applyFont="1"/>
    <xf numFmtId="0" fontId="4" fillId="0" borderId="0" xfId="333" applyFont="1" applyAlignment="1">
      <alignment horizontal="center"/>
    </xf>
    <xf numFmtId="0" fontId="4" fillId="0" borderId="0" xfId="333" applyFont="1" applyAlignment="1">
      <alignment horizontal="left"/>
    </xf>
    <xf numFmtId="0" fontId="77" fillId="0" borderId="0" xfId="333" applyFont="1" applyAlignment="1">
      <alignment vertical="top"/>
    </xf>
    <xf numFmtId="0" fontId="5" fillId="0" borderId="65" xfId="333" applyFont="1" applyBorder="1" applyAlignment="1">
      <alignment horizontal="center" vertical="top"/>
    </xf>
    <xf numFmtId="0" fontId="4" fillId="0" borderId="75" xfId="333" applyFont="1" applyBorder="1" applyAlignment="1">
      <alignment vertical="top" wrapText="1"/>
    </xf>
    <xf numFmtId="0" fontId="4" fillId="0" borderId="76" xfId="333" applyFont="1" applyBorder="1" applyAlignment="1">
      <alignment vertical="top" wrapText="1"/>
    </xf>
    <xf numFmtId="0" fontId="4" fillId="0" borderId="76" xfId="417" applyNumberFormat="1" applyFont="1" applyFill="1" applyBorder="1" applyAlignment="1">
      <alignment vertical="top" wrapText="1"/>
    </xf>
    <xf numFmtId="0" fontId="4" fillId="0" borderId="76" xfId="18156" applyFont="1" applyBorder="1" applyAlignment="1">
      <alignment vertical="top" wrapText="1"/>
    </xf>
    <xf numFmtId="0" fontId="4" fillId="0" borderId="76" xfId="4104" applyFont="1" applyBorder="1" applyAlignment="1">
      <alignment vertical="top" wrapText="1"/>
    </xf>
    <xf numFmtId="0" fontId="4" fillId="0" borderId="77" xfId="333" applyFont="1" applyBorder="1" applyAlignment="1">
      <alignment horizontal="left" vertical="top" wrapText="1"/>
    </xf>
    <xf numFmtId="0" fontId="5" fillId="0" borderId="78" xfId="333" applyFont="1" applyBorder="1" applyAlignment="1">
      <alignment vertical="top"/>
    </xf>
    <xf numFmtId="0" fontId="5" fillId="0" borderId="75" xfId="333" applyFont="1" applyBorder="1" applyAlignment="1">
      <alignment vertical="top"/>
    </xf>
    <xf numFmtId="0" fontId="5" fillId="0" borderId="79" xfId="333" applyFont="1" applyBorder="1" applyAlignment="1">
      <alignment vertical="top"/>
    </xf>
    <xf numFmtId="0" fontId="4" fillId="0" borderId="75" xfId="4079" applyFont="1" applyBorder="1" applyAlignment="1">
      <alignment vertical="top" wrapText="1"/>
    </xf>
    <xf numFmtId="0" fontId="147" fillId="0" borderId="46" xfId="335" applyFont="1" applyBorder="1" applyAlignment="1" applyProtection="1">
      <alignment vertical="top" wrapText="1"/>
      <protection locked="0"/>
    </xf>
    <xf numFmtId="0" fontId="115" fillId="0" borderId="46" xfId="335" applyFont="1" applyBorder="1" applyAlignment="1">
      <alignment vertical="top" wrapText="1"/>
    </xf>
    <xf numFmtId="0" fontId="4" fillId="0" borderId="77" xfId="333" applyFont="1" applyBorder="1" applyAlignment="1">
      <alignment vertical="top" wrapText="1"/>
    </xf>
    <xf numFmtId="0" fontId="74" fillId="0" borderId="78" xfId="333" applyFont="1" applyBorder="1" applyAlignment="1">
      <alignment vertical="top"/>
    </xf>
    <xf numFmtId="0" fontId="74" fillId="0" borderId="80" xfId="333" applyFont="1" applyBorder="1" applyAlignment="1">
      <alignment vertical="top"/>
    </xf>
    <xf numFmtId="0" fontId="74" fillId="0" borderId="79" xfId="333" applyFont="1" applyBorder="1" applyAlignment="1">
      <alignment vertical="top"/>
    </xf>
    <xf numFmtId="0" fontId="4" fillId="0" borderId="11" xfId="333" applyFont="1" applyBorder="1" applyAlignment="1">
      <alignment vertical="top" wrapText="1"/>
    </xf>
    <xf numFmtId="0" fontId="4" fillId="0" borderId="46" xfId="333" applyFont="1" applyBorder="1" applyAlignment="1">
      <alignment vertical="top" wrapText="1"/>
    </xf>
    <xf numFmtId="0" fontId="4" fillId="0" borderId="50" xfId="333" applyFont="1" applyBorder="1" applyAlignment="1">
      <alignment vertical="top" wrapText="1"/>
    </xf>
    <xf numFmtId="0" fontId="147" fillId="0" borderId="50" xfId="335" applyFont="1" applyBorder="1" applyAlignment="1" applyProtection="1">
      <alignment vertical="top" wrapText="1"/>
      <protection locked="0"/>
    </xf>
    <xf numFmtId="0" fontId="74" fillId="0" borderId="75" xfId="333" applyFont="1" applyBorder="1" applyAlignment="1">
      <alignment vertical="top"/>
    </xf>
    <xf numFmtId="0" fontId="5" fillId="0" borderId="78" xfId="333" applyFont="1" applyBorder="1" applyAlignment="1">
      <alignment vertical="top" wrapText="1"/>
    </xf>
    <xf numFmtId="0" fontId="5" fillId="0" borderId="66" xfId="333" applyFont="1" applyBorder="1" applyAlignment="1">
      <alignment vertical="top" wrapText="1"/>
    </xf>
    <xf numFmtId="0" fontId="128" fillId="0" borderId="0" xfId="5348" applyFont="1" applyAlignment="1">
      <alignment vertical="top"/>
    </xf>
    <xf numFmtId="0" fontId="46" fillId="0" borderId="0" xfId="5348" applyAlignment="1">
      <alignment horizontal="center" vertical="top"/>
    </xf>
    <xf numFmtId="0" fontId="121" fillId="42" borderId="46" xfId="5348" applyFont="1" applyFill="1" applyBorder="1" applyAlignment="1">
      <alignment horizontal="center" vertical="top" wrapText="1"/>
    </xf>
    <xf numFmtId="0" fontId="46" fillId="43" borderId="46" xfId="5348" applyFill="1" applyBorder="1" applyAlignment="1">
      <alignment vertical="top" wrapText="1"/>
    </xf>
    <xf numFmtId="170" fontId="46" fillId="0" borderId="46" xfId="5348" applyNumberFormat="1" applyBorder="1" applyAlignment="1">
      <alignment horizontal="right" vertical="top"/>
    </xf>
    <xf numFmtId="182" fontId="129" fillId="0" borderId="46" xfId="5348" applyNumberFormat="1" applyFont="1" applyBorder="1" applyAlignment="1">
      <alignment horizontal="right" vertical="top"/>
    </xf>
    <xf numFmtId="170" fontId="129" fillId="0" borderId="46" xfId="5348" applyNumberFormat="1" applyFont="1" applyBorder="1" applyAlignment="1">
      <alignment horizontal="right" vertical="top"/>
    </xf>
    <xf numFmtId="0" fontId="46" fillId="0" borderId="46" xfId="5348" applyBorder="1" applyAlignment="1">
      <alignment vertical="top" wrapText="1"/>
    </xf>
    <xf numFmtId="0" fontId="2" fillId="42" borderId="46" xfId="5348" applyFont="1" applyFill="1" applyBorder="1" applyAlignment="1">
      <alignment vertical="top"/>
    </xf>
    <xf numFmtId="170" fontId="2" fillId="42" borderId="46" xfId="5348" applyNumberFormat="1" applyFont="1" applyFill="1" applyBorder="1" applyAlignment="1">
      <alignment horizontal="right" vertical="top"/>
    </xf>
    <xf numFmtId="170" fontId="46" fillId="33" borderId="46" xfId="5348" applyNumberFormat="1" applyFill="1" applyBorder="1" applyAlignment="1">
      <alignment horizontal="right" vertical="top"/>
    </xf>
    <xf numFmtId="0" fontId="0" fillId="0" borderId="17" xfId="0" applyBorder="1" applyAlignment="1">
      <alignment horizontal="center" vertical="top" wrapText="1"/>
    </xf>
    <xf numFmtId="0" fontId="0" fillId="0" borderId="16" xfId="0" applyBorder="1" applyAlignment="1">
      <alignment horizontal="center" vertical="top" wrapText="1"/>
    </xf>
    <xf numFmtId="0" fontId="57" fillId="24" borderId="13" xfId="0" applyFont="1" applyFill="1" applyBorder="1" applyAlignment="1">
      <alignment horizontal="center" vertical="top" wrapText="1"/>
    </xf>
    <xf numFmtId="0" fontId="96" fillId="37" borderId="13" xfId="0" applyFont="1" applyFill="1" applyBorder="1" applyAlignment="1">
      <alignment vertical="top"/>
    </xf>
    <xf numFmtId="0" fontId="101" fillId="0" borderId="0" xfId="18540" applyFont="1" applyAlignment="1">
      <alignment vertical="top"/>
    </xf>
    <xf numFmtId="0" fontId="126" fillId="0" borderId="0" xfId="18540" applyAlignment="1">
      <alignment vertical="top"/>
    </xf>
    <xf numFmtId="0" fontId="97" fillId="0" borderId="0" xfId="18540" applyFont="1" applyAlignment="1">
      <alignment horizontal="center" vertical="top" wrapText="1"/>
    </xf>
    <xf numFmtId="0" fontId="56" fillId="0" borderId="46" xfId="18540" applyFont="1" applyBorder="1" applyAlignment="1">
      <alignment horizontal="center" vertical="top" wrapText="1"/>
    </xf>
    <xf numFmtId="0" fontId="59" fillId="0" borderId="46" xfId="18540" applyFont="1" applyBorder="1" applyAlignment="1">
      <alignment horizontal="center" vertical="top" wrapText="1"/>
    </xf>
    <xf numFmtId="0" fontId="56" fillId="0" borderId="0" xfId="18540" applyFont="1" applyAlignment="1">
      <alignment horizontal="center" vertical="top" wrapText="1"/>
    </xf>
    <xf numFmtId="0" fontId="101" fillId="0" borderId="48" xfId="18540" applyFont="1" applyBorder="1" applyAlignment="1" applyProtection="1">
      <alignment vertical="top"/>
      <protection locked="0"/>
    </xf>
    <xf numFmtId="0" fontId="101" fillId="0" borderId="17" xfId="18540" applyFont="1" applyBorder="1" applyAlignment="1">
      <alignment horizontal="center" vertical="top"/>
    </xf>
    <xf numFmtId="180" fontId="101" fillId="0" borderId="46" xfId="18540" applyNumberFormat="1" applyFont="1" applyBorder="1" applyAlignment="1" applyProtection="1">
      <alignment vertical="top"/>
      <protection locked="0"/>
    </xf>
    <xf numFmtId="170" fontId="101" fillId="0" borderId="46" xfId="18540" applyNumberFormat="1" applyFont="1" applyBorder="1" applyAlignment="1" applyProtection="1">
      <alignment vertical="top"/>
      <protection locked="0"/>
    </xf>
    <xf numFmtId="170" fontId="101" fillId="0" borderId="0" xfId="18540" applyNumberFormat="1" applyFont="1" applyAlignment="1" applyProtection="1">
      <alignment vertical="top"/>
      <protection locked="0"/>
    </xf>
    <xf numFmtId="180" fontId="101" fillId="0" borderId="0" xfId="18540" applyNumberFormat="1" applyFont="1" applyAlignment="1">
      <alignment vertical="top"/>
    </xf>
    <xf numFmtId="0" fontId="126" fillId="25" borderId="48" xfId="18540" applyFill="1" applyBorder="1" applyAlignment="1">
      <alignment vertical="top"/>
    </xf>
    <xf numFmtId="180" fontId="126" fillId="25" borderId="46" xfId="18540" applyNumberFormat="1" applyFill="1" applyBorder="1" applyAlignment="1" applyProtection="1">
      <alignment vertical="top"/>
      <protection locked="0"/>
    </xf>
    <xf numFmtId="170" fontId="126" fillId="25" borderId="46" xfId="18540" applyNumberFormat="1" applyFill="1" applyBorder="1" applyAlignment="1" applyProtection="1">
      <alignment vertical="top"/>
      <protection locked="0"/>
    </xf>
    <xf numFmtId="180" fontId="101" fillId="25" borderId="46" xfId="18540" applyNumberFormat="1" applyFont="1" applyFill="1" applyBorder="1" applyAlignment="1" applyProtection="1">
      <alignment vertical="top"/>
      <protection locked="0"/>
    </xf>
    <xf numFmtId="170" fontId="101" fillId="25" borderId="46" xfId="18540" applyNumberFormat="1" applyFont="1" applyFill="1" applyBorder="1" applyAlignment="1" applyProtection="1">
      <alignment vertical="top"/>
      <protection locked="0"/>
    </xf>
    <xf numFmtId="170" fontId="155" fillId="25" borderId="0" xfId="18540" applyNumberFormat="1" applyFont="1" applyFill="1" applyAlignment="1" applyProtection="1">
      <alignment vertical="top"/>
      <protection locked="0"/>
    </xf>
    <xf numFmtId="0" fontId="126" fillId="25" borderId="47" xfId="18540" applyFill="1" applyBorder="1" applyAlignment="1">
      <alignment vertical="top"/>
    </xf>
    <xf numFmtId="0" fontId="156" fillId="25" borderId="48" xfId="18540" applyFont="1" applyFill="1" applyBorder="1" applyAlignment="1">
      <alignment vertical="top"/>
    </xf>
    <xf numFmtId="180" fontId="156" fillId="25" borderId="46" xfId="18540" applyNumberFormat="1" applyFont="1" applyFill="1" applyBorder="1" applyAlignment="1" applyProtection="1">
      <alignment vertical="top"/>
      <protection locked="0"/>
    </xf>
    <xf numFmtId="180" fontId="157" fillId="25" borderId="46" xfId="18540" applyNumberFormat="1" applyFont="1" applyFill="1" applyBorder="1" applyAlignment="1" applyProtection="1">
      <alignment vertical="top"/>
      <protection locked="0"/>
    </xf>
    <xf numFmtId="170" fontId="157" fillId="25" borderId="46" xfId="18540" applyNumberFormat="1" applyFont="1" applyFill="1" applyBorder="1" applyAlignment="1" applyProtection="1">
      <alignment vertical="top"/>
      <protection locked="0"/>
    </xf>
    <xf numFmtId="0" fontId="158" fillId="25" borderId="48" xfId="18540" applyFont="1" applyFill="1" applyBorder="1" applyAlignment="1" applyProtection="1">
      <alignment vertical="top"/>
      <protection locked="0"/>
    </xf>
    <xf numFmtId="0" fontId="158" fillId="25" borderId="48" xfId="18540" applyFont="1" applyFill="1" applyBorder="1" applyAlignment="1">
      <alignment vertical="top"/>
    </xf>
    <xf numFmtId="180" fontId="158" fillId="25" borderId="46" xfId="18540" applyNumberFormat="1" applyFont="1" applyFill="1" applyBorder="1" applyAlignment="1" applyProtection="1">
      <alignment vertical="top"/>
      <protection locked="0"/>
    </xf>
    <xf numFmtId="170" fontId="158" fillId="25" borderId="46" xfId="18540" applyNumberFormat="1" applyFont="1" applyFill="1" applyBorder="1" applyAlignment="1" applyProtection="1">
      <alignment vertical="top"/>
      <protection locked="0"/>
    </xf>
    <xf numFmtId="180" fontId="159" fillId="25" borderId="46" xfId="18540" applyNumberFormat="1" applyFont="1" applyFill="1" applyBorder="1" applyAlignment="1" applyProtection="1">
      <alignment vertical="top"/>
      <protection locked="0"/>
    </xf>
    <xf numFmtId="170" fontId="159" fillId="25" borderId="46" xfId="18540" applyNumberFormat="1" applyFont="1" applyFill="1" applyBorder="1" applyAlignment="1" applyProtection="1">
      <alignment vertical="top"/>
      <protection locked="0"/>
    </xf>
    <xf numFmtId="170" fontId="158" fillId="25" borderId="0" xfId="18540" applyNumberFormat="1" applyFont="1" applyFill="1" applyAlignment="1" applyProtection="1">
      <alignment vertical="top"/>
      <protection locked="0"/>
    </xf>
    <xf numFmtId="180" fontId="160" fillId="25" borderId="46" xfId="18540" applyNumberFormat="1" applyFont="1" applyFill="1" applyBorder="1" applyAlignment="1" applyProtection="1">
      <alignment vertical="top"/>
      <protection locked="0"/>
    </xf>
    <xf numFmtId="180" fontId="160" fillId="25" borderId="46" xfId="18540" quotePrefix="1" applyNumberFormat="1" applyFont="1" applyFill="1" applyBorder="1" applyAlignment="1" applyProtection="1">
      <alignment vertical="top"/>
      <protection locked="0"/>
    </xf>
    <xf numFmtId="170" fontId="160" fillId="25" borderId="46" xfId="18540" applyNumberFormat="1" applyFont="1" applyFill="1" applyBorder="1" applyAlignment="1" applyProtection="1">
      <alignment vertical="top"/>
      <protection locked="0"/>
    </xf>
    <xf numFmtId="180" fontId="111" fillId="25" borderId="46" xfId="18540" quotePrefix="1" applyNumberFormat="1" applyFont="1" applyFill="1" applyBorder="1" applyAlignment="1" applyProtection="1">
      <alignment vertical="top"/>
      <protection locked="0"/>
    </xf>
    <xf numFmtId="170" fontId="111" fillId="25" borderId="46" xfId="18540" applyNumberFormat="1" applyFont="1" applyFill="1" applyBorder="1" applyAlignment="1" applyProtection="1">
      <alignment vertical="top"/>
      <protection locked="0"/>
    </xf>
    <xf numFmtId="180" fontId="111" fillId="25" borderId="46" xfId="18540" applyNumberFormat="1" applyFont="1" applyFill="1" applyBorder="1" applyAlignment="1" applyProtection="1">
      <alignment vertical="top"/>
      <protection locked="0"/>
    </xf>
    <xf numFmtId="0" fontId="156" fillId="25" borderId="47" xfId="18540" applyFont="1" applyFill="1" applyBorder="1" applyAlignment="1">
      <alignment vertical="top"/>
    </xf>
    <xf numFmtId="0" fontId="156" fillId="0" borderId="0" xfId="18540" applyFont="1" applyAlignment="1">
      <alignment vertical="top"/>
    </xf>
    <xf numFmtId="180" fontId="161" fillId="25" borderId="46" xfId="18540" quotePrefix="1" applyNumberFormat="1" applyFont="1" applyFill="1" applyBorder="1" applyAlignment="1" applyProtection="1">
      <alignment vertical="top"/>
      <protection locked="0"/>
    </xf>
    <xf numFmtId="180" fontId="162" fillId="49" borderId="46" xfId="18540" quotePrefix="1" applyNumberFormat="1" applyFont="1" applyFill="1" applyBorder="1" applyAlignment="1" applyProtection="1">
      <alignment vertical="top"/>
      <protection locked="0"/>
    </xf>
    <xf numFmtId="170" fontId="161" fillId="25" borderId="46" xfId="18540" quotePrefix="1" applyNumberFormat="1" applyFont="1" applyFill="1" applyBorder="1" applyAlignment="1" applyProtection="1">
      <alignment vertical="top"/>
      <protection locked="0"/>
    </xf>
    <xf numFmtId="180" fontId="156" fillId="49" borderId="46" xfId="18540" applyNumberFormat="1" applyFont="1" applyFill="1" applyBorder="1" applyAlignment="1" applyProtection="1">
      <alignment vertical="top"/>
      <protection locked="0"/>
    </xf>
    <xf numFmtId="180" fontId="156" fillId="49" borderId="46" xfId="18540" quotePrefix="1" applyNumberFormat="1" applyFont="1" applyFill="1" applyBorder="1" applyAlignment="1" applyProtection="1">
      <alignment vertical="top"/>
      <protection locked="0"/>
    </xf>
    <xf numFmtId="170" fontId="156" fillId="49" borderId="46" xfId="18540" quotePrefix="1" applyNumberFormat="1" applyFont="1" applyFill="1" applyBorder="1" applyAlignment="1" applyProtection="1">
      <alignment vertical="top"/>
      <protection locked="0"/>
    </xf>
    <xf numFmtId="180" fontId="161" fillId="25" borderId="46" xfId="18540" applyNumberFormat="1" applyFont="1" applyFill="1" applyBorder="1" applyAlignment="1" applyProtection="1">
      <alignment vertical="top"/>
      <protection locked="0"/>
    </xf>
    <xf numFmtId="4" fontId="85" fillId="29" borderId="46" xfId="0" applyNumberFormat="1" applyFont="1" applyFill="1" applyBorder="1" applyAlignment="1">
      <alignment horizontal="center" vertical="top"/>
    </xf>
    <xf numFmtId="169" fontId="38" fillId="0" borderId="46" xfId="343" applyNumberFormat="1" applyFont="1" applyBorder="1" applyAlignment="1">
      <alignment horizontal="center" vertical="top"/>
    </xf>
    <xf numFmtId="3" fontId="38" fillId="0" borderId="46" xfId="343" applyNumberFormat="1" applyFont="1" applyBorder="1" applyAlignment="1">
      <alignment horizontal="center" vertical="top"/>
    </xf>
    <xf numFmtId="3" fontId="84" fillId="0" borderId="46" xfId="343" applyNumberFormat="1" applyFont="1" applyBorder="1" applyAlignment="1">
      <alignment horizontal="center" vertical="top"/>
    </xf>
    <xf numFmtId="3" fontId="131" fillId="35" borderId="46" xfId="343" applyNumberFormat="1" applyFont="1" applyFill="1" applyBorder="1" applyAlignment="1">
      <alignment horizontal="center" vertical="top"/>
    </xf>
    <xf numFmtId="4" fontId="131" fillId="35" borderId="46" xfId="343" applyNumberFormat="1" applyFont="1" applyFill="1" applyBorder="1" applyAlignment="1">
      <alignment horizontal="center" vertical="top"/>
    </xf>
    <xf numFmtId="3" fontId="74" fillId="0" borderId="46" xfId="0" applyNumberFormat="1" applyFont="1" applyBorder="1" applyAlignment="1">
      <alignment horizontal="center" vertical="top"/>
    </xf>
    <xf numFmtId="3" fontId="74" fillId="35" borderId="46" xfId="0" applyNumberFormat="1" applyFont="1" applyFill="1" applyBorder="1" applyAlignment="1">
      <alignment horizontal="center" vertical="top"/>
    </xf>
    <xf numFmtId="174" fontId="74" fillId="35" borderId="46" xfId="0" applyNumberFormat="1" applyFont="1" applyFill="1" applyBorder="1" applyAlignment="1">
      <alignment horizontal="center" vertical="top"/>
    </xf>
    <xf numFmtId="3" fontId="85" fillId="0" borderId="46" xfId="0" applyNumberFormat="1" applyFont="1" applyFill="1" applyBorder="1" applyAlignment="1">
      <alignment horizontal="center" vertical="top"/>
    </xf>
    <xf numFmtId="168" fontId="74" fillId="0" borderId="46" xfId="0" applyNumberFormat="1" applyFont="1" applyBorder="1" applyAlignment="1">
      <alignment horizontal="center" vertical="top"/>
    </xf>
    <xf numFmtId="171" fontId="85" fillId="0" borderId="46" xfId="0" applyNumberFormat="1" applyFont="1" applyBorder="1" applyAlignment="1">
      <alignment horizontal="center" vertical="top"/>
    </xf>
    <xf numFmtId="171" fontId="74" fillId="0" borderId="46" xfId="0" applyNumberFormat="1" applyFont="1" applyBorder="1" applyAlignment="1">
      <alignment horizontal="center" vertical="top"/>
    </xf>
    <xf numFmtId="171" fontId="85" fillId="0" borderId="47" xfId="0" applyNumberFormat="1" applyFont="1" applyBorder="1" applyAlignment="1">
      <alignment horizontal="center" vertical="top"/>
    </xf>
    <xf numFmtId="3" fontId="86" fillId="0" borderId="46" xfId="0" applyNumberFormat="1" applyFont="1" applyBorder="1" applyAlignment="1">
      <alignment vertical="top"/>
    </xf>
    <xf numFmtId="4" fontId="5" fillId="35" borderId="46" xfId="0" applyNumberFormat="1" applyFont="1" applyFill="1" applyBorder="1" applyAlignment="1">
      <alignment vertical="top"/>
    </xf>
    <xf numFmtId="4" fontId="86" fillId="0" borderId="46" xfId="0" applyNumberFormat="1" applyFont="1" applyBorder="1" applyAlignment="1">
      <alignment vertical="top"/>
    </xf>
    <xf numFmtId="177" fontId="86" fillId="0" borderId="46" xfId="0" applyNumberFormat="1" applyFont="1" applyBorder="1" applyAlignment="1">
      <alignment vertical="top"/>
    </xf>
    <xf numFmtId="3" fontId="86" fillId="29" borderId="46" xfId="0" applyNumberFormat="1" applyFont="1" applyFill="1" applyBorder="1" applyAlignment="1">
      <alignment vertical="top"/>
    </xf>
    <xf numFmtId="174" fontId="86" fillId="0" borderId="46" xfId="0" applyNumberFormat="1" applyFont="1" applyBorder="1" applyAlignment="1">
      <alignment vertical="top"/>
    </xf>
    <xf numFmtId="3" fontId="86" fillId="35" borderId="46" xfId="0" applyNumberFormat="1" applyFont="1" applyFill="1" applyBorder="1" applyAlignment="1">
      <alignment horizontal="center" vertical="top"/>
    </xf>
    <xf numFmtId="174" fontId="86" fillId="35" borderId="46" xfId="0" applyNumberFormat="1" applyFont="1" applyFill="1" applyBorder="1" applyAlignment="1">
      <alignment horizontal="center" vertical="top"/>
    </xf>
    <xf numFmtId="4" fontId="86" fillId="35" borderId="46" xfId="0" applyNumberFormat="1" applyFont="1" applyFill="1" applyBorder="1" applyAlignment="1">
      <alignment vertical="top"/>
    </xf>
    <xf numFmtId="3" fontId="84" fillId="35" borderId="46" xfId="343" applyNumberFormat="1" applyFont="1" applyFill="1" applyBorder="1" applyAlignment="1">
      <alignment horizontal="center" vertical="top"/>
    </xf>
    <xf numFmtId="3" fontId="38" fillId="35" borderId="46" xfId="343" applyNumberFormat="1" applyFont="1" applyFill="1" applyBorder="1" applyAlignment="1">
      <alignment horizontal="center" vertical="top"/>
    </xf>
    <xf numFmtId="4" fontId="84" fillId="35" borderId="46" xfId="343" applyNumberFormat="1" applyFont="1" applyFill="1" applyBorder="1" applyAlignment="1">
      <alignment horizontal="center" vertical="top"/>
    </xf>
    <xf numFmtId="4" fontId="84" fillId="0" borderId="46" xfId="343" applyNumberFormat="1" applyFont="1" applyFill="1" applyBorder="1" applyAlignment="1">
      <alignment horizontal="center" vertical="top"/>
    </xf>
    <xf numFmtId="4" fontId="4" fillId="35" borderId="46" xfId="0" applyNumberFormat="1" applyFont="1" applyFill="1" applyBorder="1" applyAlignment="1">
      <alignment vertical="top"/>
    </xf>
    <xf numFmtId="0" fontId="82" fillId="0" borderId="46" xfId="0" applyFont="1" applyFill="1" applyBorder="1" applyAlignment="1">
      <alignment vertical="top" wrapText="1"/>
    </xf>
    <xf numFmtId="0" fontId="89" fillId="0" borderId="46" xfId="0" applyFont="1" applyFill="1" applyBorder="1" applyAlignment="1">
      <alignment vertical="top"/>
    </xf>
    <xf numFmtId="4" fontId="90" fillId="0" borderId="10" xfId="0" applyNumberFormat="1" applyFont="1" applyFill="1" applyBorder="1" applyAlignment="1">
      <alignment vertical="top"/>
    </xf>
    <xf numFmtId="177" fontId="90" fillId="0" borderId="10" xfId="0" applyNumberFormat="1" applyFont="1" applyFill="1" applyBorder="1" applyAlignment="1">
      <alignment vertical="top"/>
    </xf>
    <xf numFmtId="3" fontId="90" fillId="0" borderId="10" xfId="0" applyNumberFormat="1" applyFont="1" applyFill="1" applyBorder="1" applyAlignment="1">
      <alignment vertical="top"/>
    </xf>
    <xf numFmtId="3" fontId="163" fillId="0" borderId="10" xfId="0" applyNumberFormat="1" applyFont="1" applyFill="1" applyBorder="1" applyAlignment="1">
      <alignment horizontal="center" vertical="top"/>
    </xf>
    <xf numFmtId="0" fontId="56" fillId="0" borderId="11" xfId="0" applyFont="1" applyFill="1" applyBorder="1" applyAlignment="1">
      <alignment horizontal="center" vertical="top" wrapText="1"/>
    </xf>
    <xf numFmtId="4" fontId="60" fillId="25" borderId="11" xfId="0" applyNumberFormat="1" applyFont="1" applyFill="1" applyBorder="1" applyAlignment="1">
      <alignment vertical="top" wrapText="1"/>
    </xf>
    <xf numFmtId="4" fontId="66" fillId="25" borderId="10" xfId="0" applyNumberFormat="1" applyFont="1" applyFill="1" applyBorder="1" applyAlignment="1">
      <alignment horizontal="center" vertical="top" wrapText="1"/>
    </xf>
    <xf numFmtId="175" fontId="60" fillId="25" borderId="10" xfId="0" applyNumberFormat="1" applyFont="1" applyFill="1" applyBorder="1" applyAlignment="1">
      <alignment vertical="top" wrapText="1"/>
    </xf>
    <xf numFmtId="4" fontId="66" fillId="25" borderId="11" xfId="0" applyNumberFormat="1" applyFont="1" applyFill="1" applyBorder="1" applyAlignment="1">
      <alignment vertical="top" wrapText="1"/>
    </xf>
    <xf numFmtId="0" fontId="75" fillId="29" borderId="10" xfId="0" applyFont="1" applyFill="1" applyBorder="1" applyAlignment="1">
      <alignment horizontal="center" vertical="top" wrapText="1"/>
    </xf>
    <xf numFmtId="0" fontId="106" fillId="0" borderId="10" xfId="0" applyFont="1" applyFill="1" applyBorder="1" applyAlignment="1">
      <alignment horizontal="center" vertical="top" wrapText="1"/>
    </xf>
    <xf numFmtId="0" fontId="164" fillId="0" borderId="0" xfId="0" applyFont="1" applyAlignment="1">
      <alignment vertical="top"/>
    </xf>
    <xf numFmtId="0" fontId="165" fillId="0" borderId="0" xfId="0" applyFont="1" applyAlignment="1">
      <alignment vertical="top"/>
    </xf>
    <xf numFmtId="0" fontId="164" fillId="28" borderId="0" xfId="0" applyFont="1" applyFill="1" applyAlignment="1">
      <alignment vertical="top"/>
    </xf>
    <xf numFmtId="170" fontId="166" fillId="0" borderId="0" xfId="0" applyNumberFormat="1" applyFont="1" applyAlignment="1">
      <alignment vertical="top"/>
    </xf>
    <xf numFmtId="170" fontId="164" fillId="0" borderId="0" xfId="0" applyNumberFormat="1" applyFont="1" applyAlignment="1">
      <alignment vertical="top"/>
    </xf>
    <xf numFmtId="4" fontId="164" fillId="0" borderId="0" xfId="0" applyNumberFormat="1" applyFont="1" applyAlignment="1">
      <alignment vertical="top"/>
    </xf>
    <xf numFmtId="174" fontId="60" fillId="0" borderId="10" xfId="0" applyNumberFormat="1" applyFont="1" applyFill="1" applyBorder="1" applyAlignment="1">
      <alignment vertical="top" wrapText="1"/>
    </xf>
    <xf numFmtId="180" fontId="101" fillId="0" borderId="46" xfId="18540" applyNumberFormat="1" applyFont="1" applyBorder="1" applyAlignment="1" applyProtection="1">
      <alignment horizontal="center" vertical="top"/>
      <protection locked="0"/>
    </xf>
    <xf numFmtId="180" fontId="126" fillId="25" borderId="46" xfId="18540" applyNumberFormat="1" applyFont="1" applyFill="1" applyBorder="1" applyAlignment="1" applyProtection="1">
      <alignment vertical="top"/>
      <protection locked="0"/>
    </xf>
    <xf numFmtId="170" fontId="126" fillId="25" borderId="46" xfId="18540" applyNumberFormat="1" applyFont="1" applyFill="1" applyBorder="1" applyAlignment="1" applyProtection="1">
      <alignment vertical="top"/>
      <protection locked="0"/>
    </xf>
    <xf numFmtId="170" fontId="156" fillId="25" borderId="46" xfId="18540" applyNumberFormat="1" applyFont="1" applyFill="1" applyBorder="1" applyAlignment="1" applyProtection="1">
      <alignment vertical="top"/>
      <protection locked="0"/>
    </xf>
    <xf numFmtId="0" fontId="0" fillId="0" borderId="46" xfId="0" applyBorder="1" applyAlignment="1">
      <alignment horizontal="center" vertical="top" wrapText="1"/>
    </xf>
    <xf numFmtId="179" fontId="0" fillId="0" borderId="46" xfId="0" applyNumberFormat="1" applyBorder="1" applyAlignment="1">
      <alignment vertical="top"/>
    </xf>
    <xf numFmtId="0" fontId="94" fillId="0" borderId="46" xfId="0" applyFont="1" applyBorder="1" applyAlignment="1">
      <alignment vertical="top"/>
    </xf>
    <xf numFmtId="179" fontId="94" fillId="0" borderId="46" xfId="0" applyNumberFormat="1" applyFont="1" applyBorder="1" applyAlignment="1">
      <alignment vertical="top"/>
    </xf>
    <xf numFmtId="0" fontId="23" fillId="0" borderId="0" xfId="18541" applyFont="1" applyAlignment="1">
      <alignment vertical="top"/>
    </xf>
    <xf numFmtId="0" fontId="110" fillId="0" borderId="0" xfId="18541" applyFont="1" applyAlignment="1">
      <alignment horizontal="left" vertical="top"/>
    </xf>
    <xf numFmtId="0" fontId="110" fillId="0" borderId="0" xfId="18541" applyFont="1" applyAlignment="1">
      <alignment vertical="top"/>
    </xf>
    <xf numFmtId="169" fontId="110" fillId="0" borderId="0" xfId="18541" applyNumberFormat="1" applyFont="1" applyAlignment="1">
      <alignment vertical="top"/>
    </xf>
    <xf numFmtId="179" fontId="110" fillId="0" borderId="0" xfId="18541" applyNumberFormat="1" applyFont="1" applyAlignment="1">
      <alignment vertical="top"/>
    </xf>
    <xf numFmtId="0" fontId="110" fillId="0" borderId="0" xfId="18541" applyFont="1" applyAlignment="1">
      <alignment horizontal="center" vertical="top"/>
    </xf>
    <xf numFmtId="0" fontId="49" fillId="0" borderId="0" xfId="18541" applyAlignment="1">
      <alignment vertical="top"/>
    </xf>
    <xf numFmtId="0" fontId="167" fillId="0" borderId="0" xfId="18541" applyFont="1" applyAlignment="1">
      <alignment vertical="top"/>
    </xf>
    <xf numFmtId="0" fontId="5" fillId="0" borderId="0" xfId="18541" applyFont="1" applyAlignment="1">
      <alignment vertical="top"/>
    </xf>
    <xf numFmtId="0" fontId="111" fillId="0" borderId="0" xfId="18541" applyFont="1" applyAlignment="1">
      <alignment horizontal="center" vertical="top"/>
    </xf>
    <xf numFmtId="0" fontId="5" fillId="0" borderId="16" xfId="18541" applyFont="1" applyBorder="1" applyAlignment="1">
      <alignment horizontal="left" vertical="top"/>
    </xf>
    <xf numFmtId="0" fontId="111" fillId="0" borderId="21" xfId="18541" applyFont="1" applyBorder="1" applyAlignment="1">
      <alignment vertical="top"/>
    </xf>
    <xf numFmtId="0" fontId="111" fillId="0" borderId="17" xfId="18541" applyFont="1" applyBorder="1" applyAlignment="1">
      <alignment vertical="top"/>
    </xf>
    <xf numFmtId="0" fontId="111" fillId="0" borderId="0" xfId="18541" applyFont="1" applyAlignment="1">
      <alignment vertical="top"/>
    </xf>
    <xf numFmtId="0" fontId="127" fillId="51" borderId="47" xfId="18541" applyFont="1" applyFill="1" applyBorder="1" applyAlignment="1">
      <alignment vertical="top"/>
    </xf>
    <xf numFmtId="0" fontId="127" fillId="51" borderId="48" xfId="18541" applyFont="1" applyFill="1" applyBorder="1" applyAlignment="1">
      <alignment vertical="top"/>
    </xf>
    <xf numFmtId="0" fontId="127" fillId="51" borderId="49" xfId="18541" applyFont="1" applyFill="1" applyBorder="1" applyAlignment="1">
      <alignment vertical="top"/>
    </xf>
    <xf numFmtId="0" fontId="127" fillId="51" borderId="0" xfId="18541" applyFont="1" applyFill="1" applyAlignment="1">
      <alignment horizontal="center" vertical="top"/>
    </xf>
    <xf numFmtId="0" fontId="31" fillId="0" borderId="46" xfId="18542" applyFont="1" applyBorder="1" applyAlignment="1">
      <alignment horizontal="center" vertical="top" wrapText="1"/>
    </xf>
    <xf numFmtId="0" fontId="31" fillId="0" borderId="46" xfId="18541" applyFont="1" applyBorder="1" applyAlignment="1">
      <alignment horizontal="center" vertical="top" wrapText="1"/>
    </xf>
    <xf numFmtId="169" fontId="31" fillId="0" borderId="46" xfId="18541" applyNumberFormat="1" applyFont="1" applyBorder="1" applyAlignment="1">
      <alignment horizontal="center" vertical="top" wrapText="1"/>
    </xf>
    <xf numFmtId="179" fontId="31" fillId="0" borderId="46" xfId="18541" applyNumberFormat="1" applyFont="1" applyBorder="1" applyAlignment="1">
      <alignment horizontal="center" vertical="top" wrapText="1"/>
    </xf>
    <xf numFmtId="0" fontId="23" fillId="0" borderId="46" xfId="18541" applyFont="1" applyBorder="1" applyAlignment="1">
      <alignment horizontal="center" vertical="top" wrapText="1"/>
    </xf>
    <xf numFmtId="0" fontId="34" fillId="0" borderId="46" xfId="18541" applyFont="1" applyBorder="1" applyAlignment="1">
      <alignment horizontal="center" vertical="top" wrapText="1"/>
    </xf>
    <xf numFmtId="0" fontId="48" fillId="0" borderId="46" xfId="18542" applyFont="1" applyBorder="1" applyAlignment="1">
      <alignment horizontal="center" vertical="top" wrapText="1"/>
    </xf>
    <xf numFmtId="0" fontId="168" fillId="0" borderId="46" xfId="18541" applyFont="1" applyBorder="1" applyAlignment="1">
      <alignment horizontal="center" vertical="top" wrapText="1"/>
    </xf>
    <xf numFmtId="0" fontId="39" fillId="0" borderId="46" xfId="18541" applyFont="1" applyBorder="1" applyAlignment="1">
      <alignment horizontal="center" vertical="top" wrapText="1"/>
    </xf>
    <xf numFmtId="0" fontId="31" fillId="44" borderId="46" xfId="18541" applyFont="1" applyFill="1" applyBorder="1" applyAlignment="1">
      <alignment horizontal="center" vertical="top" wrapText="1"/>
    </xf>
    <xf numFmtId="0" fontId="31" fillId="44" borderId="46" xfId="18542" applyFont="1" applyFill="1" applyBorder="1" applyAlignment="1">
      <alignment horizontal="center" vertical="top" wrapText="1"/>
    </xf>
    <xf numFmtId="0" fontId="31" fillId="44" borderId="88" xfId="18542" applyFont="1" applyFill="1" applyBorder="1" applyAlignment="1">
      <alignment horizontal="center" vertical="top" wrapText="1"/>
    </xf>
    <xf numFmtId="0" fontId="31" fillId="44" borderId="89" xfId="18542" applyFont="1" applyFill="1" applyBorder="1" applyAlignment="1">
      <alignment horizontal="center" vertical="top" wrapText="1"/>
    </xf>
    <xf numFmtId="169" fontId="31" fillId="44" borderId="89" xfId="18541" applyNumberFormat="1" applyFont="1" applyFill="1" applyBorder="1" applyAlignment="1">
      <alignment horizontal="center" vertical="top" wrapText="1"/>
    </xf>
    <xf numFmtId="0" fontId="31" fillId="44" borderId="89" xfId="18541" applyFont="1" applyFill="1" applyBorder="1" applyAlignment="1">
      <alignment horizontal="center" vertical="top" wrapText="1"/>
    </xf>
    <xf numFmtId="0" fontId="168" fillId="44" borderId="89" xfId="18541" applyFont="1" applyFill="1" applyBorder="1" applyAlignment="1">
      <alignment horizontal="center" vertical="top" wrapText="1"/>
    </xf>
    <xf numFmtId="0" fontId="31" fillId="34" borderId="88" xfId="18541" applyFont="1" applyFill="1" applyBorder="1" applyAlignment="1">
      <alignment horizontal="center" vertical="top" wrapText="1"/>
    </xf>
    <xf numFmtId="0" fontId="31" fillId="34" borderId="88" xfId="18541" applyFont="1" applyFill="1" applyBorder="1" applyAlignment="1">
      <alignment horizontal="right" vertical="top" wrapText="1"/>
    </xf>
    <xf numFmtId="0" fontId="31" fillId="34" borderId="88" xfId="18542" applyFont="1" applyFill="1" applyBorder="1" applyAlignment="1">
      <alignment horizontal="center" vertical="top" wrapText="1"/>
    </xf>
    <xf numFmtId="171" fontId="23" fillId="34" borderId="65" xfId="18541" applyNumberFormat="1" applyFont="1" applyFill="1" applyBorder="1" applyAlignment="1">
      <alignment horizontal="center" vertical="top"/>
    </xf>
    <xf numFmtId="169" fontId="31" fillId="34" borderId="88" xfId="18541" applyNumberFormat="1" applyFont="1" applyFill="1" applyBorder="1" applyAlignment="1">
      <alignment horizontal="center" vertical="top" wrapText="1"/>
    </xf>
    <xf numFmtId="170" fontId="23" fillId="34" borderId="65" xfId="18541" applyNumberFormat="1" applyFont="1" applyFill="1" applyBorder="1" applyAlignment="1">
      <alignment horizontal="center" vertical="top"/>
    </xf>
    <xf numFmtId="186" fontId="23" fillId="34" borderId="65" xfId="18541" applyNumberFormat="1" applyFont="1" applyFill="1" applyBorder="1" applyAlignment="1">
      <alignment horizontal="center" vertical="top"/>
    </xf>
    <xf numFmtId="0" fontId="168" fillId="44" borderId="88" xfId="18541" applyFont="1" applyFill="1" applyBorder="1" applyAlignment="1">
      <alignment horizontal="center" vertical="top" wrapText="1"/>
    </xf>
    <xf numFmtId="49" fontId="5" fillId="0" borderId="89" xfId="18541" applyNumberFormat="1" applyFont="1" applyBorder="1" applyAlignment="1" applyProtection="1">
      <alignment vertical="top" wrapText="1"/>
      <protection locked="0"/>
    </xf>
    <xf numFmtId="49" fontId="31" fillId="0" borderId="89" xfId="18542" applyNumberFormat="1" applyFont="1" applyBorder="1" applyAlignment="1" applyProtection="1">
      <alignment horizontal="left" vertical="top" wrapText="1"/>
      <protection locked="0"/>
    </xf>
    <xf numFmtId="170" fontId="23" fillId="52" borderId="89" xfId="18541" applyNumberFormat="1" applyFont="1" applyFill="1" applyBorder="1" applyAlignment="1" applyProtection="1">
      <alignment horizontal="center" vertical="top"/>
      <protection locked="0"/>
    </xf>
    <xf numFmtId="174" fontId="23" fillId="27" borderId="89" xfId="18541" applyNumberFormat="1" applyFont="1" applyFill="1" applyBorder="1" applyAlignment="1" applyProtection="1">
      <alignment horizontal="center" vertical="top"/>
      <protection locked="0"/>
    </xf>
    <xf numFmtId="170" fontId="23" fillId="0" borderId="89" xfId="18541" applyNumberFormat="1" applyFont="1" applyBorder="1" applyAlignment="1">
      <alignment horizontal="center" vertical="top"/>
    </xf>
    <xf numFmtId="170" fontId="23" fillId="0" borderId="89" xfId="18541" applyNumberFormat="1" applyFont="1" applyBorder="1" applyAlignment="1">
      <alignment vertical="top"/>
    </xf>
    <xf numFmtId="184" fontId="23" fillId="0" borderId="89" xfId="18541" applyNumberFormat="1" applyFont="1" applyBorder="1" applyAlignment="1">
      <alignment vertical="top"/>
    </xf>
    <xf numFmtId="170" fontId="23" fillId="52" borderId="89" xfId="18541" applyNumberFormat="1" applyFont="1" applyFill="1" applyBorder="1" applyAlignment="1" applyProtection="1">
      <alignment vertical="top"/>
      <protection locked="0"/>
    </xf>
    <xf numFmtId="170" fontId="23" fillId="27" borderId="89" xfId="18541" applyNumberFormat="1" applyFont="1" applyFill="1" applyBorder="1" applyAlignment="1" applyProtection="1">
      <alignment horizontal="center" vertical="top"/>
      <protection locked="0"/>
    </xf>
    <xf numFmtId="170" fontId="34" fillId="0" borderId="89" xfId="18541" applyNumberFormat="1" applyFont="1" applyBorder="1" applyAlignment="1">
      <alignment vertical="top"/>
    </xf>
    <xf numFmtId="170" fontId="23" fillId="0" borderId="89" xfId="18542" applyNumberFormat="1" applyFont="1" applyBorder="1" applyAlignment="1">
      <alignment vertical="top"/>
    </xf>
    <xf numFmtId="179" fontId="34" fillId="0" borderId="89" xfId="18541" applyNumberFormat="1" applyFont="1" applyBorder="1" applyAlignment="1">
      <alignment vertical="top"/>
    </xf>
    <xf numFmtId="186" fontId="23" fillId="27" borderId="89" xfId="18541" applyNumberFormat="1" applyFont="1" applyFill="1" applyBorder="1" applyAlignment="1" applyProtection="1">
      <alignment horizontal="center" vertical="top"/>
      <protection locked="0"/>
    </xf>
    <xf numFmtId="179" fontId="23" fillId="0" borderId="89" xfId="18541" applyNumberFormat="1" applyFont="1" applyBorder="1" applyAlignment="1">
      <alignment horizontal="center" vertical="top"/>
    </xf>
    <xf numFmtId="179" fontId="23" fillId="52" borderId="89" xfId="18541" applyNumberFormat="1" applyFont="1" applyFill="1" applyBorder="1" applyAlignment="1" applyProtection="1">
      <alignment horizontal="center" vertical="top"/>
      <protection locked="0"/>
    </xf>
    <xf numFmtId="0" fontId="49" fillId="0" borderId="0" xfId="18541" applyAlignment="1" applyProtection="1">
      <alignment vertical="top"/>
      <protection locked="0"/>
    </xf>
    <xf numFmtId="170" fontId="79" fillId="0" borderId="89" xfId="18541" applyNumberFormat="1" applyFont="1" applyBorder="1" applyAlignment="1">
      <alignment vertical="top"/>
    </xf>
    <xf numFmtId="170" fontId="169" fillId="0" borderId="89" xfId="18541" applyNumberFormat="1" applyFont="1" applyBorder="1" applyAlignment="1">
      <alignment vertical="top"/>
    </xf>
    <xf numFmtId="179" fontId="109" fillId="0" borderId="89" xfId="18541" applyNumberFormat="1" applyFont="1" applyBorder="1" applyAlignment="1">
      <alignment vertical="top"/>
    </xf>
    <xf numFmtId="49" fontId="5" fillId="54" borderId="89" xfId="18541" applyNumberFormat="1" applyFont="1" applyFill="1" applyBorder="1" applyAlignment="1" applyProtection="1">
      <alignment vertical="top" wrapText="1"/>
      <protection locked="0"/>
    </xf>
    <xf numFmtId="49" fontId="31" fillId="54" borderId="89" xfId="18542" applyNumberFormat="1" applyFont="1" applyFill="1" applyBorder="1" applyAlignment="1" applyProtection="1">
      <alignment horizontal="left" vertical="top" wrapText="1"/>
      <protection locked="0"/>
    </xf>
    <xf numFmtId="170" fontId="23" fillId="54" borderId="89" xfId="18541" applyNumberFormat="1" applyFont="1" applyFill="1" applyBorder="1" applyAlignment="1" applyProtection="1">
      <alignment horizontal="center" vertical="top"/>
      <protection locked="0"/>
    </xf>
    <xf numFmtId="174" fontId="23" fillId="54" borderId="89" xfId="18541" applyNumberFormat="1" applyFont="1" applyFill="1" applyBorder="1" applyAlignment="1" applyProtection="1">
      <alignment horizontal="center" vertical="top"/>
      <protection locked="0"/>
    </xf>
    <xf numFmtId="170" fontId="23" fillId="54" borderId="89" xfId="18541" applyNumberFormat="1" applyFont="1" applyFill="1" applyBorder="1" applyAlignment="1">
      <alignment horizontal="center" vertical="top"/>
    </xf>
    <xf numFmtId="170" fontId="23" fillId="54" borderId="89" xfId="18541" applyNumberFormat="1" applyFont="1" applyFill="1" applyBorder="1" applyAlignment="1">
      <alignment vertical="top"/>
    </xf>
    <xf numFmtId="184" fontId="23" fillId="54" borderId="89" xfId="18541" applyNumberFormat="1" applyFont="1" applyFill="1" applyBorder="1" applyAlignment="1">
      <alignment vertical="top"/>
    </xf>
    <xf numFmtId="170" fontId="23" fillId="54" borderId="89" xfId="18541" applyNumberFormat="1" applyFont="1" applyFill="1" applyBorder="1" applyAlignment="1" applyProtection="1">
      <alignment vertical="top"/>
      <protection locked="0"/>
    </xf>
    <xf numFmtId="170" fontId="34" fillId="54" borderId="89" xfId="18541" applyNumberFormat="1" applyFont="1" applyFill="1" applyBorder="1" applyAlignment="1">
      <alignment vertical="top"/>
    </xf>
    <xf numFmtId="170" fontId="23" fillId="54" borderId="89" xfId="18542" applyNumberFormat="1" applyFont="1" applyFill="1" applyBorder="1" applyAlignment="1">
      <alignment vertical="top"/>
    </xf>
    <xf numFmtId="179" fontId="34" fillId="54" borderId="89" xfId="18541" applyNumberFormat="1" applyFont="1" applyFill="1" applyBorder="1" applyAlignment="1">
      <alignment vertical="top"/>
    </xf>
    <xf numFmtId="186" fontId="23" fillId="54" borderId="89" xfId="18541" applyNumberFormat="1" applyFont="1" applyFill="1" applyBorder="1" applyAlignment="1" applyProtection="1">
      <alignment horizontal="center" vertical="top"/>
      <protection locked="0"/>
    </xf>
    <xf numFmtId="179" fontId="23" fillId="54" borderId="89" xfId="18541" applyNumberFormat="1" applyFont="1" applyFill="1" applyBorder="1" applyAlignment="1">
      <alignment horizontal="center" vertical="top"/>
    </xf>
    <xf numFmtId="179" fontId="23" fillId="54" borderId="89" xfId="18541" applyNumberFormat="1" applyFont="1" applyFill="1" applyBorder="1" applyAlignment="1" applyProtection="1">
      <alignment horizontal="center" vertical="top"/>
      <protection locked="0"/>
    </xf>
    <xf numFmtId="170" fontId="170" fillId="55" borderId="89" xfId="18541" applyNumberFormat="1" applyFont="1" applyFill="1" applyBorder="1" applyAlignment="1">
      <alignment vertical="top"/>
    </xf>
    <xf numFmtId="170" fontId="23" fillId="55" borderId="89" xfId="18541" applyNumberFormat="1" applyFont="1" applyFill="1" applyBorder="1" applyAlignment="1">
      <alignment vertical="top"/>
    </xf>
    <xf numFmtId="170" fontId="79" fillId="55" borderId="89" xfId="18541" applyNumberFormat="1" applyFont="1" applyFill="1" applyBorder="1" applyAlignment="1">
      <alignment vertical="top"/>
    </xf>
    <xf numFmtId="170" fontId="171" fillId="55" borderId="89" xfId="18541" applyNumberFormat="1" applyFont="1" applyFill="1" applyBorder="1" applyAlignment="1">
      <alignment vertical="top"/>
    </xf>
    <xf numFmtId="179" fontId="103" fillId="55" borderId="89" xfId="18541" applyNumberFormat="1" applyFont="1" applyFill="1" applyBorder="1" applyAlignment="1">
      <alignment vertical="top"/>
    </xf>
    <xf numFmtId="170" fontId="103" fillId="55" borderId="89" xfId="18541" applyNumberFormat="1" applyFont="1" applyFill="1" applyBorder="1" applyAlignment="1">
      <alignment vertical="top"/>
    </xf>
    <xf numFmtId="179" fontId="34" fillId="54" borderId="89" xfId="18541" applyNumberFormat="1" applyFont="1" applyFill="1" applyBorder="1" applyAlignment="1">
      <alignment horizontal="center" vertical="top"/>
    </xf>
    <xf numFmtId="170" fontId="34" fillId="55" borderId="89" xfId="18541" applyNumberFormat="1" applyFont="1" applyFill="1" applyBorder="1" applyAlignment="1">
      <alignment vertical="top"/>
    </xf>
    <xf numFmtId="179" fontId="79" fillId="55" borderId="89" xfId="18541" applyNumberFormat="1" applyFont="1" applyFill="1" applyBorder="1" applyAlignment="1">
      <alignment vertical="top"/>
    </xf>
    <xf numFmtId="179" fontId="34" fillId="0" borderId="89" xfId="18541" applyNumberFormat="1" applyFont="1" applyBorder="1" applyAlignment="1">
      <alignment horizontal="center" vertical="top"/>
    </xf>
    <xf numFmtId="179" fontId="87" fillId="54" borderId="89" xfId="18541" applyNumberFormat="1" applyFont="1" applyFill="1" applyBorder="1" applyAlignment="1">
      <alignment horizontal="center" vertical="top"/>
    </xf>
    <xf numFmtId="49" fontId="39" fillId="54" borderId="89" xfId="18542" applyNumberFormat="1" applyFont="1" applyFill="1" applyBorder="1" applyAlignment="1" applyProtection="1">
      <alignment horizontal="left" vertical="top" wrapText="1"/>
      <protection locked="0"/>
    </xf>
    <xf numFmtId="170" fontId="34" fillId="54" borderId="89" xfId="18541" applyNumberFormat="1" applyFont="1" applyFill="1" applyBorder="1" applyAlignment="1" applyProtection="1">
      <alignment horizontal="center" vertical="top"/>
      <protection locked="0"/>
    </xf>
    <xf numFmtId="174" fontId="34" fillId="54" borderId="89" xfId="18541" applyNumberFormat="1" applyFont="1" applyFill="1" applyBorder="1" applyAlignment="1" applyProtection="1">
      <alignment horizontal="center" vertical="top"/>
      <protection locked="0"/>
    </xf>
    <xf numFmtId="4" fontId="34" fillId="54" borderId="89" xfId="18541" applyNumberFormat="1" applyFont="1" applyFill="1" applyBorder="1" applyAlignment="1">
      <alignment horizontal="center" vertical="top"/>
    </xf>
    <xf numFmtId="170" fontId="34" fillId="54" borderId="89" xfId="18541" applyNumberFormat="1" applyFont="1" applyFill="1" applyBorder="1" applyAlignment="1">
      <alignment horizontal="center" vertical="top"/>
    </xf>
    <xf numFmtId="170" fontId="34" fillId="54" borderId="89" xfId="18541" applyNumberFormat="1" applyFont="1" applyFill="1" applyBorder="1" applyAlignment="1" applyProtection="1">
      <alignment vertical="top"/>
      <protection locked="0"/>
    </xf>
    <xf numFmtId="170" fontId="34" fillId="54" borderId="89" xfId="18542" applyNumberFormat="1" applyFont="1" applyFill="1" applyBorder="1" applyAlignment="1">
      <alignment vertical="top"/>
    </xf>
    <xf numFmtId="186" fontId="34" fillId="54" borderId="89" xfId="18541" applyNumberFormat="1" applyFont="1" applyFill="1" applyBorder="1" applyAlignment="1" applyProtection="1">
      <alignment horizontal="center" vertical="top"/>
      <protection locked="0"/>
    </xf>
    <xf numFmtId="179" fontId="34" fillId="54" borderId="89" xfId="18541" applyNumberFormat="1" applyFont="1" applyFill="1" applyBorder="1" applyAlignment="1" applyProtection="1">
      <alignment horizontal="center" vertical="top"/>
      <protection locked="0"/>
    </xf>
    <xf numFmtId="0" fontId="51" fillId="0" borderId="0" xfId="18541" applyFont="1" applyAlignment="1" applyProtection="1">
      <alignment vertical="top"/>
      <protection locked="0"/>
    </xf>
    <xf numFmtId="170" fontId="172" fillId="54" borderId="89" xfId="18541" applyNumberFormat="1" applyFont="1" applyFill="1" applyBorder="1" applyAlignment="1">
      <alignment vertical="top"/>
    </xf>
    <xf numFmtId="179" fontId="34" fillId="55" borderId="89" xfId="18541" applyNumberFormat="1" applyFont="1" applyFill="1" applyBorder="1" applyAlignment="1">
      <alignment horizontal="center" vertical="top"/>
    </xf>
    <xf numFmtId="179" fontId="34" fillId="56" borderId="89" xfId="18541" applyNumberFormat="1" applyFont="1" applyFill="1" applyBorder="1" applyAlignment="1">
      <alignment horizontal="center" vertical="top"/>
    </xf>
    <xf numFmtId="179" fontId="34" fillId="33" borderId="89" xfId="18541" applyNumberFormat="1" applyFont="1" applyFill="1" applyBorder="1" applyAlignment="1">
      <alignment horizontal="center" vertical="top"/>
    </xf>
    <xf numFmtId="179" fontId="103" fillId="55" borderId="89" xfId="18541" applyNumberFormat="1" applyFont="1" applyFill="1" applyBorder="1" applyAlignment="1">
      <alignment horizontal="center" vertical="top"/>
    </xf>
    <xf numFmtId="170" fontId="49" fillId="0" borderId="0" xfId="18541" applyNumberFormat="1" applyAlignment="1">
      <alignment vertical="top"/>
    </xf>
    <xf numFmtId="0" fontId="49" fillId="0" borderId="0" xfId="18541" applyAlignment="1">
      <alignment horizontal="center" vertical="top"/>
    </xf>
    <xf numFmtId="0" fontId="173" fillId="0" borderId="0" xfId="18541" applyFont="1" applyAlignment="1">
      <alignment vertical="top"/>
    </xf>
    <xf numFmtId="0" fontId="49" fillId="0" borderId="89" xfId="18541" applyBorder="1" applyAlignment="1">
      <alignment vertical="top"/>
    </xf>
    <xf numFmtId="179" fontId="49" fillId="0" borderId="89" xfId="18541" applyNumberFormat="1" applyBorder="1" applyAlignment="1">
      <alignment vertical="top"/>
    </xf>
    <xf numFmtId="179" fontId="174" fillId="0" borderId="89" xfId="18541" applyNumberFormat="1" applyFont="1" applyBorder="1" applyAlignment="1">
      <alignment vertical="top"/>
    </xf>
    <xf numFmtId="0" fontId="51" fillId="0" borderId="0" xfId="18541" applyFont="1" applyAlignment="1">
      <alignment vertical="top"/>
    </xf>
    <xf numFmtId="179" fontId="51" fillId="0" borderId="0" xfId="18541" applyNumberFormat="1" applyFont="1" applyAlignment="1">
      <alignment vertical="top"/>
    </xf>
    <xf numFmtId="179" fontId="49" fillId="0" borderId="0" xfId="18541" applyNumberFormat="1" applyAlignment="1">
      <alignment vertical="top"/>
    </xf>
    <xf numFmtId="179" fontId="174" fillId="0" borderId="0" xfId="18541" applyNumberFormat="1" applyFont="1" applyAlignment="1">
      <alignment vertical="top"/>
    </xf>
    <xf numFmtId="170" fontId="79" fillId="54" borderId="89" xfId="18541" applyNumberFormat="1" applyFont="1" applyFill="1" applyBorder="1" applyAlignment="1" applyProtection="1">
      <alignment horizontal="center" vertical="top"/>
      <protection locked="0"/>
    </xf>
    <xf numFmtId="170" fontId="175" fillId="54" borderId="89" xfId="18541" applyNumberFormat="1" applyFont="1" applyFill="1" applyBorder="1" applyAlignment="1" applyProtection="1">
      <alignment horizontal="center" vertical="top"/>
      <protection locked="0"/>
    </xf>
    <xf numFmtId="174" fontId="23" fillId="54" borderId="89" xfId="18541" applyNumberFormat="1" applyFont="1" applyFill="1" applyBorder="1" applyAlignment="1" applyProtection="1">
      <alignment vertical="top"/>
      <protection locked="0"/>
    </xf>
    <xf numFmtId="170" fontId="79" fillId="54" borderId="89" xfId="18541" applyNumberFormat="1" applyFont="1" applyFill="1" applyBorder="1" applyAlignment="1" applyProtection="1">
      <alignment vertical="top"/>
      <protection locked="0"/>
    </xf>
    <xf numFmtId="170" fontId="175" fillId="54" borderId="89" xfId="18541" applyNumberFormat="1" applyFont="1" applyFill="1" applyBorder="1" applyAlignment="1" applyProtection="1">
      <alignment vertical="top"/>
      <protection locked="0"/>
    </xf>
    <xf numFmtId="174" fontId="103" fillId="55" borderId="40" xfId="18445" applyNumberFormat="1" applyFont="1" applyFill="1" applyBorder="1" applyAlignment="1">
      <alignment horizontal="center" vertical="top"/>
    </xf>
    <xf numFmtId="0" fontId="31" fillId="33" borderId="46" xfId="18541" applyFont="1" applyFill="1" applyBorder="1" applyAlignment="1">
      <alignment horizontal="center" vertical="top" wrapText="1"/>
    </xf>
    <xf numFmtId="170" fontId="170" fillId="52" borderId="89" xfId="18541" applyNumberFormat="1" applyFont="1" applyFill="1" applyBorder="1" applyAlignment="1" applyProtection="1">
      <alignment vertical="top"/>
      <protection locked="0"/>
    </xf>
    <xf numFmtId="170" fontId="49" fillId="0" borderId="0" xfId="18541" applyNumberFormat="1" applyAlignment="1" applyProtection="1">
      <alignment vertical="top"/>
      <protection locked="0"/>
    </xf>
    <xf numFmtId="0" fontId="0" fillId="0" borderId="0" xfId="18541" applyFont="1" applyAlignment="1">
      <alignment horizontal="center" vertical="top" wrapText="1"/>
    </xf>
    <xf numFmtId="0" fontId="0" fillId="0" borderId="0" xfId="18541" applyFont="1" applyAlignment="1">
      <alignment horizontal="center" vertical="top"/>
    </xf>
    <xf numFmtId="170" fontId="51" fillId="0" borderId="0" xfId="18541" applyNumberFormat="1" applyFont="1" applyAlignment="1" applyProtection="1">
      <alignment vertical="top"/>
      <protection locked="0"/>
    </xf>
    <xf numFmtId="169" fontId="51" fillId="0" borderId="0" xfId="18541" applyNumberFormat="1" applyFont="1" applyAlignment="1" applyProtection="1">
      <alignment vertical="top"/>
      <protection locked="0"/>
    </xf>
    <xf numFmtId="170" fontId="176" fillId="52" borderId="89" xfId="18541" applyNumberFormat="1" applyFont="1" applyFill="1" applyBorder="1" applyAlignment="1" applyProtection="1">
      <alignment vertical="top"/>
      <protection locked="0"/>
    </xf>
    <xf numFmtId="170" fontId="177" fillId="52" borderId="89" xfId="18541" applyNumberFormat="1" applyFont="1" applyFill="1" applyBorder="1" applyAlignment="1" applyProtection="1">
      <alignment vertical="top"/>
      <protection locked="0"/>
    </xf>
    <xf numFmtId="0" fontId="51" fillId="0" borderId="0" xfId="18543" applyFont="1"/>
    <xf numFmtId="0" fontId="49" fillId="0" borderId="0" xfId="18543"/>
    <xf numFmtId="0" fontId="0" fillId="0" borderId="0" xfId="18543" applyFont="1"/>
    <xf numFmtId="0" fontId="49" fillId="35" borderId="0" xfId="18543" applyFill="1"/>
    <xf numFmtId="0" fontId="94" fillId="0" borderId="0" xfId="18543" applyFont="1"/>
    <xf numFmtId="170" fontId="94" fillId="0" borderId="0" xfId="18543" applyNumberFormat="1" applyFont="1"/>
    <xf numFmtId="170" fontId="49" fillId="35" borderId="0" xfId="18543" applyNumberFormat="1" applyFill="1"/>
    <xf numFmtId="170" fontId="49" fillId="0" borderId="90" xfId="18543" applyNumberFormat="1" applyBorder="1"/>
    <xf numFmtId="170" fontId="94" fillId="0" borderId="90" xfId="18543" applyNumberFormat="1" applyFont="1" applyBorder="1"/>
    <xf numFmtId="4" fontId="94" fillId="0" borderId="90" xfId="18543" applyNumberFormat="1" applyFont="1" applyBorder="1"/>
    <xf numFmtId="0" fontId="49" fillId="0" borderId="90" xfId="18543" applyBorder="1"/>
    <xf numFmtId="0" fontId="51" fillId="25" borderId="90" xfId="18543" applyFont="1" applyFill="1" applyBorder="1"/>
    <xf numFmtId="170" fontId="104" fillId="25" borderId="90" xfId="18543" applyNumberFormat="1" applyFont="1" applyFill="1" applyBorder="1"/>
    <xf numFmtId="0" fontId="49" fillId="0" borderId="0" xfId="18543" applyAlignment="1">
      <alignment wrapText="1"/>
    </xf>
    <xf numFmtId="0" fontId="49" fillId="25" borderId="0" xfId="18543" applyFill="1"/>
    <xf numFmtId="0" fontId="49" fillId="25" borderId="0" xfId="18543" applyFill="1" applyAlignment="1">
      <alignment wrapText="1"/>
    </xf>
    <xf numFmtId="170" fontId="178" fillId="25" borderId="90" xfId="18543" applyNumberFormat="1" applyFont="1" applyFill="1" applyBorder="1"/>
    <xf numFmtId="170" fontId="178" fillId="57" borderId="90" xfId="18543" applyNumberFormat="1" applyFont="1" applyFill="1" applyBorder="1"/>
    <xf numFmtId="187" fontId="104" fillId="25" borderId="90" xfId="18543" applyNumberFormat="1" applyFont="1" applyFill="1" applyBorder="1"/>
    <xf numFmtId="0" fontId="93" fillId="37" borderId="13" xfId="0" applyFont="1" applyFill="1" applyBorder="1" applyAlignment="1">
      <alignment horizontal="center" vertical="top" wrapText="1"/>
    </xf>
    <xf numFmtId="0" fontId="93" fillId="37" borderId="14" xfId="0" applyFont="1" applyFill="1" applyBorder="1" applyAlignment="1">
      <alignment horizontal="center" vertical="top" wrapText="1"/>
    </xf>
    <xf numFmtId="0" fontId="93" fillId="37" borderId="12" xfId="0" applyFont="1" applyFill="1" applyBorder="1" applyAlignment="1">
      <alignment horizontal="center" vertical="top" wrapText="1"/>
    </xf>
    <xf numFmtId="0" fontId="93" fillId="0" borderId="18" xfId="0" applyFont="1" applyBorder="1" applyAlignment="1">
      <alignment horizontal="center" vertical="top" wrapText="1"/>
    </xf>
    <xf numFmtId="0" fontId="93" fillId="0" borderId="11" xfId="0" applyFont="1" applyBorder="1" applyAlignment="1">
      <alignment horizontal="center" vertical="top" wrapText="1"/>
    </xf>
    <xf numFmtId="0" fontId="118" fillId="0" borderId="18" xfId="0" applyFont="1" applyBorder="1" applyAlignment="1">
      <alignment horizontal="center" vertical="top" wrapText="1"/>
    </xf>
    <xf numFmtId="0" fontId="118" fillId="0" borderId="11" xfId="0" applyFont="1" applyBorder="1" applyAlignment="1">
      <alignment horizontal="center" vertical="top" wrapText="1"/>
    </xf>
    <xf numFmtId="0" fontId="97" fillId="0" borderId="13" xfId="0" applyFont="1" applyBorder="1" applyAlignment="1">
      <alignment horizontal="center" vertical="top" wrapText="1"/>
    </xf>
    <xf numFmtId="0" fontId="97" fillId="0" borderId="14" xfId="0" applyFont="1" applyBorder="1" applyAlignment="1">
      <alignment horizontal="center" vertical="top" wrapText="1"/>
    </xf>
    <xf numFmtId="0" fontId="97" fillId="0" borderId="12" xfId="0" applyFont="1" applyBorder="1" applyAlignment="1">
      <alignment horizontal="center" vertical="top" wrapText="1"/>
    </xf>
    <xf numFmtId="0" fontId="96" fillId="37" borderId="13" xfId="0" applyFont="1" applyFill="1" applyBorder="1" applyAlignment="1">
      <alignment vertical="top"/>
    </xf>
    <xf numFmtId="0" fontId="96" fillId="37" borderId="14" xfId="0" applyFont="1" applyFill="1" applyBorder="1" applyAlignment="1">
      <alignment vertical="top"/>
    </xf>
    <xf numFmtId="0" fontId="96" fillId="37" borderId="12" xfId="0" applyFont="1" applyFill="1" applyBorder="1" applyAlignment="1">
      <alignment vertical="top"/>
    </xf>
    <xf numFmtId="0" fontId="93" fillId="0" borderId="13" xfId="0" applyFont="1" applyBorder="1" applyAlignment="1">
      <alignment horizontal="center" vertical="top" wrapText="1"/>
    </xf>
    <xf numFmtId="0" fontId="93" fillId="0" borderId="14" xfId="0" applyFont="1" applyBorder="1" applyAlignment="1">
      <alignment horizontal="center" vertical="top" wrapText="1"/>
    </xf>
    <xf numFmtId="0" fontId="93" fillId="0" borderId="12" xfId="0" applyFont="1" applyBorder="1" applyAlignment="1">
      <alignment horizontal="center" vertical="top" wrapText="1"/>
    </xf>
    <xf numFmtId="0" fontId="56" fillId="0" borderId="18" xfId="0" applyFont="1" applyFill="1" applyBorder="1" applyAlignment="1">
      <alignment horizontal="center" vertical="top" wrapText="1"/>
    </xf>
    <xf numFmtId="0" fontId="56" fillId="0" borderId="22" xfId="0" applyFont="1" applyFill="1" applyBorder="1" applyAlignment="1">
      <alignment horizontal="center" vertical="top" wrapText="1"/>
    </xf>
    <xf numFmtId="0" fontId="56" fillId="0" borderId="11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17" xfId="0" applyBorder="1" applyAlignment="1">
      <alignment horizontal="center" vertical="top" wrapText="1"/>
    </xf>
    <xf numFmtId="0" fontId="0" fillId="0" borderId="18" xfId="0" applyBorder="1" applyAlignment="1">
      <alignment horizontal="center" vertical="top" wrapText="1"/>
    </xf>
    <xf numFmtId="0" fontId="0" fillId="0" borderId="22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110" fillId="0" borderId="18" xfId="0" applyFont="1" applyBorder="1" applyAlignment="1">
      <alignment horizontal="center" vertical="top" wrapText="1"/>
    </xf>
    <xf numFmtId="0" fontId="110" fillId="0" borderId="22" xfId="0" applyFont="1" applyBorder="1" applyAlignment="1">
      <alignment horizontal="center" vertical="top" wrapText="1"/>
    </xf>
    <xf numFmtId="0" fontId="110" fillId="0" borderId="11" xfId="0" applyFont="1" applyBorder="1" applyAlignment="1">
      <alignment horizontal="center" vertical="top" wrapText="1"/>
    </xf>
    <xf numFmtId="0" fontId="0" fillId="0" borderId="19" xfId="0" applyBorder="1" applyAlignment="1">
      <alignment horizontal="center" vertical="top" wrapText="1"/>
    </xf>
    <xf numFmtId="0" fontId="0" fillId="0" borderId="20" xfId="0" applyBorder="1" applyAlignment="1">
      <alignment horizontal="center" vertical="top" wrapText="1"/>
    </xf>
    <xf numFmtId="0" fontId="0" fillId="0" borderId="16" xfId="0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0" fillId="0" borderId="11" xfId="0" applyBorder="1"/>
    <xf numFmtId="0" fontId="0" fillId="0" borderId="24" xfId="0" applyBorder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57" fillId="24" borderId="13" xfId="0" applyFont="1" applyFill="1" applyBorder="1" applyAlignment="1">
      <alignment horizontal="center" vertical="top" wrapText="1"/>
    </xf>
    <xf numFmtId="0" fontId="57" fillId="24" borderId="12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top"/>
    </xf>
    <xf numFmtId="0" fontId="58" fillId="0" borderId="0" xfId="0" applyFont="1" applyAlignment="1">
      <alignment horizontal="center" vertical="top"/>
    </xf>
    <xf numFmtId="0" fontId="106" fillId="0" borderId="10" xfId="343" applyFont="1" applyFill="1" applyBorder="1" applyAlignment="1">
      <alignment horizontal="center" vertical="top" wrapText="1"/>
    </xf>
    <xf numFmtId="0" fontId="75" fillId="29" borderId="11" xfId="0" applyFont="1" applyFill="1" applyBorder="1" applyAlignment="1">
      <alignment horizontal="center" vertical="top" wrapText="1"/>
    </xf>
    <xf numFmtId="0" fontId="75" fillId="29" borderId="10" xfId="0" applyFont="1" applyFill="1" applyBorder="1" applyAlignment="1">
      <alignment horizontal="center" vertical="top" wrapText="1"/>
    </xf>
    <xf numFmtId="0" fontId="74" fillId="0" borderId="10" xfId="0" applyFont="1" applyFill="1" applyBorder="1" applyAlignment="1">
      <alignment horizontal="center" vertical="top"/>
    </xf>
    <xf numFmtId="0" fontId="74" fillId="35" borderId="10" xfId="0" applyFont="1" applyFill="1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0" fillId="0" borderId="0" xfId="0" applyBorder="1" applyAlignment="1">
      <alignment horizontal="center" vertical="top" wrapText="1"/>
    </xf>
    <xf numFmtId="0" fontId="106" fillId="0" borderId="11" xfId="0" applyFont="1" applyFill="1" applyBorder="1" applyAlignment="1">
      <alignment horizontal="center" vertical="top" wrapText="1"/>
    </xf>
    <xf numFmtId="0" fontId="106" fillId="0" borderId="10" xfId="0" applyFont="1" applyFill="1" applyBorder="1" applyAlignment="1">
      <alignment horizontal="center" vertical="top" wrapText="1"/>
    </xf>
    <xf numFmtId="0" fontId="106" fillId="0" borderId="11" xfId="0" applyFont="1" applyFill="1" applyBorder="1" applyAlignment="1">
      <alignment horizontal="center" vertical="top"/>
    </xf>
    <xf numFmtId="0" fontId="58" fillId="0" borderId="11" xfId="0" applyFont="1" applyBorder="1" applyAlignment="1">
      <alignment horizontal="center" vertical="top"/>
    </xf>
    <xf numFmtId="0" fontId="58" fillId="0" borderId="10" xfId="0" applyFont="1" applyBorder="1" applyAlignment="1">
      <alignment horizontal="center" vertical="top" wrapText="1"/>
    </xf>
    <xf numFmtId="0" fontId="106" fillId="0" borderId="11" xfId="343" applyFont="1" applyFill="1" applyBorder="1" applyAlignment="1">
      <alignment horizontal="center" vertical="top" wrapText="1"/>
    </xf>
    <xf numFmtId="0" fontId="106" fillId="0" borderId="11" xfId="0" applyFont="1" applyBorder="1" applyAlignment="1">
      <alignment horizontal="center" vertical="top" wrapText="1"/>
    </xf>
    <xf numFmtId="0" fontId="106" fillId="0" borderId="10" xfId="0" applyFont="1" applyBorder="1" applyAlignment="1">
      <alignment horizontal="center" vertical="top" wrapText="1"/>
    </xf>
    <xf numFmtId="0" fontId="77" fillId="29" borderId="11" xfId="0" applyFont="1" applyFill="1" applyBorder="1" applyAlignment="1">
      <alignment horizontal="center" vertical="top"/>
    </xf>
    <xf numFmtId="0" fontId="105" fillId="0" borderId="11" xfId="0" applyFont="1" applyBorder="1" applyAlignment="1">
      <alignment horizontal="center" vertical="top" wrapText="1"/>
    </xf>
    <xf numFmtId="0" fontId="105" fillId="0" borderId="10" xfId="0" applyFont="1" applyBorder="1" applyAlignment="1">
      <alignment horizontal="center" vertical="top" wrapText="1"/>
    </xf>
    <xf numFmtId="0" fontId="58" fillId="0" borderId="25" xfId="0" applyFont="1" applyBorder="1" applyAlignment="1">
      <alignment horizontal="center" vertical="top" wrapText="1"/>
    </xf>
    <xf numFmtId="0" fontId="58" fillId="0" borderId="25" xfId="0" applyFont="1" applyBorder="1" applyAlignment="1">
      <alignment horizontal="center" vertical="top"/>
    </xf>
    <xf numFmtId="0" fontId="127" fillId="0" borderId="47" xfId="18541" applyFont="1" applyBorder="1" applyAlignment="1">
      <alignment horizontal="center" vertical="top" wrapText="1"/>
    </xf>
    <xf numFmtId="0" fontId="127" fillId="0" borderId="48" xfId="18541" applyFont="1" applyBorder="1" applyAlignment="1">
      <alignment horizontal="center" vertical="top" wrapText="1"/>
    </xf>
    <xf numFmtId="0" fontId="127" fillId="0" borderId="49" xfId="18541" applyFont="1" applyBorder="1" applyAlignment="1">
      <alignment horizontal="center" vertical="top" wrapText="1"/>
    </xf>
    <xf numFmtId="0" fontId="127" fillId="53" borderId="46" xfId="18541" applyFont="1" applyFill="1" applyBorder="1" applyAlignment="1">
      <alignment horizontal="center" vertical="top" wrapText="1"/>
    </xf>
    <xf numFmtId="0" fontId="110" fillId="52" borderId="47" xfId="18541" applyFont="1" applyFill="1" applyBorder="1" applyAlignment="1">
      <alignment horizontal="center" vertical="top" wrapText="1"/>
    </xf>
    <xf numFmtId="0" fontId="110" fillId="52" borderId="48" xfId="18541" applyFont="1" applyFill="1" applyBorder="1" applyAlignment="1">
      <alignment horizontal="center" vertical="top" wrapText="1"/>
    </xf>
    <xf numFmtId="0" fontId="110" fillId="52" borderId="49" xfId="18541" applyFont="1" applyFill="1" applyBorder="1" applyAlignment="1">
      <alignment horizontal="center" vertical="top" wrapText="1"/>
    </xf>
    <xf numFmtId="0" fontId="127" fillId="53" borderId="47" xfId="18541" applyFont="1" applyFill="1" applyBorder="1" applyAlignment="1">
      <alignment horizontal="center" vertical="top" wrapText="1"/>
    </xf>
    <xf numFmtId="0" fontId="127" fillId="53" borderId="48" xfId="18541" applyFont="1" applyFill="1" applyBorder="1" applyAlignment="1">
      <alignment horizontal="center" vertical="top" wrapText="1"/>
    </xf>
    <xf numFmtId="0" fontId="127" fillId="53" borderId="49" xfId="18541" applyFont="1" applyFill="1" applyBorder="1" applyAlignment="1">
      <alignment horizontal="center" vertical="top" wrapText="1"/>
    </xf>
    <xf numFmtId="0" fontId="51" fillId="51" borderId="46" xfId="18541" applyFont="1" applyFill="1" applyBorder="1" applyAlignment="1">
      <alignment horizontal="center" vertical="top"/>
    </xf>
    <xf numFmtId="0" fontId="23" fillId="0" borderId="46" xfId="18541" applyFont="1" applyBorder="1" applyAlignment="1">
      <alignment horizontal="center" vertical="top" wrapText="1"/>
    </xf>
    <xf numFmtId="0" fontId="23" fillId="0" borderId="46" xfId="18542" applyFont="1" applyBorder="1" applyAlignment="1">
      <alignment horizontal="center" vertical="top" wrapText="1"/>
    </xf>
    <xf numFmtId="0" fontId="34" fillId="0" borderId="46" xfId="18541" applyFont="1" applyBorder="1" applyAlignment="1">
      <alignment horizontal="center" vertical="top"/>
    </xf>
    <xf numFmtId="0" fontId="110" fillId="0" borderId="47" xfId="18541" applyFont="1" applyBorder="1" applyAlignment="1">
      <alignment horizontal="center" vertical="top" wrapText="1"/>
    </xf>
    <xf numFmtId="0" fontId="110" fillId="0" borderId="48" xfId="18541" applyFont="1" applyBorder="1" applyAlignment="1">
      <alignment horizontal="center" vertical="top" wrapText="1"/>
    </xf>
    <xf numFmtId="0" fontId="110" fillId="0" borderId="49" xfId="18541" applyFont="1" applyBorder="1" applyAlignment="1">
      <alignment horizontal="center" vertical="top" wrapText="1"/>
    </xf>
    <xf numFmtId="0" fontId="49" fillId="0" borderId="47" xfId="18541" applyBorder="1" applyAlignment="1">
      <alignment horizontal="center" vertical="top"/>
    </xf>
    <xf numFmtId="0" fontId="49" fillId="0" borderId="48" xfId="18541" applyBorder="1" applyAlignment="1">
      <alignment horizontal="center" vertical="top"/>
    </xf>
    <xf numFmtId="0" fontId="127" fillId="51" borderId="47" xfId="18541" applyFont="1" applyFill="1" applyBorder="1" applyAlignment="1">
      <alignment horizontal="center" vertical="top"/>
    </xf>
    <xf numFmtId="0" fontId="127" fillId="51" borderId="48" xfId="18541" applyFont="1" applyFill="1" applyBorder="1" applyAlignment="1">
      <alignment horizontal="center" vertical="top"/>
    </xf>
    <xf numFmtId="0" fontId="127" fillId="51" borderId="49" xfId="18541" applyFont="1" applyFill="1" applyBorder="1" applyAlignment="1">
      <alignment horizontal="center" vertical="top"/>
    </xf>
    <xf numFmtId="0" fontId="51" fillId="0" borderId="47" xfId="18541" applyFont="1" applyBorder="1" applyAlignment="1">
      <alignment horizontal="center" vertical="top" wrapText="1"/>
    </xf>
    <xf numFmtId="0" fontId="51" fillId="0" borderId="48" xfId="18541" applyFont="1" applyBorder="1" applyAlignment="1">
      <alignment horizontal="center" vertical="top" wrapText="1"/>
    </xf>
    <xf numFmtId="0" fontId="51" fillId="0" borderId="49" xfId="18541" applyFont="1" applyBorder="1" applyAlignment="1">
      <alignment horizontal="center" vertical="top" wrapText="1"/>
    </xf>
    <xf numFmtId="0" fontId="127" fillId="33" borderId="47" xfId="18541" applyFont="1" applyFill="1" applyBorder="1" applyAlignment="1">
      <alignment horizontal="center" vertical="top" wrapText="1"/>
    </xf>
    <xf numFmtId="0" fontId="127" fillId="33" borderId="48" xfId="18541" applyFont="1" applyFill="1" applyBorder="1" applyAlignment="1">
      <alignment horizontal="center" vertical="top" wrapText="1"/>
    </xf>
    <xf numFmtId="0" fontId="127" fillId="33" borderId="49" xfId="18541" applyFont="1" applyFill="1" applyBorder="1" applyAlignment="1">
      <alignment horizontal="center" vertical="top" wrapText="1"/>
    </xf>
    <xf numFmtId="0" fontId="127" fillId="52" borderId="47" xfId="18541" applyFont="1" applyFill="1" applyBorder="1" applyAlignment="1">
      <alignment horizontal="center" vertical="top" wrapText="1"/>
    </xf>
    <xf numFmtId="0" fontId="127" fillId="52" borderId="48" xfId="18541" applyFont="1" applyFill="1" applyBorder="1" applyAlignment="1">
      <alignment horizontal="center" vertical="top" wrapText="1"/>
    </xf>
    <xf numFmtId="0" fontId="127" fillId="52" borderId="49" xfId="18541" applyFont="1" applyFill="1" applyBorder="1" applyAlignment="1">
      <alignment horizontal="center" vertical="top" wrapText="1"/>
    </xf>
    <xf numFmtId="0" fontId="49" fillId="0" borderId="47" xfId="18541" applyBorder="1" applyAlignment="1">
      <alignment horizontal="center" vertical="top" wrapText="1"/>
    </xf>
    <xf numFmtId="0" fontId="49" fillId="0" borderId="48" xfId="18541" applyBorder="1" applyAlignment="1">
      <alignment horizontal="center" vertical="top" wrapText="1"/>
    </xf>
    <xf numFmtId="0" fontId="49" fillId="0" borderId="49" xfId="18541" applyBorder="1" applyAlignment="1">
      <alignment horizontal="center" vertical="top" wrapText="1"/>
    </xf>
    <xf numFmtId="0" fontId="111" fillId="0" borderId="0" xfId="18541" applyFont="1" applyAlignment="1">
      <alignment horizontal="center" vertical="top"/>
    </xf>
    <xf numFmtId="0" fontId="0" fillId="0" borderId="13" xfId="0" applyFill="1" applyBorder="1" applyAlignment="1">
      <alignment horizontal="center" vertical="top"/>
    </xf>
    <xf numFmtId="0" fontId="0" fillId="0" borderId="14" xfId="0" applyFill="1" applyBorder="1" applyAlignment="1">
      <alignment horizontal="center" vertical="top"/>
    </xf>
    <xf numFmtId="0" fontId="0" fillId="0" borderId="12" xfId="0" applyFill="1" applyBorder="1" applyAlignment="1">
      <alignment horizontal="center" vertical="top"/>
    </xf>
    <xf numFmtId="0" fontId="0" fillId="0" borderId="13" xfId="0" applyBorder="1" applyAlignment="1">
      <alignment horizontal="center" vertical="top"/>
    </xf>
    <xf numFmtId="0" fontId="0" fillId="0" borderId="14" xfId="0" applyBorder="1" applyAlignment="1">
      <alignment horizontal="center" vertical="top"/>
    </xf>
    <xf numFmtId="0" fontId="0" fillId="0" borderId="12" xfId="0" applyBorder="1" applyAlignment="1">
      <alignment horizontal="center" vertical="top"/>
    </xf>
    <xf numFmtId="0" fontId="51" fillId="0" borderId="10" xfId="0" applyFont="1" applyBorder="1" applyAlignment="1">
      <alignment horizontal="center" vertical="top"/>
    </xf>
    <xf numFmtId="0" fontId="123" fillId="0" borderId="35" xfId="0" applyFont="1" applyBorder="1" applyAlignment="1">
      <alignment horizontal="center" vertical="top" wrapText="1"/>
    </xf>
    <xf numFmtId="0" fontId="34" fillId="0" borderId="46" xfId="18537" applyFont="1" applyBorder="1" applyAlignment="1">
      <alignment horizontal="center" vertical="top"/>
    </xf>
    <xf numFmtId="0" fontId="48" fillId="45" borderId="46" xfId="405" applyFont="1" applyFill="1" applyBorder="1" applyAlignment="1">
      <alignment horizontal="center" vertical="top" wrapText="1"/>
    </xf>
    <xf numFmtId="0" fontId="47" fillId="0" borderId="46" xfId="405" applyFont="1" applyBorder="1" applyAlignment="1">
      <alignment horizontal="center" vertical="top" wrapText="1"/>
    </xf>
    <xf numFmtId="0" fontId="48" fillId="45" borderId="50" xfId="405" applyFont="1" applyFill="1" applyBorder="1" applyAlignment="1">
      <alignment horizontal="center" vertical="top" wrapText="1"/>
    </xf>
    <xf numFmtId="0" fontId="48" fillId="45" borderId="22" xfId="405" applyFont="1" applyFill="1" applyBorder="1" applyAlignment="1">
      <alignment horizontal="center" vertical="top" wrapText="1"/>
    </xf>
    <xf numFmtId="0" fontId="48" fillId="45" borderId="11" xfId="405" applyFont="1" applyFill="1" applyBorder="1" applyAlignment="1">
      <alignment horizontal="center" vertical="top" wrapText="1"/>
    </xf>
    <xf numFmtId="0" fontId="154" fillId="45" borderId="50" xfId="405" applyFont="1" applyFill="1" applyBorder="1" applyAlignment="1">
      <alignment horizontal="center" vertical="top" wrapText="1"/>
    </xf>
    <xf numFmtId="0" fontId="154" fillId="45" borderId="22" xfId="405" applyFont="1" applyFill="1" applyBorder="1" applyAlignment="1">
      <alignment horizontal="center" vertical="top" wrapText="1"/>
    </xf>
    <xf numFmtId="0" fontId="154" fillId="45" borderId="11" xfId="405" applyFont="1" applyFill="1" applyBorder="1" applyAlignment="1">
      <alignment horizontal="center" vertical="top" wrapText="1"/>
    </xf>
    <xf numFmtId="2" fontId="48" fillId="45" borderId="50" xfId="405" applyNumberFormat="1" applyFont="1" applyFill="1" applyBorder="1" applyAlignment="1">
      <alignment horizontal="center" vertical="top" wrapText="1"/>
    </xf>
    <xf numFmtId="2" fontId="48" fillId="45" borderId="22" xfId="405" applyNumberFormat="1" applyFont="1" applyFill="1" applyBorder="1" applyAlignment="1">
      <alignment horizontal="center" vertical="top" wrapText="1"/>
    </xf>
    <xf numFmtId="2" fontId="48" fillId="45" borderId="11" xfId="405" applyNumberFormat="1" applyFont="1" applyFill="1" applyBorder="1" applyAlignment="1">
      <alignment horizontal="center" vertical="top" wrapText="1"/>
    </xf>
    <xf numFmtId="0" fontId="23" fillId="0" borderId="46" xfId="18537" applyFont="1" applyBorder="1" applyAlignment="1">
      <alignment horizontal="center" vertical="top" wrapText="1"/>
    </xf>
    <xf numFmtId="0" fontId="23" fillId="0" borderId="46" xfId="405" applyFont="1" applyBorder="1" applyAlignment="1">
      <alignment horizontal="center" vertical="top" wrapText="1"/>
    </xf>
    <xf numFmtId="0" fontId="34" fillId="0" borderId="47" xfId="405" applyFont="1" applyBorder="1" applyAlignment="1">
      <alignment horizontal="center" vertical="top" wrapText="1"/>
    </xf>
    <xf numFmtId="0" fontId="34" fillId="0" borderId="48" xfId="405" applyFont="1" applyBorder="1" applyAlignment="1">
      <alignment horizontal="center" vertical="top" wrapText="1"/>
    </xf>
    <xf numFmtId="0" fontId="34" fillId="0" borderId="49" xfId="405" applyFont="1" applyBorder="1" applyAlignment="1">
      <alignment horizontal="center" vertical="top" wrapText="1"/>
    </xf>
    <xf numFmtId="0" fontId="34" fillId="45" borderId="47" xfId="405" applyFont="1" applyFill="1" applyBorder="1" applyAlignment="1">
      <alignment horizontal="center" vertical="top" wrapText="1"/>
    </xf>
    <xf numFmtId="0" fontId="34" fillId="45" borderId="48" xfId="405" applyFont="1" applyFill="1" applyBorder="1" applyAlignment="1">
      <alignment horizontal="center" vertical="top" wrapText="1"/>
    </xf>
    <xf numFmtId="0" fontId="34" fillId="45" borderId="49" xfId="405" applyFont="1" applyFill="1" applyBorder="1" applyAlignment="1">
      <alignment horizontal="center" vertical="top" wrapText="1"/>
    </xf>
    <xf numFmtId="0" fontId="48" fillId="0" borderId="51" xfId="405" applyFont="1" applyBorder="1" applyAlignment="1">
      <alignment horizontal="center" vertical="top" wrapText="1"/>
    </xf>
    <xf numFmtId="0" fontId="48" fillId="0" borderId="52" xfId="405" applyFont="1" applyBorder="1" applyAlignment="1">
      <alignment horizontal="center" vertical="top" wrapText="1"/>
    </xf>
    <xf numFmtId="0" fontId="48" fillId="0" borderId="53" xfId="405" applyFont="1" applyBorder="1" applyAlignment="1">
      <alignment horizontal="center" vertical="top" wrapText="1"/>
    </xf>
    <xf numFmtId="0" fontId="48" fillId="0" borderId="24" xfId="405" applyFont="1" applyBorder="1" applyAlignment="1">
      <alignment horizontal="center" vertical="top" wrapText="1"/>
    </xf>
    <xf numFmtId="0" fontId="48" fillId="0" borderId="0" xfId="405" applyFont="1" applyAlignment="1">
      <alignment horizontal="center" vertical="top" wrapText="1"/>
    </xf>
    <xf numFmtId="0" fontId="48" fillId="0" borderId="23" xfId="405" applyFont="1" applyBorder="1" applyAlignment="1">
      <alignment horizontal="center" vertical="top" wrapText="1"/>
    </xf>
    <xf numFmtId="0" fontId="47" fillId="0" borderId="50" xfId="405" applyFont="1" applyBorder="1" applyAlignment="1">
      <alignment horizontal="center" vertical="top" wrapText="1"/>
    </xf>
    <xf numFmtId="0" fontId="47" fillId="0" borderId="22" xfId="405" applyFont="1" applyBorder="1" applyAlignment="1">
      <alignment horizontal="center" vertical="top" wrapText="1"/>
    </xf>
    <xf numFmtId="0" fontId="47" fillId="0" borderId="11" xfId="405" applyFont="1" applyBorder="1" applyAlignment="1">
      <alignment horizontal="center" vertical="top" wrapText="1"/>
    </xf>
    <xf numFmtId="0" fontId="47" fillId="45" borderId="50" xfId="405" applyFont="1" applyFill="1" applyBorder="1" applyAlignment="1">
      <alignment horizontal="center" vertical="top" wrapText="1"/>
    </xf>
    <xf numFmtId="0" fontId="47" fillId="45" borderId="22" xfId="405" applyFont="1" applyFill="1" applyBorder="1" applyAlignment="1">
      <alignment horizontal="center" vertical="top" wrapText="1"/>
    </xf>
    <xf numFmtId="0" fontId="47" fillId="45" borderId="11" xfId="405" applyFont="1" applyFill="1" applyBorder="1" applyAlignment="1">
      <alignment horizontal="center" vertical="top" wrapText="1"/>
    </xf>
    <xf numFmtId="0" fontId="48" fillId="0" borderId="46" xfId="405" applyFont="1" applyBorder="1" applyAlignment="1">
      <alignment horizontal="center" vertical="top" wrapText="1"/>
    </xf>
    <xf numFmtId="0" fontId="48" fillId="0" borderId="50" xfId="405" applyFont="1" applyBorder="1" applyAlignment="1">
      <alignment horizontal="center" vertical="top" wrapText="1"/>
    </xf>
    <xf numFmtId="0" fontId="48" fillId="0" borderId="22" xfId="405" applyFont="1" applyBorder="1" applyAlignment="1">
      <alignment horizontal="center" vertical="top" wrapText="1"/>
    </xf>
    <xf numFmtId="0" fontId="48" fillId="0" borderId="11" xfId="405" applyFont="1" applyBorder="1" applyAlignment="1">
      <alignment horizontal="center" vertical="top" wrapText="1"/>
    </xf>
    <xf numFmtId="0" fontId="5" fillId="45" borderId="50" xfId="405" applyFont="1" applyFill="1" applyBorder="1" applyAlignment="1">
      <alignment horizontal="center" vertical="top" wrapText="1"/>
    </xf>
    <xf numFmtId="0" fontId="5" fillId="45" borderId="22" xfId="405" applyFont="1" applyFill="1" applyBorder="1" applyAlignment="1">
      <alignment horizontal="center" vertical="top" wrapText="1"/>
    </xf>
    <xf numFmtId="0" fontId="5" fillId="45" borderId="11" xfId="405" applyFont="1" applyFill="1" applyBorder="1" applyAlignment="1">
      <alignment horizontal="center" vertical="top" wrapText="1"/>
    </xf>
    <xf numFmtId="0" fontId="124" fillId="0" borderId="50" xfId="405" applyFont="1" applyBorder="1" applyAlignment="1">
      <alignment horizontal="center" vertical="top" wrapText="1"/>
    </xf>
    <xf numFmtId="0" fontId="124" fillId="0" borderId="22" xfId="405" applyFont="1" applyBorder="1" applyAlignment="1">
      <alignment horizontal="center" vertical="top" wrapText="1"/>
    </xf>
    <xf numFmtId="0" fontId="124" fillId="0" borderId="11" xfId="405" applyFont="1" applyBorder="1" applyAlignment="1">
      <alignment horizontal="center" vertical="top" wrapText="1"/>
    </xf>
    <xf numFmtId="0" fontId="5" fillId="33" borderId="50" xfId="405" applyFont="1" applyFill="1" applyBorder="1" applyAlignment="1">
      <alignment horizontal="center" vertical="top" wrapText="1"/>
    </xf>
    <xf numFmtId="0" fontId="5" fillId="33" borderId="22" xfId="405" applyFont="1" applyFill="1" applyBorder="1" applyAlignment="1">
      <alignment horizontal="center" vertical="top" wrapText="1"/>
    </xf>
    <xf numFmtId="0" fontId="5" fillId="33" borderId="11" xfId="405" applyFont="1" applyFill="1" applyBorder="1" applyAlignment="1">
      <alignment horizontal="center" vertical="top" wrapText="1"/>
    </xf>
    <xf numFmtId="0" fontId="5" fillId="0" borderId="50" xfId="405" applyFont="1" applyBorder="1" applyAlignment="1">
      <alignment horizontal="center" vertical="top" wrapText="1"/>
    </xf>
    <xf numFmtId="0" fontId="5" fillId="0" borderId="22" xfId="405" applyFont="1" applyBorder="1" applyAlignment="1">
      <alignment horizontal="center" vertical="top" wrapText="1"/>
    </xf>
    <xf numFmtId="0" fontId="5" fillId="0" borderId="11" xfId="405" applyFont="1" applyBorder="1" applyAlignment="1">
      <alignment horizontal="center" vertical="top" wrapText="1"/>
    </xf>
    <xf numFmtId="0" fontId="5" fillId="46" borderId="46" xfId="405" applyFont="1" applyFill="1" applyBorder="1" applyAlignment="1">
      <alignment horizontal="center" vertical="top" wrapText="1"/>
    </xf>
    <xf numFmtId="0" fontId="23" fillId="0" borderId="46" xfId="18537" applyFont="1" applyBorder="1" applyAlignment="1">
      <alignment horizontal="center" vertical="top"/>
    </xf>
    <xf numFmtId="0" fontId="34" fillId="0" borderId="51" xfId="405" applyFont="1" applyBorder="1" applyAlignment="1">
      <alignment horizontal="center" vertical="top" wrapText="1"/>
    </xf>
    <xf numFmtId="0" fontId="34" fillId="0" borderId="53" xfId="405" applyFont="1" applyBorder="1" applyAlignment="1">
      <alignment horizontal="center" vertical="top" wrapText="1"/>
    </xf>
    <xf numFmtId="0" fontId="34" fillId="0" borderId="24" xfId="405" applyFont="1" applyBorder="1" applyAlignment="1">
      <alignment horizontal="center" vertical="top" wrapText="1"/>
    </xf>
    <xf numFmtId="0" fontId="34" fillId="0" borderId="23" xfId="405" applyFont="1" applyBorder="1" applyAlignment="1">
      <alignment horizontal="center" vertical="top" wrapText="1"/>
    </xf>
    <xf numFmtId="0" fontId="34" fillId="0" borderId="16" xfId="405" applyFont="1" applyBorder="1" applyAlignment="1">
      <alignment horizontal="center" vertical="top" wrapText="1"/>
    </xf>
    <xf numFmtId="0" fontId="34" fillId="0" borderId="21" xfId="405" applyFont="1" applyBorder="1" applyAlignment="1">
      <alignment horizontal="center" vertical="top" wrapText="1"/>
    </xf>
    <xf numFmtId="0" fontId="47" fillId="46" borderId="50" xfId="405" applyFont="1" applyFill="1" applyBorder="1" applyAlignment="1">
      <alignment horizontal="center" vertical="top" wrapText="1"/>
    </xf>
    <xf numFmtId="0" fontId="47" fillId="46" borderId="22" xfId="405" applyFont="1" applyFill="1" applyBorder="1" applyAlignment="1">
      <alignment horizontal="center" vertical="top" wrapText="1"/>
    </xf>
    <xf numFmtId="0" fontId="47" fillId="46" borderId="11" xfId="405" applyFont="1" applyFill="1" applyBorder="1" applyAlignment="1">
      <alignment horizontal="center" vertical="top" wrapText="1"/>
    </xf>
    <xf numFmtId="0" fontId="47" fillId="45" borderId="46" xfId="405" applyFont="1" applyFill="1" applyBorder="1" applyAlignment="1">
      <alignment horizontal="center" vertical="top" wrapText="1"/>
    </xf>
    <xf numFmtId="0" fontId="64" fillId="0" borderId="13" xfId="0" applyFont="1" applyBorder="1" applyAlignment="1">
      <alignment horizontal="center" vertical="top" wrapText="1"/>
    </xf>
    <xf numFmtId="0" fontId="64" fillId="0" borderId="14" xfId="0" applyFont="1" applyBorder="1" applyAlignment="1">
      <alignment horizontal="center" vertical="top" wrapText="1"/>
    </xf>
    <xf numFmtId="0" fontId="64" fillId="0" borderId="12" xfId="0" applyFont="1" applyBorder="1" applyAlignment="1">
      <alignment horizontal="center" vertical="top" wrapText="1"/>
    </xf>
    <xf numFmtId="0" fontId="64" fillId="39" borderId="14" xfId="0" applyFont="1" applyFill="1" applyBorder="1" applyAlignment="1">
      <alignment horizontal="center" vertical="top" wrapText="1"/>
    </xf>
    <xf numFmtId="0" fontId="64" fillId="39" borderId="12" xfId="0" applyFont="1" applyFill="1" applyBorder="1" applyAlignment="1">
      <alignment horizontal="center" vertical="top" wrapText="1"/>
    </xf>
    <xf numFmtId="0" fontId="64" fillId="25" borderId="14" xfId="0" applyFont="1" applyFill="1" applyBorder="1" applyAlignment="1">
      <alignment horizontal="center" vertical="top" wrapText="1"/>
    </xf>
    <xf numFmtId="0" fontId="64" fillId="25" borderId="12" xfId="0" applyFont="1" applyFill="1" applyBorder="1" applyAlignment="1">
      <alignment horizontal="center" vertical="top" wrapText="1"/>
    </xf>
    <xf numFmtId="0" fontId="57" fillId="0" borderId="18" xfId="0" applyFont="1" applyBorder="1" applyAlignment="1">
      <alignment horizontal="center" vertical="top" wrapText="1"/>
    </xf>
    <xf numFmtId="0" fontId="57" fillId="0" borderId="11" xfId="0" applyFont="1" applyBorder="1" applyAlignment="1">
      <alignment horizontal="center" vertical="top" wrapText="1"/>
    </xf>
    <xf numFmtId="0" fontId="64" fillId="25" borderId="13" xfId="0" applyFont="1" applyFill="1" applyBorder="1" applyAlignment="1">
      <alignment horizontal="center" vertical="top" wrapText="1"/>
    </xf>
    <xf numFmtId="0" fontId="0" fillId="0" borderId="17" xfId="0" applyBorder="1" applyAlignment="1">
      <alignment horizontal="center" vertical="top"/>
    </xf>
    <xf numFmtId="0" fontId="0" fillId="0" borderId="18" xfId="0" applyBorder="1" applyAlignment="1">
      <alignment horizontal="center" vertical="top"/>
    </xf>
    <xf numFmtId="0" fontId="0" fillId="0" borderId="11" xfId="0" applyBorder="1" applyAlignment="1">
      <alignment horizontal="center" vertical="top"/>
    </xf>
    <xf numFmtId="0" fontId="56" fillId="0" borderId="13" xfId="0" applyFont="1" applyBorder="1" applyAlignment="1">
      <alignment horizontal="center" vertical="top" wrapText="1"/>
    </xf>
    <xf numFmtId="0" fontId="56" fillId="0" borderId="12" xfId="0" applyFont="1" applyBorder="1" applyAlignment="1">
      <alignment horizontal="center" vertical="top" wrapText="1"/>
    </xf>
    <xf numFmtId="0" fontId="93" fillId="0" borderId="19" xfId="0" applyFont="1" applyBorder="1" applyAlignment="1">
      <alignment horizontal="center" vertical="top" wrapText="1"/>
    </xf>
    <xf numFmtId="0" fontId="93" fillId="0" borderId="15" xfId="0" applyFont="1" applyBorder="1" applyAlignment="1">
      <alignment horizontal="center" vertical="top" wrapText="1"/>
    </xf>
    <xf numFmtId="0" fontId="93" fillId="0" borderId="20" xfId="0" applyFont="1" applyBorder="1" applyAlignment="1">
      <alignment horizontal="center" vertical="top" wrapText="1"/>
    </xf>
    <xf numFmtId="0" fontId="126" fillId="25" borderId="47" xfId="18540" applyFill="1" applyBorder="1" applyAlignment="1">
      <alignment vertical="top"/>
    </xf>
    <xf numFmtId="0" fontId="126" fillId="25" borderId="48" xfId="18540" applyFill="1" applyBorder="1" applyAlignment="1">
      <alignment vertical="top"/>
    </xf>
    <xf numFmtId="0" fontId="101" fillId="50" borderId="89" xfId="18540" applyFont="1" applyFill="1" applyBorder="1" applyAlignment="1">
      <alignment horizontal="center" vertical="top" wrapText="1"/>
    </xf>
    <xf numFmtId="0" fontId="126" fillId="0" borderId="52" xfId="18540" applyBorder="1" applyAlignment="1">
      <alignment horizontal="center" vertical="top"/>
    </xf>
    <xf numFmtId="0" fontId="126" fillId="0" borderId="53" xfId="18540" applyBorder="1" applyAlignment="1">
      <alignment horizontal="center" vertical="top"/>
    </xf>
    <xf numFmtId="0" fontId="126" fillId="0" borderId="17" xfId="18540" applyBorder="1" applyAlignment="1">
      <alignment horizontal="center" vertical="top"/>
    </xf>
    <xf numFmtId="0" fontId="126" fillId="0" borderId="21" xfId="18540" applyBorder="1" applyAlignment="1">
      <alignment horizontal="center" vertical="top"/>
    </xf>
    <xf numFmtId="0" fontId="126" fillId="0" borderId="50" xfId="18540" applyBorder="1" applyAlignment="1">
      <alignment horizontal="center" vertical="top" wrapText="1"/>
    </xf>
    <xf numFmtId="0" fontId="126" fillId="0" borderId="11" xfId="18540" applyBorder="1" applyAlignment="1">
      <alignment horizontal="center" vertical="top" wrapText="1"/>
    </xf>
    <xf numFmtId="0" fontId="126" fillId="0" borderId="47" xfId="18540" applyBorder="1" applyAlignment="1">
      <alignment horizontal="center" vertical="top" wrapText="1"/>
    </xf>
    <xf numFmtId="0" fontId="126" fillId="0" borderId="48" xfId="18540" applyBorder="1" applyAlignment="1">
      <alignment horizontal="center" vertical="top" wrapText="1"/>
    </xf>
    <xf numFmtId="0" fontId="126" fillId="0" borderId="49" xfId="18540" applyBorder="1" applyAlignment="1">
      <alignment horizontal="center" vertical="top" wrapText="1"/>
    </xf>
    <xf numFmtId="0" fontId="101" fillId="33" borderId="46" xfId="18540" applyFont="1" applyFill="1" applyBorder="1" applyAlignment="1">
      <alignment horizontal="center" vertical="top" wrapText="1"/>
    </xf>
    <xf numFmtId="0" fontId="101" fillId="0" borderId="47" xfId="18540" applyFont="1" applyBorder="1" applyAlignment="1">
      <alignment horizontal="center" vertical="top" wrapText="1"/>
    </xf>
    <xf numFmtId="0" fontId="101" fillId="0" borderId="48" xfId="18540" applyFont="1" applyBorder="1" applyAlignment="1">
      <alignment horizontal="center" vertical="top" wrapText="1"/>
    </xf>
    <xf numFmtId="0" fontId="101" fillId="0" borderId="49" xfId="18540" applyFont="1" applyBorder="1" applyAlignment="1">
      <alignment horizontal="center" vertical="top" wrapText="1"/>
    </xf>
    <xf numFmtId="0" fontId="4" fillId="0" borderId="38" xfId="18283" applyFont="1" applyBorder="1" applyAlignment="1">
      <alignment horizontal="center" vertical="top" wrapText="1"/>
    </xf>
    <xf numFmtId="0" fontId="4" fillId="0" borderId="43" xfId="18283" applyFont="1" applyBorder="1" applyAlignment="1">
      <alignment horizontal="center" vertical="top" wrapText="1"/>
    </xf>
    <xf numFmtId="0" fontId="51" fillId="0" borderId="41" xfId="0" applyFont="1" applyBorder="1" applyAlignment="1">
      <alignment horizontal="center"/>
    </xf>
    <xf numFmtId="0" fontId="51" fillId="0" borderId="42" xfId="0" applyFont="1" applyBorder="1" applyAlignment="1">
      <alignment horizontal="center"/>
    </xf>
    <xf numFmtId="0" fontId="51" fillId="0" borderId="43" xfId="0" applyFont="1" applyBorder="1" applyAlignment="1">
      <alignment horizontal="center"/>
    </xf>
    <xf numFmtId="0" fontId="4" fillId="0" borderId="41" xfId="18283" applyFont="1" applyBorder="1" applyAlignment="1">
      <alignment horizontal="center" vertical="top" wrapText="1"/>
    </xf>
    <xf numFmtId="0" fontId="4" fillId="0" borderId="42" xfId="18283" applyFont="1" applyBorder="1" applyAlignment="1">
      <alignment horizontal="center" vertical="top" wrapText="1"/>
    </xf>
    <xf numFmtId="0" fontId="48" fillId="0" borderId="68" xfId="335" applyFont="1" applyBorder="1" applyAlignment="1">
      <alignment horizontal="center" vertical="top" wrapText="1"/>
    </xf>
    <xf numFmtId="0" fontId="48" fillId="0" borderId="71" xfId="335" applyFont="1" applyBorder="1" applyAlignment="1">
      <alignment horizontal="center" vertical="top" wrapText="1"/>
    </xf>
    <xf numFmtId="0" fontId="48" fillId="0" borderId="69" xfId="335" applyFont="1" applyBorder="1" applyAlignment="1">
      <alignment horizontal="center" vertical="top" wrapText="1"/>
    </xf>
    <xf numFmtId="0" fontId="48" fillId="0" borderId="22" xfId="335" applyFont="1" applyBorder="1" applyAlignment="1">
      <alignment horizontal="center" vertical="top" wrapText="1"/>
    </xf>
    <xf numFmtId="0" fontId="48" fillId="0" borderId="11" xfId="335" applyFont="1" applyBorder="1" applyAlignment="1">
      <alignment horizontal="center" vertical="top" wrapText="1"/>
    </xf>
    <xf numFmtId="0" fontId="48" fillId="0" borderId="45" xfId="335" applyFont="1" applyBorder="1" applyAlignment="1">
      <alignment horizontal="center" vertical="center" textRotation="90" wrapText="1"/>
    </xf>
    <xf numFmtId="0" fontId="48" fillId="0" borderId="46" xfId="335" applyFont="1" applyBorder="1" applyAlignment="1">
      <alignment horizontal="center" vertical="center" textRotation="90" wrapText="1"/>
    </xf>
    <xf numFmtId="0" fontId="48" fillId="0" borderId="50" xfId="335" applyFont="1" applyBorder="1" applyAlignment="1">
      <alignment horizontal="center" vertical="center" textRotation="90" wrapText="1"/>
    </xf>
    <xf numFmtId="0" fontId="48" fillId="0" borderId="73" xfId="335" applyFont="1" applyBorder="1" applyAlignment="1">
      <alignment horizontal="center" vertical="top" wrapText="1"/>
    </xf>
    <xf numFmtId="0" fontId="95" fillId="0" borderId="0" xfId="333" applyFont="1" applyAlignment="1">
      <alignment horizontal="center" vertical="top"/>
    </xf>
    <xf numFmtId="0" fontId="40" fillId="0" borderId="0" xfId="333" applyFont="1" applyAlignment="1">
      <alignment horizontal="center" vertical="top"/>
    </xf>
    <xf numFmtId="0" fontId="139" fillId="0" borderId="0" xfId="335" applyFont="1" applyAlignment="1">
      <alignment horizontal="center" vertical="top"/>
    </xf>
    <xf numFmtId="0" fontId="139" fillId="0" borderId="66" xfId="335" applyFont="1" applyBorder="1" applyAlignment="1">
      <alignment horizontal="center" vertical="top"/>
    </xf>
    <xf numFmtId="0" fontId="139" fillId="0" borderId="67" xfId="335" applyFont="1" applyBorder="1" applyAlignment="1">
      <alignment horizontal="center" vertical="top"/>
    </xf>
    <xf numFmtId="0" fontId="47" fillId="0" borderId="69" xfId="335" applyFont="1" applyBorder="1" applyAlignment="1">
      <alignment horizontal="center" vertical="top" wrapText="1"/>
    </xf>
    <xf numFmtId="0" fontId="47" fillId="0" borderId="22" xfId="335" applyFont="1" applyBorder="1" applyAlignment="1">
      <alignment horizontal="center" vertical="top" wrapText="1"/>
    </xf>
    <xf numFmtId="0" fontId="48" fillId="0" borderId="70" xfId="335" applyFont="1" applyBorder="1" applyAlignment="1">
      <alignment horizontal="center" vertical="top" wrapText="1"/>
    </xf>
    <xf numFmtId="0" fontId="48" fillId="0" borderId="72" xfId="335" applyFont="1" applyBorder="1" applyAlignment="1">
      <alignment horizontal="center" vertical="top" wrapText="1"/>
    </xf>
    <xf numFmtId="0" fontId="48" fillId="0" borderId="45" xfId="335" applyFont="1" applyBorder="1" applyAlignment="1">
      <alignment horizontal="center" vertical="top" wrapText="1"/>
    </xf>
    <xf numFmtId="0" fontId="48" fillId="0" borderId="46" xfId="335" applyFont="1" applyBorder="1" applyAlignment="1">
      <alignment horizontal="center" vertical="top" wrapText="1"/>
    </xf>
    <xf numFmtId="0" fontId="48" fillId="0" borderId="50" xfId="335" applyFont="1" applyBorder="1" applyAlignment="1">
      <alignment horizontal="center" vertical="top" wrapText="1"/>
    </xf>
    <xf numFmtId="0" fontId="140" fillId="0" borderId="69" xfId="335" applyFont="1" applyBorder="1" applyAlignment="1">
      <alignment horizontal="center" vertical="top" wrapText="1"/>
    </xf>
    <xf numFmtId="0" fontId="140" fillId="0" borderId="22" xfId="335" applyFont="1" applyBorder="1" applyAlignment="1">
      <alignment horizontal="center" vertical="top" wrapText="1"/>
    </xf>
    <xf numFmtId="0" fontId="75" fillId="0" borderId="0" xfId="333" applyFont="1" applyAlignment="1">
      <alignment horizontal="center" vertical="top"/>
    </xf>
    <xf numFmtId="0" fontId="34" fillId="0" borderId="0" xfId="333" applyFont="1" applyAlignment="1">
      <alignment horizontal="center" vertical="top"/>
    </xf>
    <xf numFmtId="0" fontId="114" fillId="0" borderId="0" xfId="335" applyFont="1" applyAlignment="1">
      <alignment horizontal="center" vertical="top" wrapText="1"/>
    </xf>
    <xf numFmtId="0" fontId="48" fillId="0" borderId="83" xfId="335" applyFont="1" applyBorder="1" applyAlignment="1">
      <alignment horizontal="center" vertical="top" wrapText="1"/>
    </xf>
    <xf numFmtId="0" fontId="48" fillId="0" borderId="24" xfId="335" applyFont="1" applyBorder="1" applyAlignment="1">
      <alignment horizontal="center" vertical="top" wrapText="1"/>
    </xf>
    <xf numFmtId="0" fontId="140" fillId="0" borderId="84" xfId="335" applyFont="1" applyBorder="1" applyAlignment="1">
      <alignment horizontal="center" vertical="top" wrapText="1"/>
    </xf>
    <xf numFmtId="0" fontId="140" fillId="0" borderId="23" xfId="335" applyFont="1" applyBorder="1" applyAlignment="1">
      <alignment horizontal="center" vertical="top" wrapText="1"/>
    </xf>
    <xf numFmtId="0" fontId="4" fillId="0" borderId="59" xfId="335" applyFont="1" applyBorder="1" applyAlignment="1">
      <alignment horizontal="center" vertical="top" wrapText="1"/>
    </xf>
    <xf numFmtId="0" fontId="4" fillId="0" borderId="61" xfId="335" applyFont="1" applyBorder="1" applyAlignment="1">
      <alignment horizontal="center" vertical="top" wrapText="1"/>
    </xf>
    <xf numFmtId="0" fontId="4" fillId="0" borderId="45" xfId="335" applyFont="1" applyBorder="1" applyAlignment="1">
      <alignment horizontal="center" vertical="top" wrapText="1"/>
    </xf>
    <xf numFmtId="0" fontId="4" fillId="0" borderId="62" xfId="335" applyFont="1" applyBorder="1" applyAlignment="1">
      <alignment horizontal="center" vertical="top" wrapText="1"/>
    </xf>
    <xf numFmtId="0" fontId="4" fillId="28" borderId="45" xfId="335" applyFont="1" applyFill="1" applyBorder="1" applyAlignment="1">
      <alignment horizontal="center" vertical="top" wrapText="1"/>
    </xf>
    <xf numFmtId="0" fontId="4" fillId="28" borderId="62" xfId="335" applyFont="1" applyFill="1" applyBorder="1" applyAlignment="1">
      <alignment horizontal="center" vertical="top" wrapText="1"/>
    </xf>
    <xf numFmtId="0" fontId="47" fillId="0" borderId="73" xfId="335" applyFont="1" applyBorder="1" applyAlignment="1">
      <alignment horizontal="center" vertical="top" wrapText="1"/>
    </xf>
    <xf numFmtId="0" fontId="48" fillId="0" borderId="87" xfId="335" applyFont="1" applyBorder="1" applyAlignment="1">
      <alignment horizontal="center" vertical="top" wrapText="1"/>
    </xf>
    <xf numFmtId="0" fontId="48" fillId="0" borderId="16" xfId="335" applyFont="1" applyBorder="1" applyAlignment="1">
      <alignment horizontal="center" vertical="top" wrapText="1"/>
    </xf>
    <xf numFmtId="0" fontId="115" fillId="0" borderId="69" xfId="335" applyFont="1" applyBorder="1" applyAlignment="1">
      <alignment horizontal="center" vertical="top" wrapText="1"/>
    </xf>
    <xf numFmtId="0" fontId="115" fillId="0" borderId="73" xfId="335" applyFont="1" applyBorder="1" applyAlignment="1">
      <alignment horizontal="center" vertical="top" wrapText="1"/>
    </xf>
    <xf numFmtId="0" fontId="46" fillId="43" borderId="46" xfId="5348" applyFill="1" applyBorder="1" applyAlignment="1">
      <alignment horizontal="center" vertical="top" wrapText="1"/>
    </xf>
    <xf numFmtId="0" fontId="2" fillId="42" borderId="46" xfId="5348" applyFont="1" applyFill="1" applyBorder="1" applyAlignment="1">
      <alignment vertical="top" wrapText="1"/>
    </xf>
    <xf numFmtId="0" fontId="46" fillId="0" borderId="46" xfId="5348" applyBorder="1" applyAlignment="1">
      <alignment horizontal="center" vertical="top" wrapText="1"/>
    </xf>
  </cellXfs>
  <cellStyles count="18544">
    <cellStyle name="20% - Акцент1 10" xfId="1" xr:uid="{00000000-0005-0000-0000-000000000000}"/>
    <cellStyle name="20% - Акцент1 2" xfId="2" xr:uid="{00000000-0005-0000-0000-000001000000}"/>
    <cellStyle name="20% - Акцент1 3" xfId="3" xr:uid="{00000000-0005-0000-0000-000002000000}"/>
    <cellStyle name="20% - Акцент1 4" xfId="4" xr:uid="{00000000-0005-0000-0000-000003000000}"/>
    <cellStyle name="20% - Акцент1 5" xfId="5" xr:uid="{00000000-0005-0000-0000-000004000000}"/>
    <cellStyle name="20% - Акцент1 6" xfId="6" xr:uid="{00000000-0005-0000-0000-000005000000}"/>
    <cellStyle name="20% - Акцент1 7" xfId="7" xr:uid="{00000000-0005-0000-0000-000006000000}"/>
    <cellStyle name="20% - Акцент1 8" xfId="8" xr:uid="{00000000-0005-0000-0000-000007000000}"/>
    <cellStyle name="20% - Акцент1 9" xfId="9" xr:uid="{00000000-0005-0000-0000-000008000000}"/>
    <cellStyle name="20% - Акцент2 10" xfId="10" xr:uid="{00000000-0005-0000-0000-000009000000}"/>
    <cellStyle name="20% - Акцент2 2" xfId="11" xr:uid="{00000000-0005-0000-0000-00000A000000}"/>
    <cellStyle name="20% - Акцент2 3" xfId="12" xr:uid="{00000000-0005-0000-0000-00000B000000}"/>
    <cellStyle name="20% - Акцент2 4" xfId="13" xr:uid="{00000000-0005-0000-0000-00000C000000}"/>
    <cellStyle name="20% - Акцент2 5" xfId="14" xr:uid="{00000000-0005-0000-0000-00000D000000}"/>
    <cellStyle name="20% - Акцент2 6" xfId="15" xr:uid="{00000000-0005-0000-0000-00000E000000}"/>
    <cellStyle name="20% - Акцент2 7" xfId="16" xr:uid="{00000000-0005-0000-0000-00000F000000}"/>
    <cellStyle name="20% - Акцент2 8" xfId="17" xr:uid="{00000000-0005-0000-0000-000010000000}"/>
    <cellStyle name="20% - Акцент2 9" xfId="18" xr:uid="{00000000-0005-0000-0000-000011000000}"/>
    <cellStyle name="20% - Акцент3 10" xfId="19" xr:uid="{00000000-0005-0000-0000-000012000000}"/>
    <cellStyle name="20% - Акцент3 2" xfId="20" xr:uid="{00000000-0005-0000-0000-000013000000}"/>
    <cellStyle name="20% - Акцент3 3" xfId="21" xr:uid="{00000000-0005-0000-0000-000014000000}"/>
    <cellStyle name="20% - Акцент3 4" xfId="22" xr:uid="{00000000-0005-0000-0000-000015000000}"/>
    <cellStyle name="20% - Акцент3 5" xfId="23" xr:uid="{00000000-0005-0000-0000-000016000000}"/>
    <cellStyle name="20% - Акцент3 6" xfId="24" xr:uid="{00000000-0005-0000-0000-000017000000}"/>
    <cellStyle name="20% - Акцент3 7" xfId="25" xr:uid="{00000000-0005-0000-0000-000018000000}"/>
    <cellStyle name="20% - Акцент3 8" xfId="26" xr:uid="{00000000-0005-0000-0000-000019000000}"/>
    <cellStyle name="20% - Акцент3 9" xfId="27" xr:uid="{00000000-0005-0000-0000-00001A000000}"/>
    <cellStyle name="20% - Акцент4 10" xfId="28" xr:uid="{00000000-0005-0000-0000-00001B000000}"/>
    <cellStyle name="20% - Акцент4 2" xfId="29" xr:uid="{00000000-0005-0000-0000-00001C000000}"/>
    <cellStyle name="20% - Акцент4 3" xfId="30" xr:uid="{00000000-0005-0000-0000-00001D000000}"/>
    <cellStyle name="20% - Акцент4 4" xfId="31" xr:uid="{00000000-0005-0000-0000-00001E000000}"/>
    <cellStyle name="20% - Акцент4 5" xfId="32" xr:uid="{00000000-0005-0000-0000-00001F000000}"/>
    <cellStyle name="20% - Акцент4 6" xfId="33" xr:uid="{00000000-0005-0000-0000-000020000000}"/>
    <cellStyle name="20% - Акцент4 7" xfId="34" xr:uid="{00000000-0005-0000-0000-000021000000}"/>
    <cellStyle name="20% - Акцент4 8" xfId="35" xr:uid="{00000000-0005-0000-0000-000022000000}"/>
    <cellStyle name="20% - Акцент4 9" xfId="36" xr:uid="{00000000-0005-0000-0000-000023000000}"/>
    <cellStyle name="20% - Акцент5 10" xfId="37" xr:uid="{00000000-0005-0000-0000-000024000000}"/>
    <cellStyle name="20% - Акцент5 2" xfId="38" xr:uid="{00000000-0005-0000-0000-000025000000}"/>
    <cellStyle name="20% - Акцент5 3" xfId="39" xr:uid="{00000000-0005-0000-0000-000026000000}"/>
    <cellStyle name="20% - Акцент5 4" xfId="40" xr:uid="{00000000-0005-0000-0000-000027000000}"/>
    <cellStyle name="20% - Акцент5 5" xfId="41" xr:uid="{00000000-0005-0000-0000-000028000000}"/>
    <cellStyle name="20% - Акцент5 6" xfId="42" xr:uid="{00000000-0005-0000-0000-000029000000}"/>
    <cellStyle name="20% - Акцент5 7" xfId="43" xr:uid="{00000000-0005-0000-0000-00002A000000}"/>
    <cellStyle name="20% - Акцент5 8" xfId="44" xr:uid="{00000000-0005-0000-0000-00002B000000}"/>
    <cellStyle name="20% - Акцент5 9" xfId="45" xr:uid="{00000000-0005-0000-0000-00002C000000}"/>
    <cellStyle name="20% - Акцент6 10" xfId="46" xr:uid="{00000000-0005-0000-0000-00002D000000}"/>
    <cellStyle name="20% - Акцент6 2" xfId="47" xr:uid="{00000000-0005-0000-0000-00002E000000}"/>
    <cellStyle name="20% - Акцент6 3" xfId="48" xr:uid="{00000000-0005-0000-0000-00002F000000}"/>
    <cellStyle name="20% - Акцент6 4" xfId="49" xr:uid="{00000000-0005-0000-0000-000030000000}"/>
    <cellStyle name="20% - Акцент6 5" xfId="50" xr:uid="{00000000-0005-0000-0000-000031000000}"/>
    <cellStyle name="20% - Акцент6 6" xfId="51" xr:uid="{00000000-0005-0000-0000-000032000000}"/>
    <cellStyle name="20% - Акцент6 7" xfId="52" xr:uid="{00000000-0005-0000-0000-000033000000}"/>
    <cellStyle name="20% - Акцент6 8" xfId="53" xr:uid="{00000000-0005-0000-0000-000034000000}"/>
    <cellStyle name="20% - Акцент6 9" xfId="54" xr:uid="{00000000-0005-0000-0000-000035000000}"/>
    <cellStyle name="40% - Акцент1 10" xfId="55" xr:uid="{00000000-0005-0000-0000-000036000000}"/>
    <cellStyle name="40% - Акцент1 2" xfId="56" xr:uid="{00000000-0005-0000-0000-000037000000}"/>
    <cellStyle name="40% - Акцент1 3" xfId="57" xr:uid="{00000000-0005-0000-0000-000038000000}"/>
    <cellStyle name="40% - Акцент1 4" xfId="58" xr:uid="{00000000-0005-0000-0000-000039000000}"/>
    <cellStyle name="40% - Акцент1 5" xfId="59" xr:uid="{00000000-0005-0000-0000-00003A000000}"/>
    <cellStyle name="40% - Акцент1 6" xfId="60" xr:uid="{00000000-0005-0000-0000-00003B000000}"/>
    <cellStyle name="40% - Акцент1 7" xfId="61" xr:uid="{00000000-0005-0000-0000-00003C000000}"/>
    <cellStyle name="40% - Акцент1 8" xfId="62" xr:uid="{00000000-0005-0000-0000-00003D000000}"/>
    <cellStyle name="40% - Акцент1 9" xfId="63" xr:uid="{00000000-0005-0000-0000-00003E000000}"/>
    <cellStyle name="40% - Акцент2 10" xfId="64" xr:uid="{00000000-0005-0000-0000-00003F000000}"/>
    <cellStyle name="40% - Акцент2 2" xfId="65" xr:uid="{00000000-0005-0000-0000-000040000000}"/>
    <cellStyle name="40% - Акцент2 3" xfId="66" xr:uid="{00000000-0005-0000-0000-000041000000}"/>
    <cellStyle name="40% - Акцент2 4" xfId="67" xr:uid="{00000000-0005-0000-0000-000042000000}"/>
    <cellStyle name="40% - Акцент2 5" xfId="68" xr:uid="{00000000-0005-0000-0000-000043000000}"/>
    <cellStyle name="40% - Акцент2 6" xfId="69" xr:uid="{00000000-0005-0000-0000-000044000000}"/>
    <cellStyle name="40% - Акцент2 7" xfId="70" xr:uid="{00000000-0005-0000-0000-000045000000}"/>
    <cellStyle name="40% - Акцент2 8" xfId="71" xr:uid="{00000000-0005-0000-0000-000046000000}"/>
    <cellStyle name="40% - Акцент2 9" xfId="72" xr:uid="{00000000-0005-0000-0000-000047000000}"/>
    <cellStyle name="40% - Акцент3 10" xfId="73" xr:uid="{00000000-0005-0000-0000-000048000000}"/>
    <cellStyle name="40% - Акцент3 2" xfId="74" xr:uid="{00000000-0005-0000-0000-000049000000}"/>
    <cellStyle name="40% - Акцент3 3" xfId="75" xr:uid="{00000000-0005-0000-0000-00004A000000}"/>
    <cellStyle name="40% - Акцент3 4" xfId="76" xr:uid="{00000000-0005-0000-0000-00004B000000}"/>
    <cellStyle name="40% - Акцент3 5" xfId="77" xr:uid="{00000000-0005-0000-0000-00004C000000}"/>
    <cellStyle name="40% - Акцент3 6" xfId="78" xr:uid="{00000000-0005-0000-0000-00004D000000}"/>
    <cellStyle name="40% - Акцент3 7" xfId="79" xr:uid="{00000000-0005-0000-0000-00004E000000}"/>
    <cellStyle name="40% - Акцент3 8" xfId="80" xr:uid="{00000000-0005-0000-0000-00004F000000}"/>
    <cellStyle name="40% - Акцент3 9" xfId="81" xr:uid="{00000000-0005-0000-0000-000050000000}"/>
    <cellStyle name="40% - Акцент4 10" xfId="82" xr:uid="{00000000-0005-0000-0000-000051000000}"/>
    <cellStyle name="40% - Акцент4 2" xfId="83" xr:uid="{00000000-0005-0000-0000-000052000000}"/>
    <cellStyle name="40% - Акцент4 3" xfId="84" xr:uid="{00000000-0005-0000-0000-000053000000}"/>
    <cellStyle name="40% - Акцент4 4" xfId="85" xr:uid="{00000000-0005-0000-0000-000054000000}"/>
    <cellStyle name="40% - Акцент4 5" xfId="86" xr:uid="{00000000-0005-0000-0000-000055000000}"/>
    <cellStyle name="40% - Акцент4 6" xfId="87" xr:uid="{00000000-0005-0000-0000-000056000000}"/>
    <cellStyle name="40% - Акцент4 7" xfId="88" xr:uid="{00000000-0005-0000-0000-000057000000}"/>
    <cellStyle name="40% - Акцент4 8" xfId="89" xr:uid="{00000000-0005-0000-0000-000058000000}"/>
    <cellStyle name="40% - Акцент4 9" xfId="90" xr:uid="{00000000-0005-0000-0000-000059000000}"/>
    <cellStyle name="40% - Акцент5 10" xfId="91" xr:uid="{00000000-0005-0000-0000-00005A000000}"/>
    <cellStyle name="40% - Акцент5 2" xfId="92" xr:uid="{00000000-0005-0000-0000-00005B000000}"/>
    <cellStyle name="40% - Акцент5 3" xfId="93" xr:uid="{00000000-0005-0000-0000-00005C000000}"/>
    <cellStyle name="40% - Акцент5 4" xfId="94" xr:uid="{00000000-0005-0000-0000-00005D000000}"/>
    <cellStyle name="40% - Акцент5 5" xfId="95" xr:uid="{00000000-0005-0000-0000-00005E000000}"/>
    <cellStyle name="40% - Акцент5 6" xfId="96" xr:uid="{00000000-0005-0000-0000-00005F000000}"/>
    <cellStyle name="40% - Акцент5 7" xfId="97" xr:uid="{00000000-0005-0000-0000-000060000000}"/>
    <cellStyle name="40% - Акцент5 8" xfId="98" xr:uid="{00000000-0005-0000-0000-000061000000}"/>
    <cellStyle name="40% - Акцент5 9" xfId="99" xr:uid="{00000000-0005-0000-0000-000062000000}"/>
    <cellStyle name="40% - Акцент6 10" xfId="100" xr:uid="{00000000-0005-0000-0000-000063000000}"/>
    <cellStyle name="40% - Акцент6 2" xfId="101" xr:uid="{00000000-0005-0000-0000-000064000000}"/>
    <cellStyle name="40% - Акцент6 3" xfId="102" xr:uid="{00000000-0005-0000-0000-000065000000}"/>
    <cellStyle name="40% - Акцент6 4" xfId="103" xr:uid="{00000000-0005-0000-0000-000066000000}"/>
    <cellStyle name="40% - Акцент6 5" xfId="104" xr:uid="{00000000-0005-0000-0000-000067000000}"/>
    <cellStyle name="40% - Акцент6 6" xfId="105" xr:uid="{00000000-0005-0000-0000-000068000000}"/>
    <cellStyle name="40% - Акцент6 7" xfId="106" xr:uid="{00000000-0005-0000-0000-000069000000}"/>
    <cellStyle name="40% - Акцент6 8" xfId="107" xr:uid="{00000000-0005-0000-0000-00006A000000}"/>
    <cellStyle name="40% - Акцент6 9" xfId="108" xr:uid="{00000000-0005-0000-0000-00006B000000}"/>
    <cellStyle name="60% - Акцент1 10" xfId="109" xr:uid="{00000000-0005-0000-0000-00006C000000}"/>
    <cellStyle name="60% - Акцент1 2" xfId="110" xr:uid="{00000000-0005-0000-0000-00006D000000}"/>
    <cellStyle name="60% - Акцент1 3" xfId="111" xr:uid="{00000000-0005-0000-0000-00006E000000}"/>
    <cellStyle name="60% - Акцент1 4" xfId="112" xr:uid="{00000000-0005-0000-0000-00006F000000}"/>
    <cellStyle name="60% - Акцент1 5" xfId="113" xr:uid="{00000000-0005-0000-0000-000070000000}"/>
    <cellStyle name="60% - Акцент1 6" xfId="114" xr:uid="{00000000-0005-0000-0000-000071000000}"/>
    <cellStyle name="60% - Акцент1 7" xfId="115" xr:uid="{00000000-0005-0000-0000-000072000000}"/>
    <cellStyle name="60% - Акцент1 8" xfId="116" xr:uid="{00000000-0005-0000-0000-000073000000}"/>
    <cellStyle name="60% - Акцент1 9" xfId="117" xr:uid="{00000000-0005-0000-0000-000074000000}"/>
    <cellStyle name="60% - Акцент2 10" xfId="118" xr:uid="{00000000-0005-0000-0000-000075000000}"/>
    <cellStyle name="60% - Акцент2 2" xfId="119" xr:uid="{00000000-0005-0000-0000-000076000000}"/>
    <cellStyle name="60% - Акцент2 3" xfId="120" xr:uid="{00000000-0005-0000-0000-000077000000}"/>
    <cellStyle name="60% - Акцент2 4" xfId="121" xr:uid="{00000000-0005-0000-0000-000078000000}"/>
    <cellStyle name="60% - Акцент2 5" xfId="122" xr:uid="{00000000-0005-0000-0000-000079000000}"/>
    <cellStyle name="60% - Акцент2 6" xfId="123" xr:uid="{00000000-0005-0000-0000-00007A000000}"/>
    <cellStyle name="60% - Акцент2 7" xfId="124" xr:uid="{00000000-0005-0000-0000-00007B000000}"/>
    <cellStyle name="60% - Акцент2 8" xfId="125" xr:uid="{00000000-0005-0000-0000-00007C000000}"/>
    <cellStyle name="60% - Акцент2 9" xfId="126" xr:uid="{00000000-0005-0000-0000-00007D000000}"/>
    <cellStyle name="60% - Акцент3 10" xfId="127" xr:uid="{00000000-0005-0000-0000-00007E000000}"/>
    <cellStyle name="60% - Акцент3 2" xfId="128" xr:uid="{00000000-0005-0000-0000-00007F000000}"/>
    <cellStyle name="60% - Акцент3 3" xfId="129" xr:uid="{00000000-0005-0000-0000-000080000000}"/>
    <cellStyle name="60% - Акцент3 4" xfId="130" xr:uid="{00000000-0005-0000-0000-000081000000}"/>
    <cellStyle name="60% - Акцент3 5" xfId="131" xr:uid="{00000000-0005-0000-0000-000082000000}"/>
    <cellStyle name="60% - Акцент3 6" xfId="132" xr:uid="{00000000-0005-0000-0000-000083000000}"/>
    <cellStyle name="60% - Акцент3 7" xfId="133" xr:uid="{00000000-0005-0000-0000-000084000000}"/>
    <cellStyle name="60% - Акцент3 8" xfId="134" xr:uid="{00000000-0005-0000-0000-000085000000}"/>
    <cellStyle name="60% - Акцент3 9" xfId="135" xr:uid="{00000000-0005-0000-0000-000086000000}"/>
    <cellStyle name="60% - Акцент4 10" xfId="136" xr:uid="{00000000-0005-0000-0000-000087000000}"/>
    <cellStyle name="60% - Акцент4 2" xfId="137" xr:uid="{00000000-0005-0000-0000-000088000000}"/>
    <cellStyle name="60% - Акцент4 3" xfId="138" xr:uid="{00000000-0005-0000-0000-000089000000}"/>
    <cellStyle name="60% - Акцент4 4" xfId="139" xr:uid="{00000000-0005-0000-0000-00008A000000}"/>
    <cellStyle name="60% - Акцент4 5" xfId="140" xr:uid="{00000000-0005-0000-0000-00008B000000}"/>
    <cellStyle name="60% - Акцент4 6" xfId="141" xr:uid="{00000000-0005-0000-0000-00008C000000}"/>
    <cellStyle name="60% - Акцент4 7" xfId="142" xr:uid="{00000000-0005-0000-0000-00008D000000}"/>
    <cellStyle name="60% - Акцент4 8" xfId="143" xr:uid="{00000000-0005-0000-0000-00008E000000}"/>
    <cellStyle name="60% - Акцент4 9" xfId="144" xr:uid="{00000000-0005-0000-0000-00008F000000}"/>
    <cellStyle name="60% - Акцент5 10" xfId="145" xr:uid="{00000000-0005-0000-0000-000090000000}"/>
    <cellStyle name="60% - Акцент5 2" xfId="146" xr:uid="{00000000-0005-0000-0000-000091000000}"/>
    <cellStyle name="60% - Акцент5 3" xfId="147" xr:uid="{00000000-0005-0000-0000-000092000000}"/>
    <cellStyle name="60% - Акцент5 4" xfId="148" xr:uid="{00000000-0005-0000-0000-000093000000}"/>
    <cellStyle name="60% - Акцент5 5" xfId="149" xr:uid="{00000000-0005-0000-0000-000094000000}"/>
    <cellStyle name="60% - Акцент5 6" xfId="150" xr:uid="{00000000-0005-0000-0000-000095000000}"/>
    <cellStyle name="60% - Акцент5 7" xfId="151" xr:uid="{00000000-0005-0000-0000-000096000000}"/>
    <cellStyle name="60% - Акцент5 8" xfId="152" xr:uid="{00000000-0005-0000-0000-000097000000}"/>
    <cellStyle name="60% - Акцент5 9" xfId="153" xr:uid="{00000000-0005-0000-0000-000098000000}"/>
    <cellStyle name="60% - Акцент6 10" xfId="154" xr:uid="{00000000-0005-0000-0000-000099000000}"/>
    <cellStyle name="60% - Акцент6 2" xfId="155" xr:uid="{00000000-0005-0000-0000-00009A000000}"/>
    <cellStyle name="60% - Акцент6 3" xfId="156" xr:uid="{00000000-0005-0000-0000-00009B000000}"/>
    <cellStyle name="60% - Акцент6 4" xfId="157" xr:uid="{00000000-0005-0000-0000-00009C000000}"/>
    <cellStyle name="60% - Акцент6 5" xfId="158" xr:uid="{00000000-0005-0000-0000-00009D000000}"/>
    <cellStyle name="60% - Акцент6 6" xfId="159" xr:uid="{00000000-0005-0000-0000-00009E000000}"/>
    <cellStyle name="60% - Акцент6 7" xfId="160" xr:uid="{00000000-0005-0000-0000-00009F000000}"/>
    <cellStyle name="60% - Акцент6 8" xfId="161" xr:uid="{00000000-0005-0000-0000-0000A0000000}"/>
    <cellStyle name="60% - Акцент6 9" xfId="162" xr:uid="{00000000-0005-0000-0000-0000A1000000}"/>
    <cellStyle name="Excel Built-in Normal" xfId="163" xr:uid="{00000000-0005-0000-0000-0000A2000000}"/>
    <cellStyle name="Excel Built-in Normal 1" xfId="164" xr:uid="{00000000-0005-0000-0000-0000A3000000}"/>
    <cellStyle name="Excel Built-in Normal 2" xfId="165" xr:uid="{00000000-0005-0000-0000-0000A4000000}"/>
    <cellStyle name="Excel Built-in Normal 3" xfId="166" xr:uid="{00000000-0005-0000-0000-0000A5000000}"/>
    <cellStyle name="Excel Built-in Normal 4" xfId="167" xr:uid="{00000000-0005-0000-0000-0000A6000000}"/>
    <cellStyle name="TableStyleLight1" xfId="168" xr:uid="{00000000-0005-0000-0000-0000A7000000}"/>
    <cellStyle name="Акцент1 10" xfId="169" xr:uid="{00000000-0005-0000-0000-0000A8000000}"/>
    <cellStyle name="Акцент1 2" xfId="170" xr:uid="{00000000-0005-0000-0000-0000A9000000}"/>
    <cellStyle name="Акцент1 3" xfId="171" xr:uid="{00000000-0005-0000-0000-0000AA000000}"/>
    <cellStyle name="Акцент1 4" xfId="172" xr:uid="{00000000-0005-0000-0000-0000AB000000}"/>
    <cellStyle name="Акцент1 5" xfId="173" xr:uid="{00000000-0005-0000-0000-0000AC000000}"/>
    <cellStyle name="Акцент1 6" xfId="174" xr:uid="{00000000-0005-0000-0000-0000AD000000}"/>
    <cellStyle name="Акцент1 7" xfId="175" xr:uid="{00000000-0005-0000-0000-0000AE000000}"/>
    <cellStyle name="Акцент1 8" xfId="176" xr:uid="{00000000-0005-0000-0000-0000AF000000}"/>
    <cellStyle name="Акцент1 9" xfId="177" xr:uid="{00000000-0005-0000-0000-0000B0000000}"/>
    <cellStyle name="Акцент2 10" xfId="178" xr:uid="{00000000-0005-0000-0000-0000B1000000}"/>
    <cellStyle name="Акцент2 2" xfId="179" xr:uid="{00000000-0005-0000-0000-0000B2000000}"/>
    <cellStyle name="Акцент2 3" xfId="180" xr:uid="{00000000-0005-0000-0000-0000B3000000}"/>
    <cellStyle name="Акцент2 4" xfId="181" xr:uid="{00000000-0005-0000-0000-0000B4000000}"/>
    <cellStyle name="Акцент2 5" xfId="182" xr:uid="{00000000-0005-0000-0000-0000B5000000}"/>
    <cellStyle name="Акцент2 6" xfId="183" xr:uid="{00000000-0005-0000-0000-0000B6000000}"/>
    <cellStyle name="Акцент2 7" xfId="184" xr:uid="{00000000-0005-0000-0000-0000B7000000}"/>
    <cellStyle name="Акцент2 8" xfId="185" xr:uid="{00000000-0005-0000-0000-0000B8000000}"/>
    <cellStyle name="Акцент2 9" xfId="186" xr:uid="{00000000-0005-0000-0000-0000B9000000}"/>
    <cellStyle name="Акцент3 10" xfId="187" xr:uid="{00000000-0005-0000-0000-0000BA000000}"/>
    <cellStyle name="Акцент3 2" xfId="188" xr:uid="{00000000-0005-0000-0000-0000BB000000}"/>
    <cellStyle name="Акцент3 3" xfId="189" xr:uid="{00000000-0005-0000-0000-0000BC000000}"/>
    <cellStyle name="Акцент3 4" xfId="190" xr:uid="{00000000-0005-0000-0000-0000BD000000}"/>
    <cellStyle name="Акцент3 5" xfId="191" xr:uid="{00000000-0005-0000-0000-0000BE000000}"/>
    <cellStyle name="Акцент3 6" xfId="192" xr:uid="{00000000-0005-0000-0000-0000BF000000}"/>
    <cellStyle name="Акцент3 7" xfId="193" xr:uid="{00000000-0005-0000-0000-0000C0000000}"/>
    <cellStyle name="Акцент3 8" xfId="194" xr:uid="{00000000-0005-0000-0000-0000C1000000}"/>
    <cellStyle name="Акцент3 9" xfId="195" xr:uid="{00000000-0005-0000-0000-0000C2000000}"/>
    <cellStyle name="Акцент4 10" xfId="196" xr:uid="{00000000-0005-0000-0000-0000C3000000}"/>
    <cellStyle name="Акцент4 2" xfId="197" xr:uid="{00000000-0005-0000-0000-0000C4000000}"/>
    <cellStyle name="Акцент4 3" xfId="198" xr:uid="{00000000-0005-0000-0000-0000C5000000}"/>
    <cellStyle name="Акцент4 4" xfId="199" xr:uid="{00000000-0005-0000-0000-0000C6000000}"/>
    <cellStyle name="Акцент4 5" xfId="200" xr:uid="{00000000-0005-0000-0000-0000C7000000}"/>
    <cellStyle name="Акцент4 6" xfId="201" xr:uid="{00000000-0005-0000-0000-0000C8000000}"/>
    <cellStyle name="Акцент4 7" xfId="202" xr:uid="{00000000-0005-0000-0000-0000C9000000}"/>
    <cellStyle name="Акцент4 8" xfId="203" xr:uid="{00000000-0005-0000-0000-0000CA000000}"/>
    <cellStyle name="Акцент4 9" xfId="204" xr:uid="{00000000-0005-0000-0000-0000CB000000}"/>
    <cellStyle name="Акцент5 10" xfId="205" xr:uid="{00000000-0005-0000-0000-0000CC000000}"/>
    <cellStyle name="Акцент5 2" xfId="206" xr:uid="{00000000-0005-0000-0000-0000CD000000}"/>
    <cellStyle name="Акцент5 3" xfId="207" xr:uid="{00000000-0005-0000-0000-0000CE000000}"/>
    <cellStyle name="Акцент5 4" xfId="208" xr:uid="{00000000-0005-0000-0000-0000CF000000}"/>
    <cellStyle name="Акцент5 5" xfId="209" xr:uid="{00000000-0005-0000-0000-0000D0000000}"/>
    <cellStyle name="Акцент5 6" xfId="210" xr:uid="{00000000-0005-0000-0000-0000D1000000}"/>
    <cellStyle name="Акцент5 7" xfId="211" xr:uid="{00000000-0005-0000-0000-0000D2000000}"/>
    <cellStyle name="Акцент5 8" xfId="212" xr:uid="{00000000-0005-0000-0000-0000D3000000}"/>
    <cellStyle name="Акцент5 9" xfId="213" xr:uid="{00000000-0005-0000-0000-0000D4000000}"/>
    <cellStyle name="Акцент6 10" xfId="214" xr:uid="{00000000-0005-0000-0000-0000D5000000}"/>
    <cellStyle name="Акцент6 2" xfId="215" xr:uid="{00000000-0005-0000-0000-0000D6000000}"/>
    <cellStyle name="Акцент6 3" xfId="216" xr:uid="{00000000-0005-0000-0000-0000D7000000}"/>
    <cellStyle name="Акцент6 4" xfId="217" xr:uid="{00000000-0005-0000-0000-0000D8000000}"/>
    <cellStyle name="Акцент6 5" xfId="218" xr:uid="{00000000-0005-0000-0000-0000D9000000}"/>
    <cellStyle name="Акцент6 6" xfId="219" xr:uid="{00000000-0005-0000-0000-0000DA000000}"/>
    <cellStyle name="Акцент6 7" xfId="220" xr:uid="{00000000-0005-0000-0000-0000DB000000}"/>
    <cellStyle name="Акцент6 8" xfId="221" xr:uid="{00000000-0005-0000-0000-0000DC000000}"/>
    <cellStyle name="Акцент6 9" xfId="222" xr:uid="{00000000-0005-0000-0000-0000DD000000}"/>
    <cellStyle name="Ввод  10" xfId="223" xr:uid="{00000000-0005-0000-0000-0000DE000000}"/>
    <cellStyle name="Ввод  10 10" xfId="613" xr:uid="{00000000-0005-0000-0000-0000DF000000}"/>
    <cellStyle name="Ввод  10 10 2" xfId="5349" xr:uid="{00000000-0005-0000-0000-0000E0000000}"/>
    <cellStyle name="Ввод  10 10 3" xfId="5166" xr:uid="{00000000-0005-0000-0000-0000E1000000}"/>
    <cellStyle name="Ввод  10 10 4" xfId="5272" xr:uid="{00000000-0005-0000-0000-0000E2000000}"/>
    <cellStyle name="Ввод  10 11" xfId="614" xr:uid="{00000000-0005-0000-0000-0000E3000000}"/>
    <cellStyle name="Ввод  10 11 2" xfId="5350" xr:uid="{00000000-0005-0000-0000-0000E4000000}"/>
    <cellStyle name="Ввод  10 11 3" xfId="5165" xr:uid="{00000000-0005-0000-0000-0000E5000000}"/>
    <cellStyle name="Ввод  10 11 4" xfId="5273" xr:uid="{00000000-0005-0000-0000-0000E6000000}"/>
    <cellStyle name="Ввод  10 12" xfId="615" xr:uid="{00000000-0005-0000-0000-0000E7000000}"/>
    <cellStyle name="Ввод  10 12 2" xfId="5351" xr:uid="{00000000-0005-0000-0000-0000E8000000}"/>
    <cellStyle name="Ввод  10 12 3" xfId="5164" xr:uid="{00000000-0005-0000-0000-0000E9000000}"/>
    <cellStyle name="Ввод  10 12 4" xfId="5274" xr:uid="{00000000-0005-0000-0000-0000EA000000}"/>
    <cellStyle name="Ввод  10 13" xfId="616" xr:uid="{00000000-0005-0000-0000-0000EB000000}"/>
    <cellStyle name="Ввод  10 13 2" xfId="5352" xr:uid="{00000000-0005-0000-0000-0000EC000000}"/>
    <cellStyle name="Ввод  10 13 3" xfId="5163" xr:uid="{00000000-0005-0000-0000-0000ED000000}"/>
    <cellStyle name="Ввод  10 13 4" xfId="5275" xr:uid="{00000000-0005-0000-0000-0000EE000000}"/>
    <cellStyle name="Ввод  10 14" xfId="617" xr:uid="{00000000-0005-0000-0000-0000EF000000}"/>
    <cellStyle name="Ввод  10 14 2" xfId="5353" xr:uid="{00000000-0005-0000-0000-0000F0000000}"/>
    <cellStyle name="Ввод  10 14 3" xfId="5162" xr:uid="{00000000-0005-0000-0000-0000F1000000}"/>
    <cellStyle name="Ввод  10 14 4" xfId="5223" xr:uid="{00000000-0005-0000-0000-0000F2000000}"/>
    <cellStyle name="Ввод  10 15" xfId="618" xr:uid="{00000000-0005-0000-0000-0000F3000000}"/>
    <cellStyle name="Ввод  10 15 2" xfId="5354" xr:uid="{00000000-0005-0000-0000-0000F4000000}"/>
    <cellStyle name="Ввод  10 15 3" xfId="5161" xr:uid="{00000000-0005-0000-0000-0000F5000000}"/>
    <cellStyle name="Ввод  10 15 4" xfId="5224" xr:uid="{00000000-0005-0000-0000-0000F6000000}"/>
    <cellStyle name="Ввод  10 16" xfId="619" xr:uid="{00000000-0005-0000-0000-0000F7000000}"/>
    <cellStyle name="Ввод  10 16 2" xfId="5355" xr:uid="{00000000-0005-0000-0000-0000F8000000}"/>
    <cellStyle name="Ввод  10 16 3" xfId="5160" xr:uid="{00000000-0005-0000-0000-0000F9000000}"/>
    <cellStyle name="Ввод  10 16 4" xfId="5225" xr:uid="{00000000-0005-0000-0000-0000FA000000}"/>
    <cellStyle name="Ввод  10 17" xfId="620" xr:uid="{00000000-0005-0000-0000-0000FB000000}"/>
    <cellStyle name="Ввод  10 17 2" xfId="5356" xr:uid="{00000000-0005-0000-0000-0000FC000000}"/>
    <cellStyle name="Ввод  10 17 3" xfId="5159" xr:uid="{00000000-0005-0000-0000-0000FD000000}"/>
    <cellStyle name="Ввод  10 17 4" xfId="5226" xr:uid="{00000000-0005-0000-0000-0000FE000000}"/>
    <cellStyle name="Ввод  10 18" xfId="621" xr:uid="{00000000-0005-0000-0000-0000FF000000}"/>
    <cellStyle name="Ввод  10 18 2" xfId="5357" xr:uid="{00000000-0005-0000-0000-000000010000}"/>
    <cellStyle name="Ввод  10 18 3" xfId="5158" xr:uid="{00000000-0005-0000-0000-000001010000}"/>
    <cellStyle name="Ввод  10 18 4" xfId="5227" xr:uid="{00000000-0005-0000-0000-000002010000}"/>
    <cellStyle name="Ввод  10 19" xfId="622" xr:uid="{00000000-0005-0000-0000-000003010000}"/>
    <cellStyle name="Ввод  10 19 2" xfId="5358" xr:uid="{00000000-0005-0000-0000-000004010000}"/>
    <cellStyle name="Ввод  10 19 3" xfId="5157" xr:uid="{00000000-0005-0000-0000-000005010000}"/>
    <cellStyle name="Ввод  10 19 4" xfId="5228" xr:uid="{00000000-0005-0000-0000-000006010000}"/>
    <cellStyle name="Ввод  10 2" xfId="623" xr:uid="{00000000-0005-0000-0000-000007010000}"/>
    <cellStyle name="Ввод  10 2 2" xfId="624" xr:uid="{00000000-0005-0000-0000-000008010000}"/>
    <cellStyle name="Ввод  10 2 2 2" xfId="5360" xr:uid="{00000000-0005-0000-0000-000009010000}"/>
    <cellStyle name="Ввод  10 2 2 3" xfId="5155" xr:uid="{00000000-0005-0000-0000-00000A010000}"/>
    <cellStyle name="Ввод  10 2 2 4" xfId="5230" xr:uid="{00000000-0005-0000-0000-00000B010000}"/>
    <cellStyle name="Ввод  10 2 3" xfId="625" xr:uid="{00000000-0005-0000-0000-00000C010000}"/>
    <cellStyle name="Ввод  10 2 3 2" xfId="5361" xr:uid="{00000000-0005-0000-0000-00000D010000}"/>
    <cellStyle name="Ввод  10 2 3 3" xfId="5154" xr:uid="{00000000-0005-0000-0000-00000E010000}"/>
    <cellStyle name="Ввод  10 2 3 4" xfId="5231" xr:uid="{00000000-0005-0000-0000-00000F010000}"/>
    <cellStyle name="Ввод  10 2 4" xfId="5359" xr:uid="{00000000-0005-0000-0000-000010010000}"/>
    <cellStyle name="Ввод  10 2 5" xfId="5156" xr:uid="{00000000-0005-0000-0000-000011010000}"/>
    <cellStyle name="Ввод  10 2 6" xfId="5229" xr:uid="{00000000-0005-0000-0000-000012010000}"/>
    <cellStyle name="Ввод  10 20" xfId="626" xr:uid="{00000000-0005-0000-0000-000013010000}"/>
    <cellStyle name="Ввод  10 20 2" xfId="5362" xr:uid="{00000000-0005-0000-0000-000014010000}"/>
    <cellStyle name="Ввод  10 20 3" xfId="5153" xr:uid="{00000000-0005-0000-0000-000015010000}"/>
    <cellStyle name="Ввод  10 20 4" xfId="5232" xr:uid="{00000000-0005-0000-0000-000016010000}"/>
    <cellStyle name="Ввод  10 21" xfId="627" xr:uid="{00000000-0005-0000-0000-000017010000}"/>
    <cellStyle name="Ввод  10 21 2" xfId="5363" xr:uid="{00000000-0005-0000-0000-000018010000}"/>
    <cellStyle name="Ввод  10 21 3" xfId="5152" xr:uid="{00000000-0005-0000-0000-000019010000}"/>
    <cellStyle name="Ввод  10 21 4" xfId="5233" xr:uid="{00000000-0005-0000-0000-00001A010000}"/>
    <cellStyle name="Ввод  10 22" xfId="628" xr:uid="{00000000-0005-0000-0000-00001B010000}"/>
    <cellStyle name="Ввод  10 22 2" xfId="5364" xr:uid="{00000000-0005-0000-0000-00001C010000}"/>
    <cellStyle name="Ввод  10 22 3" xfId="5151" xr:uid="{00000000-0005-0000-0000-00001D010000}"/>
    <cellStyle name="Ввод  10 22 4" xfId="5234" xr:uid="{00000000-0005-0000-0000-00001E010000}"/>
    <cellStyle name="Ввод  10 23" xfId="629" xr:uid="{00000000-0005-0000-0000-00001F010000}"/>
    <cellStyle name="Ввод  10 23 2" xfId="5365" xr:uid="{00000000-0005-0000-0000-000020010000}"/>
    <cellStyle name="Ввод  10 23 3" xfId="5150" xr:uid="{00000000-0005-0000-0000-000021010000}"/>
    <cellStyle name="Ввод  10 23 4" xfId="5235" xr:uid="{00000000-0005-0000-0000-000022010000}"/>
    <cellStyle name="Ввод  10 24" xfId="630" xr:uid="{00000000-0005-0000-0000-000023010000}"/>
    <cellStyle name="Ввод  10 24 2" xfId="5366" xr:uid="{00000000-0005-0000-0000-000024010000}"/>
    <cellStyle name="Ввод  10 24 3" xfId="5149" xr:uid="{00000000-0005-0000-0000-000025010000}"/>
    <cellStyle name="Ввод  10 24 4" xfId="5236" xr:uid="{00000000-0005-0000-0000-000026010000}"/>
    <cellStyle name="Ввод  10 25" xfId="631" xr:uid="{00000000-0005-0000-0000-000027010000}"/>
    <cellStyle name="Ввод  10 25 2" xfId="5367" xr:uid="{00000000-0005-0000-0000-000028010000}"/>
    <cellStyle name="Ввод  10 25 3" xfId="5148" xr:uid="{00000000-0005-0000-0000-000029010000}"/>
    <cellStyle name="Ввод  10 25 4" xfId="5237" xr:uid="{00000000-0005-0000-0000-00002A010000}"/>
    <cellStyle name="Ввод  10 26" xfId="632" xr:uid="{00000000-0005-0000-0000-00002B010000}"/>
    <cellStyle name="Ввод  10 26 2" xfId="5368" xr:uid="{00000000-0005-0000-0000-00002C010000}"/>
    <cellStyle name="Ввод  10 26 3" xfId="5147" xr:uid="{00000000-0005-0000-0000-00002D010000}"/>
    <cellStyle name="Ввод  10 26 4" xfId="5238" xr:uid="{00000000-0005-0000-0000-00002E010000}"/>
    <cellStyle name="Ввод  10 27" xfId="633" xr:uid="{00000000-0005-0000-0000-00002F010000}"/>
    <cellStyle name="Ввод  10 27 2" xfId="5369" xr:uid="{00000000-0005-0000-0000-000030010000}"/>
    <cellStyle name="Ввод  10 27 3" xfId="5146" xr:uid="{00000000-0005-0000-0000-000031010000}"/>
    <cellStyle name="Ввод  10 27 4" xfId="5239" xr:uid="{00000000-0005-0000-0000-000032010000}"/>
    <cellStyle name="Ввод  10 28" xfId="634" xr:uid="{00000000-0005-0000-0000-000033010000}"/>
    <cellStyle name="Ввод  10 28 2" xfId="5370" xr:uid="{00000000-0005-0000-0000-000034010000}"/>
    <cellStyle name="Ввод  10 28 3" xfId="5145" xr:uid="{00000000-0005-0000-0000-000035010000}"/>
    <cellStyle name="Ввод  10 28 4" xfId="5240" xr:uid="{00000000-0005-0000-0000-000036010000}"/>
    <cellStyle name="Ввод  10 29" xfId="635" xr:uid="{00000000-0005-0000-0000-000037010000}"/>
    <cellStyle name="Ввод  10 29 2" xfId="5371" xr:uid="{00000000-0005-0000-0000-000038010000}"/>
    <cellStyle name="Ввод  10 29 3" xfId="5144" xr:uid="{00000000-0005-0000-0000-000039010000}"/>
    <cellStyle name="Ввод  10 29 4" xfId="5321" xr:uid="{00000000-0005-0000-0000-00003A010000}"/>
    <cellStyle name="Ввод  10 3" xfId="636" xr:uid="{00000000-0005-0000-0000-00003B010000}"/>
    <cellStyle name="Ввод  10 3 2" xfId="637" xr:uid="{00000000-0005-0000-0000-00003C010000}"/>
    <cellStyle name="Ввод  10 3 2 2" xfId="5373" xr:uid="{00000000-0005-0000-0000-00003D010000}"/>
    <cellStyle name="Ввод  10 3 2 3" xfId="5142" xr:uid="{00000000-0005-0000-0000-00003E010000}"/>
    <cellStyle name="Ввод  10 3 2 4" xfId="5339" xr:uid="{00000000-0005-0000-0000-00003F010000}"/>
    <cellStyle name="Ввод  10 3 3" xfId="638" xr:uid="{00000000-0005-0000-0000-000040010000}"/>
    <cellStyle name="Ввод  10 3 3 2" xfId="5374" xr:uid="{00000000-0005-0000-0000-000041010000}"/>
    <cellStyle name="Ввод  10 3 3 3" xfId="5141" xr:uid="{00000000-0005-0000-0000-000042010000}"/>
    <cellStyle name="Ввод  10 3 3 4" xfId="9684" xr:uid="{00000000-0005-0000-0000-000043010000}"/>
    <cellStyle name="Ввод  10 3 4" xfId="5372" xr:uid="{00000000-0005-0000-0000-000044010000}"/>
    <cellStyle name="Ввод  10 3 5" xfId="5143" xr:uid="{00000000-0005-0000-0000-000045010000}"/>
    <cellStyle name="Ввод  10 3 6" xfId="5322" xr:uid="{00000000-0005-0000-0000-000046010000}"/>
    <cellStyle name="Ввод  10 30" xfId="639" xr:uid="{00000000-0005-0000-0000-000047010000}"/>
    <cellStyle name="Ввод  10 30 2" xfId="5375" xr:uid="{00000000-0005-0000-0000-000048010000}"/>
    <cellStyle name="Ввод  10 30 3" xfId="5140" xr:uid="{00000000-0005-0000-0000-000049010000}"/>
    <cellStyle name="Ввод  10 30 4" xfId="9685" xr:uid="{00000000-0005-0000-0000-00004A010000}"/>
    <cellStyle name="Ввод  10 31" xfId="640" xr:uid="{00000000-0005-0000-0000-00004B010000}"/>
    <cellStyle name="Ввод  10 31 2" xfId="5376" xr:uid="{00000000-0005-0000-0000-00004C010000}"/>
    <cellStyle name="Ввод  10 31 3" xfId="5139" xr:uid="{00000000-0005-0000-0000-00004D010000}"/>
    <cellStyle name="Ввод  10 31 4" xfId="9686" xr:uid="{00000000-0005-0000-0000-00004E010000}"/>
    <cellStyle name="Ввод  10 32" xfId="641" xr:uid="{00000000-0005-0000-0000-00004F010000}"/>
    <cellStyle name="Ввод  10 32 2" xfId="5377" xr:uid="{00000000-0005-0000-0000-000050010000}"/>
    <cellStyle name="Ввод  10 32 3" xfId="5138" xr:uid="{00000000-0005-0000-0000-000051010000}"/>
    <cellStyle name="Ввод  10 32 4" xfId="9687" xr:uid="{00000000-0005-0000-0000-000052010000}"/>
    <cellStyle name="Ввод  10 33" xfId="642" xr:uid="{00000000-0005-0000-0000-000053010000}"/>
    <cellStyle name="Ввод  10 33 2" xfId="5378" xr:uid="{00000000-0005-0000-0000-000054010000}"/>
    <cellStyle name="Ввод  10 33 3" xfId="5137" xr:uid="{00000000-0005-0000-0000-000055010000}"/>
    <cellStyle name="Ввод  10 33 4" xfId="9688" xr:uid="{00000000-0005-0000-0000-000056010000}"/>
    <cellStyle name="Ввод  10 34" xfId="643" xr:uid="{00000000-0005-0000-0000-000057010000}"/>
    <cellStyle name="Ввод  10 34 2" xfId="5379" xr:uid="{00000000-0005-0000-0000-000058010000}"/>
    <cellStyle name="Ввод  10 34 3" xfId="5136" xr:uid="{00000000-0005-0000-0000-000059010000}"/>
    <cellStyle name="Ввод  10 34 4" xfId="5277" xr:uid="{00000000-0005-0000-0000-00005A010000}"/>
    <cellStyle name="Ввод  10 35" xfId="644" xr:uid="{00000000-0005-0000-0000-00005B010000}"/>
    <cellStyle name="Ввод  10 35 2" xfId="5380" xr:uid="{00000000-0005-0000-0000-00005C010000}"/>
    <cellStyle name="Ввод  10 35 3" xfId="5135" xr:uid="{00000000-0005-0000-0000-00005D010000}"/>
    <cellStyle name="Ввод  10 35 4" xfId="5278" xr:uid="{00000000-0005-0000-0000-00005E010000}"/>
    <cellStyle name="Ввод  10 36" xfId="645" xr:uid="{00000000-0005-0000-0000-00005F010000}"/>
    <cellStyle name="Ввод  10 36 2" xfId="5381" xr:uid="{00000000-0005-0000-0000-000060010000}"/>
    <cellStyle name="Ввод  10 36 3" xfId="5134" xr:uid="{00000000-0005-0000-0000-000061010000}"/>
    <cellStyle name="Ввод  10 36 4" xfId="5279" xr:uid="{00000000-0005-0000-0000-000062010000}"/>
    <cellStyle name="Ввод  10 37" xfId="646" xr:uid="{00000000-0005-0000-0000-000063010000}"/>
    <cellStyle name="Ввод  10 37 2" xfId="5382" xr:uid="{00000000-0005-0000-0000-000064010000}"/>
    <cellStyle name="Ввод  10 37 3" xfId="5133" xr:uid="{00000000-0005-0000-0000-000065010000}"/>
    <cellStyle name="Ввод  10 37 4" xfId="5280" xr:uid="{00000000-0005-0000-0000-000066010000}"/>
    <cellStyle name="Ввод  10 38" xfId="647" xr:uid="{00000000-0005-0000-0000-000067010000}"/>
    <cellStyle name="Ввод  10 38 2" xfId="5383" xr:uid="{00000000-0005-0000-0000-000068010000}"/>
    <cellStyle name="Ввод  10 38 3" xfId="5132" xr:uid="{00000000-0005-0000-0000-000069010000}"/>
    <cellStyle name="Ввод  10 38 4" xfId="5281" xr:uid="{00000000-0005-0000-0000-00006A010000}"/>
    <cellStyle name="Ввод  10 39" xfId="648" xr:uid="{00000000-0005-0000-0000-00006B010000}"/>
    <cellStyle name="Ввод  10 39 2" xfId="5384" xr:uid="{00000000-0005-0000-0000-00006C010000}"/>
    <cellStyle name="Ввод  10 39 3" xfId="5131" xr:uid="{00000000-0005-0000-0000-00006D010000}"/>
    <cellStyle name="Ввод  10 39 4" xfId="5282" xr:uid="{00000000-0005-0000-0000-00006E010000}"/>
    <cellStyle name="Ввод  10 4" xfId="649" xr:uid="{00000000-0005-0000-0000-00006F010000}"/>
    <cellStyle name="Ввод  10 4 2" xfId="650" xr:uid="{00000000-0005-0000-0000-000070010000}"/>
    <cellStyle name="Ввод  10 4 2 2" xfId="5386" xr:uid="{00000000-0005-0000-0000-000071010000}"/>
    <cellStyle name="Ввод  10 4 2 3" xfId="5129" xr:uid="{00000000-0005-0000-0000-000072010000}"/>
    <cellStyle name="Ввод  10 4 2 4" xfId="5284" xr:uid="{00000000-0005-0000-0000-000073010000}"/>
    <cellStyle name="Ввод  10 4 3" xfId="651" xr:uid="{00000000-0005-0000-0000-000074010000}"/>
    <cellStyle name="Ввод  10 4 3 2" xfId="5387" xr:uid="{00000000-0005-0000-0000-000075010000}"/>
    <cellStyle name="Ввод  10 4 3 3" xfId="5128" xr:uid="{00000000-0005-0000-0000-000076010000}"/>
    <cellStyle name="Ввод  10 4 3 4" xfId="5285" xr:uid="{00000000-0005-0000-0000-000077010000}"/>
    <cellStyle name="Ввод  10 4 4" xfId="5385" xr:uid="{00000000-0005-0000-0000-000078010000}"/>
    <cellStyle name="Ввод  10 4 5" xfId="5130" xr:uid="{00000000-0005-0000-0000-000079010000}"/>
    <cellStyle name="Ввод  10 4 6" xfId="5283" xr:uid="{00000000-0005-0000-0000-00007A010000}"/>
    <cellStyle name="Ввод  10 40" xfId="652" xr:uid="{00000000-0005-0000-0000-00007B010000}"/>
    <cellStyle name="Ввод  10 40 2" xfId="5388" xr:uid="{00000000-0005-0000-0000-00007C010000}"/>
    <cellStyle name="Ввод  10 40 3" xfId="5127" xr:uid="{00000000-0005-0000-0000-00007D010000}"/>
    <cellStyle name="Ввод  10 40 4" xfId="5286" xr:uid="{00000000-0005-0000-0000-00007E010000}"/>
    <cellStyle name="Ввод  10 41" xfId="653" xr:uid="{00000000-0005-0000-0000-00007F010000}"/>
    <cellStyle name="Ввод  10 41 2" xfId="5389" xr:uid="{00000000-0005-0000-0000-000080010000}"/>
    <cellStyle name="Ввод  10 41 3" xfId="5126" xr:uid="{00000000-0005-0000-0000-000081010000}"/>
    <cellStyle name="Ввод  10 41 4" xfId="5287" xr:uid="{00000000-0005-0000-0000-000082010000}"/>
    <cellStyle name="Ввод  10 42" xfId="654" xr:uid="{00000000-0005-0000-0000-000083010000}"/>
    <cellStyle name="Ввод  10 42 2" xfId="5390" xr:uid="{00000000-0005-0000-0000-000084010000}"/>
    <cellStyle name="Ввод  10 42 3" xfId="5125" xr:uid="{00000000-0005-0000-0000-000085010000}"/>
    <cellStyle name="Ввод  10 42 4" xfId="5288" xr:uid="{00000000-0005-0000-0000-000086010000}"/>
    <cellStyle name="Ввод  10 43" xfId="655" xr:uid="{00000000-0005-0000-0000-000087010000}"/>
    <cellStyle name="Ввод  10 43 2" xfId="5391" xr:uid="{00000000-0005-0000-0000-000088010000}"/>
    <cellStyle name="Ввод  10 43 3" xfId="5124" xr:uid="{00000000-0005-0000-0000-000089010000}"/>
    <cellStyle name="Ввод  10 43 4" xfId="5289" xr:uid="{00000000-0005-0000-0000-00008A010000}"/>
    <cellStyle name="Ввод  10 44" xfId="656" xr:uid="{00000000-0005-0000-0000-00008B010000}"/>
    <cellStyle name="Ввод  10 44 2" xfId="5392" xr:uid="{00000000-0005-0000-0000-00008C010000}"/>
    <cellStyle name="Ввод  10 44 3" xfId="5123" xr:uid="{00000000-0005-0000-0000-00008D010000}"/>
    <cellStyle name="Ввод  10 44 4" xfId="5323" xr:uid="{00000000-0005-0000-0000-00008E010000}"/>
    <cellStyle name="Ввод  10 45" xfId="657" xr:uid="{00000000-0005-0000-0000-00008F010000}"/>
    <cellStyle name="Ввод  10 45 2" xfId="5393" xr:uid="{00000000-0005-0000-0000-000090010000}"/>
    <cellStyle name="Ввод  10 45 3" xfId="5122" xr:uid="{00000000-0005-0000-0000-000091010000}"/>
    <cellStyle name="Ввод  10 45 4" xfId="9690" xr:uid="{00000000-0005-0000-0000-000092010000}"/>
    <cellStyle name="Ввод  10 46" xfId="658" xr:uid="{00000000-0005-0000-0000-000093010000}"/>
    <cellStyle name="Ввод  10 46 2" xfId="5394" xr:uid="{00000000-0005-0000-0000-000094010000}"/>
    <cellStyle name="Ввод  10 46 3" xfId="5121" xr:uid="{00000000-0005-0000-0000-000095010000}"/>
    <cellStyle name="Ввод  10 46 4" xfId="5324" xr:uid="{00000000-0005-0000-0000-000096010000}"/>
    <cellStyle name="Ввод  10 47" xfId="659" xr:uid="{00000000-0005-0000-0000-000097010000}"/>
    <cellStyle name="Ввод  10 47 2" xfId="5395" xr:uid="{00000000-0005-0000-0000-000098010000}"/>
    <cellStyle name="Ввод  10 47 3" xfId="5120" xr:uid="{00000000-0005-0000-0000-000099010000}"/>
    <cellStyle name="Ввод  10 47 4" xfId="9691" xr:uid="{00000000-0005-0000-0000-00009A010000}"/>
    <cellStyle name="Ввод  10 48" xfId="660" xr:uid="{00000000-0005-0000-0000-00009B010000}"/>
    <cellStyle name="Ввод  10 48 2" xfId="5396" xr:uid="{00000000-0005-0000-0000-00009C010000}"/>
    <cellStyle name="Ввод  10 48 3" xfId="5119" xr:uid="{00000000-0005-0000-0000-00009D010000}"/>
    <cellStyle name="Ввод  10 48 4" xfId="5290" xr:uid="{00000000-0005-0000-0000-00009E010000}"/>
    <cellStyle name="Ввод  10 49" xfId="661" xr:uid="{00000000-0005-0000-0000-00009F010000}"/>
    <cellStyle name="Ввод  10 49 2" xfId="5397" xr:uid="{00000000-0005-0000-0000-0000A0010000}"/>
    <cellStyle name="Ввод  10 49 3" xfId="5118" xr:uid="{00000000-0005-0000-0000-0000A1010000}"/>
    <cellStyle name="Ввод  10 49 4" xfId="5291" xr:uid="{00000000-0005-0000-0000-0000A2010000}"/>
    <cellStyle name="Ввод  10 5" xfId="662" xr:uid="{00000000-0005-0000-0000-0000A3010000}"/>
    <cellStyle name="Ввод  10 5 2" xfId="5398" xr:uid="{00000000-0005-0000-0000-0000A4010000}"/>
    <cellStyle name="Ввод  10 5 3" xfId="5117" xr:uid="{00000000-0005-0000-0000-0000A5010000}"/>
    <cellStyle name="Ввод  10 5 4" xfId="5292" xr:uid="{00000000-0005-0000-0000-0000A6010000}"/>
    <cellStyle name="Ввод  10 50" xfId="663" xr:uid="{00000000-0005-0000-0000-0000A7010000}"/>
    <cellStyle name="Ввод  10 50 2" xfId="5399" xr:uid="{00000000-0005-0000-0000-0000A8010000}"/>
    <cellStyle name="Ввод  10 50 3" xfId="5116" xr:uid="{00000000-0005-0000-0000-0000A9010000}"/>
    <cellStyle name="Ввод  10 50 4" xfId="5293" xr:uid="{00000000-0005-0000-0000-0000AA010000}"/>
    <cellStyle name="Ввод  10 51" xfId="664" xr:uid="{00000000-0005-0000-0000-0000AB010000}"/>
    <cellStyle name="Ввод  10 51 2" xfId="5400" xr:uid="{00000000-0005-0000-0000-0000AC010000}"/>
    <cellStyle name="Ввод  10 51 3" xfId="5115" xr:uid="{00000000-0005-0000-0000-0000AD010000}"/>
    <cellStyle name="Ввод  10 51 4" xfId="5294" xr:uid="{00000000-0005-0000-0000-0000AE010000}"/>
    <cellStyle name="Ввод  10 52" xfId="665" xr:uid="{00000000-0005-0000-0000-0000AF010000}"/>
    <cellStyle name="Ввод  10 52 2" xfId="5401" xr:uid="{00000000-0005-0000-0000-0000B0010000}"/>
    <cellStyle name="Ввод  10 52 3" xfId="5114" xr:uid="{00000000-0005-0000-0000-0000B1010000}"/>
    <cellStyle name="Ввод  10 52 4" xfId="5295" xr:uid="{00000000-0005-0000-0000-0000B2010000}"/>
    <cellStyle name="Ввод  10 53" xfId="666" xr:uid="{00000000-0005-0000-0000-0000B3010000}"/>
    <cellStyle name="Ввод  10 53 2" xfId="5402" xr:uid="{00000000-0005-0000-0000-0000B4010000}"/>
    <cellStyle name="Ввод  10 53 3" xfId="5113" xr:uid="{00000000-0005-0000-0000-0000B5010000}"/>
    <cellStyle name="Ввод  10 53 4" xfId="5296" xr:uid="{00000000-0005-0000-0000-0000B6010000}"/>
    <cellStyle name="Ввод  10 54" xfId="667" xr:uid="{00000000-0005-0000-0000-0000B7010000}"/>
    <cellStyle name="Ввод  10 54 2" xfId="5403" xr:uid="{00000000-0005-0000-0000-0000B8010000}"/>
    <cellStyle name="Ввод  10 54 3" xfId="5112" xr:uid="{00000000-0005-0000-0000-0000B9010000}"/>
    <cellStyle name="Ввод  10 54 4" xfId="5297" xr:uid="{00000000-0005-0000-0000-0000BA010000}"/>
    <cellStyle name="Ввод  10 55" xfId="668" xr:uid="{00000000-0005-0000-0000-0000BB010000}"/>
    <cellStyle name="Ввод  10 55 2" xfId="5404" xr:uid="{00000000-0005-0000-0000-0000BC010000}"/>
    <cellStyle name="Ввод  10 55 3" xfId="5111" xr:uid="{00000000-0005-0000-0000-0000BD010000}"/>
    <cellStyle name="Ввод  10 55 4" xfId="5298" xr:uid="{00000000-0005-0000-0000-0000BE010000}"/>
    <cellStyle name="Ввод  10 56" xfId="669" xr:uid="{00000000-0005-0000-0000-0000BF010000}"/>
    <cellStyle name="Ввод  10 56 2" xfId="5405" xr:uid="{00000000-0005-0000-0000-0000C0010000}"/>
    <cellStyle name="Ввод  10 56 3" xfId="5110" xr:uid="{00000000-0005-0000-0000-0000C1010000}"/>
    <cellStyle name="Ввод  10 56 4" xfId="5299" xr:uid="{00000000-0005-0000-0000-0000C2010000}"/>
    <cellStyle name="Ввод  10 57" xfId="670" xr:uid="{00000000-0005-0000-0000-0000C3010000}"/>
    <cellStyle name="Ввод  10 57 2" xfId="5406" xr:uid="{00000000-0005-0000-0000-0000C4010000}"/>
    <cellStyle name="Ввод  10 57 3" xfId="5109" xr:uid="{00000000-0005-0000-0000-0000C5010000}"/>
    <cellStyle name="Ввод  10 57 4" xfId="5300" xr:uid="{00000000-0005-0000-0000-0000C6010000}"/>
    <cellStyle name="Ввод  10 58" xfId="671" xr:uid="{00000000-0005-0000-0000-0000C7010000}"/>
    <cellStyle name="Ввод  10 58 2" xfId="5407" xr:uid="{00000000-0005-0000-0000-0000C8010000}"/>
    <cellStyle name="Ввод  10 58 3" xfId="5108" xr:uid="{00000000-0005-0000-0000-0000C9010000}"/>
    <cellStyle name="Ввод  10 58 4" xfId="5301" xr:uid="{00000000-0005-0000-0000-0000CA010000}"/>
    <cellStyle name="Ввод  10 59" xfId="672" xr:uid="{00000000-0005-0000-0000-0000CB010000}"/>
    <cellStyle name="Ввод  10 59 2" xfId="5408" xr:uid="{00000000-0005-0000-0000-0000CC010000}"/>
    <cellStyle name="Ввод  10 59 3" xfId="5107" xr:uid="{00000000-0005-0000-0000-0000CD010000}"/>
    <cellStyle name="Ввод  10 59 4" xfId="5302" xr:uid="{00000000-0005-0000-0000-0000CE010000}"/>
    <cellStyle name="Ввод  10 6" xfId="673" xr:uid="{00000000-0005-0000-0000-0000CF010000}"/>
    <cellStyle name="Ввод  10 6 2" xfId="5409" xr:uid="{00000000-0005-0000-0000-0000D0010000}"/>
    <cellStyle name="Ввод  10 6 3" xfId="5106" xr:uid="{00000000-0005-0000-0000-0000D1010000}"/>
    <cellStyle name="Ввод  10 6 4" xfId="5303" xr:uid="{00000000-0005-0000-0000-0000D2010000}"/>
    <cellStyle name="Ввод  10 60" xfId="674" xr:uid="{00000000-0005-0000-0000-0000D3010000}"/>
    <cellStyle name="Ввод  10 60 2" xfId="5410" xr:uid="{00000000-0005-0000-0000-0000D4010000}"/>
    <cellStyle name="Ввод  10 60 3" xfId="5105" xr:uid="{00000000-0005-0000-0000-0000D5010000}"/>
    <cellStyle name="Ввод  10 60 4" xfId="5304" xr:uid="{00000000-0005-0000-0000-0000D6010000}"/>
    <cellStyle name="Ввод  10 61" xfId="675" xr:uid="{00000000-0005-0000-0000-0000D7010000}"/>
    <cellStyle name="Ввод  10 61 2" xfId="5411" xr:uid="{00000000-0005-0000-0000-0000D8010000}"/>
    <cellStyle name="Ввод  10 61 3" xfId="5104" xr:uid="{00000000-0005-0000-0000-0000D9010000}"/>
    <cellStyle name="Ввод  10 61 4" xfId="5305" xr:uid="{00000000-0005-0000-0000-0000DA010000}"/>
    <cellStyle name="Ввод  10 62" xfId="676" xr:uid="{00000000-0005-0000-0000-0000DB010000}"/>
    <cellStyle name="Ввод  10 62 2" xfId="5412" xr:uid="{00000000-0005-0000-0000-0000DC010000}"/>
    <cellStyle name="Ввод  10 62 3" xfId="5103" xr:uid="{00000000-0005-0000-0000-0000DD010000}"/>
    <cellStyle name="Ввод  10 62 4" xfId="5306" xr:uid="{00000000-0005-0000-0000-0000DE010000}"/>
    <cellStyle name="Ввод  10 63" xfId="677" xr:uid="{00000000-0005-0000-0000-0000DF010000}"/>
    <cellStyle name="Ввод  10 63 2" xfId="5413" xr:uid="{00000000-0005-0000-0000-0000E0010000}"/>
    <cellStyle name="Ввод  10 63 3" xfId="5102" xr:uid="{00000000-0005-0000-0000-0000E1010000}"/>
    <cellStyle name="Ввод  10 63 4" xfId="5307" xr:uid="{00000000-0005-0000-0000-0000E2010000}"/>
    <cellStyle name="Ввод  10 64" xfId="678" xr:uid="{00000000-0005-0000-0000-0000E3010000}"/>
    <cellStyle name="Ввод  10 64 2" xfId="5414" xr:uid="{00000000-0005-0000-0000-0000E4010000}"/>
    <cellStyle name="Ввод  10 64 3" xfId="5101" xr:uid="{00000000-0005-0000-0000-0000E5010000}"/>
    <cellStyle name="Ввод  10 64 4" xfId="5308" xr:uid="{00000000-0005-0000-0000-0000E6010000}"/>
    <cellStyle name="Ввод  10 65" xfId="679" xr:uid="{00000000-0005-0000-0000-0000E7010000}"/>
    <cellStyle name="Ввод  10 65 2" xfId="5415" xr:uid="{00000000-0005-0000-0000-0000E8010000}"/>
    <cellStyle name="Ввод  10 65 3" xfId="5100" xr:uid="{00000000-0005-0000-0000-0000E9010000}"/>
    <cellStyle name="Ввод  10 65 4" xfId="5309" xr:uid="{00000000-0005-0000-0000-0000EA010000}"/>
    <cellStyle name="Ввод  10 66" xfId="680" xr:uid="{00000000-0005-0000-0000-0000EB010000}"/>
    <cellStyle name="Ввод  10 66 2" xfId="5416" xr:uid="{00000000-0005-0000-0000-0000EC010000}"/>
    <cellStyle name="Ввод  10 66 3" xfId="5099" xr:uid="{00000000-0005-0000-0000-0000ED010000}"/>
    <cellStyle name="Ввод  10 66 4" xfId="5310" xr:uid="{00000000-0005-0000-0000-0000EE010000}"/>
    <cellStyle name="Ввод  10 67" xfId="681" xr:uid="{00000000-0005-0000-0000-0000EF010000}"/>
    <cellStyle name="Ввод  10 67 2" xfId="5417" xr:uid="{00000000-0005-0000-0000-0000F0010000}"/>
    <cellStyle name="Ввод  10 67 3" xfId="5098" xr:uid="{00000000-0005-0000-0000-0000F1010000}"/>
    <cellStyle name="Ввод  10 67 4" xfId="5311" xr:uid="{00000000-0005-0000-0000-0000F2010000}"/>
    <cellStyle name="Ввод  10 68" xfId="682" xr:uid="{00000000-0005-0000-0000-0000F3010000}"/>
    <cellStyle name="Ввод  10 68 2" xfId="5418" xr:uid="{00000000-0005-0000-0000-0000F4010000}"/>
    <cellStyle name="Ввод  10 68 3" xfId="5097" xr:uid="{00000000-0005-0000-0000-0000F5010000}"/>
    <cellStyle name="Ввод  10 68 4" xfId="5312" xr:uid="{00000000-0005-0000-0000-0000F6010000}"/>
    <cellStyle name="Ввод  10 69" xfId="683" xr:uid="{00000000-0005-0000-0000-0000F7010000}"/>
    <cellStyle name="Ввод  10 69 2" xfId="5419" xr:uid="{00000000-0005-0000-0000-0000F8010000}"/>
    <cellStyle name="Ввод  10 69 3" xfId="5096" xr:uid="{00000000-0005-0000-0000-0000F9010000}"/>
    <cellStyle name="Ввод  10 69 4" xfId="5313" xr:uid="{00000000-0005-0000-0000-0000FA010000}"/>
    <cellStyle name="Ввод  10 7" xfId="684" xr:uid="{00000000-0005-0000-0000-0000FB010000}"/>
    <cellStyle name="Ввод  10 7 2" xfId="5420" xr:uid="{00000000-0005-0000-0000-0000FC010000}"/>
    <cellStyle name="Ввод  10 7 3" xfId="5095" xr:uid="{00000000-0005-0000-0000-0000FD010000}"/>
    <cellStyle name="Ввод  10 7 4" xfId="5314" xr:uid="{00000000-0005-0000-0000-0000FE010000}"/>
    <cellStyle name="Ввод  10 70" xfId="685" xr:uid="{00000000-0005-0000-0000-0000FF010000}"/>
    <cellStyle name="Ввод  10 70 2" xfId="5421" xr:uid="{00000000-0005-0000-0000-000000020000}"/>
    <cellStyle name="Ввод  10 70 3" xfId="5094" xr:uid="{00000000-0005-0000-0000-000001020000}"/>
    <cellStyle name="Ввод  10 70 4" xfId="5315" xr:uid="{00000000-0005-0000-0000-000002020000}"/>
    <cellStyle name="Ввод  10 71" xfId="686" xr:uid="{00000000-0005-0000-0000-000003020000}"/>
    <cellStyle name="Ввод  10 71 2" xfId="5422" xr:uid="{00000000-0005-0000-0000-000004020000}"/>
    <cellStyle name="Ввод  10 71 3" xfId="5093" xr:uid="{00000000-0005-0000-0000-000005020000}"/>
    <cellStyle name="Ввод  10 71 4" xfId="5316" xr:uid="{00000000-0005-0000-0000-000006020000}"/>
    <cellStyle name="Ввод  10 72" xfId="687" xr:uid="{00000000-0005-0000-0000-000007020000}"/>
    <cellStyle name="Ввод  10 72 2" xfId="5423" xr:uid="{00000000-0005-0000-0000-000008020000}"/>
    <cellStyle name="Ввод  10 72 3" xfId="5092" xr:uid="{00000000-0005-0000-0000-000009020000}"/>
    <cellStyle name="Ввод  10 72 4" xfId="5317" xr:uid="{00000000-0005-0000-0000-00000A020000}"/>
    <cellStyle name="Ввод  10 73" xfId="688" xr:uid="{00000000-0005-0000-0000-00000B020000}"/>
    <cellStyle name="Ввод  10 73 2" xfId="5424" xr:uid="{00000000-0005-0000-0000-00000C020000}"/>
    <cellStyle name="Ввод  10 73 3" xfId="5091" xr:uid="{00000000-0005-0000-0000-00000D020000}"/>
    <cellStyle name="Ввод  10 73 4" xfId="5318" xr:uid="{00000000-0005-0000-0000-00000E020000}"/>
    <cellStyle name="Ввод  10 74" xfId="689" xr:uid="{00000000-0005-0000-0000-00000F020000}"/>
    <cellStyle name="Ввод  10 74 2" xfId="5425" xr:uid="{00000000-0005-0000-0000-000010020000}"/>
    <cellStyle name="Ввод  10 74 3" xfId="5090" xr:uid="{00000000-0005-0000-0000-000011020000}"/>
    <cellStyle name="Ввод  10 74 4" xfId="9692" xr:uid="{00000000-0005-0000-0000-000012020000}"/>
    <cellStyle name="Ввод  10 75" xfId="690" xr:uid="{00000000-0005-0000-0000-000013020000}"/>
    <cellStyle name="Ввод  10 75 2" xfId="5426" xr:uid="{00000000-0005-0000-0000-000014020000}"/>
    <cellStyle name="Ввод  10 75 3" xfId="5089" xr:uid="{00000000-0005-0000-0000-000015020000}"/>
    <cellStyle name="Ввод  10 75 4" xfId="5319" xr:uid="{00000000-0005-0000-0000-000016020000}"/>
    <cellStyle name="Ввод  10 76" xfId="691" xr:uid="{00000000-0005-0000-0000-000017020000}"/>
    <cellStyle name="Ввод  10 76 2" xfId="5427" xr:uid="{00000000-0005-0000-0000-000018020000}"/>
    <cellStyle name="Ввод  10 76 3" xfId="5088" xr:uid="{00000000-0005-0000-0000-000019020000}"/>
    <cellStyle name="Ввод  10 76 4" xfId="9693" xr:uid="{00000000-0005-0000-0000-00001A020000}"/>
    <cellStyle name="Ввод  10 77" xfId="692" xr:uid="{00000000-0005-0000-0000-00001B020000}"/>
    <cellStyle name="Ввод  10 77 2" xfId="5428" xr:uid="{00000000-0005-0000-0000-00001C020000}"/>
    <cellStyle name="Ввод  10 77 3" xfId="9696" xr:uid="{00000000-0005-0000-0000-00001D020000}"/>
    <cellStyle name="Ввод  10 77 4" xfId="5325" xr:uid="{00000000-0005-0000-0000-00001E020000}"/>
    <cellStyle name="Ввод  10 78" xfId="693" xr:uid="{00000000-0005-0000-0000-00001F020000}"/>
    <cellStyle name="Ввод  10 78 2" xfId="5429" xr:uid="{00000000-0005-0000-0000-000020020000}"/>
    <cellStyle name="Ввод  10 78 3" xfId="9697" xr:uid="{00000000-0005-0000-0000-000021020000}"/>
    <cellStyle name="Ввод  10 78 4" xfId="9694" xr:uid="{00000000-0005-0000-0000-000022020000}"/>
    <cellStyle name="Ввод  10 79" xfId="694" xr:uid="{00000000-0005-0000-0000-000023020000}"/>
    <cellStyle name="Ввод  10 79 2" xfId="5430" xr:uid="{00000000-0005-0000-0000-000024020000}"/>
    <cellStyle name="Ввод  10 79 3" xfId="9698" xr:uid="{00000000-0005-0000-0000-000025020000}"/>
    <cellStyle name="Ввод  10 79 4" xfId="5330" xr:uid="{00000000-0005-0000-0000-000026020000}"/>
    <cellStyle name="Ввод  10 8" xfId="695" xr:uid="{00000000-0005-0000-0000-000027020000}"/>
    <cellStyle name="Ввод  10 8 2" xfId="5431" xr:uid="{00000000-0005-0000-0000-000028020000}"/>
    <cellStyle name="Ввод  10 8 3" xfId="9699" xr:uid="{00000000-0005-0000-0000-000029020000}"/>
    <cellStyle name="Ввод  10 8 4" xfId="5332" xr:uid="{00000000-0005-0000-0000-00002A020000}"/>
    <cellStyle name="Ввод  10 80" xfId="696" xr:uid="{00000000-0005-0000-0000-00002B020000}"/>
    <cellStyle name="Ввод  10 80 2" xfId="5432" xr:uid="{00000000-0005-0000-0000-00002C020000}"/>
    <cellStyle name="Ввод  10 80 3" xfId="9700" xr:uid="{00000000-0005-0000-0000-00002D020000}"/>
    <cellStyle name="Ввод  10 80 4" xfId="13936" xr:uid="{00000000-0005-0000-0000-00002E020000}"/>
    <cellStyle name="Ввод  10 81" xfId="697" xr:uid="{00000000-0005-0000-0000-00002F020000}"/>
    <cellStyle name="Ввод  10 81 2" xfId="5433" xr:uid="{00000000-0005-0000-0000-000030020000}"/>
    <cellStyle name="Ввод  10 81 3" xfId="9701" xr:uid="{00000000-0005-0000-0000-000031020000}"/>
    <cellStyle name="Ввод  10 81 4" xfId="13937" xr:uid="{00000000-0005-0000-0000-000032020000}"/>
    <cellStyle name="Ввод  10 82" xfId="698" xr:uid="{00000000-0005-0000-0000-000033020000}"/>
    <cellStyle name="Ввод  10 82 2" xfId="5434" xr:uid="{00000000-0005-0000-0000-000034020000}"/>
    <cellStyle name="Ввод  10 82 3" xfId="9702" xr:uid="{00000000-0005-0000-0000-000035020000}"/>
    <cellStyle name="Ввод  10 82 4" xfId="13938" xr:uid="{00000000-0005-0000-0000-000036020000}"/>
    <cellStyle name="Ввод  10 83" xfId="699" xr:uid="{00000000-0005-0000-0000-000037020000}"/>
    <cellStyle name="Ввод  10 83 2" xfId="5435" xr:uid="{00000000-0005-0000-0000-000038020000}"/>
    <cellStyle name="Ввод  10 83 3" xfId="9703" xr:uid="{00000000-0005-0000-0000-000039020000}"/>
    <cellStyle name="Ввод  10 83 4" xfId="13939" xr:uid="{00000000-0005-0000-0000-00003A020000}"/>
    <cellStyle name="Ввод  10 84" xfId="700" xr:uid="{00000000-0005-0000-0000-00003B020000}"/>
    <cellStyle name="Ввод  10 84 2" xfId="5436" xr:uid="{00000000-0005-0000-0000-00003C020000}"/>
    <cellStyle name="Ввод  10 84 3" xfId="9704" xr:uid="{00000000-0005-0000-0000-00003D020000}"/>
    <cellStyle name="Ввод  10 84 4" xfId="13940" xr:uid="{00000000-0005-0000-0000-00003E020000}"/>
    <cellStyle name="Ввод  10 85" xfId="701" xr:uid="{00000000-0005-0000-0000-00003F020000}"/>
    <cellStyle name="Ввод  10 85 2" xfId="5437" xr:uid="{00000000-0005-0000-0000-000040020000}"/>
    <cellStyle name="Ввод  10 85 3" xfId="9705" xr:uid="{00000000-0005-0000-0000-000041020000}"/>
    <cellStyle name="Ввод  10 85 4" xfId="13941" xr:uid="{00000000-0005-0000-0000-000042020000}"/>
    <cellStyle name="Ввод  10 86" xfId="702" xr:uid="{00000000-0005-0000-0000-000043020000}"/>
    <cellStyle name="Ввод  10 86 2" xfId="5438" xr:uid="{00000000-0005-0000-0000-000044020000}"/>
    <cellStyle name="Ввод  10 86 3" xfId="9706" xr:uid="{00000000-0005-0000-0000-000045020000}"/>
    <cellStyle name="Ввод  10 86 4" xfId="13942" xr:uid="{00000000-0005-0000-0000-000046020000}"/>
    <cellStyle name="Ввод  10 87" xfId="703" xr:uid="{00000000-0005-0000-0000-000047020000}"/>
    <cellStyle name="Ввод  10 87 2" xfId="5439" xr:uid="{00000000-0005-0000-0000-000048020000}"/>
    <cellStyle name="Ввод  10 87 3" xfId="9707" xr:uid="{00000000-0005-0000-0000-000049020000}"/>
    <cellStyle name="Ввод  10 87 4" xfId="13943" xr:uid="{00000000-0005-0000-0000-00004A020000}"/>
    <cellStyle name="Ввод  10 88" xfId="704" xr:uid="{00000000-0005-0000-0000-00004B020000}"/>
    <cellStyle name="Ввод  10 88 2" xfId="5440" xr:uid="{00000000-0005-0000-0000-00004C020000}"/>
    <cellStyle name="Ввод  10 88 3" xfId="9708" xr:uid="{00000000-0005-0000-0000-00004D020000}"/>
    <cellStyle name="Ввод  10 88 4" xfId="13944" xr:uid="{00000000-0005-0000-0000-00004E020000}"/>
    <cellStyle name="Ввод  10 89" xfId="705" xr:uid="{00000000-0005-0000-0000-00004F020000}"/>
    <cellStyle name="Ввод  10 89 2" xfId="5441" xr:uid="{00000000-0005-0000-0000-000050020000}"/>
    <cellStyle name="Ввод  10 89 3" xfId="9709" xr:uid="{00000000-0005-0000-0000-000051020000}"/>
    <cellStyle name="Ввод  10 89 4" xfId="13945" xr:uid="{00000000-0005-0000-0000-000052020000}"/>
    <cellStyle name="Ввод  10 9" xfId="706" xr:uid="{00000000-0005-0000-0000-000053020000}"/>
    <cellStyle name="Ввод  10 9 2" xfId="5442" xr:uid="{00000000-0005-0000-0000-000054020000}"/>
    <cellStyle name="Ввод  10 9 3" xfId="9710" xr:uid="{00000000-0005-0000-0000-000055020000}"/>
    <cellStyle name="Ввод  10 9 4" xfId="13946" xr:uid="{00000000-0005-0000-0000-000056020000}"/>
    <cellStyle name="Ввод  10 90" xfId="707" xr:uid="{00000000-0005-0000-0000-000057020000}"/>
    <cellStyle name="Ввод  10 90 2" xfId="5443" xr:uid="{00000000-0005-0000-0000-000058020000}"/>
    <cellStyle name="Ввод  10 90 3" xfId="9711" xr:uid="{00000000-0005-0000-0000-000059020000}"/>
    <cellStyle name="Ввод  10 90 4" xfId="13947" xr:uid="{00000000-0005-0000-0000-00005A020000}"/>
    <cellStyle name="Ввод  10 91" xfId="708" xr:uid="{00000000-0005-0000-0000-00005B020000}"/>
    <cellStyle name="Ввод  10 91 2" xfId="5444" xr:uid="{00000000-0005-0000-0000-00005C020000}"/>
    <cellStyle name="Ввод  10 91 3" xfId="9712" xr:uid="{00000000-0005-0000-0000-00005D020000}"/>
    <cellStyle name="Ввод  10 91 4" xfId="13948" xr:uid="{00000000-0005-0000-0000-00005E020000}"/>
    <cellStyle name="Ввод  10 92" xfId="5177" xr:uid="{00000000-0005-0000-0000-00005F020000}"/>
    <cellStyle name="Ввод  10 93" xfId="5266" xr:uid="{00000000-0005-0000-0000-000060020000}"/>
    <cellStyle name="Ввод  10 94" xfId="5320" xr:uid="{00000000-0005-0000-0000-000061020000}"/>
    <cellStyle name="Ввод  2" xfId="224" xr:uid="{00000000-0005-0000-0000-000062020000}"/>
    <cellStyle name="Ввод  2 10" xfId="709" xr:uid="{00000000-0005-0000-0000-000063020000}"/>
    <cellStyle name="Ввод  2 10 2" xfId="5445" xr:uid="{00000000-0005-0000-0000-000064020000}"/>
    <cellStyle name="Ввод  2 10 3" xfId="9713" xr:uid="{00000000-0005-0000-0000-000065020000}"/>
    <cellStyle name="Ввод  2 10 4" xfId="13949" xr:uid="{00000000-0005-0000-0000-000066020000}"/>
    <cellStyle name="Ввод  2 11" xfId="710" xr:uid="{00000000-0005-0000-0000-000067020000}"/>
    <cellStyle name="Ввод  2 11 2" xfId="5446" xr:uid="{00000000-0005-0000-0000-000068020000}"/>
    <cellStyle name="Ввод  2 11 3" xfId="9714" xr:uid="{00000000-0005-0000-0000-000069020000}"/>
    <cellStyle name="Ввод  2 11 4" xfId="13950" xr:uid="{00000000-0005-0000-0000-00006A020000}"/>
    <cellStyle name="Ввод  2 12" xfId="711" xr:uid="{00000000-0005-0000-0000-00006B020000}"/>
    <cellStyle name="Ввод  2 12 2" xfId="5447" xr:uid="{00000000-0005-0000-0000-00006C020000}"/>
    <cellStyle name="Ввод  2 12 3" xfId="9715" xr:uid="{00000000-0005-0000-0000-00006D020000}"/>
    <cellStyle name="Ввод  2 12 4" xfId="13951" xr:uid="{00000000-0005-0000-0000-00006E020000}"/>
    <cellStyle name="Ввод  2 13" xfId="712" xr:uid="{00000000-0005-0000-0000-00006F020000}"/>
    <cellStyle name="Ввод  2 13 2" xfId="5448" xr:uid="{00000000-0005-0000-0000-000070020000}"/>
    <cellStyle name="Ввод  2 13 3" xfId="9716" xr:uid="{00000000-0005-0000-0000-000071020000}"/>
    <cellStyle name="Ввод  2 13 4" xfId="13952" xr:uid="{00000000-0005-0000-0000-000072020000}"/>
    <cellStyle name="Ввод  2 14" xfId="713" xr:uid="{00000000-0005-0000-0000-000073020000}"/>
    <cellStyle name="Ввод  2 14 2" xfId="5449" xr:uid="{00000000-0005-0000-0000-000074020000}"/>
    <cellStyle name="Ввод  2 14 3" xfId="9717" xr:uid="{00000000-0005-0000-0000-000075020000}"/>
    <cellStyle name="Ввод  2 14 4" xfId="13953" xr:uid="{00000000-0005-0000-0000-000076020000}"/>
    <cellStyle name="Ввод  2 15" xfId="714" xr:uid="{00000000-0005-0000-0000-000077020000}"/>
    <cellStyle name="Ввод  2 15 2" xfId="5450" xr:uid="{00000000-0005-0000-0000-000078020000}"/>
    <cellStyle name="Ввод  2 15 3" xfId="9718" xr:uid="{00000000-0005-0000-0000-000079020000}"/>
    <cellStyle name="Ввод  2 15 4" xfId="13954" xr:uid="{00000000-0005-0000-0000-00007A020000}"/>
    <cellStyle name="Ввод  2 16" xfId="715" xr:uid="{00000000-0005-0000-0000-00007B020000}"/>
    <cellStyle name="Ввод  2 16 2" xfId="5451" xr:uid="{00000000-0005-0000-0000-00007C020000}"/>
    <cellStyle name="Ввод  2 16 3" xfId="9719" xr:uid="{00000000-0005-0000-0000-00007D020000}"/>
    <cellStyle name="Ввод  2 16 4" xfId="13955" xr:uid="{00000000-0005-0000-0000-00007E020000}"/>
    <cellStyle name="Ввод  2 17" xfId="716" xr:uid="{00000000-0005-0000-0000-00007F020000}"/>
    <cellStyle name="Ввод  2 17 2" xfId="5452" xr:uid="{00000000-0005-0000-0000-000080020000}"/>
    <cellStyle name="Ввод  2 17 3" xfId="9720" xr:uid="{00000000-0005-0000-0000-000081020000}"/>
    <cellStyle name="Ввод  2 17 4" xfId="13956" xr:uid="{00000000-0005-0000-0000-000082020000}"/>
    <cellStyle name="Ввод  2 18" xfId="717" xr:uid="{00000000-0005-0000-0000-000083020000}"/>
    <cellStyle name="Ввод  2 18 2" xfId="5453" xr:uid="{00000000-0005-0000-0000-000084020000}"/>
    <cellStyle name="Ввод  2 18 3" xfId="9721" xr:uid="{00000000-0005-0000-0000-000085020000}"/>
    <cellStyle name="Ввод  2 18 4" xfId="13957" xr:uid="{00000000-0005-0000-0000-000086020000}"/>
    <cellStyle name="Ввод  2 19" xfId="718" xr:uid="{00000000-0005-0000-0000-000087020000}"/>
    <cellStyle name="Ввод  2 19 2" xfId="5454" xr:uid="{00000000-0005-0000-0000-000088020000}"/>
    <cellStyle name="Ввод  2 19 3" xfId="9722" xr:uid="{00000000-0005-0000-0000-000089020000}"/>
    <cellStyle name="Ввод  2 19 4" xfId="13958" xr:uid="{00000000-0005-0000-0000-00008A020000}"/>
    <cellStyle name="Ввод  2 2" xfId="719" xr:uid="{00000000-0005-0000-0000-00008B020000}"/>
    <cellStyle name="Ввод  2 2 2" xfId="720" xr:uid="{00000000-0005-0000-0000-00008C020000}"/>
    <cellStyle name="Ввод  2 2 2 2" xfId="5456" xr:uid="{00000000-0005-0000-0000-00008D020000}"/>
    <cellStyle name="Ввод  2 2 2 3" xfId="9724" xr:uid="{00000000-0005-0000-0000-00008E020000}"/>
    <cellStyle name="Ввод  2 2 2 4" xfId="13960" xr:uid="{00000000-0005-0000-0000-00008F020000}"/>
    <cellStyle name="Ввод  2 2 3" xfId="721" xr:uid="{00000000-0005-0000-0000-000090020000}"/>
    <cellStyle name="Ввод  2 2 3 2" xfId="5457" xr:uid="{00000000-0005-0000-0000-000091020000}"/>
    <cellStyle name="Ввод  2 2 3 3" xfId="9725" xr:uid="{00000000-0005-0000-0000-000092020000}"/>
    <cellStyle name="Ввод  2 2 3 4" xfId="13961" xr:uid="{00000000-0005-0000-0000-000093020000}"/>
    <cellStyle name="Ввод  2 2 4" xfId="5455" xr:uid="{00000000-0005-0000-0000-000094020000}"/>
    <cellStyle name="Ввод  2 2 5" xfId="9723" xr:uid="{00000000-0005-0000-0000-000095020000}"/>
    <cellStyle name="Ввод  2 2 6" xfId="13959" xr:uid="{00000000-0005-0000-0000-000096020000}"/>
    <cellStyle name="Ввод  2 20" xfId="722" xr:uid="{00000000-0005-0000-0000-000097020000}"/>
    <cellStyle name="Ввод  2 20 2" xfId="5458" xr:uid="{00000000-0005-0000-0000-000098020000}"/>
    <cellStyle name="Ввод  2 20 3" xfId="9726" xr:uid="{00000000-0005-0000-0000-000099020000}"/>
    <cellStyle name="Ввод  2 20 4" xfId="13962" xr:uid="{00000000-0005-0000-0000-00009A020000}"/>
    <cellStyle name="Ввод  2 21" xfId="723" xr:uid="{00000000-0005-0000-0000-00009B020000}"/>
    <cellStyle name="Ввод  2 21 2" xfId="5459" xr:uid="{00000000-0005-0000-0000-00009C020000}"/>
    <cellStyle name="Ввод  2 21 3" xfId="9727" xr:uid="{00000000-0005-0000-0000-00009D020000}"/>
    <cellStyle name="Ввод  2 21 4" xfId="13963" xr:uid="{00000000-0005-0000-0000-00009E020000}"/>
    <cellStyle name="Ввод  2 22" xfId="724" xr:uid="{00000000-0005-0000-0000-00009F020000}"/>
    <cellStyle name="Ввод  2 22 2" xfId="5460" xr:uid="{00000000-0005-0000-0000-0000A0020000}"/>
    <cellStyle name="Ввод  2 22 3" xfId="9728" xr:uid="{00000000-0005-0000-0000-0000A1020000}"/>
    <cellStyle name="Ввод  2 22 4" xfId="13964" xr:uid="{00000000-0005-0000-0000-0000A2020000}"/>
    <cellStyle name="Ввод  2 23" xfId="725" xr:uid="{00000000-0005-0000-0000-0000A3020000}"/>
    <cellStyle name="Ввод  2 23 2" xfId="5461" xr:uid="{00000000-0005-0000-0000-0000A4020000}"/>
    <cellStyle name="Ввод  2 23 3" xfId="9729" xr:uid="{00000000-0005-0000-0000-0000A5020000}"/>
    <cellStyle name="Ввод  2 23 4" xfId="13965" xr:uid="{00000000-0005-0000-0000-0000A6020000}"/>
    <cellStyle name="Ввод  2 24" xfId="726" xr:uid="{00000000-0005-0000-0000-0000A7020000}"/>
    <cellStyle name="Ввод  2 24 2" xfId="5462" xr:uid="{00000000-0005-0000-0000-0000A8020000}"/>
    <cellStyle name="Ввод  2 24 3" xfId="9730" xr:uid="{00000000-0005-0000-0000-0000A9020000}"/>
    <cellStyle name="Ввод  2 24 4" xfId="13966" xr:uid="{00000000-0005-0000-0000-0000AA020000}"/>
    <cellStyle name="Ввод  2 25" xfId="727" xr:uid="{00000000-0005-0000-0000-0000AB020000}"/>
    <cellStyle name="Ввод  2 25 2" xfId="5463" xr:uid="{00000000-0005-0000-0000-0000AC020000}"/>
    <cellStyle name="Ввод  2 25 3" xfId="9731" xr:uid="{00000000-0005-0000-0000-0000AD020000}"/>
    <cellStyle name="Ввод  2 25 4" xfId="13967" xr:uid="{00000000-0005-0000-0000-0000AE020000}"/>
    <cellStyle name="Ввод  2 26" xfId="728" xr:uid="{00000000-0005-0000-0000-0000AF020000}"/>
    <cellStyle name="Ввод  2 26 2" xfId="5464" xr:uid="{00000000-0005-0000-0000-0000B0020000}"/>
    <cellStyle name="Ввод  2 26 3" xfId="9732" xr:uid="{00000000-0005-0000-0000-0000B1020000}"/>
    <cellStyle name="Ввод  2 26 4" xfId="13968" xr:uid="{00000000-0005-0000-0000-0000B2020000}"/>
    <cellStyle name="Ввод  2 27" xfId="729" xr:uid="{00000000-0005-0000-0000-0000B3020000}"/>
    <cellStyle name="Ввод  2 27 2" xfId="5465" xr:uid="{00000000-0005-0000-0000-0000B4020000}"/>
    <cellStyle name="Ввод  2 27 3" xfId="9733" xr:uid="{00000000-0005-0000-0000-0000B5020000}"/>
    <cellStyle name="Ввод  2 27 4" xfId="13969" xr:uid="{00000000-0005-0000-0000-0000B6020000}"/>
    <cellStyle name="Ввод  2 28" xfId="730" xr:uid="{00000000-0005-0000-0000-0000B7020000}"/>
    <cellStyle name="Ввод  2 28 2" xfId="5466" xr:uid="{00000000-0005-0000-0000-0000B8020000}"/>
    <cellStyle name="Ввод  2 28 3" xfId="9734" xr:uid="{00000000-0005-0000-0000-0000B9020000}"/>
    <cellStyle name="Ввод  2 28 4" xfId="13970" xr:uid="{00000000-0005-0000-0000-0000BA020000}"/>
    <cellStyle name="Ввод  2 29" xfId="731" xr:uid="{00000000-0005-0000-0000-0000BB020000}"/>
    <cellStyle name="Ввод  2 29 2" xfId="5467" xr:uid="{00000000-0005-0000-0000-0000BC020000}"/>
    <cellStyle name="Ввод  2 29 3" xfId="9735" xr:uid="{00000000-0005-0000-0000-0000BD020000}"/>
    <cellStyle name="Ввод  2 29 4" xfId="13971" xr:uid="{00000000-0005-0000-0000-0000BE020000}"/>
    <cellStyle name="Ввод  2 3" xfId="732" xr:uid="{00000000-0005-0000-0000-0000BF020000}"/>
    <cellStyle name="Ввод  2 3 2" xfId="733" xr:uid="{00000000-0005-0000-0000-0000C0020000}"/>
    <cellStyle name="Ввод  2 3 2 2" xfId="5469" xr:uid="{00000000-0005-0000-0000-0000C1020000}"/>
    <cellStyle name="Ввод  2 3 2 3" xfId="9737" xr:uid="{00000000-0005-0000-0000-0000C2020000}"/>
    <cellStyle name="Ввод  2 3 2 4" xfId="13973" xr:uid="{00000000-0005-0000-0000-0000C3020000}"/>
    <cellStyle name="Ввод  2 3 3" xfId="734" xr:uid="{00000000-0005-0000-0000-0000C4020000}"/>
    <cellStyle name="Ввод  2 3 3 2" xfId="5470" xr:uid="{00000000-0005-0000-0000-0000C5020000}"/>
    <cellStyle name="Ввод  2 3 3 3" xfId="9738" xr:uid="{00000000-0005-0000-0000-0000C6020000}"/>
    <cellStyle name="Ввод  2 3 3 4" xfId="13974" xr:uid="{00000000-0005-0000-0000-0000C7020000}"/>
    <cellStyle name="Ввод  2 3 4" xfId="5468" xr:uid="{00000000-0005-0000-0000-0000C8020000}"/>
    <cellStyle name="Ввод  2 3 5" xfId="9736" xr:uid="{00000000-0005-0000-0000-0000C9020000}"/>
    <cellStyle name="Ввод  2 3 6" xfId="13972" xr:uid="{00000000-0005-0000-0000-0000CA020000}"/>
    <cellStyle name="Ввод  2 30" xfId="735" xr:uid="{00000000-0005-0000-0000-0000CB020000}"/>
    <cellStyle name="Ввод  2 30 2" xfId="5471" xr:uid="{00000000-0005-0000-0000-0000CC020000}"/>
    <cellStyle name="Ввод  2 30 3" xfId="9739" xr:uid="{00000000-0005-0000-0000-0000CD020000}"/>
    <cellStyle name="Ввод  2 30 4" xfId="13975" xr:uid="{00000000-0005-0000-0000-0000CE020000}"/>
    <cellStyle name="Ввод  2 31" xfId="736" xr:uid="{00000000-0005-0000-0000-0000CF020000}"/>
    <cellStyle name="Ввод  2 31 2" xfId="5472" xr:uid="{00000000-0005-0000-0000-0000D0020000}"/>
    <cellStyle name="Ввод  2 31 3" xfId="9740" xr:uid="{00000000-0005-0000-0000-0000D1020000}"/>
    <cellStyle name="Ввод  2 31 4" xfId="13976" xr:uid="{00000000-0005-0000-0000-0000D2020000}"/>
    <cellStyle name="Ввод  2 32" xfId="737" xr:uid="{00000000-0005-0000-0000-0000D3020000}"/>
    <cellStyle name="Ввод  2 32 2" xfId="5473" xr:uid="{00000000-0005-0000-0000-0000D4020000}"/>
    <cellStyle name="Ввод  2 32 3" xfId="9741" xr:uid="{00000000-0005-0000-0000-0000D5020000}"/>
    <cellStyle name="Ввод  2 32 4" xfId="13977" xr:uid="{00000000-0005-0000-0000-0000D6020000}"/>
    <cellStyle name="Ввод  2 33" xfId="738" xr:uid="{00000000-0005-0000-0000-0000D7020000}"/>
    <cellStyle name="Ввод  2 33 2" xfId="5474" xr:uid="{00000000-0005-0000-0000-0000D8020000}"/>
    <cellStyle name="Ввод  2 33 3" xfId="9742" xr:uid="{00000000-0005-0000-0000-0000D9020000}"/>
    <cellStyle name="Ввод  2 33 4" xfId="13978" xr:uid="{00000000-0005-0000-0000-0000DA020000}"/>
    <cellStyle name="Ввод  2 34" xfId="739" xr:uid="{00000000-0005-0000-0000-0000DB020000}"/>
    <cellStyle name="Ввод  2 34 2" xfId="5475" xr:uid="{00000000-0005-0000-0000-0000DC020000}"/>
    <cellStyle name="Ввод  2 34 3" xfId="9743" xr:uid="{00000000-0005-0000-0000-0000DD020000}"/>
    <cellStyle name="Ввод  2 34 4" xfId="13979" xr:uid="{00000000-0005-0000-0000-0000DE020000}"/>
    <cellStyle name="Ввод  2 35" xfId="740" xr:uid="{00000000-0005-0000-0000-0000DF020000}"/>
    <cellStyle name="Ввод  2 35 2" xfId="5476" xr:uid="{00000000-0005-0000-0000-0000E0020000}"/>
    <cellStyle name="Ввод  2 35 3" xfId="9744" xr:uid="{00000000-0005-0000-0000-0000E1020000}"/>
    <cellStyle name="Ввод  2 35 4" xfId="13980" xr:uid="{00000000-0005-0000-0000-0000E2020000}"/>
    <cellStyle name="Ввод  2 36" xfId="741" xr:uid="{00000000-0005-0000-0000-0000E3020000}"/>
    <cellStyle name="Ввод  2 36 2" xfId="5477" xr:uid="{00000000-0005-0000-0000-0000E4020000}"/>
    <cellStyle name="Ввод  2 36 3" xfId="9745" xr:uid="{00000000-0005-0000-0000-0000E5020000}"/>
    <cellStyle name="Ввод  2 36 4" xfId="13981" xr:uid="{00000000-0005-0000-0000-0000E6020000}"/>
    <cellStyle name="Ввод  2 37" xfId="742" xr:uid="{00000000-0005-0000-0000-0000E7020000}"/>
    <cellStyle name="Ввод  2 37 2" xfId="5478" xr:uid="{00000000-0005-0000-0000-0000E8020000}"/>
    <cellStyle name="Ввод  2 37 3" xfId="9746" xr:uid="{00000000-0005-0000-0000-0000E9020000}"/>
    <cellStyle name="Ввод  2 37 4" xfId="13982" xr:uid="{00000000-0005-0000-0000-0000EA020000}"/>
    <cellStyle name="Ввод  2 38" xfId="743" xr:uid="{00000000-0005-0000-0000-0000EB020000}"/>
    <cellStyle name="Ввод  2 38 2" xfId="5479" xr:uid="{00000000-0005-0000-0000-0000EC020000}"/>
    <cellStyle name="Ввод  2 38 3" xfId="9747" xr:uid="{00000000-0005-0000-0000-0000ED020000}"/>
    <cellStyle name="Ввод  2 38 4" xfId="13983" xr:uid="{00000000-0005-0000-0000-0000EE020000}"/>
    <cellStyle name="Ввод  2 39" xfId="744" xr:uid="{00000000-0005-0000-0000-0000EF020000}"/>
    <cellStyle name="Ввод  2 39 2" xfId="5480" xr:uid="{00000000-0005-0000-0000-0000F0020000}"/>
    <cellStyle name="Ввод  2 39 3" xfId="9748" xr:uid="{00000000-0005-0000-0000-0000F1020000}"/>
    <cellStyle name="Ввод  2 39 4" xfId="13984" xr:uid="{00000000-0005-0000-0000-0000F2020000}"/>
    <cellStyle name="Ввод  2 4" xfId="745" xr:uid="{00000000-0005-0000-0000-0000F3020000}"/>
    <cellStyle name="Ввод  2 4 2" xfId="746" xr:uid="{00000000-0005-0000-0000-0000F4020000}"/>
    <cellStyle name="Ввод  2 4 2 2" xfId="5482" xr:uid="{00000000-0005-0000-0000-0000F5020000}"/>
    <cellStyle name="Ввод  2 4 2 3" xfId="9750" xr:uid="{00000000-0005-0000-0000-0000F6020000}"/>
    <cellStyle name="Ввод  2 4 2 4" xfId="13986" xr:uid="{00000000-0005-0000-0000-0000F7020000}"/>
    <cellStyle name="Ввод  2 4 3" xfId="747" xr:uid="{00000000-0005-0000-0000-0000F8020000}"/>
    <cellStyle name="Ввод  2 4 3 2" xfId="5483" xr:uid="{00000000-0005-0000-0000-0000F9020000}"/>
    <cellStyle name="Ввод  2 4 3 3" xfId="9751" xr:uid="{00000000-0005-0000-0000-0000FA020000}"/>
    <cellStyle name="Ввод  2 4 3 4" xfId="13987" xr:uid="{00000000-0005-0000-0000-0000FB020000}"/>
    <cellStyle name="Ввод  2 4 4" xfId="5481" xr:uid="{00000000-0005-0000-0000-0000FC020000}"/>
    <cellStyle name="Ввод  2 4 5" xfId="9749" xr:uid="{00000000-0005-0000-0000-0000FD020000}"/>
    <cellStyle name="Ввод  2 4 6" xfId="13985" xr:uid="{00000000-0005-0000-0000-0000FE020000}"/>
    <cellStyle name="Ввод  2 40" xfId="748" xr:uid="{00000000-0005-0000-0000-0000FF020000}"/>
    <cellStyle name="Ввод  2 40 2" xfId="5484" xr:uid="{00000000-0005-0000-0000-000000030000}"/>
    <cellStyle name="Ввод  2 40 3" xfId="9752" xr:uid="{00000000-0005-0000-0000-000001030000}"/>
    <cellStyle name="Ввод  2 40 4" xfId="13988" xr:uid="{00000000-0005-0000-0000-000002030000}"/>
    <cellStyle name="Ввод  2 41" xfId="749" xr:uid="{00000000-0005-0000-0000-000003030000}"/>
    <cellStyle name="Ввод  2 41 2" xfId="5485" xr:uid="{00000000-0005-0000-0000-000004030000}"/>
    <cellStyle name="Ввод  2 41 3" xfId="9753" xr:uid="{00000000-0005-0000-0000-000005030000}"/>
    <cellStyle name="Ввод  2 41 4" xfId="13989" xr:uid="{00000000-0005-0000-0000-000006030000}"/>
    <cellStyle name="Ввод  2 42" xfId="750" xr:uid="{00000000-0005-0000-0000-000007030000}"/>
    <cellStyle name="Ввод  2 42 2" xfId="5486" xr:uid="{00000000-0005-0000-0000-000008030000}"/>
    <cellStyle name="Ввод  2 42 3" xfId="9754" xr:uid="{00000000-0005-0000-0000-000009030000}"/>
    <cellStyle name="Ввод  2 42 4" xfId="13990" xr:uid="{00000000-0005-0000-0000-00000A030000}"/>
    <cellStyle name="Ввод  2 43" xfId="751" xr:uid="{00000000-0005-0000-0000-00000B030000}"/>
    <cellStyle name="Ввод  2 43 2" xfId="5487" xr:uid="{00000000-0005-0000-0000-00000C030000}"/>
    <cellStyle name="Ввод  2 43 3" xfId="9755" xr:uid="{00000000-0005-0000-0000-00000D030000}"/>
    <cellStyle name="Ввод  2 43 4" xfId="13991" xr:uid="{00000000-0005-0000-0000-00000E030000}"/>
    <cellStyle name="Ввод  2 44" xfId="752" xr:uid="{00000000-0005-0000-0000-00000F030000}"/>
    <cellStyle name="Ввод  2 44 2" xfId="5488" xr:uid="{00000000-0005-0000-0000-000010030000}"/>
    <cellStyle name="Ввод  2 44 3" xfId="9756" xr:uid="{00000000-0005-0000-0000-000011030000}"/>
    <cellStyle name="Ввод  2 44 4" xfId="13992" xr:uid="{00000000-0005-0000-0000-000012030000}"/>
    <cellStyle name="Ввод  2 45" xfId="753" xr:uid="{00000000-0005-0000-0000-000013030000}"/>
    <cellStyle name="Ввод  2 45 2" xfId="5489" xr:uid="{00000000-0005-0000-0000-000014030000}"/>
    <cellStyle name="Ввод  2 45 3" xfId="9757" xr:uid="{00000000-0005-0000-0000-000015030000}"/>
    <cellStyle name="Ввод  2 45 4" xfId="13993" xr:uid="{00000000-0005-0000-0000-000016030000}"/>
    <cellStyle name="Ввод  2 46" xfId="754" xr:uid="{00000000-0005-0000-0000-000017030000}"/>
    <cellStyle name="Ввод  2 46 2" xfId="5490" xr:uid="{00000000-0005-0000-0000-000018030000}"/>
    <cellStyle name="Ввод  2 46 3" xfId="9758" xr:uid="{00000000-0005-0000-0000-000019030000}"/>
    <cellStyle name="Ввод  2 46 4" xfId="13994" xr:uid="{00000000-0005-0000-0000-00001A030000}"/>
    <cellStyle name="Ввод  2 47" xfId="755" xr:uid="{00000000-0005-0000-0000-00001B030000}"/>
    <cellStyle name="Ввод  2 47 2" xfId="5491" xr:uid="{00000000-0005-0000-0000-00001C030000}"/>
    <cellStyle name="Ввод  2 47 3" xfId="9759" xr:uid="{00000000-0005-0000-0000-00001D030000}"/>
    <cellStyle name="Ввод  2 47 4" xfId="13995" xr:uid="{00000000-0005-0000-0000-00001E030000}"/>
    <cellStyle name="Ввод  2 48" xfId="756" xr:uid="{00000000-0005-0000-0000-00001F030000}"/>
    <cellStyle name="Ввод  2 48 2" xfId="5492" xr:uid="{00000000-0005-0000-0000-000020030000}"/>
    <cellStyle name="Ввод  2 48 3" xfId="9760" xr:uid="{00000000-0005-0000-0000-000021030000}"/>
    <cellStyle name="Ввод  2 48 4" xfId="13996" xr:uid="{00000000-0005-0000-0000-000022030000}"/>
    <cellStyle name="Ввод  2 49" xfId="757" xr:uid="{00000000-0005-0000-0000-000023030000}"/>
    <cellStyle name="Ввод  2 49 2" xfId="5493" xr:uid="{00000000-0005-0000-0000-000024030000}"/>
    <cellStyle name="Ввод  2 49 3" xfId="9761" xr:uid="{00000000-0005-0000-0000-000025030000}"/>
    <cellStyle name="Ввод  2 49 4" xfId="13997" xr:uid="{00000000-0005-0000-0000-000026030000}"/>
    <cellStyle name="Ввод  2 5" xfId="758" xr:uid="{00000000-0005-0000-0000-000027030000}"/>
    <cellStyle name="Ввод  2 5 2" xfId="5494" xr:uid="{00000000-0005-0000-0000-000028030000}"/>
    <cellStyle name="Ввод  2 5 3" xfId="9762" xr:uid="{00000000-0005-0000-0000-000029030000}"/>
    <cellStyle name="Ввод  2 5 4" xfId="13998" xr:uid="{00000000-0005-0000-0000-00002A030000}"/>
    <cellStyle name="Ввод  2 50" xfId="759" xr:uid="{00000000-0005-0000-0000-00002B030000}"/>
    <cellStyle name="Ввод  2 50 2" xfId="5495" xr:uid="{00000000-0005-0000-0000-00002C030000}"/>
    <cellStyle name="Ввод  2 50 3" xfId="9763" xr:uid="{00000000-0005-0000-0000-00002D030000}"/>
    <cellStyle name="Ввод  2 50 4" xfId="13999" xr:uid="{00000000-0005-0000-0000-00002E030000}"/>
    <cellStyle name="Ввод  2 51" xfId="760" xr:uid="{00000000-0005-0000-0000-00002F030000}"/>
    <cellStyle name="Ввод  2 51 2" xfId="5496" xr:uid="{00000000-0005-0000-0000-000030030000}"/>
    <cellStyle name="Ввод  2 51 3" xfId="9764" xr:uid="{00000000-0005-0000-0000-000031030000}"/>
    <cellStyle name="Ввод  2 51 4" xfId="14000" xr:uid="{00000000-0005-0000-0000-000032030000}"/>
    <cellStyle name="Ввод  2 52" xfId="761" xr:uid="{00000000-0005-0000-0000-000033030000}"/>
    <cellStyle name="Ввод  2 52 2" xfId="5497" xr:uid="{00000000-0005-0000-0000-000034030000}"/>
    <cellStyle name="Ввод  2 52 3" xfId="9765" xr:uid="{00000000-0005-0000-0000-000035030000}"/>
    <cellStyle name="Ввод  2 52 4" xfId="14001" xr:uid="{00000000-0005-0000-0000-000036030000}"/>
    <cellStyle name="Ввод  2 53" xfId="762" xr:uid="{00000000-0005-0000-0000-000037030000}"/>
    <cellStyle name="Ввод  2 53 2" xfId="5498" xr:uid="{00000000-0005-0000-0000-000038030000}"/>
    <cellStyle name="Ввод  2 53 3" xfId="9766" xr:uid="{00000000-0005-0000-0000-000039030000}"/>
    <cellStyle name="Ввод  2 53 4" xfId="14002" xr:uid="{00000000-0005-0000-0000-00003A030000}"/>
    <cellStyle name="Ввод  2 54" xfId="763" xr:uid="{00000000-0005-0000-0000-00003B030000}"/>
    <cellStyle name="Ввод  2 54 2" xfId="5499" xr:uid="{00000000-0005-0000-0000-00003C030000}"/>
    <cellStyle name="Ввод  2 54 3" xfId="9767" xr:uid="{00000000-0005-0000-0000-00003D030000}"/>
    <cellStyle name="Ввод  2 54 4" xfId="14003" xr:uid="{00000000-0005-0000-0000-00003E030000}"/>
    <cellStyle name="Ввод  2 55" xfId="764" xr:uid="{00000000-0005-0000-0000-00003F030000}"/>
    <cellStyle name="Ввод  2 55 2" xfId="5500" xr:uid="{00000000-0005-0000-0000-000040030000}"/>
    <cellStyle name="Ввод  2 55 3" xfId="9768" xr:uid="{00000000-0005-0000-0000-000041030000}"/>
    <cellStyle name="Ввод  2 55 4" xfId="14004" xr:uid="{00000000-0005-0000-0000-000042030000}"/>
    <cellStyle name="Ввод  2 56" xfId="765" xr:uid="{00000000-0005-0000-0000-000043030000}"/>
    <cellStyle name="Ввод  2 56 2" xfId="5501" xr:uid="{00000000-0005-0000-0000-000044030000}"/>
    <cellStyle name="Ввод  2 56 3" xfId="9769" xr:uid="{00000000-0005-0000-0000-000045030000}"/>
    <cellStyle name="Ввод  2 56 4" xfId="14005" xr:uid="{00000000-0005-0000-0000-000046030000}"/>
    <cellStyle name="Ввод  2 57" xfId="766" xr:uid="{00000000-0005-0000-0000-000047030000}"/>
    <cellStyle name="Ввод  2 57 2" xfId="5502" xr:uid="{00000000-0005-0000-0000-000048030000}"/>
    <cellStyle name="Ввод  2 57 3" xfId="9770" xr:uid="{00000000-0005-0000-0000-000049030000}"/>
    <cellStyle name="Ввод  2 57 4" xfId="14006" xr:uid="{00000000-0005-0000-0000-00004A030000}"/>
    <cellStyle name="Ввод  2 58" xfId="767" xr:uid="{00000000-0005-0000-0000-00004B030000}"/>
    <cellStyle name="Ввод  2 58 2" xfId="5503" xr:uid="{00000000-0005-0000-0000-00004C030000}"/>
    <cellStyle name="Ввод  2 58 3" xfId="9771" xr:uid="{00000000-0005-0000-0000-00004D030000}"/>
    <cellStyle name="Ввод  2 58 4" xfId="14007" xr:uid="{00000000-0005-0000-0000-00004E030000}"/>
    <cellStyle name="Ввод  2 59" xfId="768" xr:uid="{00000000-0005-0000-0000-00004F030000}"/>
    <cellStyle name="Ввод  2 59 2" xfId="5504" xr:uid="{00000000-0005-0000-0000-000050030000}"/>
    <cellStyle name="Ввод  2 59 3" xfId="9772" xr:uid="{00000000-0005-0000-0000-000051030000}"/>
    <cellStyle name="Ввод  2 59 4" xfId="14008" xr:uid="{00000000-0005-0000-0000-000052030000}"/>
    <cellStyle name="Ввод  2 6" xfId="769" xr:uid="{00000000-0005-0000-0000-000053030000}"/>
    <cellStyle name="Ввод  2 6 2" xfId="5505" xr:uid="{00000000-0005-0000-0000-000054030000}"/>
    <cellStyle name="Ввод  2 6 3" xfId="9773" xr:uid="{00000000-0005-0000-0000-000055030000}"/>
    <cellStyle name="Ввод  2 6 4" xfId="14009" xr:uid="{00000000-0005-0000-0000-000056030000}"/>
    <cellStyle name="Ввод  2 60" xfId="770" xr:uid="{00000000-0005-0000-0000-000057030000}"/>
    <cellStyle name="Ввод  2 60 2" xfId="5506" xr:uid="{00000000-0005-0000-0000-000058030000}"/>
    <cellStyle name="Ввод  2 60 3" xfId="9774" xr:uid="{00000000-0005-0000-0000-000059030000}"/>
    <cellStyle name="Ввод  2 60 4" xfId="14010" xr:uid="{00000000-0005-0000-0000-00005A030000}"/>
    <cellStyle name="Ввод  2 61" xfId="771" xr:uid="{00000000-0005-0000-0000-00005B030000}"/>
    <cellStyle name="Ввод  2 61 2" xfId="5507" xr:uid="{00000000-0005-0000-0000-00005C030000}"/>
    <cellStyle name="Ввод  2 61 3" xfId="9775" xr:uid="{00000000-0005-0000-0000-00005D030000}"/>
    <cellStyle name="Ввод  2 61 4" xfId="14011" xr:uid="{00000000-0005-0000-0000-00005E030000}"/>
    <cellStyle name="Ввод  2 62" xfId="772" xr:uid="{00000000-0005-0000-0000-00005F030000}"/>
    <cellStyle name="Ввод  2 62 2" xfId="5508" xr:uid="{00000000-0005-0000-0000-000060030000}"/>
    <cellStyle name="Ввод  2 62 3" xfId="9776" xr:uid="{00000000-0005-0000-0000-000061030000}"/>
    <cellStyle name="Ввод  2 62 4" xfId="14012" xr:uid="{00000000-0005-0000-0000-000062030000}"/>
    <cellStyle name="Ввод  2 63" xfId="773" xr:uid="{00000000-0005-0000-0000-000063030000}"/>
    <cellStyle name="Ввод  2 63 2" xfId="5509" xr:uid="{00000000-0005-0000-0000-000064030000}"/>
    <cellStyle name="Ввод  2 63 3" xfId="9777" xr:uid="{00000000-0005-0000-0000-000065030000}"/>
    <cellStyle name="Ввод  2 63 4" xfId="14013" xr:uid="{00000000-0005-0000-0000-000066030000}"/>
    <cellStyle name="Ввод  2 64" xfId="774" xr:uid="{00000000-0005-0000-0000-000067030000}"/>
    <cellStyle name="Ввод  2 64 2" xfId="5510" xr:uid="{00000000-0005-0000-0000-000068030000}"/>
    <cellStyle name="Ввод  2 64 3" xfId="9778" xr:uid="{00000000-0005-0000-0000-000069030000}"/>
    <cellStyle name="Ввод  2 64 4" xfId="14014" xr:uid="{00000000-0005-0000-0000-00006A030000}"/>
    <cellStyle name="Ввод  2 65" xfId="775" xr:uid="{00000000-0005-0000-0000-00006B030000}"/>
    <cellStyle name="Ввод  2 65 2" xfId="5511" xr:uid="{00000000-0005-0000-0000-00006C030000}"/>
    <cellStyle name="Ввод  2 65 3" xfId="9779" xr:uid="{00000000-0005-0000-0000-00006D030000}"/>
    <cellStyle name="Ввод  2 65 4" xfId="14015" xr:uid="{00000000-0005-0000-0000-00006E030000}"/>
    <cellStyle name="Ввод  2 66" xfId="776" xr:uid="{00000000-0005-0000-0000-00006F030000}"/>
    <cellStyle name="Ввод  2 66 2" xfId="5512" xr:uid="{00000000-0005-0000-0000-000070030000}"/>
    <cellStyle name="Ввод  2 66 3" xfId="9780" xr:uid="{00000000-0005-0000-0000-000071030000}"/>
    <cellStyle name="Ввод  2 66 4" xfId="14016" xr:uid="{00000000-0005-0000-0000-000072030000}"/>
    <cellStyle name="Ввод  2 67" xfId="777" xr:uid="{00000000-0005-0000-0000-000073030000}"/>
    <cellStyle name="Ввод  2 67 2" xfId="5513" xr:uid="{00000000-0005-0000-0000-000074030000}"/>
    <cellStyle name="Ввод  2 67 3" xfId="9781" xr:uid="{00000000-0005-0000-0000-000075030000}"/>
    <cellStyle name="Ввод  2 67 4" xfId="14017" xr:uid="{00000000-0005-0000-0000-000076030000}"/>
    <cellStyle name="Ввод  2 68" xfId="778" xr:uid="{00000000-0005-0000-0000-000077030000}"/>
    <cellStyle name="Ввод  2 68 2" xfId="5514" xr:uid="{00000000-0005-0000-0000-000078030000}"/>
    <cellStyle name="Ввод  2 68 3" xfId="9782" xr:uid="{00000000-0005-0000-0000-000079030000}"/>
    <cellStyle name="Ввод  2 68 4" xfId="14018" xr:uid="{00000000-0005-0000-0000-00007A030000}"/>
    <cellStyle name="Ввод  2 69" xfId="779" xr:uid="{00000000-0005-0000-0000-00007B030000}"/>
    <cellStyle name="Ввод  2 69 2" xfId="5515" xr:uid="{00000000-0005-0000-0000-00007C030000}"/>
    <cellStyle name="Ввод  2 69 3" xfId="9783" xr:uid="{00000000-0005-0000-0000-00007D030000}"/>
    <cellStyle name="Ввод  2 69 4" xfId="14019" xr:uid="{00000000-0005-0000-0000-00007E030000}"/>
    <cellStyle name="Ввод  2 7" xfId="780" xr:uid="{00000000-0005-0000-0000-00007F030000}"/>
    <cellStyle name="Ввод  2 7 2" xfId="5516" xr:uid="{00000000-0005-0000-0000-000080030000}"/>
    <cellStyle name="Ввод  2 7 3" xfId="9784" xr:uid="{00000000-0005-0000-0000-000081030000}"/>
    <cellStyle name="Ввод  2 7 4" xfId="14020" xr:uid="{00000000-0005-0000-0000-000082030000}"/>
    <cellStyle name="Ввод  2 70" xfId="781" xr:uid="{00000000-0005-0000-0000-000083030000}"/>
    <cellStyle name="Ввод  2 70 2" xfId="5517" xr:uid="{00000000-0005-0000-0000-000084030000}"/>
    <cellStyle name="Ввод  2 70 3" xfId="9785" xr:uid="{00000000-0005-0000-0000-000085030000}"/>
    <cellStyle name="Ввод  2 70 4" xfId="14021" xr:uid="{00000000-0005-0000-0000-000086030000}"/>
    <cellStyle name="Ввод  2 71" xfId="782" xr:uid="{00000000-0005-0000-0000-000087030000}"/>
    <cellStyle name="Ввод  2 71 2" xfId="5518" xr:uid="{00000000-0005-0000-0000-000088030000}"/>
    <cellStyle name="Ввод  2 71 3" xfId="9786" xr:uid="{00000000-0005-0000-0000-000089030000}"/>
    <cellStyle name="Ввод  2 71 4" xfId="14022" xr:uid="{00000000-0005-0000-0000-00008A030000}"/>
    <cellStyle name="Ввод  2 72" xfId="783" xr:uid="{00000000-0005-0000-0000-00008B030000}"/>
    <cellStyle name="Ввод  2 72 2" xfId="5519" xr:uid="{00000000-0005-0000-0000-00008C030000}"/>
    <cellStyle name="Ввод  2 72 3" xfId="9787" xr:uid="{00000000-0005-0000-0000-00008D030000}"/>
    <cellStyle name="Ввод  2 72 4" xfId="14023" xr:uid="{00000000-0005-0000-0000-00008E030000}"/>
    <cellStyle name="Ввод  2 73" xfId="784" xr:uid="{00000000-0005-0000-0000-00008F030000}"/>
    <cellStyle name="Ввод  2 73 2" xfId="5520" xr:uid="{00000000-0005-0000-0000-000090030000}"/>
    <cellStyle name="Ввод  2 73 3" xfId="9788" xr:uid="{00000000-0005-0000-0000-000091030000}"/>
    <cellStyle name="Ввод  2 73 4" xfId="14024" xr:uid="{00000000-0005-0000-0000-000092030000}"/>
    <cellStyle name="Ввод  2 74" xfId="785" xr:uid="{00000000-0005-0000-0000-000093030000}"/>
    <cellStyle name="Ввод  2 74 2" xfId="5521" xr:uid="{00000000-0005-0000-0000-000094030000}"/>
    <cellStyle name="Ввод  2 74 3" xfId="9789" xr:uid="{00000000-0005-0000-0000-000095030000}"/>
    <cellStyle name="Ввод  2 74 4" xfId="14025" xr:uid="{00000000-0005-0000-0000-000096030000}"/>
    <cellStyle name="Ввод  2 75" xfId="786" xr:uid="{00000000-0005-0000-0000-000097030000}"/>
    <cellStyle name="Ввод  2 75 2" xfId="5522" xr:uid="{00000000-0005-0000-0000-000098030000}"/>
    <cellStyle name="Ввод  2 75 3" xfId="9790" xr:uid="{00000000-0005-0000-0000-000099030000}"/>
    <cellStyle name="Ввод  2 75 4" xfId="14026" xr:uid="{00000000-0005-0000-0000-00009A030000}"/>
    <cellStyle name="Ввод  2 76" xfId="787" xr:uid="{00000000-0005-0000-0000-00009B030000}"/>
    <cellStyle name="Ввод  2 76 2" xfId="5523" xr:uid="{00000000-0005-0000-0000-00009C030000}"/>
    <cellStyle name="Ввод  2 76 3" xfId="9791" xr:uid="{00000000-0005-0000-0000-00009D030000}"/>
    <cellStyle name="Ввод  2 76 4" xfId="14027" xr:uid="{00000000-0005-0000-0000-00009E030000}"/>
    <cellStyle name="Ввод  2 77" xfId="788" xr:uid="{00000000-0005-0000-0000-00009F030000}"/>
    <cellStyle name="Ввод  2 77 2" xfId="5524" xr:uid="{00000000-0005-0000-0000-0000A0030000}"/>
    <cellStyle name="Ввод  2 77 3" xfId="9792" xr:uid="{00000000-0005-0000-0000-0000A1030000}"/>
    <cellStyle name="Ввод  2 77 4" xfId="14028" xr:uid="{00000000-0005-0000-0000-0000A2030000}"/>
    <cellStyle name="Ввод  2 78" xfId="789" xr:uid="{00000000-0005-0000-0000-0000A3030000}"/>
    <cellStyle name="Ввод  2 78 2" xfId="5525" xr:uid="{00000000-0005-0000-0000-0000A4030000}"/>
    <cellStyle name="Ввод  2 78 3" xfId="9793" xr:uid="{00000000-0005-0000-0000-0000A5030000}"/>
    <cellStyle name="Ввод  2 78 4" xfId="14029" xr:uid="{00000000-0005-0000-0000-0000A6030000}"/>
    <cellStyle name="Ввод  2 79" xfId="790" xr:uid="{00000000-0005-0000-0000-0000A7030000}"/>
    <cellStyle name="Ввод  2 79 2" xfId="5526" xr:uid="{00000000-0005-0000-0000-0000A8030000}"/>
    <cellStyle name="Ввод  2 79 3" xfId="9794" xr:uid="{00000000-0005-0000-0000-0000A9030000}"/>
    <cellStyle name="Ввод  2 79 4" xfId="14030" xr:uid="{00000000-0005-0000-0000-0000AA030000}"/>
    <cellStyle name="Ввод  2 8" xfId="791" xr:uid="{00000000-0005-0000-0000-0000AB030000}"/>
    <cellStyle name="Ввод  2 8 2" xfId="5527" xr:uid="{00000000-0005-0000-0000-0000AC030000}"/>
    <cellStyle name="Ввод  2 8 3" xfId="9795" xr:uid="{00000000-0005-0000-0000-0000AD030000}"/>
    <cellStyle name="Ввод  2 8 4" xfId="14031" xr:uid="{00000000-0005-0000-0000-0000AE030000}"/>
    <cellStyle name="Ввод  2 80" xfId="792" xr:uid="{00000000-0005-0000-0000-0000AF030000}"/>
    <cellStyle name="Ввод  2 80 2" xfId="5528" xr:uid="{00000000-0005-0000-0000-0000B0030000}"/>
    <cellStyle name="Ввод  2 80 3" xfId="9796" xr:uid="{00000000-0005-0000-0000-0000B1030000}"/>
    <cellStyle name="Ввод  2 80 4" xfId="14032" xr:uid="{00000000-0005-0000-0000-0000B2030000}"/>
    <cellStyle name="Ввод  2 81" xfId="793" xr:uid="{00000000-0005-0000-0000-0000B3030000}"/>
    <cellStyle name="Ввод  2 81 2" xfId="5529" xr:uid="{00000000-0005-0000-0000-0000B4030000}"/>
    <cellStyle name="Ввод  2 81 3" xfId="9797" xr:uid="{00000000-0005-0000-0000-0000B5030000}"/>
    <cellStyle name="Ввод  2 81 4" xfId="14033" xr:uid="{00000000-0005-0000-0000-0000B6030000}"/>
    <cellStyle name="Ввод  2 82" xfId="794" xr:uid="{00000000-0005-0000-0000-0000B7030000}"/>
    <cellStyle name="Ввод  2 82 2" xfId="5530" xr:uid="{00000000-0005-0000-0000-0000B8030000}"/>
    <cellStyle name="Ввод  2 82 3" xfId="9798" xr:uid="{00000000-0005-0000-0000-0000B9030000}"/>
    <cellStyle name="Ввод  2 82 4" xfId="14034" xr:uid="{00000000-0005-0000-0000-0000BA030000}"/>
    <cellStyle name="Ввод  2 83" xfId="795" xr:uid="{00000000-0005-0000-0000-0000BB030000}"/>
    <cellStyle name="Ввод  2 83 2" xfId="5531" xr:uid="{00000000-0005-0000-0000-0000BC030000}"/>
    <cellStyle name="Ввод  2 83 3" xfId="9799" xr:uid="{00000000-0005-0000-0000-0000BD030000}"/>
    <cellStyle name="Ввод  2 83 4" xfId="14035" xr:uid="{00000000-0005-0000-0000-0000BE030000}"/>
    <cellStyle name="Ввод  2 84" xfId="796" xr:uid="{00000000-0005-0000-0000-0000BF030000}"/>
    <cellStyle name="Ввод  2 84 2" xfId="5532" xr:uid="{00000000-0005-0000-0000-0000C0030000}"/>
    <cellStyle name="Ввод  2 84 3" xfId="9800" xr:uid="{00000000-0005-0000-0000-0000C1030000}"/>
    <cellStyle name="Ввод  2 84 4" xfId="14036" xr:uid="{00000000-0005-0000-0000-0000C2030000}"/>
    <cellStyle name="Ввод  2 85" xfId="797" xr:uid="{00000000-0005-0000-0000-0000C3030000}"/>
    <cellStyle name="Ввод  2 85 2" xfId="5533" xr:uid="{00000000-0005-0000-0000-0000C4030000}"/>
    <cellStyle name="Ввод  2 85 3" xfId="9801" xr:uid="{00000000-0005-0000-0000-0000C5030000}"/>
    <cellStyle name="Ввод  2 85 4" xfId="14037" xr:uid="{00000000-0005-0000-0000-0000C6030000}"/>
    <cellStyle name="Ввод  2 86" xfId="798" xr:uid="{00000000-0005-0000-0000-0000C7030000}"/>
    <cellStyle name="Ввод  2 86 2" xfId="5534" xr:uid="{00000000-0005-0000-0000-0000C8030000}"/>
    <cellStyle name="Ввод  2 86 3" xfId="9802" xr:uid="{00000000-0005-0000-0000-0000C9030000}"/>
    <cellStyle name="Ввод  2 86 4" xfId="14038" xr:uid="{00000000-0005-0000-0000-0000CA030000}"/>
    <cellStyle name="Ввод  2 87" xfId="799" xr:uid="{00000000-0005-0000-0000-0000CB030000}"/>
    <cellStyle name="Ввод  2 87 2" xfId="5535" xr:uid="{00000000-0005-0000-0000-0000CC030000}"/>
    <cellStyle name="Ввод  2 87 3" xfId="9803" xr:uid="{00000000-0005-0000-0000-0000CD030000}"/>
    <cellStyle name="Ввод  2 87 4" xfId="14039" xr:uid="{00000000-0005-0000-0000-0000CE030000}"/>
    <cellStyle name="Ввод  2 88" xfId="800" xr:uid="{00000000-0005-0000-0000-0000CF030000}"/>
    <cellStyle name="Ввод  2 88 2" xfId="5536" xr:uid="{00000000-0005-0000-0000-0000D0030000}"/>
    <cellStyle name="Ввод  2 88 3" xfId="9804" xr:uid="{00000000-0005-0000-0000-0000D1030000}"/>
    <cellStyle name="Ввод  2 88 4" xfId="14040" xr:uid="{00000000-0005-0000-0000-0000D2030000}"/>
    <cellStyle name="Ввод  2 89" xfId="801" xr:uid="{00000000-0005-0000-0000-0000D3030000}"/>
    <cellStyle name="Ввод  2 89 2" xfId="5537" xr:uid="{00000000-0005-0000-0000-0000D4030000}"/>
    <cellStyle name="Ввод  2 89 3" xfId="9805" xr:uid="{00000000-0005-0000-0000-0000D5030000}"/>
    <cellStyle name="Ввод  2 89 4" xfId="14041" xr:uid="{00000000-0005-0000-0000-0000D6030000}"/>
    <cellStyle name="Ввод  2 9" xfId="802" xr:uid="{00000000-0005-0000-0000-0000D7030000}"/>
    <cellStyle name="Ввод  2 9 2" xfId="5538" xr:uid="{00000000-0005-0000-0000-0000D8030000}"/>
    <cellStyle name="Ввод  2 9 3" xfId="9806" xr:uid="{00000000-0005-0000-0000-0000D9030000}"/>
    <cellStyle name="Ввод  2 9 4" xfId="14042" xr:uid="{00000000-0005-0000-0000-0000DA030000}"/>
    <cellStyle name="Ввод  2 90" xfId="803" xr:uid="{00000000-0005-0000-0000-0000DB030000}"/>
    <cellStyle name="Ввод  2 90 2" xfId="5539" xr:uid="{00000000-0005-0000-0000-0000DC030000}"/>
    <cellStyle name="Ввод  2 90 3" xfId="9807" xr:uid="{00000000-0005-0000-0000-0000DD030000}"/>
    <cellStyle name="Ввод  2 90 4" xfId="14043" xr:uid="{00000000-0005-0000-0000-0000DE030000}"/>
    <cellStyle name="Ввод  2 91" xfId="804" xr:uid="{00000000-0005-0000-0000-0000DF030000}"/>
    <cellStyle name="Ввод  2 91 2" xfId="5540" xr:uid="{00000000-0005-0000-0000-0000E0030000}"/>
    <cellStyle name="Ввод  2 91 3" xfId="9808" xr:uid="{00000000-0005-0000-0000-0000E1030000}"/>
    <cellStyle name="Ввод  2 91 4" xfId="14044" xr:uid="{00000000-0005-0000-0000-0000E2030000}"/>
    <cellStyle name="Ввод  2 92" xfId="5178" xr:uid="{00000000-0005-0000-0000-0000E3030000}"/>
    <cellStyle name="Ввод  2 93" xfId="5265" xr:uid="{00000000-0005-0000-0000-0000E4030000}"/>
    <cellStyle name="Ввод  2 94" xfId="5326" xr:uid="{00000000-0005-0000-0000-0000E5030000}"/>
    <cellStyle name="Ввод  3" xfId="225" xr:uid="{00000000-0005-0000-0000-0000E6030000}"/>
    <cellStyle name="Ввод  3 10" xfId="805" xr:uid="{00000000-0005-0000-0000-0000E7030000}"/>
    <cellStyle name="Ввод  3 10 2" xfId="5541" xr:uid="{00000000-0005-0000-0000-0000E8030000}"/>
    <cellStyle name="Ввод  3 10 3" xfId="9809" xr:uid="{00000000-0005-0000-0000-0000E9030000}"/>
    <cellStyle name="Ввод  3 10 4" xfId="14045" xr:uid="{00000000-0005-0000-0000-0000EA030000}"/>
    <cellStyle name="Ввод  3 11" xfId="806" xr:uid="{00000000-0005-0000-0000-0000EB030000}"/>
    <cellStyle name="Ввод  3 11 2" xfId="5542" xr:uid="{00000000-0005-0000-0000-0000EC030000}"/>
    <cellStyle name="Ввод  3 11 3" xfId="9810" xr:uid="{00000000-0005-0000-0000-0000ED030000}"/>
    <cellStyle name="Ввод  3 11 4" xfId="14046" xr:uid="{00000000-0005-0000-0000-0000EE030000}"/>
    <cellStyle name="Ввод  3 12" xfId="807" xr:uid="{00000000-0005-0000-0000-0000EF030000}"/>
    <cellStyle name="Ввод  3 12 2" xfId="5543" xr:uid="{00000000-0005-0000-0000-0000F0030000}"/>
    <cellStyle name="Ввод  3 12 3" xfId="9811" xr:uid="{00000000-0005-0000-0000-0000F1030000}"/>
    <cellStyle name="Ввод  3 12 4" xfId="14047" xr:uid="{00000000-0005-0000-0000-0000F2030000}"/>
    <cellStyle name="Ввод  3 13" xfId="808" xr:uid="{00000000-0005-0000-0000-0000F3030000}"/>
    <cellStyle name="Ввод  3 13 2" xfId="5544" xr:uid="{00000000-0005-0000-0000-0000F4030000}"/>
    <cellStyle name="Ввод  3 13 3" xfId="9812" xr:uid="{00000000-0005-0000-0000-0000F5030000}"/>
    <cellStyle name="Ввод  3 13 4" xfId="14048" xr:uid="{00000000-0005-0000-0000-0000F6030000}"/>
    <cellStyle name="Ввод  3 14" xfId="809" xr:uid="{00000000-0005-0000-0000-0000F7030000}"/>
    <cellStyle name="Ввод  3 14 2" xfId="5545" xr:uid="{00000000-0005-0000-0000-0000F8030000}"/>
    <cellStyle name="Ввод  3 14 3" xfId="9813" xr:uid="{00000000-0005-0000-0000-0000F9030000}"/>
    <cellStyle name="Ввод  3 14 4" xfId="14049" xr:uid="{00000000-0005-0000-0000-0000FA030000}"/>
    <cellStyle name="Ввод  3 15" xfId="810" xr:uid="{00000000-0005-0000-0000-0000FB030000}"/>
    <cellStyle name="Ввод  3 15 2" xfId="5546" xr:uid="{00000000-0005-0000-0000-0000FC030000}"/>
    <cellStyle name="Ввод  3 15 3" xfId="9814" xr:uid="{00000000-0005-0000-0000-0000FD030000}"/>
    <cellStyle name="Ввод  3 15 4" xfId="14050" xr:uid="{00000000-0005-0000-0000-0000FE030000}"/>
    <cellStyle name="Ввод  3 16" xfId="811" xr:uid="{00000000-0005-0000-0000-0000FF030000}"/>
    <cellStyle name="Ввод  3 16 2" xfId="5547" xr:uid="{00000000-0005-0000-0000-000000040000}"/>
    <cellStyle name="Ввод  3 16 3" xfId="9815" xr:uid="{00000000-0005-0000-0000-000001040000}"/>
    <cellStyle name="Ввод  3 16 4" xfId="14051" xr:uid="{00000000-0005-0000-0000-000002040000}"/>
    <cellStyle name="Ввод  3 17" xfId="812" xr:uid="{00000000-0005-0000-0000-000003040000}"/>
    <cellStyle name="Ввод  3 17 2" xfId="5548" xr:uid="{00000000-0005-0000-0000-000004040000}"/>
    <cellStyle name="Ввод  3 17 3" xfId="9816" xr:uid="{00000000-0005-0000-0000-000005040000}"/>
    <cellStyle name="Ввод  3 17 4" xfId="14052" xr:uid="{00000000-0005-0000-0000-000006040000}"/>
    <cellStyle name="Ввод  3 18" xfId="813" xr:uid="{00000000-0005-0000-0000-000007040000}"/>
    <cellStyle name="Ввод  3 18 2" xfId="5549" xr:uid="{00000000-0005-0000-0000-000008040000}"/>
    <cellStyle name="Ввод  3 18 3" xfId="9817" xr:uid="{00000000-0005-0000-0000-000009040000}"/>
    <cellStyle name="Ввод  3 18 4" xfId="14053" xr:uid="{00000000-0005-0000-0000-00000A040000}"/>
    <cellStyle name="Ввод  3 19" xfId="814" xr:uid="{00000000-0005-0000-0000-00000B040000}"/>
    <cellStyle name="Ввод  3 19 2" xfId="5550" xr:uid="{00000000-0005-0000-0000-00000C040000}"/>
    <cellStyle name="Ввод  3 19 3" xfId="9818" xr:uid="{00000000-0005-0000-0000-00000D040000}"/>
    <cellStyle name="Ввод  3 19 4" xfId="14054" xr:uid="{00000000-0005-0000-0000-00000E040000}"/>
    <cellStyle name="Ввод  3 2" xfId="815" xr:uid="{00000000-0005-0000-0000-00000F040000}"/>
    <cellStyle name="Ввод  3 2 2" xfId="816" xr:uid="{00000000-0005-0000-0000-000010040000}"/>
    <cellStyle name="Ввод  3 2 2 2" xfId="5552" xr:uid="{00000000-0005-0000-0000-000011040000}"/>
    <cellStyle name="Ввод  3 2 2 3" xfId="9820" xr:uid="{00000000-0005-0000-0000-000012040000}"/>
    <cellStyle name="Ввод  3 2 2 4" xfId="14056" xr:uid="{00000000-0005-0000-0000-000013040000}"/>
    <cellStyle name="Ввод  3 2 3" xfId="817" xr:uid="{00000000-0005-0000-0000-000014040000}"/>
    <cellStyle name="Ввод  3 2 3 2" xfId="5553" xr:uid="{00000000-0005-0000-0000-000015040000}"/>
    <cellStyle name="Ввод  3 2 3 3" xfId="9821" xr:uid="{00000000-0005-0000-0000-000016040000}"/>
    <cellStyle name="Ввод  3 2 3 4" xfId="14057" xr:uid="{00000000-0005-0000-0000-000017040000}"/>
    <cellStyle name="Ввод  3 2 4" xfId="5551" xr:uid="{00000000-0005-0000-0000-000018040000}"/>
    <cellStyle name="Ввод  3 2 5" xfId="9819" xr:uid="{00000000-0005-0000-0000-000019040000}"/>
    <cellStyle name="Ввод  3 2 6" xfId="14055" xr:uid="{00000000-0005-0000-0000-00001A040000}"/>
    <cellStyle name="Ввод  3 20" xfId="818" xr:uid="{00000000-0005-0000-0000-00001B040000}"/>
    <cellStyle name="Ввод  3 20 2" xfId="5554" xr:uid="{00000000-0005-0000-0000-00001C040000}"/>
    <cellStyle name="Ввод  3 20 3" xfId="9822" xr:uid="{00000000-0005-0000-0000-00001D040000}"/>
    <cellStyle name="Ввод  3 20 4" xfId="14058" xr:uid="{00000000-0005-0000-0000-00001E040000}"/>
    <cellStyle name="Ввод  3 21" xfId="819" xr:uid="{00000000-0005-0000-0000-00001F040000}"/>
    <cellStyle name="Ввод  3 21 2" xfId="5555" xr:uid="{00000000-0005-0000-0000-000020040000}"/>
    <cellStyle name="Ввод  3 21 3" xfId="9823" xr:uid="{00000000-0005-0000-0000-000021040000}"/>
    <cellStyle name="Ввод  3 21 4" xfId="14059" xr:uid="{00000000-0005-0000-0000-000022040000}"/>
    <cellStyle name="Ввод  3 22" xfId="820" xr:uid="{00000000-0005-0000-0000-000023040000}"/>
    <cellStyle name="Ввод  3 22 2" xfId="5556" xr:uid="{00000000-0005-0000-0000-000024040000}"/>
    <cellStyle name="Ввод  3 22 3" xfId="9824" xr:uid="{00000000-0005-0000-0000-000025040000}"/>
    <cellStyle name="Ввод  3 22 4" xfId="14060" xr:uid="{00000000-0005-0000-0000-000026040000}"/>
    <cellStyle name="Ввод  3 23" xfId="821" xr:uid="{00000000-0005-0000-0000-000027040000}"/>
    <cellStyle name="Ввод  3 23 2" xfId="5557" xr:uid="{00000000-0005-0000-0000-000028040000}"/>
    <cellStyle name="Ввод  3 23 3" xfId="9825" xr:uid="{00000000-0005-0000-0000-000029040000}"/>
    <cellStyle name="Ввод  3 23 4" xfId="14061" xr:uid="{00000000-0005-0000-0000-00002A040000}"/>
    <cellStyle name="Ввод  3 24" xfId="822" xr:uid="{00000000-0005-0000-0000-00002B040000}"/>
    <cellStyle name="Ввод  3 24 2" xfId="5558" xr:uid="{00000000-0005-0000-0000-00002C040000}"/>
    <cellStyle name="Ввод  3 24 3" xfId="9826" xr:uid="{00000000-0005-0000-0000-00002D040000}"/>
    <cellStyle name="Ввод  3 24 4" xfId="14062" xr:uid="{00000000-0005-0000-0000-00002E040000}"/>
    <cellStyle name="Ввод  3 25" xfId="823" xr:uid="{00000000-0005-0000-0000-00002F040000}"/>
    <cellStyle name="Ввод  3 25 2" xfId="5559" xr:uid="{00000000-0005-0000-0000-000030040000}"/>
    <cellStyle name="Ввод  3 25 3" xfId="9827" xr:uid="{00000000-0005-0000-0000-000031040000}"/>
    <cellStyle name="Ввод  3 25 4" xfId="14063" xr:uid="{00000000-0005-0000-0000-000032040000}"/>
    <cellStyle name="Ввод  3 26" xfId="824" xr:uid="{00000000-0005-0000-0000-000033040000}"/>
    <cellStyle name="Ввод  3 26 2" xfId="5560" xr:uid="{00000000-0005-0000-0000-000034040000}"/>
    <cellStyle name="Ввод  3 26 3" xfId="9828" xr:uid="{00000000-0005-0000-0000-000035040000}"/>
    <cellStyle name="Ввод  3 26 4" xfId="14064" xr:uid="{00000000-0005-0000-0000-000036040000}"/>
    <cellStyle name="Ввод  3 27" xfId="825" xr:uid="{00000000-0005-0000-0000-000037040000}"/>
    <cellStyle name="Ввод  3 27 2" xfId="5561" xr:uid="{00000000-0005-0000-0000-000038040000}"/>
    <cellStyle name="Ввод  3 27 3" xfId="9829" xr:uid="{00000000-0005-0000-0000-000039040000}"/>
    <cellStyle name="Ввод  3 27 4" xfId="14065" xr:uid="{00000000-0005-0000-0000-00003A040000}"/>
    <cellStyle name="Ввод  3 28" xfId="826" xr:uid="{00000000-0005-0000-0000-00003B040000}"/>
    <cellStyle name="Ввод  3 28 2" xfId="5562" xr:uid="{00000000-0005-0000-0000-00003C040000}"/>
    <cellStyle name="Ввод  3 28 3" xfId="9830" xr:uid="{00000000-0005-0000-0000-00003D040000}"/>
    <cellStyle name="Ввод  3 28 4" xfId="14066" xr:uid="{00000000-0005-0000-0000-00003E040000}"/>
    <cellStyle name="Ввод  3 29" xfId="827" xr:uid="{00000000-0005-0000-0000-00003F040000}"/>
    <cellStyle name="Ввод  3 29 2" xfId="5563" xr:uid="{00000000-0005-0000-0000-000040040000}"/>
    <cellStyle name="Ввод  3 29 3" xfId="9831" xr:uid="{00000000-0005-0000-0000-000041040000}"/>
    <cellStyle name="Ввод  3 29 4" xfId="14067" xr:uid="{00000000-0005-0000-0000-000042040000}"/>
    <cellStyle name="Ввод  3 3" xfId="828" xr:uid="{00000000-0005-0000-0000-000043040000}"/>
    <cellStyle name="Ввод  3 3 2" xfId="829" xr:uid="{00000000-0005-0000-0000-000044040000}"/>
    <cellStyle name="Ввод  3 3 2 2" xfId="5565" xr:uid="{00000000-0005-0000-0000-000045040000}"/>
    <cellStyle name="Ввод  3 3 2 3" xfId="9833" xr:uid="{00000000-0005-0000-0000-000046040000}"/>
    <cellStyle name="Ввод  3 3 2 4" xfId="14069" xr:uid="{00000000-0005-0000-0000-000047040000}"/>
    <cellStyle name="Ввод  3 3 3" xfId="830" xr:uid="{00000000-0005-0000-0000-000048040000}"/>
    <cellStyle name="Ввод  3 3 3 2" xfId="5566" xr:uid="{00000000-0005-0000-0000-000049040000}"/>
    <cellStyle name="Ввод  3 3 3 3" xfId="9834" xr:uid="{00000000-0005-0000-0000-00004A040000}"/>
    <cellStyle name="Ввод  3 3 3 4" xfId="14070" xr:uid="{00000000-0005-0000-0000-00004B040000}"/>
    <cellStyle name="Ввод  3 3 4" xfId="5564" xr:uid="{00000000-0005-0000-0000-00004C040000}"/>
    <cellStyle name="Ввод  3 3 5" xfId="9832" xr:uid="{00000000-0005-0000-0000-00004D040000}"/>
    <cellStyle name="Ввод  3 3 6" xfId="14068" xr:uid="{00000000-0005-0000-0000-00004E040000}"/>
    <cellStyle name="Ввод  3 30" xfId="831" xr:uid="{00000000-0005-0000-0000-00004F040000}"/>
    <cellStyle name="Ввод  3 30 2" xfId="5567" xr:uid="{00000000-0005-0000-0000-000050040000}"/>
    <cellStyle name="Ввод  3 30 3" xfId="9835" xr:uid="{00000000-0005-0000-0000-000051040000}"/>
    <cellStyle name="Ввод  3 30 4" xfId="14071" xr:uid="{00000000-0005-0000-0000-000052040000}"/>
    <cellStyle name="Ввод  3 31" xfId="832" xr:uid="{00000000-0005-0000-0000-000053040000}"/>
    <cellStyle name="Ввод  3 31 2" xfId="5568" xr:uid="{00000000-0005-0000-0000-000054040000}"/>
    <cellStyle name="Ввод  3 31 3" xfId="9836" xr:uid="{00000000-0005-0000-0000-000055040000}"/>
    <cellStyle name="Ввод  3 31 4" xfId="14072" xr:uid="{00000000-0005-0000-0000-000056040000}"/>
    <cellStyle name="Ввод  3 32" xfId="833" xr:uid="{00000000-0005-0000-0000-000057040000}"/>
    <cellStyle name="Ввод  3 32 2" xfId="5569" xr:uid="{00000000-0005-0000-0000-000058040000}"/>
    <cellStyle name="Ввод  3 32 3" xfId="9837" xr:uid="{00000000-0005-0000-0000-000059040000}"/>
    <cellStyle name="Ввод  3 32 4" xfId="14073" xr:uid="{00000000-0005-0000-0000-00005A040000}"/>
    <cellStyle name="Ввод  3 33" xfId="834" xr:uid="{00000000-0005-0000-0000-00005B040000}"/>
    <cellStyle name="Ввод  3 33 2" xfId="5570" xr:uid="{00000000-0005-0000-0000-00005C040000}"/>
    <cellStyle name="Ввод  3 33 3" xfId="9838" xr:uid="{00000000-0005-0000-0000-00005D040000}"/>
    <cellStyle name="Ввод  3 33 4" xfId="14074" xr:uid="{00000000-0005-0000-0000-00005E040000}"/>
    <cellStyle name="Ввод  3 34" xfId="835" xr:uid="{00000000-0005-0000-0000-00005F040000}"/>
    <cellStyle name="Ввод  3 34 2" xfId="5571" xr:uid="{00000000-0005-0000-0000-000060040000}"/>
    <cellStyle name="Ввод  3 34 3" xfId="9839" xr:uid="{00000000-0005-0000-0000-000061040000}"/>
    <cellStyle name="Ввод  3 34 4" xfId="14075" xr:uid="{00000000-0005-0000-0000-000062040000}"/>
    <cellStyle name="Ввод  3 35" xfId="836" xr:uid="{00000000-0005-0000-0000-000063040000}"/>
    <cellStyle name="Ввод  3 35 2" xfId="5572" xr:uid="{00000000-0005-0000-0000-000064040000}"/>
    <cellStyle name="Ввод  3 35 3" xfId="9840" xr:uid="{00000000-0005-0000-0000-000065040000}"/>
    <cellStyle name="Ввод  3 35 4" xfId="14076" xr:uid="{00000000-0005-0000-0000-000066040000}"/>
    <cellStyle name="Ввод  3 36" xfId="837" xr:uid="{00000000-0005-0000-0000-000067040000}"/>
    <cellStyle name="Ввод  3 36 2" xfId="5573" xr:uid="{00000000-0005-0000-0000-000068040000}"/>
    <cellStyle name="Ввод  3 36 3" xfId="9841" xr:uid="{00000000-0005-0000-0000-000069040000}"/>
    <cellStyle name="Ввод  3 36 4" xfId="14077" xr:uid="{00000000-0005-0000-0000-00006A040000}"/>
    <cellStyle name="Ввод  3 37" xfId="838" xr:uid="{00000000-0005-0000-0000-00006B040000}"/>
    <cellStyle name="Ввод  3 37 2" xfId="5574" xr:uid="{00000000-0005-0000-0000-00006C040000}"/>
    <cellStyle name="Ввод  3 37 3" xfId="9842" xr:uid="{00000000-0005-0000-0000-00006D040000}"/>
    <cellStyle name="Ввод  3 37 4" xfId="14078" xr:uid="{00000000-0005-0000-0000-00006E040000}"/>
    <cellStyle name="Ввод  3 38" xfId="839" xr:uid="{00000000-0005-0000-0000-00006F040000}"/>
    <cellStyle name="Ввод  3 38 2" xfId="5575" xr:uid="{00000000-0005-0000-0000-000070040000}"/>
    <cellStyle name="Ввод  3 38 3" xfId="9843" xr:uid="{00000000-0005-0000-0000-000071040000}"/>
    <cellStyle name="Ввод  3 38 4" xfId="14079" xr:uid="{00000000-0005-0000-0000-000072040000}"/>
    <cellStyle name="Ввод  3 39" xfId="840" xr:uid="{00000000-0005-0000-0000-000073040000}"/>
    <cellStyle name="Ввод  3 39 2" xfId="5576" xr:uid="{00000000-0005-0000-0000-000074040000}"/>
    <cellStyle name="Ввод  3 39 3" xfId="9844" xr:uid="{00000000-0005-0000-0000-000075040000}"/>
    <cellStyle name="Ввод  3 39 4" xfId="14080" xr:uid="{00000000-0005-0000-0000-000076040000}"/>
    <cellStyle name="Ввод  3 4" xfId="841" xr:uid="{00000000-0005-0000-0000-000077040000}"/>
    <cellStyle name="Ввод  3 4 2" xfId="842" xr:uid="{00000000-0005-0000-0000-000078040000}"/>
    <cellStyle name="Ввод  3 4 2 2" xfId="5578" xr:uid="{00000000-0005-0000-0000-000079040000}"/>
    <cellStyle name="Ввод  3 4 2 3" xfId="9846" xr:uid="{00000000-0005-0000-0000-00007A040000}"/>
    <cellStyle name="Ввод  3 4 2 4" xfId="14082" xr:uid="{00000000-0005-0000-0000-00007B040000}"/>
    <cellStyle name="Ввод  3 4 3" xfId="843" xr:uid="{00000000-0005-0000-0000-00007C040000}"/>
    <cellStyle name="Ввод  3 4 3 2" xfId="5579" xr:uid="{00000000-0005-0000-0000-00007D040000}"/>
    <cellStyle name="Ввод  3 4 3 3" xfId="9847" xr:uid="{00000000-0005-0000-0000-00007E040000}"/>
    <cellStyle name="Ввод  3 4 3 4" xfId="14083" xr:uid="{00000000-0005-0000-0000-00007F040000}"/>
    <cellStyle name="Ввод  3 4 4" xfId="5577" xr:uid="{00000000-0005-0000-0000-000080040000}"/>
    <cellStyle name="Ввод  3 4 5" xfId="9845" xr:uid="{00000000-0005-0000-0000-000081040000}"/>
    <cellStyle name="Ввод  3 4 6" xfId="14081" xr:uid="{00000000-0005-0000-0000-000082040000}"/>
    <cellStyle name="Ввод  3 40" xfId="844" xr:uid="{00000000-0005-0000-0000-000083040000}"/>
    <cellStyle name="Ввод  3 40 2" xfId="5580" xr:uid="{00000000-0005-0000-0000-000084040000}"/>
    <cellStyle name="Ввод  3 40 3" xfId="9848" xr:uid="{00000000-0005-0000-0000-000085040000}"/>
    <cellStyle name="Ввод  3 40 4" xfId="14084" xr:uid="{00000000-0005-0000-0000-000086040000}"/>
    <cellStyle name="Ввод  3 41" xfId="845" xr:uid="{00000000-0005-0000-0000-000087040000}"/>
    <cellStyle name="Ввод  3 41 2" xfId="5581" xr:uid="{00000000-0005-0000-0000-000088040000}"/>
    <cellStyle name="Ввод  3 41 3" xfId="9849" xr:uid="{00000000-0005-0000-0000-000089040000}"/>
    <cellStyle name="Ввод  3 41 4" xfId="14085" xr:uid="{00000000-0005-0000-0000-00008A040000}"/>
    <cellStyle name="Ввод  3 42" xfId="846" xr:uid="{00000000-0005-0000-0000-00008B040000}"/>
    <cellStyle name="Ввод  3 42 2" xfId="5582" xr:uid="{00000000-0005-0000-0000-00008C040000}"/>
    <cellStyle name="Ввод  3 42 3" xfId="9850" xr:uid="{00000000-0005-0000-0000-00008D040000}"/>
    <cellStyle name="Ввод  3 42 4" xfId="14086" xr:uid="{00000000-0005-0000-0000-00008E040000}"/>
    <cellStyle name="Ввод  3 43" xfId="847" xr:uid="{00000000-0005-0000-0000-00008F040000}"/>
    <cellStyle name="Ввод  3 43 2" xfId="5583" xr:uid="{00000000-0005-0000-0000-000090040000}"/>
    <cellStyle name="Ввод  3 43 3" xfId="9851" xr:uid="{00000000-0005-0000-0000-000091040000}"/>
    <cellStyle name="Ввод  3 43 4" xfId="14087" xr:uid="{00000000-0005-0000-0000-000092040000}"/>
    <cellStyle name="Ввод  3 44" xfId="848" xr:uid="{00000000-0005-0000-0000-000093040000}"/>
    <cellStyle name="Ввод  3 44 2" xfId="5584" xr:uid="{00000000-0005-0000-0000-000094040000}"/>
    <cellStyle name="Ввод  3 44 3" xfId="9852" xr:uid="{00000000-0005-0000-0000-000095040000}"/>
    <cellStyle name="Ввод  3 44 4" xfId="14088" xr:uid="{00000000-0005-0000-0000-000096040000}"/>
    <cellStyle name="Ввод  3 45" xfId="849" xr:uid="{00000000-0005-0000-0000-000097040000}"/>
    <cellStyle name="Ввод  3 45 2" xfId="5585" xr:uid="{00000000-0005-0000-0000-000098040000}"/>
    <cellStyle name="Ввод  3 45 3" xfId="9853" xr:uid="{00000000-0005-0000-0000-000099040000}"/>
    <cellStyle name="Ввод  3 45 4" xfId="14089" xr:uid="{00000000-0005-0000-0000-00009A040000}"/>
    <cellStyle name="Ввод  3 46" xfId="850" xr:uid="{00000000-0005-0000-0000-00009B040000}"/>
    <cellStyle name="Ввод  3 46 2" xfId="5586" xr:uid="{00000000-0005-0000-0000-00009C040000}"/>
    <cellStyle name="Ввод  3 46 3" xfId="9854" xr:uid="{00000000-0005-0000-0000-00009D040000}"/>
    <cellStyle name="Ввод  3 46 4" xfId="14090" xr:uid="{00000000-0005-0000-0000-00009E040000}"/>
    <cellStyle name="Ввод  3 47" xfId="851" xr:uid="{00000000-0005-0000-0000-00009F040000}"/>
    <cellStyle name="Ввод  3 47 2" xfId="5587" xr:uid="{00000000-0005-0000-0000-0000A0040000}"/>
    <cellStyle name="Ввод  3 47 3" xfId="9855" xr:uid="{00000000-0005-0000-0000-0000A1040000}"/>
    <cellStyle name="Ввод  3 47 4" xfId="14091" xr:uid="{00000000-0005-0000-0000-0000A2040000}"/>
    <cellStyle name="Ввод  3 48" xfId="852" xr:uid="{00000000-0005-0000-0000-0000A3040000}"/>
    <cellStyle name="Ввод  3 48 2" xfId="5588" xr:uid="{00000000-0005-0000-0000-0000A4040000}"/>
    <cellStyle name="Ввод  3 48 3" xfId="9856" xr:uid="{00000000-0005-0000-0000-0000A5040000}"/>
    <cellStyle name="Ввод  3 48 4" xfId="14092" xr:uid="{00000000-0005-0000-0000-0000A6040000}"/>
    <cellStyle name="Ввод  3 49" xfId="853" xr:uid="{00000000-0005-0000-0000-0000A7040000}"/>
    <cellStyle name="Ввод  3 49 2" xfId="5589" xr:uid="{00000000-0005-0000-0000-0000A8040000}"/>
    <cellStyle name="Ввод  3 49 3" xfId="9857" xr:uid="{00000000-0005-0000-0000-0000A9040000}"/>
    <cellStyle name="Ввод  3 49 4" xfId="14093" xr:uid="{00000000-0005-0000-0000-0000AA040000}"/>
    <cellStyle name="Ввод  3 5" xfId="854" xr:uid="{00000000-0005-0000-0000-0000AB040000}"/>
    <cellStyle name="Ввод  3 5 2" xfId="5590" xr:uid="{00000000-0005-0000-0000-0000AC040000}"/>
    <cellStyle name="Ввод  3 5 3" xfId="9858" xr:uid="{00000000-0005-0000-0000-0000AD040000}"/>
    <cellStyle name="Ввод  3 5 4" xfId="14094" xr:uid="{00000000-0005-0000-0000-0000AE040000}"/>
    <cellStyle name="Ввод  3 50" xfId="855" xr:uid="{00000000-0005-0000-0000-0000AF040000}"/>
    <cellStyle name="Ввод  3 50 2" xfId="5591" xr:uid="{00000000-0005-0000-0000-0000B0040000}"/>
    <cellStyle name="Ввод  3 50 3" xfId="9859" xr:uid="{00000000-0005-0000-0000-0000B1040000}"/>
    <cellStyle name="Ввод  3 50 4" xfId="14095" xr:uid="{00000000-0005-0000-0000-0000B2040000}"/>
    <cellStyle name="Ввод  3 51" xfId="856" xr:uid="{00000000-0005-0000-0000-0000B3040000}"/>
    <cellStyle name="Ввод  3 51 2" xfId="5592" xr:uid="{00000000-0005-0000-0000-0000B4040000}"/>
    <cellStyle name="Ввод  3 51 3" xfId="9860" xr:uid="{00000000-0005-0000-0000-0000B5040000}"/>
    <cellStyle name="Ввод  3 51 4" xfId="14096" xr:uid="{00000000-0005-0000-0000-0000B6040000}"/>
    <cellStyle name="Ввод  3 52" xfId="857" xr:uid="{00000000-0005-0000-0000-0000B7040000}"/>
    <cellStyle name="Ввод  3 52 2" xfId="5593" xr:uid="{00000000-0005-0000-0000-0000B8040000}"/>
    <cellStyle name="Ввод  3 52 3" xfId="9861" xr:uid="{00000000-0005-0000-0000-0000B9040000}"/>
    <cellStyle name="Ввод  3 52 4" xfId="14097" xr:uid="{00000000-0005-0000-0000-0000BA040000}"/>
    <cellStyle name="Ввод  3 53" xfId="858" xr:uid="{00000000-0005-0000-0000-0000BB040000}"/>
    <cellStyle name="Ввод  3 53 2" xfId="5594" xr:uid="{00000000-0005-0000-0000-0000BC040000}"/>
    <cellStyle name="Ввод  3 53 3" xfId="9862" xr:uid="{00000000-0005-0000-0000-0000BD040000}"/>
    <cellStyle name="Ввод  3 53 4" xfId="14098" xr:uid="{00000000-0005-0000-0000-0000BE040000}"/>
    <cellStyle name="Ввод  3 54" xfId="859" xr:uid="{00000000-0005-0000-0000-0000BF040000}"/>
    <cellStyle name="Ввод  3 54 2" xfId="5595" xr:uid="{00000000-0005-0000-0000-0000C0040000}"/>
    <cellStyle name="Ввод  3 54 3" xfId="9863" xr:uid="{00000000-0005-0000-0000-0000C1040000}"/>
    <cellStyle name="Ввод  3 54 4" xfId="14099" xr:uid="{00000000-0005-0000-0000-0000C2040000}"/>
    <cellStyle name="Ввод  3 55" xfId="860" xr:uid="{00000000-0005-0000-0000-0000C3040000}"/>
    <cellStyle name="Ввод  3 55 2" xfId="5596" xr:uid="{00000000-0005-0000-0000-0000C4040000}"/>
    <cellStyle name="Ввод  3 55 3" xfId="9864" xr:uid="{00000000-0005-0000-0000-0000C5040000}"/>
    <cellStyle name="Ввод  3 55 4" xfId="14100" xr:uid="{00000000-0005-0000-0000-0000C6040000}"/>
    <cellStyle name="Ввод  3 56" xfId="861" xr:uid="{00000000-0005-0000-0000-0000C7040000}"/>
    <cellStyle name="Ввод  3 56 2" xfId="5597" xr:uid="{00000000-0005-0000-0000-0000C8040000}"/>
    <cellStyle name="Ввод  3 56 3" xfId="9865" xr:uid="{00000000-0005-0000-0000-0000C9040000}"/>
    <cellStyle name="Ввод  3 56 4" xfId="14101" xr:uid="{00000000-0005-0000-0000-0000CA040000}"/>
    <cellStyle name="Ввод  3 57" xfId="862" xr:uid="{00000000-0005-0000-0000-0000CB040000}"/>
    <cellStyle name="Ввод  3 57 2" xfId="5598" xr:uid="{00000000-0005-0000-0000-0000CC040000}"/>
    <cellStyle name="Ввод  3 57 3" xfId="9866" xr:uid="{00000000-0005-0000-0000-0000CD040000}"/>
    <cellStyle name="Ввод  3 57 4" xfId="14102" xr:uid="{00000000-0005-0000-0000-0000CE040000}"/>
    <cellStyle name="Ввод  3 58" xfId="863" xr:uid="{00000000-0005-0000-0000-0000CF040000}"/>
    <cellStyle name="Ввод  3 58 2" xfId="5599" xr:uid="{00000000-0005-0000-0000-0000D0040000}"/>
    <cellStyle name="Ввод  3 58 3" xfId="9867" xr:uid="{00000000-0005-0000-0000-0000D1040000}"/>
    <cellStyle name="Ввод  3 58 4" xfId="14103" xr:uid="{00000000-0005-0000-0000-0000D2040000}"/>
    <cellStyle name="Ввод  3 59" xfId="864" xr:uid="{00000000-0005-0000-0000-0000D3040000}"/>
    <cellStyle name="Ввод  3 59 2" xfId="5600" xr:uid="{00000000-0005-0000-0000-0000D4040000}"/>
    <cellStyle name="Ввод  3 59 3" xfId="9868" xr:uid="{00000000-0005-0000-0000-0000D5040000}"/>
    <cellStyle name="Ввод  3 59 4" xfId="14104" xr:uid="{00000000-0005-0000-0000-0000D6040000}"/>
    <cellStyle name="Ввод  3 6" xfId="865" xr:uid="{00000000-0005-0000-0000-0000D7040000}"/>
    <cellStyle name="Ввод  3 6 2" xfId="5601" xr:uid="{00000000-0005-0000-0000-0000D8040000}"/>
    <cellStyle name="Ввод  3 6 3" xfId="9869" xr:uid="{00000000-0005-0000-0000-0000D9040000}"/>
    <cellStyle name="Ввод  3 6 4" xfId="14105" xr:uid="{00000000-0005-0000-0000-0000DA040000}"/>
    <cellStyle name="Ввод  3 60" xfId="866" xr:uid="{00000000-0005-0000-0000-0000DB040000}"/>
    <cellStyle name="Ввод  3 60 2" xfId="5602" xr:uid="{00000000-0005-0000-0000-0000DC040000}"/>
    <cellStyle name="Ввод  3 60 3" xfId="9870" xr:uid="{00000000-0005-0000-0000-0000DD040000}"/>
    <cellStyle name="Ввод  3 60 4" xfId="14106" xr:uid="{00000000-0005-0000-0000-0000DE040000}"/>
    <cellStyle name="Ввод  3 61" xfId="867" xr:uid="{00000000-0005-0000-0000-0000DF040000}"/>
    <cellStyle name="Ввод  3 61 2" xfId="5603" xr:uid="{00000000-0005-0000-0000-0000E0040000}"/>
    <cellStyle name="Ввод  3 61 3" xfId="9871" xr:uid="{00000000-0005-0000-0000-0000E1040000}"/>
    <cellStyle name="Ввод  3 61 4" xfId="14107" xr:uid="{00000000-0005-0000-0000-0000E2040000}"/>
    <cellStyle name="Ввод  3 62" xfId="868" xr:uid="{00000000-0005-0000-0000-0000E3040000}"/>
    <cellStyle name="Ввод  3 62 2" xfId="5604" xr:uid="{00000000-0005-0000-0000-0000E4040000}"/>
    <cellStyle name="Ввод  3 62 3" xfId="9872" xr:uid="{00000000-0005-0000-0000-0000E5040000}"/>
    <cellStyle name="Ввод  3 62 4" xfId="14108" xr:uid="{00000000-0005-0000-0000-0000E6040000}"/>
    <cellStyle name="Ввод  3 63" xfId="869" xr:uid="{00000000-0005-0000-0000-0000E7040000}"/>
    <cellStyle name="Ввод  3 63 2" xfId="5605" xr:uid="{00000000-0005-0000-0000-0000E8040000}"/>
    <cellStyle name="Ввод  3 63 3" xfId="9873" xr:uid="{00000000-0005-0000-0000-0000E9040000}"/>
    <cellStyle name="Ввод  3 63 4" xfId="14109" xr:uid="{00000000-0005-0000-0000-0000EA040000}"/>
    <cellStyle name="Ввод  3 64" xfId="870" xr:uid="{00000000-0005-0000-0000-0000EB040000}"/>
    <cellStyle name="Ввод  3 64 2" xfId="5606" xr:uid="{00000000-0005-0000-0000-0000EC040000}"/>
    <cellStyle name="Ввод  3 64 3" xfId="9874" xr:uid="{00000000-0005-0000-0000-0000ED040000}"/>
    <cellStyle name="Ввод  3 64 4" xfId="14110" xr:uid="{00000000-0005-0000-0000-0000EE040000}"/>
    <cellStyle name="Ввод  3 65" xfId="871" xr:uid="{00000000-0005-0000-0000-0000EF040000}"/>
    <cellStyle name="Ввод  3 65 2" xfId="5607" xr:uid="{00000000-0005-0000-0000-0000F0040000}"/>
    <cellStyle name="Ввод  3 65 3" xfId="9875" xr:uid="{00000000-0005-0000-0000-0000F1040000}"/>
    <cellStyle name="Ввод  3 65 4" xfId="14111" xr:uid="{00000000-0005-0000-0000-0000F2040000}"/>
    <cellStyle name="Ввод  3 66" xfId="872" xr:uid="{00000000-0005-0000-0000-0000F3040000}"/>
    <cellStyle name="Ввод  3 66 2" xfId="5608" xr:uid="{00000000-0005-0000-0000-0000F4040000}"/>
    <cellStyle name="Ввод  3 66 3" xfId="9876" xr:uid="{00000000-0005-0000-0000-0000F5040000}"/>
    <cellStyle name="Ввод  3 66 4" xfId="14112" xr:uid="{00000000-0005-0000-0000-0000F6040000}"/>
    <cellStyle name="Ввод  3 67" xfId="873" xr:uid="{00000000-0005-0000-0000-0000F7040000}"/>
    <cellStyle name="Ввод  3 67 2" xfId="5609" xr:uid="{00000000-0005-0000-0000-0000F8040000}"/>
    <cellStyle name="Ввод  3 67 3" xfId="9877" xr:uid="{00000000-0005-0000-0000-0000F9040000}"/>
    <cellStyle name="Ввод  3 67 4" xfId="14113" xr:uid="{00000000-0005-0000-0000-0000FA040000}"/>
    <cellStyle name="Ввод  3 68" xfId="874" xr:uid="{00000000-0005-0000-0000-0000FB040000}"/>
    <cellStyle name="Ввод  3 68 2" xfId="5610" xr:uid="{00000000-0005-0000-0000-0000FC040000}"/>
    <cellStyle name="Ввод  3 68 3" xfId="9878" xr:uid="{00000000-0005-0000-0000-0000FD040000}"/>
    <cellStyle name="Ввод  3 68 4" xfId="14114" xr:uid="{00000000-0005-0000-0000-0000FE040000}"/>
    <cellStyle name="Ввод  3 69" xfId="875" xr:uid="{00000000-0005-0000-0000-0000FF040000}"/>
    <cellStyle name="Ввод  3 69 2" xfId="5611" xr:uid="{00000000-0005-0000-0000-000000050000}"/>
    <cellStyle name="Ввод  3 69 3" xfId="9879" xr:uid="{00000000-0005-0000-0000-000001050000}"/>
    <cellStyle name="Ввод  3 69 4" xfId="14115" xr:uid="{00000000-0005-0000-0000-000002050000}"/>
    <cellStyle name="Ввод  3 7" xfId="876" xr:uid="{00000000-0005-0000-0000-000003050000}"/>
    <cellStyle name="Ввод  3 7 2" xfId="5612" xr:uid="{00000000-0005-0000-0000-000004050000}"/>
    <cellStyle name="Ввод  3 7 3" xfId="9880" xr:uid="{00000000-0005-0000-0000-000005050000}"/>
    <cellStyle name="Ввод  3 7 4" xfId="14116" xr:uid="{00000000-0005-0000-0000-000006050000}"/>
    <cellStyle name="Ввод  3 70" xfId="877" xr:uid="{00000000-0005-0000-0000-000007050000}"/>
    <cellStyle name="Ввод  3 70 2" xfId="5613" xr:uid="{00000000-0005-0000-0000-000008050000}"/>
    <cellStyle name="Ввод  3 70 3" xfId="9881" xr:uid="{00000000-0005-0000-0000-000009050000}"/>
    <cellStyle name="Ввод  3 70 4" xfId="14117" xr:uid="{00000000-0005-0000-0000-00000A050000}"/>
    <cellStyle name="Ввод  3 71" xfId="878" xr:uid="{00000000-0005-0000-0000-00000B050000}"/>
    <cellStyle name="Ввод  3 71 2" xfId="5614" xr:uid="{00000000-0005-0000-0000-00000C050000}"/>
    <cellStyle name="Ввод  3 71 3" xfId="9882" xr:uid="{00000000-0005-0000-0000-00000D050000}"/>
    <cellStyle name="Ввод  3 71 4" xfId="14118" xr:uid="{00000000-0005-0000-0000-00000E050000}"/>
    <cellStyle name="Ввод  3 72" xfId="879" xr:uid="{00000000-0005-0000-0000-00000F050000}"/>
    <cellStyle name="Ввод  3 72 2" xfId="5615" xr:uid="{00000000-0005-0000-0000-000010050000}"/>
    <cellStyle name="Ввод  3 72 3" xfId="9883" xr:uid="{00000000-0005-0000-0000-000011050000}"/>
    <cellStyle name="Ввод  3 72 4" xfId="14119" xr:uid="{00000000-0005-0000-0000-000012050000}"/>
    <cellStyle name="Ввод  3 73" xfId="880" xr:uid="{00000000-0005-0000-0000-000013050000}"/>
    <cellStyle name="Ввод  3 73 2" xfId="5616" xr:uid="{00000000-0005-0000-0000-000014050000}"/>
    <cellStyle name="Ввод  3 73 3" xfId="9884" xr:uid="{00000000-0005-0000-0000-000015050000}"/>
    <cellStyle name="Ввод  3 73 4" xfId="14120" xr:uid="{00000000-0005-0000-0000-000016050000}"/>
    <cellStyle name="Ввод  3 74" xfId="881" xr:uid="{00000000-0005-0000-0000-000017050000}"/>
    <cellStyle name="Ввод  3 74 2" xfId="5617" xr:uid="{00000000-0005-0000-0000-000018050000}"/>
    <cellStyle name="Ввод  3 74 3" xfId="9885" xr:uid="{00000000-0005-0000-0000-000019050000}"/>
    <cellStyle name="Ввод  3 74 4" xfId="14121" xr:uid="{00000000-0005-0000-0000-00001A050000}"/>
    <cellStyle name="Ввод  3 75" xfId="882" xr:uid="{00000000-0005-0000-0000-00001B050000}"/>
    <cellStyle name="Ввод  3 75 2" xfId="5618" xr:uid="{00000000-0005-0000-0000-00001C050000}"/>
    <cellStyle name="Ввод  3 75 3" xfId="9886" xr:uid="{00000000-0005-0000-0000-00001D050000}"/>
    <cellStyle name="Ввод  3 75 4" xfId="14122" xr:uid="{00000000-0005-0000-0000-00001E050000}"/>
    <cellStyle name="Ввод  3 76" xfId="883" xr:uid="{00000000-0005-0000-0000-00001F050000}"/>
    <cellStyle name="Ввод  3 76 2" xfId="5619" xr:uid="{00000000-0005-0000-0000-000020050000}"/>
    <cellStyle name="Ввод  3 76 3" xfId="9887" xr:uid="{00000000-0005-0000-0000-000021050000}"/>
    <cellStyle name="Ввод  3 76 4" xfId="14123" xr:uid="{00000000-0005-0000-0000-000022050000}"/>
    <cellStyle name="Ввод  3 77" xfId="884" xr:uid="{00000000-0005-0000-0000-000023050000}"/>
    <cellStyle name="Ввод  3 77 2" xfId="5620" xr:uid="{00000000-0005-0000-0000-000024050000}"/>
    <cellStyle name="Ввод  3 77 3" xfId="9888" xr:uid="{00000000-0005-0000-0000-000025050000}"/>
    <cellStyle name="Ввод  3 77 4" xfId="14124" xr:uid="{00000000-0005-0000-0000-000026050000}"/>
    <cellStyle name="Ввод  3 78" xfId="885" xr:uid="{00000000-0005-0000-0000-000027050000}"/>
    <cellStyle name="Ввод  3 78 2" xfId="5621" xr:uid="{00000000-0005-0000-0000-000028050000}"/>
    <cellStyle name="Ввод  3 78 3" xfId="9889" xr:uid="{00000000-0005-0000-0000-000029050000}"/>
    <cellStyle name="Ввод  3 78 4" xfId="14125" xr:uid="{00000000-0005-0000-0000-00002A050000}"/>
    <cellStyle name="Ввод  3 79" xfId="886" xr:uid="{00000000-0005-0000-0000-00002B050000}"/>
    <cellStyle name="Ввод  3 79 2" xfId="5622" xr:uid="{00000000-0005-0000-0000-00002C050000}"/>
    <cellStyle name="Ввод  3 79 3" xfId="9890" xr:uid="{00000000-0005-0000-0000-00002D050000}"/>
    <cellStyle name="Ввод  3 79 4" xfId="14126" xr:uid="{00000000-0005-0000-0000-00002E050000}"/>
    <cellStyle name="Ввод  3 8" xfId="887" xr:uid="{00000000-0005-0000-0000-00002F050000}"/>
    <cellStyle name="Ввод  3 8 2" xfId="5623" xr:uid="{00000000-0005-0000-0000-000030050000}"/>
    <cellStyle name="Ввод  3 8 3" xfId="9891" xr:uid="{00000000-0005-0000-0000-000031050000}"/>
    <cellStyle name="Ввод  3 8 4" xfId="14127" xr:uid="{00000000-0005-0000-0000-000032050000}"/>
    <cellStyle name="Ввод  3 80" xfId="888" xr:uid="{00000000-0005-0000-0000-000033050000}"/>
    <cellStyle name="Ввод  3 80 2" xfId="5624" xr:uid="{00000000-0005-0000-0000-000034050000}"/>
    <cellStyle name="Ввод  3 80 3" xfId="9892" xr:uid="{00000000-0005-0000-0000-000035050000}"/>
    <cellStyle name="Ввод  3 80 4" xfId="14128" xr:uid="{00000000-0005-0000-0000-000036050000}"/>
    <cellStyle name="Ввод  3 81" xfId="889" xr:uid="{00000000-0005-0000-0000-000037050000}"/>
    <cellStyle name="Ввод  3 81 2" xfId="5625" xr:uid="{00000000-0005-0000-0000-000038050000}"/>
    <cellStyle name="Ввод  3 81 3" xfId="9893" xr:uid="{00000000-0005-0000-0000-000039050000}"/>
    <cellStyle name="Ввод  3 81 4" xfId="14129" xr:uid="{00000000-0005-0000-0000-00003A050000}"/>
    <cellStyle name="Ввод  3 82" xfId="890" xr:uid="{00000000-0005-0000-0000-00003B050000}"/>
    <cellStyle name="Ввод  3 82 2" xfId="5626" xr:uid="{00000000-0005-0000-0000-00003C050000}"/>
    <cellStyle name="Ввод  3 82 3" xfId="9894" xr:uid="{00000000-0005-0000-0000-00003D050000}"/>
    <cellStyle name="Ввод  3 82 4" xfId="14130" xr:uid="{00000000-0005-0000-0000-00003E050000}"/>
    <cellStyle name="Ввод  3 83" xfId="891" xr:uid="{00000000-0005-0000-0000-00003F050000}"/>
    <cellStyle name="Ввод  3 83 2" xfId="5627" xr:uid="{00000000-0005-0000-0000-000040050000}"/>
    <cellStyle name="Ввод  3 83 3" xfId="9895" xr:uid="{00000000-0005-0000-0000-000041050000}"/>
    <cellStyle name="Ввод  3 83 4" xfId="14131" xr:uid="{00000000-0005-0000-0000-000042050000}"/>
    <cellStyle name="Ввод  3 84" xfId="892" xr:uid="{00000000-0005-0000-0000-000043050000}"/>
    <cellStyle name="Ввод  3 84 2" xfId="5628" xr:uid="{00000000-0005-0000-0000-000044050000}"/>
    <cellStyle name="Ввод  3 84 3" xfId="9896" xr:uid="{00000000-0005-0000-0000-000045050000}"/>
    <cellStyle name="Ввод  3 84 4" xfId="14132" xr:uid="{00000000-0005-0000-0000-000046050000}"/>
    <cellStyle name="Ввод  3 85" xfId="893" xr:uid="{00000000-0005-0000-0000-000047050000}"/>
    <cellStyle name="Ввод  3 85 2" xfId="5629" xr:uid="{00000000-0005-0000-0000-000048050000}"/>
    <cellStyle name="Ввод  3 85 3" xfId="9897" xr:uid="{00000000-0005-0000-0000-000049050000}"/>
    <cellStyle name="Ввод  3 85 4" xfId="14133" xr:uid="{00000000-0005-0000-0000-00004A050000}"/>
    <cellStyle name="Ввод  3 86" xfId="894" xr:uid="{00000000-0005-0000-0000-00004B050000}"/>
    <cellStyle name="Ввод  3 86 2" xfId="5630" xr:uid="{00000000-0005-0000-0000-00004C050000}"/>
    <cellStyle name="Ввод  3 86 3" xfId="9898" xr:uid="{00000000-0005-0000-0000-00004D050000}"/>
    <cellStyle name="Ввод  3 86 4" xfId="14134" xr:uid="{00000000-0005-0000-0000-00004E050000}"/>
    <cellStyle name="Ввод  3 87" xfId="895" xr:uid="{00000000-0005-0000-0000-00004F050000}"/>
    <cellStyle name="Ввод  3 87 2" xfId="5631" xr:uid="{00000000-0005-0000-0000-000050050000}"/>
    <cellStyle name="Ввод  3 87 3" xfId="9899" xr:uid="{00000000-0005-0000-0000-000051050000}"/>
    <cellStyle name="Ввод  3 87 4" xfId="14135" xr:uid="{00000000-0005-0000-0000-000052050000}"/>
    <cellStyle name="Ввод  3 88" xfId="896" xr:uid="{00000000-0005-0000-0000-000053050000}"/>
    <cellStyle name="Ввод  3 88 2" xfId="5632" xr:uid="{00000000-0005-0000-0000-000054050000}"/>
    <cellStyle name="Ввод  3 88 3" xfId="9900" xr:uid="{00000000-0005-0000-0000-000055050000}"/>
    <cellStyle name="Ввод  3 88 4" xfId="14136" xr:uid="{00000000-0005-0000-0000-000056050000}"/>
    <cellStyle name="Ввод  3 89" xfId="897" xr:uid="{00000000-0005-0000-0000-000057050000}"/>
    <cellStyle name="Ввод  3 89 2" xfId="5633" xr:uid="{00000000-0005-0000-0000-000058050000}"/>
    <cellStyle name="Ввод  3 89 3" xfId="9901" xr:uid="{00000000-0005-0000-0000-000059050000}"/>
    <cellStyle name="Ввод  3 89 4" xfId="14137" xr:uid="{00000000-0005-0000-0000-00005A050000}"/>
    <cellStyle name="Ввод  3 9" xfId="898" xr:uid="{00000000-0005-0000-0000-00005B050000}"/>
    <cellStyle name="Ввод  3 9 2" xfId="5634" xr:uid="{00000000-0005-0000-0000-00005C050000}"/>
    <cellStyle name="Ввод  3 9 3" xfId="9902" xr:uid="{00000000-0005-0000-0000-00005D050000}"/>
    <cellStyle name="Ввод  3 9 4" xfId="14138" xr:uid="{00000000-0005-0000-0000-00005E050000}"/>
    <cellStyle name="Ввод  3 90" xfId="899" xr:uid="{00000000-0005-0000-0000-00005F050000}"/>
    <cellStyle name="Ввод  3 90 2" xfId="5635" xr:uid="{00000000-0005-0000-0000-000060050000}"/>
    <cellStyle name="Ввод  3 90 3" xfId="9903" xr:uid="{00000000-0005-0000-0000-000061050000}"/>
    <cellStyle name="Ввод  3 90 4" xfId="14139" xr:uid="{00000000-0005-0000-0000-000062050000}"/>
    <cellStyle name="Ввод  3 91" xfId="900" xr:uid="{00000000-0005-0000-0000-000063050000}"/>
    <cellStyle name="Ввод  3 91 2" xfId="5636" xr:uid="{00000000-0005-0000-0000-000064050000}"/>
    <cellStyle name="Ввод  3 91 3" xfId="9904" xr:uid="{00000000-0005-0000-0000-000065050000}"/>
    <cellStyle name="Ввод  3 91 4" xfId="14140" xr:uid="{00000000-0005-0000-0000-000066050000}"/>
    <cellStyle name="Ввод  3 92" xfId="5179" xr:uid="{00000000-0005-0000-0000-000067050000}"/>
    <cellStyle name="Ввод  3 93" xfId="5264" xr:uid="{00000000-0005-0000-0000-000068050000}"/>
    <cellStyle name="Ввод  3 94" xfId="8805" xr:uid="{00000000-0005-0000-0000-000069050000}"/>
    <cellStyle name="Ввод  4" xfId="226" xr:uid="{00000000-0005-0000-0000-00006A050000}"/>
    <cellStyle name="Ввод  4 10" xfId="901" xr:uid="{00000000-0005-0000-0000-00006B050000}"/>
    <cellStyle name="Ввод  4 10 2" xfId="5637" xr:uid="{00000000-0005-0000-0000-00006C050000}"/>
    <cellStyle name="Ввод  4 10 3" xfId="9905" xr:uid="{00000000-0005-0000-0000-00006D050000}"/>
    <cellStyle name="Ввод  4 10 4" xfId="14141" xr:uid="{00000000-0005-0000-0000-00006E050000}"/>
    <cellStyle name="Ввод  4 11" xfId="902" xr:uid="{00000000-0005-0000-0000-00006F050000}"/>
    <cellStyle name="Ввод  4 11 2" xfId="5638" xr:uid="{00000000-0005-0000-0000-000070050000}"/>
    <cellStyle name="Ввод  4 11 3" xfId="9906" xr:uid="{00000000-0005-0000-0000-000071050000}"/>
    <cellStyle name="Ввод  4 11 4" xfId="14142" xr:uid="{00000000-0005-0000-0000-000072050000}"/>
    <cellStyle name="Ввод  4 12" xfId="903" xr:uid="{00000000-0005-0000-0000-000073050000}"/>
    <cellStyle name="Ввод  4 12 2" xfId="5639" xr:uid="{00000000-0005-0000-0000-000074050000}"/>
    <cellStyle name="Ввод  4 12 3" xfId="9907" xr:uid="{00000000-0005-0000-0000-000075050000}"/>
    <cellStyle name="Ввод  4 12 4" xfId="14143" xr:uid="{00000000-0005-0000-0000-000076050000}"/>
    <cellStyle name="Ввод  4 13" xfId="904" xr:uid="{00000000-0005-0000-0000-000077050000}"/>
    <cellStyle name="Ввод  4 13 2" xfId="5640" xr:uid="{00000000-0005-0000-0000-000078050000}"/>
    <cellStyle name="Ввод  4 13 3" xfId="9908" xr:uid="{00000000-0005-0000-0000-000079050000}"/>
    <cellStyle name="Ввод  4 13 4" xfId="14144" xr:uid="{00000000-0005-0000-0000-00007A050000}"/>
    <cellStyle name="Ввод  4 14" xfId="905" xr:uid="{00000000-0005-0000-0000-00007B050000}"/>
    <cellStyle name="Ввод  4 14 2" xfId="5641" xr:uid="{00000000-0005-0000-0000-00007C050000}"/>
    <cellStyle name="Ввод  4 14 3" xfId="9909" xr:uid="{00000000-0005-0000-0000-00007D050000}"/>
    <cellStyle name="Ввод  4 14 4" xfId="14145" xr:uid="{00000000-0005-0000-0000-00007E050000}"/>
    <cellStyle name="Ввод  4 15" xfId="906" xr:uid="{00000000-0005-0000-0000-00007F050000}"/>
    <cellStyle name="Ввод  4 15 2" xfId="5642" xr:uid="{00000000-0005-0000-0000-000080050000}"/>
    <cellStyle name="Ввод  4 15 3" xfId="9910" xr:uid="{00000000-0005-0000-0000-000081050000}"/>
    <cellStyle name="Ввод  4 15 4" xfId="14146" xr:uid="{00000000-0005-0000-0000-000082050000}"/>
    <cellStyle name="Ввод  4 16" xfId="907" xr:uid="{00000000-0005-0000-0000-000083050000}"/>
    <cellStyle name="Ввод  4 16 2" xfId="5643" xr:uid="{00000000-0005-0000-0000-000084050000}"/>
    <cellStyle name="Ввод  4 16 3" xfId="9911" xr:uid="{00000000-0005-0000-0000-000085050000}"/>
    <cellStyle name="Ввод  4 16 4" xfId="14147" xr:uid="{00000000-0005-0000-0000-000086050000}"/>
    <cellStyle name="Ввод  4 17" xfId="908" xr:uid="{00000000-0005-0000-0000-000087050000}"/>
    <cellStyle name="Ввод  4 17 2" xfId="5644" xr:uid="{00000000-0005-0000-0000-000088050000}"/>
    <cellStyle name="Ввод  4 17 3" xfId="9912" xr:uid="{00000000-0005-0000-0000-000089050000}"/>
    <cellStyle name="Ввод  4 17 4" xfId="14148" xr:uid="{00000000-0005-0000-0000-00008A050000}"/>
    <cellStyle name="Ввод  4 18" xfId="909" xr:uid="{00000000-0005-0000-0000-00008B050000}"/>
    <cellStyle name="Ввод  4 18 2" xfId="5645" xr:uid="{00000000-0005-0000-0000-00008C050000}"/>
    <cellStyle name="Ввод  4 18 3" xfId="9913" xr:uid="{00000000-0005-0000-0000-00008D050000}"/>
    <cellStyle name="Ввод  4 18 4" xfId="14149" xr:uid="{00000000-0005-0000-0000-00008E050000}"/>
    <cellStyle name="Ввод  4 19" xfId="910" xr:uid="{00000000-0005-0000-0000-00008F050000}"/>
    <cellStyle name="Ввод  4 19 2" xfId="5646" xr:uid="{00000000-0005-0000-0000-000090050000}"/>
    <cellStyle name="Ввод  4 19 3" xfId="9914" xr:uid="{00000000-0005-0000-0000-000091050000}"/>
    <cellStyle name="Ввод  4 19 4" xfId="14150" xr:uid="{00000000-0005-0000-0000-000092050000}"/>
    <cellStyle name="Ввод  4 2" xfId="911" xr:uid="{00000000-0005-0000-0000-000093050000}"/>
    <cellStyle name="Ввод  4 2 2" xfId="912" xr:uid="{00000000-0005-0000-0000-000094050000}"/>
    <cellStyle name="Ввод  4 2 2 2" xfId="5648" xr:uid="{00000000-0005-0000-0000-000095050000}"/>
    <cellStyle name="Ввод  4 2 2 3" xfId="9916" xr:uid="{00000000-0005-0000-0000-000096050000}"/>
    <cellStyle name="Ввод  4 2 2 4" xfId="14152" xr:uid="{00000000-0005-0000-0000-000097050000}"/>
    <cellStyle name="Ввод  4 2 3" xfId="913" xr:uid="{00000000-0005-0000-0000-000098050000}"/>
    <cellStyle name="Ввод  4 2 3 2" xfId="5649" xr:uid="{00000000-0005-0000-0000-000099050000}"/>
    <cellStyle name="Ввод  4 2 3 3" xfId="9917" xr:uid="{00000000-0005-0000-0000-00009A050000}"/>
    <cellStyle name="Ввод  4 2 3 4" xfId="14153" xr:uid="{00000000-0005-0000-0000-00009B050000}"/>
    <cellStyle name="Ввод  4 2 4" xfId="5647" xr:uid="{00000000-0005-0000-0000-00009C050000}"/>
    <cellStyle name="Ввод  4 2 5" xfId="9915" xr:uid="{00000000-0005-0000-0000-00009D050000}"/>
    <cellStyle name="Ввод  4 2 6" xfId="14151" xr:uid="{00000000-0005-0000-0000-00009E050000}"/>
    <cellStyle name="Ввод  4 20" xfId="914" xr:uid="{00000000-0005-0000-0000-00009F050000}"/>
    <cellStyle name="Ввод  4 20 2" xfId="5650" xr:uid="{00000000-0005-0000-0000-0000A0050000}"/>
    <cellStyle name="Ввод  4 20 3" xfId="9918" xr:uid="{00000000-0005-0000-0000-0000A1050000}"/>
    <cellStyle name="Ввод  4 20 4" xfId="14154" xr:uid="{00000000-0005-0000-0000-0000A2050000}"/>
    <cellStyle name="Ввод  4 21" xfId="915" xr:uid="{00000000-0005-0000-0000-0000A3050000}"/>
    <cellStyle name="Ввод  4 21 2" xfId="5651" xr:uid="{00000000-0005-0000-0000-0000A4050000}"/>
    <cellStyle name="Ввод  4 21 3" xfId="9919" xr:uid="{00000000-0005-0000-0000-0000A5050000}"/>
    <cellStyle name="Ввод  4 21 4" xfId="14155" xr:uid="{00000000-0005-0000-0000-0000A6050000}"/>
    <cellStyle name="Ввод  4 22" xfId="916" xr:uid="{00000000-0005-0000-0000-0000A7050000}"/>
    <cellStyle name="Ввод  4 22 2" xfId="5652" xr:uid="{00000000-0005-0000-0000-0000A8050000}"/>
    <cellStyle name="Ввод  4 22 3" xfId="9920" xr:uid="{00000000-0005-0000-0000-0000A9050000}"/>
    <cellStyle name="Ввод  4 22 4" xfId="14156" xr:uid="{00000000-0005-0000-0000-0000AA050000}"/>
    <cellStyle name="Ввод  4 23" xfId="917" xr:uid="{00000000-0005-0000-0000-0000AB050000}"/>
    <cellStyle name="Ввод  4 23 2" xfId="5653" xr:uid="{00000000-0005-0000-0000-0000AC050000}"/>
    <cellStyle name="Ввод  4 23 3" xfId="9921" xr:uid="{00000000-0005-0000-0000-0000AD050000}"/>
    <cellStyle name="Ввод  4 23 4" xfId="14157" xr:uid="{00000000-0005-0000-0000-0000AE050000}"/>
    <cellStyle name="Ввод  4 24" xfId="918" xr:uid="{00000000-0005-0000-0000-0000AF050000}"/>
    <cellStyle name="Ввод  4 24 2" xfId="5654" xr:uid="{00000000-0005-0000-0000-0000B0050000}"/>
    <cellStyle name="Ввод  4 24 3" xfId="9922" xr:uid="{00000000-0005-0000-0000-0000B1050000}"/>
    <cellStyle name="Ввод  4 24 4" xfId="14158" xr:uid="{00000000-0005-0000-0000-0000B2050000}"/>
    <cellStyle name="Ввод  4 25" xfId="919" xr:uid="{00000000-0005-0000-0000-0000B3050000}"/>
    <cellStyle name="Ввод  4 25 2" xfId="5655" xr:uid="{00000000-0005-0000-0000-0000B4050000}"/>
    <cellStyle name="Ввод  4 25 3" xfId="9923" xr:uid="{00000000-0005-0000-0000-0000B5050000}"/>
    <cellStyle name="Ввод  4 25 4" xfId="14159" xr:uid="{00000000-0005-0000-0000-0000B6050000}"/>
    <cellStyle name="Ввод  4 26" xfId="920" xr:uid="{00000000-0005-0000-0000-0000B7050000}"/>
    <cellStyle name="Ввод  4 26 2" xfId="5656" xr:uid="{00000000-0005-0000-0000-0000B8050000}"/>
    <cellStyle name="Ввод  4 26 3" xfId="9924" xr:uid="{00000000-0005-0000-0000-0000B9050000}"/>
    <cellStyle name="Ввод  4 26 4" xfId="14160" xr:uid="{00000000-0005-0000-0000-0000BA050000}"/>
    <cellStyle name="Ввод  4 27" xfId="921" xr:uid="{00000000-0005-0000-0000-0000BB050000}"/>
    <cellStyle name="Ввод  4 27 2" xfId="5657" xr:uid="{00000000-0005-0000-0000-0000BC050000}"/>
    <cellStyle name="Ввод  4 27 3" xfId="9925" xr:uid="{00000000-0005-0000-0000-0000BD050000}"/>
    <cellStyle name="Ввод  4 27 4" xfId="14161" xr:uid="{00000000-0005-0000-0000-0000BE050000}"/>
    <cellStyle name="Ввод  4 28" xfId="922" xr:uid="{00000000-0005-0000-0000-0000BF050000}"/>
    <cellStyle name="Ввод  4 28 2" xfId="5658" xr:uid="{00000000-0005-0000-0000-0000C0050000}"/>
    <cellStyle name="Ввод  4 28 3" xfId="9926" xr:uid="{00000000-0005-0000-0000-0000C1050000}"/>
    <cellStyle name="Ввод  4 28 4" xfId="14162" xr:uid="{00000000-0005-0000-0000-0000C2050000}"/>
    <cellStyle name="Ввод  4 29" xfId="923" xr:uid="{00000000-0005-0000-0000-0000C3050000}"/>
    <cellStyle name="Ввод  4 29 2" xfId="5659" xr:uid="{00000000-0005-0000-0000-0000C4050000}"/>
    <cellStyle name="Ввод  4 29 3" xfId="9927" xr:uid="{00000000-0005-0000-0000-0000C5050000}"/>
    <cellStyle name="Ввод  4 29 4" xfId="14163" xr:uid="{00000000-0005-0000-0000-0000C6050000}"/>
    <cellStyle name="Ввод  4 3" xfId="924" xr:uid="{00000000-0005-0000-0000-0000C7050000}"/>
    <cellStyle name="Ввод  4 3 2" xfId="925" xr:uid="{00000000-0005-0000-0000-0000C8050000}"/>
    <cellStyle name="Ввод  4 3 2 2" xfId="5661" xr:uid="{00000000-0005-0000-0000-0000C9050000}"/>
    <cellStyle name="Ввод  4 3 2 3" xfId="9929" xr:uid="{00000000-0005-0000-0000-0000CA050000}"/>
    <cellStyle name="Ввод  4 3 2 4" xfId="14165" xr:uid="{00000000-0005-0000-0000-0000CB050000}"/>
    <cellStyle name="Ввод  4 3 3" xfId="926" xr:uid="{00000000-0005-0000-0000-0000CC050000}"/>
    <cellStyle name="Ввод  4 3 3 2" xfId="5662" xr:uid="{00000000-0005-0000-0000-0000CD050000}"/>
    <cellStyle name="Ввод  4 3 3 3" xfId="9930" xr:uid="{00000000-0005-0000-0000-0000CE050000}"/>
    <cellStyle name="Ввод  4 3 3 4" xfId="14166" xr:uid="{00000000-0005-0000-0000-0000CF050000}"/>
    <cellStyle name="Ввод  4 3 4" xfId="5660" xr:uid="{00000000-0005-0000-0000-0000D0050000}"/>
    <cellStyle name="Ввод  4 3 5" xfId="9928" xr:uid="{00000000-0005-0000-0000-0000D1050000}"/>
    <cellStyle name="Ввод  4 3 6" xfId="14164" xr:uid="{00000000-0005-0000-0000-0000D2050000}"/>
    <cellStyle name="Ввод  4 30" xfId="927" xr:uid="{00000000-0005-0000-0000-0000D3050000}"/>
    <cellStyle name="Ввод  4 30 2" xfId="5663" xr:uid="{00000000-0005-0000-0000-0000D4050000}"/>
    <cellStyle name="Ввод  4 30 3" xfId="9931" xr:uid="{00000000-0005-0000-0000-0000D5050000}"/>
    <cellStyle name="Ввод  4 30 4" xfId="14167" xr:uid="{00000000-0005-0000-0000-0000D6050000}"/>
    <cellStyle name="Ввод  4 31" xfId="928" xr:uid="{00000000-0005-0000-0000-0000D7050000}"/>
    <cellStyle name="Ввод  4 31 2" xfId="5664" xr:uid="{00000000-0005-0000-0000-0000D8050000}"/>
    <cellStyle name="Ввод  4 31 3" xfId="9932" xr:uid="{00000000-0005-0000-0000-0000D9050000}"/>
    <cellStyle name="Ввод  4 31 4" xfId="14168" xr:uid="{00000000-0005-0000-0000-0000DA050000}"/>
    <cellStyle name="Ввод  4 32" xfId="929" xr:uid="{00000000-0005-0000-0000-0000DB050000}"/>
    <cellStyle name="Ввод  4 32 2" xfId="5665" xr:uid="{00000000-0005-0000-0000-0000DC050000}"/>
    <cellStyle name="Ввод  4 32 3" xfId="9933" xr:uid="{00000000-0005-0000-0000-0000DD050000}"/>
    <cellStyle name="Ввод  4 32 4" xfId="14169" xr:uid="{00000000-0005-0000-0000-0000DE050000}"/>
    <cellStyle name="Ввод  4 33" xfId="930" xr:uid="{00000000-0005-0000-0000-0000DF050000}"/>
    <cellStyle name="Ввод  4 33 2" xfId="5666" xr:uid="{00000000-0005-0000-0000-0000E0050000}"/>
    <cellStyle name="Ввод  4 33 3" xfId="9934" xr:uid="{00000000-0005-0000-0000-0000E1050000}"/>
    <cellStyle name="Ввод  4 33 4" xfId="14170" xr:uid="{00000000-0005-0000-0000-0000E2050000}"/>
    <cellStyle name="Ввод  4 34" xfId="931" xr:uid="{00000000-0005-0000-0000-0000E3050000}"/>
    <cellStyle name="Ввод  4 34 2" xfId="5667" xr:uid="{00000000-0005-0000-0000-0000E4050000}"/>
    <cellStyle name="Ввод  4 34 3" xfId="9935" xr:uid="{00000000-0005-0000-0000-0000E5050000}"/>
    <cellStyle name="Ввод  4 34 4" xfId="14171" xr:uid="{00000000-0005-0000-0000-0000E6050000}"/>
    <cellStyle name="Ввод  4 35" xfId="932" xr:uid="{00000000-0005-0000-0000-0000E7050000}"/>
    <cellStyle name="Ввод  4 35 2" xfId="5668" xr:uid="{00000000-0005-0000-0000-0000E8050000}"/>
    <cellStyle name="Ввод  4 35 3" xfId="9936" xr:uid="{00000000-0005-0000-0000-0000E9050000}"/>
    <cellStyle name="Ввод  4 35 4" xfId="14172" xr:uid="{00000000-0005-0000-0000-0000EA050000}"/>
    <cellStyle name="Ввод  4 36" xfId="933" xr:uid="{00000000-0005-0000-0000-0000EB050000}"/>
    <cellStyle name="Ввод  4 36 2" xfId="5669" xr:uid="{00000000-0005-0000-0000-0000EC050000}"/>
    <cellStyle name="Ввод  4 36 3" xfId="9937" xr:uid="{00000000-0005-0000-0000-0000ED050000}"/>
    <cellStyle name="Ввод  4 36 4" xfId="14173" xr:uid="{00000000-0005-0000-0000-0000EE050000}"/>
    <cellStyle name="Ввод  4 37" xfId="934" xr:uid="{00000000-0005-0000-0000-0000EF050000}"/>
    <cellStyle name="Ввод  4 37 2" xfId="5670" xr:uid="{00000000-0005-0000-0000-0000F0050000}"/>
    <cellStyle name="Ввод  4 37 3" xfId="9938" xr:uid="{00000000-0005-0000-0000-0000F1050000}"/>
    <cellStyle name="Ввод  4 37 4" xfId="14174" xr:uid="{00000000-0005-0000-0000-0000F2050000}"/>
    <cellStyle name="Ввод  4 38" xfId="935" xr:uid="{00000000-0005-0000-0000-0000F3050000}"/>
    <cellStyle name="Ввод  4 38 2" xfId="5671" xr:uid="{00000000-0005-0000-0000-0000F4050000}"/>
    <cellStyle name="Ввод  4 38 3" xfId="9939" xr:uid="{00000000-0005-0000-0000-0000F5050000}"/>
    <cellStyle name="Ввод  4 38 4" xfId="14175" xr:uid="{00000000-0005-0000-0000-0000F6050000}"/>
    <cellStyle name="Ввод  4 39" xfId="936" xr:uid="{00000000-0005-0000-0000-0000F7050000}"/>
    <cellStyle name="Ввод  4 39 2" xfId="5672" xr:uid="{00000000-0005-0000-0000-0000F8050000}"/>
    <cellStyle name="Ввод  4 39 3" xfId="9940" xr:uid="{00000000-0005-0000-0000-0000F9050000}"/>
    <cellStyle name="Ввод  4 39 4" xfId="14176" xr:uid="{00000000-0005-0000-0000-0000FA050000}"/>
    <cellStyle name="Ввод  4 4" xfId="937" xr:uid="{00000000-0005-0000-0000-0000FB050000}"/>
    <cellStyle name="Ввод  4 4 2" xfId="938" xr:uid="{00000000-0005-0000-0000-0000FC050000}"/>
    <cellStyle name="Ввод  4 4 2 2" xfId="5674" xr:uid="{00000000-0005-0000-0000-0000FD050000}"/>
    <cellStyle name="Ввод  4 4 2 3" xfId="9942" xr:uid="{00000000-0005-0000-0000-0000FE050000}"/>
    <cellStyle name="Ввод  4 4 2 4" xfId="14178" xr:uid="{00000000-0005-0000-0000-0000FF050000}"/>
    <cellStyle name="Ввод  4 4 3" xfId="939" xr:uid="{00000000-0005-0000-0000-000000060000}"/>
    <cellStyle name="Ввод  4 4 3 2" xfId="5675" xr:uid="{00000000-0005-0000-0000-000001060000}"/>
    <cellStyle name="Ввод  4 4 3 3" xfId="9943" xr:uid="{00000000-0005-0000-0000-000002060000}"/>
    <cellStyle name="Ввод  4 4 3 4" xfId="14179" xr:uid="{00000000-0005-0000-0000-000003060000}"/>
    <cellStyle name="Ввод  4 4 4" xfId="5673" xr:uid="{00000000-0005-0000-0000-000004060000}"/>
    <cellStyle name="Ввод  4 4 5" xfId="9941" xr:uid="{00000000-0005-0000-0000-000005060000}"/>
    <cellStyle name="Ввод  4 4 6" xfId="14177" xr:uid="{00000000-0005-0000-0000-000006060000}"/>
    <cellStyle name="Ввод  4 40" xfId="940" xr:uid="{00000000-0005-0000-0000-000007060000}"/>
    <cellStyle name="Ввод  4 40 2" xfId="5676" xr:uid="{00000000-0005-0000-0000-000008060000}"/>
    <cellStyle name="Ввод  4 40 3" xfId="9944" xr:uid="{00000000-0005-0000-0000-000009060000}"/>
    <cellStyle name="Ввод  4 40 4" xfId="14180" xr:uid="{00000000-0005-0000-0000-00000A060000}"/>
    <cellStyle name="Ввод  4 41" xfId="941" xr:uid="{00000000-0005-0000-0000-00000B060000}"/>
    <cellStyle name="Ввод  4 41 2" xfId="5677" xr:uid="{00000000-0005-0000-0000-00000C060000}"/>
    <cellStyle name="Ввод  4 41 3" xfId="9945" xr:uid="{00000000-0005-0000-0000-00000D060000}"/>
    <cellStyle name="Ввод  4 41 4" xfId="14181" xr:uid="{00000000-0005-0000-0000-00000E060000}"/>
    <cellStyle name="Ввод  4 42" xfId="942" xr:uid="{00000000-0005-0000-0000-00000F060000}"/>
    <cellStyle name="Ввод  4 42 2" xfId="5678" xr:uid="{00000000-0005-0000-0000-000010060000}"/>
    <cellStyle name="Ввод  4 42 3" xfId="9946" xr:uid="{00000000-0005-0000-0000-000011060000}"/>
    <cellStyle name="Ввод  4 42 4" xfId="14182" xr:uid="{00000000-0005-0000-0000-000012060000}"/>
    <cellStyle name="Ввод  4 43" xfId="943" xr:uid="{00000000-0005-0000-0000-000013060000}"/>
    <cellStyle name="Ввод  4 43 2" xfId="5679" xr:uid="{00000000-0005-0000-0000-000014060000}"/>
    <cellStyle name="Ввод  4 43 3" xfId="9947" xr:uid="{00000000-0005-0000-0000-000015060000}"/>
    <cellStyle name="Ввод  4 43 4" xfId="14183" xr:uid="{00000000-0005-0000-0000-000016060000}"/>
    <cellStyle name="Ввод  4 44" xfId="944" xr:uid="{00000000-0005-0000-0000-000017060000}"/>
    <cellStyle name="Ввод  4 44 2" xfId="5680" xr:uid="{00000000-0005-0000-0000-000018060000}"/>
    <cellStyle name="Ввод  4 44 3" xfId="9948" xr:uid="{00000000-0005-0000-0000-000019060000}"/>
    <cellStyle name="Ввод  4 44 4" xfId="14184" xr:uid="{00000000-0005-0000-0000-00001A060000}"/>
    <cellStyle name="Ввод  4 45" xfId="945" xr:uid="{00000000-0005-0000-0000-00001B060000}"/>
    <cellStyle name="Ввод  4 45 2" xfId="5681" xr:uid="{00000000-0005-0000-0000-00001C060000}"/>
    <cellStyle name="Ввод  4 45 3" xfId="9949" xr:uid="{00000000-0005-0000-0000-00001D060000}"/>
    <cellStyle name="Ввод  4 45 4" xfId="14185" xr:uid="{00000000-0005-0000-0000-00001E060000}"/>
    <cellStyle name="Ввод  4 46" xfId="946" xr:uid="{00000000-0005-0000-0000-00001F060000}"/>
    <cellStyle name="Ввод  4 46 2" xfId="5682" xr:uid="{00000000-0005-0000-0000-000020060000}"/>
    <cellStyle name="Ввод  4 46 3" xfId="9950" xr:uid="{00000000-0005-0000-0000-000021060000}"/>
    <cellStyle name="Ввод  4 46 4" xfId="14186" xr:uid="{00000000-0005-0000-0000-000022060000}"/>
    <cellStyle name="Ввод  4 47" xfId="947" xr:uid="{00000000-0005-0000-0000-000023060000}"/>
    <cellStyle name="Ввод  4 47 2" xfId="5683" xr:uid="{00000000-0005-0000-0000-000024060000}"/>
    <cellStyle name="Ввод  4 47 3" xfId="9951" xr:uid="{00000000-0005-0000-0000-000025060000}"/>
    <cellStyle name="Ввод  4 47 4" xfId="14187" xr:uid="{00000000-0005-0000-0000-000026060000}"/>
    <cellStyle name="Ввод  4 48" xfId="948" xr:uid="{00000000-0005-0000-0000-000027060000}"/>
    <cellStyle name="Ввод  4 48 2" xfId="5684" xr:uid="{00000000-0005-0000-0000-000028060000}"/>
    <cellStyle name="Ввод  4 48 3" xfId="9952" xr:uid="{00000000-0005-0000-0000-000029060000}"/>
    <cellStyle name="Ввод  4 48 4" xfId="14188" xr:uid="{00000000-0005-0000-0000-00002A060000}"/>
    <cellStyle name="Ввод  4 49" xfId="949" xr:uid="{00000000-0005-0000-0000-00002B060000}"/>
    <cellStyle name="Ввод  4 49 2" xfId="5685" xr:uid="{00000000-0005-0000-0000-00002C060000}"/>
    <cellStyle name="Ввод  4 49 3" xfId="9953" xr:uid="{00000000-0005-0000-0000-00002D060000}"/>
    <cellStyle name="Ввод  4 49 4" xfId="14189" xr:uid="{00000000-0005-0000-0000-00002E060000}"/>
    <cellStyle name="Ввод  4 5" xfId="950" xr:uid="{00000000-0005-0000-0000-00002F060000}"/>
    <cellStyle name="Ввод  4 5 2" xfId="5686" xr:uid="{00000000-0005-0000-0000-000030060000}"/>
    <cellStyle name="Ввод  4 5 3" xfId="9954" xr:uid="{00000000-0005-0000-0000-000031060000}"/>
    <cellStyle name="Ввод  4 5 4" xfId="14190" xr:uid="{00000000-0005-0000-0000-000032060000}"/>
    <cellStyle name="Ввод  4 50" xfId="951" xr:uid="{00000000-0005-0000-0000-000033060000}"/>
    <cellStyle name="Ввод  4 50 2" xfId="5687" xr:uid="{00000000-0005-0000-0000-000034060000}"/>
    <cellStyle name="Ввод  4 50 3" xfId="9955" xr:uid="{00000000-0005-0000-0000-000035060000}"/>
    <cellStyle name="Ввод  4 50 4" xfId="14191" xr:uid="{00000000-0005-0000-0000-000036060000}"/>
    <cellStyle name="Ввод  4 51" xfId="952" xr:uid="{00000000-0005-0000-0000-000037060000}"/>
    <cellStyle name="Ввод  4 51 2" xfId="5688" xr:uid="{00000000-0005-0000-0000-000038060000}"/>
    <cellStyle name="Ввод  4 51 3" xfId="9956" xr:uid="{00000000-0005-0000-0000-000039060000}"/>
    <cellStyle name="Ввод  4 51 4" xfId="14192" xr:uid="{00000000-0005-0000-0000-00003A060000}"/>
    <cellStyle name="Ввод  4 52" xfId="953" xr:uid="{00000000-0005-0000-0000-00003B060000}"/>
    <cellStyle name="Ввод  4 52 2" xfId="5689" xr:uid="{00000000-0005-0000-0000-00003C060000}"/>
    <cellStyle name="Ввод  4 52 3" xfId="9957" xr:uid="{00000000-0005-0000-0000-00003D060000}"/>
    <cellStyle name="Ввод  4 52 4" xfId="14193" xr:uid="{00000000-0005-0000-0000-00003E060000}"/>
    <cellStyle name="Ввод  4 53" xfId="954" xr:uid="{00000000-0005-0000-0000-00003F060000}"/>
    <cellStyle name="Ввод  4 53 2" xfId="5690" xr:uid="{00000000-0005-0000-0000-000040060000}"/>
    <cellStyle name="Ввод  4 53 3" xfId="9958" xr:uid="{00000000-0005-0000-0000-000041060000}"/>
    <cellStyle name="Ввод  4 53 4" xfId="14194" xr:uid="{00000000-0005-0000-0000-000042060000}"/>
    <cellStyle name="Ввод  4 54" xfId="955" xr:uid="{00000000-0005-0000-0000-000043060000}"/>
    <cellStyle name="Ввод  4 54 2" xfId="5691" xr:uid="{00000000-0005-0000-0000-000044060000}"/>
    <cellStyle name="Ввод  4 54 3" xfId="9959" xr:uid="{00000000-0005-0000-0000-000045060000}"/>
    <cellStyle name="Ввод  4 54 4" xfId="14195" xr:uid="{00000000-0005-0000-0000-000046060000}"/>
    <cellStyle name="Ввод  4 55" xfId="956" xr:uid="{00000000-0005-0000-0000-000047060000}"/>
    <cellStyle name="Ввод  4 55 2" xfId="5692" xr:uid="{00000000-0005-0000-0000-000048060000}"/>
    <cellStyle name="Ввод  4 55 3" xfId="9960" xr:uid="{00000000-0005-0000-0000-000049060000}"/>
    <cellStyle name="Ввод  4 55 4" xfId="14196" xr:uid="{00000000-0005-0000-0000-00004A060000}"/>
    <cellStyle name="Ввод  4 56" xfId="957" xr:uid="{00000000-0005-0000-0000-00004B060000}"/>
    <cellStyle name="Ввод  4 56 2" xfId="5693" xr:uid="{00000000-0005-0000-0000-00004C060000}"/>
    <cellStyle name="Ввод  4 56 3" xfId="9961" xr:uid="{00000000-0005-0000-0000-00004D060000}"/>
    <cellStyle name="Ввод  4 56 4" xfId="14197" xr:uid="{00000000-0005-0000-0000-00004E060000}"/>
    <cellStyle name="Ввод  4 57" xfId="958" xr:uid="{00000000-0005-0000-0000-00004F060000}"/>
    <cellStyle name="Ввод  4 57 2" xfId="5694" xr:uid="{00000000-0005-0000-0000-000050060000}"/>
    <cellStyle name="Ввод  4 57 3" xfId="9962" xr:uid="{00000000-0005-0000-0000-000051060000}"/>
    <cellStyle name="Ввод  4 57 4" xfId="14198" xr:uid="{00000000-0005-0000-0000-000052060000}"/>
    <cellStyle name="Ввод  4 58" xfId="959" xr:uid="{00000000-0005-0000-0000-000053060000}"/>
    <cellStyle name="Ввод  4 58 2" xfId="5695" xr:uid="{00000000-0005-0000-0000-000054060000}"/>
    <cellStyle name="Ввод  4 58 3" xfId="9963" xr:uid="{00000000-0005-0000-0000-000055060000}"/>
    <cellStyle name="Ввод  4 58 4" xfId="14199" xr:uid="{00000000-0005-0000-0000-000056060000}"/>
    <cellStyle name="Ввод  4 59" xfId="960" xr:uid="{00000000-0005-0000-0000-000057060000}"/>
    <cellStyle name="Ввод  4 59 2" xfId="5696" xr:uid="{00000000-0005-0000-0000-000058060000}"/>
    <cellStyle name="Ввод  4 59 3" xfId="9964" xr:uid="{00000000-0005-0000-0000-000059060000}"/>
    <cellStyle name="Ввод  4 59 4" xfId="14200" xr:uid="{00000000-0005-0000-0000-00005A060000}"/>
    <cellStyle name="Ввод  4 6" xfId="961" xr:uid="{00000000-0005-0000-0000-00005B060000}"/>
    <cellStyle name="Ввод  4 6 2" xfId="5697" xr:uid="{00000000-0005-0000-0000-00005C060000}"/>
    <cellStyle name="Ввод  4 6 3" xfId="9965" xr:uid="{00000000-0005-0000-0000-00005D060000}"/>
    <cellStyle name="Ввод  4 6 4" xfId="14201" xr:uid="{00000000-0005-0000-0000-00005E060000}"/>
    <cellStyle name="Ввод  4 60" xfId="962" xr:uid="{00000000-0005-0000-0000-00005F060000}"/>
    <cellStyle name="Ввод  4 60 2" xfId="5698" xr:uid="{00000000-0005-0000-0000-000060060000}"/>
    <cellStyle name="Ввод  4 60 3" xfId="9966" xr:uid="{00000000-0005-0000-0000-000061060000}"/>
    <cellStyle name="Ввод  4 60 4" xfId="14202" xr:uid="{00000000-0005-0000-0000-000062060000}"/>
    <cellStyle name="Ввод  4 61" xfId="963" xr:uid="{00000000-0005-0000-0000-000063060000}"/>
    <cellStyle name="Ввод  4 61 2" xfId="5699" xr:uid="{00000000-0005-0000-0000-000064060000}"/>
    <cellStyle name="Ввод  4 61 3" xfId="9967" xr:uid="{00000000-0005-0000-0000-000065060000}"/>
    <cellStyle name="Ввод  4 61 4" xfId="14203" xr:uid="{00000000-0005-0000-0000-000066060000}"/>
    <cellStyle name="Ввод  4 62" xfId="964" xr:uid="{00000000-0005-0000-0000-000067060000}"/>
    <cellStyle name="Ввод  4 62 2" xfId="5700" xr:uid="{00000000-0005-0000-0000-000068060000}"/>
    <cellStyle name="Ввод  4 62 3" xfId="9968" xr:uid="{00000000-0005-0000-0000-000069060000}"/>
    <cellStyle name="Ввод  4 62 4" xfId="14204" xr:uid="{00000000-0005-0000-0000-00006A060000}"/>
    <cellStyle name="Ввод  4 63" xfId="965" xr:uid="{00000000-0005-0000-0000-00006B060000}"/>
    <cellStyle name="Ввод  4 63 2" xfId="5701" xr:uid="{00000000-0005-0000-0000-00006C060000}"/>
    <cellStyle name="Ввод  4 63 3" xfId="9969" xr:uid="{00000000-0005-0000-0000-00006D060000}"/>
    <cellStyle name="Ввод  4 63 4" xfId="14205" xr:uid="{00000000-0005-0000-0000-00006E060000}"/>
    <cellStyle name="Ввод  4 64" xfId="966" xr:uid="{00000000-0005-0000-0000-00006F060000}"/>
    <cellStyle name="Ввод  4 64 2" xfId="5702" xr:uid="{00000000-0005-0000-0000-000070060000}"/>
    <cellStyle name="Ввод  4 64 3" xfId="9970" xr:uid="{00000000-0005-0000-0000-000071060000}"/>
    <cellStyle name="Ввод  4 64 4" xfId="14206" xr:uid="{00000000-0005-0000-0000-000072060000}"/>
    <cellStyle name="Ввод  4 65" xfId="967" xr:uid="{00000000-0005-0000-0000-000073060000}"/>
    <cellStyle name="Ввод  4 65 2" xfId="5703" xr:uid="{00000000-0005-0000-0000-000074060000}"/>
    <cellStyle name="Ввод  4 65 3" xfId="9971" xr:uid="{00000000-0005-0000-0000-000075060000}"/>
    <cellStyle name="Ввод  4 65 4" xfId="14207" xr:uid="{00000000-0005-0000-0000-000076060000}"/>
    <cellStyle name="Ввод  4 66" xfId="968" xr:uid="{00000000-0005-0000-0000-000077060000}"/>
    <cellStyle name="Ввод  4 66 2" xfId="5704" xr:uid="{00000000-0005-0000-0000-000078060000}"/>
    <cellStyle name="Ввод  4 66 3" xfId="9972" xr:uid="{00000000-0005-0000-0000-000079060000}"/>
    <cellStyle name="Ввод  4 66 4" xfId="14208" xr:uid="{00000000-0005-0000-0000-00007A060000}"/>
    <cellStyle name="Ввод  4 67" xfId="969" xr:uid="{00000000-0005-0000-0000-00007B060000}"/>
    <cellStyle name="Ввод  4 67 2" xfId="5705" xr:uid="{00000000-0005-0000-0000-00007C060000}"/>
    <cellStyle name="Ввод  4 67 3" xfId="9973" xr:uid="{00000000-0005-0000-0000-00007D060000}"/>
    <cellStyle name="Ввод  4 67 4" xfId="14209" xr:uid="{00000000-0005-0000-0000-00007E060000}"/>
    <cellStyle name="Ввод  4 68" xfId="970" xr:uid="{00000000-0005-0000-0000-00007F060000}"/>
    <cellStyle name="Ввод  4 68 2" xfId="5706" xr:uid="{00000000-0005-0000-0000-000080060000}"/>
    <cellStyle name="Ввод  4 68 3" xfId="9974" xr:uid="{00000000-0005-0000-0000-000081060000}"/>
    <cellStyle name="Ввод  4 68 4" xfId="14210" xr:uid="{00000000-0005-0000-0000-000082060000}"/>
    <cellStyle name="Ввод  4 69" xfId="971" xr:uid="{00000000-0005-0000-0000-000083060000}"/>
    <cellStyle name="Ввод  4 69 2" xfId="5707" xr:uid="{00000000-0005-0000-0000-000084060000}"/>
    <cellStyle name="Ввод  4 69 3" xfId="9975" xr:uid="{00000000-0005-0000-0000-000085060000}"/>
    <cellStyle name="Ввод  4 69 4" xfId="14211" xr:uid="{00000000-0005-0000-0000-000086060000}"/>
    <cellStyle name="Ввод  4 7" xfId="972" xr:uid="{00000000-0005-0000-0000-000087060000}"/>
    <cellStyle name="Ввод  4 7 2" xfId="5708" xr:uid="{00000000-0005-0000-0000-000088060000}"/>
    <cellStyle name="Ввод  4 7 3" xfId="9976" xr:uid="{00000000-0005-0000-0000-000089060000}"/>
    <cellStyle name="Ввод  4 7 4" xfId="14212" xr:uid="{00000000-0005-0000-0000-00008A060000}"/>
    <cellStyle name="Ввод  4 70" xfId="973" xr:uid="{00000000-0005-0000-0000-00008B060000}"/>
    <cellStyle name="Ввод  4 70 2" xfId="5709" xr:uid="{00000000-0005-0000-0000-00008C060000}"/>
    <cellStyle name="Ввод  4 70 3" xfId="9977" xr:uid="{00000000-0005-0000-0000-00008D060000}"/>
    <cellStyle name="Ввод  4 70 4" xfId="14213" xr:uid="{00000000-0005-0000-0000-00008E060000}"/>
    <cellStyle name="Ввод  4 71" xfId="974" xr:uid="{00000000-0005-0000-0000-00008F060000}"/>
    <cellStyle name="Ввод  4 71 2" xfId="5710" xr:uid="{00000000-0005-0000-0000-000090060000}"/>
    <cellStyle name="Ввод  4 71 3" xfId="9978" xr:uid="{00000000-0005-0000-0000-000091060000}"/>
    <cellStyle name="Ввод  4 71 4" xfId="14214" xr:uid="{00000000-0005-0000-0000-000092060000}"/>
    <cellStyle name="Ввод  4 72" xfId="975" xr:uid="{00000000-0005-0000-0000-000093060000}"/>
    <cellStyle name="Ввод  4 72 2" xfId="5711" xr:uid="{00000000-0005-0000-0000-000094060000}"/>
    <cellStyle name="Ввод  4 72 3" xfId="9979" xr:uid="{00000000-0005-0000-0000-000095060000}"/>
    <cellStyle name="Ввод  4 72 4" xfId="14215" xr:uid="{00000000-0005-0000-0000-000096060000}"/>
    <cellStyle name="Ввод  4 73" xfId="976" xr:uid="{00000000-0005-0000-0000-000097060000}"/>
    <cellStyle name="Ввод  4 73 2" xfId="5712" xr:uid="{00000000-0005-0000-0000-000098060000}"/>
    <cellStyle name="Ввод  4 73 3" xfId="9980" xr:uid="{00000000-0005-0000-0000-000099060000}"/>
    <cellStyle name="Ввод  4 73 4" xfId="14216" xr:uid="{00000000-0005-0000-0000-00009A060000}"/>
    <cellStyle name="Ввод  4 74" xfId="977" xr:uid="{00000000-0005-0000-0000-00009B060000}"/>
    <cellStyle name="Ввод  4 74 2" xfId="5713" xr:uid="{00000000-0005-0000-0000-00009C060000}"/>
    <cellStyle name="Ввод  4 74 3" xfId="9981" xr:uid="{00000000-0005-0000-0000-00009D060000}"/>
    <cellStyle name="Ввод  4 74 4" xfId="14217" xr:uid="{00000000-0005-0000-0000-00009E060000}"/>
    <cellStyle name="Ввод  4 75" xfId="978" xr:uid="{00000000-0005-0000-0000-00009F060000}"/>
    <cellStyle name="Ввод  4 75 2" xfId="5714" xr:uid="{00000000-0005-0000-0000-0000A0060000}"/>
    <cellStyle name="Ввод  4 75 3" xfId="9982" xr:uid="{00000000-0005-0000-0000-0000A1060000}"/>
    <cellStyle name="Ввод  4 75 4" xfId="14218" xr:uid="{00000000-0005-0000-0000-0000A2060000}"/>
    <cellStyle name="Ввод  4 76" xfId="979" xr:uid="{00000000-0005-0000-0000-0000A3060000}"/>
    <cellStyle name="Ввод  4 76 2" xfId="5715" xr:uid="{00000000-0005-0000-0000-0000A4060000}"/>
    <cellStyle name="Ввод  4 76 3" xfId="9983" xr:uid="{00000000-0005-0000-0000-0000A5060000}"/>
    <cellStyle name="Ввод  4 76 4" xfId="14219" xr:uid="{00000000-0005-0000-0000-0000A6060000}"/>
    <cellStyle name="Ввод  4 77" xfId="980" xr:uid="{00000000-0005-0000-0000-0000A7060000}"/>
    <cellStyle name="Ввод  4 77 2" xfId="5716" xr:uid="{00000000-0005-0000-0000-0000A8060000}"/>
    <cellStyle name="Ввод  4 77 3" xfId="9984" xr:uid="{00000000-0005-0000-0000-0000A9060000}"/>
    <cellStyle name="Ввод  4 77 4" xfId="14220" xr:uid="{00000000-0005-0000-0000-0000AA060000}"/>
    <cellStyle name="Ввод  4 78" xfId="981" xr:uid="{00000000-0005-0000-0000-0000AB060000}"/>
    <cellStyle name="Ввод  4 78 2" xfId="5717" xr:uid="{00000000-0005-0000-0000-0000AC060000}"/>
    <cellStyle name="Ввод  4 78 3" xfId="9985" xr:uid="{00000000-0005-0000-0000-0000AD060000}"/>
    <cellStyle name="Ввод  4 78 4" xfId="14221" xr:uid="{00000000-0005-0000-0000-0000AE060000}"/>
    <cellStyle name="Ввод  4 79" xfId="982" xr:uid="{00000000-0005-0000-0000-0000AF060000}"/>
    <cellStyle name="Ввод  4 79 2" xfId="5718" xr:uid="{00000000-0005-0000-0000-0000B0060000}"/>
    <cellStyle name="Ввод  4 79 3" xfId="9986" xr:uid="{00000000-0005-0000-0000-0000B1060000}"/>
    <cellStyle name="Ввод  4 79 4" xfId="14222" xr:uid="{00000000-0005-0000-0000-0000B2060000}"/>
    <cellStyle name="Ввод  4 8" xfId="983" xr:uid="{00000000-0005-0000-0000-0000B3060000}"/>
    <cellStyle name="Ввод  4 8 2" xfId="5719" xr:uid="{00000000-0005-0000-0000-0000B4060000}"/>
    <cellStyle name="Ввод  4 8 3" xfId="9987" xr:uid="{00000000-0005-0000-0000-0000B5060000}"/>
    <cellStyle name="Ввод  4 8 4" xfId="14223" xr:uid="{00000000-0005-0000-0000-0000B6060000}"/>
    <cellStyle name="Ввод  4 80" xfId="984" xr:uid="{00000000-0005-0000-0000-0000B7060000}"/>
    <cellStyle name="Ввод  4 80 2" xfId="5720" xr:uid="{00000000-0005-0000-0000-0000B8060000}"/>
    <cellStyle name="Ввод  4 80 3" xfId="9988" xr:uid="{00000000-0005-0000-0000-0000B9060000}"/>
    <cellStyle name="Ввод  4 80 4" xfId="14224" xr:uid="{00000000-0005-0000-0000-0000BA060000}"/>
    <cellStyle name="Ввод  4 81" xfId="985" xr:uid="{00000000-0005-0000-0000-0000BB060000}"/>
    <cellStyle name="Ввод  4 81 2" xfId="5721" xr:uid="{00000000-0005-0000-0000-0000BC060000}"/>
    <cellStyle name="Ввод  4 81 3" xfId="9989" xr:uid="{00000000-0005-0000-0000-0000BD060000}"/>
    <cellStyle name="Ввод  4 81 4" xfId="14225" xr:uid="{00000000-0005-0000-0000-0000BE060000}"/>
    <cellStyle name="Ввод  4 82" xfId="986" xr:uid="{00000000-0005-0000-0000-0000BF060000}"/>
    <cellStyle name="Ввод  4 82 2" xfId="5722" xr:uid="{00000000-0005-0000-0000-0000C0060000}"/>
    <cellStyle name="Ввод  4 82 3" xfId="9990" xr:uid="{00000000-0005-0000-0000-0000C1060000}"/>
    <cellStyle name="Ввод  4 82 4" xfId="14226" xr:uid="{00000000-0005-0000-0000-0000C2060000}"/>
    <cellStyle name="Ввод  4 83" xfId="987" xr:uid="{00000000-0005-0000-0000-0000C3060000}"/>
    <cellStyle name="Ввод  4 83 2" xfId="5723" xr:uid="{00000000-0005-0000-0000-0000C4060000}"/>
    <cellStyle name="Ввод  4 83 3" xfId="9991" xr:uid="{00000000-0005-0000-0000-0000C5060000}"/>
    <cellStyle name="Ввод  4 83 4" xfId="14227" xr:uid="{00000000-0005-0000-0000-0000C6060000}"/>
    <cellStyle name="Ввод  4 84" xfId="988" xr:uid="{00000000-0005-0000-0000-0000C7060000}"/>
    <cellStyle name="Ввод  4 84 2" xfId="5724" xr:uid="{00000000-0005-0000-0000-0000C8060000}"/>
    <cellStyle name="Ввод  4 84 3" xfId="9992" xr:uid="{00000000-0005-0000-0000-0000C9060000}"/>
    <cellStyle name="Ввод  4 84 4" xfId="14228" xr:uid="{00000000-0005-0000-0000-0000CA060000}"/>
    <cellStyle name="Ввод  4 85" xfId="989" xr:uid="{00000000-0005-0000-0000-0000CB060000}"/>
    <cellStyle name="Ввод  4 85 2" xfId="5725" xr:uid="{00000000-0005-0000-0000-0000CC060000}"/>
    <cellStyle name="Ввод  4 85 3" xfId="9993" xr:uid="{00000000-0005-0000-0000-0000CD060000}"/>
    <cellStyle name="Ввод  4 85 4" xfId="14229" xr:uid="{00000000-0005-0000-0000-0000CE060000}"/>
    <cellStyle name="Ввод  4 86" xfId="990" xr:uid="{00000000-0005-0000-0000-0000CF060000}"/>
    <cellStyle name="Ввод  4 86 2" xfId="5726" xr:uid="{00000000-0005-0000-0000-0000D0060000}"/>
    <cellStyle name="Ввод  4 86 3" xfId="9994" xr:uid="{00000000-0005-0000-0000-0000D1060000}"/>
    <cellStyle name="Ввод  4 86 4" xfId="14230" xr:uid="{00000000-0005-0000-0000-0000D2060000}"/>
    <cellStyle name="Ввод  4 87" xfId="991" xr:uid="{00000000-0005-0000-0000-0000D3060000}"/>
    <cellStyle name="Ввод  4 87 2" xfId="5727" xr:uid="{00000000-0005-0000-0000-0000D4060000}"/>
    <cellStyle name="Ввод  4 87 3" xfId="9995" xr:uid="{00000000-0005-0000-0000-0000D5060000}"/>
    <cellStyle name="Ввод  4 87 4" xfId="14231" xr:uid="{00000000-0005-0000-0000-0000D6060000}"/>
    <cellStyle name="Ввод  4 88" xfId="992" xr:uid="{00000000-0005-0000-0000-0000D7060000}"/>
    <cellStyle name="Ввод  4 88 2" xfId="5728" xr:uid="{00000000-0005-0000-0000-0000D8060000}"/>
    <cellStyle name="Ввод  4 88 3" xfId="9996" xr:uid="{00000000-0005-0000-0000-0000D9060000}"/>
    <cellStyle name="Ввод  4 88 4" xfId="14232" xr:uid="{00000000-0005-0000-0000-0000DA060000}"/>
    <cellStyle name="Ввод  4 89" xfId="993" xr:uid="{00000000-0005-0000-0000-0000DB060000}"/>
    <cellStyle name="Ввод  4 89 2" xfId="5729" xr:uid="{00000000-0005-0000-0000-0000DC060000}"/>
    <cellStyle name="Ввод  4 89 3" xfId="9997" xr:uid="{00000000-0005-0000-0000-0000DD060000}"/>
    <cellStyle name="Ввод  4 89 4" xfId="14233" xr:uid="{00000000-0005-0000-0000-0000DE060000}"/>
    <cellStyle name="Ввод  4 9" xfId="994" xr:uid="{00000000-0005-0000-0000-0000DF060000}"/>
    <cellStyle name="Ввод  4 9 2" xfId="5730" xr:uid="{00000000-0005-0000-0000-0000E0060000}"/>
    <cellStyle name="Ввод  4 9 3" xfId="9998" xr:uid="{00000000-0005-0000-0000-0000E1060000}"/>
    <cellStyle name="Ввод  4 9 4" xfId="14234" xr:uid="{00000000-0005-0000-0000-0000E2060000}"/>
    <cellStyle name="Ввод  4 90" xfId="995" xr:uid="{00000000-0005-0000-0000-0000E3060000}"/>
    <cellStyle name="Ввод  4 90 2" xfId="5731" xr:uid="{00000000-0005-0000-0000-0000E4060000}"/>
    <cellStyle name="Ввод  4 90 3" xfId="9999" xr:uid="{00000000-0005-0000-0000-0000E5060000}"/>
    <cellStyle name="Ввод  4 90 4" xfId="14235" xr:uid="{00000000-0005-0000-0000-0000E6060000}"/>
    <cellStyle name="Ввод  4 91" xfId="996" xr:uid="{00000000-0005-0000-0000-0000E7060000}"/>
    <cellStyle name="Ввод  4 91 2" xfId="5732" xr:uid="{00000000-0005-0000-0000-0000E8060000}"/>
    <cellStyle name="Ввод  4 91 3" xfId="10000" xr:uid="{00000000-0005-0000-0000-0000E9060000}"/>
    <cellStyle name="Ввод  4 91 4" xfId="14236" xr:uid="{00000000-0005-0000-0000-0000EA060000}"/>
    <cellStyle name="Ввод  4 92" xfId="5180" xr:uid="{00000000-0005-0000-0000-0000EB060000}"/>
    <cellStyle name="Ввод  4 93" xfId="5263" xr:uid="{00000000-0005-0000-0000-0000EC060000}"/>
    <cellStyle name="Ввод  4 94" xfId="8806" xr:uid="{00000000-0005-0000-0000-0000ED060000}"/>
    <cellStyle name="Ввод  5" xfId="227" xr:uid="{00000000-0005-0000-0000-0000EE060000}"/>
    <cellStyle name="Ввод  5 10" xfId="997" xr:uid="{00000000-0005-0000-0000-0000EF060000}"/>
    <cellStyle name="Ввод  5 10 2" xfId="5733" xr:uid="{00000000-0005-0000-0000-0000F0060000}"/>
    <cellStyle name="Ввод  5 10 3" xfId="10001" xr:uid="{00000000-0005-0000-0000-0000F1060000}"/>
    <cellStyle name="Ввод  5 10 4" xfId="14237" xr:uid="{00000000-0005-0000-0000-0000F2060000}"/>
    <cellStyle name="Ввод  5 11" xfId="998" xr:uid="{00000000-0005-0000-0000-0000F3060000}"/>
    <cellStyle name="Ввод  5 11 2" xfId="5734" xr:uid="{00000000-0005-0000-0000-0000F4060000}"/>
    <cellStyle name="Ввод  5 11 3" xfId="10002" xr:uid="{00000000-0005-0000-0000-0000F5060000}"/>
    <cellStyle name="Ввод  5 11 4" xfId="14238" xr:uid="{00000000-0005-0000-0000-0000F6060000}"/>
    <cellStyle name="Ввод  5 12" xfId="999" xr:uid="{00000000-0005-0000-0000-0000F7060000}"/>
    <cellStyle name="Ввод  5 12 2" xfId="5735" xr:uid="{00000000-0005-0000-0000-0000F8060000}"/>
    <cellStyle name="Ввод  5 12 3" xfId="10003" xr:uid="{00000000-0005-0000-0000-0000F9060000}"/>
    <cellStyle name="Ввод  5 12 4" xfId="14239" xr:uid="{00000000-0005-0000-0000-0000FA060000}"/>
    <cellStyle name="Ввод  5 13" xfId="1000" xr:uid="{00000000-0005-0000-0000-0000FB060000}"/>
    <cellStyle name="Ввод  5 13 2" xfId="5736" xr:uid="{00000000-0005-0000-0000-0000FC060000}"/>
    <cellStyle name="Ввод  5 13 3" xfId="10004" xr:uid="{00000000-0005-0000-0000-0000FD060000}"/>
    <cellStyle name="Ввод  5 13 4" xfId="14240" xr:uid="{00000000-0005-0000-0000-0000FE060000}"/>
    <cellStyle name="Ввод  5 14" xfId="1001" xr:uid="{00000000-0005-0000-0000-0000FF060000}"/>
    <cellStyle name="Ввод  5 14 2" xfId="5737" xr:uid="{00000000-0005-0000-0000-000000070000}"/>
    <cellStyle name="Ввод  5 14 3" xfId="10005" xr:uid="{00000000-0005-0000-0000-000001070000}"/>
    <cellStyle name="Ввод  5 14 4" xfId="14241" xr:uid="{00000000-0005-0000-0000-000002070000}"/>
    <cellStyle name="Ввод  5 15" xfId="1002" xr:uid="{00000000-0005-0000-0000-000003070000}"/>
    <cellStyle name="Ввод  5 15 2" xfId="5738" xr:uid="{00000000-0005-0000-0000-000004070000}"/>
    <cellStyle name="Ввод  5 15 3" xfId="10006" xr:uid="{00000000-0005-0000-0000-000005070000}"/>
    <cellStyle name="Ввод  5 15 4" xfId="14242" xr:uid="{00000000-0005-0000-0000-000006070000}"/>
    <cellStyle name="Ввод  5 16" xfId="1003" xr:uid="{00000000-0005-0000-0000-000007070000}"/>
    <cellStyle name="Ввод  5 16 2" xfId="5739" xr:uid="{00000000-0005-0000-0000-000008070000}"/>
    <cellStyle name="Ввод  5 16 3" xfId="10007" xr:uid="{00000000-0005-0000-0000-000009070000}"/>
    <cellStyle name="Ввод  5 16 4" xfId="14243" xr:uid="{00000000-0005-0000-0000-00000A070000}"/>
    <cellStyle name="Ввод  5 17" xfId="1004" xr:uid="{00000000-0005-0000-0000-00000B070000}"/>
    <cellStyle name="Ввод  5 17 2" xfId="5740" xr:uid="{00000000-0005-0000-0000-00000C070000}"/>
    <cellStyle name="Ввод  5 17 3" xfId="10008" xr:uid="{00000000-0005-0000-0000-00000D070000}"/>
    <cellStyle name="Ввод  5 17 4" xfId="14244" xr:uid="{00000000-0005-0000-0000-00000E070000}"/>
    <cellStyle name="Ввод  5 18" xfId="1005" xr:uid="{00000000-0005-0000-0000-00000F070000}"/>
    <cellStyle name="Ввод  5 18 2" xfId="5741" xr:uid="{00000000-0005-0000-0000-000010070000}"/>
    <cellStyle name="Ввод  5 18 3" xfId="10009" xr:uid="{00000000-0005-0000-0000-000011070000}"/>
    <cellStyle name="Ввод  5 18 4" xfId="14245" xr:uid="{00000000-0005-0000-0000-000012070000}"/>
    <cellStyle name="Ввод  5 19" xfId="1006" xr:uid="{00000000-0005-0000-0000-000013070000}"/>
    <cellStyle name="Ввод  5 19 2" xfId="5742" xr:uid="{00000000-0005-0000-0000-000014070000}"/>
    <cellStyle name="Ввод  5 19 3" xfId="10010" xr:uid="{00000000-0005-0000-0000-000015070000}"/>
    <cellStyle name="Ввод  5 19 4" xfId="14246" xr:uid="{00000000-0005-0000-0000-000016070000}"/>
    <cellStyle name="Ввод  5 2" xfId="1007" xr:uid="{00000000-0005-0000-0000-000017070000}"/>
    <cellStyle name="Ввод  5 2 2" xfId="1008" xr:uid="{00000000-0005-0000-0000-000018070000}"/>
    <cellStyle name="Ввод  5 2 2 2" xfId="5744" xr:uid="{00000000-0005-0000-0000-000019070000}"/>
    <cellStyle name="Ввод  5 2 2 3" xfId="10012" xr:uid="{00000000-0005-0000-0000-00001A070000}"/>
    <cellStyle name="Ввод  5 2 2 4" xfId="14248" xr:uid="{00000000-0005-0000-0000-00001B070000}"/>
    <cellStyle name="Ввод  5 2 3" xfId="1009" xr:uid="{00000000-0005-0000-0000-00001C070000}"/>
    <cellStyle name="Ввод  5 2 3 2" xfId="5745" xr:uid="{00000000-0005-0000-0000-00001D070000}"/>
    <cellStyle name="Ввод  5 2 3 3" xfId="10013" xr:uid="{00000000-0005-0000-0000-00001E070000}"/>
    <cellStyle name="Ввод  5 2 3 4" xfId="14249" xr:uid="{00000000-0005-0000-0000-00001F070000}"/>
    <cellStyle name="Ввод  5 2 4" xfId="5743" xr:uid="{00000000-0005-0000-0000-000020070000}"/>
    <cellStyle name="Ввод  5 2 5" xfId="10011" xr:uid="{00000000-0005-0000-0000-000021070000}"/>
    <cellStyle name="Ввод  5 2 6" xfId="14247" xr:uid="{00000000-0005-0000-0000-000022070000}"/>
    <cellStyle name="Ввод  5 20" xfId="1010" xr:uid="{00000000-0005-0000-0000-000023070000}"/>
    <cellStyle name="Ввод  5 20 2" xfId="5746" xr:uid="{00000000-0005-0000-0000-000024070000}"/>
    <cellStyle name="Ввод  5 20 3" xfId="10014" xr:uid="{00000000-0005-0000-0000-000025070000}"/>
    <cellStyle name="Ввод  5 20 4" xfId="14250" xr:uid="{00000000-0005-0000-0000-000026070000}"/>
    <cellStyle name="Ввод  5 21" xfId="1011" xr:uid="{00000000-0005-0000-0000-000027070000}"/>
    <cellStyle name="Ввод  5 21 2" xfId="5747" xr:uid="{00000000-0005-0000-0000-000028070000}"/>
    <cellStyle name="Ввод  5 21 3" xfId="10015" xr:uid="{00000000-0005-0000-0000-000029070000}"/>
    <cellStyle name="Ввод  5 21 4" xfId="14251" xr:uid="{00000000-0005-0000-0000-00002A070000}"/>
    <cellStyle name="Ввод  5 22" xfId="1012" xr:uid="{00000000-0005-0000-0000-00002B070000}"/>
    <cellStyle name="Ввод  5 22 2" xfId="5748" xr:uid="{00000000-0005-0000-0000-00002C070000}"/>
    <cellStyle name="Ввод  5 22 3" xfId="10016" xr:uid="{00000000-0005-0000-0000-00002D070000}"/>
    <cellStyle name="Ввод  5 22 4" xfId="14252" xr:uid="{00000000-0005-0000-0000-00002E070000}"/>
    <cellStyle name="Ввод  5 23" xfId="1013" xr:uid="{00000000-0005-0000-0000-00002F070000}"/>
    <cellStyle name="Ввод  5 23 2" xfId="5749" xr:uid="{00000000-0005-0000-0000-000030070000}"/>
    <cellStyle name="Ввод  5 23 3" xfId="10017" xr:uid="{00000000-0005-0000-0000-000031070000}"/>
    <cellStyle name="Ввод  5 23 4" xfId="14253" xr:uid="{00000000-0005-0000-0000-000032070000}"/>
    <cellStyle name="Ввод  5 24" xfId="1014" xr:uid="{00000000-0005-0000-0000-000033070000}"/>
    <cellStyle name="Ввод  5 24 2" xfId="5750" xr:uid="{00000000-0005-0000-0000-000034070000}"/>
    <cellStyle name="Ввод  5 24 3" xfId="10018" xr:uid="{00000000-0005-0000-0000-000035070000}"/>
    <cellStyle name="Ввод  5 24 4" xfId="14254" xr:uid="{00000000-0005-0000-0000-000036070000}"/>
    <cellStyle name="Ввод  5 25" xfId="1015" xr:uid="{00000000-0005-0000-0000-000037070000}"/>
    <cellStyle name="Ввод  5 25 2" xfId="5751" xr:uid="{00000000-0005-0000-0000-000038070000}"/>
    <cellStyle name="Ввод  5 25 3" xfId="10019" xr:uid="{00000000-0005-0000-0000-000039070000}"/>
    <cellStyle name="Ввод  5 25 4" xfId="14255" xr:uid="{00000000-0005-0000-0000-00003A070000}"/>
    <cellStyle name="Ввод  5 26" xfId="1016" xr:uid="{00000000-0005-0000-0000-00003B070000}"/>
    <cellStyle name="Ввод  5 26 2" xfId="5752" xr:uid="{00000000-0005-0000-0000-00003C070000}"/>
    <cellStyle name="Ввод  5 26 3" xfId="10020" xr:uid="{00000000-0005-0000-0000-00003D070000}"/>
    <cellStyle name="Ввод  5 26 4" xfId="14256" xr:uid="{00000000-0005-0000-0000-00003E070000}"/>
    <cellStyle name="Ввод  5 27" xfId="1017" xr:uid="{00000000-0005-0000-0000-00003F070000}"/>
    <cellStyle name="Ввод  5 27 2" xfId="5753" xr:uid="{00000000-0005-0000-0000-000040070000}"/>
    <cellStyle name="Ввод  5 27 3" xfId="10021" xr:uid="{00000000-0005-0000-0000-000041070000}"/>
    <cellStyle name="Ввод  5 27 4" xfId="14257" xr:uid="{00000000-0005-0000-0000-000042070000}"/>
    <cellStyle name="Ввод  5 28" xfId="1018" xr:uid="{00000000-0005-0000-0000-000043070000}"/>
    <cellStyle name="Ввод  5 28 2" xfId="5754" xr:uid="{00000000-0005-0000-0000-000044070000}"/>
    <cellStyle name="Ввод  5 28 3" xfId="10022" xr:uid="{00000000-0005-0000-0000-000045070000}"/>
    <cellStyle name="Ввод  5 28 4" xfId="14258" xr:uid="{00000000-0005-0000-0000-000046070000}"/>
    <cellStyle name="Ввод  5 29" xfId="1019" xr:uid="{00000000-0005-0000-0000-000047070000}"/>
    <cellStyle name="Ввод  5 29 2" xfId="5755" xr:uid="{00000000-0005-0000-0000-000048070000}"/>
    <cellStyle name="Ввод  5 29 3" xfId="10023" xr:uid="{00000000-0005-0000-0000-000049070000}"/>
    <cellStyle name="Ввод  5 29 4" xfId="14259" xr:uid="{00000000-0005-0000-0000-00004A070000}"/>
    <cellStyle name="Ввод  5 3" xfId="1020" xr:uid="{00000000-0005-0000-0000-00004B070000}"/>
    <cellStyle name="Ввод  5 3 2" xfId="1021" xr:uid="{00000000-0005-0000-0000-00004C070000}"/>
    <cellStyle name="Ввод  5 3 2 2" xfId="5757" xr:uid="{00000000-0005-0000-0000-00004D070000}"/>
    <cellStyle name="Ввод  5 3 2 3" xfId="10025" xr:uid="{00000000-0005-0000-0000-00004E070000}"/>
    <cellStyle name="Ввод  5 3 2 4" xfId="14261" xr:uid="{00000000-0005-0000-0000-00004F070000}"/>
    <cellStyle name="Ввод  5 3 3" xfId="1022" xr:uid="{00000000-0005-0000-0000-000050070000}"/>
    <cellStyle name="Ввод  5 3 3 2" xfId="5758" xr:uid="{00000000-0005-0000-0000-000051070000}"/>
    <cellStyle name="Ввод  5 3 3 3" xfId="10026" xr:uid="{00000000-0005-0000-0000-000052070000}"/>
    <cellStyle name="Ввод  5 3 3 4" xfId="14262" xr:uid="{00000000-0005-0000-0000-000053070000}"/>
    <cellStyle name="Ввод  5 3 4" xfId="5756" xr:uid="{00000000-0005-0000-0000-000054070000}"/>
    <cellStyle name="Ввод  5 3 5" xfId="10024" xr:uid="{00000000-0005-0000-0000-000055070000}"/>
    <cellStyle name="Ввод  5 3 6" xfId="14260" xr:uid="{00000000-0005-0000-0000-000056070000}"/>
    <cellStyle name="Ввод  5 30" xfId="1023" xr:uid="{00000000-0005-0000-0000-000057070000}"/>
    <cellStyle name="Ввод  5 30 2" xfId="5759" xr:uid="{00000000-0005-0000-0000-000058070000}"/>
    <cellStyle name="Ввод  5 30 3" xfId="10027" xr:uid="{00000000-0005-0000-0000-000059070000}"/>
    <cellStyle name="Ввод  5 30 4" xfId="14263" xr:uid="{00000000-0005-0000-0000-00005A070000}"/>
    <cellStyle name="Ввод  5 31" xfId="1024" xr:uid="{00000000-0005-0000-0000-00005B070000}"/>
    <cellStyle name="Ввод  5 31 2" xfId="5760" xr:uid="{00000000-0005-0000-0000-00005C070000}"/>
    <cellStyle name="Ввод  5 31 3" xfId="10028" xr:uid="{00000000-0005-0000-0000-00005D070000}"/>
    <cellStyle name="Ввод  5 31 4" xfId="14264" xr:uid="{00000000-0005-0000-0000-00005E070000}"/>
    <cellStyle name="Ввод  5 32" xfId="1025" xr:uid="{00000000-0005-0000-0000-00005F070000}"/>
    <cellStyle name="Ввод  5 32 2" xfId="5761" xr:uid="{00000000-0005-0000-0000-000060070000}"/>
    <cellStyle name="Ввод  5 32 3" xfId="10029" xr:uid="{00000000-0005-0000-0000-000061070000}"/>
    <cellStyle name="Ввод  5 32 4" xfId="14265" xr:uid="{00000000-0005-0000-0000-000062070000}"/>
    <cellStyle name="Ввод  5 33" xfId="1026" xr:uid="{00000000-0005-0000-0000-000063070000}"/>
    <cellStyle name="Ввод  5 33 2" xfId="5762" xr:uid="{00000000-0005-0000-0000-000064070000}"/>
    <cellStyle name="Ввод  5 33 3" xfId="10030" xr:uid="{00000000-0005-0000-0000-000065070000}"/>
    <cellStyle name="Ввод  5 33 4" xfId="14266" xr:uid="{00000000-0005-0000-0000-000066070000}"/>
    <cellStyle name="Ввод  5 34" xfId="1027" xr:uid="{00000000-0005-0000-0000-000067070000}"/>
    <cellStyle name="Ввод  5 34 2" xfId="5763" xr:uid="{00000000-0005-0000-0000-000068070000}"/>
    <cellStyle name="Ввод  5 34 3" xfId="10031" xr:uid="{00000000-0005-0000-0000-000069070000}"/>
    <cellStyle name="Ввод  5 34 4" xfId="14267" xr:uid="{00000000-0005-0000-0000-00006A070000}"/>
    <cellStyle name="Ввод  5 35" xfId="1028" xr:uid="{00000000-0005-0000-0000-00006B070000}"/>
    <cellStyle name="Ввод  5 35 2" xfId="5764" xr:uid="{00000000-0005-0000-0000-00006C070000}"/>
    <cellStyle name="Ввод  5 35 3" xfId="10032" xr:uid="{00000000-0005-0000-0000-00006D070000}"/>
    <cellStyle name="Ввод  5 35 4" xfId="14268" xr:uid="{00000000-0005-0000-0000-00006E070000}"/>
    <cellStyle name="Ввод  5 36" xfId="1029" xr:uid="{00000000-0005-0000-0000-00006F070000}"/>
    <cellStyle name="Ввод  5 36 2" xfId="5765" xr:uid="{00000000-0005-0000-0000-000070070000}"/>
    <cellStyle name="Ввод  5 36 3" xfId="10033" xr:uid="{00000000-0005-0000-0000-000071070000}"/>
    <cellStyle name="Ввод  5 36 4" xfId="14269" xr:uid="{00000000-0005-0000-0000-000072070000}"/>
    <cellStyle name="Ввод  5 37" xfId="1030" xr:uid="{00000000-0005-0000-0000-000073070000}"/>
    <cellStyle name="Ввод  5 37 2" xfId="5766" xr:uid="{00000000-0005-0000-0000-000074070000}"/>
    <cellStyle name="Ввод  5 37 3" xfId="10034" xr:uid="{00000000-0005-0000-0000-000075070000}"/>
    <cellStyle name="Ввод  5 37 4" xfId="14270" xr:uid="{00000000-0005-0000-0000-000076070000}"/>
    <cellStyle name="Ввод  5 38" xfId="1031" xr:uid="{00000000-0005-0000-0000-000077070000}"/>
    <cellStyle name="Ввод  5 38 2" xfId="5767" xr:uid="{00000000-0005-0000-0000-000078070000}"/>
    <cellStyle name="Ввод  5 38 3" xfId="10035" xr:uid="{00000000-0005-0000-0000-000079070000}"/>
    <cellStyle name="Ввод  5 38 4" xfId="14271" xr:uid="{00000000-0005-0000-0000-00007A070000}"/>
    <cellStyle name="Ввод  5 39" xfId="1032" xr:uid="{00000000-0005-0000-0000-00007B070000}"/>
    <cellStyle name="Ввод  5 39 2" xfId="5768" xr:uid="{00000000-0005-0000-0000-00007C070000}"/>
    <cellStyle name="Ввод  5 39 3" xfId="10036" xr:uid="{00000000-0005-0000-0000-00007D070000}"/>
    <cellStyle name="Ввод  5 39 4" xfId="14272" xr:uid="{00000000-0005-0000-0000-00007E070000}"/>
    <cellStyle name="Ввод  5 4" xfId="1033" xr:uid="{00000000-0005-0000-0000-00007F070000}"/>
    <cellStyle name="Ввод  5 4 2" xfId="1034" xr:uid="{00000000-0005-0000-0000-000080070000}"/>
    <cellStyle name="Ввод  5 4 2 2" xfId="5770" xr:uid="{00000000-0005-0000-0000-000081070000}"/>
    <cellStyle name="Ввод  5 4 2 3" xfId="10038" xr:uid="{00000000-0005-0000-0000-000082070000}"/>
    <cellStyle name="Ввод  5 4 2 4" xfId="14274" xr:uid="{00000000-0005-0000-0000-000083070000}"/>
    <cellStyle name="Ввод  5 4 3" xfId="1035" xr:uid="{00000000-0005-0000-0000-000084070000}"/>
    <cellStyle name="Ввод  5 4 3 2" xfId="5771" xr:uid="{00000000-0005-0000-0000-000085070000}"/>
    <cellStyle name="Ввод  5 4 3 3" xfId="10039" xr:uid="{00000000-0005-0000-0000-000086070000}"/>
    <cellStyle name="Ввод  5 4 3 4" xfId="14275" xr:uid="{00000000-0005-0000-0000-000087070000}"/>
    <cellStyle name="Ввод  5 4 4" xfId="5769" xr:uid="{00000000-0005-0000-0000-000088070000}"/>
    <cellStyle name="Ввод  5 4 5" xfId="10037" xr:uid="{00000000-0005-0000-0000-000089070000}"/>
    <cellStyle name="Ввод  5 4 6" xfId="14273" xr:uid="{00000000-0005-0000-0000-00008A070000}"/>
    <cellStyle name="Ввод  5 40" xfId="1036" xr:uid="{00000000-0005-0000-0000-00008B070000}"/>
    <cellStyle name="Ввод  5 40 2" xfId="5772" xr:uid="{00000000-0005-0000-0000-00008C070000}"/>
    <cellStyle name="Ввод  5 40 3" xfId="10040" xr:uid="{00000000-0005-0000-0000-00008D070000}"/>
    <cellStyle name="Ввод  5 40 4" xfId="14276" xr:uid="{00000000-0005-0000-0000-00008E070000}"/>
    <cellStyle name="Ввод  5 41" xfId="1037" xr:uid="{00000000-0005-0000-0000-00008F070000}"/>
    <cellStyle name="Ввод  5 41 2" xfId="5773" xr:uid="{00000000-0005-0000-0000-000090070000}"/>
    <cellStyle name="Ввод  5 41 3" xfId="10041" xr:uid="{00000000-0005-0000-0000-000091070000}"/>
    <cellStyle name="Ввод  5 41 4" xfId="14277" xr:uid="{00000000-0005-0000-0000-000092070000}"/>
    <cellStyle name="Ввод  5 42" xfId="1038" xr:uid="{00000000-0005-0000-0000-000093070000}"/>
    <cellStyle name="Ввод  5 42 2" xfId="5774" xr:uid="{00000000-0005-0000-0000-000094070000}"/>
    <cellStyle name="Ввод  5 42 3" xfId="10042" xr:uid="{00000000-0005-0000-0000-000095070000}"/>
    <cellStyle name="Ввод  5 42 4" xfId="14278" xr:uid="{00000000-0005-0000-0000-000096070000}"/>
    <cellStyle name="Ввод  5 43" xfId="1039" xr:uid="{00000000-0005-0000-0000-000097070000}"/>
    <cellStyle name="Ввод  5 43 2" xfId="5775" xr:uid="{00000000-0005-0000-0000-000098070000}"/>
    <cellStyle name="Ввод  5 43 3" xfId="10043" xr:uid="{00000000-0005-0000-0000-000099070000}"/>
    <cellStyle name="Ввод  5 43 4" xfId="14279" xr:uid="{00000000-0005-0000-0000-00009A070000}"/>
    <cellStyle name="Ввод  5 44" xfId="1040" xr:uid="{00000000-0005-0000-0000-00009B070000}"/>
    <cellStyle name="Ввод  5 44 2" xfId="5776" xr:uid="{00000000-0005-0000-0000-00009C070000}"/>
    <cellStyle name="Ввод  5 44 3" xfId="10044" xr:uid="{00000000-0005-0000-0000-00009D070000}"/>
    <cellStyle name="Ввод  5 44 4" xfId="14280" xr:uid="{00000000-0005-0000-0000-00009E070000}"/>
    <cellStyle name="Ввод  5 45" xfId="1041" xr:uid="{00000000-0005-0000-0000-00009F070000}"/>
    <cellStyle name="Ввод  5 45 2" xfId="5777" xr:uid="{00000000-0005-0000-0000-0000A0070000}"/>
    <cellStyle name="Ввод  5 45 3" xfId="10045" xr:uid="{00000000-0005-0000-0000-0000A1070000}"/>
    <cellStyle name="Ввод  5 45 4" xfId="14281" xr:uid="{00000000-0005-0000-0000-0000A2070000}"/>
    <cellStyle name="Ввод  5 46" xfId="1042" xr:uid="{00000000-0005-0000-0000-0000A3070000}"/>
    <cellStyle name="Ввод  5 46 2" xfId="5778" xr:uid="{00000000-0005-0000-0000-0000A4070000}"/>
    <cellStyle name="Ввод  5 46 3" xfId="10046" xr:uid="{00000000-0005-0000-0000-0000A5070000}"/>
    <cellStyle name="Ввод  5 46 4" xfId="14282" xr:uid="{00000000-0005-0000-0000-0000A6070000}"/>
    <cellStyle name="Ввод  5 47" xfId="1043" xr:uid="{00000000-0005-0000-0000-0000A7070000}"/>
    <cellStyle name="Ввод  5 47 2" xfId="5779" xr:uid="{00000000-0005-0000-0000-0000A8070000}"/>
    <cellStyle name="Ввод  5 47 3" xfId="10047" xr:uid="{00000000-0005-0000-0000-0000A9070000}"/>
    <cellStyle name="Ввод  5 47 4" xfId="14283" xr:uid="{00000000-0005-0000-0000-0000AA070000}"/>
    <cellStyle name="Ввод  5 48" xfId="1044" xr:uid="{00000000-0005-0000-0000-0000AB070000}"/>
    <cellStyle name="Ввод  5 48 2" xfId="5780" xr:uid="{00000000-0005-0000-0000-0000AC070000}"/>
    <cellStyle name="Ввод  5 48 3" xfId="10048" xr:uid="{00000000-0005-0000-0000-0000AD070000}"/>
    <cellStyle name="Ввод  5 48 4" xfId="14284" xr:uid="{00000000-0005-0000-0000-0000AE070000}"/>
    <cellStyle name="Ввод  5 49" xfId="1045" xr:uid="{00000000-0005-0000-0000-0000AF070000}"/>
    <cellStyle name="Ввод  5 49 2" xfId="5781" xr:uid="{00000000-0005-0000-0000-0000B0070000}"/>
    <cellStyle name="Ввод  5 49 3" xfId="10049" xr:uid="{00000000-0005-0000-0000-0000B1070000}"/>
    <cellStyle name="Ввод  5 49 4" xfId="14285" xr:uid="{00000000-0005-0000-0000-0000B2070000}"/>
    <cellStyle name="Ввод  5 5" xfId="1046" xr:uid="{00000000-0005-0000-0000-0000B3070000}"/>
    <cellStyle name="Ввод  5 5 2" xfId="5782" xr:uid="{00000000-0005-0000-0000-0000B4070000}"/>
    <cellStyle name="Ввод  5 5 3" xfId="10050" xr:uid="{00000000-0005-0000-0000-0000B5070000}"/>
    <cellStyle name="Ввод  5 5 4" xfId="14286" xr:uid="{00000000-0005-0000-0000-0000B6070000}"/>
    <cellStyle name="Ввод  5 50" xfId="1047" xr:uid="{00000000-0005-0000-0000-0000B7070000}"/>
    <cellStyle name="Ввод  5 50 2" xfId="5783" xr:uid="{00000000-0005-0000-0000-0000B8070000}"/>
    <cellStyle name="Ввод  5 50 3" xfId="10051" xr:uid="{00000000-0005-0000-0000-0000B9070000}"/>
    <cellStyle name="Ввод  5 50 4" xfId="14287" xr:uid="{00000000-0005-0000-0000-0000BA070000}"/>
    <cellStyle name="Ввод  5 51" xfId="1048" xr:uid="{00000000-0005-0000-0000-0000BB070000}"/>
    <cellStyle name="Ввод  5 51 2" xfId="5784" xr:uid="{00000000-0005-0000-0000-0000BC070000}"/>
    <cellStyle name="Ввод  5 51 3" xfId="10052" xr:uid="{00000000-0005-0000-0000-0000BD070000}"/>
    <cellStyle name="Ввод  5 51 4" xfId="14288" xr:uid="{00000000-0005-0000-0000-0000BE070000}"/>
    <cellStyle name="Ввод  5 52" xfId="1049" xr:uid="{00000000-0005-0000-0000-0000BF070000}"/>
    <cellStyle name="Ввод  5 52 2" xfId="5785" xr:uid="{00000000-0005-0000-0000-0000C0070000}"/>
    <cellStyle name="Ввод  5 52 3" xfId="10053" xr:uid="{00000000-0005-0000-0000-0000C1070000}"/>
    <cellStyle name="Ввод  5 52 4" xfId="14289" xr:uid="{00000000-0005-0000-0000-0000C2070000}"/>
    <cellStyle name="Ввод  5 53" xfId="1050" xr:uid="{00000000-0005-0000-0000-0000C3070000}"/>
    <cellStyle name="Ввод  5 53 2" xfId="5786" xr:uid="{00000000-0005-0000-0000-0000C4070000}"/>
    <cellStyle name="Ввод  5 53 3" xfId="10054" xr:uid="{00000000-0005-0000-0000-0000C5070000}"/>
    <cellStyle name="Ввод  5 53 4" xfId="14290" xr:uid="{00000000-0005-0000-0000-0000C6070000}"/>
    <cellStyle name="Ввод  5 54" xfId="1051" xr:uid="{00000000-0005-0000-0000-0000C7070000}"/>
    <cellStyle name="Ввод  5 54 2" xfId="5787" xr:uid="{00000000-0005-0000-0000-0000C8070000}"/>
    <cellStyle name="Ввод  5 54 3" xfId="10055" xr:uid="{00000000-0005-0000-0000-0000C9070000}"/>
    <cellStyle name="Ввод  5 54 4" xfId="14291" xr:uid="{00000000-0005-0000-0000-0000CA070000}"/>
    <cellStyle name="Ввод  5 55" xfId="1052" xr:uid="{00000000-0005-0000-0000-0000CB070000}"/>
    <cellStyle name="Ввод  5 55 2" xfId="5788" xr:uid="{00000000-0005-0000-0000-0000CC070000}"/>
    <cellStyle name="Ввод  5 55 3" xfId="10056" xr:uid="{00000000-0005-0000-0000-0000CD070000}"/>
    <cellStyle name="Ввод  5 55 4" xfId="14292" xr:uid="{00000000-0005-0000-0000-0000CE070000}"/>
    <cellStyle name="Ввод  5 56" xfId="1053" xr:uid="{00000000-0005-0000-0000-0000CF070000}"/>
    <cellStyle name="Ввод  5 56 2" xfId="5789" xr:uid="{00000000-0005-0000-0000-0000D0070000}"/>
    <cellStyle name="Ввод  5 56 3" xfId="10057" xr:uid="{00000000-0005-0000-0000-0000D1070000}"/>
    <cellStyle name="Ввод  5 56 4" xfId="14293" xr:uid="{00000000-0005-0000-0000-0000D2070000}"/>
    <cellStyle name="Ввод  5 57" xfId="1054" xr:uid="{00000000-0005-0000-0000-0000D3070000}"/>
    <cellStyle name="Ввод  5 57 2" xfId="5790" xr:uid="{00000000-0005-0000-0000-0000D4070000}"/>
    <cellStyle name="Ввод  5 57 3" xfId="10058" xr:uid="{00000000-0005-0000-0000-0000D5070000}"/>
    <cellStyle name="Ввод  5 57 4" xfId="14294" xr:uid="{00000000-0005-0000-0000-0000D6070000}"/>
    <cellStyle name="Ввод  5 58" xfId="1055" xr:uid="{00000000-0005-0000-0000-0000D7070000}"/>
    <cellStyle name="Ввод  5 58 2" xfId="5791" xr:uid="{00000000-0005-0000-0000-0000D8070000}"/>
    <cellStyle name="Ввод  5 58 3" xfId="10059" xr:uid="{00000000-0005-0000-0000-0000D9070000}"/>
    <cellStyle name="Ввод  5 58 4" xfId="14295" xr:uid="{00000000-0005-0000-0000-0000DA070000}"/>
    <cellStyle name="Ввод  5 59" xfId="1056" xr:uid="{00000000-0005-0000-0000-0000DB070000}"/>
    <cellStyle name="Ввод  5 59 2" xfId="5792" xr:uid="{00000000-0005-0000-0000-0000DC070000}"/>
    <cellStyle name="Ввод  5 59 3" xfId="10060" xr:uid="{00000000-0005-0000-0000-0000DD070000}"/>
    <cellStyle name="Ввод  5 59 4" xfId="14296" xr:uid="{00000000-0005-0000-0000-0000DE070000}"/>
    <cellStyle name="Ввод  5 6" xfId="1057" xr:uid="{00000000-0005-0000-0000-0000DF070000}"/>
    <cellStyle name="Ввод  5 6 2" xfId="5793" xr:uid="{00000000-0005-0000-0000-0000E0070000}"/>
    <cellStyle name="Ввод  5 6 3" xfId="10061" xr:uid="{00000000-0005-0000-0000-0000E1070000}"/>
    <cellStyle name="Ввод  5 6 4" xfId="14297" xr:uid="{00000000-0005-0000-0000-0000E2070000}"/>
    <cellStyle name="Ввод  5 60" xfId="1058" xr:uid="{00000000-0005-0000-0000-0000E3070000}"/>
    <cellStyle name="Ввод  5 60 2" xfId="5794" xr:uid="{00000000-0005-0000-0000-0000E4070000}"/>
    <cellStyle name="Ввод  5 60 3" xfId="10062" xr:uid="{00000000-0005-0000-0000-0000E5070000}"/>
    <cellStyle name="Ввод  5 60 4" xfId="14298" xr:uid="{00000000-0005-0000-0000-0000E6070000}"/>
    <cellStyle name="Ввод  5 61" xfId="1059" xr:uid="{00000000-0005-0000-0000-0000E7070000}"/>
    <cellStyle name="Ввод  5 61 2" xfId="5795" xr:uid="{00000000-0005-0000-0000-0000E8070000}"/>
    <cellStyle name="Ввод  5 61 3" xfId="10063" xr:uid="{00000000-0005-0000-0000-0000E9070000}"/>
    <cellStyle name="Ввод  5 61 4" xfId="14299" xr:uid="{00000000-0005-0000-0000-0000EA070000}"/>
    <cellStyle name="Ввод  5 62" xfId="1060" xr:uid="{00000000-0005-0000-0000-0000EB070000}"/>
    <cellStyle name="Ввод  5 62 2" xfId="5796" xr:uid="{00000000-0005-0000-0000-0000EC070000}"/>
    <cellStyle name="Ввод  5 62 3" xfId="10064" xr:uid="{00000000-0005-0000-0000-0000ED070000}"/>
    <cellStyle name="Ввод  5 62 4" xfId="14300" xr:uid="{00000000-0005-0000-0000-0000EE070000}"/>
    <cellStyle name="Ввод  5 63" xfId="1061" xr:uid="{00000000-0005-0000-0000-0000EF070000}"/>
    <cellStyle name="Ввод  5 63 2" xfId="5797" xr:uid="{00000000-0005-0000-0000-0000F0070000}"/>
    <cellStyle name="Ввод  5 63 3" xfId="10065" xr:uid="{00000000-0005-0000-0000-0000F1070000}"/>
    <cellStyle name="Ввод  5 63 4" xfId="14301" xr:uid="{00000000-0005-0000-0000-0000F2070000}"/>
    <cellStyle name="Ввод  5 64" xfId="1062" xr:uid="{00000000-0005-0000-0000-0000F3070000}"/>
    <cellStyle name="Ввод  5 64 2" xfId="5798" xr:uid="{00000000-0005-0000-0000-0000F4070000}"/>
    <cellStyle name="Ввод  5 64 3" xfId="10066" xr:uid="{00000000-0005-0000-0000-0000F5070000}"/>
    <cellStyle name="Ввод  5 64 4" xfId="14302" xr:uid="{00000000-0005-0000-0000-0000F6070000}"/>
    <cellStyle name="Ввод  5 65" xfId="1063" xr:uid="{00000000-0005-0000-0000-0000F7070000}"/>
    <cellStyle name="Ввод  5 65 2" xfId="5799" xr:uid="{00000000-0005-0000-0000-0000F8070000}"/>
    <cellStyle name="Ввод  5 65 3" xfId="10067" xr:uid="{00000000-0005-0000-0000-0000F9070000}"/>
    <cellStyle name="Ввод  5 65 4" xfId="14303" xr:uid="{00000000-0005-0000-0000-0000FA070000}"/>
    <cellStyle name="Ввод  5 66" xfId="1064" xr:uid="{00000000-0005-0000-0000-0000FB070000}"/>
    <cellStyle name="Ввод  5 66 2" xfId="5800" xr:uid="{00000000-0005-0000-0000-0000FC070000}"/>
    <cellStyle name="Ввод  5 66 3" xfId="10068" xr:uid="{00000000-0005-0000-0000-0000FD070000}"/>
    <cellStyle name="Ввод  5 66 4" xfId="14304" xr:uid="{00000000-0005-0000-0000-0000FE070000}"/>
    <cellStyle name="Ввод  5 67" xfId="1065" xr:uid="{00000000-0005-0000-0000-0000FF070000}"/>
    <cellStyle name="Ввод  5 67 2" xfId="5801" xr:uid="{00000000-0005-0000-0000-000000080000}"/>
    <cellStyle name="Ввод  5 67 3" xfId="10069" xr:uid="{00000000-0005-0000-0000-000001080000}"/>
    <cellStyle name="Ввод  5 67 4" xfId="14305" xr:uid="{00000000-0005-0000-0000-000002080000}"/>
    <cellStyle name="Ввод  5 68" xfId="1066" xr:uid="{00000000-0005-0000-0000-000003080000}"/>
    <cellStyle name="Ввод  5 68 2" xfId="5802" xr:uid="{00000000-0005-0000-0000-000004080000}"/>
    <cellStyle name="Ввод  5 68 3" xfId="10070" xr:uid="{00000000-0005-0000-0000-000005080000}"/>
    <cellStyle name="Ввод  5 68 4" xfId="14306" xr:uid="{00000000-0005-0000-0000-000006080000}"/>
    <cellStyle name="Ввод  5 69" xfId="1067" xr:uid="{00000000-0005-0000-0000-000007080000}"/>
    <cellStyle name="Ввод  5 69 2" xfId="5803" xr:uid="{00000000-0005-0000-0000-000008080000}"/>
    <cellStyle name="Ввод  5 69 3" xfId="10071" xr:uid="{00000000-0005-0000-0000-000009080000}"/>
    <cellStyle name="Ввод  5 69 4" xfId="14307" xr:uid="{00000000-0005-0000-0000-00000A080000}"/>
    <cellStyle name="Ввод  5 7" xfId="1068" xr:uid="{00000000-0005-0000-0000-00000B080000}"/>
    <cellStyle name="Ввод  5 7 2" xfId="5804" xr:uid="{00000000-0005-0000-0000-00000C080000}"/>
    <cellStyle name="Ввод  5 7 3" xfId="10072" xr:uid="{00000000-0005-0000-0000-00000D080000}"/>
    <cellStyle name="Ввод  5 7 4" xfId="14308" xr:uid="{00000000-0005-0000-0000-00000E080000}"/>
    <cellStyle name="Ввод  5 70" xfId="1069" xr:uid="{00000000-0005-0000-0000-00000F080000}"/>
    <cellStyle name="Ввод  5 70 2" xfId="5805" xr:uid="{00000000-0005-0000-0000-000010080000}"/>
    <cellStyle name="Ввод  5 70 3" xfId="10073" xr:uid="{00000000-0005-0000-0000-000011080000}"/>
    <cellStyle name="Ввод  5 70 4" xfId="14309" xr:uid="{00000000-0005-0000-0000-000012080000}"/>
    <cellStyle name="Ввод  5 71" xfId="1070" xr:uid="{00000000-0005-0000-0000-000013080000}"/>
    <cellStyle name="Ввод  5 71 2" xfId="5806" xr:uid="{00000000-0005-0000-0000-000014080000}"/>
    <cellStyle name="Ввод  5 71 3" xfId="10074" xr:uid="{00000000-0005-0000-0000-000015080000}"/>
    <cellStyle name="Ввод  5 71 4" xfId="14310" xr:uid="{00000000-0005-0000-0000-000016080000}"/>
    <cellStyle name="Ввод  5 72" xfId="1071" xr:uid="{00000000-0005-0000-0000-000017080000}"/>
    <cellStyle name="Ввод  5 72 2" xfId="5807" xr:uid="{00000000-0005-0000-0000-000018080000}"/>
    <cellStyle name="Ввод  5 72 3" xfId="10075" xr:uid="{00000000-0005-0000-0000-000019080000}"/>
    <cellStyle name="Ввод  5 72 4" xfId="14311" xr:uid="{00000000-0005-0000-0000-00001A080000}"/>
    <cellStyle name="Ввод  5 73" xfId="1072" xr:uid="{00000000-0005-0000-0000-00001B080000}"/>
    <cellStyle name="Ввод  5 73 2" xfId="5808" xr:uid="{00000000-0005-0000-0000-00001C080000}"/>
    <cellStyle name="Ввод  5 73 3" xfId="10076" xr:uid="{00000000-0005-0000-0000-00001D080000}"/>
    <cellStyle name="Ввод  5 73 4" xfId="14312" xr:uid="{00000000-0005-0000-0000-00001E080000}"/>
    <cellStyle name="Ввод  5 74" xfId="1073" xr:uid="{00000000-0005-0000-0000-00001F080000}"/>
    <cellStyle name="Ввод  5 74 2" xfId="5809" xr:uid="{00000000-0005-0000-0000-000020080000}"/>
    <cellStyle name="Ввод  5 74 3" xfId="10077" xr:uid="{00000000-0005-0000-0000-000021080000}"/>
    <cellStyle name="Ввод  5 74 4" xfId="14313" xr:uid="{00000000-0005-0000-0000-000022080000}"/>
    <cellStyle name="Ввод  5 75" xfId="1074" xr:uid="{00000000-0005-0000-0000-000023080000}"/>
    <cellStyle name="Ввод  5 75 2" xfId="5810" xr:uid="{00000000-0005-0000-0000-000024080000}"/>
    <cellStyle name="Ввод  5 75 3" xfId="10078" xr:uid="{00000000-0005-0000-0000-000025080000}"/>
    <cellStyle name="Ввод  5 75 4" xfId="14314" xr:uid="{00000000-0005-0000-0000-000026080000}"/>
    <cellStyle name="Ввод  5 76" xfId="1075" xr:uid="{00000000-0005-0000-0000-000027080000}"/>
    <cellStyle name="Ввод  5 76 2" xfId="5811" xr:uid="{00000000-0005-0000-0000-000028080000}"/>
    <cellStyle name="Ввод  5 76 3" xfId="10079" xr:uid="{00000000-0005-0000-0000-000029080000}"/>
    <cellStyle name="Ввод  5 76 4" xfId="14315" xr:uid="{00000000-0005-0000-0000-00002A080000}"/>
    <cellStyle name="Ввод  5 77" xfId="1076" xr:uid="{00000000-0005-0000-0000-00002B080000}"/>
    <cellStyle name="Ввод  5 77 2" xfId="5812" xr:uid="{00000000-0005-0000-0000-00002C080000}"/>
    <cellStyle name="Ввод  5 77 3" xfId="10080" xr:uid="{00000000-0005-0000-0000-00002D080000}"/>
    <cellStyle name="Ввод  5 77 4" xfId="14316" xr:uid="{00000000-0005-0000-0000-00002E080000}"/>
    <cellStyle name="Ввод  5 78" xfId="1077" xr:uid="{00000000-0005-0000-0000-00002F080000}"/>
    <cellStyle name="Ввод  5 78 2" xfId="5813" xr:uid="{00000000-0005-0000-0000-000030080000}"/>
    <cellStyle name="Ввод  5 78 3" xfId="10081" xr:uid="{00000000-0005-0000-0000-000031080000}"/>
    <cellStyle name="Ввод  5 78 4" xfId="14317" xr:uid="{00000000-0005-0000-0000-000032080000}"/>
    <cellStyle name="Ввод  5 79" xfId="1078" xr:uid="{00000000-0005-0000-0000-000033080000}"/>
    <cellStyle name="Ввод  5 79 2" xfId="5814" xr:uid="{00000000-0005-0000-0000-000034080000}"/>
    <cellStyle name="Ввод  5 79 3" xfId="10082" xr:uid="{00000000-0005-0000-0000-000035080000}"/>
    <cellStyle name="Ввод  5 79 4" xfId="14318" xr:uid="{00000000-0005-0000-0000-000036080000}"/>
    <cellStyle name="Ввод  5 8" xfId="1079" xr:uid="{00000000-0005-0000-0000-000037080000}"/>
    <cellStyle name="Ввод  5 8 2" xfId="5815" xr:uid="{00000000-0005-0000-0000-000038080000}"/>
    <cellStyle name="Ввод  5 8 3" xfId="10083" xr:uid="{00000000-0005-0000-0000-000039080000}"/>
    <cellStyle name="Ввод  5 8 4" xfId="14319" xr:uid="{00000000-0005-0000-0000-00003A080000}"/>
    <cellStyle name="Ввод  5 80" xfId="1080" xr:uid="{00000000-0005-0000-0000-00003B080000}"/>
    <cellStyle name="Ввод  5 80 2" xfId="5816" xr:uid="{00000000-0005-0000-0000-00003C080000}"/>
    <cellStyle name="Ввод  5 80 3" xfId="10084" xr:uid="{00000000-0005-0000-0000-00003D080000}"/>
    <cellStyle name="Ввод  5 80 4" xfId="14320" xr:uid="{00000000-0005-0000-0000-00003E080000}"/>
    <cellStyle name="Ввод  5 81" xfId="1081" xr:uid="{00000000-0005-0000-0000-00003F080000}"/>
    <cellStyle name="Ввод  5 81 2" xfId="5817" xr:uid="{00000000-0005-0000-0000-000040080000}"/>
    <cellStyle name="Ввод  5 81 3" xfId="10085" xr:uid="{00000000-0005-0000-0000-000041080000}"/>
    <cellStyle name="Ввод  5 81 4" xfId="14321" xr:uid="{00000000-0005-0000-0000-000042080000}"/>
    <cellStyle name="Ввод  5 82" xfId="1082" xr:uid="{00000000-0005-0000-0000-000043080000}"/>
    <cellStyle name="Ввод  5 82 2" xfId="5818" xr:uid="{00000000-0005-0000-0000-000044080000}"/>
    <cellStyle name="Ввод  5 82 3" xfId="10086" xr:uid="{00000000-0005-0000-0000-000045080000}"/>
    <cellStyle name="Ввод  5 82 4" xfId="14322" xr:uid="{00000000-0005-0000-0000-000046080000}"/>
    <cellStyle name="Ввод  5 83" xfId="1083" xr:uid="{00000000-0005-0000-0000-000047080000}"/>
    <cellStyle name="Ввод  5 83 2" xfId="5819" xr:uid="{00000000-0005-0000-0000-000048080000}"/>
    <cellStyle name="Ввод  5 83 3" xfId="10087" xr:uid="{00000000-0005-0000-0000-000049080000}"/>
    <cellStyle name="Ввод  5 83 4" xfId="14323" xr:uid="{00000000-0005-0000-0000-00004A080000}"/>
    <cellStyle name="Ввод  5 84" xfId="1084" xr:uid="{00000000-0005-0000-0000-00004B080000}"/>
    <cellStyle name="Ввод  5 84 2" xfId="5820" xr:uid="{00000000-0005-0000-0000-00004C080000}"/>
    <cellStyle name="Ввод  5 84 3" xfId="10088" xr:uid="{00000000-0005-0000-0000-00004D080000}"/>
    <cellStyle name="Ввод  5 84 4" xfId="14324" xr:uid="{00000000-0005-0000-0000-00004E080000}"/>
    <cellStyle name="Ввод  5 85" xfId="1085" xr:uid="{00000000-0005-0000-0000-00004F080000}"/>
    <cellStyle name="Ввод  5 85 2" xfId="5821" xr:uid="{00000000-0005-0000-0000-000050080000}"/>
    <cellStyle name="Ввод  5 85 3" xfId="10089" xr:uid="{00000000-0005-0000-0000-000051080000}"/>
    <cellStyle name="Ввод  5 85 4" xfId="14325" xr:uid="{00000000-0005-0000-0000-000052080000}"/>
    <cellStyle name="Ввод  5 86" xfId="1086" xr:uid="{00000000-0005-0000-0000-000053080000}"/>
    <cellStyle name="Ввод  5 86 2" xfId="5822" xr:uid="{00000000-0005-0000-0000-000054080000}"/>
    <cellStyle name="Ввод  5 86 3" xfId="10090" xr:uid="{00000000-0005-0000-0000-000055080000}"/>
    <cellStyle name="Ввод  5 86 4" xfId="14326" xr:uid="{00000000-0005-0000-0000-000056080000}"/>
    <cellStyle name="Ввод  5 87" xfId="1087" xr:uid="{00000000-0005-0000-0000-000057080000}"/>
    <cellStyle name="Ввод  5 87 2" xfId="5823" xr:uid="{00000000-0005-0000-0000-000058080000}"/>
    <cellStyle name="Ввод  5 87 3" xfId="10091" xr:uid="{00000000-0005-0000-0000-000059080000}"/>
    <cellStyle name="Ввод  5 87 4" xfId="14327" xr:uid="{00000000-0005-0000-0000-00005A080000}"/>
    <cellStyle name="Ввод  5 88" xfId="1088" xr:uid="{00000000-0005-0000-0000-00005B080000}"/>
    <cellStyle name="Ввод  5 88 2" xfId="5824" xr:uid="{00000000-0005-0000-0000-00005C080000}"/>
    <cellStyle name="Ввод  5 88 3" xfId="10092" xr:uid="{00000000-0005-0000-0000-00005D080000}"/>
    <cellStyle name="Ввод  5 88 4" xfId="14328" xr:uid="{00000000-0005-0000-0000-00005E080000}"/>
    <cellStyle name="Ввод  5 89" xfId="1089" xr:uid="{00000000-0005-0000-0000-00005F080000}"/>
    <cellStyle name="Ввод  5 89 2" xfId="5825" xr:uid="{00000000-0005-0000-0000-000060080000}"/>
    <cellStyle name="Ввод  5 89 3" xfId="10093" xr:uid="{00000000-0005-0000-0000-000061080000}"/>
    <cellStyle name="Ввод  5 89 4" xfId="14329" xr:uid="{00000000-0005-0000-0000-000062080000}"/>
    <cellStyle name="Ввод  5 9" xfId="1090" xr:uid="{00000000-0005-0000-0000-000063080000}"/>
    <cellStyle name="Ввод  5 9 2" xfId="5826" xr:uid="{00000000-0005-0000-0000-000064080000}"/>
    <cellStyle name="Ввод  5 9 3" xfId="10094" xr:uid="{00000000-0005-0000-0000-000065080000}"/>
    <cellStyle name="Ввод  5 9 4" xfId="14330" xr:uid="{00000000-0005-0000-0000-000066080000}"/>
    <cellStyle name="Ввод  5 90" xfId="1091" xr:uid="{00000000-0005-0000-0000-000067080000}"/>
    <cellStyle name="Ввод  5 90 2" xfId="5827" xr:uid="{00000000-0005-0000-0000-000068080000}"/>
    <cellStyle name="Ввод  5 90 3" xfId="10095" xr:uid="{00000000-0005-0000-0000-000069080000}"/>
    <cellStyle name="Ввод  5 90 4" xfId="14331" xr:uid="{00000000-0005-0000-0000-00006A080000}"/>
    <cellStyle name="Ввод  5 91" xfId="1092" xr:uid="{00000000-0005-0000-0000-00006B080000}"/>
    <cellStyle name="Ввод  5 91 2" xfId="5828" xr:uid="{00000000-0005-0000-0000-00006C080000}"/>
    <cellStyle name="Ввод  5 91 3" xfId="10096" xr:uid="{00000000-0005-0000-0000-00006D080000}"/>
    <cellStyle name="Ввод  5 91 4" xfId="14332" xr:uid="{00000000-0005-0000-0000-00006E080000}"/>
    <cellStyle name="Ввод  5 92" xfId="5181" xr:uid="{00000000-0005-0000-0000-00006F080000}"/>
    <cellStyle name="Ввод  5 93" xfId="5262" xr:uid="{00000000-0005-0000-0000-000070080000}"/>
    <cellStyle name="Ввод  5 94" xfId="8807" xr:uid="{00000000-0005-0000-0000-000071080000}"/>
    <cellStyle name="Ввод  6" xfId="228" xr:uid="{00000000-0005-0000-0000-000072080000}"/>
    <cellStyle name="Ввод  6 10" xfId="1093" xr:uid="{00000000-0005-0000-0000-000073080000}"/>
    <cellStyle name="Ввод  6 10 2" xfId="5829" xr:uid="{00000000-0005-0000-0000-000074080000}"/>
    <cellStyle name="Ввод  6 10 3" xfId="10097" xr:uid="{00000000-0005-0000-0000-000075080000}"/>
    <cellStyle name="Ввод  6 10 4" xfId="14333" xr:uid="{00000000-0005-0000-0000-000076080000}"/>
    <cellStyle name="Ввод  6 11" xfId="1094" xr:uid="{00000000-0005-0000-0000-000077080000}"/>
    <cellStyle name="Ввод  6 11 2" xfId="5830" xr:uid="{00000000-0005-0000-0000-000078080000}"/>
    <cellStyle name="Ввод  6 11 3" xfId="10098" xr:uid="{00000000-0005-0000-0000-000079080000}"/>
    <cellStyle name="Ввод  6 11 4" xfId="14334" xr:uid="{00000000-0005-0000-0000-00007A080000}"/>
    <cellStyle name="Ввод  6 12" xfId="1095" xr:uid="{00000000-0005-0000-0000-00007B080000}"/>
    <cellStyle name="Ввод  6 12 2" xfId="5831" xr:uid="{00000000-0005-0000-0000-00007C080000}"/>
    <cellStyle name="Ввод  6 12 3" xfId="10099" xr:uid="{00000000-0005-0000-0000-00007D080000}"/>
    <cellStyle name="Ввод  6 12 4" xfId="14335" xr:uid="{00000000-0005-0000-0000-00007E080000}"/>
    <cellStyle name="Ввод  6 13" xfId="1096" xr:uid="{00000000-0005-0000-0000-00007F080000}"/>
    <cellStyle name="Ввод  6 13 2" xfId="5832" xr:uid="{00000000-0005-0000-0000-000080080000}"/>
    <cellStyle name="Ввод  6 13 3" xfId="10100" xr:uid="{00000000-0005-0000-0000-000081080000}"/>
    <cellStyle name="Ввод  6 13 4" xfId="14336" xr:uid="{00000000-0005-0000-0000-000082080000}"/>
    <cellStyle name="Ввод  6 14" xfId="1097" xr:uid="{00000000-0005-0000-0000-000083080000}"/>
    <cellStyle name="Ввод  6 14 2" xfId="5833" xr:uid="{00000000-0005-0000-0000-000084080000}"/>
    <cellStyle name="Ввод  6 14 3" xfId="10101" xr:uid="{00000000-0005-0000-0000-000085080000}"/>
    <cellStyle name="Ввод  6 14 4" xfId="14337" xr:uid="{00000000-0005-0000-0000-000086080000}"/>
    <cellStyle name="Ввод  6 15" xfId="1098" xr:uid="{00000000-0005-0000-0000-000087080000}"/>
    <cellStyle name="Ввод  6 15 2" xfId="5834" xr:uid="{00000000-0005-0000-0000-000088080000}"/>
    <cellStyle name="Ввод  6 15 3" xfId="10102" xr:uid="{00000000-0005-0000-0000-000089080000}"/>
    <cellStyle name="Ввод  6 15 4" xfId="14338" xr:uid="{00000000-0005-0000-0000-00008A080000}"/>
    <cellStyle name="Ввод  6 16" xfId="1099" xr:uid="{00000000-0005-0000-0000-00008B080000}"/>
    <cellStyle name="Ввод  6 16 2" xfId="5835" xr:uid="{00000000-0005-0000-0000-00008C080000}"/>
    <cellStyle name="Ввод  6 16 3" xfId="10103" xr:uid="{00000000-0005-0000-0000-00008D080000}"/>
    <cellStyle name="Ввод  6 16 4" xfId="14339" xr:uid="{00000000-0005-0000-0000-00008E080000}"/>
    <cellStyle name="Ввод  6 17" xfId="1100" xr:uid="{00000000-0005-0000-0000-00008F080000}"/>
    <cellStyle name="Ввод  6 17 2" xfId="5836" xr:uid="{00000000-0005-0000-0000-000090080000}"/>
    <cellStyle name="Ввод  6 17 3" xfId="10104" xr:uid="{00000000-0005-0000-0000-000091080000}"/>
    <cellStyle name="Ввод  6 17 4" xfId="14340" xr:uid="{00000000-0005-0000-0000-000092080000}"/>
    <cellStyle name="Ввод  6 18" xfId="1101" xr:uid="{00000000-0005-0000-0000-000093080000}"/>
    <cellStyle name="Ввод  6 18 2" xfId="5837" xr:uid="{00000000-0005-0000-0000-000094080000}"/>
    <cellStyle name="Ввод  6 18 3" xfId="10105" xr:uid="{00000000-0005-0000-0000-000095080000}"/>
    <cellStyle name="Ввод  6 18 4" xfId="14341" xr:uid="{00000000-0005-0000-0000-000096080000}"/>
    <cellStyle name="Ввод  6 19" xfId="1102" xr:uid="{00000000-0005-0000-0000-000097080000}"/>
    <cellStyle name="Ввод  6 19 2" xfId="5838" xr:uid="{00000000-0005-0000-0000-000098080000}"/>
    <cellStyle name="Ввод  6 19 3" xfId="10106" xr:uid="{00000000-0005-0000-0000-000099080000}"/>
    <cellStyle name="Ввод  6 19 4" xfId="14342" xr:uid="{00000000-0005-0000-0000-00009A080000}"/>
    <cellStyle name="Ввод  6 2" xfId="1103" xr:uid="{00000000-0005-0000-0000-00009B080000}"/>
    <cellStyle name="Ввод  6 2 2" xfId="1104" xr:uid="{00000000-0005-0000-0000-00009C080000}"/>
    <cellStyle name="Ввод  6 2 2 2" xfId="5840" xr:uid="{00000000-0005-0000-0000-00009D080000}"/>
    <cellStyle name="Ввод  6 2 2 3" xfId="10108" xr:uid="{00000000-0005-0000-0000-00009E080000}"/>
    <cellStyle name="Ввод  6 2 2 4" xfId="14344" xr:uid="{00000000-0005-0000-0000-00009F080000}"/>
    <cellStyle name="Ввод  6 2 3" xfId="1105" xr:uid="{00000000-0005-0000-0000-0000A0080000}"/>
    <cellStyle name="Ввод  6 2 3 2" xfId="5841" xr:uid="{00000000-0005-0000-0000-0000A1080000}"/>
    <cellStyle name="Ввод  6 2 3 3" xfId="10109" xr:uid="{00000000-0005-0000-0000-0000A2080000}"/>
    <cellStyle name="Ввод  6 2 3 4" xfId="14345" xr:uid="{00000000-0005-0000-0000-0000A3080000}"/>
    <cellStyle name="Ввод  6 2 4" xfId="5839" xr:uid="{00000000-0005-0000-0000-0000A4080000}"/>
    <cellStyle name="Ввод  6 2 5" xfId="10107" xr:uid="{00000000-0005-0000-0000-0000A5080000}"/>
    <cellStyle name="Ввод  6 2 6" xfId="14343" xr:uid="{00000000-0005-0000-0000-0000A6080000}"/>
    <cellStyle name="Ввод  6 20" xfId="1106" xr:uid="{00000000-0005-0000-0000-0000A7080000}"/>
    <cellStyle name="Ввод  6 20 2" xfId="5842" xr:uid="{00000000-0005-0000-0000-0000A8080000}"/>
    <cellStyle name="Ввод  6 20 3" xfId="10110" xr:uid="{00000000-0005-0000-0000-0000A9080000}"/>
    <cellStyle name="Ввод  6 20 4" xfId="14346" xr:uid="{00000000-0005-0000-0000-0000AA080000}"/>
    <cellStyle name="Ввод  6 21" xfId="1107" xr:uid="{00000000-0005-0000-0000-0000AB080000}"/>
    <cellStyle name="Ввод  6 21 2" xfId="5843" xr:uid="{00000000-0005-0000-0000-0000AC080000}"/>
    <cellStyle name="Ввод  6 21 3" xfId="10111" xr:uid="{00000000-0005-0000-0000-0000AD080000}"/>
    <cellStyle name="Ввод  6 21 4" xfId="14347" xr:uid="{00000000-0005-0000-0000-0000AE080000}"/>
    <cellStyle name="Ввод  6 22" xfId="1108" xr:uid="{00000000-0005-0000-0000-0000AF080000}"/>
    <cellStyle name="Ввод  6 22 2" xfId="5844" xr:uid="{00000000-0005-0000-0000-0000B0080000}"/>
    <cellStyle name="Ввод  6 22 3" xfId="10112" xr:uid="{00000000-0005-0000-0000-0000B1080000}"/>
    <cellStyle name="Ввод  6 22 4" xfId="14348" xr:uid="{00000000-0005-0000-0000-0000B2080000}"/>
    <cellStyle name="Ввод  6 23" xfId="1109" xr:uid="{00000000-0005-0000-0000-0000B3080000}"/>
    <cellStyle name="Ввод  6 23 2" xfId="5845" xr:uid="{00000000-0005-0000-0000-0000B4080000}"/>
    <cellStyle name="Ввод  6 23 3" xfId="10113" xr:uid="{00000000-0005-0000-0000-0000B5080000}"/>
    <cellStyle name="Ввод  6 23 4" xfId="14349" xr:uid="{00000000-0005-0000-0000-0000B6080000}"/>
    <cellStyle name="Ввод  6 24" xfId="1110" xr:uid="{00000000-0005-0000-0000-0000B7080000}"/>
    <cellStyle name="Ввод  6 24 2" xfId="5846" xr:uid="{00000000-0005-0000-0000-0000B8080000}"/>
    <cellStyle name="Ввод  6 24 3" xfId="10114" xr:uid="{00000000-0005-0000-0000-0000B9080000}"/>
    <cellStyle name="Ввод  6 24 4" xfId="14350" xr:uid="{00000000-0005-0000-0000-0000BA080000}"/>
    <cellStyle name="Ввод  6 25" xfId="1111" xr:uid="{00000000-0005-0000-0000-0000BB080000}"/>
    <cellStyle name="Ввод  6 25 2" xfId="5847" xr:uid="{00000000-0005-0000-0000-0000BC080000}"/>
    <cellStyle name="Ввод  6 25 3" xfId="10115" xr:uid="{00000000-0005-0000-0000-0000BD080000}"/>
    <cellStyle name="Ввод  6 25 4" xfId="14351" xr:uid="{00000000-0005-0000-0000-0000BE080000}"/>
    <cellStyle name="Ввод  6 26" xfId="1112" xr:uid="{00000000-0005-0000-0000-0000BF080000}"/>
    <cellStyle name="Ввод  6 26 2" xfId="5848" xr:uid="{00000000-0005-0000-0000-0000C0080000}"/>
    <cellStyle name="Ввод  6 26 3" xfId="10116" xr:uid="{00000000-0005-0000-0000-0000C1080000}"/>
    <cellStyle name="Ввод  6 26 4" xfId="14352" xr:uid="{00000000-0005-0000-0000-0000C2080000}"/>
    <cellStyle name="Ввод  6 27" xfId="1113" xr:uid="{00000000-0005-0000-0000-0000C3080000}"/>
    <cellStyle name="Ввод  6 27 2" xfId="5849" xr:uid="{00000000-0005-0000-0000-0000C4080000}"/>
    <cellStyle name="Ввод  6 27 3" xfId="10117" xr:uid="{00000000-0005-0000-0000-0000C5080000}"/>
    <cellStyle name="Ввод  6 27 4" xfId="14353" xr:uid="{00000000-0005-0000-0000-0000C6080000}"/>
    <cellStyle name="Ввод  6 28" xfId="1114" xr:uid="{00000000-0005-0000-0000-0000C7080000}"/>
    <cellStyle name="Ввод  6 28 2" xfId="5850" xr:uid="{00000000-0005-0000-0000-0000C8080000}"/>
    <cellStyle name="Ввод  6 28 3" xfId="10118" xr:uid="{00000000-0005-0000-0000-0000C9080000}"/>
    <cellStyle name="Ввод  6 28 4" xfId="14354" xr:uid="{00000000-0005-0000-0000-0000CA080000}"/>
    <cellStyle name="Ввод  6 29" xfId="1115" xr:uid="{00000000-0005-0000-0000-0000CB080000}"/>
    <cellStyle name="Ввод  6 29 2" xfId="5851" xr:uid="{00000000-0005-0000-0000-0000CC080000}"/>
    <cellStyle name="Ввод  6 29 3" xfId="10119" xr:uid="{00000000-0005-0000-0000-0000CD080000}"/>
    <cellStyle name="Ввод  6 29 4" xfId="14355" xr:uid="{00000000-0005-0000-0000-0000CE080000}"/>
    <cellStyle name="Ввод  6 3" xfId="1116" xr:uid="{00000000-0005-0000-0000-0000CF080000}"/>
    <cellStyle name="Ввод  6 3 2" xfId="1117" xr:uid="{00000000-0005-0000-0000-0000D0080000}"/>
    <cellStyle name="Ввод  6 3 2 2" xfId="5853" xr:uid="{00000000-0005-0000-0000-0000D1080000}"/>
    <cellStyle name="Ввод  6 3 2 3" xfId="10121" xr:uid="{00000000-0005-0000-0000-0000D2080000}"/>
    <cellStyle name="Ввод  6 3 2 4" xfId="14357" xr:uid="{00000000-0005-0000-0000-0000D3080000}"/>
    <cellStyle name="Ввод  6 3 3" xfId="1118" xr:uid="{00000000-0005-0000-0000-0000D4080000}"/>
    <cellStyle name="Ввод  6 3 3 2" xfId="5854" xr:uid="{00000000-0005-0000-0000-0000D5080000}"/>
    <cellStyle name="Ввод  6 3 3 3" xfId="10122" xr:uid="{00000000-0005-0000-0000-0000D6080000}"/>
    <cellStyle name="Ввод  6 3 3 4" xfId="14358" xr:uid="{00000000-0005-0000-0000-0000D7080000}"/>
    <cellStyle name="Ввод  6 3 4" xfId="5852" xr:uid="{00000000-0005-0000-0000-0000D8080000}"/>
    <cellStyle name="Ввод  6 3 5" xfId="10120" xr:uid="{00000000-0005-0000-0000-0000D9080000}"/>
    <cellStyle name="Ввод  6 3 6" xfId="14356" xr:uid="{00000000-0005-0000-0000-0000DA080000}"/>
    <cellStyle name="Ввод  6 30" xfId="1119" xr:uid="{00000000-0005-0000-0000-0000DB080000}"/>
    <cellStyle name="Ввод  6 30 2" xfId="5855" xr:uid="{00000000-0005-0000-0000-0000DC080000}"/>
    <cellStyle name="Ввод  6 30 3" xfId="10123" xr:uid="{00000000-0005-0000-0000-0000DD080000}"/>
    <cellStyle name="Ввод  6 30 4" xfId="14359" xr:uid="{00000000-0005-0000-0000-0000DE080000}"/>
    <cellStyle name="Ввод  6 31" xfId="1120" xr:uid="{00000000-0005-0000-0000-0000DF080000}"/>
    <cellStyle name="Ввод  6 31 2" xfId="5856" xr:uid="{00000000-0005-0000-0000-0000E0080000}"/>
    <cellStyle name="Ввод  6 31 3" xfId="10124" xr:uid="{00000000-0005-0000-0000-0000E1080000}"/>
    <cellStyle name="Ввод  6 31 4" xfId="14360" xr:uid="{00000000-0005-0000-0000-0000E2080000}"/>
    <cellStyle name="Ввод  6 32" xfId="1121" xr:uid="{00000000-0005-0000-0000-0000E3080000}"/>
    <cellStyle name="Ввод  6 32 2" xfId="5857" xr:uid="{00000000-0005-0000-0000-0000E4080000}"/>
    <cellStyle name="Ввод  6 32 3" xfId="10125" xr:uid="{00000000-0005-0000-0000-0000E5080000}"/>
    <cellStyle name="Ввод  6 32 4" xfId="14361" xr:uid="{00000000-0005-0000-0000-0000E6080000}"/>
    <cellStyle name="Ввод  6 33" xfId="1122" xr:uid="{00000000-0005-0000-0000-0000E7080000}"/>
    <cellStyle name="Ввод  6 33 2" xfId="5858" xr:uid="{00000000-0005-0000-0000-0000E8080000}"/>
    <cellStyle name="Ввод  6 33 3" xfId="10126" xr:uid="{00000000-0005-0000-0000-0000E9080000}"/>
    <cellStyle name="Ввод  6 33 4" xfId="14362" xr:uid="{00000000-0005-0000-0000-0000EA080000}"/>
    <cellStyle name="Ввод  6 34" xfId="1123" xr:uid="{00000000-0005-0000-0000-0000EB080000}"/>
    <cellStyle name="Ввод  6 34 2" xfId="5859" xr:uid="{00000000-0005-0000-0000-0000EC080000}"/>
    <cellStyle name="Ввод  6 34 3" xfId="10127" xr:uid="{00000000-0005-0000-0000-0000ED080000}"/>
    <cellStyle name="Ввод  6 34 4" xfId="14363" xr:uid="{00000000-0005-0000-0000-0000EE080000}"/>
    <cellStyle name="Ввод  6 35" xfId="1124" xr:uid="{00000000-0005-0000-0000-0000EF080000}"/>
    <cellStyle name="Ввод  6 35 2" xfId="5860" xr:uid="{00000000-0005-0000-0000-0000F0080000}"/>
    <cellStyle name="Ввод  6 35 3" xfId="10128" xr:uid="{00000000-0005-0000-0000-0000F1080000}"/>
    <cellStyle name="Ввод  6 35 4" xfId="14364" xr:uid="{00000000-0005-0000-0000-0000F2080000}"/>
    <cellStyle name="Ввод  6 36" xfId="1125" xr:uid="{00000000-0005-0000-0000-0000F3080000}"/>
    <cellStyle name="Ввод  6 36 2" xfId="5861" xr:uid="{00000000-0005-0000-0000-0000F4080000}"/>
    <cellStyle name="Ввод  6 36 3" xfId="10129" xr:uid="{00000000-0005-0000-0000-0000F5080000}"/>
    <cellStyle name="Ввод  6 36 4" xfId="14365" xr:uid="{00000000-0005-0000-0000-0000F6080000}"/>
    <cellStyle name="Ввод  6 37" xfId="1126" xr:uid="{00000000-0005-0000-0000-0000F7080000}"/>
    <cellStyle name="Ввод  6 37 2" xfId="5862" xr:uid="{00000000-0005-0000-0000-0000F8080000}"/>
    <cellStyle name="Ввод  6 37 3" xfId="10130" xr:uid="{00000000-0005-0000-0000-0000F9080000}"/>
    <cellStyle name="Ввод  6 37 4" xfId="14366" xr:uid="{00000000-0005-0000-0000-0000FA080000}"/>
    <cellStyle name="Ввод  6 38" xfId="1127" xr:uid="{00000000-0005-0000-0000-0000FB080000}"/>
    <cellStyle name="Ввод  6 38 2" xfId="5863" xr:uid="{00000000-0005-0000-0000-0000FC080000}"/>
    <cellStyle name="Ввод  6 38 3" xfId="10131" xr:uid="{00000000-0005-0000-0000-0000FD080000}"/>
    <cellStyle name="Ввод  6 38 4" xfId="14367" xr:uid="{00000000-0005-0000-0000-0000FE080000}"/>
    <cellStyle name="Ввод  6 39" xfId="1128" xr:uid="{00000000-0005-0000-0000-0000FF080000}"/>
    <cellStyle name="Ввод  6 39 2" xfId="5864" xr:uid="{00000000-0005-0000-0000-000000090000}"/>
    <cellStyle name="Ввод  6 39 3" xfId="10132" xr:uid="{00000000-0005-0000-0000-000001090000}"/>
    <cellStyle name="Ввод  6 39 4" xfId="14368" xr:uid="{00000000-0005-0000-0000-000002090000}"/>
    <cellStyle name="Ввод  6 4" xfId="1129" xr:uid="{00000000-0005-0000-0000-000003090000}"/>
    <cellStyle name="Ввод  6 4 2" xfId="1130" xr:uid="{00000000-0005-0000-0000-000004090000}"/>
    <cellStyle name="Ввод  6 4 2 2" xfId="5866" xr:uid="{00000000-0005-0000-0000-000005090000}"/>
    <cellStyle name="Ввод  6 4 2 3" xfId="10134" xr:uid="{00000000-0005-0000-0000-000006090000}"/>
    <cellStyle name="Ввод  6 4 2 4" xfId="14370" xr:uid="{00000000-0005-0000-0000-000007090000}"/>
    <cellStyle name="Ввод  6 4 3" xfId="1131" xr:uid="{00000000-0005-0000-0000-000008090000}"/>
    <cellStyle name="Ввод  6 4 3 2" xfId="5867" xr:uid="{00000000-0005-0000-0000-000009090000}"/>
    <cellStyle name="Ввод  6 4 3 3" xfId="10135" xr:uid="{00000000-0005-0000-0000-00000A090000}"/>
    <cellStyle name="Ввод  6 4 3 4" xfId="14371" xr:uid="{00000000-0005-0000-0000-00000B090000}"/>
    <cellStyle name="Ввод  6 4 4" xfId="5865" xr:uid="{00000000-0005-0000-0000-00000C090000}"/>
    <cellStyle name="Ввод  6 4 5" xfId="10133" xr:uid="{00000000-0005-0000-0000-00000D090000}"/>
    <cellStyle name="Ввод  6 4 6" xfId="14369" xr:uid="{00000000-0005-0000-0000-00000E090000}"/>
    <cellStyle name="Ввод  6 40" xfId="1132" xr:uid="{00000000-0005-0000-0000-00000F090000}"/>
    <cellStyle name="Ввод  6 40 2" xfId="5868" xr:uid="{00000000-0005-0000-0000-000010090000}"/>
    <cellStyle name="Ввод  6 40 3" xfId="10136" xr:uid="{00000000-0005-0000-0000-000011090000}"/>
    <cellStyle name="Ввод  6 40 4" xfId="14372" xr:uid="{00000000-0005-0000-0000-000012090000}"/>
    <cellStyle name="Ввод  6 41" xfId="1133" xr:uid="{00000000-0005-0000-0000-000013090000}"/>
    <cellStyle name="Ввод  6 41 2" xfId="5869" xr:uid="{00000000-0005-0000-0000-000014090000}"/>
    <cellStyle name="Ввод  6 41 3" xfId="10137" xr:uid="{00000000-0005-0000-0000-000015090000}"/>
    <cellStyle name="Ввод  6 41 4" xfId="14373" xr:uid="{00000000-0005-0000-0000-000016090000}"/>
    <cellStyle name="Ввод  6 42" xfId="1134" xr:uid="{00000000-0005-0000-0000-000017090000}"/>
    <cellStyle name="Ввод  6 42 2" xfId="5870" xr:uid="{00000000-0005-0000-0000-000018090000}"/>
    <cellStyle name="Ввод  6 42 3" xfId="10138" xr:uid="{00000000-0005-0000-0000-000019090000}"/>
    <cellStyle name="Ввод  6 42 4" xfId="14374" xr:uid="{00000000-0005-0000-0000-00001A090000}"/>
    <cellStyle name="Ввод  6 43" xfId="1135" xr:uid="{00000000-0005-0000-0000-00001B090000}"/>
    <cellStyle name="Ввод  6 43 2" xfId="5871" xr:uid="{00000000-0005-0000-0000-00001C090000}"/>
    <cellStyle name="Ввод  6 43 3" xfId="10139" xr:uid="{00000000-0005-0000-0000-00001D090000}"/>
    <cellStyle name="Ввод  6 43 4" xfId="14375" xr:uid="{00000000-0005-0000-0000-00001E090000}"/>
    <cellStyle name="Ввод  6 44" xfId="1136" xr:uid="{00000000-0005-0000-0000-00001F090000}"/>
    <cellStyle name="Ввод  6 44 2" xfId="5872" xr:uid="{00000000-0005-0000-0000-000020090000}"/>
    <cellStyle name="Ввод  6 44 3" xfId="10140" xr:uid="{00000000-0005-0000-0000-000021090000}"/>
    <cellStyle name="Ввод  6 44 4" xfId="14376" xr:uid="{00000000-0005-0000-0000-000022090000}"/>
    <cellStyle name="Ввод  6 45" xfId="1137" xr:uid="{00000000-0005-0000-0000-000023090000}"/>
    <cellStyle name="Ввод  6 45 2" xfId="5873" xr:uid="{00000000-0005-0000-0000-000024090000}"/>
    <cellStyle name="Ввод  6 45 3" xfId="10141" xr:uid="{00000000-0005-0000-0000-000025090000}"/>
    <cellStyle name="Ввод  6 45 4" xfId="14377" xr:uid="{00000000-0005-0000-0000-000026090000}"/>
    <cellStyle name="Ввод  6 46" xfId="1138" xr:uid="{00000000-0005-0000-0000-000027090000}"/>
    <cellStyle name="Ввод  6 46 2" xfId="5874" xr:uid="{00000000-0005-0000-0000-000028090000}"/>
    <cellStyle name="Ввод  6 46 3" xfId="10142" xr:uid="{00000000-0005-0000-0000-000029090000}"/>
    <cellStyle name="Ввод  6 46 4" xfId="14378" xr:uid="{00000000-0005-0000-0000-00002A090000}"/>
    <cellStyle name="Ввод  6 47" xfId="1139" xr:uid="{00000000-0005-0000-0000-00002B090000}"/>
    <cellStyle name="Ввод  6 47 2" xfId="5875" xr:uid="{00000000-0005-0000-0000-00002C090000}"/>
    <cellStyle name="Ввод  6 47 3" xfId="10143" xr:uid="{00000000-0005-0000-0000-00002D090000}"/>
    <cellStyle name="Ввод  6 47 4" xfId="14379" xr:uid="{00000000-0005-0000-0000-00002E090000}"/>
    <cellStyle name="Ввод  6 48" xfId="1140" xr:uid="{00000000-0005-0000-0000-00002F090000}"/>
    <cellStyle name="Ввод  6 48 2" xfId="5876" xr:uid="{00000000-0005-0000-0000-000030090000}"/>
    <cellStyle name="Ввод  6 48 3" xfId="10144" xr:uid="{00000000-0005-0000-0000-000031090000}"/>
    <cellStyle name="Ввод  6 48 4" xfId="14380" xr:uid="{00000000-0005-0000-0000-000032090000}"/>
    <cellStyle name="Ввод  6 49" xfId="1141" xr:uid="{00000000-0005-0000-0000-000033090000}"/>
    <cellStyle name="Ввод  6 49 2" xfId="5877" xr:uid="{00000000-0005-0000-0000-000034090000}"/>
    <cellStyle name="Ввод  6 49 3" xfId="10145" xr:uid="{00000000-0005-0000-0000-000035090000}"/>
    <cellStyle name="Ввод  6 49 4" xfId="14381" xr:uid="{00000000-0005-0000-0000-000036090000}"/>
    <cellStyle name="Ввод  6 5" xfId="1142" xr:uid="{00000000-0005-0000-0000-000037090000}"/>
    <cellStyle name="Ввод  6 5 2" xfId="5878" xr:uid="{00000000-0005-0000-0000-000038090000}"/>
    <cellStyle name="Ввод  6 5 3" xfId="10146" xr:uid="{00000000-0005-0000-0000-000039090000}"/>
    <cellStyle name="Ввод  6 5 4" xfId="14382" xr:uid="{00000000-0005-0000-0000-00003A090000}"/>
    <cellStyle name="Ввод  6 50" xfId="1143" xr:uid="{00000000-0005-0000-0000-00003B090000}"/>
    <cellStyle name="Ввод  6 50 2" xfId="5879" xr:uid="{00000000-0005-0000-0000-00003C090000}"/>
    <cellStyle name="Ввод  6 50 3" xfId="10147" xr:uid="{00000000-0005-0000-0000-00003D090000}"/>
    <cellStyle name="Ввод  6 50 4" xfId="14383" xr:uid="{00000000-0005-0000-0000-00003E090000}"/>
    <cellStyle name="Ввод  6 51" xfId="1144" xr:uid="{00000000-0005-0000-0000-00003F090000}"/>
    <cellStyle name="Ввод  6 51 2" xfId="5880" xr:uid="{00000000-0005-0000-0000-000040090000}"/>
    <cellStyle name="Ввод  6 51 3" xfId="10148" xr:uid="{00000000-0005-0000-0000-000041090000}"/>
    <cellStyle name="Ввод  6 51 4" xfId="14384" xr:uid="{00000000-0005-0000-0000-000042090000}"/>
    <cellStyle name="Ввод  6 52" xfId="1145" xr:uid="{00000000-0005-0000-0000-000043090000}"/>
    <cellStyle name="Ввод  6 52 2" xfId="5881" xr:uid="{00000000-0005-0000-0000-000044090000}"/>
    <cellStyle name="Ввод  6 52 3" xfId="10149" xr:uid="{00000000-0005-0000-0000-000045090000}"/>
    <cellStyle name="Ввод  6 52 4" xfId="14385" xr:uid="{00000000-0005-0000-0000-000046090000}"/>
    <cellStyle name="Ввод  6 53" xfId="1146" xr:uid="{00000000-0005-0000-0000-000047090000}"/>
    <cellStyle name="Ввод  6 53 2" xfId="5882" xr:uid="{00000000-0005-0000-0000-000048090000}"/>
    <cellStyle name="Ввод  6 53 3" xfId="10150" xr:uid="{00000000-0005-0000-0000-000049090000}"/>
    <cellStyle name="Ввод  6 53 4" xfId="14386" xr:uid="{00000000-0005-0000-0000-00004A090000}"/>
    <cellStyle name="Ввод  6 54" xfId="1147" xr:uid="{00000000-0005-0000-0000-00004B090000}"/>
    <cellStyle name="Ввод  6 54 2" xfId="5883" xr:uid="{00000000-0005-0000-0000-00004C090000}"/>
    <cellStyle name="Ввод  6 54 3" xfId="10151" xr:uid="{00000000-0005-0000-0000-00004D090000}"/>
    <cellStyle name="Ввод  6 54 4" xfId="14387" xr:uid="{00000000-0005-0000-0000-00004E090000}"/>
    <cellStyle name="Ввод  6 55" xfId="1148" xr:uid="{00000000-0005-0000-0000-00004F090000}"/>
    <cellStyle name="Ввод  6 55 2" xfId="5884" xr:uid="{00000000-0005-0000-0000-000050090000}"/>
    <cellStyle name="Ввод  6 55 3" xfId="10152" xr:uid="{00000000-0005-0000-0000-000051090000}"/>
    <cellStyle name="Ввод  6 55 4" xfId="14388" xr:uid="{00000000-0005-0000-0000-000052090000}"/>
    <cellStyle name="Ввод  6 56" xfId="1149" xr:uid="{00000000-0005-0000-0000-000053090000}"/>
    <cellStyle name="Ввод  6 56 2" xfId="5885" xr:uid="{00000000-0005-0000-0000-000054090000}"/>
    <cellStyle name="Ввод  6 56 3" xfId="10153" xr:uid="{00000000-0005-0000-0000-000055090000}"/>
    <cellStyle name="Ввод  6 56 4" xfId="14389" xr:uid="{00000000-0005-0000-0000-000056090000}"/>
    <cellStyle name="Ввод  6 57" xfId="1150" xr:uid="{00000000-0005-0000-0000-000057090000}"/>
    <cellStyle name="Ввод  6 57 2" xfId="5886" xr:uid="{00000000-0005-0000-0000-000058090000}"/>
    <cellStyle name="Ввод  6 57 3" xfId="10154" xr:uid="{00000000-0005-0000-0000-000059090000}"/>
    <cellStyle name="Ввод  6 57 4" xfId="14390" xr:uid="{00000000-0005-0000-0000-00005A090000}"/>
    <cellStyle name="Ввод  6 58" xfId="1151" xr:uid="{00000000-0005-0000-0000-00005B090000}"/>
    <cellStyle name="Ввод  6 58 2" xfId="5887" xr:uid="{00000000-0005-0000-0000-00005C090000}"/>
    <cellStyle name="Ввод  6 58 3" xfId="10155" xr:uid="{00000000-0005-0000-0000-00005D090000}"/>
    <cellStyle name="Ввод  6 58 4" xfId="14391" xr:uid="{00000000-0005-0000-0000-00005E090000}"/>
    <cellStyle name="Ввод  6 59" xfId="1152" xr:uid="{00000000-0005-0000-0000-00005F090000}"/>
    <cellStyle name="Ввод  6 59 2" xfId="5888" xr:uid="{00000000-0005-0000-0000-000060090000}"/>
    <cellStyle name="Ввод  6 59 3" xfId="10156" xr:uid="{00000000-0005-0000-0000-000061090000}"/>
    <cellStyle name="Ввод  6 59 4" xfId="14392" xr:uid="{00000000-0005-0000-0000-000062090000}"/>
    <cellStyle name="Ввод  6 6" xfId="1153" xr:uid="{00000000-0005-0000-0000-000063090000}"/>
    <cellStyle name="Ввод  6 6 2" xfId="5889" xr:uid="{00000000-0005-0000-0000-000064090000}"/>
    <cellStyle name="Ввод  6 6 3" xfId="10157" xr:uid="{00000000-0005-0000-0000-000065090000}"/>
    <cellStyle name="Ввод  6 6 4" xfId="14393" xr:uid="{00000000-0005-0000-0000-000066090000}"/>
    <cellStyle name="Ввод  6 60" xfId="1154" xr:uid="{00000000-0005-0000-0000-000067090000}"/>
    <cellStyle name="Ввод  6 60 2" xfId="5890" xr:uid="{00000000-0005-0000-0000-000068090000}"/>
    <cellStyle name="Ввод  6 60 3" xfId="10158" xr:uid="{00000000-0005-0000-0000-000069090000}"/>
    <cellStyle name="Ввод  6 60 4" xfId="14394" xr:uid="{00000000-0005-0000-0000-00006A090000}"/>
    <cellStyle name="Ввод  6 61" xfId="1155" xr:uid="{00000000-0005-0000-0000-00006B090000}"/>
    <cellStyle name="Ввод  6 61 2" xfId="5891" xr:uid="{00000000-0005-0000-0000-00006C090000}"/>
    <cellStyle name="Ввод  6 61 3" xfId="10159" xr:uid="{00000000-0005-0000-0000-00006D090000}"/>
    <cellStyle name="Ввод  6 61 4" xfId="14395" xr:uid="{00000000-0005-0000-0000-00006E090000}"/>
    <cellStyle name="Ввод  6 62" xfId="1156" xr:uid="{00000000-0005-0000-0000-00006F090000}"/>
    <cellStyle name="Ввод  6 62 2" xfId="5892" xr:uid="{00000000-0005-0000-0000-000070090000}"/>
    <cellStyle name="Ввод  6 62 3" xfId="10160" xr:uid="{00000000-0005-0000-0000-000071090000}"/>
    <cellStyle name="Ввод  6 62 4" xfId="14396" xr:uid="{00000000-0005-0000-0000-000072090000}"/>
    <cellStyle name="Ввод  6 63" xfId="1157" xr:uid="{00000000-0005-0000-0000-000073090000}"/>
    <cellStyle name="Ввод  6 63 2" xfId="5893" xr:uid="{00000000-0005-0000-0000-000074090000}"/>
    <cellStyle name="Ввод  6 63 3" xfId="10161" xr:uid="{00000000-0005-0000-0000-000075090000}"/>
    <cellStyle name="Ввод  6 63 4" xfId="14397" xr:uid="{00000000-0005-0000-0000-000076090000}"/>
    <cellStyle name="Ввод  6 64" xfId="1158" xr:uid="{00000000-0005-0000-0000-000077090000}"/>
    <cellStyle name="Ввод  6 64 2" xfId="5894" xr:uid="{00000000-0005-0000-0000-000078090000}"/>
    <cellStyle name="Ввод  6 64 3" xfId="10162" xr:uid="{00000000-0005-0000-0000-000079090000}"/>
    <cellStyle name="Ввод  6 64 4" xfId="14398" xr:uid="{00000000-0005-0000-0000-00007A090000}"/>
    <cellStyle name="Ввод  6 65" xfId="1159" xr:uid="{00000000-0005-0000-0000-00007B090000}"/>
    <cellStyle name="Ввод  6 65 2" xfId="5895" xr:uid="{00000000-0005-0000-0000-00007C090000}"/>
    <cellStyle name="Ввод  6 65 3" xfId="10163" xr:uid="{00000000-0005-0000-0000-00007D090000}"/>
    <cellStyle name="Ввод  6 65 4" xfId="14399" xr:uid="{00000000-0005-0000-0000-00007E090000}"/>
    <cellStyle name="Ввод  6 66" xfId="1160" xr:uid="{00000000-0005-0000-0000-00007F090000}"/>
    <cellStyle name="Ввод  6 66 2" xfId="5896" xr:uid="{00000000-0005-0000-0000-000080090000}"/>
    <cellStyle name="Ввод  6 66 3" xfId="10164" xr:uid="{00000000-0005-0000-0000-000081090000}"/>
    <cellStyle name="Ввод  6 66 4" xfId="14400" xr:uid="{00000000-0005-0000-0000-000082090000}"/>
    <cellStyle name="Ввод  6 67" xfId="1161" xr:uid="{00000000-0005-0000-0000-000083090000}"/>
    <cellStyle name="Ввод  6 67 2" xfId="5897" xr:uid="{00000000-0005-0000-0000-000084090000}"/>
    <cellStyle name="Ввод  6 67 3" xfId="10165" xr:uid="{00000000-0005-0000-0000-000085090000}"/>
    <cellStyle name="Ввод  6 67 4" xfId="14401" xr:uid="{00000000-0005-0000-0000-000086090000}"/>
    <cellStyle name="Ввод  6 68" xfId="1162" xr:uid="{00000000-0005-0000-0000-000087090000}"/>
    <cellStyle name="Ввод  6 68 2" xfId="5898" xr:uid="{00000000-0005-0000-0000-000088090000}"/>
    <cellStyle name="Ввод  6 68 3" xfId="10166" xr:uid="{00000000-0005-0000-0000-000089090000}"/>
    <cellStyle name="Ввод  6 68 4" xfId="14402" xr:uid="{00000000-0005-0000-0000-00008A090000}"/>
    <cellStyle name="Ввод  6 69" xfId="1163" xr:uid="{00000000-0005-0000-0000-00008B090000}"/>
    <cellStyle name="Ввод  6 69 2" xfId="5899" xr:uid="{00000000-0005-0000-0000-00008C090000}"/>
    <cellStyle name="Ввод  6 69 3" xfId="10167" xr:uid="{00000000-0005-0000-0000-00008D090000}"/>
    <cellStyle name="Ввод  6 69 4" xfId="14403" xr:uid="{00000000-0005-0000-0000-00008E090000}"/>
    <cellStyle name="Ввод  6 7" xfId="1164" xr:uid="{00000000-0005-0000-0000-00008F090000}"/>
    <cellStyle name="Ввод  6 7 2" xfId="5900" xr:uid="{00000000-0005-0000-0000-000090090000}"/>
    <cellStyle name="Ввод  6 7 3" xfId="10168" xr:uid="{00000000-0005-0000-0000-000091090000}"/>
    <cellStyle name="Ввод  6 7 4" xfId="14404" xr:uid="{00000000-0005-0000-0000-000092090000}"/>
    <cellStyle name="Ввод  6 70" xfId="1165" xr:uid="{00000000-0005-0000-0000-000093090000}"/>
    <cellStyle name="Ввод  6 70 2" xfId="5901" xr:uid="{00000000-0005-0000-0000-000094090000}"/>
    <cellStyle name="Ввод  6 70 3" xfId="10169" xr:uid="{00000000-0005-0000-0000-000095090000}"/>
    <cellStyle name="Ввод  6 70 4" xfId="14405" xr:uid="{00000000-0005-0000-0000-000096090000}"/>
    <cellStyle name="Ввод  6 71" xfId="1166" xr:uid="{00000000-0005-0000-0000-000097090000}"/>
    <cellStyle name="Ввод  6 71 2" xfId="5902" xr:uid="{00000000-0005-0000-0000-000098090000}"/>
    <cellStyle name="Ввод  6 71 3" xfId="10170" xr:uid="{00000000-0005-0000-0000-000099090000}"/>
    <cellStyle name="Ввод  6 71 4" xfId="14406" xr:uid="{00000000-0005-0000-0000-00009A090000}"/>
    <cellStyle name="Ввод  6 72" xfId="1167" xr:uid="{00000000-0005-0000-0000-00009B090000}"/>
    <cellStyle name="Ввод  6 72 2" xfId="5903" xr:uid="{00000000-0005-0000-0000-00009C090000}"/>
    <cellStyle name="Ввод  6 72 3" xfId="10171" xr:uid="{00000000-0005-0000-0000-00009D090000}"/>
    <cellStyle name="Ввод  6 72 4" xfId="14407" xr:uid="{00000000-0005-0000-0000-00009E090000}"/>
    <cellStyle name="Ввод  6 73" xfId="1168" xr:uid="{00000000-0005-0000-0000-00009F090000}"/>
    <cellStyle name="Ввод  6 73 2" xfId="5904" xr:uid="{00000000-0005-0000-0000-0000A0090000}"/>
    <cellStyle name="Ввод  6 73 3" xfId="10172" xr:uid="{00000000-0005-0000-0000-0000A1090000}"/>
    <cellStyle name="Ввод  6 73 4" xfId="14408" xr:uid="{00000000-0005-0000-0000-0000A2090000}"/>
    <cellStyle name="Ввод  6 74" xfId="1169" xr:uid="{00000000-0005-0000-0000-0000A3090000}"/>
    <cellStyle name="Ввод  6 74 2" xfId="5905" xr:uid="{00000000-0005-0000-0000-0000A4090000}"/>
    <cellStyle name="Ввод  6 74 3" xfId="10173" xr:uid="{00000000-0005-0000-0000-0000A5090000}"/>
    <cellStyle name="Ввод  6 74 4" xfId="14409" xr:uid="{00000000-0005-0000-0000-0000A6090000}"/>
    <cellStyle name="Ввод  6 75" xfId="1170" xr:uid="{00000000-0005-0000-0000-0000A7090000}"/>
    <cellStyle name="Ввод  6 75 2" xfId="5906" xr:uid="{00000000-0005-0000-0000-0000A8090000}"/>
    <cellStyle name="Ввод  6 75 3" xfId="10174" xr:uid="{00000000-0005-0000-0000-0000A9090000}"/>
    <cellStyle name="Ввод  6 75 4" xfId="14410" xr:uid="{00000000-0005-0000-0000-0000AA090000}"/>
    <cellStyle name="Ввод  6 76" xfId="1171" xr:uid="{00000000-0005-0000-0000-0000AB090000}"/>
    <cellStyle name="Ввод  6 76 2" xfId="5907" xr:uid="{00000000-0005-0000-0000-0000AC090000}"/>
    <cellStyle name="Ввод  6 76 3" xfId="10175" xr:uid="{00000000-0005-0000-0000-0000AD090000}"/>
    <cellStyle name="Ввод  6 76 4" xfId="14411" xr:uid="{00000000-0005-0000-0000-0000AE090000}"/>
    <cellStyle name="Ввод  6 77" xfId="1172" xr:uid="{00000000-0005-0000-0000-0000AF090000}"/>
    <cellStyle name="Ввод  6 77 2" xfId="5908" xr:uid="{00000000-0005-0000-0000-0000B0090000}"/>
    <cellStyle name="Ввод  6 77 3" xfId="10176" xr:uid="{00000000-0005-0000-0000-0000B1090000}"/>
    <cellStyle name="Ввод  6 77 4" xfId="14412" xr:uid="{00000000-0005-0000-0000-0000B2090000}"/>
    <cellStyle name="Ввод  6 78" xfId="1173" xr:uid="{00000000-0005-0000-0000-0000B3090000}"/>
    <cellStyle name="Ввод  6 78 2" xfId="5909" xr:uid="{00000000-0005-0000-0000-0000B4090000}"/>
    <cellStyle name="Ввод  6 78 3" xfId="10177" xr:uid="{00000000-0005-0000-0000-0000B5090000}"/>
    <cellStyle name="Ввод  6 78 4" xfId="14413" xr:uid="{00000000-0005-0000-0000-0000B6090000}"/>
    <cellStyle name="Ввод  6 79" xfId="1174" xr:uid="{00000000-0005-0000-0000-0000B7090000}"/>
    <cellStyle name="Ввод  6 79 2" xfId="5910" xr:uid="{00000000-0005-0000-0000-0000B8090000}"/>
    <cellStyle name="Ввод  6 79 3" xfId="10178" xr:uid="{00000000-0005-0000-0000-0000B9090000}"/>
    <cellStyle name="Ввод  6 79 4" xfId="14414" xr:uid="{00000000-0005-0000-0000-0000BA090000}"/>
    <cellStyle name="Ввод  6 8" xfId="1175" xr:uid="{00000000-0005-0000-0000-0000BB090000}"/>
    <cellStyle name="Ввод  6 8 2" xfId="5911" xr:uid="{00000000-0005-0000-0000-0000BC090000}"/>
    <cellStyle name="Ввод  6 8 3" xfId="10179" xr:uid="{00000000-0005-0000-0000-0000BD090000}"/>
    <cellStyle name="Ввод  6 8 4" xfId="14415" xr:uid="{00000000-0005-0000-0000-0000BE090000}"/>
    <cellStyle name="Ввод  6 80" xfId="1176" xr:uid="{00000000-0005-0000-0000-0000BF090000}"/>
    <cellStyle name="Ввод  6 80 2" xfId="5912" xr:uid="{00000000-0005-0000-0000-0000C0090000}"/>
    <cellStyle name="Ввод  6 80 3" xfId="10180" xr:uid="{00000000-0005-0000-0000-0000C1090000}"/>
    <cellStyle name="Ввод  6 80 4" xfId="14416" xr:uid="{00000000-0005-0000-0000-0000C2090000}"/>
    <cellStyle name="Ввод  6 81" xfId="1177" xr:uid="{00000000-0005-0000-0000-0000C3090000}"/>
    <cellStyle name="Ввод  6 81 2" xfId="5913" xr:uid="{00000000-0005-0000-0000-0000C4090000}"/>
    <cellStyle name="Ввод  6 81 3" xfId="10181" xr:uid="{00000000-0005-0000-0000-0000C5090000}"/>
    <cellStyle name="Ввод  6 81 4" xfId="14417" xr:uid="{00000000-0005-0000-0000-0000C6090000}"/>
    <cellStyle name="Ввод  6 82" xfId="1178" xr:uid="{00000000-0005-0000-0000-0000C7090000}"/>
    <cellStyle name="Ввод  6 82 2" xfId="5914" xr:uid="{00000000-0005-0000-0000-0000C8090000}"/>
    <cellStyle name="Ввод  6 82 3" xfId="10182" xr:uid="{00000000-0005-0000-0000-0000C9090000}"/>
    <cellStyle name="Ввод  6 82 4" xfId="14418" xr:uid="{00000000-0005-0000-0000-0000CA090000}"/>
    <cellStyle name="Ввод  6 83" xfId="1179" xr:uid="{00000000-0005-0000-0000-0000CB090000}"/>
    <cellStyle name="Ввод  6 83 2" xfId="5915" xr:uid="{00000000-0005-0000-0000-0000CC090000}"/>
    <cellStyle name="Ввод  6 83 3" xfId="10183" xr:uid="{00000000-0005-0000-0000-0000CD090000}"/>
    <cellStyle name="Ввод  6 83 4" xfId="14419" xr:uid="{00000000-0005-0000-0000-0000CE090000}"/>
    <cellStyle name="Ввод  6 84" xfId="1180" xr:uid="{00000000-0005-0000-0000-0000CF090000}"/>
    <cellStyle name="Ввод  6 84 2" xfId="5916" xr:uid="{00000000-0005-0000-0000-0000D0090000}"/>
    <cellStyle name="Ввод  6 84 3" xfId="10184" xr:uid="{00000000-0005-0000-0000-0000D1090000}"/>
    <cellStyle name="Ввод  6 84 4" xfId="14420" xr:uid="{00000000-0005-0000-0000-0000D2090000}"/>
    <cellStyle name="Ввод  6 85" xfId="1181" xr:uid="{00000000-0005-0000-0000-0000D3090000}"/>
    <cellStyle name="Ввод  6 85 2" xfId="5917" xr:uid="{00000000-0005-0000-0000-0000D4090000}"/>
    <cellStyle name="Ввод  6 85 3" xfId="10185" xr:uid="{00000000-0005-0000-0000-0000D5090000}"/>
    <cellStyle name="Ввод  6 85 4" xfId="14421" xr:uid="{00000000-0005-0000-0000-0000D6090000}"/>
    <cellStyle name="Ввод  6 86" xfId="1182" xr:uid="{00000000-0005-0000-0000-0000D7090000}"/>
    <cellStyle name="Ввод  6 86 2" xfId="5918" xr:uid="{00000000-0005-0000-0000-0000D8090000}"/>
    <cellStyle name="Ввод  6 86 3" xfId="10186" xr:uid="{00000000-0005-0000-0000-0000D9090000}"/>
    <cellStyle name="Ввод  6 86 4" xfId="14422" xr:uid="{00000000-0005-0000-0000-0000DA090000}"/>
    <cellStyle name="Ввод  6 87" xfId="1183" xr:uid="{00000000-0005-0000-0000-0000DB090000}"/>
    <cellStyle name="Ввод  6 87 2" xfId="5919" xr:uid="{00000000-0005-0000-0000-0000DC090000}"/>
    <cellStyle name="Ввод  6 87 3" xfId="10187" xr:uid="{00000000-0005-0000-0000-0000DD090000}"/>
    <cellStyle name="Ввод  6 87 4" xfId="14423" xr:uid="{00000000-0005-0000-0000-0000DE090000}"/>
    <cellStyle name="Ввод  6 88" xfId="1184" xr:uid="{00000000-0005-0000-0000-0000DF090000}"/>
    <cellStyle name="Ввод  6 88 2" xfId="5920" xr:uid="{00000000-0005-0000-0000-0000E0090000}"/>
    <cellStyle name="Ввод  6 88 3" xfId="10188" xr:uid="{00000000-0005-0000-0000-0000E1090000}"/>
    <cellStyle name="Ввод  6 88 4" xfId="14424" xr:uid="{00000000-0005-0000-0000-0000E2090000}"/>
    <cellStyle name="Ввод  6 89" xfId="1185" xr:uid="{00000000-0005-0000-0000-0000E3090000}"/>
    <cellStyle name="Ввод  6 89 2" xfId="5921" xr:uid="{00000000-0005-0000-0000-0000E4090000}"/>
    <cellStyle name="Ввод  6 89 3" xfId="10189" xr:uid="{00000000-0005-0000-0000-0000E5090000}"/>
    <cellStyle name="Ввод  6 89 4" xfId="14425" xr:uid="{00000000-0005-0000-0000-0000E6090000}"/>
    <cellStyle name="Ввод  6 9" xfId="1186" xr:uid="{00000000-0005-0000-0000-0000E7090000}"/>
    <cellStyle name="Ввод  6 9 2" xfId="5922" xr:uid="{00000000-0005-0000-0000-0000E8090000}"/>
    <cellStyle name="Ввод  6 9 3" xfId="10190" xr:uid="{00000000-0005-0000-0000-0000E9090000}"/>
    <cellStyle name="Ввод  6 9 4" xfId="14426" xr:uid="{00000000-0005-0000-0000-0000EA090000}"/>
    <cellStyle name="Ввод  6 90" xfId="1187" xr:uid="{00000000-0005-0000-0000-0000EB090000}"/>
    <cellStyle name="Ввод  6 90 2" xfId="5923" xr:uid="{00000000-0005-0000-0000-0000EC090000}"/>
    <cellStyle name="Ввод  6 90 3" xfId="10191" xr:uid="{00000000-0005-0000-0000-0000ED090000}"/>
    <cellStyle name="Ввод  6 90 4" xfId="14427" xr:uid="{00000000-0005-0000-0000-0000EE090000}"/>
    <cellStyle name="Ввод  6 91" xfId="1188" xr:uid="{00000000-0005-0000-0000-0000EF090000}"/>
    <cellStyle name="Ввод  6 91 2" xfId="5924" xr:uid="{00000000-0005-0000-0000-0000F0090000}"/>
    <cellStyle name="Ввод  6 91 3" xfId="10192" xr:uid="{00000000-0005-0000-0000-0000F1090000}"/>
    <cellStyle name="Ввод  6 91 4" xfId="14428" xr:uid="{00000000-0005-0000-0000-0000F2090000}"/>
    <cellStyle name="Ввод  6 92" xfId="5182" xr:uid="{00000000-0005-0000-0000-0000F3090000}"/>
    <cellStyle name="Ввод  6 93" xfId="5261" xr:uid="{00000000-0005-0000-0000-0000F4090000}"/>
    <cellStyle name="Ввод  6 94" xfId="8808" xr:uid="{00000000-0005-0000-0000-0000F5090000}"/>
    <cellStyle name="Ввод  7" xfId="229" xr:uid="{00000000-0005-0000-0000-0000F6090000}"/>
    <cellStyle name="Ввод  7 10" xfId="1189" xr:uid="{00000000-0005-0000-0000-0000F7090000}"/>
    <cellStyle name="Ввод  7 10 2" xfId="5925" xr:uid="{00000000-0005-0000-0000-0000F8090000}"/>
    <cellStyle name="Ввод  7 10 3" xfId="10193" xr:uid="{00000000-0005-0000-0000-0000F9090000}"/>
    <cellStyle name="Ввод  7 10 4" xfId="14429" xr:uid="{00000000-0005-0000-0000-0000FA090000}"/>
    <cellStyle name="Ввод  7 11" xfId="1190" xr:uid="{00000000-0005-0000-0000-0000FB090000}"/>
    <cellStyle name="Ввод  7 11 2" xfId="5926" xr:uid="{00000000-0005-0000-0000-0000FC090000}"/>
    <cellStyle name="Ввод  7 11 3" xfId="10194" xr:uid="{00000000-0005-0000-0000-0000FD090000}"/>
    <cellStyle name="Ввод  7 11 4" xfId="14430" xr:uid="{00000000-0005-0000-0000-0000FE090000}"/>
    <cellStyle name="Ввод  7 12" xfId="1191" xr:uid="{00000000-0005-0000-0000-0000FF090000}"/>
    <cellStyle name="Ввод  7 12 2" xfId="5927" xr:uid="{00000000-0005-0000-0000-0000000A0000}"/>
    <cellStyle name="Ввод  7 12 3" xfId="10195" xr:uid="{00000000-0005-0000-0000-0000010A0000}"/>
    <cellStyle name="Ввод  7 12 4" xfId="14431" xr:uid="{00000000-0005-0000-0000-0000020A0000}"/>
    <cellStyle name="Ввод  7 13" xfId="1192" xr:uid="{00000000-0005-0000-0000-0000030A0000}"/>
    <cellStyle name="Ввод  7 13 2" xfId="5928" xr:uid="{00000000-0005-0000-0000-0000040A0000}"/>
    <cellStyle name="Ввод  7 13 3" xfId="10196" xr:uid="{00000000-0005-0000-0000-0000050A0000}"/>
    <cellStyle name="Ввод  7 13 4" xfId="14432" xr:uid="{00000000-0005-0000-0000-0000060A0000}"/>
    <cellStyle name="Ввод  7 14" xfId="1193" xr:uid="{00000000-0005-0000-0000-0000070A0000}"/>
    <cellStyle name="Ввод  7 14 2" xfId="5929" xr:uid="{00000000-0005-0000-0000-0000080A0000}"/>
    <cellStyle name="Ввод  7 14 3" xfId="10197" xr:uid="{00000000-0005-0000-0000-0000090A0000}"/>
    <cellStyle name="Ввод  7 14 4" xfId="14433" xr:uid="{00000000-0005-0000-0000-00000A0A0000}"/>
    <cellStyle name="Ввод  7 15" xfId="1194" xr:uid="{00000000-0005-0000-0000-00000B0A0000}"/>
    <cellStyle name="Ввод  7 15 2" xfId="5930" xr:uid="{00000000-0005-0000-0000-00000C0A0000}"/>
    <cellStyle name="Ввод  7 15 3" xfId="10198" xr:uid="{00000000-0005-0000-0000-00000D0A0000}"/>
    <cellStyle name="Ввод  7 15 4" xfId="14434" xr:uid="{00000000-0005-0000-0000-00000E0A0000}"/>
    <cellStyle name="Ввод  7 16" xfId="1195" xr:uid="{00000000-0005-0000-0000-00000F0A0000}"/>
    <cellStyle name="Ввод  7 16 2" xfId="5931" xr:uid="{00000000-0005-0000-0000-0000100A0000}"/>
    <cellStyle name="Ввод  7 16 3" xfId="10199" xr:uid="{00000000-0005-0000-0000-0000110A0000}"/>
    <cellStyle name="Ввод  7 16 4" xfId="14435" xr:uid="{00000000-0005-0000-0000-0000120A0000}"/>
    <cellStyle name="Ввод  7 17" xfId="1196" xr:uid="{00000000-0005-0000-0000-0000130A0000}"/>
    <cellStyle name="Ввод  7 17 2" xfId="5932" xr:uid="{00000000-0005-0000-0000-0000140A0000}"/>
    <cellStyle name="Ввод  7 17 3" xfId="10200" xr:uid="{00000000-0005-0000-0000-0000150A0000}"/>
    <cellStyle name="Ввод  7 17 4" xfId="14436" xr:uid="{00000000-0005-0000-0000-0000160A0000}"/>
    <cellStyle name="Ввод  7 18" xfId="1197" xr:uid="{00000000-0005-0000-0000-0000170A0000}"/>
    <cellStyle name="Ввод  7 18 2" xfId="5933" xr:uid="{00000000-0005-0000-0000-0000180A0000}"/>
    <cellStyle name="Ввод  7 18 3" xfId="10201" xr:uid="{00000000-0005-0000-0000-0000190A0000}"/>
    <cellStyle name="Ввод  7 18 4" xfId="14437" xr:uid="{00000000-0005-0000-0000-00001A0A0000}"/>
    <cellStyle name="Ввод  7 19" xfId="1198" xr:uid="{00000000-0005-0000-0000-00001B0A0000}"/>
    <cellStyle name="Ввод  7 19 2" xfId="5934" xr:uid="{00000000-0005-0000-0000-00001C0A0000}"/>
    <cellStyle name="Ввод  7 19 3" xfId="10202" xr:uid="{00000000-0005-0000-0000-00001D0A0000}"/>
    <cellStyle name="Ввод  7 19 4" xfId="14438" xr:uid="{00000000-0005-0000-0000-00001E0A0000}"/>
    <cellStyle name="Ввод  7 2" xfId="1199" xr:uid="{00000000-0005-0000-0000-00001F0A0000}"/>
    <cellStyle name="Ввод  7 2 2" xfId="1200" xr:uid="{00000000-0005-0000-0000-0000200A0000}"/>
    <cellStyle name="Ввод  7 2 2 2" xfId="5936" xr:uid="{00000000-0005-0000-0000-0000210A0000}"/>
    <cellStyle name="Ввод  7 2 2 3" xfId="10204" xr:uid="{00000000-0005-0000-0000-0000220A0000}"/>
    <cellStyle name="Ввод  7 2 2 4" xfId="14440" xr:uid="{00000000-0005-0000-0000-0000230A0000}"/>
    <cellStyle name="Ввод  7 2 3" xfId="1201" xr:uid="{00000000-0005-0000-0000-0000240A0000}"/>
    <cellStyle name="Ввод  7 2 3 2" xfId="5937" xr:uid="{00000000-0005-0000-0000-0000250A0000}"/>
    <cellStyle name="Ввод  7 2 3 3" xfId="10205" xr:uid="{00000000-0005-0000-0000-0000260A0000}"/>
    <cellStyle name="Ввод  7 2 3 4" xfId="14441" xr:uid="{00000000-0005-0000-0000-0000270A0000}"/>
    <cellStyle name="Ввод  7 2 4" xfId="5935" xr:uid="{00000000-0005-0000-0000-0000280A0000}"/>
    <cellStyle name="Ввод  7 2 5" xfId="10203" xr:uid="{00000000-0005-0000-0000-0000290A0000}"/>
    <cellStyle name="Ввод  7 2 6" xfId="14439" xr:uid="{00000000-0005-0000-0000-00002A0A0000}"/>
    <cellStyle name="Ввод  7 20" xfId="1202" xr:uid="{00000000-0005-0000-0000-00002B0A0000}"/>
    <cellStyle name="Ввод  7 20 2" xfId="5938" xr:uid="{00000000-0005-0000-0000-00002C0A0000}"/>
    <cellStyle name="Ввод  7 20 3" xfId="10206" xr:uid="{00000000-0005-0000-0000-00002D0A0000}"/>
    <cellStyle name="Ввод  7 20 4" xfId="14442" xr:uid="{00000000-0005-0000-0000-00002E0A0000}"/>
    <cellStyle name="Ввод  7 21" xfId="1203" xr:uid="{00000000-0005-0000-0000-00002F0A0000}"/>
    <cellStyle name="Ввод  7 21 2" xfId="5939" xr:uid="{00000000-0005-0000-0000-0000300A0000}"/>
    <cellStyle name="Ввод  7 21 3" xfId="10207" xr:uid="{00000000-0005-0000-0000-0000310A0000}"/>
    <cellStyle name="Ввод  7 21 4" xfId="14443" xr:uid="{00000000-0005-0000-0000-0000320A0000}"/>
    <cellStyle name="Ввод  7 22" xfId="1204" xr:uid="{00000000-0005-0000-0000-0000330A0000}"/>
    <cellStyle name="Ввод  7 22 2" xfId="5940" xr:uid="{00000000-0005-0000-0000-0000340A0000}"/>
    <cellStyle name="Ввод  7 22 3" xfId="10208" xr:uid="{00000000-0005-0000-0000-0000350A0000}"/>
    <cellStyle name="Ввод  7 22 4" xfId="14444" xr:uid="{00000000-0005-0000-0000-0000360A0000}"/>
    <cellStyle name="Ввод  7 23" xfId="1205" xr:uid="{00000000-0005-0000-0000-0000370A0000}"/>
    <cellStyle name="Ввод  7 23 2" xfId="5941" xr:uid="{00000000-0005-0000-0000-0000380A0000}"/>
    <cellStyle name="Ввод  7 23 3" xfId="10209" xr:uid="{00000000-0005-0000-0000-0000390A0000}"/>
    <cellStyle name="Ввод  7 23 4" xfId="14445" xr:uid="{00000000-0005-0000-0000-00003A0A0000}"/>
    <cellStyle name="Ввод  7 24" xfId="1206" xr:uid="{00000000-0005-0000-0000-00003B0A0000}"/>
    <cellStyle name="Ввод  7 24 2" xfId="5942" xr:uid="{00000000-0005-0000-0000-00003C0A0000}"/>
    <cellStyle name="Ввод  7 24 3" xfId="10210" xr:uid="{00000000-0005-0000-0000-00003D0A0000}"/>
    <cellStyle name="Ввод  7 24 4" xfId="14446" xr:uid="{00000000-0005-0000-0000-00003E0A0000}"/>
    <cellStyle name="Ввод  7 25" xfId="1207" xr:uid="{00000000-0005-0000-0000-00003F0A0000}"/>
    <cellStyle name="Ввод  7 25 2" xfId="5943" xr:uid="{00000000-0005-0000-0000-0000400A0000}"/>
    <cellStyle name="Ввод  7 25 3" xfId="10211" xr:uid="{00000000-0005-0000-0000-0000410A0000}"/>
    <cellStyle name="Ввод  7 25 4" xfId="14447" xr:uid="{00000000-0005-0000-0000-0000420A0000}"/>
    <cellStyle name="Ввод  7 26" xfId="1208" xr:uid="{00000000-0005-0000-0000-0000430A0000}"/>
    <cellStyle name="Ввод  7 26 2" xfId="5944" xr:uid="{00000000-0005-0000-0000-0000440A0000}"/>
    <cellStyle name="Ввод  7 26 3" xfId="10212" xr:uid="{00000000-0005-0000-0000-0000450A0000}"/>
    <cellStyle name="Ввод  7 26 4" xfId="14448" xr:uid="{00000000-0005-0000-0000-0000460A0000}"/>
    <cellStyle name="Ввод  7 27" xfId="1209" xr:uid="{00000000-0005-0000-0000-0000470A0000}"/>
    <cellStyle name="Ввод  7 27 2" xfId="5945" xr:uid="{00000000-0005-0000-0000-0000480A0000}"/>
    <cellStyle name="Ввод  7 27 3" xfId="10213" xr:uid="{00000000-0005-0000-0000-0000490A0000}"/>
    <cellStyle name="Ввод  7 27 4" xfId="14449" xr:uid="{00000000-0005-0000-0000-00004A0A0000}"/>
    <cellStyle name="Ввод  7 28" xfId="1210" xr:uid="{00000000-0005-0000-0000-00004B0A0000}"/>
    <cellStyle name="Ввод  7 28 2" xfId="5946" xr:uid="{00000000-0005-0000-0000-00004C0A0000}"/>
    <cellStyle name="Ввод  7 28 3" xfId="10214" xr:uid="{00000000-0005-0000-0000-00004D0A0000}"/>
    <cellStyle name="Ввод  7 28 4" xfId="14450" xr:uid="{00000000-0005-0000-0000-00004E0A0000}"/>
    <cellStyle name="Ввод  7 29" xfId="1211" xr:uid="{00000000-0005-0000-0000-00004F0A0000}"/>
    <cellStyle name="Ввод  7 29 2" xfId="5947" xr:uid="{00000000-0005-0000-0000-0000500A0000}"/>
    <cellStyle name="Ввод  7 29 3" xfId="10215" xr:uid="{00000000-0005-0000-0000-0000510A0000}"/>
    <cellStyle name="Ввод  7 29 4" xfId="14451" xr:uid="{00000000-0005-0000-0000-0000520A0000}"/>
    <cellStyle name="Ввод  7 3" xfId="1212" xr:uid="{00000000-0005-0000-0000-0000530A0000}"/>
    <cellStyle name="Ввод  7 3 2" xfId="1213" xr:uid="{00000000-0005-0000-0000-0000540A0000}"/>
    <cellStyle name="Ввод  7 3 2 2" xfId="5949" xr:uid="{00000000-0005-0000-0000-0000550A0000}"/>
    <cellStyle name="Ввод  7 3 2 3" xfId="10217" xr:uid="{00000000-0005-0000-0000-0000560A0000}"/>
    <cellStyle name="Ввод  7 3 2 4" xfId="14453" xr:uid="{00000000-0005-0000-0000-0000570A0000}"/>
    <cellStyle name="Ввод  7 3 3" xfId="1214" xr:uid="{00000000-0005-0000-0000-0000580A0000}"/>
    <cellStyle name="Ввод  7 3 3 2" xfId="5950" xr:uid="{00000000-0005-0000-0000-0000590A0000}"/>
    <cellStyle name="Ввод  7 3 3 3" xfId="10218" xr:uid="{00000000-0005-0000-0000-00005A0A0000}"/>
    <cellStyle name="Ввод  7 3 3 4" xfId="14454" xr:uid="{00000000-0005-0000-0000-00005B0A0000}"/>
    <cellStyle name="Ввод  7 3 4" xfId="5948" xr:uid="{00000000-0005-0000-0000-00005C0A0000}"/>
    <cellStyle name="Ввод  7 3 5" xfId="10216" xr:uid="{00000000-0005-0000-0000-00005D0A0000}"/>
    <cellStyle name="Ввод  7 3 6" xfId="14452" xr:uid="{00000000-0005-0000-0000-00005E0A0000}"/>
    <cellStyle name="Ввод  7 30" xfId="1215" xr:uid="{00000000-0005-0000-0000-00005F0A0000}"/>
    <cellStyle name="Ввод  7 30 2" xfId="5951" xr:uid="{00000000-0005-0000-0000-0000600A0000}"/>
    <cellStyle name="Ввод  7 30 3" xfId="10219" xr:uid="{00000000-0005-0000-0000-0000610A0000}"/>
    <cellStyle name="Ввод  7 30 4" xfId="14455" xr:uid="{00000000-0005-0000-0000-0000620A0000}"/>
    <cellStyle name="Ввод  7 31" xfId="1216" xr:uid="{00000000-0005-0000-0000-0000630A0000}"/>
    <cellStyle name="Ввод  7 31 2" xfId="5952" xr:uid="{00000000-0005-0000-0000-0000640A0000}"/>
    <cellStyle name="Ввод  7 31 3" xfId="10220" xr:uid="{00000000-0005-0000-0000-0000650A0000}"/>
    <cellStyle name="Ввод  7 31 4" xfId="14456" xr:uid="{00000000-0005-0000-0000-0000660A0000}"/>
    <cellStyle name="Ввод  7 32" xfId="1217" xr:uid="{00000000-0005-0000-0000-0000670A0000}"/>
    <cellStyle name="Ввод  7 32 2" xfId="5953" xr:uid="{00000000-0005-0000-0000-0000680A0000}"/>
    <cellStyle name="Ввод  7 32 3" xfId="10221" xr:uid="{00000000-0005-0000-0000-0000690A0000}"/>
    <cellStyle name="Ввод  7 32 4" xfId="14457" xr:uid="{00000000-0005-0000-0000-00006A0A0000}"/>
    <cellStyle name="Ввод  7 33" xfId="1218" xr:uid="{00000000-0005-0000-0000-00006B0A0000}"/>
    <cellStyle name="Ввод  7 33 2" xfId="5954" xr:uid="{00000000-0005-0000-0000-00006C0A0000}"/>
    <cellStyle name="Ввод  7 33 3" xfId="10222" xr:uid="{00000000-0005-0000-0000-00006D0A0000}"/>
    <cellStyle name="Ввод  7 33 4" xfId="14458" xr:uid="{00000000-0005-0000-0000-00006E0A0000}"/>
    <cellStyle name="Ввод  7 34" xfId="1219" xr:uid="{00000000-0005-0000-0000-00006F0A0000}"/>
    <cellStyle name="Ввод  7 34 2" xfId="5955" xr:uid="{00000000-0005-0000-0000-0000700A0000}"/>
    <cellStyle name="Ввод  7 34 3" xfId="10223" xr:uid="{00000000-0005-0000-0000-0000710A0000}"/>
    <cellStyle name="Ввод  7 34 4" xfId="14459" xr:uid="{00000000-0005-0000-0000-0000720A0000}"/>
    <cellStyle name="Ввод  7 35" xfId="1220" xr:uid="{00000000-0005-0000-0000-0000730A0000}"/>
    <cellStyle name="Ввод  7 35 2" xfId="5956" xr:uid="{00000000-0005-0000-0000-0000740A0000}"/>
    <cellStyle name="Ввод  7 35 3" xfId="10224" xr:uid="{00000000-0005-0000-0000-0000750A0000}"/>
    <cellStyle name="Ввод  7 35 4" xfId="14460" xr:uid="{00000000-0005-0000-0000-0000760A0000}"/>
    <cellStyle name="Ввод  7 36" xfId="1221" xr:uid="{00000000-0005-0000-0000-0000770A0000}"/>
    <cellStyle name="Ввод  7 36 2" xfId="5957" xr:uid="{00000000-0005-0000-0000-0000780A0000}"/>
    <cellStyle name="Ввод  7 36 3" xfId="10225" xr:uid="{00000000-0005-0000-0000-0000790A0000}"/>
    <cellStyle name="Ввод  7 36 4" xfId="14461" xr:uid="{00000000-0005-0000-0000-00007A0A0000}"/>
    <cellStyle name="Ввод  7 37" xfId="1222" xr:uid="{00000000-0005-0000-0000-00007B0A0000}"/>
    <cellStyle name="Ввод  7 37 2" xfId="5958" xr:uid="{00000000-0005-0000-0000-00007C0A0000}"/>
    <cellStyle name="Ввод  7 37 3" xfId="10226" xr:uid="{00000000-0005-0000-0000-00007D0A0000}"/>
    <cellStyle name="Ввод  7 37 4" xfId="14462" xr:uid="{00000000-0005-0000-0000-00007E0A0000}"/>
    <cellStyle name="Ввод  7 38" xfId="1223" xr:uid="{00000000-0005-0000-0000-00007F0A0000}"/>
    <cellStyle name="Ввод  7 38 2" xfId="5959" xr:uid="{00000000-0005-0000-0000-0000800A0000}"/>
    <cellStyle name="Ввод  7 38 3" xfId="10227" xr:uid="{00000000-0005-0000-0000-0000810A0000}"/>
    <cellStyle name="Ввод  7 38 4" xfId="14463" xr:uid="{00000000-0005-0000-0000-0000820A0000}"/>
    <cellStyle name="Ввод  7 39" xfId="1224" xr:uid="{00000000-0005-0000-0000-0000830A0000}"/>
    <cellStyle name="Ввод  7 39 2" xfId="5960" xr:uid="{00000000-0005-0000-0000-0000840A0000}"/>
    <cellStyle name="Ввод  7 39 3" xfId="10228" xr:uid="{00000000-0005-0000-0000-0000850A0000}"/>
    <cellStyle name="Ввод  7 39 4" xfId="14464" xr:uid="{00000000-0005-0000-0000-0000860A0000}"/>
    <cellStyle name="Ввод  7 4" xfId="1225" xr:uid="{00000000-0005-0000-0000-0000870A0000}"/>
    <cellStyle name="Ввод  7 4 2" xfId="1226" xr:uid="{00000000-0005-0000-0000-0000880A0000}"/>
    <cellStyle name="Ввод  7 4 2 2" xfId="5962" xr:uid="{00000000-0005-0000-0000-0000890A0000}"/>
    <cellStyle name="Ввод  7 4 2 3" xfId="10230" xr:uid="{00000000-0005-0000-0000-00008A0A0000}"/>
    <cellStyle name="Ввод  7 4 2 4" xfId="14466" xr:uid="{00000000-0005-0000-0000-00008B0A0000}"/>
    <cellStyle name="Ввод  7 4 3" xfId="1227" xr:uid="{00000000-0005-0000-0000-00008C0A0000}"/>
    <cellStyle name="Ввод  7 4 3 2" xfId="5963" xr:uid="{00000000-0005-0000-0000-00008D0A0000}"/>
    <cellStyle name="Ввод  7 4 3 3" xfId="10231" xr:uid="{00000000-0005-0000-0000-00008E0A0000}"/>
    <cellStyle name="Ввод  7 4 3 4" xfId="14467" xr:uid="{00000000-0005-0000-0000-00008F0A0000}"/>
    <cellStyle name="Ввод  7 4 4" xfId="5961" xr:uid="{00000000-0005-0000-0000-0000900A0000}"/>
    <cellStyle name="Ввод  7 4 5" xfId="10229" xr:uid="{00000000-0005-0000-0000-0000910A0000}"/>
    <cellStyle name="Ввод  7 4 6" xfId="14465" xr:uid="{00000000-0005-0000-0000-0000920A0000}"/>
    <cellStyle name="Ввод  7 40" xfId="1228" xr:uid="{00000000-0005-0000-0000-0000930A0000}"/>
    <cellStyle name="Ввод  7 40 2" xfId="5964" xr:uid="{00000000-0005-0000-0000-0000940A0000}"/>
    <cellStyle name="Ввод  7 40 3" xfId="10232" xr:uid="{00000000-0005-0000-0000-0000950A0000}"/>
    <cellStyle name="Ввод  7 40 4" xfId="14468" xr:uid="{00000000-0005-0000-0000-0000960A0000}"/>
    <cellStyle name="Ввод  7 41" xfId="1229" xr:uid="{00000000-0005-0000-0000-0000970A0000}"/>
    <cellStyle name="Ввод  7 41 2" xfId="5965" xr:uid="{00000000-0005-0000-0000-0000980A0000}"/>
    <cellStyle name="Ввод  7 41 3" xfId="10233" xr:uid="{00000000-0005-0000-0000-0000990A0000}"/>
    <cellStyle name="Ввод  7 41 4" xfId="14469" xr:uid="{00000000-0005-0000-0000-00009A0A0000}"/>
    <cellStyle name="Ввод  7 42" xfId="1230" xr:uid="{00000000-0005-0000-0000-00009B0A0000}"/>
    <cellStyle name="Ввод  7 42 2" xfId="5966" xr:uid="{00000000-0005-0000-0000-00009C0A0000}"/>
    <cellStyle name="Ввод  7 42 3" xfId="10234" xr:uid="{00000000-0005-0000-0000-00009D0A0000}"/>
    <cellStyle name="Ввод  7 42 4" xfId="14470" xr:uid="{00000000-0005-0000-0000-00009E0A0000}"/>
    <cellStyle name="Ввод  7 43" xfId="1231" xr:uid="{00000000-0005-0000-0000-00009F0A0000}"/>
    <cellStyle name="Ввод  7 43 2" xfId="5967" xr:uid="{00000000-0005-0000-0000-0000A00A0000}"/>
    <cellStyle name="Ввод  7 43 3" xfId="10235" xr:uid="{00000000-0005-0000-0000-0000A10A0000}"/>
    <cellStyle name="Ввод  7 43 4" xfId="14471" xr:uid="{00000000-0005-0000-0000-0000A20A0000}"/>
    <cellStyle name="Ввод  7 44" xfId="1232" xr:uid="{00000000-0005-0000-0000-0000A30A0000}"/>
    <cellStyle name="Ввод  7 44 2" xfId="5968" xr:uid="{00000000-0005-0000-0000-0000A40A0000}"/>
    <cellStyle name="Ввод  7 44 3" xfId="10236" xr:uid="{00000000-0005-0000-0000-0000A50A0000}"/>
    <cellStyle name="Ввод  7 44 4" xfId="14472" xr:uid="{00000000-0005-0000-0000-0000A60A0000}"/>
    <cellStyle name="Ввод  7 45" xfId="1233" xr:uid="{00000000-0005-0000-0000-0000A70A0000}"/>
    <cellStyle name="Ввод  7 45 2" xfId="5969" xr:uid="{00000000-0005-0000-0000-0000A80A0000}"/>
    <cellStyle name="Ввод  7 45 3" xfId="10237" xr:uid="{00000000-0005-0000-0000-0000A90A0000}"/>
    <cellStyle name="Ввод  7 45 4" xfId="14473" xr:uid="{00000000-0005-0000-0000-0000AA0A0000}"/>
    <cellStyle name="Ввод  7 46" xfId="1234" xr:uid="{00000000-0005-0000-0000-0000AB0A0000}"/>
    <cellStyle name="Ввод  7 46 2" xfId="5970" xr:uid="{00000000-0005-0000-0000-0000AC0A0000}"/>
    <cellStyle name="Ввод  7 46 3" xfId="10238" xr:uid="{00000000-0005-0000-0000-0000AD0A0000}"/>
    <cellStyle name="Ввод  7 46 4" xfId="14474" xr:uid="{00000000-0005-0000-0000-0000AE0A0000}"/>
    <cellStyle name="Ввод  7 47" xfId="1235" xr:uid="{00000000-0005-0000-0000-0000AF0A0000}"/>
    <cellStyle name="Ввод  7 47 2" xfId="5971" xr:uid="{00000000-0005-0000-0000-0000B00A0000}"/>
    <cellStyle name="Ввод  7 47 3" xfId="10239" xr:uid="{00000000-0005-0000-0000-0000B10A0000}"/>
    <cellStyle name="Ввод  7 47 4" xfId="14475" xr:uid="{00000000-0005-0000-0000-0000B20A0000}"/>
    <cellStyle name="Ввод  7 48" xfId="1236" xr:uid="{00000000-0005-0000-0000-0000B30A0000}"/>
    <cellStyle name="Ввод  7 48 2" xfId="5972" xr:uid="{00000000-0005-0000-0000-0000B40A0000}"/>
    <cellStyle name="Ввод  7 48 3" xfId="10240" xr:uid="{00000000-0005-0000-0000-0000B50A0000}"/>
    <cellStyle name="Ввод  7 48 4" xfId="14476" xr:uid="{00000000-0005-0000-0000-0000B60A0000}"/>
    <cellStyle name="Ввод  7 49" xfId="1237" xr:uid="{00000000-0005-0000-0000-0000B70A0000}"/>
    <cellStyle name="Ввод  7 49 2" xfId="5973" xr:uid="{00000000-0005-0000-0000-0000B80A0000}"/>
    <cellStyle name="Ввод  7 49 3" xfId="10241" xr:uid="{00000000-0005-0000-0000-0000B90A0000}"/>
    <cellStyle name="Ввод  7 49 4" xfId="14477" xr:uid="{00000000-0005-0000-0000-0000BA0A0000}"/>
    <cellStyle name="Ввод  7 5" xfId="1238" xr:uid="{00000000-0005-0000-0000-0000BB0A0000}"/>
    <cellStyle name="Ввод  7 5 2" xfId="5974" xr:uid="{00000000-0005-0000-0000-0000BC0A0000}"/>
    <cellStyle name="Ввод  7 5 3" xfId="10242" xr:uid="{00000000-0005-0000-0000-0000BD0A0000}"/>
    <cellStyle name="Ввод  7 5 4" xfId="14478" xr:uid="{00000000-0005-0000-0000-0000BE0A0000}"/>
    <cellStyle name="Ввод  7 50" xfId="1239" xr:uid="{00000000-0005-0000-0000-0000BF0A0000}"/>
    <cellStyle name="Ввод  7 50 2" xfId="5975" xr:uid="{00000000-0005-0000-0000-0000C00A0000}"/>
    <cellStyle name="Ввод  7 50 3" xfId="10243" xr:uid="{00000000-0005-0000-0000-0000C10A0000}"/>
    <cellStyle name="Ввод  7 50 4" xfId="14479" xr:uid="{00000000-0005-0000-0000-0000C20A0000}"/>
    <cellStyle name="Ввод  7 51" xfId="1240" xr:uid="{00000000-0005-0000-0000-0000C30A0000}"/>
    <cellStyle name="Ввод  7 51 2" xfId="5976" xr:uid="{00000000-0005-0000-0000-0000C40A0000}"/>
    <cellStyle name="Ввод  7 51 3" xfId="10244" xr:uid="{00000000-0005-0000-0000-0000C50A0000}"/>
    <cellStyle name="Ввод  7 51 4" xfId="14480" xr:uid="{00000000-0005-0000-0000-0000C60A0000}"/>
    <cellStyle name="Ввод  7 52" xfId="1241" xr:uid="{00000000-0005-0000-0000-0000C70A0000}"/>
    <cellStyle name="Ввод  7 52 2" xfId="5977" xr:uid="{00000000-0005-0000-0000-0000C80A0000}"/>
    <cellStyle name="Ввод  7 52 3" xfId="10245" xr:uid="{00000000-0005-0000-0000-0000C90A0000}"/>
    <cellStyle name="Ввод  7 52 4" xfId="14481" xr:uid="{00000000-0005-0000-0000-0000CA0A0000}"/>
    <cellStyle name="Ввод  7 53" xfId="1242" xr:uid="{00000000-0005-0000-0000-0000CB0A0000}"/>
    <cellStyle name="Ввод  7 53 2" xfId="5978" xr:uid="{00000000-0005-0000-0000-0000CC0A0000}"/>
    <cellStyle name="Ввод  7 53 3" xfId="10246" xr:uid="{00000000-0005-0000-0000-0000CD0A0000}"/>
    <cellStyle name="Ввод  7 53 4" xfId="14482" xr:uid="{00000000-0005-0000-0000-0000CE0A0000}"/>
    <cellStyle name="Ввод  7 54" xfId="1243" xr:uid="{00000000-0005-0000-0000-0000CF0A0000}"/>
    <cellStyle name="Ввод  7 54 2" xfId="5979" xr:uid="{00000000-0005-0000-0000-0000D00A0000}"/>
    <cellStyle name="Ввод  7 54 3" xfId="10247" xr:uid="{00000000-0005-0000-0000-0000D10A0000}"/>
    <cellStyle name="Ввод  7 54 4" xfId="14483" xr:uid="{00000000-0005-0000-0000-0000D20A0000}"/>
    <cellStyle name="Ввод  7 55" xfId="1244" xr:uid="{00000000-0005-0000-0000-0000D30A0000}"/>
    <cellStyle name="Ввод  7 55 2" xfId="5980" xr:uid="{00000000-0005-0000-0000-0000D40A0000}"/>
    <cellStyle name="Ввод  7 55 3" xfId="10248" xr:uid="{00000000-0005-0000-0000-0000D50A0000}"/>
    <cellStyle name="Ввод  7 55 4" xfId="14484" xr:uid="{00000000-0005-0000-0000-0000D60A0000}"/>
    <cellStyle name="Ввод  7 56" xfId="1245" xr:uid="{00000000-0005-0000-0000-0000D70A0000}"/>
    <cellStyle name="Ввод  7 56 2" xfId="5981" xr:uid="{00000000-0005-0000-0000-0000D80A0000}"/>
    <cellStyle name="Ввод  7 56 3" xfId="10249" xr:uid="{00000000-0005-0000-0000-0000D90A0000}"/>
    <cellStyle name="Ввод  7 56 4" xfId="14485" xr:uid="{00000000-0005-0000-0000-0000DA0A0000}"/>
    <cellStyle name="Ввод  7 57" xfId="1246" xr:uid="{00000000-0005-0000-0000-0000DB0A0000}"/>
    <cellStyle name="Ввод  7 57 2" xfId="5982" xr:uid="{00000000-0005-0000-0000-0000DC0A0000}"/>
    <cellStyle name="Ввод  7 57 3" xfId="10250" xr:uid="{00000000-0005-0000-0000-0000DD0A0000}"/>
    <cellStyle name="Ввод  7 57 4" xfId="14486" xr:uid="{00000000-0005-0000-0000-0000DE0A0000}"/>
    <cellStyle name="Ввод  7 58" xfId="1247" xr:uid="{00000000-0005-0000-0000-0000DF0A0000}"/>
    <cellStyle name="Ввод  7 58 2" xfId="5983" xr:uid="{00000000-0005-0000-0000-0000E00A0000}"/>
    <cellStyle name="Ввод  7 58 3" xfId="10251" xr:uid="{00000000-0005-0000-0000-0000E10A0000}"/>
    <cellStyle name="Ввод  7 58 4" xfId="14487" xr:uid="{00000000-0005-0000-0000-0000E20A0000}"/>
    <cellStyle name="Ввод  7 59" xfId="1248" xr:uid="{00000000-0005-0000-0000-0000E30A0000}"/>
    <cellStyle name="Ввод  7 59 2" xfId="5984" xr:uid="{00000000-0005-0000-0000-0000E40A0000}"/>
    <cellStyle name="Ввод  7 59 3" xfId="10252" xr:uid="{00000000-0005-0000-0000-0000E50A0000}"/>
    <cellStyle name="Ввод  7 59 4" xfId="14488" xr:uid="{00000000-0005-0000-0000-0000E60A0000}"/>
    <cellStyle name="Ввод  7 6" xfId="1249" xr:uid="{00000000-0005-0000-0000-0000E70A0000}"/>
    <cellStyle name="Ввод  7 6 2" xfId="5985" xr:uid="{00000000-0005-0000-0000-0000E80A0000}"/>
    <cellStyle name="Ввод  7 6 3" xfId="10253" xr:uid="{00000000-0005-0000-0000-0000E90A0000}"/>
    <cellStyle name="Ввод  7 6 4" xfId="14489" xr:uid="{00000000-0005-0000-0000-0000EA0A0000}"/>
    <cellStyle name="Ввод  7 60" xfId="1250" xr:uid="{00000000-0005-0000-0000-0000EB0A0000}"/>
    <cellStyle name="Ввод  7 60 2" xfId="5986" xr:uid="{00000000-0005-0000-0000-0000EC0A0000}"/>
    <cellStyle name="Ввод  7 60 3" xfId="10254" xr:uid="{00000000-0005-0000-0000-0000ED0A0000}"/>
    <cellStyle name="Ввод  7 60 4" xfId="14490" xr:uid="{00000000-0005-0000-0000-0000EE0A0000}"/>
    <cellStyle name="Ввод  7 61" xfId="1251" xr:uid="{00000000-0005-0000-0000-0000EF0A0000}"/>
    <cellStyle name="Ввод  7 61 2" xfId="5987" xr:uid="{00000000-0005-0000-0000-0000F00A0000}"/>
    <cellStyle name="Ввод  7 61 3" xfId="10255" xr:uid="{00000000-0005-0000-0000-0000F10A0000}"/>
    <cellStyle name="Ввод  7 61 4" xfId="14491" xr:uid="{00000000-0005-0000-0000-0000F20A0000}"/>
    <cellStyle name="Ввод  7 62" xfId="1252" xr:uid="{00000000-0005-0000-0000-0000F30A0000}"/>
    <cellStyle name="Ввод  7 62 2" xfId="5988" xr:uid="{00000000-0005-0000-0000-0000F40A0000}"/>
    <cellStyle name="Ввод  7 62 3" xfId="10256" xr:uid="{00000000-0005-0000-0000-0000F50A0000}"/>
    <cellStyle name="Ввод  7 62 4" xfId="14492" xr:uid="{00000000-0005-0000-0000-0000F60A0000}"/>
    <cellStyle name="Ввод  7 63" xfId="1253" xr:uid="{00000000-0005-0000-0000-0000F70A0000}"/>
    <cellStyle name="Ввод  7 63 2" xfId="5989" xr:uid="{00000000-0005-0000-0000-0000F80A0000}"/>
    <cellStyle name="Ввод  7 63 3" xfId="10257" xr:uid="{00000000-0005-0000-0000-0000F90A0000}"/>
    <cellStyle name="Ввод  7 63 4" xfId="14493" xr:uid="{00000000-0005-0000-0000-0000FA0A0000}"/>
    <cellStyle name="Ввод  7 64" xfId="1254" xr:uid="{00000000-0005-0000-0000-0000FB0A0000}"/>
    <cellStyle name="Ввод  7 64 2" xfId="5990" xr:uid="{00000000-0005-0000-0000-0000FC0A0000}"/>
    <cellStyle name="Ввод  7 64 3" xfId="10258" xr:uid="{00000000-0005-0000-0000-0000FD0A0000}"/>
    <cellStyle name="Ввод  7 64 4" xfId="14494" xr:uid="{00000000-0005-0000-0000-0000FE0A0000}"/>
    <cellStyle name="Ввод  7 65" xfId="1255" xr:uid="{00000000-0005-0000-0000-0000FF0A0000}"/>
    <cellStyle name="Ввод  7 65 2" xfId="5991" xr:uid="{00000000-0005-0000-0000-0000000B0000}"/>
    <cellStyle name="Ввод  7 65 3" xfId="10259" xr:uid="{00000000-0005-0000-0000-0000010B0000}"/>
    <cellStyle name="Ввод  7 65 4" xfId="14495" xr:uid="{00000000-0005-0000-0000-0000020B0000}"/>
    <cellStyle name="Ввод  7 66" xfId="1256" xr:uid="{00000000-0005-0000-0000-0000030B0000}"/>
    <cellStyle name="Ввод  7 66 2" xfId="5992" xr:uid="{00000000-0005-0000-0000-0000040B0000}"/>
    <cellStyle name="Ввод  7 66 3" xfId="10260" xr:uid="{00000000-0005-0000-0000-0000050B0000}"/>
    <cellStyle name="Ввод  7 66 4" xfId="14496" xr:uid="{00000000-0005-0000-0000-0000060B0000}"/>
    <cellStyle name="Ввод  7 67" xfId="1257" xr:uid="{00000000-0005-0000-0000-0000070B0000}"/>
    <cellStyle name="Ввод  7 67 2" xfId="5993" xr:uid="{00000000-0005-0000-0000-0000080B0000}"/>
    <cellStyle name="Ввод  7 67 3" xfId="10261" xr:uid="{00000000-0005-0000-0000-0000090B0000}"/>
    <cellStyle name="Ввод  7 67 4" xfId="14497" xr:uid="{00000000-0005-0000-0000-00000A0B0000}"/>
    <cellStyle name="Ввод  7 68" xfId="1258" xr:uid="{00000000-0005-0000-0000-00000B0B0000}"/>
    <cellStyle name="Ввод  7 68 2" xfId="5994" xr:uid="{00000000-0005-0000-0000-00000C0B0000}"/>
    <cellStyle name="Ввод  7 68 3" xfId="10262" xr:uid="{00000000-0005-0000-0000-00000D0B0000}"/>
    <cellStyle name="Ввод  7 68 4" xfId="14498" xr:uid="{00000000-0005-0000-0000-00000E0B0000}"/>
    <cellStyle name="Ввод  7 69" xfId="1259" xr:uid="{00000000-0005-0000-0000-00000F0B0000}"/>
    <cellStyle name="Ввод  7 69 2" xfId="5995" xr:uid="{00000000-0005-0000-0000-0000100B0000}"/>
    <cellStyle name="Ввод  7 69 3" xfId="10263" xr:uid="{00000000-0005-0000-0000-0000110B0000}"/>
    <cellStyle name="Ввод  7 69 4" xfId="14499" xr:uid="{00000000-0005-0000-0000-0000120B0000}"/>
    <cellStyle name="Ввод  7 7" xfId="1260" xr:uid="{00000000-0005-0000-0000-0000130B0000}"/>
    <cellStyle name="Ввод  7 7 2" xfId="5996" xr:uid="{00000000-0005-0000-0000-0000140B0000}"/>
    <cellStyle name="Ввод  7 7 3" xfId="10264" xr:uid="{00000000-0005-0000-0000-0000150B0000}"/>
    <cellStyle name="Ввод  7 7 4" xfId="14500" xr:uid="{00000000-0005-0000-0000-0000160B0000}"/>
    <cellStyle name="Ввод  7 70" xfId="1261" xr:uid="{00000000-0005-0000-0000-0000170B0000}"/>
    <cellStyle name="Ввод  7 70 2" xfId="5997" xr:uid="{00000000-0005-0000-0000-0000180B0000}"/>
    <cellStyle name="Ввод  7 70 3" xfId="10265" xr:uid="{00000000-0005-0000-0000-0000190B0000}"/>
    <cellStyle name="Ввод  7 70 4" xfId="14501" xr:uid="{00000000-0005-0000-0000-00001A0B0000}"/>
    <cellStyle name="Ввод  7 71" xfId="1262" xr:uid="{00000000-0005-0000-0000-00001B0B0000}"/>
    <cellStyle name="Ввод  7 71 2" xfId="5998" xr:uid="{00000000-0005-0000-0000-00001C0B0000}"/>
    <cellStyle name="Ввод  7 71 3" xfId="10266" xr:uid="{00000000-0005-0000-0000-00001D0B0000}"/>
    <cellStyle name="Ввод  7 71 4" xfId="14502" xr:uid="{00000000-0005-0000-0000-00001E0B0000}"/>
    <cellStyle name="Ввод  7 72" xfId="1263" xr:uid="{00000000-0005-0000-0000-00001F0B0000}"/>
    <cellStyle name="Ввод  7 72 2" xfId="5999" xr:uid="{00000000-0005-0000-0000-0000200B0000}"/>
    <cellStyle name="Ввод  7 72 3" xfId="10267" xr:uid="{00000000-0005-0000-0000-0000210B0000}"/>
    <cellStyle name="Ввод  7 72 4" xfId="14503" xr:uid="{00000000-0005-0000-0000-0000220B0000}"/>
    <cellStyle name="Ввод  7 73" xfId="1264" xr:uid="{00000000-0005-0000-0000-0000230B0000}"/>
    <cellStyle name="Ввод  7 73 2" xfId="6000" xr:uid="{00000000-0005-0000-0000-0000240B0000}"/>
    <cellStyle name="Ввод  7 73 3" xfId="10268" xr:uid="{00000000-0005-0000-0000-0000250B0000}"/>
    <cellStyle name="Ввод  7 73 4" xfId="14504" xr:uid="{00000000-0005-0000-0000-0000260B0000}"/>
    <cellStyle name="Ввод  7 74" xfId="1265" xr:uid="{00000000-0005-0000-0000-0000270B0000}"/>
    <cellStyle name="Ввод  7 74 2" xfId="6001" xr:uid="{00000000-0005-0000-0000-0000280B0000}"/>
    <cellStyle name="Ввод  7 74 3" xfId="10269" xr:uid="{00000000-0005-0000-0000-0000290B0000}"/>
    <cellStyle name="Ввод  7 74 4" xfId="14505" xr:uid="{00000000-0005-0000-0000-00002A0B0000}"/>
    <cellStyle name="Ввод  7 75" xfId="1266" xr:uid="{00000000-0005-0000-0000-00002B0B0000}"/>
    <cellStyle name="Ввод  7 75 2" xfId="6002" xr:uid="{00000000-0005-0000-0000-00002C0B0000}"/>
    <cellStyle name="Ввод  7 75 3" xfId="10270" xr:uid="{00000000-0005-0000-0000-00002D0B0000}"/>
    <cellStyle name="Ввод  7 75 4" xfId="14506" xr:uid="{00000000-0005-0000-0000-00002E0B0000}"/>
    <cellStyle name="Ввод  7 76" xfId="1267" xr:uid="{00000000-0005-0000-0000-00002F0B0000}"/>
    <cellStyle name="Ввод  7 76 2" xfId="6003" xr:uid="{00000000-0005-0000-0000-0000300B0000}"/>
    <cellStyle name="Ввод  7 76 3" xfId="10271" xr:uid="{00000000-0005-0000-0000-0000310B0000}"/>
    <cellStyle name="Ввод  7 76 4" xfId="14507" xr:uid="{00000000-0005-0000-0000-0000320B0000}"/>
    <cellStyle name="Ввод  7 77" xfId="1268" xr:uid="{00000000-0005-0000-0000-0000330B0000}"/>
    <cellStyle name="Ввод  7 77 2" xfId="6004" xr:uid="{00000000-0005-0000-0000-0000340B0000}"/>
    <cellStyle name="Ввод  7 77 3" xfId="10272" xr:uid="{00000000-0005-0000-0000-0000350B0000}"/>
    <cellStyle name="Ввод  7 77 4" xfId="14508" xr:uid="{00000000-0005-0000-0000-0000360B0000}"/>
    <cellStyle name="Ввод  7 78" xfId="1269" xr:uid="{00000000-0005-0000-0000-0000370B0000}"/>
    <cellStyle name="Ввод  7 78 2" xfId="6005" xr:uid="{00000000-0005-0000-0000-0000380B0000}"/>
    <cellStyle name="Ввод  7 78 3" xfId="10273" xr:uid="{00000000-0005-0000-0000-0000390B0000}"/>
    <cellStyle name="Ввод  7 78 4" xfId="14509" xr:uid="{00000000-0005-0000-0000-00003A0B0000}"/>
    <cellStyle name="Ввод  7 79" xfId="1270" xr:uid="{00000000-0005-0000-0000-00003B0B0000}"/>
    <cellStyle name="Ввод  7 79 2" xfId="6006" xr:uid="{00000000-0005-0000-0000-00003C0B0000}"/>
    <cellStyle name="Ввод  7 79 3" xfId="10274" xr:uid="{00000000-0005-0000-0000-00003D0B0000}"/>
    <cellStyle name="Ввод  7 79 4" xfId="14510" xr:uid="{00000000-0005-0000-0000-00003E0B0000}"/>
    <cellStyle name="Ввод  7 8" xfId="1271" xr:uid="{00000000-0005-0000-0000-00003F0B0000}"/>
    <cellStyle name="Ввод  7 8 2" xfId="6007" xr:uid="{00000000-0005-0000-0000-0000400B0000}"/>
    <cellStyle name="Ввод  7 8 3" xfId="10275" xr:uid="{00000000-0005-0000-0000-0000410B0000}"/>
    <cellStyle name="Ввод  7 8 4" xfId="14511" xr:uid="{00000000-0005-0000-0000-0000420B0000}"/>
    <cellStyle name="Ввод  7 80" xfId="1272" xr:uid="{00000000-0005-0000-0000-0000430B0000}"/>
    <cellStyle name="Ввод  7 80 2" xfId="6008" xr:uid="{00000000-0005-0000-0000-0000440B0000}"/>
    <cellStyle name="Ввод  7 80 3" xfId="10276" xr:uid="{00000000-0005-0000-0000-0000450B0000}"/>
    <cellStyle name="Ввод  7 80 4" xfId="14512" xr:uid="{00000000-0005-0000-0000-0000460B0000}"/>
    <cellStyle name="Ввод  7 81" xfId="1273" xr:uid="{00000000-0005-0000-0000-0000470B0000}"/>
    <cellStyle name="Ввод  7 81 2" xfId="6009" xr:uid="{00000000-0005-0000-0000-0000480B0000}"/>
    <cellStyle name="Ввод  7 81 3" xfId="10277" xr:uid="{00000000-0005-0000-0000-0000490B0000}"/>
    <cellStyle name="Ввод  7 81 4" xfId="14513" xr:uid="{00000000-0005-0000-0000-00004A0B0000}"/>
    <cellStyle name="Ввод  7 82" xfId="1274" xr:uid="{00000000-0005-0000-0000-00004B0B0000}"/>
    <cellStyle name="Ввод  7 82 2" xfId="6010" xr:uid="{00000000-0005-0000-0000-00004C0B0000}"/>
    <cellStyle name="Ввод  7 82 3" xfId="10278" xr:uid="{00000000-0005-0000-0000-00004D0B0000}"/>
    <cellStyle name="Ввод  7 82 4" xfId="14514" xr:uid="{00000000-0005-0000-0000-00004E0B0000}"/>
    <cellStyle name="Ввод  7 83" xfId="1275" xr:uid="{00000000-0005-0000-0000-00004F0B0000}"/>
    <cellStyle name="Ввод  7 83 2" xfId="6011" xr:uid="{00000000-0005-0000-0000-0000500B0000}"/>
    <cellStyle name="Ввод  7 83 3" xfId="10279" xr:uid="{00000000-0005-0000-0000-0000510B0000}"/>
    <cellStyle name="Ввод  7 83 4" xfId="14515" xr:uid="{00000000-0005-0000-0000-0000520B0000}"/>
    <cellStyle name="Ввод  7 84" xfId="1276" xr:uid="{00000000-0005-0000-0000-0000530B0000}"/>
    <cellStyle name="Ввод  7 84 2" xfId="6012" xr:uid="{00000000-0005-0000-0000-0000540B0000}"/>
    <cellStyle name="Ввод  7 84 3" xfId="10280" xr:uid="{00000000-0005-0000-0000-0000550B0000}"/>
    <cellStyle name="Ввод  7 84 4" xfId="14516" xr:uid="{00000000-0005-0000-0000-0000560B0000}"/>
    <cellStyle name="Ввод  7 85" xfId="1277" xr:uid="{00000000-0005-0000-0000-0000570B0000}"/>
    <cellStyle name="Ввод  7 85 2" xfId="6013" xr:uid="{00000000-0005-0000-0000-0000580B0000}"/>
    <cellStyle name="Ввод  7 85 3" xfId="10281" xr:uid="{00000000-0005-0000-0000-0000590B0000}"/>
    <cellStyle name="Ввод  7 85 4" xfId="14517" xr:uid="{00000000-0005-0000-0000-00005A0B0000}"/>
    <cellStyle name="Ввод  7 86" xfId="1278" xr:uid="{00000000-0005-0000-0000-00005B0B0000}"/>
    <cellStyle name="Ввод  7 86 2" xfId="6014" xr:uid="{00000000-0005-0000-0000-00005C0B0000}"/>
    <cellStyle name="Ввод  7 86 3" xfId="10282" xr:uid="{00000000-0005-0000-0000-00005D0B0000}"/>
    <cellStyle name="Ввод  7 86 4" xfId="14518" xr:uid="{00000000-0005-0000-0000-00005E0B0000}"/>
    <cellStyle name="Ввод  7 87" xfId="1279" xr:uid="{00000000-0005-0000-0000-00005F0B0000}"/>
    <cellStyle name="Ввод  7 87 2" xfId="6015" xr:uid="{00000000-0005-0000-0000-0000600B0000}"/>
    <cellStyle name="Ввод  7 87 3" xfId="10283" xr:uid="{00000000-0005-0000-0000-0000610B0000}"/>
    <cellStyle name="Ввод  7 87 4" xfId="14519" xr:uid="{00000000-0005-0000-0000-0000620B0000}"/>
    <cellStyle name="Ввод  7 88" xfId="1280" xr:uid="{00000000-0005-0000-0000-0000630B0000}"/>
    <cellStyle name="Ввод  7 88 2" xfId="6016" xr:uid="{00000000-0005-0000-0000-0000640B0000}"/>
    <cellStyle name="Ввод  7 88 3" xfId="10284" xr:uid="{00000000-0005-0000-0000-0000650B0000}"/>
    <cellStyle name="Ввод  7 88 4" xfId="14520" xr:uid="{00000000-0005-0000-0000-0000660B0000}"/>
    <cellStyle name="Ввод  7 89" xfId="1281" xr:uid="{00000000-0005-0000-0000-0000670B0000}"/>
    <cellStyle name="Ввод  7 89 2" xfId="6017" xr:uid="{00000000-0005-0000-0000-0000680B0000}"/>
    <cellStyle name="Ввод  7 89 3" xfId="10285" xr:uid="{00000000-0005-0000-0000-0000690B0000}"/>
    <cellStyle name="Ввод  7 89 4" xfId="14521" xr:uid="{00000000-0005-0000-0000-00006A0B0000}"/>
    <cellStyle name="Ввод  7 9" xfId="1282" xr:uid="{00000000-0005-0000-0000-00006B0B0000}"/>
    <cellStyle name="Ввод  7 9 2" xfId="6018" xr:uid="{00000000-0005-0000-0000-00006C0B0000}"/>
    <cellStyle name="Ввод  7 9 3" xfId="10286" xr:uid="{00000000-0005-0000-0000-00006D0B0000}"/>
    <cellStyle name="Ввод  7 9 4" xfId="14522" xr:uid="{00000000-0005-0000-0000-00006E0B0000}"/>
    <cellStyle name="Ввод  7 90" xfId="1283" xr:uid="{00000000-0005-0000-0000-00006F0B0000}"/>
    <cellStyle name="Ввод  7 90 2" xfId="6019" xr:uid="{00000000-0005-0000-0000-0000700B0000}"/>
    <cellStyle name="Ввод  7 90 3" xfId="10287" xr:uid="{00000000-0005-0000-0000-0000710B0000}"/>
    <cellStyle name="Ввод  7 90 4" xfId="14523" xr:uid="{00000000-0005-0000-0000-0000720B0000}"/>
    <cellStyle name="Ввод  7 91" xfId="1284" xr:uid="{00000000-0005-0000-0000-0000730B0000}"/>
    <cellStyle name="Ввод  7 91 2" xfId="6020" xr:uid="{00000000-0005-0000-0000-0000740B0000}"/>
    <cellStyle name="Ввод  7 91 3" xfId="10288" xr:uid="{00000000-0005-0000-0000-0000750B0000}"/>
    <cellStyle name="Ввод  7 91 4" xfId="14524" xr:uid="{00000000-0005-0000-0000-0000760B0000}"/>
    <cellStyle name="Ввод  7 92" xfId="5183" xr:uid="{00000000-0005-0000-0000-0000770B0000}"/>
    <cellStyle name="Ввод  7 93" xfId="5260" xr:uid="{00000000-0005-0000-0000-0000780B0000}"/>
    <cellStyle name="Ввод  7 94" xfId="8809" xr:uid="{00000000-0005-0000-0000-0000790B0000}"/>
    <cellStyle name="Ввод  8" xfId="230" xr:uid="{00000000-0005-0000-0000-00007A0B0000}"/>
    <cellStyle name="Ввод  8 10" xfId="1285" xr:uid="{00000000-0005-0000-0000-00007B0B0000}"/>
    <cellStyle name="Ввод  8 10 2" xfId="6021" xr:uid="{00000000-0005-0000-0000-00007C0B0000}"/>
    <cellStyle name="Ввод  8 10 3" xfId="10289" xr:uid="{00000000-0005-0000-0000-00007D0B0000}"/>
    <cellStyle name="Ввод  8 10 4" xfId="14525" xr:uid="{00000000-0005-0000-0000-00007E0B0000}"/>
    <cellStyle name="Ввод  8 11" xfId="1286" xr:uid="{00000000-0005-0000-0000-00007F0B0000}"/>
    <cellStyle name="Ввод  8 11 2" xfId="6022" xr:uid="{00000000-0005-0000-0000-0000800B0000}"/>
    <cellStyle name="Ввод  8 11 3" xfId="10290" xr:uid="{00000000-0005-0000-0000-0000810B0000}"/>
    <cellStyle name="Ввод  8 11 4" xfId="14526" xr:uid="{00000000-0005-0000-0000-0000820B0000}"/>
    <cellStyle name="Ввод  8 12" xfId="1287" xr:uid="{00000000-0005-0000-0000-0000830B0000}"/>
    <cellStyle name="Ввод  8 12 2" xfId="6023" xr:uid="{00000000-0005-0000-0000-0000840B0000}"/>
    <cellStyle name="Ввод  8 12 3" xfId="10291" xr:uid="{00000000-0005-0000-0000-0000850B0000}"/>
    <cellStyle name="Ввод  8 12 4" xfId="14527" xr:uid="{00000000-0005-0000-0000-0000860B0000}"/>
    <cellStyle name="Ввод  8 13" xfId="1288" xr:uid="{00000000-0005-0000-0000-0000870B0000}"/>
    <cellStyle name="Ввод  8 13 2" xfId="6024" xr:uid="{00000000-0005-0000-0000-0000880B0000}"/>
    <cellStyle name="Ввод  8 13 3" xfId="10292" xr:uid="{00000000-0005-0000-0000-0000890B0000}"/>
    <cellStyle name="Ввод  8 13 4" xfId="14528" xr:uid="{00000000-0005-0000-0000-00008A0B0000}"/>
    <cellStyle name="Ввод  8 14" xfId="1289" xr:uid="{00000000-0005-0000-0000-00008B0B0000}"/>
    <cellStyle name="Ввод  8 14 2" xfId="6025" xr:uid="{00000000-0005-0000-0000-00008C0B0000}"/>
    <cellStyle name="Ввод  8 14 3" xfId="10293" xr:uid="{00000000-0005-0000-0000-00008D0B0000}"/>
    <cellStyle name="Ввод  8 14 4" xfId="14529" xr:uid="{00000000-0005-0000-0000-00008E0B0000}"/>
    <cellStyle name="Ввод  8 15" xfId="1290" xr:uid="{00000000-0005-0000-0000-00008F0B0000}"/>
    <cellStyle name="Ввод  8 15 2" xfId="6026" xr:uid="{00000000-0005-0000-0000-0000900B0000}"/>
    <cellStyle name="Ввод  8 15 3" xfId="10294" xr:uid="{00000000-0005-0000-0000-0000910B0000}"/>
    <cellStyle name="Ввод  8 15 4" xfId="14530" xr:uid="{00000000-0005-0000-0000-0000920B0000}"/>
    <cellStyle name="Ввод  8 16" xfId="1291" xr:uid="{00000000-0005-0000-0000-0000930B0000}"/>
    <cellStyle name="Ввод  8 16 2" xfId="6027" xr:uid="{00000000-0005-0000-0000-0000940B0000}"/>
    <cellStyle name="Ввод  8 16 3" xfId="10295" xr:uid="{00000000-0005-0000-0000-0000950B0000}"/>
    <cellStyle name="Ввод  8 16 4" xfId="14531" xr:uid="{00000000-0005-0000-0000-0000960B0000}"/>
    <cellStyle name="Ввод  8 17" xfId="1292" xr:uid="{00000000-0005-0000-0000-0000970B0000}"/>
    <cellStyle name="Ввод  8 17 2" xfId="6028" xr:uid="{00000000-0005-0000-0000-0000980B0000}"/>
    <cellStyle name="Ввод  8 17 3" xfId="10296" xr:uid="{00000000-0005-0000-0000-0000990B0000}"/>
    <cellStyle name="Ввод  8 17 4" xfId="14532" xr:uid="{00000000-0005-0000-0000-00009A0B0000}"/>
    <cellStyle name="Ввод  8 18" xfId="1293" xr:uid="{00000000-0005-0000-0000-00009B0B0000}"/>
    <cellStyle name="Ввод  8 18 2" xfId="6029" xr:uid="{00000000-0005-0000-0000-00009C0B0000}"/>
    <cellStyle name="Ввод  8 18 3" xfId="10297" xr:uid="{00000000-0005-0000-0000-00009D0B0000}"/>
    <cellStyle name="Ввод  8 18 4" xfId="14533" xr:uid="{00000000-0005-0000-0000-00009E0B0000}"/>
    <cellStyle name="Ввод  8 19" xfId="1294" xr:uid="{00000000-0005-0000-0000-00009F0B0000}"/>
    <cellStyle name="Ввод  8 19 2" xfId="6030" xr:uid="{00000000-0005-0000-0000-0000A00B0000}"/>
    <cellStyle name="Ввод  8 19 3" xfId="10298" xr:uid="{00000000-0005-0000-0000-0000A10B0000}"/>
    <cellStyle name="Ввод  8 19 4" xfId="14534" xr:uid="{00000000-0005-0000-0000-0000A20B0000}"/>
    <cellStyle name="Ввод  8 2" xfId="1295" xr:uid="{00000000-0005-0000-0000-0000A30B0000}"/>
    <cellStyle name="Ввод  8 2 2" xfId="1296" xr:uid="{00000000-0005-0000-0000-0000A40B0000}"/>
    <cellStyle name="Ввод  8 2 2 2" xfId="6032" xr:uid="{00000000-0005-0000-0000-0000A50B0000}"/>
    <cellStyle name="Ввод  8 2 2 3" xfId="10300" xr:uid="{00000000-0005-0000-0000-0000A60B0000}"/>
    <cellStyle name="Ввод  8 2 2 4" xfId="14536" xr:uid="{00000000-0005-0000-0000-0000A70B0000}"/>
    <cellStyle name="Ввод  8 2 3" xfId="1297" xr:uid="{00000000-0005-0000-0000-0000A80B0000}"/>
    <cellStyle name="Ввод  8 2 3 2" xfId="6033" xr:uid="{00000000-0005-0000-0000-0000A90B0000}"/>
    <cellStyle name="Ввод  8 2 3 3" xfId="10301" xr:uid="{00000000-0005-0000-0000-0000AA0B0000}"/>
    <cellStyle name="Ввод  8 2 3 4" xfId="14537" xr:uid="{00000000-0005-0000-0000-0000AB0B0000}"/>
    <cellStyle name="Ввод  8 2 4" xfId="6031" xr:uid="{00000000-0005-0000-0000-0000AC0B0000}"/>
    <cellStyle name="Ввод  8 2 5" xfId="10299" xr:uid="{00000000-0005-0000-0000-0000AD0B0000}"/>
    <cellStyle name="Ввод  8 2 6" xfId="14535" xr:uid="{00000000-0005-0000-0000-0000AE0B0000}"/>
    <cellStyle name="Ввод  8 20" xfId="1298" xr:uid="{00000000-0005-0000-0000-0000AF0B0000}"/>
    <cellStyle name="Ввод  8 20 2" xfId="6034" xr:uid="{00000000-0005-0000-0000-0000B00B0000}"/>
    <cellStyle name="Ввод  8 20 3" xfId="10302" xr:uid="{00000000-0005-0000-0000-0000B10B0000}"/>
    <cellStyle name="Ввод  8 20 4" xfId="14538" xr:uid="{00000000-0005-0000-0000-0000B20B0000}"/>
    <cellStyle name="Ввод  8 21" xfId="1299" xr:uid="{00000000-0005-0000-0000-0000B30B0000}"/>
    <cellStyle name="Ввод  8 21 2" xfId="6035" xr:uid="{00000000-0005-0000-0000-0000B40B0000}"/>
    <cellStyle name="Ввод  8 21 3" xfId="10303" xr:uid="{00000000-0005-0000-0000-0000B50B0000}"/>
    <cellStyle name="Ввод  8 21 4" xfId="14539" xr:uid="{00000000-0005-0000-0000-0000B60B0000}"/>
    <cellStyle name="Ввод  8 22" xfId="1300" xr:uid="{00000000-0005-0000-0000-0000B70B0000}"/>
    <cellStyle name="Ввод  8 22 2" xfId="6036" xr:uid="{00000000-0005-0000-0000-0000B80B0000}"/>
    <cellStyle name="Ввод  8 22 3" xfId="10304" xr:uid="{00000000-0005-0000-0000-0000B90B0000}"/>
    <cellStyle name="Ввод  8 22 4" xfId="14540" xr:uid="{00000000-0005-0000-0000-0000BA0B0000}"/>
    <cellStyle name="Ввод  8 23" xfId="1301" xr:uid="{00000000-0005-0000-0000-0000BB0B0000}"/>
    <cellStyle name="Ввод  8 23 2" xfId="6037" xr:uid="{00000000-0005-0000-0000-0000BC0B0000}"/>
    <cellStyle name="Ввод  8 23 3" xfId="10305" xr:uid="{00000000-0005-0000-0000-0000BD0B0000}"/>
    <cellStyle name="Ввод  8 23 4" xfId="14541" xr:uid="{00000000-0005-0000-0000-0000BE0B0000}"/>
    <cellStyle name="Ввод  8 24" xfId="1302" xr:uid="{00000000-0005-0000-0000-0000BF0B0000}"/>
    <cellStyle name="Ввод  8 24 2" xfId="6038" xr:uid="{00000000-0005-0000-0000-0000C00B0000}"/>
    <cellStyle name="Ввод  8 24 3" xfId="10306" xr:uid="{00000000-0005-0000-0000-0000C10B0000}"/>
    <cellStyle name="Ввод  8 24 4" xfId="14542" xr:uid="{00000000-0005-0000-0000-0000C20B0000}"/>
    <cellStyle name="Ввод  8 25" xfId="1303" xr:uid="{00000000-0005-0000-0000-0000C30B0000}"/>
    <cellStyle name="Ввод  8 25 2" xfId="6039" xr:uid="{00000000-0005-0000-0000-0000C40B0000}"/>
    <cellStyle name="Ввод  8 25 3" xfId="10307" xr:uid="{00000000-0005-0000-0000-0000C50B0000}"/>
    <cellStyle name="Ввод  8 25 4" xfId="14543" xr:uid="{00000000-0005-0000-0000-0000C60B0000}"/>
    <cellStyle name="Ввод  8 26" xfId="1304" xr:uid="{00000000-0005-0000-0000-0000C70B0000}"/>
    <cellStyle name="Ввод  8 26 2" xfId="6040" xr:uid="{00000000-0005-0000-0000-0000C80B0000}"/>
    <cellStyle name="Ввод  8 26 3" xfId="10308" xr:uid="{00000000-0005-0000-0000-0000C90B0000}"/>
    <cellStyle name="Ввод  8 26 4" xfId="14544" xr:uid="{00000000-0005-0000-0000-0000CA0B0000}"/>
    <cellStyle name="Ввод  8 27" xfId="1305" xr:uid="{00000000-0005-0000-0000-0000CB0B0000}"/>
    <cellStyle name="Ввод  8 27 2" xfId="6041" xr:uid="{00000000-0005-0000-0000-0000CC0B0000}"/>
    <cellStyle name="Ввод  8 27 3" xfId="10309" xr:uid="{00000000-0005-0000-0000-0000CD0B0000}"/>
    <cellStyle name="Ввод  8 27 4" xfId="14545" xr:uid="{00000000-0005-0000-0000-0000CE0B0000}"/>
    <cellStyle name="Ввод  8 28" xfId="1306" xr:uid="{00000000-0005-0000-0000-0000CF0B0000}"/>
    <cellStyle name="Ввод  8 28 2" xfId="6042" xr:uid="{00000000-0005-0000-0000-0000D00B0000}"/>
    <cellStyle name="Ввод  8 28 3" xfId="10310" xr:uid="{00000000-0005-0000-0000-0000D10B0000}"/>
    <cellStyle name="Ввод  8 28 4" xfId="14546" xr:uid="{00000000-0005-0000-0000-0000D20B0000}"/>
    <cellStyle name="Ввод  8 29" xfId="1307" xr:uid="{00000000-0005-0000-0000-0000D30B0000}"/>
    <cellStyle name="Ввод  8 29 2" xfId="6043" xr:uid="{00000000-0005-0000-0000-0000D40B0000}"/>
    <cellStyle name="Ввод  8 29 3" xfId="10311" xr:uid="{00000000-0005-0000-0000-0000D50B0000}"/>
    <cellStyle name="Ввод  8 29 4" xfId="14547" xr:uid="{00000000-0005-0000-0000-0000D60B0000}"/>
    <cellStyle name="Ввод  8 3" xfId="1308" xr:uid="{00000000-0005-0000-0000-0000D70B0000}"/>
    <cellStyle name="Ввод  8 3 2" xfId="1309" xr:uid="{00000000-0005-0000-0000-0000D80B0000}"/>
    <cellStyle name="Ввод  8 3 2 2" xfId="6045" xr:uid="{00000000-0005-0000-0000-0000D90B0000}"/>
    <cellStyle name="Ввод  8 3 2 3" xfId="10313" xr:uid="{00000000-0005-0000-0000-0000DA0B0000}"/>
    <cellStyle name="Ввод  8 3 2 4" xfId="14549" xr:uid="{00000000-0005-0000-0000-0000DB0B0000}"/>
    <cellStyle name="Ввод  8 3 3" xfId="1310" xr:uid="{00000000-0005-0000-0000-0000DC0B0000}"/>
    <cellStyle name="Ввод  8 3 3 2" xfId="6046" xr:uid="{00000000-0005-0000-0000-0000DD0B0000}"/>
    <cellStyle name="Ввод  8 3 3 3" xfId="10314" xr:uid="{00000000-0005-0000-0000-0000DE0B0000}"/>
    <cellStyle name="Ввод  8 3 3 4" xfId="14550" xr:uid="{00000000-0005-0000-0000-0000DF0B0000}"/>
    <cellStyle name="Ввод  8 3 4" xfId="6044" xr:uid="{00000000-0005-0000-0000-0000E00B0000}"/>
    <cellStyle name="Ввод  8 3 5" xfId="10312" xr:uid="{00000000-0005-0000-0000-0000E10B0000}"/>
    <cellStyle name="Ввод  8 3 6" xfId="14548" xr:uid="{00000000-0005-0000-0000-0000E20B0000}"/>
    <cellStyle name="Ввод  8 30" xfId="1311" xr:uid="{00000000-0005-0000-0000-0000E30B0000}"/>
    <cellStyle name="Ввод  8 30 2" xfId="6047" xr:uid="{00000000-0005-0000-0000-0000E40B0000}"/>
    <cellStyle name="Ввод  8 30 3" xfId="10315" xr:uid="{00000000-0005-0000-0000-0000E50B0000}"/>
    <cellStyle name="Ввод  8 30 4" xfId="14551" xr:uid="{00000000-0005-0000-0000-0000E60B0000}"/>
    <cellStyle name="Ввод  8 31" xfId="1312" xr:uid="{00000000-0005-0000-0000-0000E70B0000}"/>
    <cellStyle name="Ввод  8 31 2" xfId="6048" xr:uid="{00000000-0005-0000-0000-0000E80B0000}"/>
    <cellStyle name="Ввод  8 31 3" xfId="10316" xr:uid="{00000000-0005-0000-0000-0000E90B0000}"/>
    <cellStyle name="Ввод  8 31 4" xfId="14552" xr:uid="{00000000-0005-0000-0000-0000EA0B0000}"/>
    <cellStyle name="Ввод  8 32" xfId="1313" xr:uid="{00000000-0005-0000-0000-0000EB0B0000}"/>
    <cellStyle name="Ввод  8 32 2" xfId="6049" xr:uid="{00000000-0005-0000-0000-0000EC0B0000}"/>
    <cellStyle name="Ввод  8 32 3" xfId="10317" xr:uid="{00000000-0005-0000-0000-0000ED0B0000}"/>
    <cellStyle name="Ввод  8 32 4" xfId="14553" xr:uid="{00000000-0005-0000-0000-0000EE0B0000}"/>
    <cellStyle name="Ввод  8 33" xfId="1314" xr:uid="{00000000-0005-0000-0000-0000EF0B0000}"/>
    <cellStyle name="Ввод  8 33 2" xfId="6050" xr:uid="{00000000-0005-0000-0000-0000F00B0000}"/>
    <cellStyle name="Ввод  8 33 3" xfId="10318" xr:uid="{00000000-0005-0000-0000-0000F10B0000}"/>
    <cellStyle name="Ввод  8 33 4" xfId="14554" xr:uid="{00000000-0005-0000-0000-0000F20B0000}"/>
    <cellStyle name="Ввод  8 34" xfId="1315" xr:uid="{00000000-0005-0000-0000-0000F30B0000}"/>
    <cellStyle name="Ввод  8 34 2" xfId="6051" xr:uid="{00000000-0005-0000-0000-0000F40B0000}"/>
    <cellStyle name="Ввод  8 34 3" xfId="10319" xr:uid="{00000000-0005-0000-0000-0000F50B0000}"/>
    <cellStyle name="Ввод  8 34 4" xfId="14555" xr:uid="{00000000-0005-0000-0000-0000F60B0000}"/>
    <cellStyle name="Ввод  8 35" xfId="1316" xr:uid="{00000000-0005-0000-0000-0000F70B0000}"/>
    <cellStyle name="Ввод  8 35 2" xfId="6052" xr:uid="{00000000-0005-0000-0000-0000F80B0000}"/>
    <cellStyle name="Ввод  8 35 3" xfId="10320" xr:uid="{00000000-0005-0000-0000-0000F90B0000}"/>
    <cellStyle name="Ввод  8 35 4" xfId="14556" xr:uid="{00000000-0005-0000-0000-0000FA0B0000}"/>
    <cellStyle name="Ввод  8 36" xfId="1317" xr:uid="{00000000-0005-0000-0000-0000FB0B0000}"/>
    <cellStyle name="Ввод  8 36 2" xfId="6053" xr:uid="{00000000-0005-0000-0000-0000FC0B0000}"/>
    <cellStyle name="Ввод  8 36 3" xfId="10321" xr:uid="{00000000-0005-0000-0000-0000FD0B0000}"/>
    <cellStyle name="Ввод  8 36 4" xfId="14557" xr:uid="{00000000-0005-0000-0000-0000FE0B0000}"/>
    <cellStyle name="Ввод  8 37" xfId="1318" xr:uid="{00000000-0005-0000-0000-0000FF0B0000}"/>
    <cellStyle name="Ввод  8 37 2" xfId="6054" xr:uid="{00000000-0005-0000-0000-0000000C0000}"/>
    <cellStyle name="Ввод  8 37 3" xfId="10322" xr:uid="{00000000-0005-0000-0000-0000010C0000}"/>
    <cellStyle name="Ввод  8 37 4" xfId="14558" xr:uid="{00000000-0005-0000-0000-0000020C0000}"/>
    <cellStyle name="Ввод  8 38" xfId="1319" xr:uid="{00000000-0005-0000-0000-0000030C0000}"/>
    <cellStyle name="Ввод  8 38 2" xfId="6055" xr:uid="{00000000-0005-0000-0000-0000040C0000}"/>
    <cellStyle name="Ввод  8 38 3" xfId="10323" xr:uid="{00000000-0005-0000-0000-0000050C0000}"/>
    <cellStyle name="Ввод  8 38 4" xfId="14559" xr:uid="{00000000-0005-0000-0000-0000060C0000}"/>
    <cellStyle name="Ввод  8 39" xfId="1320" xr:uid="{00000000-0005-0000-0000-0000070C0000}"/>
    <cellStyle name="Ввод  8 39 2" xfId="6056" xr:uid="{00000000-0005-0000-0000-0000080C0000}"/>
    <cellStyle name="Ввод  8 39 3" xfId="10324" xr:uid="{00000000-0005-0000-0000-0000090C0000}"/>
    <cellStyle name="Ввод  8 39 4" xfId="14560" xr:uid="{00000000-0005-0000-0000-00000A0C0000}"/>
    <cellStyle name="Ввод  8 4" xfId="1321" xr:uid="{00000000-0005-0000-0000-00000B0C0000}"/>
    <cellStyle name="Ввод  8 4 2" xfId="1322" xr:uid="{00000000-0005-0000-0000-00000C0C0000}"/>
    <cellStyle name="Ввод  8 4 2 2" xfId="6058" xr:uid="{00000000-0005-0000-0000-00000D0C0000}"/>
    <cellStyle name="Ввод  8 4 2 3" xfId="10326" xr:uid="{00000000-0005-0000-0000-00000E0C0000}"/>
    <cellStyle name="Ввод  8 4 2 4" xfId="14562" xr:uid="{00000000-0005-0000-0000-00000F0C0000}"/>
    <cellStyle name="Ввод  8 4 3" xfId="1323" xr:uid="{00000000-0005-0000-0000-0000100C0000}"/>
    <cellStyle name="Ввод  8 4 3 2" xfId="6059" xr:uid="{00000000-0005-0000-0000-0000110C0000}"/>
    <cellStyle name="Ввод  8 4 3 3" xfId="10327" xr:uid="{00000000-0005-0000-0000-0000120C0000}"/>
    <cellStyle name="Ввод  8 4 3 4" xfId="14563" xr:uid="{00000000-0005-0000-0000-0000130C0000}"/>
    <cellStyle name="Ввод  8 4 4" xfId="6057" xr:uid="{00000000-0005-0000-0000-0000140C0000}"/>
    <cellStyle name="Ввод  8 4 5" xfId="10325" xr:uid="{00000000-0005-0000-0000-0000150C0000}"/>
    <cellStyle name="Ввод  8 4 6" xfId="14561" xr:uid="{00000000-0005-0000-0000-0000160C0000}"/>
    <cellStyle name="Ввод  8 40" xfId="1324" xr:uid="{00000000-0005-0000-0000-0000170C0000}"/>
    <cellStyle name="Ввод  8 40 2" xfId="6060" xr:uid="{00000000-0005-0000-0000-0000180C0000}"/>
    <cellStyle name="Ввод  8 40 3" xfId="10328" xr:uid="{00000000-0005-0000-0000-0000190C0000}"/>
    <cellStyle name="Ввод  8 40 4" xfId="14564" xr:uid="{00000000-0005-0000-0000-00001A0C0000}"/>
    <cellStyle name="Ввод  8 41" xfId="1325" xr:uid="{00000000-0005-0000-0000-00001B0C0000}"/>
    <cellStyle name="Ввод  8 41 2" xfId="6061" xr:uid="{00000000-0005-0000-0000-00001C0C0000}"/>
    <cellStyle name="Ввод  8 41 3" xfId="10329" xr:uid="{00000000-0005-0000-0000-00001D0C0000}"/>
    <cellStyle name="Ввод  8 41 4" xfId="14565" xr:uid="{00000000-0005-0000-0000-00001E0C0000}"/>
    <cellStyle name="Ввод  8 42" xfId="1326" xr:uid="{00000000-0005-0000-0000-00001F0C0000}"/>
    <cellStyle name="Ввод  8 42 2" xfId="6062" xr:uid="{00000000-0005-0000-0000-0000200C0000}"/>
    <cellStyle name="Ввод  8 42 3" xfId="10330" xr:uid="{00000000-0005-0000-0000-0000210C0000}"/>
    <cellStyle name="Ввод  8 42 4" xfId="14566" xr:uid="{00000000-0005-0000-0000-0000220C0000}"/>
    <cellStyle name="Ввод  8 43" xfId="1327" xr:uid="{00000000-0005-0000-0000-0000230C0000}"/>
    <cellStyle name="Ввод  8 43 2" xfId="6063" xr:uid="{00000000-0005-0000-0000-0000240C0000}"/>
    <cellStyle name="Ввод  8 43 3" xfId="10331" xr:uid="{00000000-0005-0000-0000-0000250C0000}"/>
    <cellStyle name="Ввод  8 43 4" xfId="14567" xr:uid="{00000000-0005-0000-0000-0000260C0000}"/>
    <cellStyle name="Ввод  8 44" xfId="1328" xr:uid="{00000000-0005-0000-0000-0000270C0000}"/>
    <cellStyle name="Ввод  8 44 2" xfId="6064" xr:uid="{00000000-0005-0000-0000-0000280C0000}"/>
    <cellStyle name="Ввод  8 44 3" xfId="10332" xr:uid="{00000000-0005-0000-0000-0000290C0000}"/>
    <cellStyle name="Ввод  8 44 4" xfId="14568" xr:uid="{00000000-0005-0000-0000-00002A0C0000}"/>
    <cellStyle name="Ввод  8 45" xfId="1329" xr:uid="{00000000-0005-0000-0000-00002B0C0000}"/>
    <cellStyle name="Ввод  8 45 2" xfId="6065" xr:uid="{00000000-0005-0000-0000-00002C0C0000}"/>
    <cellStyle name="Ввод  8 45 3" xfId="10333" xr:uid="{00000000-0005-0000-0000-00002D0C0000}"/>
    <cellStyle name="Ввод  8 45 4" xfId="14569" xr:uid="{00000000-0005-0000-0000-00002E0C0000}"/>
    <cellStyle name="Ввод  8 46" xfId="1330" xr:uid="{00000000-0005-0000-0000-00002F0C0000}"/>
    <cellStyle name="Ввод  8 46 2" xfId="6066" xr:uid="{00000000-0005-0000-0000-0000300C0000}"/>
    <cellStyle name="Ввод  8 46 3" xfId="10334" xr:uid="{00000000-0005-0000-0000-0000310C0000}"/>
    <cellStyle name="Ввод  8 46 4" xfId="14570" xr:uid="{00000000-0005-0000-0000-0000320C0000}"/>
    <cellStyle name="Ввод  8 47" xfId="1331" xr:uid="{00000000-0005-0000-0000-0000330C0000}"/>
    <cellStyle name="Ввод  8 47 2" xfId="6067" xr:uid="{00000000-0005-0000-0000-0000340C0000}"/>
    <cellStyle name="Ввод  8 47 3" xfId="10335" xr:uid="{00000000-0005-0000-0000-0000350C0000}"/>
    <cellStyle name="Ввод  8 47 4" xfId="14571" xr:uid="{00000000-0005-0000-0000-0000360C0000}"/>
    <cellStyle name="Ввод  8 48" xfId="1332" xr:uid="{00000000-0005-0000-0000-0000370C0000}"/>
    <cellStyle name="Ввод  8 48 2" xfId="6068" xr:uid="{00000000-0005-0000-0000-0000380C0000}"/>
    <cellStyle name="Ввод  8 48 3" xfId="10336" xr:uid="{00000000-0005-0000-0000-0000390C0000}"/>
    <cellStyle name="Ввод  8 48 4" xfId="14572" xr:uid="{00000000-0005-0000-0000-00003A0C0000}"/>
    <cellStyle name="Ввод  8 49" xfId="1333" xr:uid="{00000000-0005-0000-0000-00003B0C0000}"/>
    <cellStyle name="Ввод  8 49 2" xfId="6069" xr:uid="{00000000-0005-0000-0000-00003C0C0000}"/>
    <cellStyle name="Ввод  8 49 3" xfId="10337" xr:uid="{00000000-0005-0000-0000-00003D0C0000}"/>
    <cellStyle name="Ввод  8 49 4" xfId="14573" xr:uid="{00000000-0005-0000-0000-00003E0C0000}"/>
    <cellStyle name="Ввод  8 5" xfId="1334" xr:uid="{00000000-0005-0000-0000-00003F0C0000}"/>
    <cellStyle name="Ввод  8 5 2" xfId="6070" xr:uid="{00000000-0005-0000-0000-0000400C0000}"/>
    <cellStyle name="Ввод  8 5 3" xfId="10338" xr:uid="{00000000-0005-0000-0000-0000410C0000}"/>
    <cellStyle name="Ввод  8 5 4" xfId="14574" xr:uid="{00000000-0005-0000-0000-0000420C0000}"/>
    <cellStyle name="Ввод  8 50" xfId="1335" xr:uid="{00000000-0005-0000-0000-0000430C0000}"/>
    <cellStyle name="Ввод  8 50 2" xfId="6071" xr:uid="{00000000-0005-0000-0000-0000440C0000}"/>
    <cellStyle name="Ввод  8 50 3" xfId="10339" xr:uid="{00000000-0005-0000-0000-0000450C0000}"/>
    <cellStyle name="Ввод  8 50 4" xfId="14575" xr:uid="{00000000-0005-0000-0000-0000460C0000}"/>
    <cellStyle name="Ввод  8 51" xfId="1336" xr:uid="{00000000-0005-0000-0000-0000470C0000}"/>
    <cellStyle name="Ввод  8 51 2" xfId="6072" xr:uid="{00000000-0005-0000-0000-0000480C0000}"/>
    <cellStyle name="Ввод  8 51 3" xfId="10340" xr:uid="{00000000-0005-0000-0000-0000490C0000}"/>
    <cellStyle name="Ввод  8 51 4" xfId="14576" xr:uid="{00000000-0005-0000-0000-00004A0C0000}"/>
    <cellStyle name="Ввод  8 52" xfId="1337" xr:uid="{00000000-0005-0000-0000-00004B0C0000}"/>
    <cellStyle name="Ввод  8 52 2" xfId="6073" xr:uid="{00000000-0005-0000-0000-00004C0C0000}"/>
    <cellStyle name="Ввод  8 52 3" xfId="10341" xr:uid="{00000000-0005-0000-0000-00004D0C0000}"/>
    <cellStyle name="Ввод  8 52 4" xfId="14577" xr:uid="{00000000-0005-0000-0000-00004E0C0000}"/>
    <cellStyle name="Ввод  8 53" xfId="1338" xr:uid="{00000000-0005-0000-0000-00004F0C0000}"/>
    <cellStyle name="Ввод  8 53 2" xfId="6074" xr:uid="{00000000-0005-0000-0000-0000500C0000}"/>
    <cellStyle name="Ввод  8 53 3" xfId="10342" xr:uid="{00000000-0005-0000-0000-0000510C0000}"/>
    <cellStyle name="Ввод  8 53 4" xfId="14578" xr:uid="{00000000-0005-0000-0000-0000520C0000}"/>
    <cellStyle name="Ввод  8 54" xfId="1339" xr:uid="{00000000-0005-0000-0000-0000530C0000}"/>
    <cellStyle name="Ввод  8 54 2" xfId="6075" xr:uid="{00000000-0005-0000-0000-0000540C0000}"/>
    <cellStyle name="Ввод  8 54 3" xfId="10343" xr:uid="{00000000-0005-0000-0000-0000550C0000}"/>
    <cellStyle name="Ввод  8 54 4" xfId="14579" xr:uid="{00000000-0005-0000-0000-0000560C0000}"/>
    <cellStyle name="Ввод  8 55" xfId="1340" xr:uid="{00000000-0005-0000-0000-0000570C0000}"/>
    <cellStyle name="Ввод  8 55 2" xfId="6076" xr:uid="{00000000-0005-0000-0000-0000580C0000}"/>
    <cellStyle name="Ввод  8 55 3" xfId="10344" xr:uid="{00000000-0005-0000-0000-0000590C0000}"/>
    <cellStyle name="Ввод  8 55 4" xfId="14580" xr:uid="{00000000-0005-0000-0000-00005A0C0000}"/>
    <cellStyle name="Ввод  8 56" xfId="1341" xr:uid="{00000000-0005-0000-0000-00005B0C0000}"/>
    <cellStyle name="Ввод  8 56 2" xfId="6077" xr:uid="{00000000-0005-0000-0000-00005C0C0000}"/>
    <cellStyle name="Ввод  8 56 3" xfId="10345" xr:uid="{00000000-0005-0000-0000-00005D0C0000}"/>
    <cellStyle name="Ввод  8 56 4" xfId="14581" xr:uid="{00000000-0005-0000-0000-00005E0C0000}"/>
    <cellStyle name="Ввод  8 57" xfId="1342" xr:uid="{00000000-0005-0000-0000-00005F0C0000}"/>
    <cellStyle name="Ввод  8 57 2" xfId="6078" xr:uid="{00000000-0005-0000-0000-0000600C0000}"/>
    <cellStyle name="Ввод  8 57 3" xfId="10346" xr:uid="{00000000-0005-0000-0000-0000610C0000}"/>
    <cellStyle name="Ввод  8 57 4" xfId="14582" xr:uid="{00000000-0005-0000-0000-0000620C0000}"/>
    <cellStyle name="Ввод  8 58" xfId="1343" xr:uid="{00000000-0005-0000-0000-0000630C0000}"/>
    <cellStyle name="Ввод  8 58 2" xfId="6079" xr:uid="{00000000-0005-0000-0000-0000640C0000}"/>
    <cellStyle name="Ввод  8 58 3" xfId="10347" xr:uid="{00000000-0005-0000-0000-0000650C0000}"/>
    <cellStyle name="Ввод  8 58 4" xfId="14583" xr:uid="{00000000-0005-0000-0000-0000660C0000}"/>
    <cellStyle name="Ввод  8 59" xfId="1344" xr:uid="{00000000-0005-0000-0000-0000670C0000}"/>
    <cellStyle name="Ввод  8 59 2" xfId="6080" xr:uid="{00000000-0005-0000-0000-0000680C0000}"/>
    <cellStyle name="Ввод  8 59 3" xfId="10348" xr:uid="{00000000-0005-0000-0000-0000690C0000}"/>
    <cellStyle name="Ввод  8 59 4" xfId="14584" xr:uid="{00000000-0005-0000-0000-00006A0C0000}"/>
    <cellStyle name="Ввод  8 6" xfId="1345" xr:uid="{00000000-0005-0000-0000-00006B0C0000}"/>
    <cellStyle name="Ввод  8 6 2" xfId="6081" xr:uid="{00000000-0005-0000-0000-00006C0C0000}"/>
    <cellStyle name="Ввод  8 6 3" xfId="10349" xr:uid="{00000000-0005-0000-0000-00006D0C0000}"/>
    <cellStyle name="Ввод  8 6 4" xfId="14585" xr:uid="{00000000-0005-0000-0000-00006E0C0000}"/>
    <cellStyle name="Ввод  8 60" xfId="1346" xr:uid="{00000000-0005-0000-0000-00006F0C0000}"/>
    <cellStyle name="Ввод  8 60 2" xfId="6082" xr:uid="{00000000-0005-0000-0000-0000700C0000}"/>
    <cellStyle name="Ввод  8 60 3" xfId="10350" xr:uid="{00000000-0005-0000-0000-0000710C0000}"/>
    <cellStyle name="Ввод  8 60 4" xfId="14586" xr:uid="{00000000-0005-0000-0000-0000720C0000}"/>
    <cellStyle name="Ввод  8 61" xfId="1347" xr:uid="{00000000-0005-0000-0000-0000730C0000}"/>
    <cellStyle name="Ввод  8 61 2" xfId="6083" xr:uid="{00000000-0005-0000-0000-0000740C0000}"/>
    <cellStyle name="Ввод  8 61 3" xfId="10351" xr:uid="{00000000-0005-0000-0000-0000750C0000}"/>
    <cellStyle name="Ввод  8 61 4" xfId="14587" xr:uid="{00000000-0005-0000-0000-0000760C0000}"/>
    <cellStyle name="Ввод  8 62" xfId="1348" xr:uid="{00000000-0005-0000-0000-0000770C0000}"/>
    <cellStyle name="Ввод  8 62 2" xfId="6084" xr:uid="{00000000-0005-0000-0000-0000780C0000}"/>
    <cellStyle name="Ввод  8 62 3" xfId="10352" xr:uid="{00000000-0005-0000-0000-0000790C0000}"/>
    <cellStyle name="Ввод  8 62 4" xfId="14588" xr:uid="{00000000-0005-0000-0000-00007A0C0000}"/>
    <cellStyle name="Ввод  8 63" xfId="1349" xr:uid="{00000000-0005-0000-0000-00007B0C0000}"/>
    <cellStyle name="Ввод  8 63 2" xfId="6085" xr:uid="{00000000-0005-0000-0000-00007C0C0000}"/>
    <cellStyle name="Ввод  8 63 3" xfId="10353" xr:uid="{00000000-0005-0000-0000-00007D0C0000}"/>
    <cellStyle name="Ввод  8 63 4" xfId="14589" xr:uid="{00000000-0005-0000-0000-00007E0C0000}"/>
    <cellStyle name="Ввод  8 64" xfId="1350" xr:uid="{00000000-0005-0000-0000-00007F0C0000}"/>
    <cellStyle name="Ввод  8 64 2" xfId="6086" xr:uid="{00000000-0005-0000-0000-0000800C0000}"/>
    <cellStyle name="Ввод  8 64 3" xfId="10354" xr:uid="{00000000-0005-0000-0000-0000810C0000}"/>
    <cellStyle name="Ввод  8 64 4" xfId="14590" xr:uid="{00000000-0005-0000-0000-0000820C0000}"/>
    <cellStyle name="Ввод  8 65" xfId="1351" xr:uid="{00000000-0005-0000-0000-0000830C0000}"/>
    <cellStyle name="Ввод  8 65 2" xfId="6087" xr:uid="{00000000-0005-0000-0000-0000840C0000}"/>
    <cellStyle name="Ввод  8 65 3" xfId="10355" xr:uid="{00000000-0005-0000-0000-0000850C0000}"/>
    <cellStyle name="Ввод  8 65 4" xfId="14591" xr:uid="{00000000-0005-0000-0000-0000860C0000}"/>
    <cellStyle name="Ввод  8 66" xfId="1352" xr:uid="{00000000-0005-0000-0000-0000870C0000}"/>
    <cellStyle name="Ввод  8 66 2" xfId="6088" xr:uid="{00000000-0005-0000-0000-0000880C0000}"/>
    <cellStyle name="Ввод  8 66 3" xfId="10356" xr:uid="{00000000-0005-0000-0000-0000890C0000}"/>
    <cellStyle name="Ввод  8 66 4" xfId="14592" xr:uid="{00000000-0005-0000-0000-00008A0C0000}"/>
    <cellStyle name="Ввод  8 67" xfId="1353" xr:uid="{00000000-0005-0000-0000-00008B0C0000}"/>
    <cellStyle name="Ввод  8 67 2" xfId="6089" xr:uid="{00000000-0005-0000-0000-00008C0C0000}"/>
    <cellStyle name="Ввод  8 67 3" xfId="10357" xr:uid="{00000000-0005-0000-0000-00008D0C0000}"/>
    <cellStyle name="Ввод  8 67 4" xfId="14593" xr:uid="{00000000-0005-0000-0000-00008E0C0000}"/>
    <cellStyle name="Ввод  8 68" xfId="1354" xr:uid="{00000000-0005-0000-0000-00008F0C0000}"/>
    <cellStyle name="Ввод  8 68 2" xfId="6090" xr:uid="{00000000-0005-0000-0000-0000900C0000}"/>
    <cellStyle name="Ввод  8 68 3" xfId="10358" xr:uid="{00000000-0005-0000-0000-0000910C0000}"/>
    <cellStyle name="Ввод  8 68 4" xfId="14594" xr:uid="{00000000-0005-0000-0000-0000920C0000}"/>
    <cellStyle name="Ввод  8 69" xfId="1355" xr:uid="{00000000-0005-0000-0000-0000930C0000}"/>
    <cellStyle name="Ввод  8 69 2" xfId="6091" xr:uid="{00000000-0005-0000-0000-0000940C0000}"/>
    <cellStyle name="Ввод  8 69 3" xfId="10359" xr:uid="{00000000-0005-0000-0000-0000950C0000}"/>
    <cellStyle name="Ввод  8 69 4" xfId="14595" xr:uid="{00000000-0005-0000-0000-0000960C0000}"/>
    <cellStyle name="Ввод  8 7" xfId="1356" xr:uid="{00000000-0005-0000-0000-0000970C0000}"/>
    <cellStyle name="Ввод  8 7 2" xfId="6092" xr:uid="{00000000-0005-0000-0000-0000980C0000}"/>
    <cellStyle name="Ввод  8 7 3" xfId="10360" xr:uid="{00000000-0005-0000-0000-0000990C0000}"/>
    <cellStyle name="Ввод  8 7 4" xfId="14596" xr:uid="{00000000-0005-0000-0000-00009A0C0000}"/>
    <cellStyle name="Ввод  8 70" xfId="1357" xr:uid="{00000000-0005-0000-0000-00009B0C0000}"/>
    <cellStyle name="Ввод  8 70 2" xfId="6093" xr:uid="{00000000-0005-0000-0000-00009C0C0000}"/>
    <cellStyle name="Ввод  8 70 3" xfId="10361" xr:uid="{00000000-0005-0000-0000-00009D0C0000}"/>
    <cellStyle name="Ввод  8 70 4" xfId="14597" xr:uid="{00000000-0005-0000-0000-00009E0C0000}"/>
    <cellStyle name="Ввод  8 71" xfId="1358" xr:uid="{00000000-0005-0000-0000-00009F0C0000}"/>
    <cellStyle name="Ввод  8 71 2" xfId="6094" xr:uid="{00000000-0005-0000-0000-0000A00C0000}"/>
    <cellStyle name="Ввод  8 71 3" xfId="10362" xr:uid="{00000000-0005-0000-0000-0000A10C0000}"/>
    <cellStyle name="Ввод  8 71 4" xfId="14598" xr:uid="{00000000-0005-0000-0000-0000A20C0000}"/>
    <cellStyle name="Ввод  8 72" xfId="1359" xr:uid="{00000000-0005-0000-0000-0000A30C0000}"/>
    <cellStyle name="Ввод  8 72 2" xfId="6095" xr:uid="{00000000-0005-0000-0000-0000A40C0000}"/>
    <cellStyle name="Ввод  8 72 3" xfId="10363" xr:uid="{00000000-0005-0000-0000-0000A50C0000}"/>
    <cellStyle name="Ввод  8 72 4" xfId="14599" xr:uid="{00000000-0005-0000-0000-0000A60C0000}"/>
    <cellStyle name="Ввод  8 73" xfId="1360" xr:uid="{00000000-0005-0000-0000-0000A70C0000}"/>
    <cellStyle name="Ввод  8 73 2" xfId="6096" xr:uid="{00000000-0005-0000-0000-0000A80C0000}"/>
    <cellStyle name="Ввод  8 73 3" xfId="10364" xr:uid="{00000000-0005-0000-0000-0000A90C0000}"/>
    <cellStyle name="Ввод  8 73 4" xfId="14600" xr:uid="{00000000-0005-0000-0000-0000AA0C0000}"/>
    <cellStyle name="Ввод  8 74" xfId="1361" xr:uid="{00000000-0005-0000-0000-0000AB0C0000}"/>
    <cellStyle name="Ввод  8 74 2" xfId="6097" xr:uid="{00000000-0005-0000-0000-0000AC0C0000}"/>
    <cellStyle name="Ввод  8 74 3" xfId="10365" xr:uid="{00000000-0005-0000-0000-0000AD0C0000}"/>
    <cellStyle name="Ввод  8 74 4" xfId="14601" xr:uid="{00000000-0005-0000-0000-0000AE0C0000}"/>
    <cellStyle name="Ввод  8 75" xfId="1362" xr:uid="{00000000-0005-0000-0000-0000AF0C0000}"/>
    <cellStyle name="Ввод  8 75 2" xfId="6098" xr:uid="{00000000-0005-0000-0000-0000B00C0000}"/>
    <cellStyle name="Ввод  8 75 3" xfId="10366" xr:uid="{00000000-0005-0000-0000-0000B10C0000}"/>
    <cellStyle name="Ввод  8 75 4" xfId="14602" xr:uid="{00000000-0005-0000-0000-0000B20C0000}"/>
    <cellStyle name="Ввод  8 76" xfId="1363" xr:uid="{00000000-0005-0000-0000-0000B30C0000}"/>
    <cellStyle name="Ввод  8 76 2" xfId="6099" xr:uid="{00000000-0005-0000-0000-0000B40C0000}"/>
    <cellStyle name="Ввод  8 76 3" xfId="10367" xr:uid="{00000000-0005-0000-0000-0000B50C0000}"/>
    <cellStyle name="Ввод  8 76 4" xfId="14603" xr:uid="{00000000-0005-0000-0000-0000B60C0000}"/>
    <cellStyle name="Ввод  8 77" xfId="1364" xr:uid="{00000000-0005-0000-0000-0000B70C0000}"/>
    <cellStyle name="Ввод  8 77 2" xfId="6100" xr:uid="{00000000-0005-0000-0000-0000B80C0000}"/>
    <cellStyle name="Ввод  8 77 3" xfId="10368" xr:uid="{00000000-0005-0000-0000-0000B90C0000}"/>
    <cellStyle name="Ввод  8 77 4" xfId="14604" xr:uid="{00000000-0005-0000-0000-0000BA0C0000}"/>
    <cellStyle name="Ввод  8 78" xfId="1365" xr:uid="{00000000-0005-0000-0000-0000BB0C0000}"/>
    <cellStyle name="Ввод  8 78 2" xfId="6101" xr:uid="{00000000-0005-0000-0000-0000BC0C0000}"/>
    <cellStyle name="Ввод  8 78 3" xfId="10369" xr:uid="{00000000-0005-0000-0000-0000BD0C0000}"/>
    <cellStyle name="Ввод  8 78 4" xfId="14605" xr:uid="{00000000-0005-0000-0000-0000BE0C0000}"/>
    <cellStyle name="Ввод  8 79" xfId="1366" xr:uid="{00000000-0005-0000-0000-0000BF0C0000}"/>
    <cellStyle name="Ввод  8 79 2" xfId="6102" xr:uid="{00000000-0005-0000-0000-0000C00C0000}"/>
    <cellStyle name="Ввод  8 79 3" xfId="10370" xr:uid="{00000000-0005-0000-0000-0000C10C0000}"/>
    <cellStyle name="Ввод  8 79 4" xfId="14606" xr:uid="{00000000-0005-0000-0000-0000C20C0000}"/>
    <cellStyle name="Ввод  8 8" xfId="1367" xr:uid="{00000000-0005-0000-0000-0000C30C0000}"/>
    <cellStyle name="Ввод  8 8 2" xfId="6103" xr:uid="{00000000-0005-0000-0000-0000C40C0000}"/>
    <cellStyle name="Ввод  8 8 3" xfId="10371" xr:uid="{00000000-0005-0000-0000-0000C50C0000}"/>
    <cellStyle name="Ввод  8 8 4" xfId="14607" xr:uid="{00000000-0005-0000-0000-0000C60C0000}"/>
    <cellStyle name="Ввод  8 80" xfId="1368" xr:uid="{00000000-0005-0000-0000-0000C70C0000}"/>
    <cellStyle name="Ввод  8 80 2" xfId="6104" xr:uid="{00000000-0005-0000-0000-0000C80C0000}"/>
    <cellStyle name="Ввод  8 80 3" xfId="10372" xr:uid="{00000000-0005-0000-0000-0000C90C0000}"/>
    <cellStyle name="Ввод  8 80 4" xfId="14608" xr:uid="{00000000-0005-0000-0000-0000CA0C0000}"/>
    <cellStyle name="Ввод  8 81" xfId="1369" xr:uid="{00000000-0005-0000-0000-0000CB0C0000}"/>
    <cellStyle name="Ввод  8 81 2" xfId="6105" xr:uid="{00000000-0005-0000-0000-0000CC0C0000}"/>
    <cellStyle name="Ввод  8 81 3" xfId="10373" xr:uid="{00000000-0005-0000-0000-0000CD0C0000}"/>
    <cellStyle name="Ввод  8 81 4" xfId="14609" xr:uid="{00000000-0005-0000-0000-0000CE0C0000}"/>
    <cellStyle name="Ввод  8 82" xfId="1370" xr:uid="{00000000-0005-0000-0000-0000CF0C0000}"/>
    <cellStyle name="Ввод  8 82 2" xfId="6106" xr:uid="{00000000-0005-0000-0000-0000D00C0000}"/>
    <cellStyle name="Ввод  8 82 3" xfId="10374" xr:uid="{00000000-0005-0000-0000-0000D10C0000}"/>
    <cellStyle name="Ввод  8 82 4" xfId="14610" xr:uid="{00000000-0005-0000-0000-0000D20C0000}"/>
    <cellStyle name="Ввод  8 83" xfId="1371" xr:uid="{00000000-0005-0000-0000-0000D30C0000}"/>
    <cellStyle name="Ввод  8 83 2" xfId="6107" xr:uid="{00000000-0005-0000-0000-0000D40C0000}"/>
    <cellStyle name="Ввод  8 83 3" xfId="10375" xr:uid="{00000000-0005-0000-0000-0000D50C0000}"/>
    <cellStyle name="Ввод  8 83 4" xfId="14611" xr:uid="{00000000-0005-0000-0000-0000D60C0000}"/>
    <cellStyle name="Ввод  8 84" xfId="1372" xr:uid="{00000000-0005-0000-0000-0000D70C0000}"/>
    <cellStyle name="Ввод  8 84 2" xfId="6108" xr:uid="{00000000-0005-0000-0000-0000D80C0000}"/>
    <cellStyle name="Ввод  8 84 3" xfId="10376" xr:uid="{00000000-0005-0000-0000-0000D90C0000}"/>
    <cellStyle name="Ввод  8 84 4" xfId="14612" xr:uid="{00000000-0005-0000-0000-0000DA0C0000}"/>
    <cellStyle name="Ввод  8 85" xfId="1373" xr:uid="{00000000-0005-0000-0000-0000DB0C0000}"/>
    <cellStyle name="Ввод  8 85 2" xfId="6109" xr:uid="{00000000-0005-0000-0000-0000DC0C0000}"/>
    <cellStyle name="Ввод  8 85 3" xfId="10377" xr:uid="{00000000-0005-0000-0000-0000DD0C0000}"/>
    <cellStyle name="Ввод  8 85 4" xfId="14613" xr:uid="{00000000-0005-0000-0000-0000DE0C0000}"/>
    <cellStyle name="Ввод  8 86" xfId="1374" xr:uid="{00000000-0005-0000-0000-0000DF0C0000}"/>
    <cellStyle name="Ввод  8 86 2" xfId="6110" xr:uid="{00000000-0005-0000-0000-0000E00C0000}"/>
    <cellStyle name="Ввод  8 86 3" xfId="10378" xr:uid="{00000000-0005-0000-0000-0000E10C0000}"/>
    <cellStyle name="Ввод  8 86 4" xfId="14614" xr:uid="{00000000-0005-0000-0000-0000E20C0000}"/>
    <cellStyle name="Ввод  8 87" xfId="1375" xr:uid="{00000000-0005-0000-0000-0000E30C0000}"/>
    <cellStyle name="Ввод  8 87 2" xfId="6111" xr:uid="{00000000-0005-0000-0000-0000E40C0000}"/>
    <cellStyle name="Ввод  8 87 3" xfId="10379" xr:uid="{00000000-0005-0000-0000-0000E50C0000}"/>
    <cellStyle name="Ввод  8 87 4" xfId="14615" xr:uid="{00000000-0005-0000-0000-0000E60C0000}"/>
    <cellStyle name="Ввод  8 88" xfId="1376" xr:uid="{00000000-0005-0000-0000-0000E70C0000}"/>
    <cellStyle name="Ввод  8 88 2" xfId="6112" xr:uid="{00000000-0005-0000-0000-0000E80C0000}"/>
    <cellStyle name="Ввод  8 88 3" xfId="10380" xr:uid="{00000000-0005-0000-0000-0000E90C0000}"/>
    <cellStyle name="Ввод  8 88 4" xfId="14616" xr:uid="{00000000-0005-0000-0000-0000EA0C0000}"/>
    <cellStyle name="Ввод  8 89" xfId="1377" xr:uid="{00000000-0005-0000-0000-0000EB0C0000}"/>
    <cellStyle name="Ввод  8 89 2" xfId="6113" xr:uid="{00000000-0005-0000-0000-0000EC0C0000}"/>
    <cellStyle name="Ввод  8 89 3" xfId="10381" xr:uid="{00000000-0005-0000-0000-0000ED0C0000}"/>
    <cellStyle name="Ввод  8 89 4" xfId="14617" xr:uid="{00000000-0005-0000-0000-0000EE0C0000}"/>
    <cellStyle name="Ввод  8 9" xfId="1378" xr:uid="{00000000-0005-0000-0000-0000EF0C0000}"/>
    <cellStyle name="Ввод  8 9 2" xfId="6114" xr:uid="{00000000-0005-0000-0000-0000F00C0000}"/>
    <cellStyle name="Ввод  8 9 3" xfId="10382" xr:uid="{00000000-0005-0000-0000-0000F10C0000}"/>
    <cellStyle name="Ввод  8 9 4" xfId="14618" xr:uid="{00000000-0005-0000-0000-0000F20C0000}"/>
    <cellStyle name="Ввод  8 90" xfId="1379" xr:uid="{00000000-0005-0000-0000-0000F30C0000}"/>
    <cellStyle name="Ввод  8 90 2" xfId="6115" xr:uid="{00000000-0005-0000-0000-0000F40C0000}"/>
    <cellStyle name="Ввод  8 90 3" xfId="10383" xr:uid="{00000000-0005-0000-0000-0000F50C0000}"/>
    <cellStyle name="Ввод  8 90 4" xfId="14619" xr:uid="{00000000-0005-0000-0000-0000F60C0000}"/>
    <cellStyle name="Ввод  8 91" xfId="1380" xr:uid="{00000000-0005-0000-0000-0000F70C0000}"/>
    <cellStyle name="Ввод  8 91 2" xfId="6116" xr:uid="{00000000-0005-0000-0000-0000F80C0000}"/>
    <cellStyle name="Ввод  8 91 3" xfId="10384" xr:uid="{00000000-0005-0000-0000-0000F90C0000}"/>
    <cellStyle name="Ввод  8 91 4" xfId="14620" xr:uid="{00000000-0005-0000-0000-0000FA0C0000}"/>
    <cellStyle name="Ввод  8 92" xfId="5184" xr:uid="{00000000-0005-0000-0000-0000FB0C0000}"/>
    <cellStyle name="Ввод  8 93" xfId="5259" xr:uid="{00000000-0005-0000-0000-0000FC0C0000}"/>
    <cellStyle name="Ввод  8 94" xfId="5329" xr:uid="{00000000-0005-0000-0000-0000FD0C0000}"/>
    <cellStyle name="Ввод  9" xfId="231" xr:uid="{00000000-0005-0000-0000-0000FE0C0000}"/>
    <cellStyle name="Ввод  9 10" xfId="1381" xr:uid="{00000000-0005-0000-0000-0000FF0C0000}"/>
    <cellStyle name="Ввод  9 10 2" xfId="6117" xr:uid="{00000000-0005-0000-0000-0000000D0000}"/>
    <cellStyle name="Ввод  9 10 3" xfId="10385" xr:uid="{00000000-0005-0000-0000-0000010D0000}"/>
    <cellStyle name="Ввод  9 10 4" xfId="14621" xr:uid="{00000000-0005-0000-0000-0000020D0000}"/>
    <cellStyle name="Ввод  9 11" xfId="1382" xr:uid="{00000000-0005-0000-0000-0000030D0000}"/>
    <cellStyle name="Ввод  9 11 2" xfId="6118" xr:uid="{00000000-0005-0000-0000-0000040D0000}"/>
    <cellStyle name="Ввод  9 11 3" xfId="10386" xr:uid="{00000000-0005-0000-0000-0000050D0000}"/>
    <cellStyle name="Ввод  9 11 4" xfId="14622" xr:uid="{00000000-0005-0000-0000-0000060D0000}"/>
    <cellStyle name="Ввод  9 12" xfId="1383" xr:uid="{00000000-0005-0000-0000-0000070D0000}"/>
    <cellStyle name="Ввод  9 12 2" xfId="6119" xr:uid="{00000000-0005-0000-0000-0000080D0000}"/>
    <cellStyle name="Ввод  9 12 3" xfId="10387" xr:uid="{00000000-0005-0000-0000-0000090D0000}"/>
    <cellStyle name="Ввод  9 12 4" xfId="14623" xr:uid="{00000000-0005-0000-0000-00000A0D0000}"/>
    <cellStyle name="Ввод  9 13" xfId="1384" xr:uid="{00000000-0005-0000-0000-00000B0D0000}"/>
    <cellStyle name="Ввод  9 13 2" xfId="6120" xr:uid="{00000000-0005-0000-0000-00000C0D0000}"/>
    <cellStyle name="Ввод  9 13 3" xfId="10388" xr:uid="{00000000-0005-0000-0000-00000D0D0000}"/>
    <cellStyle name="Ввод  9 13 4" xfId="14624" xr:uid="{00000000-0005-0000-0000-00000E0D0000}"/>
    <cellStyle name="Ввод  9 14" xfId="1385" xr:uid="{00000000-0005-0000-0000-00000F0D0000}"/>
    <cellStyle name="Ввод  9 14 2" xfId="6121" xr:uid="{00000000-0005-0000-0000-0000100D0000}"/>
    <cellStyle name="Ввод  9 14 3" xfId="10389" xr:uid="{00000000-0005-0000-0000-0000110D0000}"/>
    <cellStyle name="Ввод  9 14 4" xfId="14625" xr:uid="{00000000-0005-0000-0000-0000120D0000}"/>
    <cellStyle name="Ввод  9 15" xfId="1386" xr:uid="{00000000-0005-0000-0000-0000130D0000}"/>
    <cellStyle name="Ввод  9 15 2" xfId="6122" xr:uid="{00000000-0005-0000-0000-0000140D0000}"/>
    <cellStyle name="Ввод  9 15 3" xfId="10390" xr:uid="{00000000-0005-0000-0000-0000150D0000}"/>
    <cellStyle name="Ввод  9 15 4" xfId="14626" xr:uid="{00000000-0005-0000-0000-0000160D0000}"/>
    <cellStyle name="Ввод  9 16" xfId="1387" xr:uid="{00000000-0005-0000-0000-0000170D0000}"/>
    <cellStyle name="Ввод  9 16 2" xfId="6123" xr:uid="{00000000-0005-0000-0000-0000180D0000}"/>
    <cellStyle name="Ввод  9 16 3" xfId="10391" xr:uid="{00000000-0005-0000-0000-0000190D0000}"/>
    <cellStyle name="Ввод  9 16 4" xfId="14627" xr:uid="{00000000-0005-0000-0000-00001A0D0000}"/>
    <cellStyle name="Ввод  9 17" xfId="1388" xr:uid="{00000000-0005-0000-0000-00001B0D0000}"/>
    <cellStyle name="Ввод  9 17 2" xfId="6124" xr:uid="{00000000-0005-0000-0000-00001C0D0000}"/>
    <cellStyle name="Ввод  9 17 3" xfId="10392" xr:uid="{00000000-0005-0000-0000-00001D0D0000}"/>
    <cellStyle name="Ввод  9 17 4" xfId="14628" xr:uid="{00000000-0005-0000-0000-00001E0D0000}"/>
    <cellStyle name="Ввод  9 18" xfId="1389" xr:uid="{00000000-0005-0000-0000-00001F0D0000}"/>
    <cellStyle name="Ввод  9 18 2" xfId="6125" xr:uid="{00000000-0005-0000-0000-0000200D0000}"/>
    <cellStyle name="Ввод  9 18 3" xfId="10393" xr:uid="{00000000-0005-0000-0000-0000210D0000}"/>
    <cellStyle name="Ввод  9 18 4" xfId="14629" xr:uid="{00000000-0005-0000-0000-0000220D0000}"/>
    <cellStyle name="Ввод  9 19" xfId="1390" xr:uid="{00000000-0005-0000-0000-0000230D0000}"/>
    <cellStyle name="Ввод  9 19 2" xfId="6126" xr:uid="{00000000-0005-0000-0000-0000240D0000}"/>
    <cellStyle name="Ввод  9 19 3" xfId="10394" xr:uid="{00000000-0005-0000-0000-0000250D0000}"/>
    <cellStyle name="Ввод  9 19 4" xfId="14630" xr:uid="{00000000-0005-0000-0000-0000260D0000}"/>
    <cellStyle name="Ввод  9 2" xfId="1391" xr:uid="{00000000-0005-0000-0000-0000270D0000}"/>
    <cellStyle name="Ввод  9 2 2" xfId="1392" xr:uid="{00000000-0005-0000-0000-0000280D0000}"/>
    <cellStyle name="Ввод  9 2 2 2" xfId="6128" xr:uid="{00000000-0005-0000-0000-0000290D0000}"/>
    <cellStyle name="Ввод  9 2 2 3" xfId="10396" xr:uid="{00000000-0005-0000-0000-00002A0D0000}"/>
    <cellStyle name="Ввод  9 2 2 4" xfId="14632" xr:uid="{00000000-0005-0000-0000-00002B0D0000}"/>
    <cellStyle name="Ввод  9 2 3" xfId="1393" xr:uid="{00000000-0005-0000-0000-00002C0D0000}"/>
    <cellStyle name="Ввод  9 2 3 2" xfId="6129" xr:uid="{00000000-0005-0000-0000-00002D0D0000}"/>
    <cellStyle name="Ввод  9 2 3 3" xfId="10397" xr:uid="{00000000-0005-0000-0000-00002E0D0000}"/>
    <cellStyle name="Ввод  9 2 3 4" xfId="14633" xr:uid="{00000000-0005-0000-0000-00002F0D0000}"/>
    <cellStyle name="Ввод  9 2 4" xfId="6127" xr:uid="{00000000-0005-0000-0000-0000300D0000}"/>
    <cellStyle name="Ввод  9 2 5" xfId="10395" xr:uid="{00000000-0005-0000-0000-0000310D0000}"/>
    <cellStyle name="Ввод  9 2 6" xfId="14631" xr:uid="{00000000-0005-0000-0000-0000320D0000}"/>
    <cellStyle name="Ввод  9 20" xfId="1394" xr:uid="{00000000-0005-0000-0000-0000330D0000}"/>
    <cellStyle name="Ввод  9 20 2" xfId="6130" xr:uid="{00000000-0005-0000-0000-0000340D0000}"/>
    <cellStyle name="Ввод  9 20 3" xfId="10398" xr:uid="{00000000-0005-0000-0000-0000350D0000}"/>
    <cellStyle name="Ввод  9 20 4" xfId="14634" xr:uid="{00000000-0005-0000-0000-0000360D0000}"/>
    <cellStyle name="Ввод  9 21" xfId="1395" xr:uid="{00000000-0005-0000-0000-0000370D0000}"/>
    <cellStyle name="Ввод  9 21 2" xfId="6131" xr:uid="{00000000-0005-0000-0000-0000380D0000}"/>
    <cellStyle name="Ввод  9 21 3" xfId="10399" xr:uid="{00000000-0005-0000-0000-0000390D0000}"/>
    <cellStyle name="Ввод  9 21 4" xfId="14635" xr:uid="{00000000-0005-0000-0000-00003A0D0000}"/>
    <cellStyle name="Ввод  9 22" xfId="1396" xr:uid="{00000000-0005-0000-0000-00003B0D0000}"/>
    <cellStyle name="Ввод  9 22 2" xfId="6132" xr:uid="{00000000-0005-0000-0000-00003C0D0000}"/>
    <cellStyle name="Ввод  9 22 3" xfId="10400" xr:uid="{00000000-0005-0000-0000-00003D0D0000}"/>
    <cellStyle name="Ввод  9 22 4" xfId="14636" xr:uid="{00000000-0005-0000-0000-00003E0D0000}"/>
    <cellStyle name="Ввод  9 23" xfId="1397" xr:uid="{00000000-0005-0000-0000-00003F0D0000}"/>
    <cellStyle name="Ввод  9 23 2" xfId="6133" xr:uid="{00000000-0005-0000-0000-0000400D0000}"/>
    <cellStyle name="Ввод  9 23 3" xfId="10401" xr:uid="{00000000-0005-0000-0000-0000410D0000}"/>
    <cellStyle name="Ввод  9 23 4" xfId="14637" xr:uid="{00000000-0005-0000-0000-0000420D0000}"/>
    <cellStyle name="Ввод  9 24" xfId="1398" xr:uid="{00000000-0005-0000-0000-0000430D0000}"/>
    <cellStyle name="Ввод  9 24 2" xfId="6134" xr:uid="{00000000-0005-0000-0000-0000440D0000}"/>
    <cellStyle name="Ввод  9 24 3" xfId="10402" xr:uid="{00000000-0005-0000-0000-0000450D0000}"/>
    <cellStyle name="Ввод  9 24 4" xfId="14638" xr:uid="{00000000-0005-0000-0000-0000460D0000}"/>
    <cellStyle name="Ввод  9 25" xfId="1399" xr:uid="{00000000-0005-0000-0000-0000470D0000}"/>
    <cellStyle name="Ввод  9 25 2" xfId="6135" xr:uid="{00000000-0005-0000-0000-0000480D0000}"/>
    <cellStyle name="Ввод  9 25 3" xfId="10403" xr:uid="{00000000-0005-0000-0000-0000490D0000}"/>
    <cellStyle name="Ввод  9 25 4" xfId="14639" xr:uid="{00000000-0005-0000-0000-00004A0D0000}"/>
    <cellStyle name="Ввод  9 26" xfId="1400" xr:uid="{00000000-0005-0000-0000-00004B0D0000}"/>
    <cellStyle name="Ввод  9 26 2" xfId="6136" xr:uid="{00000000-0005-0000-0000-00004C0D0000}"/>
    <cellStyle name="Ввод  9 26 3" xfId="10404" xr:uid="{00000000-0005-0000-0000-00004D0D0000}"/>
    <cellStyle name="Ввод  9 26 4" xfId="14640" xr:uid="{00000000-0005-0000-0000-00004E0D0000}"/>
    <cellStyle name="Ввод  9 27" xfId="1401" xr:uid="{00000000-0005-0000-0000-00004F0D0000}"/>
    <cellStyle name="Ввод  9 27 2" xfId="6137" xr:uid="{00000000-0005-0000-0000-0000500D0000}"/>
    <cellStyle name="Ввод  9 27 3" xfId="10405" xr:uid="{00000000-0005-0000-0000-0000510D0000}"/>
    <cellStyle name="Ввод  9 27 4" xfId="14641" xr:uid="{00000000-0005-0000-0000-0000520D0000}"/>
    <cellStyle name="Ввод  9 28" xfId="1402" xr:uid="{00000000-0005-0000-0000-0000530D0000}"/>
    <cellStyle name="Ввод  9 28 2" xfId="6138" xr:uid="{00000000-0005-0000-0000-0000540D0000}"/>
    <cellStyle name="Ввод  9 28 3" xfId="10406" xr:uid="{00000000-0005-0000-0000-0000550D0000}"/>
    <cellStyle name="Ввод  9 28 4" xfId="14642" xr:uid="{00000000-0005-0000-0000-0000560D0000}"/>
    <cellStyle name="Ввод  9 29" xfId="1403" xr:uid="{00000000-0005-0000-0000-0000570D0000}"/>
    <cellStyle name="Ввод  9 29 2" xfId="6139" xr:uid="{00000000-0005-0000-0000-0000580D0000}"/>
    <cellStyle name="Ввод  9 29 3" xfId="10407" xr:uid="{00000000-0005-0000-0000-0000590D0000}"/>
    <cellStyle name="Ввод  9 29 4" xfId="14643" xr:uid="{00000000-0005-0000-0000-00005A0D0000}"/>
    <cellStyle name="Ввод  9 3" xfId="1404" xr:uid="{00000000-0005-0000-0000-00005B0D0000}"/>
    <cellStyle name="Ввод  9 3 2" xfId="1405" xr:uid="{00000000-0005-0000-0000-00005C0D0000}"/>
    <cellStyle name="Ввод  9 3 2 2" xfId="6141" xr:uid="{00000000-0005-0000-0000-00005D0D0000}"/>
    <cellStyle name="Ввод  9 3 2 3" xfId="10409" xr:uid="{00000000-0005-0000-0000-00005E0D0000}"/>
    <cellStyle name="Ввод  9 3 2 4" xfId="14645" xr:uid="{00000000-0005-0000-0000-00005F0D0000}"/>
    <cellStyle name="Ввод  9 3 3" xfId="1406" xr:uid="{00000000-0005-0000-0000-0000600D0000}"/>
    <cellStyle name="Ввод  9 3 3 2" xfId="6142" xr:uid="{00000000-0005-0000-0000-0000610D0000}"/>
    <cellStyle name="Ввод  9 3 3 3" xfId="10410" xr:uid="{00000000-0005-0000-0000-0000620D0000}"/>
    <cellStyle name="Ввод  9 3 3 4" xfId="14646" xr:uid="{00000000-0005-0000-0000-0000630D0000}"/>
    <cellStyle name="Ввод  9 3 4" xfId="6140" xr:uid="{00000000-0005-0000-0000-0000640D0000}"/>
    <cellStyle name="Ввод  9 3 5" xfId="10408" xr:uid="{00000000-0005-0000-0000-0000650D0000}"/>
    <cellStyle name="Ввод  9 3 6" xfId="14644" xr:uid="{00000000-0005-0000-0000-0000660D0000}"/>
    <cellStyle name="Ввод  9 30" xfId="1407" xr:uid="{00000000-0005-0000-0000-0000670D0000}"/>
    <cellStyle name="Ввод  9 30 2" xfId="6143" xr:uid="{00000000-0005-0000-0000-0000680D0000}"/>
    <cellStyle name="Ввод  9 30 3" xfId="10411" xr:uid="{00000000-0005-0000-0000-0000690D0000}"/>
    <cellStyle name="Ввод  9 30 4" xfId="14647" xr:uid="{00000000-0005-0000-0000-00006A0D0000}"/>
    <cellStyle name="Ввод  9 31" xfId="1408" xr:uid="{00000000-0005-0000-0000-00006B0D0000}"/>
    <cellStyle name="Ввод  9 31 2" xfId="6144" xr:uid="{00000000-0005-0000-0000-00006C0D0000}"/>
    <cellStyle name="Ввод  9 31 3" xfId="10412" xr:uid="{00000000-0005-0000-0000-00006D0D0000}"/>
    <cellStyle name="Ввод  9 31 4" xfId="14648" xr:uid="{00000000-0005-0000-0000-00006E0D0000}"/>
    <cellStyle name="Ввод  9 32" xfId="1409" xr:uid="{00000000-0005-0000-0000-00006F0D0000}"/>
    <cellStyle name="Ввод  9 32 2" xfId="6145" xr:uid="{00000000-0005-0000-0000-0000700D0000}"/>
    <cellStyle name="Ввод  9 32 3" xfId="10413" xr:uid="{00000000-0005-0000-0000-0000710D0000}"/>
    <cellStyle name="Ввод  9 32 4" xfId="14649" xr:uid="{00000000-0005-0000-0000-0000720D0000}"/>
    <cellStyle name="Ввод  9 33" xfId="1410" xr:uid="{00000000-0005-0000-0000-0000730D0000}"/>
    <cellStyle name="Ввод  9 33 2" xfId="6146" xr:uid="{00000000-0005-0000-0000-0000740D0000}"/>
    <cellStyle name="Ввод  9 33 3" xfId="10414" xr:uid="{00000000-0005-0000-0000-0000750D0000}"/>
    <cellStyle name="Ввод  9 33 4" xfId="14650" xr:uid="{00000000-0005-0000-0000-0000760D0000}"/>
    <cellStyle name="Ввод  9 34" xfId="1411" xr:uid="{00000000-0005-0000-0000-0000770D0000}"/>
    <cellStyle name="Ввод  9 34 2" xfId="6147" xr:uid="{00000000-0005-0000-0000-0000780D0000}"/>
    <cellStyle name="Ввод  9 34 3" xfId="10415" xr:uid="{00000000-0005-0000-0000-0000790D0000}"/>
    <cellStyle name="Ввод  9 34 4" xfId="14651" xr:uid="{00000000-0005-0000-0000-00007A0D0000}"/>
    <cellStyle name="Ввод  9 35" xfId="1412" xr:uid="{00000000-0005-0000-0000-00007B0D0000}"/>
    <cellStyle name="Ввод  9 35 2" xfId="6148" xr:uid="{00000000-0005-0000-0000-00007C0D0000}"/>
    <cellStyle name="Ввод  9 35 3" xfId="10416" xr:uid="{00000000-0005-0000-0000-00007D0D0000}"/>
    <cellStyle name="Ввод  9 35 4" xfId="14652" xr:uid="{00000000-0005-0000-0000-00007E0D0000}"/>
    <cellStyle name="Ввод  9 36" xfId="1413" xr:uid="{00000000-0005-0000-0000-00007F0D0000}"/>
    <cellStyle name="Ввод  9 36 2" xfId="6149" xr:uid="{00000000-0005-0000-0000-0000800D0000}"/>
    <cellStyle name="Ввод  9 36 3" xfId="10417" xr:uid="{00000000-0005-0000-0000-0000810D0000}"/>
    <cellStyle name="Ввод  9 36 4" xfId="14653" xr:uid="{00000000-0005-0000-0000-0000820D0000}"/>
    <cellStyle name="Ввод  9 37" xfId="1414" xr:uid="{00000000-0005-0000-0000-0000830D0000}"/>
    <cellStyle name="Ввод  9 37 2" xfId="6150" xr:uid="{00000000-0005-0000-0000-0000840D0000}"/>
    <cellStyle name="Ввод  9 37 3" xfId="10418" xr:uid="{00000000-0005-0000-0000-0000850D0000}"/>
    <cellStyle name="Ввод  9 37 4" xfId="14654" xr:uid="{00000000-0005-0000-0000-0000860D0000}"/>
    <cellStyle name="Ввод  9 38" xfId="1415" xr:uid="{00000000-0005-0000-0000-0000870D0000}"/>
    <cellStyle name="Ввод  9 38 2" xfId="6151" xr:uid="{00000000-0005-0000-0000-0000880D0000}"/>
    <cellStyle name="Ввод  9 38 3" xfId="10419" xr:uid="{00000000-0005-0000-0000-0000890D0000}"/>
    <cellStyle name="Ввод  9 38 4" xfId="14655" xr:uid="{00000000-0005-0000-0000-00008A0D0000}"/>
    <cellStyle name="Ввод  9 39" xfId="1416" xr:uid="{00000000-0005-0000-0000-00008B0D0000}"/>
    <cellStyle name="Ввод  9 39 2" xfId="6152" xr:uid="{00000000-0005-0000-0000-00008C0D0000}"/>
    <cellStyle name="Ввод  9 39 3" xfId="10420" xr:uid="{00000000-0005-0000-0000-00008D0D0000}"/>
    <cellStyle name="Ввод  9 39 4" xfId="14656" xr:uid="{00000000-0005-0000-0000-00008E0D0000}"/>
    <cellStyle name="Ввод  9 4" xfId="1417" xr:uid="{00000000-0005-0000-0000-00008F0D0000}"/>
    <cellStyle name="Ввод  9 4 2" xfId="1418" xr:uid="{00000000-0005-0000-0000-0000900D0000}"/>
    <cellStyle name="Ввод  9 4 2 2" xfId="6154" xr:uid="{00000000-0005-0000-0000-0000910D0000}"/>
    <cellStyle name="Ввод  9 4 2 3" xfId="10422" xr:uid="{00000000-0005-0000-0000-0000920D0000}"/>
    <cellStyle name="Ввод  9 4 2 4" xfId="14658" xr:uid="{00000000-0005-0000-0000-0000930D0000}"/>
    <cellStyle name="Ввод  9 4 3" xfId="1419" xr:uid="{00000000-0005-0000-0000-0000940D0000}"/>
    <cellStyle name="Ввод  9 4 3 2" xfId="6155" xr:uid="{00000000-0005-0000-0000-0000950D0000}"/>
    <cellStyle name="Ввод  9 4 3 3" xfId="10423" xr:uid="{00000000-0005-0000-0000-0000960D0000}"/>
    <cellStyle name="Ввод  9 4 3 4" xfId="14659" xr:uid="{00000000-0005-0000-0000-0000970D0000}"/>
    <cellStyle name="Ввод  9 4 4" xfId="6153" xr:uid="{00000000-0005-0000-0000-0000980D0000}"/>
    <cellStyle name="Ввод  9 4 5" xfId="10421" xr:uid="{00000000-0005-0000-0000-0000990D0000}"/>
    <cellStyle name="Ввод  9 4 6" xfId="14657" xr:uid="{00000000-0005-0000-0000-00009A0D0000}"/>
    <cellStyle name="Ввод  9 40" xfId="1420" xr:uid="{00000000-0005-0000-0000-00009B0D0000}"/>
    <cellStyle name="Ввод  9 40 2" xfId="6156" xr:uid="{00000000-0005-0000-0000-00009C0D0000}"/>
    <cellStyle name="Ввод  9 40 3" xfId="10424" xr:uid="{00000000-0005-0000-0000-00009D0D0000}"/>
    <cellStyle name="Ввод  9 40 4" xfId="14660" xr:uid="{00000000-0005-0000-0000-00009E0D0000}"/>
    <cellStyle name="Ввод  9 41" xfId="1421" xr:uid="{00000000-0005-0000-0000-00009F0D0000}"/>
    <cellStyle name="Ввод  9 41 2" xfId="6157" xr:uid="{00000000-0005-0000-0000-0000A00D0000}"/>
    <cellStyle name="Ввод  9 41 3" xfId="10425" xr:uid="{00000000-0005-0000-0000-0000A10D0000}"/>
    <cellStyle name="Ввод  9 41 4" xfId="14661" xr:uid="{00000000-0005-0000-0000-0000A20D0000}"/>
    <cellStyle name="Ввод  9 42" xfId="1422" xr:uid="{00000000-0005-0000-0000-0000A30D0000}"/>
    <cellStyle name="Ввод  9 42 2" xfId="6158" xr:uid="{00000000-0005-0000-0000-0000A40D0000}"/>
    <cellStyle name="Ввод  9 42 3" xfId="10426" xr:uid="{00000000-0005-0000-0000-0000A50D0000}"/>
    <cellStyle name="Ввод  9 42 4" xfId="14662" xr:uid="{00000000-0005-0000-0000-0000A60D0000}"/>
    <cellStyle name="Ввод  9 43" xfId="1423" xr:uid="{00000000-0005-0000-0000-0000A70D0000}"/>
    <cellStyle name="Ввод  9 43 2" xfId="6159" xr:uid="{00000000-0005-0000-0000-0000A80D0000}"/>
    <cellStyle name="Ввод  9 43 3" xfId="10427" xr:uid="{00000000-0005-0000-0000-0000A90D0000}"/>
    <cellStyle name="Ввод  9 43 4" xfId="14663" xr:uid="{00000000-0005-0000-0000-0000AA0D0000}"/>
    <cellStyle name="Ввод  9 44" xfId="1424" xr:uid="{00000000-0005-0000-0000-0000AB0D0000}"/>
    <cellStyle name="Ввод  9 44 2" xfId="6160" xr:uid="{00000000-0005-0000-0000-0000AC0D0000}"/>
    <cellStyle name="Ввод  9 44 3" xfId="10428" xr:uid="{00000000-0005-0000-0000-0000AD0D0000}"/>
    <cellStyle name="Ввод  9 44 4" xfId="14664" xr:uid="{00000000-0005-0000-0000-0000AE0D0000}"/>
    <cellStyle name="Ввод  9 45" xfId="1425" xr:uid="{00000000-0005-0000-0000-0000AF0D0000}"/>
    <cellStyle name="Ввод  9 45 2" xfId="6161" xr:uid="{00000000-0005-0000-0000-0000B00D0000}"/>
    <cellStyle name="Ввод  9 45 3" xfId="10429" xr:uid="{00000000-0005-0000-0000-0000B10D0000}"/>
    <cellStyle name="Ввод  9 45 4" xfId="14665" xr:uid="{00000000-0005-0000-0000-0000B20D0000}"/>
    <cellStyle name="Ввод  9 46" xfId="1426" xr:uid="{00000000-0005-0000-0000-0000B30D0000}"/>
    <cellStyle name="Ввод  9 46 2" xfId="6162" xr:uid="{00000000-0005-0000-0000-0000B40D0000}"/>
    <cellStyle name="Ввод  9 46 3" xfId="10430" xr:uid="{00000000-0005-0000-0000-0000B50D0000}"/>
    <cellStyle name="Ввод  9 46 4" xfId="14666" xr:uid="{00000000-0005-0000-0000-0000B60D0000}"/>
    <cellStyle name="Ввод  9 47" xfId="1427" xr:uid="{00000000-0005-0000-0000-0000B70D0000}"/>
    <cellStyle name="Ввод  9 47 2" xfId="6163" xr:uid="{00000000-0005-0000-0000-0000B80D0000}"/>
    <cellStyle name="Ввод  9 47 3" xfId="10431" xr:uid="{00000000-0005-0000-0000-0000B90D0000}"/>
    <cellStyle name="Ввод  9 47 4" xfId="14667" xr:uid="{00000000-0005-0000-0000-0000BA0D0000}"/>
    <cellStyle name="Ввод  9 48" xfId="1428" xr:uid="{00000000-0005-0000-0000-0000BB0D0000}"/>
    <cellStyle name="Ввод  9 48 2" xfId="6164" xr:uid="{00000000-0005-0000-0000-0000BC0D0000}"/>
    <cellStyle name="Ввод  9 48 3" xfId="10432" xr:uid="{00000000-0005-0000-0000-0000BD0D0000}"/>
    <cellStyle name="Ввод  9 48 4" xfId="14668" xr:uid="{00000000-0005-0000-0000-0000BE0D0000}"/>
    <cellStyle name="Ввод  9 49" xfId="1429" xr:uid="{00000000-0005-0000-0000-0000BF0D0000}"/>
    <cellStyle name="Ввод  9 49 2" xfId="6165" xr:uid="{00000000-0005-0000-0000-0000C00D0000}"/>
    <cellStyle name="Ввод  9 49 3" xfId="10433" xr:uid="{00000000-0005-0000-0000-0000C10D0000}"/>
    <cellStyle name="Ввод  9 49 4" xfId="14669" xr:uid="{00000000-0005-0000-0000-0000C20D0000}"/>
    <cellStyle name="Ввод  9 5" xfId="1430" xr:uid="{00000000-0005-0000-0000-0000C30D0000}"/>
    <cellStyle name="Ввод  9 5 2" xfId="6166" xr:uid="{00000000-0005-0000-0000-0000C40D0000}"/>
    <cellStyle name="Ввод  9 5 3" xfId="10434" xr:uid="{00000000-0005-0000-0000-0000C50D0000}"/>
    <cellStyle name="Ввод  9 5 4" xfId="14670" xr:uid="{00000000-0005-0000-0000-0000C60D0000}"/>
    <cellStyle name="Ввод  9 50" xfId="1431" xr:uid="{00000000-0005-0000-0000-0000C70D0000}"/>
    <cellStyle name="Ввод  9 50 2" xfId="6167" xr:uid="{00000000-0005-0000-0000-0000C80D0000}"/>
    <cellStyle name="Ввод  9 50 3" xfId="10435" xr:uid="{00000000-0005-0000-0000-0000C90D0000}"/>
    <cellStyle name="Ввод  9 50 4" xfId="14671" xr:uid="{00000000-0005-0000-0000-0000CA0D0000}"/>
    <cellStyle name="Ввод  9 51" xfId="1432" xr:uid="{00000000-0005-0000-0000-0000CB0D0000}"/>
    <cellStyle name="Ввод  9 51 2" xfId="6168" xr:uid="{00000000-0005-0000-0000-0000CC0D0000}"/>
    <cellStyle name="Ввод  9 51 3" xfId="10436" xr:uid="{00000000-0005-0000-0000-0000CD0D0000}"/>
    <cellStyle name="Ввод  9 51 4" xfId="14672" xr:uid="{00000000-0005-0000-0000-0000CE0D0000}"/>
    <cellStyle name="Ввод  9 52" xfId="1433" xr:uid="{00000000-0005-0000-0000-0000CF0D0000}"/>
    <cellStyle name="Ввод  9 52 2" xfId="6169" xr:uid="{00000000-0005-0000-0000-0000D00D0000}"/>
    <cellStyle name="Ввод  9 52 3" xfId="10437" xr:uid="{00000000-0005-0000-0000-0000D10D0000}"/>
    <cellStyle name="Ввод  9 52 4" xfId="14673" xr:uid="{00000000-0005-0000-0000-0000D20D0000}"/>
    <cellStyle name="Ввод  9 53" xfId="1434" xr:uid="{00000000-0005-0000-0000-0000D30D0000}"/>
    <cellStyle name="Ввод  9 53 2" xfId="6170" xr:uid="{00000000-0005-0000-0000-0000D40D0000}"/>
    <cellStyle name="Ввод  9 53 3" xfId="10438" xr:uid="{00000000-0005-0000-0000-0000D50D0000}"/>
    <cellStyle name="Ввод  9 53 4" xfId="14674" xr:uid="{00000000-0005-0000-0000-0000D60D0000}"/>
    <cellStyle name="Ввод  9 54" xfId="1435" xr:uid="{00000000-0005-0000-0000-0000D70D0000}"/>
    <cellStyle name="Ввод  9 54 2" xfId="6171" xr:uid="{00000000-0005-0000-0000-0000D80D0000}"/>
    <cellStyle name="Ввод  9 54 3" xfId="10439" xr:uid="{00000000-0005-0000-0000-0000D90D0000}"/>
    <cellStyle name="Ввод  9 54 4" xfId="14675" xr:uid="{00000000-0005-0000-0000-0000DA0D0000}"/>
    <cellStyle name="Ввод  9 55" xfId="1436" xr:uid="{00000000-0005-0000-0000-0000DB0D0000}"/>
    <cellStyle name="Ввод  9 55 2" xfId="6172" xr:uid="{00000000-0005-0000-0000-0000DC0D0000}"/>
    <cellStyle name="Ввод  9 55 3" xfId="10440" xr:uid="{00000000-0005-0000-0000-0000DD0D0000}"/>
    <cellStyle name="Ввод  9 55 4" xfId="14676" xr:uid="{00000000-0005-0000-0000-0000DE0D0000}"/>
    <cellStyle name="Ввод  9 56" xfId="1437" xr:uid="{00000000-0005-0000-0000-0000DF0D0000}"/>
    <cellStyle name="Ввод  9 56 2" xfId="6173" xr:uid="{00000000-0005-0000-0000-0000E00D0000}"/>
    <cellStyle name="Ввод  9 56 3" xfId="10441" xr:uid="{00000000-0005-0000-0000-0000E10D0000}"/>
    <cellStyle name="Ввод  9 56 4" xfId="14677" xr:uid="{00000000-0005-0000-0000-0000E20D0000}"/>
    <cellStyle name="Ввод  9 57" xfId="1438" xr:uid="{00000000-0005-0000-0000-0000E30D0000}"/>
    <cellStyle name="Ввод  9 57 2" xfId="6174" xr:uid="{00000000-0005-0000-0000-0000E40D0000}"/>
    <cellStyle name="Ввод  9 57 3" xfId="10442" xr:uid="{00000000-0005-0000-0000-0000E50D0000}"/>
    <cellStyle name="Ввод  9 57 4" xfId="14678" xr:uid="{00000000-0005-0000-0000-0000E60D0000}"/>
    <cellStyle name="Ввод  9 58" xfId="1439" xr:uid="{00000000-0005-0000-0000-0000E70D0000}"/>
    <cellStyle name="Ввод  9 58 2" xfId="6175" xr:uid="{00000000-0005-0000-0000-0000E80D0000}"/>
    <cellStyle name="Ввод  9 58 3" xfId="10443" xr:uid="{00000000-0005-0000-0000-0000E90D0000}"/>
    <cellStyle name="Ввод  9 58 4" xfId="14679" xr:uid="{00000000-0005-0000-0000-0000EA0D0000}"/>
    <cellStyle name="Ввод  9 59" xfId="1440" xr:uid="{00000000-0005-0000-0000-0000EB0D0000}"/>
    <cellStyle name="Ввод  9 59 2" xfId="6176" xr:uid="{00000000-0005-0000-0000-0000EC0D0000}"/>
    <cellStyle name="Ввод  9 59 3" xfId="10444" xr:uid="{00000000-0005-0000-0000-0000ED0D0000}"/>
    <cellStyle name="Ввод  9 59 4" xfId="14680" xr:uid="{00000000-0005-0000-0000-0000EE0D0000}"/>
    <cellStyle name="Ввод  9 6" xfId="1441" xr:uid="{00000000-0005-0000-0000-0000EF0D0000}"/>
    <cellStyle name="Ввод  9 6 2" xfId="6177" xr:uid="{00000000-0005-0000-0000-0000F00D0000}"/>
    <cellStyle name="Ввод  9 6 3" xfId="10445" xr:uid="{00000000-0005-0000-0000-0000F10D0000}"/>
    <cellStyle name="Ввод  9 6 4" xfId="14681" xr:uid="{00000000-0005-0000-0000-0000F20D0000}"/>
    <cellStyle name="Ввод  9 60" xfId="1442" xr:uid="{00000000-0005-0000-0000-0000F30D0000}"/>
    <cellStyle name="Ввод  9 60 2" xfId="6178" xr:uid="{00000000-0005-0000-0000-0000F40D0000}"/>
    <cellStyle name="Ввод  9 60 3" xfId="10446" xr:uid="{00000000-0005-0000-0000-0000F50D0000}"/>
    <cellStyle name="Ввод  9 60 4" xfId="14682" xr:uid="{00000000-0005-0000-0000-0000F60D0000}"/>
    <cellStyle name="Ввод  9 61" xfId="1443" xr:uid="{00000000-0005-0000-0000-0000F70D0000}"/>
    <cellStyle name="Ввод  9 61 2" xfId="6179" xr:uid="{00000000-0005-0000-0000-0000F80D0000}"/>
    <cellStyle name="Ввод  9 61 3" xfId="10447" xr:uid="{00000000-0005-0000-0000-0000F90D0000}"/>
    <cellStyle name="Ввод  9 61 4" xfId="14683" xr:uid="{00000000-0005-0000-0000-0000FA0D0000}"/>
    <cellStyle name="Ввод  9 62" xfId="1444" xr:uid="{00000000-0005-0000-0000-0000FB0D0000}"/>
    <cellStyle name="Ввод  9 62 2" xfId="6180" xr:uid="{00000000-0005-0000-0000-0000FC0D0000}"/>
    <cellStyle name="Ввод  9 62 3" xfId="10448" xr:uid="{00000000-0005-0000-0000-0000FD0D0000}"/>
    <cellStyle name="Ввод  9 62 4" xfId="14684" xr:uid="{00000000-0005-0000-0000-0000FE0D0000}"/>
    <cellStyle name="Ввод  9 63" xfId="1445" xr:uid="{00000000-0005-0000-0000-0000FF0D0000}"/>
    <cellStyle name="Ввод  9 63 2" xfId="6181" xr:uid="{00000000-0005-0000-0000-0000000E0000}"/>
    <cellStyle name="Ввод  9 63 3" xfId="10449" xr:uid="{00000000-0005-0000-0000-0000010E0000}"/>
    <cellStyle name="Ввод  9 63 4" xfId="14685" xr:uid="{00000000-0005-0000-0000-0000020E0000}"/>
    <cellStyle name="Ввод  9 64" xfId="1446" xr:uid="{00000000-0005-0000-0000-0000030E0000}"/>
    <cellStyle name="Ввод  9 64 2" xfId="6182" xr:uid="{00000000-0005-0000-0000-0000040E0000}"/>
    <cellStyle name="Ввод  9 64 3" xfId="10450" xr:uid="{00000000-0005-0000-0000-0000050E0000}"/>
    <cellStyle name="Ввод  9 64 4" xfId="14686" xr:uid="{00000000-0005-0000-0000-0000060E0000}"/>
    <cellStyle name="Ввод  9 65" xfId="1447" xr:uid="{00000000-0005-0000-0000-0000070E0000}"/>
    <cellStyle name="Ввод  9 65 2" xfId="6183" xr:uid="{00000000-0005-0000-0000-0000080E0000}"/>
    <cellStyle name="Ввод  9 65 3" xfId="10451" xr:uid="{00000000-0005-0000-0000-0000090E0000}"/>
    <cellStyle name="Ввод  9 65 4" xfId="14687" xr:uid="{00000000-0005-0000-0000-00000A0E0000}"/>
    <cellStyle name="Ввод  9 66" xfId="1448" xr:uid="{00000000-0005-0000-0000-00000B0E0000}"/>
    <cellStyle name="Ввод  9 66 2" xfId="6184" xr:uid="{00000000-0005-0000-0000-00000C0E0000}"/>
    <cellStyle name="Ввод  9 66 3" xfId="10452" xr:uid="{00000000-0005-0000-0000-00000D0E0000}"/>
    <cellStyle name="Ввод  9 66 4" xfId="14688" xr:uid="{00000000-0005-0000-0000-00000E0E0000}"/>
    <cellStyle name="Ввод  9 67" xfId="1449" xr:uid="{00000000-0005-0000-0000-00000F0E0000}"/>
    <cellStyle name="Ввод  9 67 2" xfId="6185" xr:uid="{00000000-0005-0000-0000-0000100E0000}"/>
    <cellStyle name="Ввод  9 67 3" xfId="10453" xr:uid="{00000000-0005-0000-0000-0000110E0000}"/>
    <cellStyle name="Ввод  9 67 4" xfId="14689" xr:uid="{00000000-0005-0000-0000-0000120E0000}"/>
    <cellStyle name="Ввод  9 68" xfId="1450" xr:uid="{00000000-0005-0000-0000-0000130E0000}"/>
    <cellStyle name="Ввод  9 68 2" xfId="6186" xr:uid="{00000000-0005-0000-0000-0000140E0000}"/>
    <cellStyle name="Ввод  9 68 3" xfId="10454" xr:uid="{00000000-0005-0000-0000-0000150E0000}"/>
    <cellStyle name="Ввод  9 68 4" xfId="14690" xr:uid="{00000000-0005-0000-0000-0000160E0000}"/>
    <cellStyle name="Ввод  9 69" xfId="1451" xr:uid="{00000000-0005-0000-0000-0000170E0000}"/>
    <cellStyle name="Ввод  9 69 2" xfId="6187" xr:uid="{00000000-0005-0000-0000-0000180E0000}"/>
    <cellStyle name="Ввод  9 69 3" xfId="10455" xr:uid="{00000000-0005-0000-0000-0000190E0000}"/>
    <cellStyle name="Ввод  9 69 4" xfId="14691" xr:uid="{00000000-0005-0000-0000-00001A0E0000}"/>
    <cellStyle name="Ввод  9 7" xfId="1452" xr:uid="{00000000-0005-0000-0000-00001B0E0000}"/>
    <cellStyle name="Ввод  9 7 2" xfId="6188" xr:uid="{00000000-0005-0000-0000-00001C0E0000}"/>
    <cellStyle name="Ввод  9 7 3" xfId="10456" xr:uid="{00000000-0005-0000-0000-00001D0E0000}"/>
    <cellStyle name="Ввод  9 7 4" xfId="14692" xr:uid="{00000000-0005-0000-0000-00001E0E0000}"/>
    <cellStyle name="Ввод  9 70" xfId="1453" xr:uid="{00000000-0005-0000-0000-00001F0E0000}"/>
    <cellStyle name="Ввод  9 70 2" xfId="6189" xr:uid="{00000000-0005-0000-0000-0000200E0000}"/>
    <cellStyle name="Ввод  9 70 3" xfId="10457" xr:uid="{00000000-0005-0000-0000-0000210E0000}"/>
    <cellStyle name="Ввод  9 70 4" xfId="14693" xr:uid="{00000000-0005-0000-0000-0000220E0000}"/>
    <cellStyle name="Ввод  9 71" xfId="1454" xr:uid="{00000000-0005-0000-0000-0000230E0000}"/>
    <cellStyle name="Ввод  9 71 2" xfId="6190" xr:uid="{00000000-0005-0000-0000-0000240E0000}"/>
    <cellStyle name="Ввод  9 71 3" xfId="10458" xr:uid="{00000000-0005-0000-0000-0000250E0000}"/>
    <cellStyle name="Ввод  9 71 4" xfId="14694" xr:uid="{00000000-0005-0000-0000-0000260E0000}"/>
    <cellStyle name="Ввод  9 72" xfId="1455" xr:uid="{00000000-0005-0000-0000-0000270E0000}"/>
    <cellStyle name="Ввод  9 72 2" xfId="6191" xr:uid="{00000000-0005-0000-0000-0000280E0000}"/>
    <cellStyle name="Ввод  9 72 3" xfId="10459" xr:uid="{00000000-0005-0000-0000-0000290E0000}"/>
    <cellStyle name="Ввод  9 72 4" xfId="14695" xr:uid="{00000000-0005-0000-0000-00002A0E0000}"/>
    <cellStyle name="Ввод  9 73" xfId="1456" xr:uid="{00000000-0005-0000-0000-00002B0E0000}"/>
    <cellStyle name="Ввод  9 73 2" xfId="6192" xr:uid="{00000000-0005-0000-0000-00002C0E0000}"/>
    <cellStyle name="Ввод  9 73 3" xfId="10460" xr:uid="{00000000-0005-0000-0000-00002D0E0000}"/>
    <cellStyle name="Ввод  9 73 4" xfId="14696" xr:uid="{00000000-0005-0000-0000-00002E0E0000}"/>
    <cellStyle name="Ввод  9 74" xfId="1457" xr:uid="{00000000-0005-0000-0000-00002F0E0000}"/>
    <cellStyle name="Ввод  9 74 2" xfId="6193" xr:uid="{00000000-0005-0000-0000-0000300E0000}"/>
    <cellStyle name="Ввод  9 74 3" xfId="10461" xr:uid="{00000000-0005-0000-0000-0000310E0000}"/>
    <cellStyle name="Ввод  9 74 4" xfId="14697" xr:uid="{00000000-0005-0000-0000-0000320E0000}"/>
    <cellStyle name="Ввод  9 75" xfId="1458" xr:uid="{00000000-0005-0000-0000-0000330E0000}"/>
    <cellStyle name="Ввод  9 75 2" xfId="6194" xr:uid="{00000000-0005-0000-0000-0000340E0000}"/>
    <cellStyle name="Ввод  9 75 3" xfId="10462" xr:uid="{00000000-0005-0000-0000-0000350E0000}"/>
    <cellStyle name="Ввод  9 75 4" xfId="14698" xr:uid="{00000000-0005-0000-0000-0000360E0000}"/>
    <cellStyle name="Ввод  9 76" xfId="1459" xr:uid="{00000000-0005-0000-0000-0000370E0000}"/>
    <cellStyle name="Ввод  9 76 2" xfId="6195" xr:uid="{00000000-0005-0000-0000-0000380E0000}"/>
    <cellStyle name="Ввод  9 76 3" xfId="10463" xr:uid="{00000000-0005-0000-0000-0000390E0000}"/>
    <cellStyle name="Ввод  9 76 4" xfId="14699" xr:uid="{00000000-0005-0000-0000-00003A0E0000}"/>
    <cellStyle name="Ввод  9 77" xfId="1460" xr:uid="{00000000-0005-0000-0000-00003B0E0000}"/>
    <cellStyle name="Ввод  9 77 2" xfId="6196" xr:uid="{00000000-0005-0000-0000-00003C0E0000}"/>
    <cellStyle name="Ввод  9 77 3" xfId="10464" xr:uid="{00000000-0005-0000-0000-00003D0E0000}"/>
    <cellStyle name="Ввод  9 77 4" xfId="14700" xr:uid="{00000000-0005-0000-0000-00003E0E0000}"/>
    <cellStyle name="Ввод  9 78" xfId="1461" xr:uid="{00000000-0005-0000-0000-00003F0E0000}"/>
    <cellStyle name="Ввод  9 78 2" xfId="6197" xr:uid="{00000000-0005-0000-0000-0000400E0000}"/>
    <cellStyle name="Ввод  9 78 3" xfId="10465" xr:uid="{00000000-0005-0000-0000-0000410E0000}"/>
    <cellStyle name="Ввод  9 78 4" xfId="14701" xr:uid="{00000000-0005-0000-0000-0000420E0000}"/>
    <cellStyle name="Ввод  9 79" xfId="1462" xr:uid="{00000000-0005-0000-0000-0000430E0000}"/>
    <cellStyle name="Ввод  9 79 2" xfId="6198" xr:uid="{00000000-0005-0000-0000-0000440E0000}"/>
    <cellStyle name="Ввод  9 79 3" xfId="10466" xr:uid="{00000000-0005-0000-0000-0000450E0000}"/>
    <cellStyle name="Ввод  9 79 4" xfId="14702" xr:uid="{00000000-0005-0000-0000-0000460E0000}"/>
    <cellStyle name="Ввод  9 8" xfId="1463" xr:uid="{00000000-0005-0000-0000-0000470E0000}"/>
    <cellStyle name="Ввод  9 8 2" xfId="6199" xr:uid="{00000000-0005-0000-0000-0000480E0000}"/>
    <cellStyle name="Ввод  9 8 3" xfId="10467" xr:uid="{00000000-0005-0000-0000-0000490E0000}"/>
    <cellStyle name="Ввод  9 8 4" xfId="14703" xr:uid="{00000000-0005-0000-0000-00004A0E0000}"/>
    <cellStyle name="Ввод  9 80" xfId="1464" xr:uid="{00000000-0005-0000-0000-00004B0E0000}"/>
    <cellStyle name="Ввод  9 80 2" xfId="6200" xr:uid="{00000000-0005-0000-0000-00004C0E0000}"/>
    <cellStyle name="Ввод  9 80 3" xfId="10468" xr:uid="{00000000-0005-0000-0000-00004D0E0000}"/>
    <cellStyle name="Ввод  9 80 4" xfId="14704" xr:uid="{00000000-0005-0000-0000-00004E0E0000}"/>
    <cellStyle name="Ввод  9 81" xfId="1465" xr:uid="{00000000-0005-0000-0000-00004F0E0000}"/>
    <cellStyle name="Ввод  9 81 2" xfId="6201" xr:uid="{00000000-0005-0000-0000-0000500E0000}"/>
    <cellStyle name="Ввод  9 81 3" xfId="10469" xr:uid="{00000000-0005-0000-0000-0000510E0000}"/>
    <cellStyle name="Ввод  9 81 4" xfId="14705" xr:uid="{00000000-0005-0000-0000-0000520E0000}"/>
    <cellStyle name="Ввод  9 82" xfId="1466" xr:uid="{00000000-0005-0000-0000-0000530E0000}"/>
    <cellStyle name="Ввод  9 82 2" xfId="6202" xr:uid="{00000000-0005-0000-0000-0000540E0000}"/>
    <cellStyle name="Ввод  9 82 3" xfId="10470" xr:uid="{00000000-0005-0000-0000-0000550E0000}"/>
    <cellStyle name="Ввод  9 82 4" xfId="14706" xr:uid="{00000000-0005-0000-0000-0000560E0000}"/>
    <cellStyle name="Ввод  9 83" xfId="1467" xr:uid="{00000000-0005-0000-0000-0000570E0000}"/>
    <cellStyle name="Ввод  9 83 2" xfId="6203" xr:uid="{00000000-0005-0000-0000-0000580E0000}"/>
    <cellStyle name="Ввод  9 83 3" xfId="10471" xr:uid="{00000000-0005-0000-0000-0000590E0000}"/>
    <cellStyle name="Ввод  9 83 4" xfId="14707" xr:uid="{00000000-0005-0000-0000-00005A0E0000}"/>
    <cellStyle name="Ввод  9 84" xfId="1468" xr:uid="{00000000-0005-0000-0000-00005B0E0000}"/>
    <cellStyle name="Ввод  9 84 2" xfId="6204" xr:uid="{00000000-0005-0000-0000-00005C0E0000}"/>
    <cellStyle name="Ввод  9 84 3" xfId="10472" xr:uid="{00000000-0005-0000-0000-00005D0E0000}"/>
    <cellStyle name="Ввод  9 84 4" xfId="14708" xr:uid="{00000000-0005-0000-0000-00005E0E0000}"/>
    <cellStyle name="Ввод  9 85" xfId="1469" xr:uid="{00000000-0005-0000-0000-00005F0E0000}"/>
    <cellStyle name="Ввод  9 85 2" xfId="6205" xr:uid="{00000000-0005-0000-0000-0000600E0000}"/>
    <cellStyle name="Ввод  9 85 3" xfId="10473" xr:uid="{00000000-0005-0000-0000-0000610E0000}"/>
    <cellStyle name="Ввод  9 85 4" xfId="14709" xr:uid="{00000000-0005-0000-0000-0000620E0000}"/>
    <cellStyle name="Ввод  9 86" xfId="1470" xr:uid="{00000000-0005-0000-0000-0000630E0000}"/>
    <cellStyle name="Ввод  9 86 2" xfId="6206" xr:uid="{00000000-0005-0000-0000-0000640E0000}"/>
    <cellStyle name="Ввод  9 86 3" xfId="10474" xr:uid="{00000000-0005-0000-0000-0000650E0000}"/>
    <cellStyle name="Ввод  9 86 4" xfId="14710" xr:uid="{00000000-0005-0000-0000-0000660E0000}"/>
    <cellStyle name="Ввод  9 87" xfId="1471" xr:uid="{00000000-0005-0000-0000-0000670E0000}"/>
    <cellStyle name="Ввод  9 87 2" xfId="6207" xr:uid="{00000000-0005-0000-0000-0000680E0000}"/>
    <cellStyle name="Ввод  9 87 3" xfId="10475" xr:uid="{00000000-0005-0000-0000-0000690E0000}"/>
    <cellStyle name="Ввод  9 87 4" xfId="14711" xr:uid="{00000000-0005-0000-0000-00006A0E0000}"/>
    <cellStyle name="Ввод  9 88" xfId="1472" xr:uid="{00000000-0005-0000-0000-00006B0E0000}"/>
    <cellStyle name="Ввод  9 88 2" xfId="6208" xr:uid="{00000000-0005-0000-0000-00006C0E0000}"/>
    <cellStyle name="Ввод  9 88 3" xfId="10476" xr:uid="{00000000-0005-0000-0000-00006D0E0000}"/>
    <cellStyle name="Ввод  9 88 4" xfId="14712" xr:uid="{00000000-0005-0000-0000-00006E0E0000}"/>
    <cellStyle name="Ввод  9 89" xfId="1473" xr:uid="{00000000-0005-0000-0000-00006F0E0000}"/>
    <cellStyle name="Ввод  9 89 2" xfId="6209" xr:uid="{00000000-0005-0000-0000-0000700E0000}"/>
    <cellStyle name="Ввод  9 89 3" xfId="10477" xr:uid="{00000000-0005-0000-0000-0000710E0000}"/>
    <cellStyle name="Ввод  9 89 4" xfId="14713" xr:uid="{00000000-0005-0000-0000-0000720E0000}"/>
    <cellStyle name="Ввод  9 9" xfId="1474" xr:uid="{00000000-0005-0000-0000-0000730E0000}"/>
    <cellStyle name="Ввод  9 9 2" xfId="6210" xr:uid="{00000000-0005-0000-0000-0000740E0000}"/>
    <cellStyle name="Ввод  9 9 3" xfId="10478" xr:uid="{00000000-0005-0000-0000-0000750E0000}"/>
    <cellStyle name="Ввод  9 9 4" xfId="14714" xr:uid="{00000000-0005-0000-0000-0000760E0000}"/>
    <cellStyle name="Ввод  9 90" xfId="1475" xr:uid="{00000000-0005-0000-0000-0000770E0000}"/>
    <cellStyle name="Ввод  9 90 2" xfId="6211" xr:uid="{00000000-0005-0000-0000-0000780E0000}"/>
    <cellStyle name="Ввод  9 90 3" xfId="10479" xr:uid="{00000000-0005-0000-0000-0000790E0000}"/>
    <cellStyle name="Ввод  9 90 4" xfId="14715" xr:uid="{00000000-0005-0000-0000-00007A0E0000}"/>
    <cellStyle name="Ввод  9 91" xfId="1476" xr:uid="{00000000-0005-0000-0000-00007B0E0000}"/>
    <cellStyle name="Ввод  9 91 2" xfId="6212" xr:uid="{00000000-0005-0000-0000-00007C0E0000}"/>
    <cellStyle name="Ввод  9 91 3" xfId="10480" xr:uid="{00000000-0005-0000-0000-00007D0E0000}"/>
    <cellStyle name="Ввод  9 91 4" xfId="14716" xr:uid="{00000000-0005-0000-0000-00007E0E0000}"/>
    <cellStyle name="Ввод  9 92" xfId="5185" xr:uid="{00000000-0005-0000-0000-00007F0E0000}"/>
    <cellStyle name="Ввод  9 93" xfId="5258" xr:uid="{00000000-0005-0000-0000-0000800E0000}"/>
    <cellStyle name="Ввод  9 94" xfId="5333" xr:uid="{00000000-0005-0000-0000-0000810E0000}"/>
    <cellStyle name="Вывод 10" xfId="232" xr:uid="{00000000-0005-0000-0000-0000820E0000}"/>
    <cellStyle name="Вывод 10 10" xfId="1477" xr:uid="{00000000-0005-0000-0000-0000830E0000}"/>
    <cellStyle name="Вывод 10 10 2" xfId="6213" xr:uid="{00000000-0005-0000-0000-0000840E0000}"/>
    <cellStyle name="Вывод 10 10 3" xfId="10481" xr:uid="{00000000-0005-0000-0000-0000850E0000}"/>
    <cellStyle name="Вывод 10 10 4" xfId="14717" xr:uid="{00000000-0005-0000-0000-0000860E0000}"/>
    <cellStyle name="Вывод 10 11" xfId="1478" xr:uid="{00000000-0005-0000-0000-0000870E0000}"/>
    <cellStyle name="Вывод 10 11 2" xfId="6214" xr:uid="{00000000-0005-0000-0000-0000880E0000}"/>
    <cellStyle name="Вывод 10 11 3" xfId="10482" xr:uid="{00000000-0005-0000-0000-0000890E0000}"/>
    <cellStyle name="Вывод 10 11 4" xfId="14718" xr:uid="{00000000-0005-0000-0000-00008A0E0000}"/>
    <cellStyle name="Вывод 10 12" xfId="1479" xr:uid="{00000000-0005-0000-0000-00008B0E0000}"/>
    <cellStyle name="Вывод 10 12 2" xfId="6215" xr:uid="{00000000-0005-0000-0000-00008C0E0000}"/>
    <cellStyle name="Вывод 10 12 3" xfId="10483" xr:uid="{00000000-0005-0000-0000-00008D0E0000}"/>
    <cellStyle name="Вывод 10 12 4" xfId="14719" xr:uid="{00000000-0005-0000-0000-00008E0E0000}"/>
    <cellStyle name="Вывод 10 13" xfId="1480" xr:uid="{00000000-0005-0000-0000-00008F0E0000}"/>
    <cellStyle name="Вывод 10 13 2" xfId="6216" xr:uid="{00000000-0005-0000-0000-0000900E0000}"/>
    <cellStyle name="Вывод 10 13 3" xfId="10484" xr:uid="{00000000-0005-0000-0000-0000910E0000}"/>
    <cellStyle name="Вывод 10 13 4" xfId="14720" xr:uid="{00000000-0005-0000-0000-0000920E0000}"/>
    <cellStyle name="Вывод 10 14" xfId="1481" xr:uid="{00000000-0005-0000-0000-0000930E0000}"/>
    <cellStyle name="Вывод 10 14 2" xfId="6217" xr:uid="{00000000-0005-0000-0000-0000940E0000}"/>
    <cellStyle name="Вывод 10 14 3" xfId="10485" xr:uid="{00000000-0005-0000-0000-0000950E0000}"/>
    <cellStyle name="Вывод 10 14 4" xfId="14721" xr:uid="{00000000-0005-0000-0000-0000960E0000}"/>
    <cellStyle name="Вывод 10 15" xfId="1482" xr:uid="{00000000-0005-0000-0000-0000970E0000}"/>
    <cellStyle name="Вывод 10 15 2" xfId="6218" xr:uid="{00000000-0005-0000-0000-0000980E0000}"/>
    <cellStyle name="Вывод 10 15 3" xfId="10486" xr:uid="{00000000-0005-0000-0000-0000990E0000}"/>
    <cellStyle name="Вывод 10 15 4" xfId="14722" xr:uid="{00000000-0005-0000-0000-00009A0E0000}"/>
    <cellStyle name="Вывод 10 16" xfId="1483" xr:uid="{00000000-0005-0000-0000-00009B0E0000}"/>
    <cellStyle name="Вывод 10 16 2" xfId="6219" xr:uid="{00000000-0005-0000-0000-00009C0E0000}"/>
    <cellStyle name="Вывод 10 16 3" xfId="10487" xr:uid="{00000000-0005-0000-0000-00009D0E0000}"/>
    <cellStyle name="Вывод 10 16 4" xfId="14723" xr:uid="{00000000-0005-0000-0000-00009E0E0000}"/>
    <cellStyle name="Вывод 10 17" xfId="1484" xr:uid="{00000000-0005-0000-0000-00009F0E0000}"/>
    <cellStyle name="Вывод 10 17 2" xfId="6220" xr:uid="{00000000-0005-0000-0000-0000A00E0000}"/>
    <cellStyle name="Вывод 10 17 3" xfId="10488" xr:uid="{00000000-0005-0000-0000-0000A10E0000}"/>
    <cellStyle name="Вывод 10 17 4" xfId="14724" xr:uid="{00000000-0005-0000-0000-0000A20E0000}"/>
    <cellStyle name="Вывод 10 18" xfId="1485" xr:uid="{00000000-0005-0000-0000-0000A30E0000}"/>
    <cellStyle name="Вывод 10 18 2" xfId="6221" xr:uid="{00000000-0005-0000-0000-0000A40E0000}"/>
    <cellStyle name="Вывод 10 18 3" xfId="10489" xr:uid="{00000000-0005-0000-0000-0000A50E0000}"/>
    <cellStyle name="Вывод 10 18 4" xfId="14725" xr:uid="{00000000-0005-0000-0000-0000A60E0000}"/>
    <cellStyle name="Вывод 10 19" xfId="1486" xr:uid="{00000000-0005-0000-0000-0000A70E0000}"/>
    <cellStyle name="Вывод 10 19 2" xfId="6222" xr:uid="{00000000-0005-0000-0000-0000A80E0000}"/>
    <cellStyle name="Вывод 10 19 3" xfId="10490" xr:uid="{00000000-0005-0000-0000-0000A90E0000}"/>
    <cellStyle name="Вывод 10 19 4" xfId="14726" xr:uid="{00000000-0005-0000-0000-0000AA0E0000}"/>
    <cellStyle name="Вывод 10 2" xfId="1487" xr:uid="{00000000-0005-0000-0000-0000AB0E0000}"/>
    <cellStyle name="Вывод 10 2 2" xfId="1488" xr:uid="{00000000-0005-0000-0000-0000AC0E0000}"/>
    <cellStyle name="Вывод 10 2 2 2" xfId="6224" xr:uid="{00000000-0005-0000-0000-0000AD0E0000}"/>
    <cellStyle name="Вывод 10 2 2 3" xfId="10492" xr:uid="{00000000-0005-0000-0000-0000AE0E0000}"/>
    <cellStyle name="Вывод 10 2 2 4" xfId="14728" xr:uid="{00000000-0005-0000-0000-0000AF0E0000}"/>
    <cellStyle name="Вывод 10 2 3" xfId="1489" xr:uid="{00000000-0005-0000-0000-0000B00E0000}"/>
    <cellStyle name="Вывод 10 2 3 2" xfId="6225" xr:uid="{00000000-0005-0000-0000-0000B10E0000}"/>
    <cellStyle name="Вывод 10 2 3 3" xfId="10493" xr:uid="{00000000-0005-0000-0000-0000B20E0000}"/>
    <cellStyle name="Вывод 10 2 3 4" xfId="14729" xr:uid="{00000000-0005-0000-0000-0000B30E0000}"/>
    <cellStyle name="Вывод 10 2 4" xfId="6223" xr:uid="{00000000-0005-0000-0000-0000B40E0000}"/>
    <cellStyle name="Вывод 10 2 5" xfId="10491" xr:uid="{00000000-0005-0000-0000-0000B50E0000}"/>
    <cellStyle name="Вывод 10 2 6" xfId="14727" xr:uid="{00000000-0005-0000-0000-0000B60E0000}"/>
    <cellStyle name="Вывод 10 20" xfId="1490" xr:uid="{00000000-0005-0000-0000-0000B70E0000}"/>
    <cellStyle name="Вывод 10 20 2" xfId="6226" xr:uid="{00000000-0005-0000-0000-0000B80E0000}"/>
    <cellStyle name="Вывод 10 20 3" xfId="10494" xr:uid="{00000000-0005-0000-0000-0000B90E0000}"/>
    <cellStyle name="Вывод 10 20 4" xfId="14730" xr:uid="{00000000-0005-0000-0000-0000BA0E0000}"/>
    <cellStyle name="Вывод 10 21" xfId="1491" xr:uid="{00000000-0005-0000-0000-0000BB0E0000}"/>
    <cellStyle name="Вывод 10 21 2" xfId="6227" xr:uid="{00000000-0005-0000-0000-0000BC0E0000}"/>
    <cellStyle name="Вывод 10 21 3" xfId="10495" xr:uid="{00000000-0005-0000-0000-0000BD0E0000}"/>
    <cellStyle name="Вывод 10 21 4" xfId="14731" xr:uid="{00000000-0005-0000-0000-0000BE0E0000}"/>
    <cellStyle name="Вывод 10 22" xfId="1492" xr:uid="{00000000-0005-0000-0000-0000BF0E0000}"/>
    <cellStyle name="Вывод 10 22 2" xfId="6228" xr:uid="{00000000-0005-0000-0000-0000C00E0000}"/>
    <cellStyle name="Вывод 10 22 3" xfId="10496" xr:uid="{00000000-0005-0000-0000-0000C10E0000}"/>
    <cellStyle name="Вывод 10 22 4" xfId="14732" xr:uid="{00000000-0005-0000-0000-0000C20E0000}"/>
    <cellStyle name="Вывод 10 23" xfId="1493" xr:uid="{00000000-0005-0000-0000-0000C30E0000}"/>
    <cellStyle name="Вывод 10 23 2" xfId="6229" xr:uid="{00000000-0005-0000-0000-0000C40E0000}"/>
    <cellStyle name="Вывод 10 23 3" xfId="10497" xr:uid="{00000000-0005-0000-0000-0000C50E0000}"/>
    <cellStyle name="Вывод 10 23 4" xfId="14733" xr:uid="{00000000-0005-0000-0000-0000C60E0000}"/>
    <cellStyle name="Вывод 10 24" xfId="1494" xr:uid="{00000000-0005-0000-0000-0000C70E0000}"/>
    <cellStyle name="Вывод 10 24 2" xfId="6230" xr:uid="{00000000-0005-0000-0000-0000C80E0000}"/>
    <cellStyle name="Вывод 10 24 3" xfId="10498" xr:uid="{00000000-0005-0000-0000-0000C90E0000}"/>
    <cellStyle name="Вывод 10 24 4" xfId="14734" xr:uid="{00000000-0005-0000-0000-0000CA0E0000}"/>
    <cellStyle name="Вывод 10 25" xfId="1495" xr:uid="{00000000-0005-0000-0000-0000CB0E0000}"/>
    <cellStyle name="Вывод 10 25 2" xfId="6231" xr:uid="{00000000-0005-0000-0000-0000CC0E0000}"/>
    <cellStyle name="Вывод 10 25 3" xfId="10499" xr:uid="{00000000-0005-0000-0000-0000CD0E0000}"/>
    <cellStyle name="Вывод 10 25 4" xfId="14735" xr:uid="{00000000-0005-0000-0000-0000CE0E0000}"/>
    <cellStyle name="Вывод 10 26" xfId="1496" xr:uid="{00000000-0005-0000-0000-0000CF0E0000}"/>
    <cellStyle name="Вывод 10 26 2" xfId="6232" xr:uid="{00000000-0005-0000-0000-0000D00E0000}"/>
    <cellStyle name="Вывод 10 26 3" xfId="10500" xr:uid="{00000000-0005-0000-0000-0000D10E0000}"/>
    <cellStyle name="Вывод 10 26 4" xfId="14736" xr:uid="{00000000-0005-0000-0000-0000D20E0000}"/>
    <cellStyle name="Вывод 10 27" xfId="1497" xr:uid="{00000000-0005-0000-0000-0000D30E0000}"/>
    <cellStyle name="Вывод 10 27 2" xfId="6233" xr:uid="{00000000-0005-0000-0000-0000D40E0000}"/>
    <cellStyle name="Вывод 10 27 3" xfId="10501" xr:uid="{00000000-0005-0000-0000-0000D50E0000}"/>
    <cellStyle name="Вывод 10 27 4" xfId="14737" xr:uid="{00000000-0005-0000-0000-0000D60E0000}"/>
    <cellStyle name="Вывод 10 28" xfId="1498" xr:uid="{00000000-0005-0000-0000-0000D70E0000}"/>
    <cellStyle name="Вывод 10 28 2" xfId="6234" xr:uid="{00000000-0005-0000-0000-0000D80E0000}"/>
    <cellStyle name="Вывод 10 28 3" xfId="10502" xr:uid="{00000000-0005-0000-0000-0000D90E0000}"/>
    <cellStyle name="Вывод 10 28 4" xfId="14738" xr:uid="{00000000-0005-0000-0000-0000DA0E0000}"/>
    <cellStyle name="Вывод 10 29" xfId="1499" xr:uid="{00000000-0005-0000-0000-0000DB0E0000}"/>
    <cellStyle name="Вывод 10 29 2" xfId="6235" xr:uid="{00000000-0005-0000-0000-0000DC0E0000}"/>
    <cellStyle name="Вывод 10 29 3" xfId="10503" xr:uid="{00000000-0005-0000-0000-0000DD0E0000}"/>
    <cellStyle name="Вывод 10 29 4" xfId="14739" xr:uid="{00000000-0005-0000-0000-0000DE0E0000}"/>
    <cellStyle name="Вывод 10 3" xfId="1500" xr:uid="{00000000-0005-0000-0000-0000DF0E0000}"/>
    <cellStyle name="Вывод 10 3 2" xfId="1501" xr:uid="{00000000-0005-0000-0000-0000E00E0000}"/>
    <cellStyle name="Вывод 10 3 2 2" xfId="6237" xr:uid="{00000000-0005-0000-0000-0000E10E0000}"/>
    <cellStyle name="Вывод 10 3 2 3" xfId="10505" xr:uid="{00000000-0005-0000-0000-0000E20E0000}"/>
    <cellStyle name="Вывод 10 3 2 4" xfId="14741" xr:uid="{00000000-0005-0000-0000-0000E30E0000}"/>
    <cellStyle name="Вывод 10 3 3" xfId="1502" xr:uid="{00000000-0005-0000-0000-0000E40E0000}"/>
    <cellStyle name="Вывод 10 3 3 2" xfId="6238" xr:uid="{00000000-0005-0000-0000-0000E50E0000}"/>
    <cellStyle name="Вывод 10 3 3 3" xfId="10506" xr:uid="{00000000-0005-0000-0000-0000E60E0000}"/>
    <cellStyle name="Вывод 10 3 3 4" xfId="14742" xr:uid="{00000000-0005-0000-0000-0000E70E0000}"/>
    <cellStyle name="Вывод 10 3 4" xfId="6236" xr:uid="{00000000-0005-0000-0000-0000E80E0000}"/>
    <cellStyle name="Вывод 10 3 5" xfId="10504" xr:uid="{00000000-0005-0000-0000-0000E90E0000}"/>
    <cellStyle name="Вывод 10 3 6" xfId="14740" xr:uid="{00000000-0005-0000-0000-0000EA0E0000}"/>
    <cellStyle name="Вывод 10 30" xfId="1503" xr:uid="{00000000-0005-0000-0000-0000EB0E0000}"/>
    <cellStyle name="Вывод 10 30 2" xfId="6239" xr:uid="{00000000-0005-0000-0000-0000EC0E0000}"/>
    <cellStyle name="Вывод 10 30 3" xfId="10507" xr:uid="{00000000-0005-0000-0000-0000ED0E0000}"/>
    <cellStyle name="Вывод 10 30 4" xfId="14743" xr:uid="{00000000-0005-0000-0000-0000EE0E0000}"/>
    <cellStyle name="Вывод 10 31" xfId="1504" xr:uid="{00000000-0005-0000-0000-0000EF0E0000}"/>
    <cellStyle name="Вывод 10 31 2" xfId="6240" xr:uid="{00000000-0005-0000-0000-0000F00E0000}"/>
    <cellStyle name="Вывод 10 31 3" xfId="10508" xr:uid="{00000000-0005-0000-0000-0000F10E0000}"/>
    <cellStyle name="Вывод 10 31 4" xfId="14744" xr:uid="{00000000-0005-0000-0000-0000F20E0000}"/>
    <cellStyle name="Вывод 10 32" xfId="1505" xr:uid="{00000000-0005-0000-0000-0000F30E0000}"/>
    <cellStyle name="Вывод 10 32 2" xfId="6241" xr:uid="{00000000-0005-0000-0000-0000F40E0000}"/>
    <cellStyle name="Вывод 10 32 3" xfId="10509" xr:uid="{00000000-0005-0000-0000-0000F50E0000}"/>
    <cellStyle name="Вывод 10 32 4" xfId="14745" xr:uid="{00000000-0005-0000-0000-0000F60E0000}"/>
    <cellStyle name="Вывод 10 33" xfId="1506" xr:uid="{00000000-0005-0000-0000-0000F70E0000}"/>
    <cellStyle name="Вывод 10 33 2" xfId="6242" xr:uid="{00000000-0005-0000-0000-0000F80E0000}"/>
    <cellStyle name="Вывод 10 33 3" xfId="10510" xr:uid="{00000000-0005-0000-0000-0000F90E0000}"/>
    <cellStyle name="Вывод 10 33 4" xfId="14746" xr:uid="{00000000-0005-0000-0000-0000FA0E0000}"/>
    <cellStyle name="Вывод 10 34" xfId="1507" xr:uid="{00000000-0005-0000-0000-0000FB0E0000}"/>
    <cellStyle name="Вывод 10 34 2" xfId="6243" xr:uid="{00000000-0005-0000-0000-0000FC0E0000}"/>
    <cellStyle name="Вывод 10 34 3" xfId="10511" xr:uid="{00000000-0005-0000-0000-0000FD0E0000}"/>
    <cellStyle name="Вывод 10 34 4" xfId="14747" xr:uid="{00000000-0005-0000-0000-0000FE0E0000}"/>
    <cellStyle name="Вывод 10 35" xfId="1508" xr:uid="{00000000-0005-0000-0000-0000FF0E0000}"/>
    <cellStyle name="Вывод 10 35 2" xfId="6244" xr:uid="{00000000-0005-0000-0000-0000000F0000}"/>
    <cellStyle name="Вывод 10 35 3" xfId="10512" xr:uid="{00000000-0005-0000-0000-0000010F0000}"/>
    <cellStyle name="Вывод 10 35 4" xfId="14748" xr:uid="{00000000-0005-0000-0000-0000020F0000}"/>
    <cellStyle name="Вывод 10 36" xfId="1509" xr:uid="{00000000-0005-0000-0000-0000030F0000}"/>
    <cellStyle name="Вывод 10 36 2" xfId="6245" xr:uid="{00000000-0005-0000-0000-0000040F0000}"/>
    <cellStyle name="Вывод 10 36 3" xfId="10513" xr:uid="{00000000-0005-0000-0000-0000050F0000}"/>
    <cellStyle name="Вывод 10 36 4" xfId="14749" xr:uid="{00000000-0005-0000-0000-0000060F0000}"/>
    <cellStyle name="Вывод 10 37" xfId="1510" xr:uid="{00000000-0005-0000-0000-0000070F0000}"/>
    <cellStyle name="Вывод 10 37 2" xfId="6246" xr:uid="{00000000-0005-0000-0000-0000080F0000}"/>
    <cellStyle name="Вывод 10 37 3" xfId="10514" xr:uid="{00000000-0005-0000-0000-0000090F0000}"/>
    <cellStyle name="Вывод 10 37 4" xfId="14750" xr:uid="{00000000-0005-0000-0000-00000A0F0000}"/>
    <cellStyle name="Вывод 10 38" xfId="1511" xr:uid="{00000000-0005-0000-0000-00000B0F0000}"/>
    <cellStyle name="Вывод 10 38 2" xfId="6247" xr:uid="{00000000-0005-0000-0000-00000C0F0000}"/>
    <cellStyle name="Вывод 10 38 3" xfId="10515" xr:uid="{00000000-0005-0000-0000-00000D0F0000}"/>
    <cellStyle name="Вывод 10 38 4" xfId="14751" xr:uid="{00000000-0005-0000-0000-00000E0F0000}"/>
    <cellStyle name="Вывод 10 39" xfId="1512" xr:uid="{00000000-0005-0000-0000-00000F0F0000}"/>
    <cellStyle name="Вывод 10 39 2" xfId="6248" xr:uid="{00000000-0005-0000-0000-0000100F0000}"/>
    <cellStyle name="Вывод 10 39 3" xfId="10516" xr:uid="{00000000-0005-0000-0000-0000110F0000}"/>
    <cellStyle name="Вывод 10 39 4" xfId="14752" xr:uid="{00000000-0005-0000-0000-0000120F0000}"/>
    <cellStyle name="Вывод 10 4" xfId="1513" xr:uid="{00000000-0005-0000-0000-0000130F0000}"/>
    <cellStyle name="Вывод 10 4 2" xfId="1514" xr:uid="{00000000-0005-0000-0000-0000140F0000}"/>
    <cellStyle name="Вывод 10 4 2 2" xfId="6250" xr:uid="{00000000-0005-0000-0000-0000150F0000}"/>
    <cellStyle name="Вывод 10 4 2 3" xfId="10518" xr:uid="{00000000-0005-0000-0000-0000160F0000}"/>
    <cellStyle name="Вывод 10 4 2 4" xfId="14754" xr:uid="{00000000-0005-0000-0000-0000170F0000}"/>
    <cellStyle name="Вывод 10 4 3" xfId="1515" xr:uid="{00000000-0005-0000-0000-0000180F0000}"/>
    <cellStyle name="Вывод 10 4 3 2" xfId="6251" xr:uid="{00000000-0005-0000-0000-0000190F0000}"/>
    <cellStyle name="Вывод 10 4 3 3" xfId="10519" xr:uid="{00000000-0005-0000-0000-00001A0F0000}"/>
    <cellStyle name="Вывод 10 4 3 4" xfId="14755" xr:uid="{00000000-0005-0000-0000-00001B0F0000}"/>
    <cellStyle name="Вывод 10 4 4" xfId="6249" xr:uid="{00000000-0005-0000-0000-00001C0F0000}"/>
    <cellStyle name="Вывод 10 4 5" xfId="10517" xr:uid="{00000000-0005-0000-0000-00001D0F0000}"/>
    <cellStyle name="Вывод 10 4 6" xfId="14753" xr:uid="{00000000-0005-0000-0000-00001E0F0000}"/>
    <cellStyle name="Вывод 10 40" xfId="1516" xr:uid="{00000000-0005-0000-0000-00001F0F0000}"/>
    <cellStyle name="Вывод 10 40 2" xfId="6252" xr:uid="{00000000-0005-0000-0000-0000200F0000}"/>
    <cellStyle name="Вывод 10 40 3" xfId="10520" xr:uid="{00000000-0005-0000-0000-0000210F0000}"/>
    <cellStyle name="Вывод 10 40 4" xfId="14756" xr:uid="{00000000-0005-0000-0000-0000220F0000}"/>
    <cellStyle name="Вывод 10 41" xfId="1517" xr:uid="{00000000-0005-0000-0000-0000230F0000}"/>
    <cellStyle name="Вывод 10 41 2" xfId="6253" xr:uid="{00000000-0005-0000-0000-0000240F0000}"/>
    <cellStyle name="Вывод 10 41 3" xfId="10521" xr:uid="{00000000-0005-0000-0000-0000250F0000}"/>
    <cellStyle name="Вывод 10 41 4" xfId="14757" xr:uid="{00000000-0005-0000-0000-0000260F0000}"/>
    <cellStyle name="Вывод 10 42" xfId="1518" xr:uid="{00000000-0005-0000-0000-0000270F0000}"/>
    <cellStyle name="Вывод 10 42 2" xfId="6254" xr:uid="{00000000-0005-0000-0000-0000280F0000}"/>
    <cellStyle name="Вывод 10 42 3" xfId="10522" xr:uid="{00000000-0005-0000-0000-0000290F0000}"/>
    <cellStyle name="Вывод 10 42 4" xfId="14758" xr:uid="{00000000-0005-0000-0000-00002A0F0000}"/>
    <cellStyle name="Вывод 10 43" xfId="1519" xr:uid="{00000000-0005-0000-0000-00002B0F0000}"/>
    <cellStyle name="Вывод 10 43 2" xfId="6255" xr:uid="{00000000-0005-0000-0000-00002C0F0000}"/>
    <cellStyle name="Вывод 10 43 3" xfId="10523" xr:uid="{00000000-0005-0000-0000-00002D0F0000}"/>
    <cellStyle name="Вывод 10 43 4" xfId="14759" xr:uid="{00000000-0005-0000-0000-00002E0F0000}"/>
    <cellStyle name="Вывод 10 44" xfId="1520" xr:uid="{00000000-0005-0000-0000-00002F0F0000}"/>
    <cellStyle name="Вывод 10 44 2" xfId="6256" xr:uid="{00000000-0005-0000-0000-0000300F0000}"/>
    <cellStyle name="Вывод 10 44 3" xfId="10524" xr:uid="{00000000-0005-0000-0000-0000310F0000}"/>
    <cellStyle name="Вывод 10 44 4" xfId="14760" xr:uid="{00000000-0005-0000-0000-0000320F0000}"/>
    <cellStyle name="Вывод 10 45" xfId="1521" xr:uid="{00000000-0005-0000-0000-0000330F0000}"/>
    <cellStyle name="Вывод 10 45 2" xfId="6257" xr:uid="{00000000-0005-0000-0000-0000340F0000}"/>
    <cellStyle name="Вывод 10 45 3" xfId="10525" xr:uid="{00000000-0005-0000-0000-0000350F0000}"/>
    <cellStyle name="Вывод 10 45 4" xfId="14761" xr:uid="{00000000-0005-0000-0000-0000360F0000}"/>
    <cellStyle name="Вывод 10 46" xfId="1522" xr:uid="{00000000-0005-0000-0000-0000370F0000}"/>
    <cellStyle name="Вывод 10 46 2" xfId="6258" xr:uid="{00000000-0005-0000-0000-0000380F0000}"/>
    <cellStyle name="Вывод 10 46 3" xfId="10526" xr:uid="{00000000-0005-0000-0000-0000390F0000}"/>
    <cellStyle name="Вывод 10 46 4" xfId="14762" xr:uid="{00000000-0005-0000-0000-00003A0F0000}"/>
    <cellStyle name="Вывод 10 47" xfId="1523" xr:uid="{00000000-0005-0000-0000-00003B0F0000}"/>
    <cellStyle name="Вывод 10 47 2" xfId="6259" xr:uid="{00000000-0005-0000-0000-00003C0F0000}"/>
    <cellStyle name="Вывод 10 47 3" xfId="10527" xr:uid="{00000000-0005-0000-0000-00003D0F0000}"/>
    <cellStyle name="Вывод 10 47 4" xfId="14763" xr:uid="{00000000-0005-0000-0000-00003E0F0000}"/>
    <cellStyle name="Вывод 10 48" xfId="1524" xr:uid="{00000000-0005-0000-0000-00003F0F0000}"/>
    <cellStyle name="Вывод 10 48 2" xfId="6260" xr:uid="{00000000-0005-0000-0000-0000400F0000}"/>
    <cellStyle name="Вывод 10 48 3" xfId="10528" xr:uid="{00000000-0005-0000-0000-0000410F0000}"/>
    <cellStyle name="Вывод 10 48 4" xfId="14764" xr:uid="{00000000-0005-0000-0000-0000420F0000}"/>
    <cellStyle name="Вывод 10 49" xfId="1525" xr:uid="{00000000-0005-0000-0000-0000430F0000}"/>
    <cellStyle name="Вывод 10 49 2" xfId="6261" xr:uid="{00000000-0005-0000-0000-0000440F0000}"/>
    <cellStyle name="Вывод 10 49 3" xfId="10529" xr:uid="{00000000-0005-0000-0000-0000450F0000}"/>
    <cellStyle name="Вывод 10 49 4" xfId="14765" xr:uid="{00000000-0005-0000-0000-0000460F0000}"/>
    <cellStyle name="Вывод 10 5" xfId="1526" xr:uid="{00000000-0005-0000-0000-0000470F0000}"/>
    <cellStyle name="Вывод 10 5 2" xfId="6262" xr:uid="{00000000-0005-0000-0000-0000480F0000}"/>
    <cellStyle name="Вывод 10 5 3" xfId="10530" xr:uid="{00000000-0005-0000-0000-0000490F0000}"/>
    <cellStyle name="Вывод 10 5 4" xfId="14766" xr:uid="{00000000-0005-0000-0000-00004A0F0000}"/>
    <cellStyle name="Вывод 10 50" xfId="1527" xr:uid="{00000000-0005-0000-0000-00004B0F0000}"/>
    <cellStyle name="Вывод 10 50 2" xfId="6263" xr:uid="{00000000-0005-0000-0000-00004C0F0000}"/>
    <cellStyle name="Вывод 10 50 3" xfId="10531" xr:uid="{00000000-0005-0000-0000-00004D0F0000}"/>
    <cellStyle name="Вывод 10 50 4" xfId="14767" xr:uid="{00000000-0005-0000-0000-00004E0F0000}"/>
    <cellStyle name="Вывод 10 51" xfId="1528" xr:uid="{00000000-0005-0000-0000-00004F0F0000}"/>
    <cellStyle name="Вывод 10 51 2" xfId="6264" xr:uid="{00000000-0005-0000-0000-0000500F0000}"/>
    <cellStyle name="Вывод 10 51 3" xfId="10532" xr:uid="{00000000-0005-0000-0000-0000510F0000}"/>
    <cellStyle name="Вывод 10 51 4" xfId="14768" xr:uid="{00000000-0005-0000-0000-0000520F0000}"/>
    <cellStyle name="Вывод 10 52" xfId="1529" xr:uid="{00000000-0005-0000-0000-0000530F0000}"/>
    <cellStyle name="Вывод 10 52 2" xfId="6265" xr:uid="{00000000-0005-0000-0000-0000540F0000}"/>
    <cellStyle name="Вывод 10 52 3" xfId="10533" xr:uid="{00000000-0005-0000-0000-0000550F0000}"/>
    <cellStyle name="Вывод 10 52 4" xfId="14769" xr:uid="{00000000-0005-0000-0000-0000560F0000}"/>
    <cellStyle name="Вывод 10 53" xfId="1530" xr:uid="{00000000-0005-0000-0000-0000570F0000}"/>
    <cellStyle name="Вывод 10 53 2" xfId="6266" xr:uid="{00000000-0005-0000-0000-0000580F0000}"/>
    <cellStyle name="Вывод 10 53 3" xfId="10534" xr:uid="{00000000-0005-0000-0000-0000590F0000}"/>
    <cellStyle name="Вывод 10 53 4" xfId="14770" xr:uid="{00000000-0005-0000-0000-00005A0F0000}"/>
    <cellStyle name="Вывод 10 54" xfId="1531" xr:uid="{00000000-0005-0000-0000-00005B0F0000}"/>
    <cellStyle name="Вывод 10 54 2" xfId="6267" xr:uid="{00000000-0005-0000-0000-00005C0F0000}"/>
    <cellStyle name="Вывод 10 54 3" xfId="10535" xr:uid="{00000000-0005-0000-0000-00005D0F0000}"/>
    <cellStyle name="Вывод 10 54 4" xfId="14771" xr:uid="{00000000-0005-0000-0000-00005E0F0000}"/>
    <cellStyle name="Вывод 10 55" xfId="1532" xr:uid="{00000000-0005-0000-0000-00005F0F0000}"/>
    <cellStyle name="Вывод 10 55 2" xfId="6268" xr:uid="{00000000-0005-0000-0000-0000600F0000}"/>
    <cellStyle name="Вывод 10 55 3" xfId="10536" xr:uid="{00000000-0005-0000-0000-0000610F0000}"/>
    <cellStyle name="Вывод 10 55 4" xfId="14772" xr:uid="{00000000-0005-0000-0000-0000620F0000}"/>
    <cellStyle name="Вывод 10 56" xfId="1533" xr:uid="{00000000-0005-0000-0000-0000630F0000}"/>
    <cellStyle name="Вывод 10 56 2" xfId="6269" xr:uid="{00000000-0005-0000-0000-0000640F0000}"/>
    <cellStyle name="Вывод 10 56 3" xfId="10537" xr:uid="{00000000-0005-0000-0000-0000650F0000}"/>
    <cellStyle name="Вывод 10 56 4" xfId="14773" xr:uid="{00000000-0005-0000-0000-0000660F0000}"/>
    <cellStyle name="Вывод 10 57" xfId="1534" xr:uid="{00000000-0005-0000-0000-0000670F0000}"/>
    <cellStyle name="Вывод 10 57 2" xfId="6270" xr:uid="{00000000-0005-0000-0000-0000680F0000}"/>
    <cellStyle name="Вывод 10 57 3" xfId="10538" xr:uid="{00000000-0005-0000-0000-0000690F0000}"/>
    <cellStyle name="Вывод 10 57 4" xfId="14774" xr:uid="{00000000-0005-0000-0000-00006A0F0000}"/>
    <cellStyle name="Вывод 10 58" xfId="1535" xr:uid="{00000000-0005-0000-0000-00006B0F0000}"/>
    <cellStyle name="Вывод 10 58 2" xfId="6271" xr:uid="{00000000-0005-0000-0000-00006C0F0000}"/>
    <cellStyle name="Вывод 10 58 3" xfId="10539" xr:uid="{00000000-0005-0000-0000-00006D0F0000}"/>
    <cellStyle name="Вывод 10 58 4" xfId="14775" xr:uid="{00000000-0005-0000-0000-00006E0F0000}"/>
    <cellStyle name="Вывод 10 59" xfId="1536" xr:uid="{00000000-0005-0000-0000-00006F0F0000}"/>
    <cellStyle name="Вывод 10 59 2" xfId="6272" xr:uid="{00000000-0005-0000-0000-0000700F0000}"/>
    <cellStyle name="Вывод 10 59 3" xfId="10540" xr:uid="{00000000-0005-0000-0000-0000710F0000}"/>
    <cellStyle name="Вывод 10 59 4" xfId="14776" xr:uid="{00000000-0005-0000-0000-0000720F0000}"/>
    <cellStyle name="Вывод 10 6" xfId="1537" xr:uid="{00000000-0005-0000-0000-0000730F0000}"/>
    <cellStyle name="Вывод 10 6 2" xfId="6273" xr:uid="{00000000-0005-0000-0000-0000740F0000}"/>
    <cellStyle name="Вывод 10 6 3" xfId="10541" xr:uid="{00000000-0005-0000-0000-0000750F0000}"/>
    <cellStyle name="Вывод 10 6 4" xfId="14777" xr:uid="{00000000-0005-0000-0000-0000760F0000}"/>
    <cellStyle name="Вывод 10 60" xfId="1538" xr:uid="{00000000-0005-0000-0000-0000770F0000}"/>
    <cellStyle name="Вывод 10 60 2" xfId="6274" xr:uid="{00000000-0005-0000-0000-0000780F0000}"/>
    <cellStyle name="Вывод 10 60 3" xfId="10542" xr:uid="{00000000-0005-0000-0000-0000790F0000}"/>
    <cellStyle name="Вывод 10 60 4" xfId="14778" xr:uid="{00000000-0005-0000-0000-00007A0F0000}"/>
    <cellStyle name="Вывод 10 61" xfId="1539" xr:uid="{00000000-0005-0000-0000-00007B0F0000}"/>
    <cellStyle name="Вывод 10 61 2" xfId="6275" xr:uid="{00000000-0005-0000-0000-00007C0F0000}"/>
    <cellStyle name="Вывод 10 61 3" xfId="10543" xr:uid="{00000000-0005-0000-0000-00007D0F0000}"/>
    <cellStyle name="Вывод 10 61 4" xfId="14779" xr:uid="{00000000-0005-0000-0000-00007E0F0000}"/>
    <cellStyle name="Вывод 10 62" xfId="1540" xr:uid="{00000000-0005-0000-0000-00007F0F0000}"/>
    <cellStyle name="Вывод 10 62 2" xfId="6276" xr:uid="{00000000-0005-0000-0000-0000800F0000}"/>
    <cellStyle name="Вывод 10 62 3" xfId="10544" xr:uid="{00000000-0005-0000-0000-0000810F0000}"/>
    <cellStyle name="Вывод 10 62 4" xfId="14780" xr:uid="{00000000-0005-0000-0000-0000820F0000}"/>
    <cellStyle name="Вывод 10 63" xfId="1541" xr:uid="{00000000-0005-0000-0000-0000830F0000}"/>
    <cellStyle name="Вывод 10 63 2" xfId="6277" xr:uid="{00000000-0005-0000-0000-0000840F0000}"/>
    <cellStyle name="Вывод 10 63 3" xfId="10545" xr:uid="{00000000-0005-0000-0000-0000850F0000}"/>
    <cellStyle name="Вывод 10 63 4" xfId="14781" xr:uid="{00000000-0005-0000-0000-0000860F0000}"/>
    <cellStyle name="Вывод 10 64" xfId="1542" xr:uid="{00000000-0005-0000-0000-0000870F0000}"/>
    <cellStyle name="Вывод 10 64 2" xfId="6278" xr:uid="{00000000-0005-0000-0000-0000880F0000}"/>
    <cellStyle name="Вывод 10 64 3" xfId="10546" xr:uid="{00000000-0005-0000-0000-0000890F0000}"/>
    <cellStyle name="Вывод 10 64 4" xfId="14782" xr:uid="{00000000-0005-0000-0000-00008A0F0000}"/>
    <cellStyle name="Вывод 10 65" xfId="1543" xr:uid="{00000000-0005-0000-0000-00008B0F0000}"/>
    <cellStyle name="Вывод 10 65 2" xfId="6279" xr:uid="{00000000-0005-0000-0000-00008C0F0000}"/>
    <cellStyle name="Вывод 10 65 3" xfId="10547" xr:uid="{00000000-0005-0000-0000-00008D0F0000}"/>
    <cellStyle name="Вывод 10 65 4" xfId="14783" xr:uid="{00000000-0005-0000-0000-00008E0F0000}"/>
    <cellStyle name="Вывод 10 66" xfId="1544" xr:uid="{00000000-0005-0000-0000-00008F0F0000}"/>
    <cellStyle name="Вывод 10 66 2" xfId="6280" xr:uid="{00000000-0005-0000-0000-0000900F0000}"/>
    <cellStyle name="Вывод 10 66 3" xfId="10548" xr:uid="{00000000-0005-0000-0000-0000910F0000}"/>
    <cellStyle name="Вывод 10 66 4" xfId="14784" xr:uid="{00000000-0005-0000-0000-0000920F0000}"/>
    <cellStyle name="Вывод 10 67" xfId="1545" xr:uid="{00000000-0005-0000-0000-0000930F0000}"/>
    <cellStyle name="Вывод 10 67 2" xfId="6281" xr:uid="{00000000-0005-0000-0000-0000940F0000}"/>
    <cellStyle name="Вывод 10 67 3" xfId="10549" xr:uid="{00000000-0005-0000-0000-0000950F0000}"/>
    <cellStyle name="Вывод 10 67 4" xfId="14785" xr:uid="{00000000-0005-0000-0000-0000960F0000}"/>
    <cellStyle name="Вывод 10 68" xfId="1546" xr:uid="{00000000-0005-0000-0000-0000970F0000}"/>
    <cellStyle name="Вывод 10 68 2" xfId="6282" xr:uid="{00000000-0005-0000-0000-0000980F0000}"/>
    <cellStyle name="Вывод 10 68 3" xfId="10550" xr:uid="{00000000-0005-0000-0000-0000990F0000}"/>
    <cellStyle name="Вывод 10 68 4" xfId="14786" xr:uid="{00000000-0005-0000-0000-00009A0F0000}"/>
    <cellStyle name="Вывод 10 69" xfId="1547" xr:uid="{00000000-0005-0000-0000-00009B0F0000}"/>
    <cellStyle name="Вывод 10 69 2" xfId="6283" xr:uid="{00000000-0005-0000-0000-00009C0F0000}"/>
    <cellStyle name="Вывод 10 69 3" xfId="10551" xr:uid="{00000000-0005-0000-0000-00009D0F0000}"/>
    <cellStyle name="Вывод 10 69 4" xfId="14787" xr:uid="{00000000-0005-0000-0000-00009E0F0000}"/>
    <cellStyle name="Вывод 10 7" xfId="1548" xr:uid="{00000000-0005-0000-0000-00009F0F0000}"/>
    <cellStyle name="Вывод 10 7 2" xfId="6284" xr:uid="{00000000-0005-0000-0000-0000A00F0000}"/>
    <cellStyle name="Вывод 10 7 3" xfId="10552" xr:uid="{00000000-0005-0000-0000-0000A10F0000}"/>
    <cellStyle name="Вывод 10 7 4" xfId="14788" xr:uid="{00000000-0005-0000-0000-0000A20F0000}"/>
    <cellStyle name="Вывод 10 70" xfId="1549" xr:uid="{00000000-0005-0000-0000-0000A30F0000}"/>
    <cellStyle name="Вывод 10 70 2" xfId="6285" xr:uid="{00000000-0005-0000-0000-0000A40F0000}"/>
    <cellStyle name="Вывод 10 70 3" xfId="10553" xr:uid="{00000000-0005-0000-0000-0000A50F0000}"/>
    <cellStyle name="Вывод 10 70 4" xfId="14789" xr:uid="{00000000-0005-0000-0000-0000A60F0000}"/>
    <cellStyle name="Вывод 10 71" xfId="1550" xr:uid="{00000000-0005-0000-0000-0000A70F0000}"/>
    <cellStyle name="Вывод 10 71 2" xfId="6286" xr:uid="{00000000-0005-0000-0000-0000A80F0000}"/>
    <cellStyle name="Вывод 10 71 3" xfId="10554" xr:uid="{00000000-0005-0000-0000-0000A90F0000}"/>
    <cellStyle name="Вывод 10 71 4" xfId="14790" xr:uid="{00000000-0005-0000-0000-0000AA0F0000}"/>
    <cellStyle name="Вывод 10 72" xfId="1551" xr:uid="{00000000-0005-0000-0000-0000AB0F0000}"/>
    <cellStyle name="Вывод 10 72 2" xfId="6287" xr:uid="{00000000-0005-0000-0000-0000AC0F0000}"/>
    <cellStyle name="Вывод 10 72 3" xfId="10555" xr:uid="{00000000-0005-0000-0000-0000AD0F0000}"/>
    <cellStyle name="Вывод 10 72 4" xfId="14791" xr:uid="{00000000-0005-0000-0000-0000AE0F0000}"/>
    <cellStyle name="Вывод 10 73" xfId="1552" xr:uid="{00000000-0005-0000-0000-0000AF0F0000}"/>
    <cellStyle name="Вывод 10 73 2" xfId="6288" xr:uid="{00000000-0005-0000-0000-0000B00F0000}"/>
    <cellStyle name="Вывод 10 73 3" xfId="10556" xr:uid="{00000000-0005-0000-0000-0000B10F0000}"/>
    <cellStyle name="Вывод 10 73 4" xfId="14792" xr:uid="{00000000-0005-0000-0000-0000B20F0000}"/>
    <cellStyle name="Вывод 10 74" xfId="1553" xr:uid="{00000000-0005-0000-0000-0000B30F0000}"/>
    <cellStyle name="Вывод 10 74 2" xfId="6289" xr:uid="{00000000-0005-0000-0000-0000B40F0000}"/>
    <cellStyle name="Вывод 10 74 3" xfId="10557" xr:uid="{00000000-0005-0000-0000-0000B50F0000}"/>
    <cellStyle name="Вывод 10 74 4" xfId="14793" xr:uid="{00000000-0005-0000-0000-0000B60F0000}"/>
    <cellStyle name="Вывод 10 75" xfId="1554" xr:uid="{00000000-0005-0000-0000-0000B70F0000}"/>
    <cellStyle name="Вывод 10 75 2" xfId="6290" xr:uid="{00000000-0005-0000-0000-0000B80F0000}"/>
    <cellStyle name="Вывод 10 75 3" xfId="10558" xr:uid="{00000000-0005-0000-0000-0000B90F0000}"/>
    <cellStyle name="Вывод 10 75 4" xfId="14794" xr:uid="{00000000-0005-0000-0000-0000BA0F0000}"/>
    <cellStyle name="Вывод 10 76" xfId="1555" xr:uid="{00000000-0005-0000-0000-0000BB0F0000}"/>
    <cellStyle name="Вывод 10 76 2" xfId="6291" xr:uid="{00000000-0005-0000-0000-0000BC0F0000}"/>
    <cellStyle name="Вывод 10 76 3" xfId="10559" xr:uid="{00000000-0005-0000-0000-0000BD0F0000}"/>
    <cellStyle name="Вывод 10 76 4" xfId="14795" xr:uid="{00000000-0005-0000-0000-0000BE0F0000}"/>
    <cellStyle name="Вывод 10 77" xfId="1556" xr:uid="{00000000-0005-0000-0000-0000BF0F0000}"/>
    <cellStyle name="Вывод 10 77 2" xfId="6292" xr:uid="{00000000-0005-0000-0000-0000C00F0000}"/>
    <cellStyle name="Вывод 10 77 3" xfId="10560" xr:uid="{00000000-0005-0000-0000-0000C10F0000}"/>
    <cellStyle name="Вывод 10 77 4" xfId="14796" xr:uid="{00000000-0005-0000-0000-0000C20F0000}"/>
    <cellStyle name="Вывод 10 78" xfId="1557" xr:uid="{00000000-0005-0000-0000-0000C30F0000}"/>
    <cellStyle name="Вывод 10 78 2" xfId="6293" xr:uid="{00000000-0005-0000-0000-0000C40F0000}"/>
    <cellStyle name="Вывод 10 78 3" xfId="10561" xr:uid="{00000000-0005-0000-0000-0000C50F0000}"/>
    <cellStyle name="Вывод 10 78 4" xfId="14797" xr:uid="{00000000-0005-0000-0000-0000C60F0000}"/>
    <cellStyle name="Вывод 10 79" xfId="1558" xr:uid="{00000000-0005-0000-0000-0000C70F0000}"/>
    <cellStyle name="Вывод 10 79 2" xfId="6294" xr:uid="{00000000-0005-0000-0000-0000C80F0000}"/>
    <cellStyle name="Вывод 10 79 3" xfId="10562" xr:uid="{00000000-0005-0000-0000-0000C90F0000}"/>
    <cellStyle name="Вывод 10 79 4" xfId="14798" xr:uid="{00000000-0005-0000-0000-0000CA0F0000}"/>
    <cellStyle name="Вывод 10 8" xfId="1559" xr:uid="{00000000-0005-0000-0000-0000CB0F0000}"/>
    <cellStyle name="Вывод 10 8 2" xfId="6295" xr:uid="{00000000-0005-0000-0000-0000CC0F0000}"/>
    <cellStyle name="Вывод 10 8 3" xfId="10563" xr:uid="{00000000-0005-0000-0000-0000CD0F0000}"/>
    <cellStyle name="Вывод 10 8 4" xfId="14799" xr:uid="{00000000-0005-0000-0000-0000CE0F0000}"/>
    <cellStyle name="Вывод 10 80" xfId="1560" xr:uid="{00000000-0005-0000-0000-0000CF0F0000}"/>
    <cellStyle name="Вывод 10 80 2" xfId="6296" xr:uid="{00000000-0005-0000-0000-0000D00F0000}"/>
    <cellStyle name="Вывод 10 80 3" xfId="10564" xr:uid="{00000000-0005-0000-0000-0000D10F0000}"/>
    <cellStyle name="Вывод 10 80 4" xfId="14800" xr:uid="{00000000-0005-0000-0000-0000D20F0000}"/>
    <cellStyle name="Вывод 10 81" xfId="1561" xr:uid="{00000000-0005-0000-0000-0000D30F0000}"/>
    <cellStyle name="Вывод 10 81 2" xfId="6297" xr:uid="{00000000-0005-0000-0000-0000D40F0000}"/>
    <cellStyle name="Вывод 10 81 3" xfId="10565" xr:uid="{00000000-0005-0000-0000-0000D50F0000}"/>
    <cellStyle name="Вывод 10 81 4" xfId="14801" xr:uid="{00000000-0005-0000-0000-0000D60F0000}"/>
    <cellStyle name="Вывод 10 82" xfId="1562" xr:uid="{00000000-0005-0000-0000-0000D70F0000}"/>
    <cellStyle name="Вывод 10 82 2" xfId="6298" xr:uid="{00000000-0005-0000-0000-0000D80F0000}"/>
    <cellStyle name="Вывод 10 82 3" xfId="10566" xr:uid="{00000000-0005-0000-0000-0000D90F0000}"/>
    <cellStyle name="Вывод 10 82 4" xfId="14802" xr:uid="{00000000-0005-0000-0000-0000DA0F0000}"/>
    <cellStyle name="Вывод 10 83" xfId="1563" xr:uid="{00000000-0005-0000-0000-0000DB0F0000}"/>
    <cellStyle name="Вывод 10 83 2" xfId="6299" xr:uid="{00000000-0005-0000-0000-0000DC0F0000}"/>
    <cellStyle name="Вывод 10 83 3" xfId="10567" xr:uid="{00000000-0005-0000-0000-0000DD0F0000}"/>
    <cellStyle name="Вывод 10 83 4" xfId="14803" xr:uid="{00000000-0005-0000-0000-0000DE0F0000}"/>
    <cellStyle name="Вывод 10 84" xfId="1564" xr:uid="{00000000-0005-0000-0000-0000DF0F0000}"/>
    <cellStyle name="Вывод 10 84 2" xfId="6300" xr:uid="{00000000-0005-0000-0000-0000E00F0000}"/>
    <cellStyle name="Вывод 10 84 3" xfId="10568" xr:uid="{00000000-0005-0000-0000-0000E10F0000}"/>
    <cellStyle name="Вывод 10 84 4" xfId="14804" xr:uid="{00000000-0005-0000-0000-0000E20F0000}"/>
    <cellStyle name="Вывод 10 85" xfId="1565" xr:uid="{00000000-0005-0000-0000-0000E30F0000}"/>
    <cellStyle name="Вывод 10 85 2" xfId="6301" xr:uid="{00000000-0005-0000-0000-0000E40F0000}"/>
    <cellStyle name="Вывод 10 85 3" xfId="10569" xr:uid="{00000000-0005-0000-0000-0000E50F0000}"/>
    <cellStyle name="Вывод 10 85 4" xfId="14805" xr:uid="{00000000-0005-0000-0000-0000E60F0000}"/>
    <cellStyle name="Вывод 10 86" xfId="1566" xr:uid="{00000000-0005-0000-0000-0000E70F0000}"/>
    <cellStyle name="Вывод 10 86 2" xfId="6302" xr:uid="{00000000-0005-0000-0000-0000E80F0000}"/>
    <cellStyle name="Вывод 10 86 3" xfId="10570" xr:uid="{00000000-0005-0000-0000-0000E90F0000}"/>
    <cellStyle name="Вывод 10 86 4" xfId="14806" xr:uid="{00000000-0005-0000-0000-0000EA0F0000}"/>
    <cellStyle name="Вывод 10 87" xfId="1567" xr:uid="{00000000-0005-0000-0000-0000EB0F0000}"/>
    <cellStyle name="Вывод 10 87 2" xfId="6303" xr:uid="{00000000-0005-0000-0000-0000EC0F0000}"/>
    <cellStyle name="Вывод 10 87 3" xfId="10571" xr:uid="{00000000-0005-0000-0000-0000ED0F0000}"/>
    <cellStyle name="Вывод 10 87 4" xfId="14807" xr:uid="{00000000-0005-0000-0000-0000EE0F0000}"/>
    <cellStyle name="Вывод 10 88" xfId="1568" xr:uid="{00000000-0005-0000-0000-0000EF0F0000}"/>
    <cellStyle name="Вывод 10 88 2" xfId="6304" xr:uid="{00000000-0005-0000-0000-0000F00F0000}"/>
    <cellStyle name="Вывод 10 88 3" xfId="10572" xr:uid="{00000000-0005-0000-0000-0000F10F0000}"/>
    <cellStyle name="Вывод 10 88 4" xfId="14808" xr:uid="{00000000-0005-0000-0000-0000F20F0000}"/>
    <cellStyle name="Вывод 10 89" xfId="1569" xr:uid="{00000000-0005-0000-0000-0000F30F0000}"/>
    <cellStyle name="Вывод 10 89 2" xfId="6305" xr:uid="{00000000-0005-0000-0000-0000F40F0000}"/>
    <cellStyle name="Вывод 10 89 3" xfId="10573" xr:uid="{00000000-0005-0000-0000-0000F50F0000}"/>
    <cellStyle name="Вывод 10 89 4" xfId="14809" xr:uid="{00000000-0005-0000-0000-0000F60F0000}"/>
    <cellStyle name="Вывод 10 9" xfId="1570" xr:uid="{00000000-0005-0000-0000-0000F70F0000}"/>
    <cellStyle name="Вывод 10 9 2" xfId="6306" xr:uid="{00000000-0005-0000-0000-0000F80F0000}"/>
    <cellStyle name="Вывод 10 9 3" xfId="10574" xr:uid="{00000000-0005-0000-0000-0000F90F0000}"/>
    <cellStyle name="Вывод 10 9 4" xfId="14810" xr:uid="{00000000-0005-0000-0000-0000FA0F0000}"/>
    <cellStyle name="Вывод 10 90" xfId="1571" xr:uid="{00000000-0005-0000-0000-0000FB0F0000}"/>
    <cellStyle name="Вывод 10 90 2" xfId="6307" xr:uid="{00000000-0005-0000-0000-0000FC0F0000}"/>
    <cellStyle name="Вывод 10 90 3" xfId="10575" xr:uid="{00000000-0005-0000-0000-0000FD0F0000}"/>
    <cellStyle name="Вывод 10 90 4" xfId="14811" xr:uid="{00000000-0005-0000-0000-0000FE0F0000}"/>
    <cellStyle name="Вывод 10 91" xfId="1572" xr:uid="{00000000-0005-0000-0000-0000FF0F0000}"/>
    <cellStyle name="Вывод 10 91 2" xfId="6308" xr:uid="{00000000-0005-0000-0000-000000100000}"/>
    <cellStyle name="Вывод 10 91 3" xfId="10576" xr:uid="{00000000-0005-0000-0000-000001100000}"/>
    <cellStyle name="Вывод 10 91 4" xfId="14812" xr:uid="{00000000-0005-0000-0000-000002100000}"/>
    <cellStyle name="Вывод 10 92" xfId="5186" xr:uid="{00000000-0005-0000-0000-000003100000}"/>
    <cellStyle name="Вывод 10 93" xfId="5257" xr:uid="{00000000-0005-0000-0000-000004100000}"/>
    <cellStyle name="Вывод 10 94" xfId="5334" xr:uid="{00000000-0005-0000-0000-000005100000}"/>
    <cellStyle name="Вывод 2" xfId="233" xr:uid="{00000000-0005-0000-0000-000006100000}"/>
    <cellStyle name="Вывод 2 10" xfId="1573" xr:uid="{00000000-0005-0000-0000-000007100000}"/>
    <cellStyle name="Вывод 2 10 2" xfId="6309" xr:uid="{00000000-0005-0000-0000-000008100000}"/>
    <cellStyle name="Вывод 2 10 3" xfId="10577" xr:uid="{00000000-0005-0000-0000-000009100000}"/>
    <cellStyle name="Вывод 2 10 4" xfId="14813" xr:uid="{00000000-0005-0000-0000-00000A100000}"/>
    <cellStyle name="Вывод 2 11" xfId="1574" xr:uid="{00000000-0005-0000-0000-00000B100000}"/>
    <cellStyle name="Вывод 2 11 2" xfId="6310" xr:uid="{00000000-0005-0000-0000-00000C100000}"/>
    <cellStyle name="Вывод 2 11 3" xfId="10578" xr:uid="{00000000-0005-0000-0000-00000D100000}"/>
    <cellStyle name="Вывод 2 11 4" xfId="14814" xr:uid="{00000000-0005-0000-0000-00000E100000}"/>
    <cellStyle name="Вывод 2 12" xfId="1575" xr:uid="{00000000-0005-0000-0000-00000F100000}"/>
    <cellStyle name="Вывод 2 12 2" xfId="6311" xr:uid="{00000000-0005-0000-0000-000010100000}"/>
    <cellStyle name="Вывод 2 12 3" xfId="10579" xr:uid="{00000000-0005-0000-0000-000011100000}"/>
    <cellStyle name="Вывод 2 12 4" xfId="14815" xr:uid="{00000000-0005-0000-0000-000012100000}"/>
    <cellStyle name="Вывод 2 13" xfId="1576" xr:uid="{00000000-0005-0000-0000-000013100000}"/>
    <cellStyle name="Вывод 2 13 2" xfId="6312" xr:uid="{00000000-0005-0000-0000-000014100000}"/>
    <cellStyle name="Вывод 2 13 3" xfId="10580" xr:uid="{00000000-0005-0000-0000-000015100000}"/>
    <cellStyle name="Вывод 2 13 4" xfId="14816" xr:uid="{00000000-0005-0000-0000-000016100000}"/>
    <cellStyle name="Вывод 2 14" xfId="1577" xr:uid="{00000000-0005-0000-0000-000017100000}"/>
    <cellStyle name="Вывод 2 14 2" xfId="6313" xr:uid="{00000000-0005-0000-0000-000018100000}"/>
    <cellStyle name="Вывод 2 14 3" xfId="10581" xr:uid="{00000000-0005-0000-0000-000019100000}"/>
    <cellStyle name="Вывод 2 14 4" xfId="14817" xr:uid="{00000000-0005-0000-0000-00001A100000}"/>
    <cellStyle name="Вывод 2 15" xfId="1578" xr:uid="{00000000-0005-0000-0000-00001B100000}"/>
    <cellStyle name="Вывод 2 15 2" xfId="6314" xr:uid="{00000000-0005-0000-0000-00001C100000}"/>
    <cellStyle name="Вывод 2 15 3" xfId="10582" xr:uid="{00000000-0005-0000-0000-00001D100000}"/>
    <cellStyle name="Вывод 2 15 4" xfId="14818" xr:uid="{00000000-0005-0000-0000-00001E100000}"/>
    <cellStyle name="Вывод 2 16" xfId="1579" xr:uid="{00000000-0005-0000-0000-00001F100000}"/>
    <cellStyle name="Вывод 2 16 2" xfId="6315" xr:uid="{00000000-0005-0000-0000-000020100000}"/>
    <cellStyle name="Вывод 2 16 3" xfId="10583" xr:uid="{00000000-0005-0000-0000-000021100000}"/>
    <cellStyle name="Вывод 2 16 4" xfId="14819" xr:uid="{00000000-0005-0000-0000-000022100000}"/>
    <cellStyle name="Вывод 2 17" xfId="1580" xr:uid="{00000000-0005-0000-0000-000023100000}"/>
    <cellStyle name="Вывод 2 17 2" xfId="6316" xr:uid="{00000000-0005-0000-0000-000024100000}"/>
    <cellStyle name="Вывод 2 17 3" xfId="10584" xr:uid="{00000000-0005-0000-0000-000025100000}"/>
    <cellStyle name="Вывод 2 17 4" xfId="14820" xr:uid="{00000000-0005-0000-0000-000026100000}"/>
    <cellStyle name="Вывод 2 18" xfId="1581" xr:uid="{00000000-0005-0000-0000-000027100000}"/>
    <cellStyle name="Вывод 2 18 2" xfId="6317" xr:uid="{00000000-0005-0000-0000-000028100000}"/>
    <cellStyle name="Вывод 2 18 3" xfId="10585" xr:uid="{00000000-0005-0000-0000-000029100000}"/>
    <cellStyle name="Вывод 2 18 4" xfId="14821" xr:uid="{00000000-0005-0000-0000-00002A100000}"/>
    <cellStyle name="Вывод 2 19" xfId="1582" xr:uid="{00000000-0005-0000-0000-00002B100000}"/>
    <cellStyle name="Вывод 2 19 2" xfId="6318" xr:uid="{00000000-0005-0000-0000-00002C100000}"/>
    <cellStyle name="Вывод 2 19 3" xfId="10586" xr:uid="{00000000-0005-0000-0000-00002D100000}"/>
    <cellStyle name="Вывод 2 19 4" xfId="14822" xr:uid="{00000000-0005-0000-0000-00002E100000}"/>
    <cellStyle name="Вывод 2 2" xfId="1583" xr:uid="{00000000-0005-0000-0000-00002F100000}"/>
    <cellStyle name="Вывод 2 2 2" xfId="1584" xr:uid="{00000000-0005-0000-0000-000030100000}"/>
    <cellStyle name="Вывод 2 2 2 2" xfId="6320" xr:uid="{00000000-0005-0000-0000-000031100000}"/>
    <cellStyle name="Вывод 2 2 2 3" xfId="10588" xr:uid="{00000000-0005-0000-0000-000032100000}"/>
    <cellStyle name="Вывод 2 2 2 4" xfId="14824" xr:uid="{00000000-0005-0000-0000-000033100000}"/>
    <cellStyle name="Вывод 2 2 3" xfId="1585" xr:uid="{00000000-0005-0000-0000-000034100000}"/>
    <cellStyle name="Вывод 2 2 3 2" xfId="6321" xr:uid="{00000000-0005-0000-0000-000035100000}"/>
    <cellStyle name="Вывод 2 2 3 3" xfId="10589" xr:uid="{00000000-0005-0000-0000-000036100000}"/>
    <cellStyle name="Вывод 2 2 3 4" xfId="14825" xr:uid="{00000000-0005-0000-0000-000037100000}"/>
    <cellStyle name="Вывод 2 2 4" xfId="6319" xr:uid="{00000000-0005-0000-0000-000038100000}"/>
    <cellStyle name="Вывод 2 2 5" xfId="10587" xr:uid="{00000000-0005-0000-0000-000039100000}"/>
    <cellStyle name="Вывод 2 2 6" xfId="14823" xr:uid="{00000000-0005-0000-0000-00003A100000}"/>
    <cellStyle name="Вывод 2 20" xfId="1586" xr:uid="{00000000-0005-0000-0000-00003B100000}"/>
    <cellStyle name="Вывод 2 20 2" xfId="6322" xr:uid="{00000000-0005-0000-0000-00003C100000}"/>
    <cellStyle name="Вывод 2 20 3" xfId="10590" xr:uid="{00000000-0005-0000-0000-00003D100000}"/>
    <cellStyle name="Вывод 2 20 4" xfId="14826" xr:uid="{00000000-0005-0000-0000-00003E100000}"/>
    <cellStyle name="Вывод 2 21" xfId="1587" xr:uid="{00000000-0005-0000-0000-00003F100000}"/>
    <cellStyle name="Вывод 2 21 2" xfId="6323" xr:uid="{00000000-0005-0000-0000-000040100000}"/>
    <cellStyle name="Вывод 2 21 3" xfId="10591" xr:uid="{00000000-0005-0000-0000-000041100000}"/>
    <cellStyle name="Вывод 2 21 4" xfId="14827" xr:uid="{00000000-0005-0000-0000-000042100000}"/>
    <cellStyle name="Вывод 2 22" xfId="1588" xr:uid="{00000000-0005-0000-0000-000043100000}"/>
    <cellStyle name="Вывод 2 22 2" xfId="6324" xr:uid="{00000000-0005-0000-0000-000044100000}"/>
    <cellStyle name="Вывод 2 22 3" xfId="10592" xr:uid="{00000000-0005-0000-0000-000045100000}"/>
    <cellStyle name="Вывод 2 22 4" xfId="14828" xr:uid="{00000000-0005-0000-0000-000046100000}"/>
    <cellStyle name="Вывод 2 23" xfId="1589" xr:uid="{00000000-0005-0000-0000-000047100000}"/>
    <cellStyle name="Вывод 2 23 2" xfId="6325" xr:uid="{00000000-0005-0000-0000-000048100000}"/>
    <cellStyle name="Вывод 2 23 3" xfId="10593" xr:uid="{00000000-0005-0000-0000-000049100000}"/>
    <cellStyle name="Вывод 2 23 4" xfId="14829" xr:uid="{00000000-0005-0000-0000-00004A100000}"/>
    <cellStyle name="Вывод 2 24" xfId="1590" xr:uid="{00000000-0005-0000-0000-00004B100000}"/>
    <cellStyle name="Вывод 2 24 2" xfId="6326" xr:uid="{00000000-0005-0000-0000-00004C100000}"/>
    <cellStyle name="Вывод 2 24 3" xfId="10594" xr:uid="{00000000-0005-0000-0000-00004D100000}"/>
    <cellStyle name="Вывод 2 24 4" xfId="14830" xr:uid="{00000000-0005-0000-0000-00004E100000}"/>
    <cellStyle name="Вывод 2 25" xfId="1591" xr:uid="{00000000-0005-0000-0000-00004F100000}"/>
    <cellStyle name="Вывод 2 25 2" xfId="6327" xr:uid="{00000000-0005-0000-0000-000050100000}"/>
    <cellStyle name="Вывод 2 25 3" xfId="10595" xr:uid="{00000000-0005-0000-0000-000051100000}"/>
    <cellStyle name="Вывод 2 25 4" xfId="14831" xr:uid="{00000000-0005-0000-0000-000052100000}"/>
    <cellStyle name="Вывод 2 26" xfId="1592" xr:uid="{00000000-0005-0000-0000-000053100000}"/>
    <cellStyle name="Вывод 2 26 2" xfId="6328" xr:uid="{00000000-0005-0000-0000-000054100000}"/>
    <cellStyle name="Вывод 2 26 3" xfId="10596" xr:uid="{00000000-0005-0000-0000-000055100000}"/>
    <cellStyle name="Вывод 2 26 4" xfId="14832" xr:uid="{00000000-0005-0000-0000-000056100000}"/>
    <cellStyle name="Вывод 2 27" xfId="1593" xr:uid="{00000000-0005-0000-0000-000057100000}"/>
    <cellStyle name="Вывод 2 27 2" xfId="6329" xr:uid="{00000000-0005-0000-0000-000058100000}"/>
    <cellStyle name="Вывод 2 27 3" xfId="10597" xr:uid="{00000000-0005-0000-0000-000059100000}"/>
    <cellStyle name="Вывод 2 27 4" xfId="14833" xr:uid="{00000000-0005-0000-0000-00005A100000}"/>
    <cellStyle name="Вывод 2 28" xfId="1594" xr:uid="{00000000-0005-0000-0000-00005B100000}"/>
    <cellStyle name="Вывод 2 28 2" xfId="6330" xr:uid="{00000000-0005-0000-0000-00005C100000}"/>
    <cellStyle name="Вывод 2 28 3" xfId="10598" xr:uid="{00000000-0005-0000-0000-00005D100000}"/>
    <cellStyle name="Вывод 2 28 4" xfId="14834" xr:uid="{00000000-0005-0000-0000-00005E100000}"/>
    <cellStyle name="Вывод 2 29" xfId="1595" xr:uid="{00000000-0005-0000-0000-00005F100000}"/>
    <cellStyle name="Вывод 2 29 2" xfId="6331" xr:uid="{00000000-0005-0000-0000-000060100000}"/>
    <cellStyle name="Вывод 2 29 3" xfId="10599" xr:uid="{00000000-0005-0000-0000-000061100000}"/>
    <cellStyle name="Вывод 2 29 4" xfId="14835" xr:uid="{00000000-0005-0000-0000-000062100000}"/>
    <cellStyle name="Вывод 2 3" xfId="1596" xr:uid="{00000000-0005-0000-0000-000063100000}"/>
    <cellStyle name="Вывод 2 3 2" xfId="1597" xr:uid="{00000000-0005-0000-0000-000064100000}"/>
    <cellStyle name="Вывод 2 3 2 2" xfId="6333" xr:uid="{00000000-0005-0000-0000-000065100000}"/>
    <cellStyle name="Вывод 2 3 2 3" xfId="10601" xr:uid="{00000000-0005-0000-0000-000066100000}"/>
    <cellStyle name="Вывод 2 3 2 4" xfId="14837" xr:uid="{00000000-0005-0000-0000-000067100000}"/>
    <cellStyle name="Вывод 2 3 3" xfId="1598" xr:uid="{00000000-0005-0000-0000-000068100000}"/>
    <cellStyle name="Вывод 2 3 3 2" xfId="6334" xr:uid="{00000000-0005-0000-0000-000069100000}"/>
    <cellStyle name="Вывод 2 3 3 3" xfId="10602" xr:uid="{00000000-0005-0000-0000-00006A100000}"/>
    <cellStyle name="Вывод 2 3 3 4" xfId="14838" xr:uid="{00000000-0005-0000-0000-00006B100000}"/>
    <cellStyle name="Вывод 2 3 4" xfId="6332" xr:uid="{00000000-0005-0000-0000-00006C100000}"/>
    <cellStyle name="Вывод 2 3 5" xfId="10600" xr:uid="{00000000-0005-0000-0000-00006D100000}"/>
    <cellStyle name="Вывод 2 3 6" xfId="14836" xr:uid="{00000000-0005-0000-0000-00006E100000}"/>
    <cellStyle name="Вывод 2 30" xfId="1599" xr:uid="{00000000-0005-0000-0000-00006F100000}"/>
    <cellStyle name="Вывод 2 30 2" xfId="6335" xr:uid="{00000000-0005-0000-0000-000070100000}"/>
    <cellStyle name="Вывод 2 30 3" xfId="10603" xr:uid="{00000000-0005-0000-0000-000071100000}"/>
    <cellStyle name="Вывод 2 30 4" xfId="14839" xr:uid="{00000000-0005-0000-0000-000072100000}"/>
    <cellStyle name="Вывод 2 31" xfId="1600" xr:uid="{00000000-0005-0000-0000-000073100000}"/>
    <cellStyle name="Вывод 2 31 2" xfId="6336" xr:uid="{00000000-0005-0000-0000-000074100000}"/>
    <cellStyle name="Вывод 2 31 3" xfId="10604" xr:uid="{00000000-0005-0000-0000-000075100000}"/>
    <cellStyle name="Вывод 2 31 4" xfId="14840" xr:uid="{00000000-0005-0000-0000-000076100000}"/>
    <cellStyle name="Вывод 2 32" xfId="1601" xr:uid="{00000000-0005-0000-0000-000077100000}"/>
    <cellStyle name="Вывод 2 32 2" xfId="6337" xr:uid="{00000000-0005-0000-0000-000078100000}"/>
    <cellStyle name="Вывод 2 32 3" xfId="10605" xr:uid="{00000000-0005-0000-0000-000079100000}"/>
    <cellStyle name="Вывод 2 32 4" xfId="14841" xr:uid="{00000000-0005-0000-0000-00007A100000}"/>
    <cellStyle name="Вывод 2 33" xfId="1602" xr:uid="{00000000-0005-0000-0000-00007B100000}"/>
    <cellStyle name="Вывод 2 33 2" xfId="6338" xr:uid="{00000000-0005-0000-0000-00007C100000}"/>
    <cellStyle name="Вывод 2 33 3" xfId="10606" xr:uid="{00000000-0005-0000-0000-00007D100000}"/>
    <cellStyle name="Вывод 2 33 4" xfId="14842" xr:uid="{00000000-0005-0000-0000-00007E100000}"/>
    <cellStyle name="Вывод 2 34" xfId="1603" xr:uid="{00000000-0005-0000-0000-00007F100000}"/>
    <cellStyle name="Вывод 2 34 2" xfId="6339" xr:uid="{00000000-0005-0000-0000-000080100000}"/>
    <cellStyle name="Вывод 2 34 3" xfId="10607" xr:uid="{00000000-0005-0000-0000-000081100000}"/>
    <cellStyle name="Вывод 2 34 4" xfId="14843" xr:uid="{00000000-0005-0000-0000-000082100000}"/>
    <cellStyle name="Вывод 2 35" xfId="1604" xr:uid="{00000000-0005-0000-0000-000083100000}"/>
    <cellStyle name="Вывод 2 35 2" xfId="6340" xr:uid="{00000000-0005-0000-0000-000084100000}"/>
    <cellStyle name="Вывод 2 35 3" xfId="10608" xr:uid="{00000000-0005-0000-0000-000085100000}"/>
    <cellStyle name="Вывод 2 35 4" xfId="14844" xr:uid="{00000000-0005-0000-0000-000086100000}"/>
    <cellStyle name="Вывод 2 36" xfId="1605" xr:uid="{00000000-0005-0000-0000-000087100000}"/>
    <cellStyle name="Вывод 2 36 2" xfId="6341" xr:uid="{00000000-0005-0000-0000-000088100000}"/>
    <cellStyle name="Вывод 2 36 3" xfId="10609" xr:uid="{00000000-0005-0000-0000-000089100000}"/>
    <cellStyle name="Вывод 2 36 4" xfId="14845" xr:uid="{00000000-0005-0000-0000-00008A100000}"/>
    <cellStyle name="Вывод 2 37" xfId="1606" xr:uid="{00000000-0005-0000-0000-00008B100000}"/>
    <cellStyle name="Вывод 2 37 2" xfId="6342" xr:uid="{00000000-0005-0000-0000-00008C100000}"/>
    <cellStyle name="Вывод 2 37 3" xfId="10610" xr:uid="{00000000-0005-0000-0000-00008D100000}"/>
    <cellStyle name="Вывод 2 37 4" xfId="14846" xr:uid="{00000000-0005-0000-0000-00008E100000}"/>
    <cellStyle name="Вывод 2 38" xfId="1607" xr:uid="{00000000-0005-0000-0000-00008F100000}"/>
    <cellStyle name="Вывод 2 38 2" xfId="6343" xr:uid="{00000000-0005-0000-0000-000090100000}"/>
    <cellStyle name="Вывод 2 38 3" xfId="10611" xr:uid="{00000000-0005-0000-0000-000091100000}"/>
    <cellStyle name="Вывод 2 38 4" xfId="14847" xr:uid="{00000000-0005-0000-0000-000092100000}"/>
    <cellStyle name="Вывод 2 39" xfId="1608" xr:uid="{00000000-0005-0000-0000-000093100000}"/>
    <cellStyle name="Вывод 2 39 2" xfId="6344" xr:uid="{00000000-0005-0000-0000-000094100000}"/>
    <cellStyle name="Вывод 2 39 3" xfId="10612" xr:uid="{00000000-0005-0000-0000-000095100000}"/>
    <cellStyle name="Вывод 2 39 4" xfId="14848" xr:uid="{00000000-0005-0000-0000-000096100000}"/>
    <cellStyle name="Вывод 2 4" xfId="1609" xr:uid="{00000000-0005-0000-0000-000097100000}"/>
    <cellStyle name="Вывод 2 4 2" xfId="1610" xr:uid="{00000000-0005-0000-0000-000098100000}"/>
    <cellStyle name="Вывод 2 4 2 2" xfId="6346" xr:uid="{00000000-0005-0000-0000-000099100000}"/>
    <cellStyle name="Вывод 2 4 2 3" xfId="10614" xr:uid="{00000000-0005-0000-0000-00009A100000}"/>
    <cellStyle name="Вывод 2 4 2 4" xfId="14850" xr:uid="{00000000-0005-0000-0000-00009B100000}"/>
    <cellStyle name="Вывод 2 4 3" xfId="1611" xr:uid="{00000000-0005-0000-0000-00009C100000}"/>
    <cellStyle name="Вывод 2 4 3 2" xfId="6347" xr:uid="{00000000-0005-0000-0000-00009D100000}"/>
    <cellStyle name="Вывод 2 4 3 3" xfId="10615" xr:uid="{00000000-0005-0000-0000-00009E100000}"/>
    <cellStyle name="Вывод 2 4 3 4" xfId="14851" xr:uid="{00000000-0005-0000-0000-00009F100000}"/>
    <cellStyle name="Вывод 2 4 4" xfId="6345" xr:uid="{00000000-0005-0000-0000-0000A0100000}"/>
    <cellStyle name="Вывод 2 4 5" xfId="10613" xr:uid="{00000000-0005-0000-0000-0000A1100000}"/>
    <cellStyle name="Вывод 2 4 6" xfId="14849" xr:uid="{00000000-0005-0000-0000-0000A2100000}"/>
    <cellStyle name="Вывод 2 40" xfId="1612" xr:uid="{00000000-0005-0000-0000-0000A3100000}"/>
    <cellStyle name="Вывод 2 40 2" xfId="6348" xr:uid="{00000000-0005-0000-0000-0000A4100000}"/>
    <cellStyle name="Вывод 2 40 3" xfId="10616" xr:uid="{00000000-0005-0000-0000-0000A5100000}"/>
    <cellStyle name="Вывод 2 40 4" xfId="14852" xr:uid="{00000000-0005-0000-0000-0000A6100000}"/>
    <cellStyle name="Вывод 2 41" xfId="1613" xr:uid="{00000000-0005-0000-0000-0000A7100000}"/>
    <cellStyle name="Вывод 2 41 2" xfId="6349" xr:uid="{00000000-0005-0000-0000-0000A8100000}"/>
    <cellStyle name="Вывод 2 41 3" xfId="10617" xr:uid="{00000000-0005-0000-0000-0000A9100000}"/>
    <cellStyle name="Вывод 2 41 4" xfId="14853" xr:uid="{00000000-0005-0000-0000-0000AA100000}"/>
    <cellStyle name="Вывод 2 42" xfId="1614" xr:uid="{00000000-0005-0000-0000-0000AB100000}"/>
    <cellStyle name="Вывод 2 42 2" xfId="6350" xr:uid="{00000000-0005-0000-0000-0000AC100000}"/>
    <cellStyle name="Вывод 2 42 3" xfId="10618" xr:uid="{00000000-0005-0000-0000-0000AD100000}"/>
    <cellStyle name="Вывод 2 42 4" xfId="14854" xr:uid="{00000000-0005-0000-0000-0000AE100000}"/>
    <cellStyle name="Вывод 2 43" xfId="1615" xr:uid="{00000000-0005-0000-0000-0000AF100000}"/>
    <cellStyle name="Вывод 2 43 2" xfId="6351" xr:uid="{00000000-0005-0000-0000-0000B0100000}"/>
    <cellStyle name="Вывод 2 43 3" xfId="10619" xr:uid="{00000000-0005-0000-0000-0000B1100000}"/>
    <cellStyle name="Вывод 2 43 4" xfId="14855" xr:uid="{00000000-0005-0000-0000-0000B2100000}"/>
    <cellStyle name="Вывод 2 44" xfId="1616" xr:uid="{00000000-0005-0000-0000-0000B3100000}"/>
    <cellStyle name="Вывод 2 44 2" xfId="6352" xr:uid="{00000000-0005-0000-0000-0000B4100000}"/>
    <cellStyle name="Вывод 2 44 3" xfId="10620" xr:uid="{00000000-0005-0000-0000-0000B5100000}"/>
    <cellStyle name="Вывод 2 44 4" xfId="14856" xr:uid="{00000000-0005-0000-0000-0000B6100000}"/>
    <cellStyle name="Вывод 2 45" xfId="1617" xr:uid="{00000000-0005-0000-0000-0000B7100000}"/>
    <cellStyle name="Вывод 2 45 2" xfId="6353" xr:uid="{00000000-0005-0000-0000-0000B8100000}"/>
    <cellStyle name="Вывод 2 45 3" xfId="10621" xr:uid="{00000000-0005-0000-0000-0000B9100000}"/>
    <cellStyle name="Вывод 2 45 4" xfId="14857" xr:uid="{00000000-0005-0000-0000-0000BA100000}"/>
    <cellStyle name="Вывод 2 46" xfId="1618" xr:uid="{00000000-0005-0000-0000-0000BB100000}"/>
    <cellStyle name="Вывод 2 46 2" xfId="6354" xr:uid="{00000000-0005-0000-0000-0000BC100000}"/>
    <cellStyle name="Вывод 2 46 3" xfId="10622" xr:uid="{00000000-0005-0000-0000-0000BD100000}"/>
    <cellStyle name="Вывод 2 46 4" xfId="14858" xr:uid="{00000000-0005-0000-0000-0000BE100000}"/>
    <cellStyle name="Вывод 2 47" xfId="1619" xr:uid="{00000000-0005-0000-0000-0000BF100000}"/>
    <cellStyle name="Вывод 2 47 2" xfId="6355" xr:uid="{00000000-0005-0000-0000-0000C0100000}"/>
    <cellStyle name="Вывод 2 47 3" xfId="10623" xr:uid="{00000000-0005-0000-0000-0000C1100000}"/>
    <cellStyle name="Вывод 2 47 4" xfId="14859" xr:uid="{00000000-0005-0000-0000-0000C2100000}"/>
    <cellStyle name="Вывод 2 48" xfId="1620" xr:uid="{00000000-0005-0000-0000-0000C3100000}"/>
    <cellStyle name="Вывод 2 48 2" xfId="6356" xr:uid="{00000000-0005-0000-0000-0000C4100000}"/>
    <cellStyle name="Вывод 2 48 3" xfId="10624" xr:uid="{00000000-0005-0000-0000-0000C5100000}"/>
    <cellStyle name="Вывод 2 48 4" xfId="14860" xr:uid="{00000000-0005-0000-0000-0000C6100000}"/>
    <cellStyle name="Вывод 2 49" xfId="1621" xr:uid="{00000000-0005-0000-0000-0000C7100000}"/>
    <cellStyle name="Вывод 2 49 2" xfId="6357" xr:uid="{00000000-0005-0000-0000-0000C8100000}"/>
    <cellStyle name="Вывод 2 49 3" xfId="10625" xr:uid="{00000000-0005-0000-0000-0000C9100000}"/>
    <cellStyle name="Вывод 2 49 4" xfId="14861" xr:uid="{00000000-0005-0000-0000-0000CA100000}"/>
    <cellStyle name="Вывод 2 5" xfId="1622" xr:uid="{00000000-0005-0000-0000-0000CB100000}"/>
    <cellStyle name="Вывод 2 5 2" xfId="6358" xr:uid="{00000000-0005-0000-0000-0000CC100000}"/>
    <cellStyle name="Вывод 2 5 3" xfId="10626" xr:uid="{00000000-0005-0000-0000-0000CD100000}"/>
    <cellStyle name="Вывод 2 5 4" xfId="14862" xr:uid="{00000000-0005-0000-0000-0000CE100000}"/>
    <cellStyle name="Вывод 2 50" xfId="1623" xr:uid="{00000000-0005-0000-0000-0000CF100000}"/>
    <cellStyle name="Вывод 2 50 2" xfId="6359" xr:uid="{00000000-0005-0000-0000-0000D0100000}"/>
    <cellStyle name="Вывод 2 50 3" xfId="10627" xr:uid="{00000000-0005-0000-0000-0000D1100000}"/>
    <cellStyle name="Вывод 2 50 4" xfId="14863" xr:uid="{00000000-0005-0000-0000-0000D2100000}"/>
    <cellStyle name="Вывод 2 51" xfId="1624" xr:uid="{00000000-0005-0000-0000-0000D3100000}"/>
    <cellStyle name="Вывод 2 51 2" xfId="6360" xr:uid="{00000000-0005-0000-0000-0000D4100000}"/>
    <cellStyle name="Вывод 2 51 3" xfId="10628" xr:uid="{00000000-0005-0000-0000-0000D5100000}"/>
    <cellStyle name="Вывод 2 51 4" xfId="14864" xr:uid="{00000000-0005-0000-0000-0000D6100000}"/>
    <cellStyle name="Вывод 2 52" xfId="1625" xr:uid="{00000000-0005-0000-0000-0000D7100000}"/>
    <cellStyle name="Вывод 2 52 2" xfId="6361" xr:uid="{00000000-0005-0000-0000-0000D8100000}"/>
    <cellStyle name="Вывод 2 52 3" xfId="10629" xr:uid="{00000000-0005-0000-0000-0000D9100000}"/>
    <cellStyle name="Вывод 2 52 4" xfId="14865" xr:uid="{00000000-0005-0000-0000-0000DA100000}"/>
    <cellStyle name="Вывод 2 53" xfId="1626" xr:uid="{00000000-0005-0000-0000-0000DB100000}"/>
    <cellStyle name="Вывод 2 53 2" xfId="6362" xr:uid="{00000000-0005-0000-0000-0000DC100000}"/>
    <cellStyle name="Вывод 2 53 3" xfId="10630" xr:uid="{00000000-0005-0000-0000-0000DD100000}"/>
    <cellStyle name="Вывод 2 53 4" xfId="14866" xr:uid="{00000000-0005-0000-0000-0000DE100000}"/>
    <cellStyle name="Вывод 2 54" xfId="1627" xr:uid="{00000000-0005-0000-0000-0000DF100000}"/>
    <cellStyle name="Вывод 2 54 2" xfId="6363" xr:uid="{00000000-0005-0000-0000-0000E0100000}"/>
    <cellStyle name="Вывод 2 54 3" xfId="10631" xr:uid="{00000000-0005-0000-0000-0000E1100000}"/>
    <cellStyle name="Вывод 2 54 4" xfId="14867" xr:uid="{00000000-0005-0000-0000-0000E2100000}"/>
    <cellStyle name="Вывод 2 55" xfId="1628" xr:uid="{00000000-0005-0000-0000-0000E3100000}"/>
    <cellStyle name="Вывод 2 55 2" xfId="6364" xr:uid="{00000000-0005-0000-0000-0000E4100000}"/>
    <cellStyle name="Вывод 2 55 3" xfId="10632" xr:uid="{00000000-0005-0000-0000-0000E5100000}"/>
    <cellStyle name="Вывод 2 55 4" xfId="14868" xr:uid="{00000000-0005-0000-0000-0000E6100000}"/>
    <cellStyle name="Вывод 2 56" xfId="1629" xr:uid="{00000000-0005-0000-0000-0000E7100000}"/>
    <cellStyle name="Вывод 2 56 2" xfId="6365" xr:uid="{00000000-0005-0000-0000-0000E8100000}"/>
    <cellStyle name="Вывод 2 56 3" xfId="10633" xr:uid="{00000000-0005-0000-0000-0000E9100000}"/>
    <cellStyle name="Вывод 2 56 4" xfId="14869" xr:uid="{00000000-0005-0000-0000-0000EA100000}"/>
    <cellStyle name="Вывод 2 57" xfId="1630" xr:uid="{00000000-0005-0000-0000-0000EB100000}"/>
    <cellStyle name="Вывод 2 57 2" xfId="6366" xr:uid="{00000000-0005-0000-0000-0000EC100000}"/>
    <cellStyle name="Вывод 2 57 3" xfId="10634" xr:uid="{00000000-0005-0000-0000-0000ED100000}"/>
    <cellStyle name="Вывод 2 57 4" xfId="14870" xr:uid="{00000000-0005-0000-0000-0000EE100000}"/>
    <cellStyle name="Вывод 2 58" xfId="1631" xr:uid="{00000000-0005-0000-0000-0000EF100000}"/>
    <cellStyle name="Вывод 2 58 2" xfId="6367" xr:uid="{00000000-0005-0000-0000-0000F0100000}"/>
    <cellStyle name="Вывод 2 58 3" xfId="10635" xr:uid="{00000000-0005-0000-0000-0000F1100000}"/>
    <cellStyle name="Вывод 2 58 4" xfId="14871" xr:uid="{00000000-0005-0000-0000-0000F2100000}"/>
    <cellStyle name="Вывод 2 59" xfId="1632" xr:uid="{00000000-0005-0000-0000-0000F3100000}"/>
    <cellStyle name="Вывод 2 59 2" xfId="6368" xr:uid="{00000000-0005-0000-0000-0000F4100000}"/>
    <cellStyle name="Вывод 2 59 3" xfId="10636" xr:uid="{00000000-0005-0000-0000-0000F5100000}"/>
    <cellStyle name="Вывод 2 59 4" xfId="14872" xr:uid="{00000000-0005-0000-0000-0000F6100000}"/>
    <cellStyle name="Вывод 2 6" xfId="1633" xr:uid="{00000000-0005-0000-0000-0000F7100000}"/>
    <cellStyle name="Вывод 2 6 2" xfId="6369" xr:uid="{00000000-0005-0000-0000-0000F8100000}"/>
    <cellStyle name="Вывод 2 6 3" xfId="10637" xr:uid="{00000000-0005-0000-0000-0000F9100000}"/>
    <cellStyle name="Вывод 2 6 4" xfId="14873" xr:uid="{00000000-0005-0000-0000-0000FA100000}"/>
    <cellStyle name="Вывод 2 60" xfId="1634" xr:uid="{00000000-0005-0000-0000-0000FB100000}"/>
    <cellStyle name="Вывод 2 60 2" xfId="6370" xr:uid="{00000000-0005-0000-0000-0000FC100000}"/>
    <cellStyle name="Вывод 2 60 3" xfId="10638" xr:uid="{00000000-0005-0000-0000-0000FD100000}"/>
    <cellStyle name="Вывод 2 60 4" xfId="14874" xr:uid="{00000000-0005-0000-0000-0000FE100000}"/>
    <cellStyle name="Вывод 2 61" xfId="1635" xr:uid="{00000000-0005-0000-0000-0000FF100000}"/>
    <cellStyle name="Вывод 2 61 2" xfId="6371" xr:uid="{00000000-0005-0000-0000-000000110000}"/>
    <cellStyle name="Вывод 2 61 3" xfId="10639" xr:uid="{00000000-0005-0000-0000-000001110000}"/>
    <cellStyle name="Вывод 2 61 4" xfId="14875" xr:uid="{00000000-0005-0000-0000-000002110000}"/>
    <cellStyle name="Вывод 2 62" xfId="1636" xr:uid="{00000000-0005-0000-0000-000003110000}"/>
    <cellStyle name="Вывод 2 62 2" xfId="6372" xr:uid="{00000000-0005-0000-0000-000004110000}"/>
    <cellStyle name="Вывод 2 62 3" xfId="10640" xr:uid="{00000000-0005-0000-0000-000005110000}"/>
    <cellStyle name="Вывод 2 62 4" xfId="14876" xr:uid="{00000000-0005-0000-0000-000006110000}"/>
    <cellStyle name="Вывод 2 63" xfId="1637" xr:uid="{00000000-0005-0000-0000-000007110000}"/>
    <cellStyle name="Вывод 2 63 2" xfId="6373" xr:uid="{00000000-0005-0000-0000-000008110000}"/>
    <cellStyle name="Вывод 2 63 3" xfId="10641" xr:uid="{00000000-0005-0000-0000-000009110000}"/>
    <cellStyle name="Вывод 2 63 4" xfId="14877" xr:uid="{00000000-0005-0000-0000-00000A110000}"/>
    <cellStyle name="Вывод 2 64" xfId="1638" xr:uid="{00000000-0005-0000-0000-00000B110000}"/>
    <cellStyle name="Вывод 2 64 2" xfId="6374" xr:uid="{00000000-0005-0000-0000-00000C110000}"/>
    <cellStyle name="Вывод 2 64 3" xfId="10642" xr:uid="{00000000-0005-0000-0000-00000D110000}"/>
    <cellStyle name="Вывод 2 64 4" xfId="14878" xr:uid="{00000000-0005-0000-0000-00000E110000}"/>
    <cellStyle name="Вывод 2 65" xfId="1639" xr:uid="{00000000-0005-0000-0000-00000F110000}"/>
    <cellStyle name="Вывод 2 65 2" xfId="6375" xr:uid="{00000000-0005-0000-0000-000010110000}"/>
    <cellStyle name="Вывод 2 65 3" xfId="10643" xr:uid="{00000000-0005-0000-0000-000011110000}"/>
    <cellStyle name="Вывод 2 65 4" xfId="14879" xr:uid="{00000000-0005-0000-0000-000012110000}"/>
    <cellStyle name="Вывод 2 66" xfId="1640" xr:uid="{00000000-0005-0000-0000-000013110000}"/>
    <cellStyle name="Вывод 2 66 2" xfId="6376" xr:uid="{00000000-0005-0000-0000-000014110000}"/>
    <cellStyle name="Вывод 2 66 3" xfId="10644" xr:uid="{00000000-0005-0000-0000-000015110000}"/>
    <cellStyle name="Вывод 2 66 4" xfId="14880" xr:uid="{00000000-0005-0000-0000-000016110000}"/>
    <cellStyle name="Вывод 2 67" xfId="1641" xr:uid="{00000000-0005-0000-0000-000017110000}"/>
    <cellStyle name="Вывод 2 67 2" xfId="6377" xr:uid="{00000000-0005-0000-0000-000018110000}"/>
    <cellStyle name="Вывод 2 67 3" xfId="10645" xr:uid="{00000000-0005-0000-0000-000019110000}"/>
    <cellStyle name="Вывод 2 67 4" xfId="14881" xr:uid="{00000000-0005-0000-0000-00001A110000}"/>
    <cellStyle name="Вывод 2 68" xfId="1642" xr:uid="{00000000-0005-0000-0000-00001B110000}"/>
    <cellStyle name="Вывод 2 68 2" xfId="6378" xr:uid="{00000000-0005-0000-0000-00001C110000}"/>
    <cellStyle name="Вывод 2 68 3" xfId="10646" xr:uid="{00000000-0005-0000-0000-00001D110000}"/>
    <cellStyle name="Вывод 2 68 4" xfId="14882" xr:uid="{00000000-0005-0000-0000-00001E110000}"/>
    <cellStyle name="Вывод 2 69" xfId="1643" xr:uid="{00000000-0005-0000-0000-00001F110000}"/>
    <cellStyle name="Вывод 2 69 2" xfId="6379" xr:uid="{00000000-0005-0000-0000-000020110000}"/>
    <cellStyle name="Вывод 2 69 3" xfId="10647" xr:uid="{00000000-0005-0000-0000-000021110000}"/>
    <cellStyle name="Вывод 2 69 4" xfId="14883" xr:uid="{00000000-0005-0000-0000-000022110000}"/>
    <cellStyle name="Вывод 2 7" xfId="1644" xr:uid="{00000000-0005-0000-0000-000023110000}"/>
    <cellStyle name="Вывод 2 7 2" xfId="6380" xr:uid="{00000000-0005-0000-0000-000024110000}"/>
    <cellStyle name="Вывод 2 7 3" xfId="10648" xr:uid="{00000000-0005-0000-0000-000025110000}"/>
    <cellStyle name="Вывод 2 7 4" xfId="14884" xr:uid="{00000000-0005-0000-0000-000026110000}"/>
    <cellStyle name="Вывод 2 70" xfId="1645" xr:uid="{00000000-0005-0000-0000-000027110000}"/>
    <cellStyle name="Вывод 2 70 2" xfId="6381" xr:uid="{00000000-0005-0000-0000-000028110000}"/>
    <cellStyle name="Вывод 2 70 3" xfId="10649" xr:uid="{00000000-0005-0000-0000-000029110000}"/>
    <cellStyle name="Вывод 2 70 4" xfId="14885" xr:uid="{00000000-0005-0000-0000-00002A110000}"/>
    <cellStyle name="Вывод 2 71" xfId="1646" xr:uid="{00000000-0005-0000-0000-00002B110000}"/>
    <cellStyle name="Вывод 2 71 2" xfId="6382" xr:uid="{00000000-0005-0000-0000-00002C110000}"/>
    <cellStyle name="Вывод 2 71 3" xfId="10650" xr:uid="{00000000-0005-0000-0000-00002D110000}"/>
    <cellStyle name="Вывод 2 71 4" xfId="14886" xr:uid="{00000000-0005-0000-0000-00002E110000}"/>
    <cellStyle name="Вывод 2 72" xfId="1647" xr:uid="{00000000-0005-0000-0000-00002F110000}"/>
    <cellStyle name="Вывод 2 72 2" xfId="6383" xr:uid="{00000000-0005-0000-0000-000030110000}"/>
    <cellStyle name="Вывод 2 72 3" xfId="10651" xr:uid="{00000000-0005-0000-0000-000031110000}"/>
    <cellStyle name="Вывод 2 72 4" xfId="14887" xr:uid="{00000000-0005-0000-0000-000032110000}"/>
    <cellStyle name="Вывод 2 73" xfId="1648" xr:uid="{00000000-0005-0000-0000-000033110000}"/>
    <cellStyle name="Вывод 2 73 2" xfId="6384" xr:uid="{00000000-0005-0000-0000-000034110000}"/>
    <cellStyle name="Вывод 2 73 3" xfId="10652" xr:uid="{00000000-0005-0000-0000-000035110000}"/>
    <cellStyle name="Вывод 2 73 4" xfId="14888" xr:uid="{00000000-0005-0000-0000-000036110000}"/>
    <cellStyle name="Вывод 2 74" xfId="1649" xr:uid="{00000000-0005-0000-0000-000037110000}"/>
    <cellStyle name="Вывод 2 74 2" xfId="6385" xr:uid="{00000000-0005-0000-0000-000038110000}"/>
    <cellStyle name="Вывод 2 74 3" xfId="10653" xr:uid="{00000000-0005-0000-0000-000039110000}"/>
    <cellStyle name="Вывод 2 74 4" xfId="14889" xr:uid="{00000000-0005-0000-0000-00003A110000}"/>
    <cellStyle name="Вывод 2 75" xfId="1650" xr:uid="{00000000-0005-0000-0000-00003B110000}"/>
    <cellStyle name="Вывод 2 75 2" xfId="6386" xr:uid="{00000000-0005-0000-0000-00003C110000}"/>
    <cellStyle name="Вывод 2 75 3" xfId="10654" xr:uid="{00000000-0005-0000-0000-00003D110000}"/>
    <cellStyle name="Вывод 2 75 4" xfId="14890" xr:uid="{00000000-0005-0000-0000-00003E110000}"/>
    <cellStyle name="Вывод 2 76" xfId="1651" xr:uid="{00000000-0005-0000-0000-00003F110000}"/>
    <cellStyle name="Вывод 2 76 2" xfId="6387" xr:uid="{00000000-0005-0000-0000-000040110000}"/>
    <cellStyle name="Вывод 2 76 3" xfId="10655" xr:uid="{00000000-0005-0000-0000-000041110000}"/>
    <cellStyle name="Вывод 2 76 4" xfId="14891" xr:uid="{00000000-0005-0000-0000-000042110000}"/>
    <cellStyle name="Вывод 2 77" xfId="1652" xr:uid="{00000000-0005-0000-0000-000043110000}"/>
    <cellStyle name="Вывод 2 77 2" xfId="6388" xr:uid="{00000000-0005-0000-0000-000044110000}"/>
    <cellStyle name="Вывод 2 77 3" xfId="10656" xr:uid="{00000000-0005-0000-0000-000045110000}"/>
    <cellStyle name="Вывод 2 77 4" xfId="14892" xr:uid="{00000000-0005-0000-0000-000046110000}"/>
    <cellStyle name="Вывод 2 78" xfId="1653" xr:uid="{00000000-0005-0000-0000-000047110000}"/>
    <cellStyle name="Вывод 2 78 2" xfId="6389" xr:uid="{00000000-0005-0000-0000-000048110000}"/>
    <cellStyle name="Вывод 2 78 3" xfId="10657" xr:uid="{00000000-0005-0000-0000-000049110000}"/>
    <cellStyle name="Вывод 2 78 4" xfId="14893" xr:uid="{00000000-0005-0000-0000-00004A110000}"/>
    <cellStyle name="Вывод 2 79" xfId="1654" xr:uid="{00000000-0005-0000-0000-00004B110000}"/>
    <cellStyle name="Вывод 2 79 2" xfId="6390" xr:uid="{00000000-0005-0000-0000-00004C110000}"/>
    <cellStyle name="Вывод 2 79 3" xfId="10658" xr:uid="{00000000-0005-0000-0000-00004D110000}"/>
    <cellStyle name="Вывод 2 79 4" xfId="14894" xr:uid="{00000000-0005-0000-0000-00004E110000}"/>
    <cellStyle name="Вывод 2 8" xfId="1655" xr:uid="{00000000-0005-0000-0000-00004F110000}"/>
    <cellStyle name="Вывод 2 8 2" xfId="6391" xr:uid="{00000000-0005-0000-0000-000050110000}"/>
    <cellStyle name="Вывод 2 8 3" xfId="10659" xr:uid="{00000000-0005-0000-0000-000051110000}"/>
    <cellStyle name="Вывод 2 8 4" xfId="14895" xr:uid="{00000000-0005-0000-0000-000052110000}"/>
    <cellStyle name="Вывод 2 80" xfId="1656" xr:uid="{00000000-0005-0000-0000-000053110000}"/>
    <cellStyle name="Вывод 2 80 2" xfId="6392" xr:uid="{00000000-0005-0000-0000-000054110000}"/>
    <cellStyle name="Вывод 2 80 3" xfId="10660" xr:uid="{00000000-0005-0000-0000-000055110000}"/>
    <cellStyle name="Вывод 2 80 4" xfId="14896" xr:uid="{00000000-0005-0000-0000-000056110000}"/>
    <cellStyle name="Вывод 2 81" xfId="1657" xr:uid="{00000000-0005-0000-0000-000057110000}"/>
    <cellStyle name="Вывод 2 81 2" xfId="6393" xr:uid="{00000000-0005-0000-0000-000058110000}"/>
    <cellStyle name="Вывод 2 81 3" xfId="10661" xr:uid="{00000000-0005-0000-0000-000059110000}"/>
    <cellStyle name="Вывод 2 81 4" xfId="14897" xr:uid="{00000000-0005-0000-0000-00005A110000}"/>
    <cellStyle name="Вывод 2 82" xfId="1658" xr:uid="{00000000-0005-0000-0000-00005B110000}"/>
    <cellStyle name="Вывод 2 82 2" xfId="6394" xr:uid="{00000000-0005-0000-0000-00005C110000}"/>
    <cellStyle name="Вывод 2 82 3" xfId="10662" xr:uid="{00000000-0005-0000-0000-00005D110000}"/>
    <cellStyle name="Вывод 2 82 4" xfId="14898" xr:uid="{00000000-0005-0000-0000-00005E110000}"/>
    <cellStyle name="Вывод 2 83" xfId="1659" xr:uid="{00000000-0005-0000-0000-00005F110000}"/>
    <cellStyle name="Вывод 2 83 2" xfId="6395" xr:uid="{00000000-0005-0000-0000-000060110000}"/>
    <cellStyle name="Вывод 2 83 3" xfId="10663" xr:uid="{00000000-0005-0000-0000-000061110000}"/>
    <cellStyle name="Вывод 2 83 4" xfId="14899" xr:uid="{00000000-0005-0000-0000-000062110000}"/>
    <cellStyle name="Вывод 2 84" xfId="1660" xr:uid="{00000000-0005-0000-0000-000063110000}"/>
    <cellStyle name="Вывод 2 84 2" xfId="6396" xr:uid="{00000000-0005-0000-0000-000064110000}"/>
    <cellStyle name="Вывод 2 84 3" xfId="10664" xr:uid="{00000000-0005-0000-0000-000065110000}"/>
    <cellStyle name="Вывод 2 84 4" xfId="14900" xr:uid="{00000000-0005-0000-0000-000066110000}"/>
    <cellStyle name="Вывод 2 85" xfId="1661" xr:uid="{00000000-0005-0000-0000-000067110000}"/>
    <cellStyle name="Вывод 2 85 2" xfId="6397" xr:uid="{00000000-0005-0000-0000-000068110000}"/>
    <cellStyle name="Вывод 2 85 3" xfId="10665" xr:uid="{00000000-0005-0000-0000-000069110000}"/>
    <cellStyle name="Вывод 2 85 4" xfId="14901" xr:uid="{00000000-0005-0000-0000-00006A110000}"/>
    <cellStyle name="Вывод 2 86" xfId="1662" xr:uid="{00000000-0005-0000-0000-00006B110000}"/>
    <cellStyle name="Вывод 2 86 2" xfId="6398" xr:uid="{00000000-0005-0000-0000-00006C110000}"/>
    <cellStyle name="Вывод 2 86 3" xfId="10666" xr:uid="{00000000-0005-0000-0000-00006D110000}"/>
    <cellStyle name="Вывод 2 86 4" xfId="14902" xr:uid="{00000000-0005-0000-0000-00006E110000}"/>
    <cellStyle name="Вывод 2 87" xfId="1663" xr:uid="{00000000-0005-0000-0000-00006F110000}"/>
    <cellStyle name="Вывод 2 87 2" xfId="6399" xr:uid="{00000000-0005-0000-0000-000070110000}"/>
    <cellStyle name="Вывод 2 87 3" xfId="10667" xr:uid="{00000000-0005-0000-0000-000071110000}"/>
    <cellStyle name="Вывод 2 87 4" xfId="14903" xr:uid="{00000000-0005-0000-0000-000072110000}"/>
    <cellStyle name="Вывод 2 88" xfId="1664" xr:uid="{00000000-0005-0000-0000-000073110000}"/>
    <cellStyle name="Вывод 2 88 2" xfId="6400" xr:uid="{00000000-0005-0000-0000-000074110000}"/>
    <cellStyle name="Вывод 2 88 3" xfId="10668" xr:uid="{00000000-0005-0000-0000-000075110000}"/>
    <cellStyle name="Вывод 2 88 4" xfId="14904" xr:uid="{00000000-0005-0000-0000-000076110000}"/>
    <cellStyle name="Вывод 2 89" xfId="1665" xr:uid="{00000000-0005-0000-0000-000077110000}"/>
    <cellStyle name="Вывод 2 89 2" xfId="6401" xr:uid="{00000000-0005-0000-0000-000078110000}"/>
    <cellStyle name="Вывод 2 89 3" xfId="10669" xr:uid="{00000000-0005-0000-0000-000079110000}"/>
    <cellStyle name="Вывод 2 89 4" xfId="14905" xr:uid="{00000000-0005-0000-0000-00007A110000}"/>
    <cellStyle name="Вывод 2 9" xfId="1666" xr:uid="{00000000-0005-0000-0000-00007B110000}"/>
    <cellStyle name="Вывод 2 9 2" xfId="6402" xr:uid="{00000000-0005-0000-0000-00007C110000}"/>
    <cellStyle name="Вывод 2 9 3" xfId="10670" xr:uid="{00000000-0005-0000-0000-00007D110000}"/>
    <cellStyle name="Вывод 2 9 4" xfId="14906" xr:uid="{00000000-0005-0000-0000-00007E110000}"/>
    <cellStyle name="Вывод 2 90" xfId="1667" xr:uid="{00000000-0005-0000-0000-00007F110000}"/>
    <cellStyle name="Вывод 2 90 2" xfId="6403" xr:uid="{00000000-0005-0000-0000-000080110000}"/>
    <cellStyle name="Вывод 2 90 3" xfId="10671" xr:uid="{00000000-0005-0000-0000-000081110000}"/>
    <cellStyle name="Вывод 2 90 4" xfId="14907" xr:uid="{00000000-0005-0000-0000-000082110000}"/>
    <cellStyle name="Вывод 2 91" xfId="1668" xr:uid="{00000000-0005-0000-0000-000083110000}"/>
    <cellStyle name="Вывод 2 91 2" xfId="6404" xr:uid="{00000000-0005-0000-0000-000084110000}"/>
    <cellStyle name="Вывод 2 91 3" xfId="10672" xr:uid="{00000000-0005-0000-0000-000085110000}"/>
    <cellStyle name="Вывод 2 91 4" xfId="14908" xr:uid="{00000000-0005-0000-0000-000086110000}"/>
    <cellStyle name="Вывод 2 92" xfId="5187" xr:uid="{00000000-0005-0000-0000-000087110000}"/>
    <cellStyle name="Вывод 2 93" xfId="5256" xr:uid="{00000000-0005-0000-0000-000088110000}"/>
    <cellStyle name="Вывод 2 94" xfId="8810" xr:uid="{00000000-0005-0000-0000-000089110000}"/>
    <cellStyle name="Вывод 3" xfId="234" xr:uid="{00000000-0005-0000-0000-00008A110000}"/>
    <cellStyle name="Вывод 3 10" xfId="1669" xr:uid="{00000000-0005-0000-0000-00008B110000}"/>
    <cellStyle name="Вывод 3 10 2" xfId="6405" xr:uid="{00000000-0005-0000-0000-00008C110000}"/>
    <cellStyle name="Вывод 3 10 3" xfId="10673" xr:uid="{00000000-0005-0000-0000-00008D110000}"/>
    <cellStyle name="Вывод 3 10 4" xfId="14909" xr:uid="{00000000-0005-0000-0000-00008E110000}"/>
    <cellStyle name="Вывод 3 11" xfId="1670" xr:uid="{00000000-0005-0000-0000-00008F110000}"/>
    <cellStyle name="Вывод 3 11 2" xfId="6406" xr:uid="{00000000-0005-0000-0000-000090110000}"/>
    <cellStyle name="Вывод 3 11 3" xfId="10674" xr:uid="{00000000-0005-0000-0000-000091110000}"/>
    <cellStyle name="Вывод 3 11 4" xfId="14910" xr:uid="{00000000-0005-0000-0000-000092110000}"/>
    <cellStyle name="Вывод 3 12" xfId="1671" xr:uid="{00000000-0005-0000-0000-000093110000}"/>
    <cellStyle name="Вывод 3 12 2" xfId="6407" xr:uid="{00000000-0005-0000-0000-000094110000}"/>
    <cellStyle name="Вывод 3 12 3" xfId="10675" xr:uid="{00000000-0005-0000-0000-000095110000}"/>
    <cellStyle name="Вывод 3 12 4" xfId="14911" xr:uid="{00000000-0005-0000-0000-000096110000}"/>
    <cellStyle name="Вывод 3 13" xfId="1672" xr:uid="{00000000-0005-0000-0000-000097110000}"/>
    <cellStyle name="Вывод 3 13 2" xfId="6408" xr:uid="{00000000-0005-0000-0000-000098110000}"/>
    <cellStyle name="Вывод 3 13 3" xfId="10676" xr:uid="{00000000-0005-0000-0000-000099110000}"/>
    <cellStyle name="Вывод 3 13 4" xfId="14912" xr:uid="{00000000-0005-0000-0000-00009A110000}"/>
    <cellStyle name="Вывод 3 14" xfId="1673" xr:uid="{00000000-0005-0000-0000-00009B110000}"/>
    <cellStyle name="Вывод 3 14 2" xfId="6409" xr:uid="{00000000-0005-0000-0000-00009C110000}"/>
    <cellStyle name="Вывод 3 14 3" xfId="10677" xr:uid="{00000000-0005-0000-0000-00009D110000}"/>
    <cellStyle name="Вывод 3 14 4" xfId="14913" xr:uid="{00000000-0005-0000-0000-00009E110000}"/>
    <cellStyle name="Вывод 3 15" xfId="1674" xr:uid="{00000000-0005-0000-0000-00009F110000}"/>
    <cellStyle name="Вывод 3 15 2" xfId="6410" xr:uid="{00000000-0005-0000-0000-0000A0110000}"/>
    <cellStyle name="Вывод 3 15 3" xfId="10678" xr:uid="{00000000-0005-0000-0000-0000A1110000}"/>
    <cellStyle name="Вывод 3 15 4" xfId="14914" xr:uid="{00000000-0005-0000-0000-0000A2110000}"/>
    <cellStyle name="Вывод 3 16" xfId="1675" xr:uid="{00000000-0005-0000-0000-0000A3110000}"/>
    <cellStyle name="Вывод 3 16 2" xfId="6411" xr:uid="{00000000-0005-0000-0000-0000A4110000}"/>
    <cellStyle name="Вывод 3 16 3" xfId="10679" xr:uid="{00000000-0005-0000-0000-0000A5110000}"/>
    <cellStyle name="Вывод 3 16 4" xfId="14915" xr:uid="{00000000-0005-0000-0000-0000A6110000}"/>
    <cellStyle name="Вывод 3 17" xfId="1676" xr:uid="{00000000-0005-0000-0000-0000A7110000}"/>
    <cellStyle name="Вывод 3 17 2" xfId="6412" xr:uid="{00000000-0005-0000-0000-0000A8110000}"/>
    <cellStyle name="Вывод 3 17 3" xfId="10680" xr:uid="{00000000-0005-0000-0000-0000A9110000}"/>
    <cellStyle name="Вывод 3 17 4" xfId="14916" xr:uid="{00000000-0005-0000-0000-0000AA110000}"/>
    <cellStyle name="Вывод 3 18" xfId="1677" xr:uid="{00000000-0005-0000-0000-0000AB110000}"/>
    <cellStyle name="Вывод 3 18 2" xfId="6413" xr:uid="{00000000-0005-0000-0000-0000AC110000}"/>
    <cellStyle name="Вывод 3 18 3" xfId="10681" xr:uid="{00000000-0005-0000-0000-0000AD110000}"/>
    <cellStyle name="Вывод 3 18 4" xfId="14917" xr:uid="{00000000-0005-0000-0000-0000AE110000}"/>
    <cellStyle name="Вывод 3 19" xfId="1678" xr:uid="{00000000-0005-0000-0000-0000AF110000}"/>
    <cellStyle name="Вывод 3 19 2" xfId="6414" xr:uid="{00000000-0005-0000-0000-0000B0110000}"/>
    <cellStyle name="Вывод 3 19 3" xfId="10682" xr:uid="{00000000-0005-0000-0000-0000B1110000}"/>
    <cellStyle name="Вывод 3 19 4" xfId="14918" xr:uid="{00000000-0005-0000-0000-0000B2110000}"/>
    <cellStyle name="Вывод 3 2" xfId="1679" xr:uid="{00000000-0005-0000-0000-0000B3110000}"/>
    <cellStyle name="Вывод 3 2 2" xfId="1680" xr:uid="{00000000-0005-0000-0000-0000B4110000}"/>
    <cellStyle name="Вывод 3 2 2 2" xfId="6416" xr:uid="{00000000-0005-0000-0000-0000B5110000}"/>
    <cellStyle name="Вывод 3 2 2 3" xfId="10684" xr:uid="{00000000-0005-0000-0000-0000B6110000}"/>
    <cellStyle name="Вывод 3 2 2 4" xfId="14920" xr:uid="{00000000-0005-0000-0000-0000B7110000}"/>
    <cellStyle name="Вывод 3 2 3" xfId="1681" xr:uid="{00000000-0005-0000-0000-0000B8110000}"/>
    <cellStyle name="Вывод 3 2 3 2" xfId="6417" xr:uid="{00000000-0005-0000-0000-0000B9110000}"/>
    <cellStyle name="Вывод 3 2 3 3" xfId="10685" xr:uid="{00000000-0005-0000-0000-0000BA110000}"/>
    <cellStyle name="Вывод 3 2 3 4" xfId="14921" xr:uid="{00000000-0005-0000-0000-0000BB110000}"/>
    <cellStyle name="Вывод 3 2 4" xfId="6415" xr:uid="{00000000-0005-0000-0000-0000BC110000}"/>
    <cellStyle name="Вывод 3 2 5" xfId="10683" xr:uid="{00000000-0005-0000-0000-0000BD110000}"/>
    <cellStyle name="Вывод 3 2 6" xfId="14919" xr:uid="{00000000-0005-0000-0000-0000BE110000}"/>
    <cellStyle name="Вывод 3 20" xfId="1682" xr:uid="{00000000-0005-0000-0000-0000BF110000}"/>
    <cellStyle name="Вывод 3 20 2" xfId="6418" xr:uid="{00000000-0005-0000-0000-0000C0110000}"/>
    <cellStyle name="Вывод 3 20 3" xfId="10686" xr:uid="{00000000-0005-0000-0000-0000C1110000}"/>
    <cellStyle name="Вывод 3 20 4" xfId="14922" xr:uid="{00000000-0005-0000-0000-0000C2110000}"/>
    <cellStyle name="Вывод 3 21" xfId="1683" xr:uid="{00000000-0005-0000-0000-0000C3110000}"/>
    <cellStyle name="Вывод 3 21 2" xfId="6419" xr:uid="{00000000-0005-0000-0000-0000C4110000}"/>
    <cellStyle name="Вывод 3 21 3" xfId="10687" xr:uid="{00000000-0005-0000-0000-0000C5110000}"/>
    <cellStyle name="Вывод 3 21 4" xfId="14923" xr:uid="{00000000-0005-0000-0000-0000C6110000}"/>
    <cellStyle name="Вывод 3 22" xfId="1684" xr:uid="{00000000-0005-0000-0000-0000C7110000}"/>
    <cellStyle name="Вывод 3 22 2" xfId="6420" xr:uid="{00000000-0005-0000-0000-0000C8110000}"/>
    <cellStyle name="Вывод 3 22 3" xfId="10688" xr:uid="{00000000-0005-0000-0000-0000C9110000}"/>
    <cellStyle name="Вывод 3 22 4" xfId="14924" xr:uid="{00000000-0005-0000-0000-0000CA110000}"/>
    <cellStyle name="Вывод 3 23" xfId="1685" xr:uid="{00000000-0005-0000-0000-0000CB110000}"/>
    <cellStyle name="Вывод 3 23 2" xfId="6421" xr:uid="{00000000-0005-0000-0000-0000CC110000}"/>
    <cellStyle name="Вывод 3 23 3" xfId="10689" xr:uid="{00000000-0005-0000-0000-0000CD110000}"/>
    <cellStyle name="Вывод 3 23 4" xfId="14925" xr:uid="{00000000-0005-0000-0000-0000CE110000}"/>
    <cellStyle name="Вывод 3 24" xfId="1686" xr:uid="{00000000-0005-0000-0000-0000CF110000}"/>
    <cellStyle name="Вывод 3 24 2" xfId="6422" xr:uid="{00000000-0005-0000-0000-0000D0110000}"/>
    <cellStyle name="Вывод 3 24 3" xfId="10690" xr:uid="{00000000-0005-0000-0000-0000D1110000}"/>
    <cellStyle name="Вывод 3 24 4" xfId="14926" xr:uid="{00000000-0005-0000-0000-0000D2110000}"/>
    <cellStyle name="Вывод 3 25" xfId="1687" xr:uid="{00000000-0005-0000-0000-0000D3110000}"/>
    <cellStyle name="Вывод 3 25 2" xfId="6423" xr:uid="{00000000-0005-0000-0000-0000D4110000}"/>
    <cellStyle name="Вывод 3 25 3" xfId="10691" xr:uid="{00000000-0005-0000-0000-0000D5110000}"/>
    <cellStyle name="Вывод 3 25 4" xfId="14927" xr:uid="{00000000-0005-0000-0000-0000D6110000}"/>
    <cellStyle name="Вывод 3 26" xfId="1688" xr:uid="{00000000-0005-0000-0000-0000D7110000}"/>
    <cellStyle name="Вывод 3 26 2" xfId="6424" xr:uid="{00000000-0005-0000-0000-0000D8110000}"/>
    <cellStyle name="Вывод 3 26 3" xfId="10692" xr:uid="{00000000-0005-0000-0000-0000D9110000}"/>
    <cellStyle name="Вывод 3 26 4" xfId="14928" xr:uid="{00000000-0005-0000-0000-0000DA110000}"/>
    <cellStyle name="Вывод 3 27" xfId="1689" xr:uid="{00000000-0005-0000-0000-0000DB110000}"/>
    <cellStyle name="Вывод 3 27 2" xfId="6425" xr:uid="{00000000-0005-0000-0000-0000DC110000}"/>
    <cellStyle name="Вывод 3 27 3" xfId="10693" xr:uid="{00000000-0005-0000-0000-0000DD110000}"/>
    <cellStyle name="Вывод 3 27 4" xfId="14929" xr:uid="{00000000-0005-0000-0000-0000DE110000}"/>
    <cellStyle name="Вывод 3 28" xfId="1690" xr:uid="{00000000-0005-0000-0000-0000DF110000}"/>
    <cellStyle name="Вывод 3 28 2" xfId="6426" xr:uid="{00000000-0005-0000-0000-0000E0110000}"/>
    <cellStyle name="Вывод 3 28 3" xfId="10694" xr:uid="{00000000-0005-0000-0000-0000E1110000}"/>
    <cellStyle name="Вывод 3 28 4" xfId="14930" xr:uid="{00000000-0005-0000-0000-0000E2110000}"/>
    <cellStyle name="Вывод 3 29" xfId="1691" xr:uid="{00000000-0005-0000-0000-0000E3110000}"/>
    <cellStyle name="Вывод 3 29 2" xfId="6427" xr:uid="{00000000-0005-0000-0000-0000E4110000}"/>
    <cellStyle name="Вывод 3 29 3" xfId="10695" xr:uid="{00000000-0005-0000-0000-0000E5110000}"/>
    <cellStyle name="Вывод 3 29 4" xfId="14931" xr:uid="{00000000-0005-0000-0000-0000E6110000}"/>
    <cellStyle name="Вывод 3 3" xfId="1692" xr:uid="{00000000-0005-0000-0000-0000E7110000}"/>
    <cellStyle name="Вывод 3 3 2" xfId="1693" xr:uid="{00000000-0005-0000-0000-0000E8110000}"/>
    <cellStyle name="Вывод 3 3 2 2" xfId="6429" xr:uid="{00000000-0005-0000-0000-0000E9110000}"/>
    <cellStyle name="Вывод 3 3 2 3" xfId="10697" xr:uid="{00000000-0005-0000-0000-0000EA110000}"/>
    <cellStyle name="Вывод 3 3 2 4" xfId="14933" xr:uid="{00000000-0005-0000-0000-0000EB110000}"/>
    <cellStyle name="Вывод 3 3 3" xfId="1694" xr:uid="{00000000-0005-0000-0000-0000EC110000}"/>
    <cellStyle name="Вывод 3 3 3 2" xfId="6430" xr:uid="{00000000-0005-0000-0000-0000ED110000}"/>
    <cellStyle name="Вывод 3 3 3 3" xfId="10698" xr:uid="{00000000-0005-0000-0000-0000EE110000}"/>
    <cellStyle name="Вывод 3 3 3 4" xfId="14934" xr:uid="{00000000-0005-0000-0000-0000EF110000}"/>
    <cellStyle name="Вывод 3 3 4" xfId="6428" xr:uid="{00000000-0005-0000-0000-0000F0110000}"/>
    <cellStyle name="Вывод 3 3 5" xfId="10696" xr:uid="{00000000-0005-0000-0000-0000F1110000}"/>
    <cellStyle name="Вывод 3 3 6" xfId="14932" xr:uid="{00000000-0005-0000-0000-0000F2110000}"/>
    <cellStyle name="Вывод 3 30" xfId="1695" xr:uid="{00000000-0005-0000-0000-0000F3110000}"/>
    <cellStyle name="Вывод 3 30 2" xfId="6431" xr:uid="{00000000-0005-0000-0000-0000F4110000}"/>
    <cellStyle name="Вывод 3 30 3" xfId="10699" xr:uid="{00000000-0005-0000-0000-0000F5110000}"/>
    <cellStyle name="Вывод 3 30 4" xfId="14935" xr:uid="{00000000-0005-0000-0000-0000F6110000}"/>
    <cellStyle name="Вывод 3 31" xfId="1696" xr:uid="{00000000-0005-0000-0000-0000F7110000}"/>
    <cellStyle name="Вывод 3 31 2" xfId="6432" xr:uid="{00000000-0005-0000-0000-0000F8110000}"/>
    <cellStyle name="Вывод 3 31 3" xfId="10700" xr:uid="{00000000-0005-0000-0000-0000F9110000}"/>
    <cellStyle name="Вывод 3 31 4" xfId="14936" xr:uid="{00000000-0005-0000-0000-0000FA110000}"/>
    <cellStyle name="Вывод 3 32" xfId="1697" xr:uid="{00000000-0005-0000-0000-0000FB110000}"/>
    <cellStyle name="Вывод 3 32 2" xfId="6433" xr:uid="{00000000-0005-0000-0000-0000FC110000}"/>
    <cellStyle name="Вывод 3 32 3" xfId="10701" xr:uid="{00000000-0005-0000-0000-0000FD110000}"/>
    <cellStyle name="Вывод 3 32 4" xfId="14937" xr:uid="{00000000-0005-0000-0000-0000FE110000}"/>
    <cellStyle name="Вывод 3 33" xfId="1698" xr:uid="{00000000-0005-0000-0000-0000FF110000}"/>
    <cellStyle name="Вывод 3 33 2" xfId="6434" xr:uid="{00000000-0005-0000-0000-000000120000}"/>
    <cellStyle name="Вывод 3 33 3" xfId="10702" xr:uid="{00000000-0005-0000-0000-000001120000}"/>
    <cellStyle name="Вывод 3 33 4" xfId="14938" xr:uid="{00000000-0005-0000-0000-000002120000}"/>
    <cellStyle name="Вывод 3 34" xfId="1699" xr:uid="{00000000-0005-0000-0000-000003120000}"/>
    <cellStyle name="Вывод 3 34 2" xfId="6435" xr:uid="{00000000-0005-0000-0000-000004120000}"/>
    <cellStyle name="Вывод 3 34 3" xfId="10703" xr:uid="{00000000-0005-0000-0000-000005120000}"/>
    <cellStyle name="Вывод 3 34 4" xfId="14939" xr:uid="{00000000-0005-0000-0000-000006120000}"/>
    <cellStyle name="Вывод 3 35" xfId="1700" xr:uid="{00000000-0005-0000-0000-000007120000}"/>
    <cellStyle name="Вывод 3 35 2" xfId="6436" xr:uid="{00000000-0005-0000-0000-000008120000}"/>
    <cellStyle name="Вывод 3 35 3" xfId="10704" xr:uid="{00000000-0005-0000-0000-000009120000}"/>
    <cellStyle name="Вывод 3 35 4" xfId="14940" xr:uid="{00000000-0005-0000-0000-00000A120000}"/>
    <cellStyle name="Вывод 3 36" xfId="1701" xr:uid="{00000000-0005-0000-0000-00000B120000}"/>
    <cellStyle name="Вывод 3 36 2" xfId="6437" xr:uid="{00000000-0005-0000-0000-00000C120000}"/>
    <cellStyle name="Вывод 3 36 3" xfId="10705" xr:uid="{00000000-0005-0000-0000-00000D120000}"/>
    <cellStyle name="Вывод 3 36 4" xfId="14941" xr:uid="{00000000-0005-0000-0000-00000E120000}"/>
    <cellStyle name="Вывод 3 37" xfId="1702" xr:uid="{00000000-0005-0000-0000-00000F120000}"/>
    <cellStyle name="Вывод 3 37 2" xfId="6438" xr:uid="{00000000-0005-0000-0000-000010120000}"/>
    <cellStyle name="Вывод 3 37 3" xfId="10706" xr:uid="{00000000-0005-0000-0000-000011120000}"/>
    <cellStyle name="Вывод 3 37 4" xfId="14942" xr:uid="{00000000-0005-0000-0000-000012120000}"/>
    <cellStyle name="Вывод 3 38" xfId="1703" xr:uid="{00000000-0005-0000-0000-000013120000}"/>
    <cellStyle name="Вывод 3 38 2" xfId="6439" xr:uid="{00000000-0005-0000-0000-000014120000}"/>
    <cellStyle name="Вывод 3 38 3" xfId="10707" xr:uid="{00000000-0005-0000-0000-000015120000}"/>
    <cellStyle name="Вывод 3 38 4" xfId="14943" xr:uid="{00000000-0005-0000-0000-000016120000}"/>
    <cellStyle name="Вывод 3 39" xfId="1704" xr:uid="{00000000-0005-0000-0000-000017120000}"/>
    <cellStyle name="Вывод 3 39 2" xfId="6440" xr:uid="{00000000-0005-0000-0000-000018120000}"/>
    <cellStyle name="Вывод 3 39 3" xfId="10708" xr:uid="{00000000-0005-0000-0000-000019120000}"/>
    <cellStyle name="Вывод 3 39 4" xfId="14944" xr:uid="{00000000-0005-0000-0000-00001A120000}"/>
    <cellStyle name="Вывод 3 4" xfId="1705" xr:uid="{00000000-0005-0000-0000-00001B120000}"/>
    <cellStyle name="Вывод 3 4 2" xfId="1706" xr:uid="{00000000-0005-0000-0000-00001C120000}"/>
    <cellStyle name="Вывод 3 4 2 2" xfId="6442" xr:uid="{00000000-0005-0000-0000-00001D120000}"/>
    <cellStyle name="Вывод 3 4 2 3" xfId="10710" xr:uid="{00000000-0005-0000-0000-00001E120000}"/>
    <cellStyle name="Вывод 3 4 2 4" xfId="14946" xr:uid="{00000000-0005-0000-0000-00001F120000}"/>
    <cellStyle name="Вывод 3 4 3" xfId="1707" xr:uid="{00000000-0005-0000-0000-000020120000}"/>
    <cellStyle name="Вывод 3 4 3 2" xfId="6443" xr:uid="{00000000-0005-0000-0000-000021120000}"/>
    <cellStyle name="Вывод 3 4 3 3" xfId="10711" xr:uid="{00000000-0005-0000-0000-000022120000}"/>
    <cellStyle name="Вывод 3 4 3 4" xfId="14947" xr:uid="{00000000-0005-0000-0000-000023120000}"/>
    <cellStyle name="Вывод 3 4 4" xfId="6441" xr:uid="{00000000-0005-0000-0000-000024120000}"/>
    <cellStyle name="Вывод 3 4 5" xfId="10709" xr:uid="{00000000-0005-0000-0000-000025120000}"/>
    <cellStyle name="Вывод 3 4 6" xfId="14945" xr:uid="{00000000-0005-0000-0000-000026120000}"/>
    <cellStyle name="Вывод 3 40" xfId="1708" xr:uid="{00000000-0005-0000-0000-000027120000}"/>
    <cellStyle name="Вывод 3 40 2" xfId="6444" xr:uid="{00000000-0005-0000-0000-000028120000}"/>
    <cellStyle name="Вывод 3 40 3" xfId="10712" xr:uid="{00000000-0005-0000-0000-000029120000}"/>
    <cellStyle name="Вывод 3 40 4" xfId="14948" xr:uid="{00000000-0005-0000-0000-00002A120000}"/>
    <cellStyle name="Вывод 3 41" xfId="1709" xr:uid="{00000000-0005-0000-0000-00002B120000}"/>
    <cellStyle name="Вывод 3 41 2" xfId="6445" xr:uid="{00000000-0005-0000-0000-00002C120000}"/>
    <cellStyle name="Вывод 3 41 3" xfId="10713" xr:uid="{00000000-0005-0000-0000-00002D120000}"/>
    <cellStyle name="Вывод 3 41 4" xfId="14949" xr:uid="{00000000-0005-0000-0000-00002E120000}"/>
    <cellStyle name="Вывод 3 42" xfId="1710" xr:uid="{00000000-0005-0000-0000-00002F120000}"/>
    <cellStyle name="Вывод 3 42 2" xfId="6446" xr:uid="{00000000-0005-0000-0000-000030120000}"/>
    <cellStyle name="Вывод 3 42 3" xfId="10714" xr:uid="{00000000-0005-0000-0000-000031120000}"/>
    <cellStyle name="Вывод 3 42 4" xfId="14950" xr:uid="{00000000-0005-0000-0000-000032120000}"/>
    <cellStyle name="Вывод 3 43" xfId="1711" xr:uid="{00000000-0005-0000-0000-000033120000}"/>
    <cellStyle name="Вывод 3 43 2" xfId="6447" xr:uid="{00000000-0005-0000-0000-000034120000}"/>
    <cellStyle name="Вывод 3 43 3" xfId="10715" xr:uid="{00000000-0005-0000-0000-000035120000}"/>
    <cellStyle name="Вывод 3 43 4" xfId="14951" xr:uid="{00000000-0005-0000-0000-000036120000}"/>
    <cellStyle name="Вывод 3 44" xfId="1712" xr:uid="{00000000-0005-0000-0000-000037120000}"/>
    <cellStyle name="Вывод 3 44 2" xfId="6448" xr:uid="{00000000-0005-0000-0000-000038120000}"/>
    <cellStyle name="Вывод 3 44 3" xfId="10716" xr:uid="{00000000-0005-0000-0000-000039120000}"/>
    <cellStyle name="Вывод 3 44 4" xfId="14952" xr:uid="{00000000-0005-0000-0000-00003A120000}"/>
    <cellStyle name="Вывод 3 45" xfId="1713" xr:uid="{00000000-0005-0000-0000-00003B120000}"/>
    <cellStyle name="Вывод 3 45 2" xfId="6449" xr:uid="{00000000-0005-0000-0000-00003C120000}"/>
    <cellStyle name="Вывод 3 45 3" xfId="10717" xr:uid="{00000000-0005-0000-0000-00003D120000}"/>
    <cellStyle name="Вывод 3 45 4" xfId="14953" xr:uid="{00000000-0005-0000-0000-00003E120000}"/>
    <cellStyle name="Вывод 3 46" xfId="1714" xr:uid="{00000000-0005-0000-0000-00003F120000}"/>
    <cellStyle name="Вывод 3 46 2" xfId="6450" xr:uid="{00000000-0005-0000-0000-000040120000}"/>
    <cellStyle name="Вывод 3 46 3" xfId="10718" xr:uid="{00000000-0005-0000-0000-000041120000}"/>
    <cellStyle name="Вывод 3 46 4" xfId="14954" xr:uid="{00000000-0005-0000-0000-000042120000}"/>
    <cellStyle name="Вывод 3 47" xfId="1715" xr:uid="{00000000-0005-0000-0000-000043120000}"/>
    <cellStyle name="Вывод 3 47 2" xfId="6451" xr:uid="{00000000-0005-0000-0000-000044120000}"/>
    <cellStyle name="Вывод 3 47 3" xfId="10719" xr:uid="{00000000-0005-0000-0000-000045120000}"/>
    <cellStyle name="Вывод 3 47 4" xfId="14955" xr:uid="{00000000-0005-0000-0000-000046120000}"/>
    <cellStyle name="Вывод 3 48" xfId="1716" xr:uid="{00000000-0005-0000-0000-000047120000}"/>
    <cellStyle name="Вывод 3 48 2" xfId="6452" xr:uid="{00000000-0005-0000-0000-000048120000}"/>
    <cellStyle name="Вывод 3 48 3" xfId="10720" xr:uid="{00000000-0005-0000-0000-000049120000}"/>
    <cellStyle name="Вывод 3 48 4" xfId="14956" xr:uid="{00000000-0005-0000-0000-00004A120000}"/>
    <cellStyle name="Вывод 3 49" xfId="1717" xr:uid="{00000000-0005-0000-0000-00004B120000}"/>
    <cellStyle name="Вывод 3 49 2" xfId="6453" xr:uid="{00000000-0005-0000-0000-00004C120000}"/>
    <cellStyle name="Вывод 3 49 3" xfId="10721" xr:uid="{00000000-0005-0000-0000-00004D120000}"/>
    <cellStyle name="Вывод 3 49 4" xfId="14957" xr:uid="{00000000-0005-0000-0000-00004E120000}"/>
    <cellStyle name="Вывод 3 5" xfId="1718" xr:uid="{00000000-0005-0000-0000-00004F120000}"/>
    <cellStyle name="Вывод 3 5 2" xfId="6454" xr:uid="{00000000-0005-0000-0000-000050120000}"/>
    <cellStyle name="Вывод 3 5 3" xfId="10722" xr:uid="{00000000-0005-0000-0000-000051120000}"/>
    <cellStyle name="Вывод 3 5 4" xfId="14958" xr:uid="{00000000-0005-0000-0000-000052120000}"/>
    <cellStyle name="Вывод 3 50" xfId="1719" xr:uid="{00000000-0005-0000-0000-000053120000}"/>
    <cellStyle name="Вывод 3 50 2" xfId="6455" xr:uid="{00000000-0005-0000-0000-000054120000}"/>
    <cellStyle name="Вывод 3 50 3" xfId="10723" xr:uid="{00000000-0005-0000-0000-000055120000}"/>
    <cellStyle name="Вывод 3 50 4" xfId="14959" xr:uid="{00000000-0005-0000-0000-000056120000}"/>
    <cellStyle name="Вывод 3 51" xfId="1720" xr:uid="{00000000-0005-0000-0000-000057120000}"/>
    <cellStyle name="Вывод 3 51 2" xfId="6456" xr:uid="{00000000-0005-0000-0000-000058120000}"/>
    <cellStyle name="Вывод 3 51 3" xfId="10724" xr:uid="{00000000-0005-0000-0000-000059120000}"/>
    <cellStyle name="Вывод 3 51 4" xfId="14960" xr:uid="{00000000-0005-0000-0000-00005A120000}"/>
    <cellStyle name="Вывод 3 52" xfId="1721" xr:uid="{00000000-0005-0000-0000-00005B120000}"/>
    <cellStyle name="Вывод 3 52 2" xfId="6457" xr:uid="{00000000-0005-0000-0000-00005C120000}"/>
    <cellStyle name="Вывод 3 52 3" xfId="10725" xr:uid="{00000000-0005-0000-0000-00005D120000}"/>
    <cellStyle name="Вывод 3 52 4" xfId="14961" xr:uid="{00000000-0005-0000-0000-00005E120000}"/>
    <cellStyle name="Вывод 3 53" xfId="1722" xr:uid="{00000000-0005-0000-0000-00005F120000}"/>
    <cellStyle name="Вывод 3 53 2" xfId="6458" xr:uid="{00000000-0005-0000-0000-000060120000}"/>
    <cellStyle name="Вывод 3 53 3" xfId="10726" xr:uid="{00000000-0005-0000-0000-000061120000}"/>
    <cellStyle name="Вывод 3 53 4" xfId="14962" xr:uid="{00000000-0005-0000-0000-000062120000}"/>
    <cellStyle name="Вывод 3 54" xfId="1723" xr:uid="{00000000-0005-0000-0000-000063120000}"/>
    <cellStyle name="Вывод 3 54 2" xfId="6459" xr:uid="{00000000-0005-0000-0000-000064120000}"/>
    <cellStyle name="Вывод 3 54 3" xfId="10727" xr:uid="{00000000-0005-0000-0000-000065120000}"/>
    <cellStyle name="Вывод 3 54 4" xfId="14963" xr:uid="{00000000-0005-0000-0000-000066120000}"/>
    <cellStyle name="Вывод 3 55" xfId="1724" xr:uid="{00000000-0005-0000-0000-000067120000}"/>
    <cellStyle name="Вывод 3 55 2" xfId="6460" xr:uid="{00000000-0005-0000-0000-000068120000}"/>
    <cellStyle name="Вывод 3 55 3" xfId="10728" xr:uid="{00000000-0005-0000-0000-000069120000}"/>
    <cellStyle name="Вывод 3 55 4" xfId="14964" xr:uid="{00000000-0005-0000-0000-00006A120000}"/>
    <cellStyle name="Вывод 3 56" xfId="1725" xr:uid="{00000000-0005-0000-0000-00006B120000}"/>
    <cellStyle name="Вывод 3 56 2" xfId="6461" xr:uid="{00000000-0005-0000-0000-00006C120000}"/>
    <cellStyle name="Вывод 3 56 3" xfId="10729" xr:uid="{00000000-0005-0000-0000-00006D120000}"/>
    <cellStyle name="Вывод 3 56 4" xfId="14965" xr:uid="{00000000-0005-0000-0000-00006E120000}"/>
    <cellStyle name="Вывод 3 57" xfId="1726" xr:uid="{00000000-0005-0000-0000-00006F120000}"/>
    <cellStyle name="Вывод 3 57 2" xfId="6462" xr:uid="{00000000-0005-0000-0000-000070120000}"/>
    <cellStyle name="Вывод 3 57 3" xfId="10730" xr:uid="{00000000-0005-0000-0000-000071120000}"/>
    <cellStyle name="Вывод 3 57 4" xfId="14966" xr:uid="{00000000-0005-0000-0000-000072120000}"/>
    <cellStyle name="Вывод 3 58" xfId="1727" xr:uid="{00000000-0005-0000-0000-000073120000}"/>
    <cellStyle name="Вывод 3 58 2" xfId="6463" xr:uid="{00000000-0005-0000-0000-000074120000}"/>
    <cellStyle name="Вывод 3 58 3" xfId="10731" xr:uid="{00000000-0005-0000-0000-000075120000}"/>
    <cellStyle name="Вывод 3 58 4" xfId="14967" xr:uid="{00000000-0005-0000-0000-000076120000}"/>
    <cellStyle name="Вывод 3 59" xfId="1728" xr:uid="{00000000-0005-0000-0000-000077120000}"/>
    <cellStyle name="Вывод 3 59 2" xfId="6464" xr:uid="{00000000-0005-0000-0000-000078120000}"/>
    <cellStyle name="Вывод 3 59 3" xfId="10732" xr:uid="{00000000-0005-0000-0000-000079120000}"/>
    <cellStyle name="Вывод 3 59 4" xfId="14968" xr:uid="{00000000-0005-0000-0000-00007A120000}"/>
    <cellStyle name="Вывод 3 6" xfId="1729" xr:uid="{00000000-0005-0000-0000-00007B120000}"/>
    <cellStyle name="Вывод 3 6 2" xfId="6465" xr:uid="{00000000-0005-0000-0000-00007C120000}"/>
    <cellStyle name="Вывод 3 6 3" xfId="10733" xr:uid="{00000000-0005-0000-0000-00007D120000}"/>
    <cellStyle name="Вывод 3 6 4" xfId="14969" xr:uid="{00000000-0005-0000-0000-00007E120000}"/>
    <cellStyle name="Вывод 3 60" xfId="1730" xr:uid="{00000000-0005-0000-0000-00007F120000}"/>
    <cellStyle name="Вывод 3 60 2" xfId="6466" xr:uid="{00000000-0005-0000-0000-000080120000}"/>
    <cellStyle name="Вывод 3 60 3" xfId="10734" xr:uid="{00000000-0005-0000-0000-000081120000}"/>
    <cellStyle name="Вывод 3 60 4" xfId="14970" xr:uid="{00000000-0005-0000-0000-000082120000}"/>
    <cellStyle name="Вывод 3 61" xfId="1731" xr:uid="{00000000-0005-0000-0000-000083120000}"/>
    <cellStyle name="Вывод 3 61 2" xfId="6467" xr:uid="{00000000-0005-0000-0000-000084120000}"/>
    <cellStyle name="Вывод 3 61 3" xfId="10735" xr:uid="{00000000-0005-0000-0000-000085120000}"/>
    <cellStyle name="Вывод 3 61 4" xfId="14971" xr:uid="{00000000-0005-0000-0000-000086120000}"/>
    <cellStyle name="Вывод 3 62" xfId="1732" xr:uid="{00000000-0005-0000-0000-000087120000}"/>
    <cellStyle name="Вывод 3 62 2" xfId="6468" xr:uid="{00000000-0005-0000-0000-000088120000}"/>
    <cellStyle name="Вывод 3 62 3" xfId="10736" xr:uid="{00000000-0005-0000-0000-000089120000}"/>
    <cellStyle name="Вывод 3 62 4" xfId="14972" xr:uid="{00000000-0005-0000-0000-00008A120000}"/>
    <cellStyle name="Вывод 3 63" xfId="1733" xr:uid="{00000000-0005-0000-0000-00008B120000}"/>
    <cellStyle name="Вывод 3 63 2" xfId="6469" xr:uid="{00000000-0005-0000-0000-00008C120000}"/>
    <cellStyle name="Вывод 3 63 3" xfId="10737" xr:uid="{00000000-0005-0000-0000-00008D120000}"/>
    <cellStyle name="Вывод 3 63 4" xfId="14973" xr:uid="{00000000-0005-0000-0000-00008E120000}"/>
    <cellStyle name="Вывод 3 64" xfId="1734" xr:uid="{00000000-0005-0000-0000-00008F120000}"/>
    <cellStyle name="Вывод 3 64 2" xfId="6470" xr:uid="{00000000-0005-0000-0000-000090120000}"/>
    <cellStyle name="Вывод 3 64 3" xfId="10738" xr:uid="{00000000-0005-0000-0000-000091120000}"/>
    <cellStyle name="Вывод 3 64 4" xfId="14974" xr:uid="{00000000-0005-0000-0000-000092120000}"/>
    <cellStyle name="Вывод 3 65" xfId="1735" xr:uid="{00000000-0005-0000-0000-000093120000}"/>
    <cellStyle name="Вывод 3 65 2" xfId="6471" xr:uid="{00000000-0005-0000-0000-000094120000}"/>
    <cellStyle name="Вывод 3 65 3" xfId="10739" xr:uid="{00000000-0005-0000-0000-000095120000}"/>
    <cellStyle name="Вывод 3 65 4" xfId="14975" xr:uid="{00000000-0005-0000-0000-000096120000}"/>
    <cellStyle name="Вывод 3 66" xfId="1736" xr:uid="{00000000-0005-0000-0000-000097120000}"/>
    <cellStyle name="Вывод 3 66 2" xfId="6472" xr:uid="{00000000-0005-0000-0000-000098120000}"/>
    <cellStyle name="Вывод 3 66 3" xfId="10740" xr:uid="{00000000-0005-0000-0000-000099120000}"/>
    <cellStyle name="Вывод 3 66 4" xfId="14976" xr:uid="{00000000-0005-0000-0000-00009A120000}"/>
    <cellStyle name="Вывод 3 67" xfId="1737" xr:uid="{00000000-0005-0000-0000-00009B120000}"/>
    <cellStyle name="Вывод 3 67 2" xfId="6473" xr:uid="{00000000-0005-0000-0000-00009C120000}"/>
    <cellStyle name="Вывод 3 67 3" xfId="10741" xr:uid="{00000000-0005-0000-0000-00009D120000}"/>
    <cellStyle name="Вывод 3 67 4" xfId="14977" xr:uid="{00000000-0005-0000-0000-00009E120000}"/>
    <cellStyle name="Вывод 3 68" xfId="1738" xr:uid="{00000000-0005-0000-0000-00009F120000}"/>
    <cellStyle name="Вывод 3 68 2" xfId="6474" xr:uid="{00000000-0005-0000-0000-0000A0120000}"/>
    <cellStyle name="Вывод 3 68 3" xfId="10742" xr:uid="{00000000-0005-0000-0000-0000A1120000}"/>
    <cellStyle name="Вывод 3 68 4" xfId="14978" xr:uid="{00000000-0005-0000-0000-0000A2120000}"/>
    <cellStyle name="Вывод 3 69" xfId="1739" xr:uid="{00000000-0005-0000-0000-0000A3120000}"/>
    <cellStyle name="Вывод 3 69 2" xfId="6475" xr:uid="{00000000-0005-0000-0000-0000A4120000}"/>
    <cellStyle name="Вывод 3 69 3" xfId="10743" xr:uid="{00000000-0005-0000-0000-0000A5120000}"/>
    <cellStyle name="Вывод 3 69 4" xfId="14979" xr:uid="{00000000-0005-0000-0000-0000A6120000}"/>
    <cellStyle name="Вывод 3 7" xfId="1740" xr:uid="{00000000-0005-0000-0000-0000A7120000}"/>
    <cellStyle name="Вывод 3 7 2" xfId="6476" xr:uid="{00000000-0005-0000-0000-0000A8120000}"/>
    <cellStyle name="Вывод 3 7 3" xfId="10744" xr:uid="{00000000-0005-0000-0000-0000A9120000}"/>
    <cellStyle name="Вывод 3 7 4" xfId="14980" xr:uid="{00000000-0005-0000-0000-0000AA120000}"/>
    <cellStyle name="Вывод 3 70" xfId="1741" xr:uid="{00000000-0005-0000-0000-0000AB120000}"/>
    <cellStyle name="Вывод 3 70 2" xfId="6477" xr:uid="{00000000-0005-0000-0000-0000AC120000}"/>
    <cellStyle name="Вывод 3 70 3" xfId="10745" xr:uid="{00000000-0005-0000-0000-0000AD120000}"/>
    <cellStyle name="Вывод 3 70 4" xfId="14981" xr:uid="{00000000-0005-0000-0000-0000AE120000}"/>
    <cellStyle name="Вывод 3 71" xfId="1742" xr:uid="{00000000-0005-0000-0000-0000AF120000}"/>
    <cellStyle name="Вывод 3 71 2" xfId="6478" xr:uid="{00000000-0005-0000-0000-0000B0120000}"/>
    <cellStyle name="Вывод 3 71 3" xfId="10746" xr:uid="{00000000-0005-0000-0000-0000B1120000}"/>
    <cellStyle name="Вывод 3 71 4" xfId="14982" xr:uid="{00000000-0005-0000-0000-0000B2120000}"/>
    <cellStyle name="Вывод 3 72" xfId="1743" xr:uid="{00000000-0005-0000-0000-0000B3120000}"/>
    <cellStyle name="Вывод 3 72 2" xfId="6479" xr:uid="{00000000-0005-0000-0000-0000B4120000}"/>
    <cellStyle name="Вывод 3 72 3" xfId="10747" xr:uid="{00000000-0005-0000-0000-0000B5120000}"/>
    <cellStyle name="Вывод 3 72 4" xfId="14983" xr:uid="{00000000-0005-0000-0000-0000B6120000}"/>
    <cellStyle name="Вывод 3 73" xfId="1744" xr:uid="{00000000-0005-0000-0000-0000B7120000}"/>
    <cellStyle name="Вывод 3 73 2" xfId="6480" xr:uid="{00000000-0005-0000-0000-0000B8120000}"/>
    <cellStyle name="Вывод 3 73 3" xfId="10748" xr:uid="{00000000-0005-0000-0000-0000B9120000}"/>
    <cellStyle name="Вывод 3 73 4" xfId="14984" xr:uid="{00000000-0005-0000-0000-0000BA120000}"/>
    <cellStyle name="Вывод 3 74" xfId="1745" xr:uid="{00000000-0005-0000-0000-0000BB120000}"/>
    <cellStyle name="Вывод 3 74 2" xfId="6481" xr:uid="{00000000-0005-0000-0000-0000BC120000}"/>
    <cellStyle name="Вывод 3 74 3" xfId="10749" xr:uid="{00000000-0005-0000-0000-0000BD120000}"/>
    <cellStyle name="Вывод 3 74 4" xfId="14985" xr:uid="{00000000-0005-0000-0000-0000BE120000}"/>
    <cellStyle name="Вывод 3 75" xfId="1746" xr:uid="{00000000-0005-0000-0000-0000BF120000}"/>
    <cellStyle name="Вывод 3 75 2" xfId="6482" xr:uid="{00000000-0005-0000-0000-0000C0120000}"/>
    <cellStyle name="Вывод 3 75 3" xfId="10750" xr:uid="{00000000-0005-0000-0000-0000C1120000}"/>
    <cellStyle name="Вывод 3 75 4" xfId="14986" xr:uid="{00000000-0005-0000-0000-0000C2120000}"/>
    <cellStyle name="Вывод 3 76" xfId="1747" xr:uid="{00000000-0005-0000-0000-0000C3120000}"/>
    <cellStyle name="Вывод 3 76 2" xfId="6483" xr:uid="{00000000-0005-0000-0000-0000C4120000}"/>
    <cellStyle name="Вывод 3 76 3" xfId="10751" xr:uid="{00000000-0005-0000-0000-0000C5120000}"/>
    <cellStyle name="Вывод 3 76 4" xfId="14987" xr:uid="{00000000-0005-0000-0000-0000C6120000}"/>
    <cellStyle name="Вывод 3 77" xfId="1748" xr:uid="{00000000-0005-0000-0000-0000C7120000}"/>
    <cellStyle name="Вывод 3 77 2" xfId="6484" xr:uid="{00000000-0005-0000-0000-0000C8120000}"/>
    <cellStyle name="Вывод 3 77 3" xfId="10752" xr:uid="{00000000-0005-0000-0000-0000C9120000}"/>
    <cellStyle name="Вывод 3 77 4" xfId="14988" xr:uid="{00000000-0005-0000-0000-0000CA120000}"/>
    <cellStyle name="Вывод 3 78" xfId="1749" xr:uid="{00000000-0005-0000-0000-0000CB120000}"/>
    <cellStyle name="Вывод 3 78 2" xfId="6485" xr:uid="{00000000-0005-0000-0000-0000CC120000}"/>
    <cellStyle name="Вывод 3 78 3" xfId="10753" xr:uid="{00000000-0005-0000-0000-0000CD120000}"/>
    <cellStyle name="Вывод 3 78 4" xfId="14989" xr:uid="{00000000-0005-0000-0000-0000CE120000}"/>
    <cellStyle name="Вывод 3 79" xfId="1750" xr:uid="{00000000-0005-0000-0000-0000CF120000}"/>
    <cellStyle name="Вывод 3 79 2" xfId="6486" xr:uid="{00000000-0005-0000-0000-0000D0120000}"/>
    <cellStyle name="Вывод 3 79 3" xfId="10754" xr:uid="{00000000-0005-0000-0000-0000D1120000}"/>
    <cellStyle name="Вывод 3 79 4" xfId="14990" xr:uid="{00000000-0005-0000-0000-0000D2120000}"/>
    <cellStyle name="Вывод 3 8" xfId="1751" xr:uid="{00000000-0005-0000-0000-0000D3120000}"/>
    <cellStyle name="Вывод 3 8 2" xfId="6487" xr:uid="{00000000-0005-0000-0000-0000D4120000}"/>
    <cellStyle name="Вывод 3 8 3" xfId="10755" xr:uid="{00000000-0005-0000-0000-0000D5120000}"/>
    <cellStyle name="Вывод 3 8 4" xfId="14991" xr:uid="{00000000-0005-0000-0000-0000D6120000}"/>
    <cellStyle name="Вывод 3 80" xfId="1752" xr:uid="{00000000-0005-0000-0000-0000D7120000}"/>
    <cellStyle name="Вывод 3 80 2" xfId="6488" xr:uid="{00000000-0005-0000-0000-0000D8120000}"/>
    <cellStyle name="Вывод 3 80 3" xfId="10756" xr:uid="{00000000-0005-0000-0000-0000D9120000}"/>
    <cellStyle name="Вывод 3 80 4" xfId="14992" xr:uid="{00000000-0005-0000-0000-0000DA120000}"/>
    <cellStyle name="Вывод 3 81" xfId="1753" xr:uid="{00000000-0005-0000-0000-0000DB120000}"/>
    <cellStyle name="Вывод 3 81 2" xfId="6489" xr:uid="{00000000-0005-0000-0000-0000DC120000}"/>
    <cellStyle name="Вывод 3 81 3" xfId="10757" xr:uid="{00000000-0005-0000-0000-0000DD120000}"/>
    <cellStyle name="Вывод 3 81 4" xfId="14993" xr:uid="{00000000-0005-0000-0000-0000DE120000}"/>
    <cellStyle name="Вывод 3 82" xfId="1754" xr:uid="{00000000-0005-0000-0000-0000DF120000}"/>
    <cellStyle name="Вывод 3 82 2" xfId="6490" xr:uid="{00000000-0005-0000-0000-0000E0120000}"/>
    <cellStyle name="Вывод 3 82 3" xfId="10758" xr:uid="{00000000-0005-0000-0000-0000E1120000}"/>
    <cellStyle name="Вывод 3 82 4" xfId="14994" xr:uid="{00000000-0005-0000-0000-0000E2120000}"/>
    <cellStyle name="Вывод 3 83" xfId="1755" xr:uid="{00000000-0005-0000-0000-0000E3120000}"/>
    <cellStyle name="Вывод 3 83 2" xfId="6491" xr:uid="{00000000-0005-0000-0000-0000E4120000}"/>
    <cellStyle name="Вывод 3 83 3" xfId="10759" xr:uid="{00000000-0005-0000-0000-0000E5120000}"/>
    <cellStyle name="Вывод 3 83 4" xfId="14995" xr:uid="{00000000-0005-0000-0000-0000E6120000}"/>
    <cellStyle name="Вывод 3 84" xfId="1756" xr:uid="{00000000-0005-0000-0000-0000E7120000}"/>
    <cellStyle name="Вывод 3 84 2" xfId="6492" xr:uid="{00000000-0005-0000-0000-0000E8120000}"/>
    <cellStyle name="Вывод 3 84 3" xfId="10760" xr:uid="{00000000-0005-0000-0000-0000E9120000}"/>
    <cellStyle name="Вывод 3 84 4" xfId="14996" xr:uid="{00000000-0005-0000-0000-0000EA120000}"/>
    <cellStyle name="Вывод 3 85" xfId="1757" xr:uid="{00000000-0005-0000-0000-0000EB120000}"/>
    <cellStyle name="Вывод 3 85 2" xfId="6493" xr:uid="{00000000-0005-0000-0000-0000EC120000}"/>
    <cellStyle name="Вывод 3 85 3" xfId="10761" xr:uid="{00000000-0005-0000-0000-0000ED120000}"/>
    <cellStyle name="Вывод 3 85 4" xfId="14997" xr:uid="{00000000-0005-0000-0000-0000EE120000}"/>
    <cellStyle name="Вывод 3 86" xfId="1758" xr:uid="{00000000-0005-0000-0000-0000EF120000}"/>
    <cellStyle name="Вывод 3 86 2" xfId="6494" xr:uid="{00000000-0005-0000-0000-0000F0120000}"/>
    <cellStyle name="Вывод 3 86 3" xfId="10762" xr:uid="{00000000-0005-0000-0000-0000F1120000}"/>
    <cellStyle name="Вывод 3 86 4" xfId="14998" xr:uid="{00000000-0005-0000-0000-0000F2120000}"/>
    <cellStyle name="Вывод 3 87" xfId="1759" xr:uid="{00000000-0005-0000-0000-0000F3120000}"/>
    <cellStyle name="Вывод 3 87 2" xfId="6495" xr:uid="{00000000-0005-0000-0000-0000F4120000}"/>
    <cellStyle name="Вывод 3 87 3" xfId="10763" xr:uid="{00000000-0005-0000-0000-0000F5120000}"/>
    <cellStyle name="Вывод 3 87 4" xfId="14999" xr:uid="{00000000-0005-0000-0000-0000F6120000}"/>
    <cellStyle name="Вывод 3 88" xfId="1760" xr:uid="{00000000-0005-0000-0000-0000F7120000}"/>
    <cellStyle name="Вывод 3 88 2" xfId="6496" xr:uid="{00000000-0005-0000-0000-0000F8120000}"/>
    <cellStyle name="Вывод 3 88 3" xfId="10764" xr:uid="{00000000-0005-0000-0000-0000F9120000}"/>
    <cellStyle name="Вывод 3 88 4" xfId="15000" xr:uid="{00000000-0005-0000-0000-0000FA120000}"/>
    <cellStyle name="Вывод 3 89" xfId="1761" xr:uid="{00000000-0005-0000-0000-0000FB120000}"/>
    <cellStyle name="Вывод 3 89 2" xfId="6497" xr:uid="{00000000-0005-0000-0000-0000FC120000}"/>
    <cellStyle name="Вывод 3 89 3" xfId="10765" xr:uid="{00000000-0005-0000-0000-0000FD120000}"/>
    <cellStyle name="Вывод 3 89 4" xfId="15001" xr:uid="{00000000-0005-0000-0000-0000FE120000}"/>
    <cellStyle name="Вывод 3 9" xfId="1762" xr:uid="{00000000-0005-0000-0000-0000FF120000}"/>
    <cellStyle name="Вывод 3 9 2" xfId="6498" xr:uid="{00000000-0005-0000-0000-000000130000}"/>
    <cellStyle name="Вывод 3 9 3" xfId="10766" xr:uid="{00000000-0005-0000-0000-000001130000}"/>
    <cellStyle name="Вывод 3 9 4" xfId="15002" xr:uid="{00000000-0005-0000-0000-000002130000}"/>
    <cellStyle name="Вывод 3 90" xfId="1763" xr:uid="{00000000-0005-0000-0000-000003130000}"/>
    <cellStyle name="Вывод 3 90 2" xfId="6499" xr:uid="{00000000-0005-0000-0000-000004130000}"/>
    <cellStyle name="Вывод 3 90 3" xfId="10767" xr:uid="{00000000-0005-0000-0000-000005130000}"/>
    <cellStyle name="Вывод 3 90 4" xfId="15003" xr:uid="{00000000-0005-0000-0000-000006130000}"/>
    <cellStyle name="Вывод 3 91" xfId="1764" xr:uid="{00000000-0005-0000-0000-000007130000}"/>
    <cellStyle name="Вывод 3 91 2" xfId="6500" xr:uid="{00000000-0005-0000-0000-000008130000}"/>
    <cellStyle name="Вывод 3 91 3" xfId="10768" xr:uid="{00000000-0005-0000-0000-000009130000}"/>
    <cellStyle name="Вывод 3 91 4" xfId="15004" xr:uid="{00000000-0005-0000-0000-00000A130000}"/>
    <cellStyle name="Вывод 3 92" xfId="5188" xr:uid="{00000000-0005-0000-0000-00000B130000}"/>
    <cellStyle name="Вывод 3 93" xfId="5255" xr:uid="{00000000-0005-0000-0000-00000C130000}"/>
    <cellStyle name="Вывод 3 94" xfId="5345" xr:uid="{00000000-0005-0000-0000-00000D130000}"/>
    <cellStyle name="Вывод 4" xfId="235" xr:uid="{00000000-0005-0000-0000-00000E130000}"/>
    <cellStyle name="Вывод 4 10" xfId="1765" xr:uid="{00000000-0005-0000-0000-00000F130000}"/>
    <cellStyle name="Вывод 4 10 2" xfId="6501" xr:uid="{00000000-0005-0000-0000-000010130000}"/>
    <cellStyle name="Вывод 4 10 3" xfId="10769" xr:uid="{00000000-0005-0000-0000-000011130000}"/>
    <cellStyle name="Вывод 4 10 4" xfId="15005" xr:uid="{00000000-0005-0000-0000-000012130000}"/>
    <cellStyle name="Вывод 4 11" xfId="1766" xr:uid="{00000000-0005-0000-0000-000013130000}"/>
    <cellStyle name="Вывод 4 11 2" xfId="6502" xr:uid="{00000000-0005-0000-0000-000014130000}"/>
    <cellStyle name="Вывод 4 11 3" xfId="10770" xr:uid="{00000000-0005-0000-0000-000015130000}"/>
    <cellStyle name="Вывод 4 11 4" xfId="15006" xr:uid="{00000000-0005-0000-0000-000016130000}"/>
    <cellStyle name="Вывод 4 12" xfId="1767" xr:uid="{00000000-0005-0000-0000-000017130000}"/>
    <cellStyle name="Вывод 4 12 2" xfId="6503" xr:uid="{00000000-0005-0000-0000-000018130000}"/>
    <cellStyle name="Вывод 4 12 3" xfId="10771" xr:uid="{00000000-0005-0000-0000-000019130000}"/>
    <cellStyle name="Вывод 4 12 4" xfId="15007" xr:uid="{00000000-0005-0000-0000-00001A130000}"/>
    <cellStyle name="Вывод 4 13" xfId="1768" xr:uid="{00000000-0005-0000-0000-00001B130000}"/>
    <cellStyle name="Вывод 4 13 2" xfId="6504" xr:uid="{00000000-0005-0000-0000-00001C130000}"/>
    <cellStyle name="Вывод 4 13 3" xfId="10772" xr:uid="{00000000-0005-0000-0000-00001D130000}"/>
    <cellStyle name="Вывод 4 13 4" xfId="15008" xr:uid="{00000000-0005-0000-0000-00001E130000}"/>
    <cellStyle name="Вывод 4 14" xfId="1769" xr:uid="{00000000-0005-0000-0000-00001F130000}"/>
    <cellStyle name="Вывод 4 14 2" xfId="6505" xr:uid="{00000000-0005-0000-0000-000020130000}"/>
    <cellStyle name="Вывод 4 14 3" xfId="10773" xr:uid="{00000000-0005-0000-0000-000021130000}"/>
    <cellStyle name="Вывод 4 14 4" xfId="15009" xr:uid="{00000000-0005-0000-0000-000022130000}"/>
    <cellStyle name="Вывод 4 15" xfId="1770" xr:uid="{00000000-0005-0000-0000-000023130000}"/>
    <cellStyle name="Вывод 4 15 2" xfId="6506" xr:uid="{00000000-0005-0000-0000-000024130000}"/>
    <cellStyle name="Вывод 4 15 3" xfId="10774" xr:uid="{00000000-0005-0000-0000-000025130000}"/>
    <cellStyle name="Вывод 4 15 4" xfId="15010" xr:uid="{00000000-0005-0000-0000-000026130000}"/>
    <cellStyle name="Вывод 4 16" xfId="1771" xr:uid="{00000000-0005-0000-0000-000027130000}"/>
    <cellStyle name="Вывод 4 16 2" xfId="6507" xr:uid="{00000000-0005-0000-0000-000028130000}"/>
    <cellStyle name="Вывод 4 16 3" xfId="10775" xr:uid="{00000000-0005-0000-0000-000029130000}"/>
    <cellStyle name="Вывод 4 16 4" xfId="15011" xr:uid="{00000000-0005-0000-0000-00002A130000}"/>
    <cellStyle name="Вывод 4 17" xfId="1772" xr:uid="{00000000-0005-0000-0000-00002B130000}"/>
    <cellStyle name="Вывод 4 17 2" xfId="6508" xr:uid="{00000000-0005-0000-0000-00002C130000}"/>
    <cellStyle name="Вывод 4 17 3" xfId="10776" xr:uid="{00000000-0005-0000-0000-00002D130000}"/>
    <cellStyle name="Вывод 4 17 4" xfId="15012" xr:uid="{00000000-0005-0000-0000-00002E130000}"/>
    <cellStyle name="Вывод 4 18" xfId="1773" xr:uid="{00000000-0005-0000-0000-00002F130000}"/>
    <cellStyle name="Вывод 4 18 2" xfId="6509" xr:uid="{00000000-0005-0000-0000-000030130000}"/>
    <cellStyle name="Вывод 4 18 3" xfId="10777" xr:uid="{00000000-0005-0000-0000-000031130000}"/>
    <cellStyle name="Вывод 4 18 4" xfId="15013" xr:uid="{00000000-0005-0000-0000-000032130000}"/>
    <cellStyle name="Вывод 4 19" xfId="1774" xr:uid="{00000000-0005-0000-0000-000033130000}"/>
    <cellStyle name="Вывод 4 19 2" xfId="6510" xr:uid="{00000000-0005-0000-0000-000034130000}"/>
    <cellStyle name="Вывод 4 19 3" xfId="10778" xr:uid="{00000000-0005-0000-0000-000035130000}"/>
    <cellStyle name="Вывод 4 19 4" xfId="15014" xr:uid="{00000000-0005-0000-0000-000036130000}"/>
    <cellStyle name="Вывод 4 2" xfId="1775" xr:uid="{00000000-0005-0000-0000-000037130000}"/>
    <cellStyle name="Вывод 4 2 2" xfId="1776" xr:uid="{00000000-0005-0000-0000-000038130000}"/>
    <cellStyle name="Вывод 4 2 2 2" xfId="6512" xr:uid="{00000000-0005-0000-0000-000039130000}"/>
    <cellStyle name="Вывод 4 2 2 3" xfId="10780" xr:uid="{00000000-0005-0000-0000-00003A130000}"/>
    <cellStyle name="Вывод 4 2 2 4" xfId="15016" xr:uid="{00000000-0005-0000-0000-00003B130000}"/>
    <cellStyle name="Вывод 4 2 3" xfId="1777" xr:uid="{00000000-0005-0000-0000-00003C130000}"/>
    <cellStyle name="Вывод 4 2 3 2" xfId="6513" xr:uid="{00000000-0005-0000-0000-00003D130000}"/>
    <cellStyle name="Вывод 4 2 3 3" xfId="10781" xr:uid="{00000000-0005-0000-0000-00003E130000}"/>
    <cellStyle name="Вывод 4 2 3 4" xfId="15017" xr:uid="{00000000-0005-0000-0000-00003F130000}"/>
    <cellStyle name="Вывод 4 2 4" xfId="6511" xr:uid="{00000000-0005-0000-0000-000040130000}"/>
    <cellStyle name="Вывод 4 2 5" xfId="10779" xr:uid="{00000000-0005-0000-0000-000041130000}"/>
    <cellStyle name="Вывод 4 2 6" xfId="15015" xr:uid="{00000000-0005-0000-0000-000042130000}"/>
    <cellStyle name="Вывод 4 20" xfId="1778" xr:uid="{00000000-0005-0000-0000-000043130000}"/>
    <cellStyle name="Вывод 4 20 2" xfId="6514" xr:uid="{00000000-0005-0000-0000-000044130000}"/>
    <cellStyle name="Вывод 4 20 3" xfId="10782" xr:uid="{00000000-0005-0000-0000-000045130000}"/>
    <cellStyle name="Вывод 4 20 4" xfId="15018" xr:uid="{00000000-0005-0000-0000-000046130000}"/>
    <cellStyle name="Вывод 4 21" xfId="1779" xr:uid="{00000000-0005-0000-0000-000047130000}"/>
    <cellStyle name="Вывод 4 21 2" xfId="6515" xr:uid="{00000000-0005-0000-0000-000048130000}"/>
    <cellStyle name="Вывод 4 21 3" xfId="10783" xr:uid="{00000000-0005-0000-0000-000049130000}"/>
    <cellStyle name="Вывод 4 21 4" xfId="15019" xr:uid="{00000000-0005-0000-0000-00004A130000}"/>
    <cellStyle name="Вывод 4 22" xfId="1780" xr:uid="{00000000-0005-0000-0000-00004B130000}"/>
    <cellStyle name="Вывод 4 22 2" xfId="6516" xr:uid="{00000000-0005-0000-0000-00004C130000}"/>
    <cellStyle name="Вывод 4 22 3" xfId="10784" xr:uid="{00000000-0005-0000-0000-00004D130000}"/>
    <cellStyle name="Вывод 4 22 4" xfId="15020" xr:uid="{00000000-0005-0000-0000-00004E130000}"/>
    <cellStyle name="Вывод 4 23" xfId="1781" xr:uid="{00000000-0005-0000-0000-00004F130000}"/>
    <cellStyle name="Вывод 4 23 2" xfId="6517" xr:uid="{00000000-0005-0000-0000-000050130000}"/>
    <cellStyle name="Вывод 4 23 3" xfId="10785" xr:uid="{00000000-0005-0000-0000-000051130000}"/>
    <cellStyle name="Вывод 4 23 4" xfId="15021" xr:uid="{00000000-0005-0000-0000-000052130000}"/>
    <cellStyle name="Вывод 4 24" xfId="1782" xr:uid="{00000000-0005-0000-0000-000053130000}"/>
    <cellStyle name="Вывод 4 24 2" xfId="6518" xr:uid="{00000000-0005-0000-0000-000054130000}"/>
    <cellStyle name="Вывод 4 24 3" xfId="10786" xr:uid="{00000000-0005-0000-0000-000055130000}"/>
    <cellStyle name="Вывод 4 24 4" xfId="15022" xr:uid="{00000000-0005-0000-0000-000056130000}"/>
    <cellStyle name="Вывод 4 25" xfId="1783" xr:uid="{00000000-0005-0000-0000-000057130000}"/>
    <cellStyle name="Вывод 4 25 2" xfId="6519" xr:uid="{00000000-0005-0000-0000-000058130000}"/>
    <cellStyle name="Вывод 4 25 3" xfId="10787" xr:uid="{00000000-0005-0000-0000-000059130000}"/>
    <cellStyle name="Вывод 4 25 4" xfId="15023" xr:uid="{00000000-0005-0000-0000-00005A130000}"/>
    <cellStyle name="Вывод 4 26" xfId="1784" xr:uid="{00000000-0005-0000-0000-00005B130000}"/>
    <cellStyle name="Вывод 4 26 2" xfId="6520" xr:uid="{00000000-0005-0000-0000-00005C130000}"/>
    <cellStyle name="Вывод 4 26 3" xfId="10788" xr:uid="{00000000-0005-0000-0000-00005D130000}"/>
    <cellStyle name="Вывод 4 26 4" xfId="15024" xr:uid="{00000000-0005-0000-0000-00005E130000}"/>
    <cellStyle name="Вывод 4 27" xfId="1785" xr:uid="{00000000-0005-0000-0000-00005F130000}"/>
    <cellStyle name="Вывод 4 27 2" xfId="6521" xr:uid="{00000000-0005-0000-0000-000060130000}"/>
    <cellStyle name="Вывод 4 27 3" xfId="10789" xr:uid="{00000000-0005-0000-0000-000061130000}"/>
    <cellStyle name="Вывод 4 27 4" xfId="15025" xr:uid="{00000000-0005-0000-0000-000062130000}"/>
    <cellStyle name="Вывод 4 28" xfId="1786" xr:uid="{00000000-0005-0000-0000-000063130000}"/>
    <cellStyle name="Вывод 4 28 2" xfId="6522" xr:uid="{00000000-0005-0000-0000-000064130000}"/>
    <cellStyle name="Вывод 4 28 3" xfId="10790" xr:uid="{00000000-0005-0000-0000-000065130000}"/>
    <cellStyle name="Вывод 4 28 4" xfId="15026" xr:uid="{00000000-0005-0000-0000-000066130000}"/>
    <cellStyle name="Вывод 4 29" xfId="1787" xr:uid="{00000000-0005-0000-0000-000067130000}"/>
    <cellStyle name="Вывод 4 29 2" xfId="6523" xr:uid="{00000000-0005-0000-0000-000068130000}"/>
    <cellStyle name="Вывод 4 29 3" xfId="10791" xr:uid="{00000000-0005-0000-0000-000069130000}"/>
    <cellStyle name="Вывод 4 29 4" xfId="15027" xr:uid="{00000000-0005-0000-0000-00006A130000}"/>
    <cellStyle name="Вывод 4 3" xfId="1788" xr:uid="{00000000-0005-0000-0000-00006B130000}"/>
    <cellStyle name="Вывод 4 3 2" xfId="1789" xr:uid="{00000000-0005-0000-0000-00006C130000}"/>
    <cellStyle name="Вывод 4 3 2 2" xfId="6525" xr:uid="{00000000-0005-0000-0000-00006D130000}"/>
    <cellStyle name="Вывод 4 3 2 3" xfId="10793" xr:uid="{00000000-0005-0000-0000-00006E130000}"/>
    <cellStyle name="Вывод 4 3 2 4" xfId="15029" xr:uid="{00000000-0005-0000-0000-00006F130000}"/>
    <cellStyle name="Вывод 4 3 3" xfId="1790" xr:uid="{00000000-0005-0000-0000-000070130000}"/>
    <cellStyle name="Вывод 4 3 3 2" xfId="6526" xr:uid="{00000000-0005-0000-0000-000071130000}"/>
    <cellStyle name="Вывод 4 3 3 3" xfId="10794" xr:uid="{00000000-0005-0000-0000-000072130000}"/>
    <cellStyle name="Вывод 4 3 3 4" xfId="15030" xr:uid="{00000000-0005-0000-0000-000073130000}"/>
    <cellStyle name="Вывод 4 3 4" xfId="6524" xr:uid="{00000000-0005-0000-0000-000074130000}"/>
    <cellStyle name="Вывод 4 3 5" xfId="10792" xr:uid="{00000000-0005-0000-0000-000075130000}"/>
    <cellStyle name="Вывод 4 3 6" xfId="15028" xr:uid="{00000000-0005-0000-0000-000076130000}"/>
    <cellStyle name="Вывод 4 30" xfId="1791" xr:uid="{00000000-0005-0000-0000-000077130000}"/>
    <cellStyle name="Вывод 4 30 2" xfId="6527" xr:uid="{00000000-0005-0000-0000-000078130000}"/>
    <cellStyle name="Вывод 4 30 3" xfId="10795" xr:uid="{00000000-0005-0000-0000-000079130000}"/>
    <cellStyle name="Вывод 4 30 4" xfId="15031" xr:uid="{00000000-0005-0000-0000-00007A130000}"/>
    <cellStyle name="Вывод 4 31" xfId="1792" xr:uid="{00000000-0005-0000-0000-00007B130000}"/>
    <cellStyle name="Вывод 4 31 2" xfId="6528" xr:uid="{00000000-0005-0000-0000-00007C130000}"/>
    <cellStyle name="Вывод 4 31 3" xfId="10796" xr:uid="{00000000-0005-0000-0000-00007D130000}"/>
    <cellStyle name="Вывод 4 31 4" xfId="15032" xr:uid="{00000000-0005-0000-0000-00007E130000}"/>
    <cellStyle name="Вывод 4 32" xfId="1793" xr:uid="{00000000-0005-0000-0000-00007F130000}"/>
    <cellStyle name="Вывод 4 32 2" xfId="6529" xr:uid="{00000000-0005-0000-0000-000080130000}"/>
    <cellStyle name="Вывод 4 32 3" xfId="10797" xr:uid="{00000000-0005-0000-0000-000081130000}"/>
    <cellStyle name="Вывод 4 32 4" xfId="15033" xr:uid="{00000000-0005-0000-0000-000082130000}"/>
    <cellStyle name="Вывод 4 33" xfId="1794" xr:uid="{00000000-0005-0000-0000-000083130000}"/>
    <cellStyle name="Вывод 4 33 2" xfId="6530" xr:uid="{00000000-0005-0000-0000-000084130000}"/>
    <cellStyle name="Вывод 4 33 3" xfId="10798" xr:uid="{00000000-0005-0000-0000-000085130000}"/>
    <cellStyle name="Вывод 4 33 4" xfId="15034" xr:uid="{00000000-0005-0000-0000-000086130000}"/>
    <cellStyle name="Вывод 4 34" xfId="1795" xr:uid="{00000000-0005-0000-0000-000087130000}"/>
    <cellStyle name="Вывод 4 34 2" xfId="6531" xr:uid="{00000000-0005-0000-0000-000088130000}"/>
    <cellStyle name="Вывод 4 34 3" xfId="10799" xr:uid="{00000000-0005-0000-0000-000089130000}"/>
    <cellStyle name="Вывод 4 34 4" xfId="15035" xr:uid="{00000000-0005-0000-0000-00008A130000}"/>
    <cellStyle name="Вывод 4 35" xfId="1796" xr:uid="{00000000-0005-0000-0000-00008B130000}"/>
    <cellStyle name="Вывод 4 35 2" xfId="6532" xr:uid="{00000000-0005-0000-0000-00008C130000}"/>
    <cellStyle name="Вывод 4 35 3" xfId="10800" xr:uid="{00000000-0005-0000-0000-00008D130000}"/>
    <cellStyle name="Вывод 4 35 4" xfId="15036" xr:uid="{00000000-0005-0000-0000-00008E130000}"/>
    <cellStyle name="Вывод 4 36" xfId="1797" xr:uid="{00000000-0005-0000-0000-00008F130000}"/>
    <cellStyle name="Вывод 4 36 2" xfId="6533" xr:uid="{00000000-0005-0000-0000-000090130000}"/>
    <cellStyle name="Вывод 4 36 3" xfId="10801" xr:uid="{00000000-0005-0000-0000-000091130000}"/>
    <cellStyle name="Вывод 4 36 4" xfId="15037" xr:uid="{00000000-0005-0000-0000-000092130000}"/>
    <cellStyle name="Вывод 4 37" xfId="1798" xr:uid="{00000000-0005-0000-0000-000093130000}"/>
    <cellStyle name="Вывод 4 37 2" xfId="6534" xr:uid="{00000000-0005-0000-0000-000094130000}"/>
    <cellStyle name="Вывод 4 37 3" xfId="10802" xr:uid="{00000000-0005-0000-0000-000095130000}"/>
    <cellStyle name="Вывод 4 37 4" xfId="15038" xr:uid="{00000000-0005-0000-0000-000096130000}"/>
    <cellStyle name="Вывод 4 38" xfId="1799" xr:uid="{00000000-0005-0000-0000-000097130000}"/>
    <cellStyle name="Вывод 4 38 2" xfId="6535" xr:uid="{00000000-0005-0000-0000-000098130000}"/>
    <cellStyle name="Вывод 4 38 3" xfId="10803" xr:uid="{00000000-0005-0000-0000-000099130000}"/>
    <cellStyle name="Вывод 4 38 4" xfId="15039" xr:uid="{00000000-0005-0000-0000-00009A130000}"/>
    <cellStyle name="Вывод 4 39" xfId="1800" xr:uid="{00000000-0005-0000-0000-00009B130000}"/>
    <cellStyle name="Вывод 4 39 2" xfId="6536" xr:uid="{00000000-0005-0000-0000-00009C130000}"/>
    <cellStyle name="Вывод 4 39 3" xfId="10804" xr:uid="{00000000-0005-0000-0000-00009D130000}"/>
    <cellStyle name="Вывод 4 39 4" xfId="15040" xr:uid="{00000000-0005-0000-0000-00009E130000}"/>
    <cellStyle name="Вывод 4 4" xfId="1801" xr:uid="{00000000-0005-0000-0000-00009F130000}"/>
    <cellStyle name="Вывод 4 4 2" xfId="1802" xr:uid="{00000000-0005-0000-0000-0000A0130000}"/>
    <cellStyle name="Вывод 4 4 2 2" xfId="6538" xr:uid="{00000000-0005-0000-0000-0000A1130000}"/>
    <cellStyle name="Вывод 4 4 2 3" xfId="10806" xr:uid="{00000000-0005-0000-0000-0000A2130000}"/>
    <cellStyle name="Вывод 4 4 2 4" xfId="15042" xr:uid="{00000000-0005-0000-0000-0000A3130000}"/>
    <cellStyle name="Вывод 4 4 3" xfId="1803" xr:uid="{00000000-0005-0000-0000-0000A4130000}"/>
    <cellStyle name="Вывод 4 4 3 2" xfId="6539" xr:uid="{00000000-0005-0000-0000-0000A5130000}"/>
    <cellStyle name="Вывод 4 4 3 3" xfId="10807" xr:uid="{00000000-0005-0000-0000-0000A6130000}"/>
    <cellStyle name="Вывод 4 4 3 4" xfId="15043" xr:uid="{00000000-0005-0000-0000-0000A7130000}"/>
    <cellStyle name="Вывод 4 4 4" xfId="6537" xr:uid="{00000000-0005-0000-0000-0000A8130000}"/>
    <cellStyle name="Вывод 4 4 5" xfId="10805" xr:uid="{00000000-0005-0000-0000-0000A9130000}"/>
    <cellStyle name="Вывод 4 4 6" xfId="15041" xr:uid="{00000000-0005-0000-0000-0000AA130000}"/>
    <cellStyle name="Вывод 4 40" xfId="1804" xr:uid="{00000000-0005-0000-0000-0000AB130000}"/>
    <cellStyle name="Вывод 4 40 2" xfId="6540" xr:uid="{00000000-0005-0000-0000-0000AC130000}"/>
    <cellStyle name="Вывод 4 40 3" xfId="10808" xr:uid="{00000000-0005-0000-0000-0000AD130000}"/>
    <cellStyle name="Вывод 4 40 4" xfId="15044" xr:uid="{00000000-0005-0000-0000-0000AE130000}"/>
    <cellStyle name="Вывод 4 41" xfId="1805" xr:uid="{00000000-0005-0000-0000-0000AF130000}"/>
    <cellStyle name="Вывод 4 41 2" xfId="6541" xr:uid="{00000000-0005-0000-0000-0000B0130000}"/>
    <cellStyle name="Вывод 4 41 3" xfId="10809" xr:uid="{00000000-0005-0000-0000-0000B1130000}"/>
    <cellStyle name="Вывод 4 41 4" xfId="15045" xr:uid="{00000000-0005-0000-0000-0000B2130000}"/>
    <cellStyle name="Вывод 4 42" xfId="1806" xr:uid="{00000000-0005-0000-0000-0000B3130000}"/>
    <cellStyle name="Вывод 4 42 2" xfId="6542" xr:uid="{00000000-0005-0000-0000-0000B4130000}"/>
    <cellStyle name="Вывод 4 42 3" xfId="10810" xr:uid="{00000000-0005-0000-0000-0000B5130000}"/>
    <cellStyle name="Вывод 4 42 4" xfId="15046" xr:uid="{00000000-0005-0000-0000-0000B6130000}"/>
    <cellStyle name="Вывод 4 43" xfId="1807" xr:uid="{00000000-0005-0000-0000-0000B7130000}"/>
    <cellStyle name="Вывод 4 43 2" xfId="6543" xr:uid="{00000000-0005-0000-0000-0000B8130000}"/>
    <cellStyle name="Вывод 4 43 3" xfId="10811" xr:uid="{00000000-0005-0000-0000-0000B9130000}"/>
    <cellStyle name="Вывод 4 43 4" xfId="15047" xr:uid="{00000000-0005-0000-0000-0000BA130000}"/>
    <cellStyle name="Вывод 4 44" xfId="1808" xr:uid="{00000000-0005-0000-0000-0000BB130000}"/>
    <cellStyle name="Вывод 4 44 2" xfId="6544" xr:uid="{00000000-0005-0000-0000-0000BC130000}"/>
    <cellStyle name="Вывод 4 44 3" xfId="10812" xr:uid="{00000000-0005-0000-0000-0000BD130000}"/>
    <cellStyle name="Вывод 4 44 4" xfId="15048" xr:uid="{00000000-0005-0000-0000-0000BE130000}"/>
    <cellStyle name="Вывод 4 45" xfId="1809" xr:uid="{00000000-0005-0000-0000-0000BF130000}"/>
    <cellStyle name="Вывод 4 45 2" xfId="6545" xr:uid="{00000000-0005-0000-0000-0000C0130000}"/>
    <cellStyle name="Вывод 4 45 3" xfId="10813" xr:uid="{00000000-0005-0000-0000-0000C1130000}"/>
    <cellStyle name="Вывод 4 45 4" xfId="15049" xr:uid="{00000000-0005-0000-0000-0000C2130000}"/>
    <cellStyle name="Вывод 4 46" xfId="1810" xr:uid="{00000000-0005-0000-0000-0000C3130000}"/>
    <cellStyle name="Вывод 4 46 2" xfId="6546" xr:uid="{00000000-0005-0000-0000-0000C4130000}"/>
    <cellStyle name="Вывод 4 46 3" xfId="10814" xr:uid="{00000000-0005-0000-0000-0000C5130000}"/>
    <cellStyle name="Вывод 4 46 4" xfId="15050" xr:uid="{00000000-0005-0000-0000-0000C6130000}"/>
    <cellStyle name="Вывод 4 47" xfId="1811" xr:uid="{00000000-0005-0000-0000-0000C7130000}"/>
    <cellStyle name="Вывод 4 47 2" xfId="6547" xr:uid="{00000000-0005-0000-0000-0000C8130000}"/>
    <cellStyle name="Вывод 4 47 3" xfId="10815" xr:uid="{00000000-0005-0000-0000-0000C9130000}"/>
    <cellStyle name="Вывод 4 47 4" xfId="15051" xr:uid="{00000000-0005-0000-0000-0000CA130000}"/>
    <cellStyle name="Вывод 4 48" xfId="1812" xr:uid="{00000000-0005-0000-0000-0000CB130000}"/>
    <cellStyle name="Вывод 4 48 2" xfId="6548" xr:uid="{00000000-0005-0000-0000-0000CC130000}"/>
    <cellStyle name="Вывод 4 48 3" xfId="10816" xr:uid="{00000000-0005-0000-0000-0000CD130000}"/>
    <cellStyle name="Вывод 4 48 4" xfId="15052" xr:uid="{00000000-0005-0000-0000-0000CE130000}"/>
    <cellStyle name="Вывод 4 49" xfId="1813" xr:uid="{00000000-0005-0000-0000-0000CF130000}"/>
    <cellStyle name="Вывод 4 49 2" xfId="6549" xr:uid="{00000000-0005-0000-0000-0000D0130000}"/>
    <cellStyle name="Вывод 4 49 3" xfId="10817" xr:uid="{00000000-0005-0000-0000-0000D1130000}"/>
    <cellStyle name="Вывод 4 49 4" xfId="15053" xr:uid="{00000000-0005-0000-0000-0000D2130000}"/>
    <cellStyle name="Вывод 4 5" xfId="1814" xr:uid="{00000000-0005-0000-0000-0000D3130000}"/>
    <cellStyle name="Вывод 4 5 2" xfId="6550" xr:uid="{00000000-0005-0000-0000-0000D4130000}"/>
    <cellStyle name="Вывод 4 5 3" xfId="10818" xr:uid="{00000000-0005-0000-0000-0000D5130000}"/>
    <cellStyle name="Вывод 4 5 4" xfId="15054" xr:uid="{00000000-0005-0000-0000-0000D6130000}"/>
    <cellStyle name="Вывод 4 50" xfId="1815" xr:uid="{00000000-0005-0000-0000-0000D7130000}"/>
    <cellStyle name="Вывод 4 50 2" xfId="6551" xr:uid="{00000000-0005-0000-0000-0000D8130000}"/>
    <cellStyle name="Вывод 4 50 3" xfId="10819" xr:uid="{00000000-0005-0000-0000-0000D9130000}"/>
    <cellStyle name="Вывод 4 50 4" xfId="15055" xr:uid="{00000000-0005-0000-0000-0000DA130000}"/>
    <cellStyle name="Вывод 4 51" xfId="1816" xr:uid="{00000000-0005-0000-0000-0000DB130000}"/>
    <cellStyle name="Вывод 4 51 2" xfId="6552" xr:uid="{00000000-0005-0000-0000-0000DC130000}"/>
    <cellStyle name="Вывод 4 51 3" xfId="10820" xr:uid="{00000000-0005-0000-0000-0000DD130000}"/>
    <cellStyle name="Вывод 4 51 4" xfId="15056" xr:uid="{00000000-0005-0000-0000-0000DE130000}"/>
    <cellStyle name="Вывод 4 52" xfId="1817" xr:uid="{00000000-0005-0000-0000-0000DF130000}"/>
    <cellStyle name="Вывод 4 52 2" xfId="6553" xr:uid="{00000000-0005-0000-0000-0000E0130000}"/>
    <cellStyle name="Вывод 4 52 3" xfId="10821" xr:uid="{00000000-0005-0000-0000-0000E1130000}"/>
    <cellStyle name="Вывод 4 52 4" xfId="15057" xr:uid="{00000000-0005-0000-0000-0000E2130000}"/>
    <cellStyle name="Вывод 4 53" xfId="1818" xr:uid="{00000000-0005-0000-0000-0000E3130000}"/>
    <cellStyle name="Вывод 4 53 2" xfId="6554" xr:uid="{00000000-0005-0000-0000-0000E4130000}"/>
    <cellStyle name="Вывод 4 53 3" xfId="10822" xr:uid="{00000000-0005-0000-0000-0000E5130000}"/>
    <cellStyle name="Вывод 4 53 4" xfId="15058" xr:uid="{00000000-0005-0000-0000-0000E6130000}"/>
    <cellStyle name="Вывод 4 54" xfId="1819" xr:uid="{00000000-0005-0000-0000-0000E7130000}"/>
    <cellStyle name="Вывод 4 54 2" xfId="6555" xr:uid="{00000000-0005-0000-0000-0000E8130000}"/>
    <cellStyle name="Вывод 4 54 3" xfId="10823" xr:uid="{00000000-0005-0000-0000-0000E9130000}"/>
    <cellStyle name="Вывод 4 54 4" xfId="15059" xr:uid="{00000000-0005-0000-0000-0000EA130000}"/>
    <cellStyle name="Вывод 4 55" xfId="1820" xr:uid="{00000000-0005-0000-0000-0000EB130000}"/>
    <cellStyle name="Вывод 4 55 2" xfId="6556" xr:uid="{00000000-0005-0000-0000-0000EC130000}"/>
    <cellStyle name="Вывод 4 55 3" xfId="10824" xr:uid="{00000000-0005-0000-0000-0000ED130000}"/>
    <cellStyle name="Вывод 4 55 4" xfId="15060" xr:uid="{00000000-0005-0000-0000-0000EE130000}"/>
    <cellStyle name="Вывод 4 56" xfId="1821" xr:uid="{00000000-0005-0000-0000-0000EF130000}"/>
    <cellStyle name="Вывод 4 56 2" xfId="6557" xr:uid="{00000000-0005-0000-0000-0000F0130000}"/>
    <cellStyle name="Вывод 4 56 3" xfId="10825" xr:uid="{00000000-0005-0000-0000-0000F1130000}"/>
    <cellStyle name="Вывод 4 56 4" xfId="15061" xr:uid="{00000000-0005-0000-0000-0000F2130000}"/>
    <cellStyle name="Вывод 4 57" xfId="1822" xr:uid="{00000000-0005-0000-0000-0000F3130000}"/>
    <cellStyle name="Вывод 4 57 2" xfId="6558" xr:uid="{00000000-0005-0000-0000-0000F4130000}"/>
    <cellStyle name="Вывод 4 57 3" xfId="10826" xr:uid="{00000000-0005-0000-0000-0000F5130000}"/>
    <cellStyle name="Вывод 4 57 4" xfId="15062" xr:uid="{00000000-0005-0000-0000-0000F6130000}"/>
    <cellStyle name="Вывод 4 58" xfId="1823" xr:uid="{00000000-0005-0000-0000-0000F7130000}"/>
    <cellStyle name="Вывод 4 58 2" xfId="6559" xr:uid="{00000000-0005-0000-0000-0000F8130000}"/>
    <cellStyle name="Вывод 4 58 3" xfId="10827" xr:uid="{00000000-0005-0000-0000-0000F9130000}"/>
    <cellStyle name="Вывод 4 58 4" xfId="15063" xr:uid="{00000000-0005-0000-0000-0000FA130000}"/>
    <cellStyle name="Вывод 4 59" xfId="1824" xr:uid="{00000000-0005-0000-0000-0000FB130000}"/>
    <cellStyle name="Вывод 4 59 2" xfId="6560" xr:uid="{00000000-0005-0000-0000-0000FC130000}"/>
    <cellStyle name="Вывод 4 59 3" xfId="10828" xr:uid="{00000000-0005-0000-0000-0000FD130000}"/>
    <cellStyle name="Вывод 4 59 4" xfId="15064" xr:uid="{00000000-0005-0000-0000-0000FE130000}"/>
    <cellStyle name="Вывод 4 6" xfId="1825" xr:uid="{00000000-0005-0000-0000-0000FF130000}"/>
    <cellStyle name="Вывод 4 6 2" xfId="6561" xr:uid="{00000000-0005-0000-0000-000000140000}"/>
    <cellStyle name="Вывод 4 6 3" xfId="10829" xr:uid="{00000000-0005-0000-0000-000001140000}"/>
    <cellStyle name="Вывод 4 6 4" xfId="15065" xr:uid="{00000000-0005-0000-0000-000002140000}"/>
    <cellStyle name="Вывод 4 60" xfId="1826" xr:uid="{00000000-0005-0000-0000-000003140000}"/>
    <cellStyle name="Вывод 4 60 2" xfId="6562" xr:uid="{00000000-0005-0000-0000-000004140000}"/>
    <cellStyle name="Вывод 4 60 3" xfId="10830" xr:uid="{00000000-0005-0000-0000-000005140000}"/>
    <cellStyle name="Вывод 4 60 4" xfId="15066" xr:uid="{00000000-0005-0000-0000-000006140000}"/>
    <cellStyle name="Вывод 4 61" xfId="1827" xr:uid="{00000000-0005-0000-0000-000007140000}"/>
    <cellStyle name="Вывод 4 61 2" xfId="6563" xr:uid="{00000000-0005-0000-0000-000008140000}"/>
    <cellStyle name="Вывод 4 61 3" xfId="10831" xr:uid="{00000000-0005-0000-0000-000009140000}"/>
    <cellStyle name="Вывод 4 61 4" xfId="15067" xr:uid="{00000000-0005-0000-0000-00000A140000}"/>
    <cellStyle name="Вывод 4 62" xfId="1828" xr:uid="{00000000-0005-0000-0000-00000B140000}"/>
    <cellStyle name="Вывод 4 62 2" xfId="6564" xr:uid="{00000000-0005-0000-0000-00000C140000}"/>
    <cellStyle name="Вывод 4 62 3" xfId="10832" xr:uid="{00000000-0005-0000-0000-00000D140000}"/>
    <cellStyle name="Вывод 4 62 4" xfId="15068" xr:uid="{00000000-0005-0000-0000-00000E140000}"/>
    <cellStyle name="Вывод 4 63" xfId="1829" xr:uid="{00000000-0005-0000-0000-00000F140000}"/>
    <cellStyle name="Вывод 4 63 2" xfId="6565" xr:uid="{00000000-0005-0000-0000-000010140000}"/>
    <cellStyle name="Вывод 4 63 3" xfId="10833" xr:uid="{00000000-0005-0000-0000-000011140000}"/>
    <cellStyle name="Вывод 4 63 4" xfId="15069" xr:uid="{00000000-0005-0000-0000-000012140000}"/>
    <cellStyle name="Вывод 4 64" xfId="1830" xr:uid="{00000000-0005-0000-0000-000013140000}"/>
    <cellStyle name="Вывод 4 64 2" xfId="6566" xr:uid="{00000000-0005-0000-0000-000014140000}"/>
    <cellStyle name="Вывод 4 64 3" xfId="10834" xr:uid="{00000000-0005-0000-0000-000015140000}"/>
    <cellStyle name="Вывод 4 64 4" xfId="15070" xr:uid="{00000000-0005-0000-0000-000016140000}"/>
    <cellStyle name="Вывод 4 65" xfId="1831" xr:uid="{00000000-0005-0000-0000-000017140000}"/>
    <cellStyle name="Вывод 4 65 2" xfId="6567" xr:uid="{00000000-0005-0000-0000-000018140000}"/>
    <cellStyle name="Вывод 4 65 3" xfId="10835" xr:uid="{00000000-0005-0000-0000-000019140000}"/>
    <cellStyle name="Вывод 4 65 4" xfId="15071" xr:uid="{00000000-0005-0000-0000-00001A140000}"/>
    <cellStyle name="Вывод 4 66" xfId="1832" xr:uid="{00000000-0005-0000-0000-00001B140000}"/>
    <cellStyle name="Вывод 4 66 2" xfId="6568" xr:uid="{00000000-0005-0000-0000-00001C140000}"/>
    <cellStyle name="Вывод 4 66 3" xfId="10836" xr:uid="{00000000-0005-0000-0000-00001D140000}"/>
    <cellStyle name="Вывод 4 66 4" xfId="15072" xr:uid="{00000000-0005-0000-0000-00001E140000}"/>
    <cellStyle name="Вывод 4 67" xfId="1833" xr:uid="{00000000-0005-0000-0000-00001F140000}"/>
    <cellStyle name="Вывод 4 67 2" xfId="6569" xr:uid="{00000000-0005-0000-0000-000020140000}"/>
    <cellStyle name="Вывод 4 67 3" xfId="10837" xr:uid="{00000000-0005-0000-0000-000021140000}"/>
    <cellStyle name="Вывод 4 67 4" xfId="15073" xr:uid="{00000000-0005-0000-0000-000022140000}"/>
    <cellStyle name="Вывод 4 68" xfId="1834" xr:uid="{00000000-0005-0000-0000-000023140000}"/>
    <cellStyle name="Вывод 4 68 2" xfId="6570" xr:uid="{00000000-0005-0000-0000-000024140000}"/>
    <cellStyle name="Вывод 4 68 3" xfId="10838" xr:uid="{00000000-0005-0000-0000-000025140000}"/>
    <cellStyle name="Вывод 4 68 4" xfId="15074" xr:uid="{00000000-0005-0000-0000-000026140000}"/>
    <cellStyle name="Вывод 4 69" xfId="1835" xr:uid="{00000000-0005-0000-0000-000027140000}"/>
    <cellStyle name="Вывод 4 69 2" xfId="6571" xr:uid="{00000000-0005-0000-0000-000028140000}"/>
    <cellStyle name="Вывод 4 69 3" xfId="10839" xr:uid="{00000000-0005-0000-0000-000029140000}"/>
    <cellStyle name="Вывод 4 69 4" xfId="15075" xr:uid="{00000000-0005-0000-0000-00002A140000}"/>
    <cellStyle name="Вывод 4 7" xfId="1836" xr:uid="{00000000-0005-0000-0000-00002B140000}"/>
    <cellStyle name="Вывод 4 7 2" xfId="6572" xr:uid="{00000000-0005-0000-0000-00002C140000}"/>
    <cellStyle name="Вывод 4 7 3" xfId="10840" xr:uid="{00000000-0005-0000-0000-00002D140000}"/>
    <cellStyle name="Вывод 4 7 4" xfId="15076" xr:uid="{00000000-0005-0000-0000-00002E140000}"/>
    <cellStyle name="Вывод 4 70" xfId="1837" xr:uid="{00000000-0005-0000-0000-00002F140000}"/>
    <cellStyle name="Вывод 4 70 2" xfId="6573" xr:uid="{00000000-0005-0000-0000-000030140000}"/>
    <cellStyle name="Вывод 4 70 3" xfId="10841" xr:uid="{00000000-0005-0000-0000-000031140000}"/>
    <cellStyle name="Вывод 4 70 4" xfId="15077" xr:uid="{00000000-0005-0000-0000-000032140000}"/>
    <cellStyle name="Вывод 4 71" xfId="1838" xr:uid="{00000000-0005-0000-0000-000033140000}"/>
    <cellStyle name="Вывод 4 71 2" xfId="6574" xr:uid="{00000000-0005-0000-0000-000034140000}"/>
    <cellStyle name="Вывод 4 71 3" xfId="10842" xr:uid="{00000000-0005-0000-0000-000035140000}"/>
    <cellStyle name="Вывод 4 71 4" xfId="15078" xr:uid="{00000000-0005-0000-0000-000036140000}"/>
    <cellStyle name="Вывод 4 72" xfId="1839" xr:uid="{00000000-0005-0000-0000-000037140000}"/>
    <cellStyle name="Вывод 4 72 2" xfId="6575" xr:uid="{00000000-0005-0000-0000-000038140000}"/>
    <cellStyle name="Вывод 4 72 3" xfId="10843" xr:uid="{00000000-0005-0000-0000-000039140000}"/>
    <cellStyle name="Вывод 4 72 4" xfId="15079" xr:uid="{00000000-0005-0000-0000-00003A140000}"/>
    <cellStyle name="Вывод 4 73" xfId="1840" xr:uid="{00000000-0005-0000-0000-00003B140000}"/>
    <cellStyle name="Вывод 4 73 2" xfId="6576" xr:uid="{00000000-0005-0000-0000-00003C140000}"/>
    <cellStyle name="Вывод 4 73 3" xfId="10844" xr:uid="{00000000-0005-0000-0000-00003D140000}"/>
    <cellStyle name="Вывод 4 73 4" xfId="15080" xr:uid="{00000000-0005-0000-0000-00003E140000}"/>
    <cellStyle name="Вывод 4 74" xfId="1841" xr:uid="{00000000-0005-0000-0000-00003F140000}"/>
    <cellStyle name="Вывод 4 74 2" xfId="6577" xr:uid="{00000000-0005-0000-0000-000040140000}"/>
    <cellStyle name="Вывод 4 74 3" xfId="10845" xr:uid="{00000000-0005-0000-0000-000041140000}"/>
    <cellStyle name="Вывод 4 74 4" xfId="15081" xr:uid="{00000000-0005-0000-0000-000042140000}"/>
    <cellStyle name="Вывод 4 75" xfId="1842" xr:uid="{00000000-0005-0000-0000-000043140000}"/>
    <cellStyle name="Вывод 4 75 2" xfId="6578" xr:uid="{00000000-0005-0000-0000-000044140000}"/>
    <cellStyle name="Вывод 4 75 3" xfId="10846" xr:uid="{00000000-0005-0000-0000-000045140000}"/>
    <cellStyle name="Вывод 4 75 4" xfId="15082" xr:uid="{00000000-0005-0000-0000-000046140000}"/>
    <cellStyle name="Вывод 4 76" xfId="1843" xr:uid="{00000000-0005-0000-0000-000047140000}"/>
    <cellStyle name="Вывод 4 76 2" xfId="6579" xr:uid="{00000000-0005-0000-0000-000048140000}"/>
    <cellStyle name="Вывод 4 76 3" xfId="10847" xr:uid="{00000000-0005-0000-0000-000049140000}"/>
    <cellStyle name="Вывод 4 76 4" xfId="15083" xr:uid="{00000000-0005-0000-0000-00004A140000}"/>
    <cellStyle name="Вывод 4 77" xfId="1844" xr:uid="{00000000-0005-0000-0000-00004B140000}"/>
    <cellStyle name="Вывод 4 77 2" xfId="6580" xr:uid="{00000000-0005-0000-0000-00004C140000}"/>
    <cellStyle name="Вывод 4 77 3" xfId="10848" xr:uid="{00000000-0005-0000-0000-00004D140000}"/>
    <cellStyle name="Вывод 4 77 4" xfId="15084" xr:uid="{00000000-0005-0000-0000-00004E140000}"/>
    <cellStyle name="Вывод 4 78" xfId="1845" xr:uid="{00000000-0005-0000-0000-00004F140000}"/>
    <cellStyle name="Вывод 4 78 2" xfId="6581" xr:uid="{00000000-0005-0000-0000-000050140000}"/>
    <cellStyle name="Вывод 4 78 3" xfId="10849" xr:uid="{00000000-0005-0000-0000-000051140000}"/>
    <cellStyle name="Вывод 4 78 4" xfId="15085" xr:uid="{00000000-0005-0000-0000-000052140000}"/>
    <cellStyle name="Вывод 4 79" xfId="1846" xr:uid="{00000000-0005-0000-0000-000053140000}"/>
    <cellStyle name="Вывод 4 79 2" xfId="6582" xr:uid="{00000000-0005-0000-0000-000054140000}"/>
    <cellStyle name="Вывод 4 79 3" xfId="10850" xr:uid="{00000000-0005-0000-0000-000055140000}"/>
    <cellStyle name="Вывод 4 79 4" xfId="15086" xr:uid="{00000000-0005-0000-0000-000056140000}"/>
    <cellStyle name="Вывод 4 8" xfId="1847" xr:uid="{00000000-0005-0000-0000-000057140000}"/>
    <cellStyle name="Вывод 4 8 2" xfId="6583" xr:uid="{00000000-0005-0000-0000-000058140000}"/>
    <cellStyle name="Вывод 4 8 3" xfId="10851" xr:uid="{00000000-0005-0000-0000-000059140000}"/>
    <cellStyle name="Вывод 4 8 4" xfId="15087" xr:uid="{00000000-0005-0000-0000-00005A140000}"/>
    <cellStyle name="Вывод 4 80" xfId="1848" xr:uid="{00000000-0005-0000-0000-00005B140000}"/>
    <cellStyle name="Вывод 4 80 2" xfId="6584" xr:uid="{00000000-0005-0000-0000-00005C140000}"/>
    <cellStyle name="Вывод 4 80 3" xfId="10852" xr:uid="{00000000-0005-0000-0000-00005D140000}"/>
    <cellStyle name="Вывод 4 80 4" xfId="15088" xr:uid="{00000000-0005-0000-0000-00005E140000}"/>
    <cellStyle name="Вывод 4 81" xfId="1849" xr:uid="{00000000-0005-0000-0000-00005F140000}"/>
    <cellStyle name="Вывод 4 81 2" xfId="6585" xr:uid="{00000000-0005-0000-0000-000060140000}"/>
    <cellStyle name="Вывод 4 81 3" xfId="10853" xr:uid="{00000000-0005-0000-0000-000061140000}"/>
    <cellStyle name="Вывод 4 81 4" xfId="15089" xr:uid="{00000000-0005-0000-0000-000062140000}"/>
    <cellStyle name="Вывод 4 82" xfId="1850" xr:uid="{00000000-0005-0000-0000-000063140000}"/>
    <cellStyle name="Вывод 4 82 2" xfId="6586" xr:uid="{00000000-0005-0000-0000-000064140000}"/>
    <cellStyle name="Вывод 4 82 3" xfId="10854" xr:uid="{00000000-0005-0000-0000-000065140000}"/>
    <cellStyle name="Вывод 4 82 4" xfId="15090" xr:uid="{00000000-0005-0000-0000-000066140000}"/>
    <cellStyle name="Вывод 4 83" xfId="1851" xr:uid="{00000000-0005-0000-0000-000067140000}"/>
    <cellStyle name="Вывод 4 83 2" xfId="6587" xr:uid="{00000000-0005-0000-0000-000068140000}"/>
    <cellStyle name="Вывод 4 83 3" xfId="10855" xr:uid="{00000000-0005-0000-0000-000069140000}"/>
    <cellStyle name="Вывод 4 83 4" xfId="15091" xr:uid="{00000000-0005-0000-0000-00006A140000}"/>
    <cellStyle name="Вывод 4 84" xfId="1852" xr:uid="{00000000-0005-0000-0000-00006B140000}"/>
    <cellStyle name="Вывод 4 84 2" xfId="6588" xr:uid="{00000000-0005-0000-0000-00006C140000}"/>
    <cellStyle name="Вывод 4 84 3" xfId="10856" xr:uid="{00000000-0005-0000-0000-00006D140000}"/>
    <cellStyle name="Вывод 4 84 4" xfId="15092" xr:uid="{00000000-0005-0000-0000-00006E140000}"/>
    <cellStyle name="Вывод 4 85" xfId="1853" xr:uid="{00000000-0005-0000-0000-00006F140000}"/>
    <cellStyle name="Вывод 4 85 2" xfId="6589" xr:uid="{00000000-0005-0000-0000-000070140000}"/>
    <cellStyle name="Вывод 4 85 3" xfId="10857" xr:uid="{00000000-0005-0000-0000-000071140000}"/>
    <cellStyle name="Вывод 4 85 4" xfId="15093" xr:uid="{00000000-0005-0000-0000-000072140000}"/>
    <cellStyle name="Вывод 4 86" xfId="1854" xr:uid="{00000000-0005-0000-0000-000073140000}"/>
    <cellStyle name="Вывод 4 86 2" xfId="6590" xr:uid="{00000000-0005-0000-0000-000074140000}"/>
    <cellStyle name="Вывод 4 86 3" xfId="10858" xr:uid="{00000000-0005-0000-0000-000075140000}"/>
    <cellStyle name="Вывод 4 86 4" xfId="15094" xr:uid="{00000000-0005-0000-0000-000076140000}"/>
    <cellStyle name="Вывод 4 87" xfId="1855" xr:uid="{00000000-0005-0000-0000-000077140000}"/>
    <cellStyle name="Вывод 4 87 2" xfId="6591" xr:uid="{00000000-0005-0000-0000-000078140000}"/>
    <cellStyle name="Вывод 4 87 3" xfId="10859" xr:uid="{00000000-0005-0000-0000-000079140000}"/>
    <cellStyle name="Вывод 4 87 4" xfId="15095" xr:uid="{00000000-0005-0000-0000-00007A140000}"/>
    <cellStyle name="Вывод 4 88" xfId="1856" xr:uid="{00000000-0005-0000-0000-00007B140000}"/>
    <cellStyle name="Вывод 4 88 2" xfId="6592" xr:uid="{00000000-0005-0000-0000-00007C140000}"/>
    <cellStyle name="Вывод 4 88 3" xfId="10860" xr:uid="{00000000-0005-0000-0000-00007D140000}"/>
    <cellStyle name="Вывод 4 88 4" xfId="15096" xr:uid="{00000000-0005-0000-0000-00007E140000}"/>
    <cellStyle name="Вывод 4 89" xfId="1857" xr:uid="{00000000-0005-0000-0000-00007F140000}"/>
    <cellStyle name="Вывод 4 89 2" xfId="6593" xr:uid="{00000000-0005-0000-0000-000080140000}"/>
    <cellStyle name="Вывод 4 89 3" xfId="10861" xr:uid="{00000000-0005-0000-0000-000081140000}"/>
    <cellStyle name="Вывод 4 89 4" xfId="15097" xr:uid="{00000000-0005-0000-0000-000082140000}"/>
    <cellStyle name="Вывод 4 9" xfId="1858" xr:uid="{00000000-0005-0000-0000-000083140000}"/>
    <cellStyle name="Вывод 4 9 2" xfId="6594" xr:uid="{00000000-0005-0000-0000-000084140000}"/>
    <cellStyle name="Вывод 4 9 3" xfId="10862" xr:uid="{00000000-0005-0000-0000-000085140000}"/>
    <cellStyle name="Вывод 4 9 4" xfId="15098" xr:uid="{00000000-0005-0000-0000-000086140000}"/>
    <cellStyle name="Вывод 4 90" xfId="1859" xr:uid="{00000000-0005-0000-0000-000087140000}"/>
    <cellStyle name="Вывод 4 90 2" xfId="6595" xr:uid="{00000000-0005-0000-0000-000088140000}"/>
    <cellStyle name="Вывод 4 90 3" xfId="10863" xr:uid="{00000000-0005-0000-0000-000089140000}"/>
    <cellStyle name="Вывод 4 90 4" xfId="15099" xr:uid="{00000000-0005-0000-0000-00008A140000}"/>
    <cellStyle name="Вывод 4 91" xfId="1860" xr:uid="{00000000-0005-0000-0000-00008B140000}"/>
    <cellStyle name="Вывод 4 91 2" xfId="6596" xr:uid="{00000000-0005-0000-0000-00008C140000}"/>
    <cellStyle name="Вывод 4 91 3" xfId="10864" xr:uid="{00000000-0005-0000-0000-00008D140000}"/>
    <cellStyle name="Вывод 4 91 4" xfId="15100" xr:uid="{00000000-0005-0000-0000-00008E140000}"/>
    <cellStyle name="Вывод 4 92" xfId="5189" xr:uid="{00000000-0005-0000-0000-00008F140000}"/>
    <cellStyle name="Вывод 4 93" xfId="5087" xr:uid="{00000000-0005-0000-0000-000090140000}"/>
    <cellStyle name="Вывод 4 94" xfId="5241" xr:uid="{00000000-0005-0000-0000-000091140000}"/>
    <cellStyle name="Вывод 5" xfId="236" xr:uid="{00000000-0005-0000-0000-000092140000}"/>
    <cellStyle name="Вывод 5 10" xfId="1861" xr:uid="{00000000-0005-0000-0000-000093140000}"/>
    <cellStyle name="Вывод 5 10 2" xfId="6597" xr:uid="{00000000-0005-0000-0000-000094140000}"/>
    <cellStyle name="Вывод 5 10 3" xfId="10865" xr:uid="{00000000-0005-0000-0000-000095140000}"/>
    <cellStyle name="Вывод 5 10 4" xfId="15101" xr:uid="{00000000-0005-0000-0000-000096140000}"/>
    <cellStyle name="Вывод 5 11" xfId="1862" xr:uid="{00000000-0005-0000-0000-000097140000}"/>
    <cellStyle name="Вывод 5 11 2" xfId="6598" xr:uid="{00000000-0005-0000-0000-000098140000}"/>
    <cellStyle name="Вывод 5 11 3" xfId="10866" xr:uid="{00000000-0005-0000-0000-000099140000}"/>
    <cellStyle name="Вывод 5 11 4" xfId="15102" xr:uid="{00000000-0005-0000-0000-00009A140000}"/>
    <cellStyle name="Вывод 5 12" xfId="1863" xr:uid="{00000000-0005-0000-0000-00009B140000}"/>
    <cellStyle name="Вывод 5 12 2" xfId="6599" xr:uid="{00000000-0005-0000-0000-00009C140000}"/>
    <cellStyle name="Вывод 5 12 3" xfId="10867" xr:uid="{00000000-0005-0000-0000-00009D140000}"/>
    <cellStyle name="Вывод 5 12 4" xfId="15103" xr:uid="{00000000-0005-0000-0000-00009E140000}"/>
    <cellStyle name="Вывод 5 13" xfId="1864" xr:uid="{00000000-0005-0000-0000-00009F140000}"/>
    <cellStyle name="Вывод 5 13 2" xfId="6600" xr:uid="{00000000-0005-0000-0000-0000A0140000}"/>
    <cellStyle name="Вывод 5 13 3" xfId="10868" xr:uid="{00000000-0005-0000-0000-0000A1140000}"/>
    <cellStyle name="Вывод 5 13 4" xfId="15104" xr:uid="{00000000-0005-0000-0000-0000A2140000}"/>
    <cellStyle name="Вывод 5 14" xfId="1865" xr:uid="{00000000-0005-0000-0000-0000A3140000}"/>
    <cellStyle name="Вывод 5 14 2" xfId="6601" xr:uid="{00000000-0005-0000-0000-0000A4140000}"/>
    <cellStyle name="Вывод 5 14 3" xfId="10869" xr:uid="{00000000-0005-0000-0000-0000A5140000}"/>
    <cellStyle name="Вывод 5 14 4" xfId="15105" xr:uid="{00000000-0005-0000-0000-0000A6140000}"/>
    <cellStyle name="Вывод 5 15" xfId="1866" xr:uid="{00000000-0005-0000-0000-0000A7140000}"/>
    <cellStyle name="Вывод 5 15 2" xfId="6602" xr:uid="{00000000-0005-0000-0000-0000A8140000}"/>
    <cellStyle name="Вывод 5 15 3" xfId="10870" xr:uid="{00000000-0005-0000-0000-0000A9140000}"/>
    <cellStyle name="Вывод 5 15 4" xfId="15106" xr:uid="{00000000-0005-0000-0000-0000AA140000}"/>
    <cellStyle name="Вывод 5 16" xfId="1867" xr:uid="{00000000-0005-0000-0000-0000AB140000}"/>
    <cellStyle name="Вывод 5 16 2" xfId="6603" xr:uid="{00000000-0005-0000-0000-0000AC140000}"/>
    <cellStyle name="Вывод 5 16 3" xfId="10871" xr:uid="{00000000-0005-0000-0000-0000AD140000}"/>
    <cellStyle name="Вывод 5 16 4" xfId="15107" xr:uid="{00000000-0005-0000-0000-0000AE140000}"/>
    <cellStyle name="Вывод 5 17" xfId="1868" xr:uid="{00000000-0005-0000-0000-0000AF140000}"/>
    <cellStyle name="Вывод 5 17 2" xfId="6604" xr:uid="{00000000-0005-0000-0000-0000B0140000}"/>
    <cellStyle name="Вывод 5 17 3" xfId="10872" xr:uid="{00000000-0005-0000-0000-0000B1140000}"/>
    <cellStyle name="Вывод 5 17 4" xfId="15108" xr:uid="{00000000-0005-0000-0000-0000B2140000}"/>
    <cellStyle name="Вывод 5 18" xfId="1869" xr:uid="{00000000-0005-0000-0000-0000B3140000}"/>
    <cellStyle name="Вывод 5 18 2" xfId="6605" xr:uid="{00000000-0005-0000-0000-0000B4140000}"/>
    <cellStyle name="Вывод 5 18 3" xfId="10873" xr:uid="{00000000-0005-0000-0000-0000B5140000}"/>
    <cellStyle name="Вывод 5 18 4" xfId="15109" xr:uid="{00000000-0005-0000-0000-0000B6140000}"/>
    <cellStyle name="Вывод 5 19" xfId="1870" xr:uid="{00000000-0005-0000-0000-0000B7140000}"/>
    <cellStyle name="Вывод 5 19 2" xfId="6606" xr:uid="{00000000-0005-0000-0000-0000B8140000}"/>
    <cellStyle name="Вывод 5 19 3" xfId="10874" xr:uid="{00000000-0005-0000-0000-0000B9140000}"/>
    <cellStyle name="Вывод 5 19 4" xfId="15110" xr:uid="{00000000-0005-0000-0000-0000BA140000}"/>
    <cellStyle name="Вывод 5 2" xfId="1871" xr:uid="{00000000-0005-0000-0000-0000BB140000}"/>
    <cellStyle name="Вывод 5 2 2" xfId="1872" xr:uid="{00000000-0005-0000-0000-0000BC140000}"/>
    <cellStyle name="Вывод 5 2 2 2" xfId="6608" xr:uid="{00000000-0005-0000-0000-0000BD140000}"/>
    <cellStyle name="Вывод 5 2 2 3" xfId="10876" xr:uid="{00000000-0005-0000-0000-0000BE140000}"/>
    <cellStyle name="Вывод 5 2 2 4" xfId="15112" xr:uid="{00000000-0005-0000-0000-0000BF140000}"/>
    <cellStyle name="Вывод 5 2 3" xfId="1873" xr:uid="{00000000-0005-0000-0000-0000C0140000}"/>
    <cellStyle name="Вывод 5 2 3 2" xfId="6609" xr:uid="{00000000-0005-0000-0000-0000C1140000}"/>
    <cellStyle name="Вывод 5 2 3 3" xfId="10877" xr:uid="{00000000-0005-0000-0000-0000C2140000}"/>
    <cellStyle name="Вывод 5 2 3 4" xfId="15113" xr:uid="{00000000-0005-0000-0000-0000C3140000}"/>
    <cellStyle name="Вывод 5 2 4" xfId="6607" xr:uid="{00000000-0005-0000-0000-0000C4140000}"/>
    <cellStyle name="Вывод 5 2 5" xfId="10875" xr:uid="{00000000-0005-0000-0000-0000C5140000}"/>
    <cellStyle name="Вывод 5 2 6" xfId="15111" xr:uid="{00000000-0005-0000-0000-0000C6140000}"/>
    <cellStyle name="Вывод 5 20" xfId="1874" xr:uid="{00000000-0005-0000-0000-0000C7140000}"/>
    <cellStyle name="Вывод 5 20 2" xfId="6610" xr:uid="{00000000-0005-0000-0000-0000C8140000}"/>
    <cellStyle name="Вывод 5 20 3" xfId="10878" xr:uid="{00000000-0005-0000-0000-0000C9140000}"/>
    <cellStyle name="Вывод 5 20 4" xfId="15114" xr:uid="{00000000-0005-0000-0000-0000CA140000}"/>
    <cellStyle name="Вывод 5 21" xfId="1875" xr:uid="{00000000-0005-0000-0000-0000CB140000}"/>
    <cellStyle name="Вывод 5 21 2" xfId="6611" xr:uid="{00000000-0005-0000-0000-0000CC140000}"/>
    <cellStyle name="Вывод 5 21 3" xfId="10879" xr:uid="{00000000-0005-0000-0000-0000CD140000}"/>
    <cellStyle name="Вывод 5 21 4" xfId="15115" xr:uid="{00000000-0005-0000-0000-0000CE140000}"/>
    <cellStyle name="Вывод 5 22" xfId="1876" xr:uid="{00000000-0005-0000-0000-0000CF140000}"/>
    <cellStyle name="Вывод 5 22 2" xfId="6612" xr:uid="{00000000-0005-0000-0000-0000D0140000}"/>
    <cellStyle name="Вывод 5 22 3" xfId="10880" xr:uid="{00000000-0005-0000-0000-0000D1140000}"/>
    <cellStyle name="Вывод 5 22 4" xfId="15116" xr:uid="{00000000-0005-0000-0000-0000D2140000}"/>
    <cellStyle name="Вывод 5 23" xfId="1877" xr:uid="{00000000-0005-0000-0000-0000D3140000}"/>
    <cellStyle name="Вывод 5 23 2" xfId="6613" xr:uid="{00000000-0005-0000-0000-0000D4140000}"/>
    <cellStyle name="Вывод 5 23 3" xfId="10881" xr:uid="{00000000-0005-0000-0000-0000D5140000}"/>
    <cellStyle name="Вывод 5 23 4" xfId="15117" xr:uid="{00000000-0005-0000-0000-0000D6140000}"/>
    <cellStyle name="Вывод 5 24" xfId="1878" xr:uid="{00000000-0005-0000-0000-0000D7140000}"/>
    <cellStyle name="Вывод 5 24 2" xfId="6614" xr:uid="{00000000-0005-0000-0000-0000D8140000}"/>
    <cellStyle name="Вывод 5 24 3" xfId="10882" xr:uid="{00000000-0005-0000-0000-0000D9140000}"/>
    <cellStyle name="Вывод 5 24 4" xfId="15118" xr:uid="{00000000-0005-0000-0000-0000DA140000}"/>
    <cellStyle name="Вывод 5 25" xfId="1879" xr:uid="{00000000-0005-0000-0000-0000DB140000}"/>
    <cellStyle name="Вывод 5 25 2" xfId="6615" xr:uid="{00000000-0005-0000-0000-0000DC140000}"/>
    <cellStyle name="Вывод 5 25 3" xfId="10883" xr:uid="{00000000-0005-0000-0000-0000DD140000}"/>
    <cellStyle name="Вывод 5 25 4" xfId="15119" xr:uid="{00000000-0005-0000-0000-0000DE140000}"/>
    <cellStyle name="Вывод 5 26" xfId="1880" xr:uid="{00000000-0005-0000-0000-0000DF140000}"/>
    <cellStyle name="Вывод 5 26 2" xfId="6616" xr:uid="{00000000-0005-0000-0000-0000E0140000}"/>
    <cellStyle name="Вывод 5 26 3" xfId="10884" xr:uid="{00000000-0005-0000-0000-0000E1140000}"/>
    <cellStyle name="Вывод 5 26 4" xfId="15120" xr:uid="{00000000-0005-0000-0000-0000E2140000}"/>
    <cellStyle name="Вывод 5 27" xfId="1881" xr:uid="{00000000-0005-0000-0000-0000E3140000}"/>
    <cellStyle name="Вывод 5 27 2" xfId="6617" xr:uid="{00000000-0005-0000-0000-0000E4140000}"/>
    <cellStyle name="Вывод 5 27 3" xfId="10885" xr:uid="{00000000-0005-0000-0000-0000E5140000}"/>
    <cellStyle name="Вывод 5 27 4" xfId="15121" xr:uid="{00000000-0005-0000-0000-0000E6140000}"/>
    <cellStyle name="Вывод 5 28" xfId="1882" xr:uid="{00000000-0005-0000-0000-0000E7140000}"/>
    <cellStyle name="Вывод 5 28 2" xfId="6618" xr:uid="{00000000-0005-0000-0000-0000E8140000}"/>
    <cellStyle name="Вывод 5 28 3" xfId="10886" xr:uid="{00000000-0005-0000-0000-0000E9140000}"/>
    <cellStyle name="Вывод 5 28 4" xfId="15122" xr:uid="{00000000-0005-0000-0000-0000EA140000}"/>
    <cellStyle name="Вывод 5 29" xfId="1883" xr:uid="{00000000-0005-0000-0000-0000EB140000}"/>
    <cellStyle name="Вывод 5 29 2" xfId="6619" xr:uid="{00000000-0005-0000-0000-0000EC140000}"/>
    <cellStyle name="Вывод 5 29 3" xfId="10887" xr:uid="{00000000-0005-0000-0000-0000ED140000}"/>
    <cellStyle name="Вывод 5 29 4" xfId="15123" xr:uid="{00000000-0005-0000-0000-0000EE140000}"/>
    <cellStyle name="Вывод 5 3" xfId="1884" xr:uid="{00000000-0005-0000-0000-0000EF140000}"/>
    <cellStyle name="Вывод 5 3 2" xfId="1885" xr:uid="{00000000-0005-0000-0000-0000F0140000}"/>
    <cellStyle name="Вывод 5 3 2 2" xfId="6621" xr:uid="{00000000-0005-0000-0000-0000F1140000}"/>
    <cellStyle name="Вывод 5 3 2 3" xfId="10889" xr:uid="{00000000-0005-0000-0000-0000F2140000}"/>
    <cellStyle name="Вывод 5 3 2 4" xfId="15125" xr:uid="{00000000-0005-0000-0000-0000F3140000}"/>
    <cellStyle name="Вывод 5 3 3" xfId="1886" xr:uid="{00000000-0005-0000-0000-0000F4140000}"/>
    <cellStyle name="Вывод 5 3 3 2" xfId="6622" xr:uid="{00000000-0005-0000-0000-0000F5140000}"/>
    <cellStyle name="Вывод 5 3 3 3" xfId="10890" xr:uid="{00000000-0005-0000-0000-0000F6140000}"/>
    <cellStyle name="Вывод 5 3 3 4" xfId="15126" xr:uid="{00000000-0005-0000-0000-0000F7140000}"/>
    <cellStyle name="Вывод 5 3 4" xfId="6620" xr:uid="{00000000-0005-0000-0000-0000F8140000}"/>
    <cellStyle name="Вывод 5 3 5" xfId="10888" xr:uid="{00000000-0005-0000-0000-0000F9140000}"/>
    <cellStyle name="Вывод 5 3 6" xfId="15124" xr:uid="{00000000-0005-0000-0000-0000FA140000}"/>
    <cellStyle name="Вывод 5 30" xfId="1887" xr:uid="{00000000-0005-0000-0000-0000FB140000}"/>
    <cellStyle name="Вывод 5 30 2" xfId="6623" xr:uid="{00000000-0005-0000-0000-0000FC140000}"/>
    <cellStyle name="Вывод 5 30 3" xfId="10891" xr:uid="{00000000-0005-0000-0000-0000FD140000}"/>
    <cellStyle name="Вывод 5 30 4" xfId="15127" xr:uid="{00000000-0005-0000-0000-0000FE140000}"/>
    <cellStyle name="Вывод 5 31" xfId="1888" xr:uid="{00000000-0005-0000-0000-0000FF140000}"/>
    <cellStyle name="Вывод 5 31 2" xfId="6624" xr:uid="{00000000-0005-0000-0000-000000150000}"/>
    <cellStyle name="Вывод 5 31 3" xfId="10892" xr:uid="{00000000-0005-0000-0000-000001150000}"/>
    <cellStyle name="Вывод 5 31 4" xfId="15128" xr:uid="{00000000-0005-0000-0000-000002150000}"/>
    <cellStyle name="Вывод 5 32" xfId="1889" xr:uid="{00000000-0005-0000-0000-000003150000}"/>
    <cellStyle name="Вывод 5 32 2" xfId="6625" xr:uid="{00000000-0005-0000-0000-000004150000}"/>
    <cellStyle name="Вывод 5 32 3" xfId="10893" xr:uid="{00000000-0005-0000-0000-000005150000}"/>
    <cellStyle name="Вывод 5 32 4" xfId="15129" xr:uid="{00000000-0005-0000-0000-000006150000}"/>
    <cellStyle name="Вывод 5 33" xfId="1890" xr:uid="{00000000-0005-0000-0000-000007150000}"/>
    <cellStyle name="Вывод 5 33 2" xfId="6626" xr:uid="{00000000-0005-0000-0000-000008150000}"/>
    <cellStyle name="Вывод 5 33 3" xfId="10894" xr:uid="{00000000-0005-0000-0000-000009150000}"/>
    <cellStyle name="Вывод 5 33 4" xfId="15130" xr:uid="{00000000-0005-0000-0000-00000A150000}"/>
    <cellStyle name="Вывод 5 34" xfId="1891" xr:uid="{00000000-0005-0000-0000-00000B150000}"/>
    <cellStyle name="Вывод 5 34 2" xfId="6627" xr:uid="{00000000-0005-0000-0000-00000C150000}"/>
    <cellStyle name="Вывод 5 34 3" xfId="10895" xr:uid="{00000000-0005-0000-0000-00000D150000}"/>
    <cellStyle name="Вывод 5 34 4" xfId="15131" xr:uid="{00000000-0005-0000-0000-00000E150000}"/>
    <cellStyle name="Вывод 5 35" xfId="1892" xr:uid="{00000000-0005-0000-0000-00000F150000}"/>
    <cellStyle name="Вывод 5 35 2" xfId="6628" xr:uid="{00000000-0005-0000-0000-000010150000}"/>
    <cellStyle name="Вывод 5 35 3" xfId="10896" xr:uid="{00000000-0005-0000-0000-000011150000}"/>
    <cellStyle name="Вывод 5 35 4" xfId="15132" xr:uid="{00000000-0005-0000-0000-000012150000}"/>
    <cellStyle name="Вывод 5 36" xfId="1893" xr:uid="{00000000-0005-0000-0000-000013150000}"/>
    <cellStyle name="Вывод 5 36 2" xfId="6629" xr:uid="{00000000-0005-0000-0000-000014150000}"/>
    <cellStyle name="Вывод 5 36 3" xfId="10897" xr:uid="{00000000-0005-0000-0000-000015150000}"/>
    <cellStyle name="Вывод 5 36 4" xfId="15133" xr:uid="{00000000-0005-0000-0000-000016150000}"/>
    <cellStyle name="Вывод 5 37" xfId="1894" xr:uid="{00000000-0005-0000-0000-000017150000}"/>
    <cellStyle name="Вывод 5 37 2" xfId="6630" xr:uid="{00000000-0005-0000-0000-000018150000}"/>
    <cellStyle name="Вывод 5 37 3" xfId="10898" xr:uid="{00000000-0005-0000-0000-000019150000}"/>
    <cellStyle name="Вывод 5 37 4" xfId="15134" xr:uid="{00000000-0005-0000-0000-00001A150000}"/>
    <cellStyle name="Вывод 5 38" xfId="1895" xr:uid="{00000000-0005-0000-0000-00001B150000}"/>
    <cellStyle name="Вывод 5 38 2" xfId="6631" xr:uid="{00000000-0005-0000-0000-00001C150000}"/>
    <cellStyle name="Вывод 5 38 3" xfId="10899" xr:uid="{00000000-0005-0000-0000-00001D150000}"/>
    <cellStyle name="Вывод 5 38 4" xfId="15135" xr:uid="{00000000-0005-0000-0000-00001E150000}"/>
    <cellStyle name="Вывод 5 39" xfId="1896" xr:uid="{00000000-0005-0000-0000-00001F150000}"/>
    <cellStyle name="Вывод 5 39 2" xfId="6632" xr:uid="{00000000-0005-0000-0000-000020150000}"/>
    <cellStyle name="Вывод 5 39 3" xfId="10900" xr:uid="{00000000-0005-0000-0000-000021150000}"/>
    <cellStyle name="Вывод 5 39 4" xfId="15136" xr:uid="{00000000-0005-0000-0000-000022150000}"/>
    <cellStyle name="Вывод 5 4" xfId="1897" xr:uid="{00000000-0005-0000-0000-000023150000}"/>
    <cellStyle name="Вывод 5 4 2" xfId="1898" xr:uid="{00000000-0005-0000-0000-000024150000}"/>
    <cellStyle name="Вывод 5 4 2 2" xfId="6634" xr:uid="{00000000-0005-0000-0000-000025150000}"/>
    <cellStyle name="Вывод 5 4 2 3" xfId="10902" xr:uid="{00000000-0005-0000-0000-000026150000}"/>
    <cellStyle name="Вывод 5 4 2 4" xfId="15138" xr:uid="{00000000-0005-0000-0000-000027150000}"/>
    <cellStyle name="Вывод 5 4 3" xfId="1899" xr:uid="{00000000-0005-0000-0000-000028150000}"/>
    <cellStyle name="Вывод 5 4 3 2" xfId="6635" xr:uid="{00000000-0005-0000-0000-000029150000}"/>
    <cellStyle name="Вывод 5 4 3 3" xfId="10903" xr:uid="{00000000-0005-0000-0000-00002A150000}"/>
    <cellStyle name="Вывод 5 4 3 4" xfId="15139" xr:uid="{00000000-0005-0000-0000-00002B150000}"/>
    <cellStyle name="Вывод 5 4 4" xfId="6633" xr:uid="{00000000-0005-0000-0000-00002C150000}"/>
    <cellStyle name="Вывод 5 4 5" xfId="10901" xr:uid="{00000000-0005-0000-0000-00002D150000}"/>
    <cellStyle name="Вывод 5 4 6" xfId="15137" xr:uid="{00000000-0005-0000-0000-00002E150000}"/>
    <cellStyle name="Вывод 5 40" xfId="1900" xr:uid="{00000000-0005-0000-0000-00002F150000}"/>
    <cellStyle name="Вывод 5 40 2" xfId="6636" xr:uid="{00000000-0005-0000-0000-000030150000}"/>
    <cellStyle name="Вывод 5 40 3" xfId="10904" xr:uid="{00000000-0005-0000-0000-000031150000}"/>
    <cellStyle name="Вывод 5 40 4" xfId="15140" xr:uid="{00000000-0005-0000-0000-000032150000}"/>
    <cellStyle name="Вывод 5 41" xfId="1901" xr:uid="{00000000-0005-0000-0000-000033150000}"/>
    <cellStyle name="Вывод 5 41 2" xfId="6637" xr:uid="{00000000-0005-0000-0000-000034150000}"/>
    <cellStyle name="Вывод 5 41 3" xfId="10905" xr:uid="{00000000-0005-0000-0000-000035150000}"/>
    <cellStyle name="Вывод 5 41 4" xfId="15141" xr:uid="{00000000-0005-0000-0000-000036150000}"/>
    <cellStyle name="Вывод 5 42" xfId="1902" xr:uid="{00000000-0005-0000-0000-000037150000}"/>
    <cellStyle name="Вывод 5 42 2" xfId="6638" xr:uid="{00000000-0005-0000-0000-000038150000}"/>
    <cellStyle name="Вывод 5 42 3" xfId="10906" xr:uid="{00000000-0005-0000-0000-000039150000}"/>
    <cellStyle name="Вывод 5 42 4" xfId="15142" xr:uid="{00000000-0005-0000-0000-00003A150000}"/>
    <cellStyle name="Вывод 5 43" xfId="1903" xr:uid="{00000000-0005-0000-0000-00003B150000}"/>
    <cellStyle name="Вывод 5 43 2" xfId="6639" xr:uid="{00000000-0005-0000-0000-00003C150000}"/>
    <cellStyle name="Вывод 5 43 3" xfId="10907" xr:uid="{00000000-0005-0000-0000-00003D150000}"/>
    <cellStyle name="Вывод 5 43 4" xfId="15143" xr:uid="{00000000-0005-0000-0000-00003E150000}"/>
    <cellStyle name="Вывод 5 44" xfId="1904" xr:uid="{00000000-0005-0000-0000-00003F150000}"/>
    <cellStyle name="Вывод 5 44 2" xfId="6640" xr:uid="{00000000-0005-0000-0000-000040150000}"/>
    <cellStyle name="Вывод 5 44 3" xfId="10908" xr:uid="{00000000-0005-0000-0000-000041150000}"/>
    <cellStyle name="Вывод 5 44 4" xfId="15144" xr:uid="{00000000-0005-0000-0000-000042150000}"/>
    <cellStyle name="Вывод 5 45" xfId="1905" xr:uid="{00000000-0005-0000-0000-000043150000}"/>
    <cellStyle name="Вывод 5 45 2" xfId="6641" xr:uid="{00000000-0005-0000-0000-000044150000}"/>
    <cellStyle name="Вывод 5 45 3" xfId="10909" xr:uid="{00000000-0005-0000-0000-000045150000}"/>
    <cellStyle name="Вывод 5 45 4" xfId="15145" xr:uid="{00000000-0005-0000-0000-000046150000}"/>
    <cellStyle name="Вывод 5 46" xfId="1906" xr:uid="{00000000-0005-0000-0000-000047150000}"/>
    <cellStyle name="Вывод 5 46 2" xfId="6642" xr:uid="{00000000-0005-0000-0000-000048150000}"/>
    <cellStyle name="Вывод 5 46 3" xfId="10910" xr:uid="{00000000-0005-0000-0000-000049150000}"/>
    <cellStyle name="Вывод 5 46 4" xfId="15146" xr:uid="{00000000-0005-0000-0000-00004A150000}"/>
    <cellStyle name="Вывод 5 47" xfId="1907" xr:uid="{00000000-0005-0000-0000-00004B150000}"/>
    <cellStyle name="Вывод 5 47 2" xfId="6643" xr:uid="{00000000-0005-0000-0000-00004C150000}"/>
    <cellStyle name="Вывод 5 47 3" xfId="10911" xr:uid="{00000000-0005-0000-0000-00004D150000}"/>
    <cellStyle name="Вывод 5 47 4" xfId="15147" xr:uid="{00000000-0005-0000-0000-00004E150000}"/>
    <cellStyle name="Вывод 5 48" xfId="1908" xr:uid="{00000000-0005-0000-0000-00004F150000}"/>
    <cellStyle name="Вывод 5 48 2" xfId="6644" xr:uid="{00000000-0005-0000-0000-000050150000}"/>
    <cellStyle name="Вывод 5 48 3" xfId="10912" xr:uid="{00000000-0005-0000-0000-000051150000}"/>
    <cellStyle name="Вывод 5 48 4" xfId="15148" xr:uid="{00000000-0005-0000-0000-000052150000}"/>
    <cellStyle name="Вывод 5 49" xfId="1909" xr:uid="{00000000-0005-0000-0000-000053150000}"/>
    <cellStyle name="Вывод 5 49 2" xfId="6645" xr:uid="{00000000-0005-0000-0000-000054150000}"/>
    <cellStyle name="Вывод 5 49 3" xfId="10913" xr:uid="{00000000-0005-0000-0000-000055150000}"/>
    <cellStyle name="Вывод 5 49 4" xfId="15149" xr:uid="{00000000-0005-0000-0000-000056150000}"/>
    <cellStyle name="Вывод 5 5" xfId="1910" xr:uid="{00000000-0005-0000-0000-000057150000}"/>
    <cellStyle name="Вывод 5 5 2" xfId="6646" xr:uid="{00000000-0005-0000-0000-000058150000}"/>
    <cellStyle name="Вывод 5 5 3" xfId="10914" xr:uid="{00000000-0005-0000-0000-000059150000}"/>
    <cellStyle name="Вывод 5 5 4" xfId="15150" xr:uid="{00000000-0005-0000-0000-00005A150000}"/>
    <cellStyle name="Вывод 5 50" xfId="1911" xr:uid="{00000000-0005-0000-0000-00005B150000}"/>
    <cellStyle name="Вывод 5 50 2" xfId="6647" xr:uid="{00000000-0005-0000-0000-00005C150000}"/>
    <cellStyle name="Вывод 5 50 3" xfId="10915" xr:uid="{00000000-0005-0000-0000-00005D150000}"/>
    <cellStyle name="Вывод 5 50 4" xfId="15151" xr:uid="{00000000-0005-0000-0000-00005E150000}"/>
    <cellStyle name="Вывод 5 51" xfId="1912" xr:uid="{00000000-0005-0000-0000-00005F150000}"/>
    <cellStyle name="Вывод 5 51 2" xfId="6648" xr:uid="{00000000-0005-0000-0000-000060150000}"/>
    <cellStyle name="Вывод 5 51 3" xfId="10916" xr:uid="{00000000-0005-0000-0000-000061150000}"/>
    <cellStyle name="Вывод 5 51 4" xfId="15152" xr:uid="{00000000-0005-0000-0000-000062150000}"/>
    <cellStyle name="Вывод 5 52" xfId="1913" xr:uid="{00000000-0005-0000-0000-000063150000}"/>
    <cellStyle name="Вывод 5 52 2" xfId="6649" xr:uid="{00000000-0005-0000-0000-000064150000}"/>
    <cellStyle name="Вывод 5 52 3" xfId="10917" xr:uid="{00000000-0005-0000-0000-000065150000}"/>
    <cellStyle name="Вывод 5 52 4" xfId="15153" xr:uid="{00000000-0005-0000-0000-000066150000}"/>
    <cellStyle name="Вывод 5 53" xfId="1914" xr:uid="{00000000-0005-0000-0000-000067150000}"/>
    <cellStyle name="Вывод 5 53 2" xfId="6650" xr:uid="{00000000-0005-0000-0000-000068150000}"/>
    <cellStyle name="Вывод 5 53 3" xfId="10918" xr:uid="{00000000-0005-0000-0000-000069150000}"/>
    <cellStyle name="Вывод 5 53 4" xfId="15154" xr:uid="{00000000-0005-0000-0000-00006A150000}"/>
    <cellStyle name="Вывод 5 54" xfId="1915" xr:uid="{00000000-0005-0000-0000-00006B150000}"/>
    <cellStyle name="Вывод 5 54 2" xfId="6651" xr:uid="{00000000-0005-0000-0000-00006C150000}"/>
    <cellStyle name="Вывод 5 54 3" xfId="10919" xr:uid="{00000000-0005-0000-0000-00006D150000}"/>
    <cellStyle name="Вывод 5 54 4" xfId="15155" xr:uid="{00000000-0005-0000-0000-00006E150000}"/>
    <cellStyle name="Вывод 5 55" xfId="1916" xr:uid="{00000000-0005-0000-0000-00006F150000}"/>
    <cellStyle name="Вывод 5 55 2" xfId="6652" xr:uid="{00000000-0005-0000-0000-000070150000}"/>
    <cellStyle name="Вывод 5 55 3" xfId="10920" xr:uid="{00000000-0005-0000-0000-000071150000}"/>
    <cellStyle name="Вывод 5 55 4" xfId="15156" xr:uid="{00000000-0005-0000-0000-000072150000}"/>
    <cellStyle name="Вывод 5 56" xfId="1917" xr:uid="{00000000-0005-0000-0000-000073150000}"/>
    <cellStyle name="Вывод 5 56 2" xfId="6653" xr:uid="{00000000-0005-0000-0000-000074150000}"/>
    <cellStyle name="Вывод 5 56 3" xfId="10921" xr:uid="{00000000-0005-0000-0000-000075150000}"/>
    <cellStyle name="Вывод 5 56 4" xfId="15157" xr:uid="{00000000-0005-0000-0000-000076150000}"/>
    <cellStyle name="Вывод 5 57" xfId="1918" xr:uid="{00000000-0005-0000-0000-000077150000}"/>
    <cellStyle name="Вывод 5 57 2" xfId="6654" xr:uid="{00000000-0005-0000-0000-000078150000}"/>
    <cellStyle name="Вывод 5 57 3" xfId="10922" xr:uid="{00000000-0005-0000-0000-000079150000}"/>
    <cellStyle name="Вывод 5 57 4" xfId="15158" xr:uid="{00000000-0005-0000-0000-00007A150000}"/>
    <cellStyle name="Вывод 5 58" xfId="1919" xr:uid="{00000000-0005-0000-0000-00007B150000}"/>
    <cellStyle name="Вывод 5 58 2" xfId="6655" xr:uid="{00000000-0005-0000-0000-00007C150000}"/>
    <cellStyle name="Вывод 5 58 3" xfId="10923" xr:uid="{00000000-0005-0000-0000-00007D150000}"/>
    <cellStyle name="Вывод 5 58 4" xfId="15159" xr:uid="{00000000-0005-0000-0000-00007E150000}"/>
    <cellStyle name="Вывод 5 59" xfId="1920" xr:uid="{00000000-0005-0000-0000-00007F150000}"/>
    <cellStyle name="Вывод 5 59 2" xfId="6656" xr:uid="{00000000-0005-0000-0000-000080150000}"/>
    <cellStyle name="Вывод 5 59 3" xfId="10924" xr:uid="{00000000-0005-0000-0000-000081150000}"/>
    <cellStyle name="Вывод 5 59 4" xfId="15160" xr:uid="{00000000-0005-0000-0000-000082150000}"/>
    <cellStyle name="Вывод 5 6" xfId="1921" xr:uid="{00000000-0005-0000-0000-000083150000}"/>
    <cellStyle name="Вывод 5 6 2" xfId="6657" xr:uid="{00000000-0005-0000-0000-000084150000}"/>
    <cellStyle name="Вывод 5 6 3" xfId="10925" xr:uid="{00000000-0005-0000-0000-000085150000}"/>
    <cellStyle name="Вывод 5 6 4" xfId="15161" xr:uid="{00000000-0005-0000-0000-000086150000}"/>
    <cellStyle name="Вывод 5 60" xfId="1922" xr:uid="{00000000-0005-0000-0000-000087150000}"/>
    <cellStyle name="Вывод 5 60 2" xfId="6658" xr:uid="{00000000-0005-0000-0000-000088150000}"/>
    <cellStyle name="Вывод 5 60 3" xfId="10926" xr:uid="{00000000-0005-0000-0000-000089150000}"/>
    <cellStyle name="Вывод 5 60 4" xfId="15162" xr:uid="{00000000-0005-0000-0000-00008A150000}"/>
    <cellStyle name="Вывод 5 61" xfId="1923" xr:uid="{00000000-0005-0000-0000-00008B150000}"/>
    <cellStyle name="Вывод 5 61 2" xfId="6659" xr:uid="{00000000-0005-0000-0000-00008C150000}"/>
    <cellStyle name="Вывод 5 61 3" xfId="10927" xr:uid="{00000000-0005-0000-0000-00008D150000}"/>
    <cellStyle name="Вывод 5 61 4" xfId="15163" xr:uid="{00000000-0005-0000-0000-00008E150000}"/>
    <cellStyle name="Вывод 5 62" xfId="1924" xr:uid="{00000000-0005-0000-0000-00008F150000}"/>
    <cellStyle name="Вывод 5 62 2" xfId="6660" xr:uid="{00000000-0005-0000-0000-000090150000}"/>
    <cellStyle name="Вывод 5 62 3" xfId="10928" xr:uid="{00000000-0005-0000-0000-000091150000}"/>
    <cellStyle name="Вывод 5 62 4" xfId="15164" xr:uid="{00000000-0005-0000-0000-000092150000}"/>
    <cellStyle name="Вывод 5 63" xfId="1925" xr:uid="{00000000-0005-0000-0000-000093150000}"/>
    <cellStyle name="Вывод 5 63 2" xfId="6661" xr:uid="{00000000-0005-0000-0000-000094150000}"/>
    <cellStyle name="Вывод 5 63 3" xfId="10929" xr:uid="{00000000-0005-0000-0000-000095150000}"/>
    <cellStyle name="Вывод 5 63 4" xfId="15165" xr:uid="{00000000-0005-0000-0000-000096150000}"/>
    <cellStyle name="Вывод 5 64" xfId="1926" xr:uid="{00000000-0005-0000-0000-000097150000}"/>
    <cellStyle name="Вывод 5 64 2" xfId="6662" xr:uid="{00000000-0005-0000-0000-000098150000}"/>
    <cellStyle name="Вывод 5 64 3" xfId="10930" xr:uid="{00000000-0005-0000-0000-000099150000}"/>
    <cellStyle name="Вывод 5 64 4" xfId="15166" xr:uid="{00000000-0005-0000-0000-00009A150000}"/>
    <cellStyle name="Вывод 5 65" xfId="1927" xr:uid="{00000000-0005-0000-0000-00009B150000}"/>
    <cellStyle name="Вывод 5 65 2" xfId="6663" xr:uid="{00000000-0005-0000-0000-00009C150000}"/>
    <cellStyle name="Вывод 5 65 3" xfId="10931" xr:uid="{00000000-0005-0000-0000-00009D150000}"/>
    <cellStyle name="Вывод 5 65 4" xfId="15167" xr:uid="{00000000-0005-0000-0000-00009E150000}"/>
    <cellStyle name="Вывод 5 66" xfId="1928" xr:uid="{00000000-0005-0000-0000-00009F150000}"/>
    <cellStyle name="Вывод 5 66 2" xfId="6664" xr:uid="{00000000-0005-0000-0000-0000A0150000}"/>
    <cellStyle name="Вывод 5 66 3" xfId="10932" xr:uid="{00000000-0005-0000-0000-0000A1150000}"/>
    <cellStyle name="Вывод 5 66 4" xfId="15168" xr:uid="{00000000-0005-0000-0000-0000A2150000}"/>
    <cellStyle name="Вывод 5 67" xfId="1929" xr:uid="{00000000-0005-0000-0000-0000A3150000}"/>
    <cellStyle name="Вывод 5 67 2" xfId="6665" xr:uid="{00000000-0005-0000-0000-0000A4150000}"/>
    <cellStyle name="Вывод 5 67 3" xfId="10933" xr:uid="{00000000-0005-0000-0000-0000A5150000}"/>
    <cellStyle name="Вывод 5 67 4" xfId="15169" xr:uid="{00000000-0005-0000-0000-0000A6150000}"/>
    <cellStyle name="Вывод 5 68" xfId="1930" xr:uid="{00000000-0005-0000-0000-0000A7150000}"/>
    <cellStyle name="Вывод 5 68 2" xfId="6666" xr:uid="{00000000-0005-0000-0000-0000A8150000}"/>
    <cellStyle name="Вывод 5 68 3" xfId="10934" xr:uid="{00000000-0005-0000-0000-0000A9150000}"/>
    <cellStyle name="Вывод 5 68 4" xfId="15170" xr:uid="{00000000-0005-0000-0000-0000AA150000}"/>
    <cellStyle name="Вывод 5 69" xfId="1931" xr:uid="{00000000-0005-0000-0000-0000AB150000}"/>
    <cellStyle name="Вывод 5 69 2" xfId="6667" xr:uid="{00000000-0005-0000-0000-0000AC150000}"/>
    <cellStyle name="Вывод 5 69 3" xfId="10935" xr:uid="{00000000-0005-0000-0000-0000AD150000}"/>
    <cellStyle name="Вывод 5 69 4" xfId="15171" xr:uid="{00000000-0005-0000-0000-0000AE150000}"/>
    <cellStyle name="Вывод 5 7" xfId="1932" xr:uid="{00000000-0005-0000-0000-0000AF150000}"/>
    <cellStyle name="Вывод 5 7 2" xfId="6668" xr:uid="{00000000-0005-0000-0000-0000B0150000}"/>
    <cellStyle name="Вывод 5 7 3" xfId="10936" xr:uid="{00000000-0005-0000-0000-0000B1150000}"/>
    <cellStyle name="Вывод 5 7 4" xfId="15172" xr:uid="{00000000-0005-0000-0000-0000B2150000}"/>
    <cellStyle name="Вывод 5 70" xfId="1933" xr:uid="{00000000-0005-0000-0000-0000B3150000}"/>
    <cellStyle name="Вывод 5 70 2" xfId="6669" xr:uid="{00000000-0005-0000-0000-0000B4150000}"/>
    <cellStyle name="Вывод 5 70 3" xfId="10937" xr:uid="{00000000-0005-0000-0000-0000B5150000}"/>
    <cellStyle name="Вывод 5 70 4" xfId="15173" xr:uid="{00000000-0005-0000-0000-0000B6150000}"/>
    <cellStyle name="Вывод 5 71" xfId="1934" xr:uid="{00000000-0005-0000-0000-0000B7150000}"/>
    <cellStyle name="Вывод 5 71 2" xfId="6670" xr:uid="{00000000-0005-0000-0000-0000B8150000}"/>
    <cellStyle name="Вывод 5 71 3" xfId="10938" xr:uid="{00000000-0005-0000-0000-0000B9150000}"/>
    <cellStyle name="Вывод 5 71 4" xfId="15174" xr:uid="{00000000-0005-0000-0000-0000BA150000}"/>
    <cellStyle name="Вывод 5 72" xfId="1935" xr:uid="{00000000-0005-0000-0000-0000BB150000}"/>
    <cellStyle name="Вывод 5 72 2" xfId="6671" xr:uid="{00000000-0005-0000-0000-0000BC150000}"/>
    <cellStyle name="Вывод 5 72 3" xfId="10939" xr:uid="{00000000-0005-0000-0000-0000BD150000}"/>
    <cellStyle name="Вывод 5 72 4" xfId="15175" xr:uid="{00000000-0005-0000-0000-0000BE150000}"/>
    <cellStyle name="Вывод 5 73" xfId="1936" xr:uid="{00000000-0005-0000-0000-0000BF150000}"/>
    <cellStyle name="Вывод 5 73 2" xfId="6672" xr:uid="{00000000-0005-0000-0000-0000C0150000}"/>
    <cellStyle name="Вывод 5 73 3" xfId="10940" xr:uid="{00000000-0005-0000-0000-0000C1150000}"/>
    <cellStyle name="Вывод 5 73 4" xfId="15176" xr:uid="{00000000-0005-0000-0000-0000C2150000}"/>
    <cellStyle name="Вывод 5 74" xfId="1937" xr:uid="{00000000-0005-0000-0000-0000C3150000}"/>
    <cellStyle name="Вывод 5 74 2" xfId="6673" xr:uid="{00000000-0005-0000-0000-0000C4150000}"/>
    <cellStyle name="Вывод 5 74 3" xfId="10941" xr:uid="{00000000-0005-0000-0000-0000C5150000}"/>
    <cellStyle name="Вывод 5 74 4" xfId="15177" xr:uid="{00000000-0005-0000-0000-0000C6150000}"/>
    <cellStyle name="Вывод 5 75" xfId="1938" xr:uid="{00000000-0005-0000-0000-0000C7150000}"/>
    <cellStyle name="Вывод 5 75 2" xfId="6674" xr:uid="{00000000-0005-0000-0000-0000C8150000}"/>
    <cellStyle name="Вывод 5 75 3" xfId="10942" xr:uid="{00000000-0005-0000-0000-0000C9150000}"/>
    <cellStyle name="Вывод 5 75 4" xfId="15178" xr:uid="{00000000-0005-0000-0000-0000CA150000}"/>
    <cellStyle name="Вывод 5 76" xfId="1939" xr:uid="{00000000-0005-0000-0000-0000CB150000}"/>
    <cellStyle name="Вывод 5 76 2" xfId="6675" xr:uid="{00000000-0005-0000-0000-0000CC150000}"/>
    <cellStyle name="Вывод 5 76 3" xfId="10943" xr:uid="{00000000-0005-0000-0000-0000CD150000}"/>
    <cellStyle name="Вывод 5 76 4" xfId="15179" xr:uid="{00000000-0005-0000-0000-0000CE150000}"/>
    <cellStyle name="Вывод 5 77" xfId="1940" xr:uid="{00000000-0005-0000-0000-0000CF150000}"/>
    <cellStyle name="Вывод 5 77 2" xfId="6676" xr:uid="{00000000-0005-0000-0000-0000D0150000}"/>
    <cellStyle name="Вывод 5 77 3" xfId="10944" xr:uid="{00000000-0005-0000-0000-0000D1150000}"/>
    <cellStyle name="Вывод 5 77 4" xfId="15180" xr:uid="{00000000-0005-0000-0000-0000D2150000}"/>
    <cellStyle name="Вывод 5 78" xfId="1941" xr:uid="{00000000-0005-0000-0000-0000D3150000}"/>
    <cellStyle name="Вывод 5 78 2" xfId="6677" xr:uid="{00000000-0005-0000-0000-0000D4150000}"/>
    <cellStyle name="Вывод 5 78 3" xfId="10945" xr:uid="{00000000-0005-0000-0000-0000D5150000}"/>
    <cellStyle name="Вывод 5 78 4" xfId="15181" xr:uid="{00000000-0005-0000-0000-0000D6150000}"/>
    <cellStyle name="Вывод 5 79" xfId="1942" xr:uid="{00000000-0005-0000-0000-0000D7150000}"/>
    <cellStyle name="Вывод 5 79 2" xfId="6678" xr:uid="{00000000-0005-0000-0000-0000D8150000}"/>
    <cellStyle name="Вывод 5 79 3" xfId="10946" xr:uid="{00000000-0005-0000-0000-0000D9150000}"/>
    <cellStyle name="Вывод 5 79 4" xfId="15182" xr:uid="{00000000-0005-0000-0000-0000DA150000}"/>
    <cellStyle name="Вывод 5 8" xfId="1943" xr:uid="{00000000-0005-0000-0000-0000DB150000}"/>
    <cellStyle name="Вывод 5 8 2" xfId="6679" xr:uid="{00000000-0005-0000-0000-0000DC150000}"/>
    <cellStyle name="Вывод 5 8 3" xfId="10947" xr:uid="{00000000-0005-0000-0000-0000DD150000}"/>
    <cellStyle name="Вывод 5 8 4" xfId="15183" xr:uid="{00000000-0005-0000-0000-0000DE150000}"/>
    <cellStyle name="Вывод 5 80" xfId="1944" xr:uid="{00000000-0005-0000-0000-0000DF150000}"/>
    <cellStyle name="Вывод 5 80 2" xfId="6680" xr:uid="{00000000-0005-0000-0000-0000E0150000}"/>
    <cellStyle name="Вывод 5 80 3" xfId="10948" xr:uid="{00000000-0005-0000-0000-0000E1150000}"/>
    <cellStyle name="Вывод 5 80 4" xfId="15184" xr:uid="{00000000-0005-0000-0000-0000E2150000}"/>
    <cellStyle name="Вывод 5 81" xfId="1945" xr:uid="{00000000-0005-0000-0000-0000E3150000}"/>
    <cellStyle name="Вывод 5 81 2" xfId="6681" xr:uid="{00000000-0005-0000-0000-0000E4150000}"/>
    <cellStyle name="Вывод 5 81 3" xfId="10949" xr:uid="{00000000-0005-0000-0000-0000E5150000}"/>
    <cellStyle name="Вывод 5 81 4" xfId="15185" xr:uid="{00000000-0005-0000-0000-0000E6150000}"/>
    <cellStyle name="Вывод 5 82" xfId="1946" xr:uid="{00000000-0005-0000-0000-0000E7150000}"/>
    <cellStyle name="Вывод 5 82 2" xfId="6682" xr:uid="{00000000-0005-0000-0000-0000E8150000}"/>
    <cellStyle name="Вывод 5 82 3" xfId="10950" xr:uid="{00000000-0005-0000-0000-0000E9150000}"/>
    <cellStyle name="Вывод 5 82 4" xfId="15186" xr:uid="{00000000-0005-0000-0000-0000EA150000}"/>
    <cellStyle name="Вывод 5 83" xfId="1947" xr:uid="{00000000-0005-0000-0000-0000EB150000}"/>
    <cellStyle name="Вывод 5 83 2" xfId="6683" xr:uid="{00000000-0005-0000-0000-0000EC150000}"/>
    <cellStyle name="Вывод 5 83 3" xfId="10951" xr:uid="{00000000-0005-0000-0000-0000ED150000}"/>
    <cellStyle name="Вывод 5 83 4" xfId="15187" xr:uid="{00000000-0005-0000-0000-0000EE150000}"/>
    <cellStyle name="Вывод 5 84" xfId="1948" xr:uid="{00000000-0005-0000-0000-0000EF150000}"/>
    <cellStyle name="Вывод 5 84 2" xfId="6684" xr:uid="{00000000-0005-0000-0000-0000F0150000}"/>
    <cellStyle name="Вывод 5 84 3" xfId="10952" xr:uid="{00000000-0005-0000-0000-0000F1150000}"/>
    <cellStyle name="Вывод 5 84 4" xfId="15188" xr:uid="{00000000-0005-0000-0000-0000F2150000}"/>
    <cellStyle name="Вывод 5 85" xfId="1949" xr:uid="{00000000-0005-0000-0000-0000F3150000}"/>
    <cellStyle name="Вывод 5 85 2" xfId="6685" xr:uid="{00000000-0005-0000-0000-0000F4150000}"/>
    <cellStyle name="Вывод 5 85 3" xfId="10953" xr:uid="{00000000-0005-0000-0000-0000F5150000}"/>
    <cellStyle name="Вывод 5 85 4" xfId="15189" xr:uid="{00000000-0005-0000-0000-0000F6150000}"/>
    <cellStyle name="Вывод 5 86" xfId="1950" xr:uid="{00000000-0005-0000-0000-0000F7150000}"/>
    <cellStyle name="Вывод 5 86 2" xfId="6686" xr:uid="{00000000-0005-0000-0000-0000F8150000}"/>
    <cellStyle name="Вывод 5 86 3" xfId="10954" xr:uid="{00000000-0005-0000-0000-0000F9150000}"/>
    <cellStyle name="Вывод 5 86 4" xfId="15190" xr:uid="{00000000-0005-0000-0000-0000FA150000}"/>
    <cellStyle name="Вывод 5 87" xfId="1951" xr:uid="{00000000-0005-0000-0000-0000FB150000}"/>
    <cellStyle name="Вывод 5 87 2" xfId="6687" xr:uid="{00000000-0005-0000-0000-0000FC150000}"/>
    <cellStyle name="Вывод 5 87 3" xfId="10955" xr:uid="{00000000-0005-0000-0000-0000FD150000}"/>
    <cellStyle name="Вывод 5 87 4" xfId="15191" xr:uid="{00000000-0005-0000-0000-0000FE150000}"/>
    <cellStyle name="Вывод 5 88" xfId="1952" xr:uid="{00000000-0005-0000-0000-0000FF150000}"/>
    <cellStyle name="Вывод 5 88 2" xfId="6688" xr:uid="{00000000-0005-0000-0000-000000160000}"/>
    <cellStyle name="Вывод 5 88 3" xfId="10956" xr:uid="{00000000-0005-0000-0000-000001160000}"/>
    <cellStyle name="Вывод 5 88 4" xfId="15192" xr:uid="{00000000-0005-0000-0000-000002160000}"/>
    <cellStyle name="Вывод 5 89" xfId="1953" xr:uid="{00000000-0005-0000-0000-000003160000}"/>
    <cellStyle name="Вывод 5 89 2" xfId="6689" xr:uid="{00000000-0005-0000-0000-000004160000}"/>
    <cellStyle name="Вывод 5 89 3" xfId="10957" xr:uid="{00000000-0005-0000-0000-000005160000}"/>
    <cellStyle name="Вывод 5 89 4" xfId="15193" xr:uid="{00000000-0005-0000-0000-000006160000}"/>
    <cellStyle name="Вывод 5 9" xfId="1954" xr:uid="{00000000-0005-0000-0000-000007160000}"/>
    <cellStyle name="Вывод 5 9 2" xfId="6690" xr:uid="{00000000-0005-0000-0000-000008160000}"/>
    <cellStyle name="Вывод 5 9 3" xfId="10958" xr:uid="{00000000-0005-0000-0000-000009160000}"/>
    <cellStyle name="Вывод 5 9 4" xfId="15194" xr:uid="{00000000-0005-0000-0000-00000A160000}"/>
    <cellStyle name="Вывод 5 90" xfId="1955" xr:uid="{00000000-0005-0000-0000-00000B160000}"/>
    <cellStyle name="Вывод 5 90 2" xfId="6691" xr:uid="{00000000-0005-0000-0000-00000C160000}"/>
    <cellStyle name="Вывод 5 90 3" xfId="10959" xr:uid="{00000000-0005-0000-0000-00000D160000}"/>
    <cellStyle name="Вывод 5 90 4" xfId="15195" xr:uid="{00000000-0005-0000-0000-00000E160000}"/>
    <cellStyle name="Вывод 5 91" xfId="1956" xr:uid="{00000000-0005-0000-0000-00000F160000}"/>
    <cellStyle name="Вывод 5 91 2" xfId="6692" xr:uid="{00000000-0005-0000-0000-000010160000}"/>
    <cellStyle name="Вывод 5 91 3" xfId="10960" xr:uid="{00000000-0005-0000-0000-000011160000}"/>
    <cellStyle name="Вывод 5 91 4" xfId="15196" xr:uid="{00000000-0005-0000-0000-000012160000}"/>
    <cellStyle name="Вывод 5 92" xfId="5190" xr:uid="{00000000-0005-0000-0000-000013160000}"/>
    <cellStyle name="Вывод 5 93" xfId="5254" xr:uid="{00000000-0005-0000-0000-000014160000}"/>
    <cellStyle name="Вывод 5 94" xfId="8811" xr:uid="{00000000-0005-0000-0000-000015160000}"/>
    <cellStyle name="Вывод 6" xfId="237" xr:uid="{00000000-0005-0000-0000-000016160000}"/>
    <cellStyle name="Вывод 6 10" xfId="1957" xr:uid="{00000000-0005-0000-0000-000017160000}"/>
    <cellStyle name="Вывод 6 10 2" xfId="6693" xr:uid="{00000000-0005-0000-0000-000018160000}"/>
    <cellStyle name="Вывод 6 10 3" xfId="10961" xr:uid="{00000000-0005-0000-0000-000019160000}"/>
    <cellStyle name="Вывод 6 10 4" xfId="15197" xr:uid="{00000000-0005-0000-0000-00001A160000}"/>
    <cellStyle name="Вывод 6 11" xfId="1958" xr:uid="{00000000-0005-0000-0000-00001B160000}"/>
    <cellStyle name="Вывод 6 11 2" xfId="6694" xr:uid="{00000000-0005-0000-0000-00001C160000}"/>
    <cellStyle name="Вывод 6 11 3" xfId="10962" xr:uid="{00000000-0005-0000-0000-00001D160000}"/>
    <cellStyle name="Вывод 6 11 4" xfId="15198" xr:uid="{00000000-0005-0000-0000-00001E160000}"/>
    <cellStyle name="Вывод 6 12" xfId="1959" xr:uid="{00000000-0005-0000-0000-00001F160000}"/>
    <cellStyle name="Вывод 6 12 2" xfId="6695" xr:uid="{00000000-0005-0000-0000-000020160000}"/>
    <cellStyle name="Вывод 6 12 3" xfId="10963" xr:uid="{00000000-0005-0000-0000-000021160000}"/>
    <cellStyle name="Вывод 6 12 4" xfId="15199" xr:uid="{00000000-0005-0000-0000-000022160000}"/>
    <cellStyle name="Вывод 6 13" xfId="1960" xr:uid="{00000000-0005-0000-0000-000023160000}"/>
    <cellStyle name="Вывод 6 13 2" xfId="6696" xr:uid="{00000000-0005-0000-0000-000024160000}"/>
    <cellStyle name="Вывод 6 13 3" xfId="10964" xr:uid="{00000000-0005-0000-0000-000025160000}"/>
    <cellStyle name="Вывод 6 13 4" xfId="15200" xr:uid="{00000000-0005-0000-0000-000026160000}"/>
    <cellStyle name="Вывод 6 14" xfId="1961" xr:uid="{00000000-0005-0000-0000-000027160000}"/>
    <cellStyle name="Вывод 6 14 2" xfId="6697" xr:uid="{00000000-0005-0000-0000-000028160000}"/>
    <cellStyle name="Вывод 6 14 3" xfId="10965" xr:uid="{00000000-0005-0000-0000-000029160000}"/>
    <cellStyle name="Вывод 6 14 4" xfId="15201" xr:uid="{00000000-0005-0000-0000-00002A160000}"/>
    <cellStyle name="Вывод 6 15" xfId="1962" xr:uid="{00000000-0005-0000-0000-00002B160000}"/>
    <cellStyle name="Вывод 6 15 2" xfId="6698" xr:uid="{00000000-0005-0000-0000-00002C160000}"/>
    <cellStyle name="Вывод 6 15 3" xfId="10966" xr:uid="{00000000-0005-0000-0000-00002D160000}"/>
    <cellStyle name="Вывод 6 15 4" xfId="15202" xr:uid="{00000000-0005-0000-0000-00002E160000}"/>
    <cellStyle name="Вывод 6 16" xfId="1963" xr:uid="{00000000-0005-0000-0000-00002F160000}"/>
    <cellStyle name="Вывод 6 16 2" xfId="6699" xr:uid="{00000000-0005-0000-0000-000030160000}"/>
    <cellStyle name="Вывод 6 16 3" xfId="10967" xr:uid="{00000000-0005-0000-0000-000031160000}"/>
    <cellStyle name="Вывод 6 16 4" xfId="15203" xr:uid="{00000000-0005-0000-0000-000032160000}"/>
    <cellStyle name="Вывод 6 17" xfId="1964" xr:uid="{00000000-0005-0000-0000-000033160000}"/>
    <cellStyle name="Вывод 6 17 2" xfId="6700" xr:uid="{00000000-0005-0000-0000-000034160000}"/>
    <cellStyle name="Вывод 6 17 3" xfId="10968" xr:uid="{00000000-0005-0000-0000-000035160000}"/>
    <cellStyle name="Вывод 6 17 4" xfId="15204" xr:uid="{00000000-0005-0000-0000-000036160000}"/>
    <cellStyle name="Вывод 6 18" xfId="1965" xr:uid="{00000000-0005-0000-0000-000037160000}"/>
    <cellStyle name="Вывод 6 18 2" xfId="6701" xr:uid="{00000000-0005-0000-0000-000038160000}"/>
    <cellStyle name="Вывод 6 18 3" xfId="10969" xr:uid="{00000000-0005-0000-0000-000039160000}"/>
    <cellStyle name="Вывод 6 18 4" xfId="15205" xr:uid="{00000000-0005-0000-0000-00003A160000}"/>
    <cellStyle name="Вывод 6 19" xfId="1966" xr:uid="{00000000-0005-0000-0000-00003B160000}"/>
    <cellStyle name="Вывод 6 19 2" xfId="6702" xr:uid="{00000000-0005-0000-0000-00003C160000}"/>
    <cellStyle name="Вывод 6 19 3" xfId="10970" xr:uid="{00000000-0005-0000-0000-00003D160000}"/>
    <cellStyle name="Вывод 6 19 4" xfId="15206" xr:uid="{00000000-0005-0000-0000-00003E160000}"/>
    <cellStyle name="Вывод 6 2" xfId="1967" xr:uid="{00000000-0005-0000-0000-00003F160000}"/>
    <cellStyle name="Вывод 6 2 2" xfId="1968" xr:uid="{00000000-0005-0000-0000-000040160000}"/>
    <cellStyle name="Вывод 6 2 2 2" xfId="6704" xr:uid="{00000000-0005-0000-0000-000041160000}"/>
    <cellStyle name="Вывод 6 2 2 3" xfId="10972" xr:uid="{00000000-0005-0000-0000-000042160000}"/>
    <cellStyle name="Вывод 6 2 2 4" xfId="15208" xr:uid="{00000000-0005-0000-0000-000043160000}"/>
    <cellStyle name="Вывод 6 2 3" xfId="1969" xr:uid="{00000000-0005-0000-0000-000044160000}"/>
    <cellStyle name="Вывод 6 2 3 2" xfId="6705" xr:uid="{00000000-0005-0000-0000-000045160000}"/>
    <cellStyle name="Вывод 6 2 3 3" xfId="10973" xr:uid="{00000000-0005-0000-0000-000046160000}"/>
    <cellStyle name="Вывод 6 2 3 4" xfId="15209" xr:uid="{00000000-0005-0000-0000-000047160000}"/>
    <cellStyle name="Вывод 6 2 4" xfId="6703" xr:uid="{00000000-0005-0000-0000-000048160000}"/>
    <cellStyle name="Вывод 6 2 5" xfId="10971" xr:uid="{00000000-0005-0000-0000-000049160000}"/>
    <cellStyle name="Вывод 6 2 6" xfId="15207" xr:uid="{00000000-0005-0000-0000-00004A160000}"/>
    <cellStyle name="Вывод 6 20" xfId="1970" xr:uid="{00000000-0005-0000-0000-00004B160000}"/>
    <cellStyle name="Вывод 6 20 2" xfId="6706" xr:uid="{00000000-0005-0000-0000-00004C160000}"/>
    <cellStyle name="Вывод 6 20 3" xfId="10974" xr:uid="{00000000-0005-0000-0000-00004D160000}"/>
    <cellStyle name="Вывод 6 20 4" xfId="15210" xr:uid="{00000000-0005-0000-0000-00004E160000}"/>
    <cellStyle name="Вывод 6 21" xfId="1971" xr:uid="{00000000-0005-0000-0000-00004F160000}"/>
    <cellStyle name="Вывод 6 21 2" xfId="6707" xr:uid="{00000000-0005-0000-0000-000050160000}"/>
    <cellStyle name="Вывод 6 21 3" xfId="10975" xr:uid="{00000000-0005-0000-0000-000051160000}"/>
    <cellStyle name="Вывод 6 21 4" xfId="15211" xr:uid="{00000000-0005-0000-0000-000052160000}"/>
    <cellStyle name="Вывод 6 22" xfId="1972" xr:uid="{00000000-0005-0000-0000-000053160000}"/>
    <cellStyle name="Вывод 6 22 2" xfId="6708" xr:uid="{00000000-0005-0000-0000-000054160000}"/>
    <cellStyle name="Вывод 6 22 3" xfId="10976" xr:uid="{00000000-0005-0000-0000-000055160000}"/>
    <cellStyle name="Вывод 6 22 4" xfId="15212" xr:uid="{00000000-0005-0000-0000-000056160000}"/>
    <cellStyle name="Вывод 6 23" xfId="1973" xr:uid="{00000000-0005-0000-0000-000057160000}"/>
    <cellStyle name="Вывод 6 23 2" xfId="6709" xr:uid="{00000000-0005-0000-0000-000058160000}"/>
    <cellStyle name="Вывод 6 23 3" xfId="10977" xr:uid="{00000000-0005-0000-0000-000059160000}"/>
    <cellStyle name="Вывод 6 23 4" xfId="15213" xr:uid="{00000000-0005-0000-0000-00005A160000}"/>
    <cellStyle name="Вывод 6 24" xfId="1974" xr:uid="{00000000-0005-0000-0000-00005B160000}"/>
    <cellStyle name="Вывод 6 24 2" xfId="6710" xr:uid="{00000000-0005-0000-0000-00005C160000}"/>
    <cellStyle name="Вывод 6 24 3" xfId="10978" xr:uid="{00000000-0005-0000-0000-00005D160000}"/>
    <cellStyle name="Вывод 6 24 4" xfId="15214" xr:uid="{00000000-0005-0000-0000-00005E160000}"/>
    <cellStyle name="Вывод 6 25" xfId="1975" xr:uid="{00000000-0005-0000-0000-00005F160000}"/>
    <cellStyle name="Вывод 6 25 2" xfId="6711" xr:uid="{00000000-0005-0000-0000-000060160000}"/>
    <cellStyle name="Вывод 6 25 3" xfId="10979" xr:uid="{00000000-0005-0000-0000-000061160000}"/>
    <cellStyle name="Вывод 6 25 4" xfId="15215" xr:uid="{00000000-0005-0000-0000-000062160000}"/>
    <cellStyle name="Вывод 6 26" xfId="1976" xr:uid="{00000000-0005-0000-0000-000063160000}"/>
    <cellStyle name="Вывод 6 26 2" xfId="6712" xr:uid="{00000000-0005-0000-0000-000064160000}"/>
    <cellStyle name="Вывод 6 26 3" xfId="10980" xr:uid="{00000000-0005-0000-0000-000065160000}"/>
    <cellStyle name="Вывод 6 26 4" xfId="15216" xr:uid="{00000000-0005-0000-0000-000066160000}"/>
    <cellStyle name="Вывод 6 27" xfId="1977" xr:uid="{00000000-0005-0000-0000-000067160000}"/>
    <cellStyle name="Вывод 6 27 2" xfId="6713" xr:uid="{00000000-0005-0000-0000-000068160000}"/>
    <cellStyle name="Вывод 6 27 3" xfId="10981" xr:uid="{00000000-0005-0000-0000-000069160000}"/>
    <cellStyle name="Вывод 6 27 4" xfId="15217" xr:uid="{00000000-0005-0000-0000-00006A160000}"/>
    <cellStyle name="Вывод 6 28" xfId="1978" xr:uid="{00000000-0005-0000-0000-00006B160000}"/>
    <cellStyle name="Вывод 6 28 2" xfId="6714" xr:uid="{00000000-0005-0000-0000-00006C160000}"/>
    <cellStyle name="Вывод 6 28 3" xfId="10982" xr:uid="{00000000-0005-0000-0000-00006D160000}"/>
    <cellStyle name="Вывод 6 28 4" xfId="15218" xr:uid="{00000000-0005-0000-0000-00006E160000}"/>
    <cellStyle name="Вывод 6 29" xfId="1979" xr:uid="{00000000-0005-0000-0000-00006F160000}"/>
    <cellStyle name="Вывод 6 29 2" xfId="6715" xr:uid="{00000000-0005-0000-0000-000070160000}"/>
    <cellStyle name="Вывод 6 29 3" xfId="10983" xr:uid="{00000000-0005-0000-0000-000071160000}"/>
    <cellStyle name="Вывод 6 29 4" xfId="15219" xr:uid="{00000000-0005-0000-0000-000072160000}"/>
    <cellStyle name="Вывод 6 3" xfId="1980" xr:uid="{00000000-0005-0000-0000-000073160000}"/>
    <cellStyle name="Вывод 6 3 2" xfId="1981" xr:uid="{00000000-0005-0000-0000-000074160000}"/>
    <cellStyle name="Вывод 6 3 2 2" xfId="6717" xr:uid="{00000000-0005-0000-0000-000075160000}"/>
    <cellStyle name="Вывод 6 3 2 3" xfId="10985" xr:uid="{00000000-0005-0000-0000-000076160000}"/>
    <cellStyle name="Вывод 6 3 2 4" xfId="15221" xr:uid="{00000000-0005-0000-0000-000077160000}"/>
    <cellStyle name="Вывод 6 3 3" xfId="1982" xr:uid="{00000000-0005-0000-0000-000078160000}"/>
    <cellStyle name="Вывод 6 3 3 2" xfId="6718" xr:uid="{00000000-0005-0000-0000-000079160000}"/>
    <cellStyle name="Вывод 6 3 3 3" xfId="10986" xr:uid="{00000000-0005-0000-0000-00007A160000}"/>
    <cellStyle name="Вывод 6 3 3 4" xfId="15222" xr:uid="{00000000-0005-0000-0000-00007B160000}"/>
    <cellStyle name="Вывод 6 3 4" xfId="6716" xr:uid="{00000000-0005-0000-0000-00007C160000}"/>
    <cellStyle name="Вывод 6 3 5" xfId="10984" xr:uid="{00000000-0005-0000-0000-00007D160000}"/>
    <cellStyle name="Вывод 6 3 6" xfId="15220" xr:uid="{00000000-0005-0000-0000-00007E160000}"/>
    <cellStyle name="Вывод 6 30" xfId="1983" xr:uid="{00000000-0005-0000-0000-00007F160000}"/>
    <cellStyle name="Вывод 6 30 2" xfId="6719" xr:uid="{00000000-0005-0000-0000-000080160000}"/>
    <cellStyle name="Вывод 6 30 3" xfId="10987" xr:uid="{00000000-0005-0000-0000-000081160000}"/>
    <cellStyle name="Вывод 6 30 4" xfId="15223" xr:uid="{00000000-0005-0000-0000-000082160000}"/>
    <cellStyle name="Вывод 6 31" xfId="1984" xr:uid="{00000000-0005-0000-0000-000083160000}"/>
    <cellStyle name="Вывод 6 31 2" xfId="6720" xr:uid="{00000000-0005-0000-0000-000084160000}"/>
    <cellStyle name="Вывод 6 31 3" xfId="10988" xr:uid="{00000000-0005-0000-0000-000085160000}"/>
    <cellStyle name="Вывод 6 31 4" xfId="15224" xr:uid="{00000000-0005-0000-0000-000086160000}"/>
    <cellStyle name="Вывод 6 32" xfId="1985" xr:uid="{00000000-0005-0000-0000-000087160000}"/>
    <cellStyle name="Вывод 6 32 2" xfId="6721" xr:uid="{00000000-0005-0000-0000-000088160000}"/>
    <cellStyle name="Вывод 6 32 3" xfId="10989" xr:uid="{00000000-0005-0000-0000-000089160000}"/>
    <cellStyle name="Вывод 6 32 4" xfId="15225" xr:uid="{00000000-0005-0000-0000-00008A160000}"/>
    <cellStyle name="Вывод 6 33" xfId="1986" xr:uid="{00000000-0005-0000-0000-00008B160000}"/>
    <cellStyle name="Вывод 6 33 2" xfId="6722" xr:uid="{00000000-0005-0000-0000-00008C160000}"/>
    <cellStyle name="Вывод 6 33 3" xfId="10990" xr:uid="{00000000-0005-0000-0000-00008D160000}"/>
    <cellStyle name="Вывод 6 33 4" xfId="15226" xr:uid="{00000000-0005-0000-0000-00008E160000}"/>
    <cellStyle name="Вывод 6 34" xfId="1987" xr:uid="{00000000-0005-0000-0000-00008F160000}"/>
    <cellStyle name="Вывод 6 34 2" xfId="6723" xr:uid="{00000000-0005-0000-0000-000090160000}"/>
    <cellStyle name="Вывод 6 34 3" xfId="10991" xr:uid="{00000000-0005-0000-0000-000091160000}"/>
    <cellStyle name="Вывод 6 34 4" xfId="15227" xr:uid="{00000000-0005-0000-0000-000092160000}"/>
    <cellStyle name="Вывод 6 35" xfId="1988" xr:uid="{00000000-0005-0000-0000-000093160000}"/>
    <cellStyle name="Вывод 6 35 2" xfId="6724" xr:uid="{00000000-0005-0000-0000-000094160000}"/>
    <cellStyle name="Вывод 6 35 3" xfId="10992" xr:uid="{00000000-0005-0000-0000-000095160000}"/>
    <cellStyle name="Вывод 6 35 4" xfId="15228" xr:uid="{00000000-0005-0000-0000-000096160000}"/>
    <cellStyle name="Вывод 6 36" xfId="1989" xr:uid="{00000000-0005-0000-0000-000097160000}"/>
    <cellStyle name="Вывод 6 36 2" xfId="6725" xr:uid="{00000000-0005-0000-0000-000098160000}"/>
    <cellStyle name="Вывод 6 36 3" xfId="10993" xr:uid="{00000000-0005-0000-0000-000099160000}"/>
    <cellStyle name="Вывод 6 36 4" xfId="15229" xr:uid="{00000000-0005-0000-0000-00009A160000}"/>
    <cellStyle name="Вывод 6 37" xfId="1990" xr:uid="{00000000-0005-0000-0000-00009B160000}"/>
    <cellStyle name="Вывод 6 37 2" xfId="6726" xr:uid="{00000000-0005-0000-0000-00009C160000}"/>
    <cellStyle name="Вывод 6 37 3" xfId="10994" xr:uid="{00000000-0005-0000-0000-00009D160000}"/>
    <cellStyle name="Вывод 6 37 4" xfId="15230" xr:uid="{00000000-0005-0000-0000-00009E160000}"/>
    <cellStyle name="Вывод 6 38" xfId="1991" xr:uid="{00000000-0005-0000-0000-00009F160000}"/>
    <cellStyle name="Вывод 6 38 2" xfId="6727" xr:uid="{00000000-0005-0000-0000-0000A0160000}"/>
    <cellStyle name="Вывод 6 38 3" xfId="10995" xr:uid="{00000000-0005-0000-0000-0000A1160000}"/>
    <cellStyle name="Вывод 6 38 4" xfId="15231" xr:uid="{00000000-0005-0000-0000-0000A2160000}"/>
    <cellStyle name="Вывод 6 39" xfId="1992" xr:uid="{00000000-0005-0000-0000-0000A3160000}"/>
    <cellStyle name="Вывод 6 39 2" xfId="6728" xr:uid="{00000000-0005-0000-0000-0000A4160000}"/>
    <cellStyle name="Вывод 6 39 3" xfId="10996" xr:uid="{00000000-0005-0000-0000-0000A5160000}"/>
    <cellStyle name="Вывод 6 39 4" xfId="15232" xr:uid="{00000000-0005-0000-0000-0000A6160000}"/>
    <cellStyle name="Вывод 6 4" xfId="1993" xr:uid="{00000000-0005-0000-0000-0000A7160000}"/>
    <cellStyle name="Вывод 6 4 2" xfId="1994" xr:uid="{00000000-0005-0000-0000-0000A8160000}"/>
    <cellStyle name="Вывод 6 4 2 2" xfId="6730" xr:uid="{00000000-0005-0000-0000-0000A9160000}"/>
    <cellStyle name="Вывод 6 4 2 3" xfId="10998" xr:uid="{00000000-0005-0000-0000-0000AA160000}"/>
    <cellStyle name="Вывод 6 4 2 4" xfId="15234" xr:uid="{00000000-0005-0000-0000-0000AB160000}"/>
    <cellStyle name="Вывод 6 4 3" xfId="1995" xr:uid="{00000000-0005-0000-0000-0000AC160000}"/>
    <cellStyle name="Вывод 6 4 3 2" xfId="6731" xr:uid="{00000000-0005-0000-0000-0000AD160000}"/>
    <cellStyle name="Вывод 6 4 3 3" xfId="10999" xr:uid="{00000000-0005-0000-0000-0000AE160000}"/>
    <cellStyle name="Вывод 6 4 3 4" xfId="15235" xr:uid="{00000000-0005-0000-0000-0000AF160000}"/>
    <cellStyle name="Вывод 6 4 4" xfId="6729" xr:uid="{00000000-0005-0000-0000-0000B0160000}"/>
    <cellStyle name="Вывод 6 4 5" xfId="10997" xr:uid="{00000000-0005-0000-0000-0000B1160000}"/>
    <cellStyle name="Вывод 6 4 6" xfId="15233" xr:uid="{00000000-0005-0000-0000-0000B2160000}"/>
    <cellStyle name="Вывод 6 40" xfId="1996" xr:uid="{00000000-0005-0000-0000-0000B3160000}"/>
    <cellStyle name="Вывод 6 40 2" xfId="6732" xr:uid="{00000000-0005-0000-0000-0000B4160000}"/>
    <cellStyle name="Вывод 6 40 3" xfId="11000" xr:uid="{00000000-0005-0000-0000-0000B5160000}"/>
    <cellStyle name="Вывод 6 40 4" xfId="15236" xr:uid="{00000000-0005-0000-0000-0000B6160000}"/>
    <cellStyle name="Вывод 6 41" xfId="1997" xr:uid="{00000000-0005-0000-0000-0000B7160000}"/>
    <cellStyle name="Вывод 6 41 2" xfId="6733" xr:uid="{00000000-0005-0000-0000-0000B8160000}"/>
    <cellStyle name="Вывод 6 41 3" xfId="11001" xr:uid="{00000000-0005-0000-0000-0000B9160000}"/>
    <cellStyle name="Вывод 6 41 4" xfId="15237" xr:uid="{00000000-0005-0000-0000-0000BA160000}"/>
    <cellStyle name="Вывод 6 42" xfId="1998" xr:uid="{00000000-0005-0000-0000-0000BB160000}"/>
    <cellStyle name="Вывод 6 42 2" xfId="6734" xr:uid="{00000000-0005-0000-0000-0000BC160000}"/>
    <cellStyle name="Вывод 6 42 3" xfId="11002" xr:uid="{00000000-0005-0000-0000-0000BD160000}"/>
    <cellStyle name="Вывод 6 42 4" xfId="15238" xr:uid="{00000000-0005-0000-0000-0000BE160000}"/>
    <cellStyle name="Вывод 6 43" xfId="1999" xr:uid="{00000000-0005-0000-0000-0000BF160000}"/>
    <cellStyle name="Вывод 6 43 2" xfId="6735" xr:uid="{00000000-0005-0000-0000-0000C0160000}"/>
    <cellStyle name="Вывод 6 43 3" xfId="11003" xr:uid="{00000000-0005-0000-0000-0000C1160000}"/>
    <cellStyle name="Вывод 6 43 4" xfId="15239" xr:uid="{00000000-0005-0000-0000-0000C2160000}"/>
    <cellStyle name="Вывод 6 44" xfId="2000" xr:uid="{00000000-0005-0000-0000-0000C3160000}"/>
    <cellStyle name="Вывод 6 44 2" xfId="6736" xr:uid="{00000000-0005-0000-0000-0000C4160000}"/>
    <cellStyle name="Вывод 6 44 3" xfId="11004" xr:uid="{00000000-0005-0000-0000-0000C5160000}"/>
    <cellStyle name="Вывод 6 44 4" xfId="15240" xr:uid="{00000000-0005-0000-0000-0000C6160000}"/>
    <cellStyle name="Вывод 6 45" xfId="2001" xr:uid="{00000000-0005-0000-0000-0000C7160000}"/>
    <cellStyle name="Вывод 6 45 2" xfId="6737" xr:uid="{00000000-0005-0000-0000-0000C8160000}"/>
    <cellStyle name="Вывод 6 45 3" xfId="11005" xr:uid="{00000000-0005-0000-0000-0000C9160000}"/>
    <cellStyle name="Вывод 6 45 4" xfId="15241" xr:uid="{00000000-0005-0000-0000-0000CA160000}"/>
    <cellStyle name="Вывод 6 46" xfId="2002" xr:uid="{00000000-0005-0000-0000-0000CB160000}"/>
    <cellStyle name="Вывод 6 46 2" xfId="6738" xr:uid="{00000000-0005-0000-0000-0000CC160000}"/>
    <cellStyle name="Вывод 6 46 3" xfId="11006" xr:uid="{00000000-0005-0000-0000-0000CD160000}"/>
    <cellStyle name="Вывод 6 46 4" xfId="15242" xr:uid="{00000000-0005-0000-0000-0000CE160000}"/>
    <cellStyle name="Вывод 6 47" xfId="2003" xr:uid="{00000000-0005-0000-0000-0000CF160000}"/>
    <cellStyle name="Вывод 6 47 2" xfId="6739" xr:uid="{00000000-0005-0000-0000-0000D0160000}"/>
    <cellStyle name="Вывод 6 47 3" xfId="11007" xr:uid="{00000000-0005-0000-0000-0000D1160000}"/>
    <cellStyle name="Вывод 6 47 4" xfId="15243" xr:uid="{00000000-0005-0000-0000-0000D2160000}"/>
    <cellStyle name="Вывод 6 48" xfId="2004" xr:uid="{00000000-0005-0000-0000-0000D3160000}"/>
    <cellStyle name="Вывод 6 48 2" xfId="6740" xr:uid="{00000000-0005-0000-0000-0000D4160000}"/>
    <cellStyle name="Вывод 6 48 3" xfId="11008" xr:uid="{00000000-0005-0000-0000-0000D5160000}"/>
    <cellStyle name="Вывод 6 48 4" xfId="15244" xr:uid="{00000000-0005-0000-0000-0000D6160000}"/>
    <cellStyle name="Вывод 6 49" xfId="2005" xr:uid="{00000000-0005-0000-0000-0000D7160000}"/>
    <cellStyle name="Вывод 6 49 2" xfId="6741" xr:uid="{00000000-0005-0000-0000-0000D8160000}"/>
    <cellStyle name="Вывод 6 49 3" xfId="11009" xr:uid="{00000000-0005-0000-0000-0000D9160000}"/>
    <cellStyle name="Вывод 6 49 4" xfId="15245" xr:uid="{00000000-0005-0000-0000-0000DA160000}"/>
    <cellStyle name="Вывод 6 5" xfId="2006" xr:uid="{00000000-0005-0000-0000-0000DB160000}"/>
    <cellStyle name="Вывод 6 5 2" xfId="6742" xr:uid="{00000000-0005-0000-0000-0000DC160000}"/>
    <cellStyle name="Вывод 6 5 3" xfId="11010" xr:uid="{00000000-0005-0000-0000-0000DD160000}"/>
    <cellStyle name="Вывод 6 5 4" xfId="15246" xr:uid="{00000000-0005-0000-0000-0000DE160000}"/>
    <cellStyle name="Вывод 6 50" xfId="2007" xr:uid="{00000000-0005-0000-0000-0000DF160000}"/>
    <cellStyle name="Вывод 6 50 2" xfId="6743" xr:uid="{00000000-0005-0000-0000-0000E0160000}"/>
    <cellStyle name="Вывод 6 50 3" xfId="11011" xr:uid="{00000000-0005-0000-0000-0000E1160000}"/>
    <cellStyle name="Вывод 6 50 4" xfId="15247" xr:uid="{00000000-0005-0000-0000-0000E2160000}"/>
    <cellStyle name="Вывод 6 51" xfId="2008" xr:uid="{00000000-0005-0000-0000-0000E3160000}"/>
    <cellStyle name="Вывод 6 51 2" xfId="6744" xr:uid="{00000000-0005-0000-0000-0000E4160000}"/>
    <cellStyle name="Вывод 6 51 3" xfId="11012" xr:uid="{00000000-0005-0000-0000-0000E5160000}"/>
    <cellStyle name="Вывод 6 51 4" xfId="15248" xr:uid="{00000000-0005-0000-0000-0000E6160000}"/>
    <cellStyle name="Вывод 6 52" xfId="2009" xr:uid="{00000000-0005-0000-0000-0000E7160000}"/>
    <cellStyle name="Вывод 6 52 2" xfId="6745" xr:uid="{00000000-0005-0000-0000-0000E8160000}"/>
    <cellStyle name="Вывод 6 52 3" xfId="11013" xr:uid="{00000000-0005-0000-0000-0000E9160000}"/>
    <cellStyle name="Вывод 6 52 4" xfId="15249" xr:uid="{00000000-0005-0000-0000-0000EA160000}"/>
    <cellStyle name="Вывод 6 53" xfId="2010" xr:uid="{00000000-0005-0000-0000-0000EB160000}"/>
    <cellStyle name="Вывод 6 53 2" xfId="6746" xr:uid="{00000000-0005-0000-0000-0000EC160000}"/>
    <cellStyle name="Вывод 6 53 3" xfId="11014" xr:uid="{00000000-0005-0000-0000-0000ED160000}"/>
    <cellStyle name="Вывод 6 53 4" xfId="15250" xr:uid="{00000000-0005-0000-0000-0000EE160000}"/>
    <cellStyle name="Вывод 6 54" xfId="2011" xr:uid="{00000000-0005-0000-0000-0000EF160000}"/>
    <cellStyle name="Вывод 6 54 2" xfId="6747" xr:uid="{00000000-0005-0000-0000-0000F0160000}"/>
    <cellStyle name="Вывод 6 54 3" xfId="11015" xr:uid="{00000000-0005-0000-0000-0000F1160000}"/>
    <cellStyle name="Вывод 6 54 4" xfId="15251" xr:uid="{00000000-0005-0000-0000-0000F2160000}"/>
    <cellStyle name="Вывод 6 55" xfId="2012" xr:uid="{00000000-0005-0000-0000-0000F3160000}"/>
    <cellStyle name="Вывод 6 55 2" xfId="6748" xr:uid="{00000000-0005-0000-0000-0000F4160000}"/>
    <cellStyle name="Вывод 6 55 3" xfId="11016" xr:uid="{00000000-0005-0000-0000-0000F5160000}"/>
    <cellStyle name="Вывод 6 55 4" xfId="15252" xr:uid="{00000000-0005-0000-0000-0000F6160000}"/>
    <cellStyle name="Вывод 6 56" xfId="2013" xr:uid="{00000000-0005-0000-0000-0000F7160000}"/>
    <cellStyle name="Вывод 6 56 2" xfId="6749" xr:uid="{00000000-0005-0000-0000-0000F8160000}"/>
    <cellStyle name="Вывод 6 56 3" xfId="11017" xr:uid="{00000000-0005-0000-0000-0000F9160000}"/>
    <cellStyle name="Вывод 6 56 4" xfId="15253" xr:uid="{00000000-0005-0000-0000-0000FA160000}"/>
    <cellStyle name="Вывод 6 57" xfId="2014" xr:uid="{00000000-0005-0000-0000-0000FB160000}"/>
    <cellStyle name="Вывод 6 57 2" xfId="6750" xr:uid="{00000000-0005-0000-0000-0000FC160000}"/>
    <cellStyle name="Вывод 6 57 3" xfId="11018" xr:uid="{00000000-0005-0000-0000-0000FD160000}"/>
    <cellStyle name="Вывод 6 57 4" xfId="15254" xr:uid="{00000000-0005-0000-0000-0000FE160000}"/>
    <cellStyle name="Вывод 6 58" xfId="2015" xr:uid="{00000000-0005-0000-0000-0000FF160000}"/>
    <cellStyle name="Вывод 6 58 2" xfId="6751" xr:uid="{00000000-0005-0000-0000-000000170000}"/>
    <cellStyle name="Вывод 6 58 3" xfId="11019" xr:uid="{00000000-0005-0000-0000-000001170000}"/>
    <cellStyle name="Вывод 6 58 4" xfId="15255" xr:uid="{00000000-0005-0000-0000-000002170000}"/>
    <cellStyle name="Вывод 6 59" xfId="2016" xr:uid="{00000000-0005-0000-0000-000003170000}"/>
    <cellStyle name="Вывод 6 59 2" xfId="6752" xr:uid="{00000000-0005-0000-0000-000004170000}"/>
    <cellStyle name="Вывод 6 59 3" xfId="11020" xr:uid="{00000000-0005-0000-0000-000005170000}"/>
    <cellStyle name="Вывод 6 59 4" xfId="15256" xr:uid="{00000000-0005-0000-0000-000006170000}"/>
    <cellStyle name="Вывод 6 6" xfId="2017" xr:uid="{00000000-0005-0000-0000-000007170000}"/>
    <cellStyle name="Вывод 6 6 2" xfId="6753" xr:uid="{00000000-0005-0000-0000-000008170000}"/>
    <cellStyle name="Вывод 6 6 3" xfId="11021" xr:uid="{00000000-0005-0000-0000-000009170000}"/>
    <cellStyle name="Вывод 6 6 4" xfId="15257" xr:uid="{00000000-0005-0000-0000-00000A170000}"/>
    <cellStyle name="Вывод 6 60" xfId="2018" xr:uid="{00000000-0005-0000-0000-00000B170000}"/>
    <cellStyle name="Вывод 6 60 2" xfId="6754" xr:uid="{00000000-0005-0000-0000-00000C170000}"/>
    <cellStyle name="Вывод 6 60 3" xfId="11022" xr:uid="{00000000-0005-0000-0000-00000D170000}"/>
    <cellStyle name="Вывод 6 60 4" xfId="15258" xr:uid="{00000000-0005-0000-0000-00000E170000}"/>
    <cellStyle name="Вывод 6 61" xfId="2019" xr:uid="{00000000-0005-0000-0000-00000F170000}"/>
    <cellStyle name="Вывод 6 61 2" xfId="6755" xr:uid="{00000000-0005-0000-0000-000010170000}"/>
    <cellStyle name="Вывод 6 61 3" xfId="11023" xr:uid="{00000000-0005-0000-0000-000011170000}"/>
    <cellStyle name="Вывод 6 61 4" xfId="15259" xr:uid="{00000000-0005-0000-0000-000012170000}"/>
    <cellStyle name="Вывод 6 62" xfId="2020" xr:uid="{00000000-0005-0000-0000-000013170000}"/>
    <cellStyle name="Вывод 6 62 2" xfId="6756" xr:uid="{00000000-0005-0000-0000-000014170000}"/>
    <cellStyle name="Вывод 6 62 3" xfId="11024" xr:uid="{00000000-0005-0000-0000-000015170000}"/>
    <cellStyle name="Вывод 6 62 4" xfId="15260" xr:uid="{00000000-0005-0000-0000-000016170000}"/>
    <cellStyle name="Вывод 6 63" xfId="2021" xr:uid="{00000000-0005-0000-0000-000017170000}"/>
    <cellStyle name="Вывод 6 63 2" xfId="6757" xr:uid="{00000000-0005-0000-0000-000018170000}"/>
    <cellStyle name="Вывод 6 63 3" xfId="11025" xr:uid="{00000000-0005-0000-0000-000019170000}"/>
    <cellStyle name="Вывод 6 63 4" xfId="15261" xr:uid="{00000000-0005-0000-0000-00001A170000}"/>
    <cellStyle name="Вывод 6 64" xfId="2022" xr:uid="{00000000-0005-0000-0000-00001B170000}"/>
    <cellStyle name="Вывод 6 64 2" xfId="6758" xr:uid="{00000000-0005-0000-0000-00001C170000}"/>
    <cellStyle name="Вывод 6 64 3" xfId="11026" xr:uid="{00000000-0005-0000-0000-00001D170000}"/>
    <cellStyle name="Вывод 6 64 4" xfId="15262" xr:uid="{00000000-0005-0000-0000-00001E170000}"/>
    <cellStyle name="Вывод 6 65" xfId="2023" xr:uid="{00000000-0005-0000-0000-00001F170000}"/>
    <cellStyle name="Вывод 6 65 2" xfId="6759" xr:uid="{00000000-0005-0000-0000-000020170000}"/>
    <cellStyle name="Вывод 6 65 3" xfId="11027" xr:uid="{00000000-0005-0000-0000-000021170000}"/>
    <cellStyle name="Вывод 6 65 4" xfId="15263" xr:uid="{00000000-0005-0000-0000-000022170000}"/>
    <cellStyle name="Вывод 6 66" xfId="2024" xr:uid="{00000000-0005-0000-0000-000023170000}"/>
    <cellStyle name="Вывод 6 66 2" xfId="6760" xr:uid="{00000000-0005-0000-0000-000024170000}"/>
    <cellStyle name="Вывод 6 66 3" xfId="11028" xr:uid="{00000000-0005-0000-0000-000025170000}"/>
    <cellStyle name="Вывод 6 66 4" xfId="15264" xr:uid="{00000000-0005-0000-0000-000026170000}"/>
    <cellStyle name="Вывод 6 67" xfId="2025" xr:uid="{00000000-0005-0000-0000-000027170000}"/>
    <cellStyle name="Вывод 6 67 2" xfId="6761" xr:uid="{00000000-0005-0000-0000-000028170000}"/>
    <cellStyle name="Вывод 6 67 3" xfId="11029" xr:uid="{00000000-0005-0000-0000-000029170000}"/>
    <cellStyle name="Вывод 6 67 4" xfId="15265" xr:uid="{00000000-0005-0000-0000-00002A170000}"/>
    <cellStyle name="Вывод 6 68" xfId="2026" xr:uid="{00000000-0005-0000-0000-00002B170000}"/>
    <cellStyle name="Вывод 6 68 2" xfId="6762" xr:uid="{00000000-0005-0000-0000-00002C170000}"/>
    <cellStyle name="Вывод 6 68 3" xfId="11030" xr:uid="{00000000-0005-0000-0000-00002D170000}"/>
    <cellStyle name="Вывод 6 68 4" xfId="15266" xr:uid="{00000000-0005-0000-0000-00002E170000}"/>
    <cellStyle name="Вывод 6 69" xfId="2027" xr:uid="{00000000-0005-0000-0000-00002F170000}"/>
    <cellStyle name="Вывод 6 69 2" xfId="6763" xr:uid="{00000000-0005-0000-0000-000030170000}"/>
    <cellStyle name="Вывод 6 69 3" xfId="11031" xr:uid="{00000000-0005-0000-0000-000031170000}"/>
    <cellStyle name="Вывод 6 69 4" xfId="15267" xr:uid="{00000000-0005-0000-0000-000032170000}"/>
    <cellStyle name="Вывод 6 7" xfId="2028" xr:uid="{00000000-0005-0000-0000-000033170000}"/>
    <cellStyle name="Вывод 6 7 2" xfId="6764" xr:uid="{00000000-0005-0000-0000-000034170000}"/>
    <cellStyle name="Вывод 6 7 3" xfId="11032" xr:uid="{00000000-0005-0000-0000-000035170000}"/>
    <cellStyle name="Вывод 6 7 4" xfId="15268" xr:uid="{00000000-0005-0000-0000-000036170000}"/>
    <cellStyle name="Вывод 6 70" xfId="2029" xr:uid="{00000000-0005-0000-0000-000037170000}"/>
    <cellStyle name="Вывод 6 70 2" xfId="6765" xr:uid="{00000000-0005-0000-0000-000038170000}"/>
    <cellStyle name="Вывод 6 70 3" xfId="11033" xr:uid="{00000000-0005-0000-0000-000039170000}"/>
    <cellStyle name="Вывод 6 70 4" xfId="15269" xr:uid="{00000000-0005-0000-0000-00003A170000}"/>
    <cellStyle name="Вывод 6 71" xfId="2030" xr:uid="{00000000-0005-0000-0000-00003B170000}"/>
    <cellStyle name="Вывод 6 71 2" xfId="6766" xr:uid="{00000000-0005-0000-0000-00003C170000}"/>
    <cellStyle name="Вывод 6 71 3" xfId="11034" xr:uid="{00000000-0005-0000-0000-00003D170000}"/>
    <cellStyle name="Вывод 6 71 4" xfId="15270" xr:uid="{00000000-0005-0000-0000-00003E170000}"/>
    <cellStyle name="Вывод 6 72" xfId="2031" xr:uid="{00000000-0005-0000-0000-00003F170000}"/>
    <cellStyle name="Вывод 6 72 2" xfId="6767" xr:uid="{00000000-0005-0000-0000-000040170000}"/>
    <cellStyle name="Вывод 6 72 3" xfId="11035" xr:uid="{00000000-0005-0000-0000-000041170000}"/>
    <cellStyle name="Вывод 6 72 4" xfId="15271" xr:uid="{00000000-0005-0000-0000-000042170000}"/>
    <cellStyle name="Вывод 6 73" xfId="2032" xr:uid="{00000000-0005-0000-0000-000043170000}"/>
    <cellStyle name="Вывод 6 73 2" xfId="6768" xr:uid="{00000000-0005-0000-0000-000044170000}"/>
    <cellStyle name="Вывод 6 73 3" xfId="11036" xr:uid="{00000000-0005-0000-0000-000045170000}"/>
    <cellStyle name="Вывод 6 73 4" xfId="15272" xr:uid="{00000000-0005-0000-0000-000046170000}"/>
    <cellStyle name="Вывод 6 74" xfId="2033" xr:uid="{00000000-0005-0000-0000-000047170000}"/>
    <cellStyle name="Вывод 6 74 2" xfId="6769" xr:uid="{00000000-0005-0000-0000-000048170000}"/>
    <cellStyle name="Вывод 6 74 3" xfId="11037" xr:uid="{00000000-0005-0000-0000-000049170000}"/>
    <cellStyle name="Вывод 6 74 4" xfId="15273" xr:uid="{00000000-0005-0000-0000-00004A170000}"/>
    <cellStyle name="Вывод 6 75" xfId="2034" xr:uid="{00000000-0005-0000-0000-00004B170000}"/>
    <cellStyle name="Вывод 6 75 2" xfId="6770" xr:uid="{00000000-0005-0000-0000-00004C170000}"/>
    <cellStyle name="Вывод 6 75 3" xfId="11038" xr:uid="{00000000-0005-0000-0000-00004D170000}"/>
    <cellStyle name="Вывод 6 75 4" xfId="15274" xr:uid="{00000000-0005-0000-0000-00004E170000}"/>
    <cellStyle name="Вывод 6 76" xfId="2035" xr:uid="{00000000-0005-0000-0000-00004F170000}"/>
    <cellStyle name="Вывод 6 76 2" xfId="6771" xr:uid="{00000000-0005-0000-0000-000050170000}"/>
    <cellStyle name="Вывод 6 76 3" xfId="11039" xr:uid="{00000000-0005-0000-0000-000051170000}"/>
    <cellStyle name="Вывод 6 76 4" xfId="15275" xr:uid="{00000000-0005-0000-0000-000052170000}"/>
    <cellStyle name="Вывод 6 77" xfId="2036" xr:uid="{00000000-0005-0000-0000-000053170000}"/>
    <cellStyle name="Вывод 6 77 2" xfId="6772" xr:uid="{00000000-0005-0000-0000-000054170000}"/>
    <cellStyle name="Вывод 6 77 3" xfId="11040" xr:uid="{00000000-0005-0000-0000-000055170000}"/>
    <cellStyle name="Вывод 6 77 4" xfId="15276" xr:uid="{00000000-0005-0000-0000-000056170000}"/>
    <cellStyle name="Вывод 6 78" xfId="2037" xr:uid="{00000000-0005-0000-0000-000057170000}"/>
    <cellStyle name="Вывод 6 78 2" xfId="6773" xr:uid="{00000000-0005-0000-0000-000058170000}"/>
    <cellStyle name="Вывод 6 78 3" xfId="11041" xr:uid="{00000000-0005-0000-0000-000059170000}"/>
    <cellStyle name="Вывод 6 78 4" xfId="15277" xr:uid="{00000000-0005-0000-0000-00005A170000}"/>
    <cellStyle name="Вывод 6 79" xfId="2038" xr:uid="{00000000-0005-0000-0000-00005B170000}"/>
    <cellStyle name="Вывод 6 79 2" xfId="6774" xr:uid="{00000000-0005-0000-0000-00005C170000}"/>
    <cellStyle name="Вывод 6 79 3" xfId="11042" xr:uid="{00000000-0005-0000-0000-00005D170000}"/>
    <cellStyle name="Вывод 6 79 4" xfId="15278" xr:uid="{00000000-0005-0000-0000-00005E170000}"/>
    <cellStyle name="Вывод 6 8" xfId="2039" xr:uid="{00000000-0005-0000-0000-00005F170000}"/>
    <cellStyle name="Вывод 6 8 2" xfId="6775" xr:uid="{00000000-0005-0000-0000-000060170000}"/>
    <cellStyle name="Вывод 6 8 3" xfId="11043" xr:uid="{00000000-0005-0000-0000-000061170000}"/>
    <cellStyle name="Вывод 6 8 4" xfId="15279" xr:uid="{00000000-0005-0000-0000-000062170000}"/>
    <cellStyle name="Вывод 6 80" xfId="2040" xr:uid="{00000000-0005-0000-0000-000063170000}"/>
    <cellStyle name="Вывод 6 80 2" xfId="6776" xr:uid="{00000000-0005-0000-0000-000064170000}"/>
    <cellStyle name="Вывод 6 80 3" xfId="11044" xr:uid="{00000000-0005-0000-0000-000065170000}"/>
    <cellStyle name="Вывод 6 80 4" xfId="15280" xr:uid="{00000000-0005-0000-0000-000066170000}"/>
    <cellStyle name="Вывод 6 81" xfId="2041" xr:uid="{00000000-0005-0000-0000-000067170000}"/>
    <cellStyle name="Вывод 6 81 2" xfId="6777" xr:uid="{00000000-0005-0000-0000-000068170000}"/>
    <cellStyle name="Вывод 6 81 3" xfId="11045" xr:uid="{00000000-0005-0000-0000-000069170000}"/>
    <cellStyle name="Вывод 6 81 4" xfId="15281" xr:uid="{00000000-0005-0000-0000-00006A170000}"/>
    <cellStyle name="Вывод 6 82" xfId="2042" xr:uid="{00000000-0005-0000-0000-00006B170000}"/>
    <cellStyle name="Вывод 6 82 2" xfId="6778" xr:uid="{00000000-0005-0000-0000-00006C170000}"/>
    <cellStyle name="Вывод 6 82 3" xfId="11046" xr:uid="{00000000-0005-0000-0000-00006D170000}"/>
    <cellStyle name="Вывод 6 82 4" xfId="15282" xr:uid="{00000000-0005-0000-0000-00006E170000}"/>
    <cellStyle name="Вывод 6 83" xfId="2043" xr:uid="{00000000-0005-0000-0000-00006F170000}"/>
    <cellStyle name="Вывод 6 83 2" xfId="6779" xr:uid="{00000000-0005-0000-0000-000070170000}"/>
    <cellStyle name="Вывод 6 83 3" xfId="11047" xr:uid="{00000000-0005-0000-0000-000071170000}"/>
    <cellStyle name="Вывод 6 83 4" xfId="15283" xr:uid="{00000000-0005-0000-0000-000072170000}"/>
    <cellStyle name="Вывод 6 84" xfId="2044" xr:uid="{00000000-0005-0000-0000-000073170000}"/>
    <cellStyle name="Вывод 6 84 2" xfId="6780" xr:uid="{00000000-0005-0000-0000-000074170000}"/>
    <cellStyle name="Вывод 6 84 3" xfId="11048" xr:uid="{00000000-0005-0000-0000-000075170000}"/>
    <cellStyle name="Вывод 6 84 4" xfId="15284" xr:uid="{00000000-0005-0000-0000-000076170000}"/>
    <cellStyle name="Вывод 6 85" xfId="2045" xr:uid="{00000000-0005-0000-0000-000077170000}"/>
    <cellStyle name="Вывод 6 85 2" xfId="6781" xr:uid="{00000000-0005-0000-0000-000078170000}"/>
    <cellStyle name="Вывод 6 85 3" xfId="11049" xr:uid="{00000000-0005-0000-0000-000079170000}"/>
    <cellStyle name="Вывод 6 85 4" xfId="15285" xr:uid="{00000000-0005-0000-0000-00007A170000}"/>
    <cellStyle name="Вывод 6 86" xfId="2046" xr:uid="{00000000-0005-0000-0000-00007B170000}"/>
    <cellStyle name="Вывод 6 86 2" xfId="6782" xr:uid="{00000000-0005-0000-0000-00007C170000}"/>
    <cellStyle name="Вывод 6 86 3" xfId="11050" xr:uid="{00000000-0005-0000-0000-00007D170000}"/>
    <cellStyle name="Вывод 6 86 4" xfId="15286" xr:uid="{00000000-0005-0000-0000-00007E170000}"/>
    <cellStyle name="Вывод 6 87" xfId="2047" xr:uid="{00000000-0005-0000-0000-00007F170000}"/>
    <cellStyle name="Вывод 6 87 2" xfId="6783" xr:uid="{00000000-0005-0000-0000-000080170000}"/>
    <cellStyle name="Вывод 6 87 3" xfId="11051" xr:uid="{00000000-0005-0000-0000-000081170000}"/>
    <cellStyle name="Вывод 6 87 4" xfId="15287" xr:uid="{00000000-0005-0000-0000-000082170000}"/>
    <cellStyle name="Вывод 6 88" xfId="2048" xr:uid="{00000000-0005-0000-0000-000083170000}"/>
    <cellStyle name="Вывод 6 88 2" xfId="6784" xr:uid="{00000000-0005-0000-0000-000084170000}"/>
    <cellStyle name="Вывод 6 88 3" xfId="11052" xr:uid="{00000000-0005-0000-0000-000085170000}"/>
    <cellStyle name="Вывод 6 88 4" xfId="15288" xr:uid="{00000000-0005-0000-0000-000086170000}"/>
    <cellStyle name="Вывод 6 89" xfId="2049" xr:uid="{00000000-0005-0000-0000-000087170000}"/>
    <cellStyle name="Вывод 6 89 2" xfId="6785" xr:uid="{00000000-0005-0000-0000-000088170000}"/>
    <cellStyle name="Вывод 6 89 3" xfId="11053" xr:uid="{00000000-0005-0000-0000-000089170000}"/>
    <cellStyle name="Вывод 6 89 4" xfId="15289" xr:uid="{00000000-0005-0000-0000-00008A170000}"/>
    <cellStyle name="Вывод 6 9" xfId="2050" xr:uid="{00000000-0005-0000-0000-00008B170000}"/>
    <cellStyle name="Вывод 6 9 2" xfId="6786" xr:uid="{00000000-0005-0000-0000-00008C170000}"/>
    <cellStyle name="Вывод 6 9 3" xfId="11054" xr:uid="{00000000-0005-0000-0000-00008D170000}"/>
    <cellStyle name="Вывод 6 9 4" xfId="15290" xr:uid="{00000000-0005-0000-0000-00008E170000}"/>
    <cellStyle name="Вывод 6 90" xfId="2051" xr:uid="{00000000-0005-0000-0000-00008F170000}"/>
    <cellStyle name="Вывод 6 90 2" xfId="6787" xr:uid="{00000000-0005-0000-0000-000090170000}"/>
    <cellStyle name="Вывод 6 90 3" xfId="11055" xr:uid="{00000000-0005-0000-0000-000091170000}"/>
    <cellStyle name="Вывод 6 90 4" xfId="15291" xr:uid="{00000000-0005-0000-0000-000092170000}"/>
    <cellStyle name="Вывод 6 91" xfId="2052" xr:uid="{00000000-0005-0000-0000-000093170000}"/>
    <cellStyle name="Вывод 6 91 2" xfId="6788" xr:uid="{00000000-0005-0000-0000-000094170000}"/>
    <cellStyle name="Вывод 6 91 3" xfId="11056" xr:uid="{00000000-0005-0000-0000-000095170000}"/>
    <cellStyle name="Вывод 6 91 4" xfId="15292" xr:uid="{00000000-0005-0000-0000-000096170000}"/>
    <cellStyle name="Вывод 6 92" xfId="5191" xr:uid="{00000000-0005-0000-0000-000097170000}"/>
    <cellStyle name="Вывод 6 93" xfId="5253" xr:uid="{00000000-0005-0000-0000-000098170000}"/>
    <cellStyle name="Вывод 6 94" xfId="8812" xr:uid="{00000000-0005-0000-0000-000099170000}"/>
    <cellStyle name="Вывод 7" xfId="238" xr:uid="{00000000-0005-0000-0000-00009A170000}"/>
    <cellStyle name="Вывод 7 10" xfId="2053" xr:uid="{00000000-0005-0000-0000-00009B170000}"/>
    <cellStyle name="Вывод 7 10 2" xfId="6789" xr:uid="{00000000-0005-0000-0000-00009C170000}"/>
    <cellStyle name="Вывод 7 10 3" xfId="11057" xr:uid="{00000000-0005-0000-0000-00009D170000}"/>
    <cellStyle name="Вывод 7 10 4" xfId="15293" xr:uid="{00000000-0005-0000-0000-00009E170000}"/>
    <cellStyle name="Вывод 7 11" xfId="2054" xr:uid="{00000000-0005-0000-0000-00009F170000}"/>
    <cellStyle name="Вывод 7 11 2" xfId="6790" xr:uid="{00000000-0005-0000-0000-0000A0170000}"/>
    <cellStyle name="Вывод 7 11 3" xfId="11058" xr:uid="{00000000-0005-0000-0000-0000A1170000}"/>
    <cellStyle name="Вывод 7 11 4" xfId="15294" xr:uid="{00000000-0005-0000-0000-0000A2170000}"/>
    <cellStyle name="Вывод 7 12" xfId="2055" xr:uid="{00000000-0005-0000-0000-0000A3170000}"/>
    <cellStyle name="Вывод 7 12 2" xfId="6791" xr:uid="{00000000-0005-0000-0000-0000A4170000}"/>
    <cellStyle name="Вывод 7 12 3" xfId="11059" xr:uid="{00000000-0005-0000-0000-0000A5170000}"/>
    <cellStyle name="Вывод 7 12 4" xfId="15295" xr:uid="{00000000-0005-0000-0000-0000A6170000}"/>
    <cellStyle name="Вывод 7 13" xfId="2056" xr:uid="{00000000-0005-0000-0000-0000A7170000}"/>
    <cellStyle name="Вывод 7 13 2" xfId="6792" xr:uid="{00000000-0005-0000-0000-0000A8170000}"/>
    <cellStyle name="Вывод 7 13 3" xfId="11060" xr:uid="{00000000-0005-0000-0000-0000A9170000}"/>
    <cellStyle name="Вывод 7 13 4" xfId="15296" xr:uid="{00000000-0005-0000-0000-0000AA170000}"/>
    <cellStyle name="Вывод 7 14" xfId="2057" xr:uid="{00000000-0005-0000-0000-0000AB170000}"/>
    <cellStyle name="Вывод 7 14 2" xfId="6793" xr:uid="{00000000-0005-0000-0000-0000AC170000}"/>
    <cellStyle name="Вывод 7 14 3" xfId="11061" xr:uid="{00000000-0005-0000-0000-0000AD170000}"/>
    <cellStyle name="Вывод 7 14 4" xfId="15297" xr:uid="{00000000-0005-0000-0000-0000AE170000}"/>
    <cellStyle name="Вывод 7 15" xfId="2058" xr:uid="{00000000-0005-0000-0000-0000AF170000}"/>
    <cellStyle name="Вывод 7 15 2" xfId="6794" xr:uid="{00000000-0005-0000-0000-0000B0170000}"/>
    <cellStyle name="Вывод 7 15 3" xfId="11062" xr:uid="{00000000-0005-0000-0000-0000B1170000}"/>
    <cellStyle name="Вывод 7 15 4" xfId="15298" xr:uid="{00000000-0005-0000-0000-0000B2170000}"/>
    <cellStyle name="Вывод 7 16" xfId="2059" xr:uid="{00000000-0005-0000-0000-0000B3170000}"/>
    <cellStyle name="Вывод 7 16 2" xfId="6795" xr:uid="{00000000-0005-0000-0000-0000B4170000}"/>
    <cellStyle name="Вывод 7 16 3" xfId="11063" xr:uid="{00000000-0005-0000-0000-0000B5170000}"/>
    <cellStyle name="Вывод 7 16 4" xfId="15299" xr:uid="{00000000-0005-0000-0000-0000B6170000}"/>
    <cellStyle name="Вывод 7 17" xfId="2060" xr:uid="{00000000-0005-0000-0000-0000B7170000}"/>
    <cellStyle name="Вывод 7 17 2" xfId="6796" xr:uid="{00000000-0005-0000-0000-0000B8170000}"/>
    <cellStyle name="Вывод 7 17 3" xfId="11064" xr:uid="{00000000-0005-0000-0000-0000B9170000}"/>
    <cellStyle name="Вывод 7 17 4" xfId="15300" xr:uid="{00000000-0005-0000-0000-0000BA170000}"/>
    <cellStyle name="Вывод 7 18" xfId="2061" xr:uid="{00000000-0005-0000-0000-0000BB170000}"/>
    <cellStyle name="Вывод 7 18 2" xfId="6797" xr:uid="{00000000-0005-0000-0000-0000BC170000}"/>
    <cellStyle name="Вывод 7 18 3" xfId="11065" xr:uid="{00000000-0005-0000-0000-0000BD170000}"/>
    <cellStyle name="Вывод 7 18 4" xfId="15301" xr:uid="{00000000-0005-0000-0000-0000BE170000}"/>
    <cellStyle name="Вывод 7 19" xfId="2062" xr:uid="{00000000-0005-0000-0000-0000BF170000}"/>
    <cellStyle name="Вывод 7 19 2" xfId="6798" xr:uid="{00000000-0005-0000-0000-0000C0170000}"/>
    <cellStyle name="Вывод 7 19 3" xfId="11066" xr:uid="{00000000-0005-0000-0000-0000C1170000}"/>
    <cellStyle name="Вывод 7 19 4" xfId="15302" xr:uid="{00000000-0005-0000-0000-0000C2170000}"/>
    <cellStyle name="Вывод 7 2" xfId="2063" xr:uid="{00000000-0005-0000-0000-0000C3170000}"/>
    <cellStyle name="Вывод 7 2 2" xfId="2064" xr:uid="{00000000-0005-0000-0000-0000C4170000}"/>
    <cellStyle name="Вывод 7 2 2 2" xfId="6800" xr:uid="{00000000-0005-0000-0000-0000C5170000}"/>
    <cellStyle name="Вывод 7 2 2 3" xfId="11068" xr:uid="{00000000-0005-0000-0000-0000C6170000}"/>
    <cellStyle name="Вывод 7 2 2 4" xfId="15304" xr:uid="{00000000-0005-0000-0000-0000C7170000}"/>
    <cellStyle name="Вывод 7 2 3" xfId="2065" xr:uid="{00000000-0005-0000-0000-0000C8170000}"/>
    <cellStyle name="Вывод 7 2 3 2" xfId="6801" xr:uid="{00000000-0005-0000-0000-0000C9170000}"/>
    <cellStyle name="Вывод 7 2 3 3" xfId="11069" xr:uid="{00000000-0005-0000-0000-0000CA170000}"/>
    <cellStyle name="Вывод 7 2 3 4" xfId="15305" xr:uid="{00000000-0005-0000-0000-0000CB170000}"/>
    <cellStyle name="Вывод 7 2 4" xfId="6799" xr:uid="{00000000-0005-0000-0000-0000CC170000}"/>
    <cellStyle name="Вывод 7 2 5" xfId="11067" xr:uid="{00000000-0005-0000-0000-0000CD170000}"/>
    <cellStyle name="Вывод 7 2 6" xfId="15303" xr:uid="{00000000-0005-0000-0000-0000CE170000}"/>
    <cellStyle name="Вывод 7 20" xfId="2066" xr:uid="{00000000-0005-0000-0000-0000CF170000}"/>
    <cellStyle name="Вывод 7 20 2" xfId="6802" xr:uid="{00000000-0005-0000-0000-0000D0170000}"/>
    <cellStyle name="Вывод 7 20 3" xfId="11070" xr:uid="{00000000-0005-0000-0000-0000D1170000}"/>
    <cellStyle name="Вывод 7 20 4" xfId="15306" xr:uid="{00000000-0005-0000-0000-0000D2170000}"/>
    <cellStyle name="Вывод 7 21" xfId="2067" xr:uid="{00000000-0005-0000-0000-0000D3170000}"/>
    <cellStyle name="Вывод 7 21 2" xfId="6803" xr:uid="{00000000-0005-0000-0000-0000D4170000}"/>
    <cellStyle name="Вывод 7 21 3" xfId="11071" xr:uid="{00000000-0005-0000-0000-0000D5170000}"/>
    <cellStyle name="Вывод 7 21 4" xfId="15307" xr:uid="{00000000-0005-0000-0000-0000D6170000}"/>
    <cellStyle name="Вывод 7 22" xfId="2068" xr:uid="{00000000-0005-0000-0000-0000D7170000}"/>
    <cellStyle name="Вывод 7 22 2" xfId="6804" xr:uid="{00000000-0005-0000-0000-0000D8170000}"/>
    <cellStyle name="Вывод 7 22 3" xfId="11072" xr:uid="{00000000-0005-0000-0000-0000D9170000}"/>
    <cellStyle name="Вывод 7 22 4" xfId="15308" xr:uid="{00000000-0005-0000-0000-0000DA170000}"/>
    <cellStyle name="Вывод 7 23" xfId="2069" xr:uid="{00000000-0005-0000-0000-0000DB170000}"/>
    <cellStyle name="Вывод 7 23 2" xfId="6805" xr:uid="{00000000-0005-0000-0000-0000DC170000}"/>
    <cellStyle name="Вывод 7 23 3" xfId="11073" xr:uid="{00000000-0005-0000-0000-0000DD170000}"/>
    <cellStyle name="Вывод 7 23 4" xfId="15309" xr:uid="{00000000-0005-0000-0000-0000DE170000}"/>
    <cellStyle name="Вывод 7 24" xfId="2070" xr:uid="{00000000-0005-0000-0000-0000DF170000}"/>
    <cellStyle name="Вывод 7 24 2" xfId="6806" xr:uid="{00000000-0005-0000-0000-0000E0170000}"/>
    <cellStyle name="Вывод 7 24 3" xfId="11074" xr:uid="{00000000-0005-0000-0000-0000E1170000}"/>
    <cellStyle name="Вывод 7 24 4" xfId="15310" xr:uid="{00000000-0005-0000-0000-0000E2170000}"/>
    <cellStyle name="Вывод 7 25" xfId="2071" xr:uid="{00000000-0005-0000-0000-0000E3170000}"/>
    <cellStyle name="Вывод 7 25 2" xfId="6807" xr:uid="{00000000-0005-0000-0000-0000E4170000}"/>
    <cellStyle name="Вывод 7 25 3" xfId="11075" xr:uid="{00000000-0005-0000-0000-0000E5170000}"/>
    <cellStyle name="Вывод 7 25 4" xfId="15311" xr:uid="{00000000-0005-0000-0000-0000E6170000}"/>
    <cellStyle name="Вывод 7 26" xfId="2072" xr:uid="{00000000-0005-0000-0000-0000E7170000}"/>
    <cellStyle name="Вывод 7 26 2" xfId="6808" xr:uid="{00000000-0005-0000-0000-0000E8170000}"/>
    <cellStyle name="Вывод 7 26 3" xfId="11076" xr:uid="{00000000-0005-0000-0000-0000E9170000}"/>
    <cellStyle name="Вывод 7 26 4" xfId="15312" xr:uid="{00000000-0005-0000-0000-0000EA170000}"/>
    <cellStyle name="Вывод 7 27" xfId="2073" xr:uid="{00000000-0005-0000-0000-0000EB170000}"/>
    <cellStyle name="Вывод 7 27 2" xfId="6809" xr:uid="{00000000-0005-0000-0000-0000EC170000}"/>
    <cellStyle name="Вывод 7 27 3" xfId="11077" xr:uid="{00000000-0005-0000-0000-0000ED170000}"/>
    <cellStyle name="Вывод 7 27 4" xfId="15313" xr:uid="{00000000-0005-0000-0000-0000EE170000}"/>
    <cellStyle name="Вывод 7 28" xfId="2074" xr:uid="{00000000-0005-0000-0000-0000EF170000}"/>
    <cellStyle name="Вывод 7 28 2" xfId="6810" xr:uid="{00000000-0005-0000-0000-0000F0170000}"/>
    <cellStyle name="Вывод 7 28 3" xfId="11078" xr:uid="{00000000-0005-0000-0000-0000F1170000}"/>
    <cellStyle name="Вывод 7 28 4" xfId="15314" xr:uid="{00000000-0005-0000-0000-0000F2170000}"/>
    <cellStyle name="Вывод 7 29" xfId="2075" xr:uid="{00000000-0005-0000-0000-0000F3170000}"/>
    <cellStyle name="Вывод 7 29 2" xfId="6811" xr:uid="{00000000-0005-0000-0000-0000F4170000}"/>
    <cellStyle name="Вывод 7 29 3" xfId="11079" xr:uid="{00000000-0005-0000-0000-0000F5170000}"/>
    <cellStyle name="Вывод 7 29 4" xfId="15315" xr:uid="{00000000-0005-0000-0000-0000F6170000}"/>
    <cellStyle name="Вывод 7 3" xfId="2076" xr:uid="{00000000-0005-0000-0000-0000F7170000}"/>
    <cellStyle name="Вывод 7 3 2" xfId="2077" xr:uid="{00000000-0005-0000-0000-0000F8170000}"/>
    <cellStyle name="Вывод 7 3 2 2" xfId="6813" xr:uid="{00000000-0005-0000-0000-0000F9170000}"/>
    <cellStyle name="Вывод 7 3 2 3" xfId="11081" xr:uid="{00000000-0005-0000-0000-0000FA170000}"/>
    <cellStyle name="Вывод 7 3 2 4" xfId="15317" xr:uid="{00000000-0005-0000-0000-0000FB170000}"/>
    <cellStyle name="Вывод 7 3 3" xfId="2078" xr:uid="{00000000-0005-0000-0000-0000FC170000}"/>
    <cellStyle name="Вывод 7 3 3 2" xfId="6814" xr:uid="{00000000-0005-0000-0000-0000FD170000}"/>
    <cellStyle name="Вывод 7 3 3 3" xfId="11082" xr:uid="{00000000-0005-0000-0000-0000FE170000}"/>
    <cellStyle name="Вывод 7 3 3 4" xfId="15318" xr:uid="{00000000-0005-0000-0000-0000FF170000}"/>
    <cellStyle name="Вывод 7 3 4" xfId="6812" xr:uid="{00000000-0005-0000-0000-000000180000}"/>
    <cellStyle name="Вывод 7 3 5" xfId="11080" xr:uid="{00000000-0005-0000-0000-000001180000}"/>
    <cellStyle name="Вывод 7 3 6" xfId="15316" xr:uid="{00000000-0005-0000-0000-000002180000}"/>
    <cellStyle name="Вывод 7 30" xfId="2079" xr:uid="{00000000-0005-0000-0000-000003180000}"/>
    <cellStyle name="Вывод 7 30 2" xfId="6815" xr:uid="{00000000-0005-0000-0000-000004180000}"/>
    <cellStyle name="Вывод 7 30 3" xfId="11083" xr:uid="{00000000-0005-0000-0000-000005180000}"/>
    <cellStyle name="Вывод 7 30 4" xfId="15319" xr:uid="{00000000-0005-0000-0000-000006180000}"/>
    <cellStyle name="Вывод 7 31" xfId="2080" xr:uid="{00000000-0005-0000-0000-000007180000}"/>
    <cellStyle name="Вывод 7 31 2" xfId="6816" xr:uid="{00000000-0005-0000-0000-000008180000}"/>
    <cellStyle name="Вывод 7 31 3" xfId="11084" xr:uid="{00000000-0005-0000-0000-000009180000}"/>
    <cellStyle name="Вывод 7 31 4" xfId="15320" xr:uid="{00000000-0005-0000-0000-00000A180000}"/>
    <cellStyle name="Вывод 7 32" xfId="2081" xr:uid="{00000000-0005-0000-0000-00000B180000}"/>
    <cellStyle name="Вывод 7 32 2" xfId="6817" xr:uid="{00000000-0005-0000-0000-00000C180000}"/>
    <cellStyle name="Вывод 7 32 3" xfId="11085" xr:uid="{00000000-0005-0000-0000-00000D180000}"/>
    <cellStyle name="Вывод 7 32 4" xfId="15321" xr:uid="{00000000-0005-0000-0000-00000E180000}"/>
    <cellStyle name="Вывод 7 33" xfId="2082" xr:uid="{00000000-0005-0000-0000-00000F180000}"/>
    <cellStyle name="Вывод 7 33 2" xfId="6818" xr:uid="{00000000-0005-0000-0000-000010180000}"/>
    <cellStyle name="Вывод 7 33 3" xfId="11086" xr:uid="{00000000-0005-0000-0000-000011180000}"/>
    <cellStyle name="Вывод 7 33 4" xfId="15322" xr:uid="{00000000-0005-0000-0000-000012180000}"/>
    <cellStyle name="Вывод 7 34" xfId="2083" xr:uid="{00000000-0005-0000-0000-000013180000}"/>
    <cellStyle name="Вывод 7 34 2" xfId="6819" xr:uid="{00000000-0005-0000-0000-000014180000}"/>
    <cellStyle name="Вывод 7 34 3" xfId="11087" xr:uid="{00000000-0005-0000-0000-000015180000}"/>
    <cellStyle name="Вывод 7 34 4" xfId="15323" xr:uid="{00000000-0005-0000-0000-000016180000}"/>
    <cellStyle name="Вывод 7 35" xfId="2084" xr:uid="{00000000-0005-0000-0000-000017180000}"/>
    <cellStyle name="Вывод 7 35 2" xfId="6820" xr:uid="{00000000-0005-0000-0000-000018180000}"/>
    <cellStyle name="Вывод 7 35 3" xfId="11088" xr:uid="{00000000-0005-0000-0000-000019180000}"/>
    <cellStyle name="Вывод 7 35 4" xfId="15324" xr:uid="{00000000-0005-0000-0000-00001A180000}"/>
    <cellStyle name="Вывод 7 36" xfId="2085" xr:uid="{00000000-0005-0000-0000-00001B180000}"/>
    <cellStyle name="Вывод 7 36 2" xfId="6821" xr:uid="{00000000-0005-0000-0000-00001C180000}"/>
    <cellStyle name="Вывод 7 36 3" xfId="11089" xr:uid="{00000000-0005-0000-0000-00001D180000}"/>
    <cellStyle name="Вывод 7 36 4" xfId="15325" xr:uid="{00000000-0005-0000-0000-00001E180000}"/>
    <cellStyle name="Вывод 7 37" xfId="2086" xr:uid="{00000000-0005-0000-0000-00001F180000}"/>
    <cellStyle name="Вывод 7 37 2" xfId="6822" xr:uid="{00000000-0005-0000-0000-000020180000}"/>
    <cellStyle name="Вывод 7 37 3" xfId="11090" xr:uid="{00000000-0005-0000-0000-000021180000}"/>
    <cellStyle name="Вывод 7 37 4" xfId="15326" xr:uid="{00000000-0005-0000-0000-000022180000}"/>
    <cellStyle name="Вывод 7 38" xfId="2087" xr:uid="{00000000-0005-0000-0000-000023180000}"/>
    <cellStyle name="Вывод 7 38 2" xfId="6823" xr:uid="{00000000-0005-0000-0000-000024180000}"/>
    <cellStyle name="Вывод 7 38 3" xfId="11091" xr:uid="{00000000-0005-0000-0000-000025180000}"/>
    <cellStyle name="Вывод 7 38 4" xfId="15327" xr:uid="{00000000-0005-0000-0000-000026180000}"/>
    <cellStyle name="Вывод 7 39" xfId="2088" xr:uid="{00000000-0005-0000-0000-000027180000}"/>
    <cellStyle name="Вывод 7 39 2" xfId="6824" xr:uid="{00000000-0005-0000-0000-000028180000}"/>
    <cellStyle name="Вывод 7 39 3" xfId="11092" xr:uid="{00000000-0005-0000-0000-000029180000}"/>
    <cellStyle name="Вывод 7 39 4" xfId="15328" xr:uid="{00000000-0005-0000-0000-00002A180000}"/>
    <cellStyle name="Вывод 7 4" xfId="2089" xr:uid="{00000000-0005-0000-0000-00002B180000}"/>
    <cellStyle name="Вывод 7 4 2" xfId="2090" xr:uid="{00000000-0005-0000-0000-00002C180000}"/>
    <cellStyle name="Вывод 7 4 2 2" xfId="6826" xr:uid="{00000000-0005-0000-0000-00002D180000}"/>
    <cellStyle name="Вывод 7 4 2 3" xfId="11094" xr:uid="{00000000-0005-0000-0000-00002E180000}"/>
    <cellStyle name="Вывод 7 4 2 4" xfId="15330" xr:uid="{00000000-0005-0000-0000-00002F180000}"/>
    <cellStyle name="Вывод 7 4 3" xfId="2091" xr:uid="{00000000-0005-0000-0000-000030180000}"/>
    <cellStyle name="Вывод 7 4 3 2" xfId="6827" xr:uid="{00000000-0005-0000-0000-000031180000}"/>
    <cellStyle name="Вывод 7 4 3 3" xfId="11095" xr:uid="{00000000-0005-0000-0000-000032180000}"/>
    <cellStyle name="Вывод 7 4 3 4" xfId="15331" xr:uid="{00000000-0005-0000-0000-000033180000}"/>
    <cellStyle name="Вывод 7 4 4" xfId="6825" xr:uid="{00000000-0005-0000-0000-000034180000}"/>
    <cellStyle name="Вывод 7 4 5" xfId="11093" xr:uid="{00000000-0005-0000-0000-000035180000}"/>
    <cellStyle name="Вывод 7 4 6" xfId="15329" xr:uid="{00000000-0005-0000-0000-000036180000}"/>
    <cellStyle name="Вывод 7 40" xfId="2092" xr:uid="{00000000-0005-0000-0000-000037180000}"/>
    <cellStyle name="Вывод 7 40 2" xfId="6828" xr:uid="{00000000-0005-0000-0000-000038180000}"/>
    <cellStyle name="Вывод 7 40 3" xfId="11096" xr:uid="{00000000-0005-0000-0000-000039180000}"/>
    <cellStyle name="Вывод 7 40 4" xfId="15332" xr:uid="{00000000-0005-0000-0000-00003A180000}"/>
    <cellStyle name="Вывод 7 41" xfId="2093" xr:uid="{00000000-0005-0000-0000-00003B180000}"/>
    <cellStyle name="Вывод 7 41 2" xfId="6829" xr:uid="{00000000-0005-0000-0000-00003C180000}"/>
    <cellStyle name="Вывод 7 41 3" xfId="11097" xr:uid="{00000000-0005-0000-0000-00003D180000}"/>
    <cellStyle name="Вывод 7 41 4" xfId="15333" xr:uid="{00000000-0005-0000-0000-00003E180000}"/>
    <cellStyle name="Вывод 7 42" xfId="2094" xr:uid="{00000000-0005-0000-0000-00003F180000}"/>
    <cellStyle name="Вывод 7 42 2" xfId="6830" xr:uid="{00000000-0005-0000-0000-000040180000}"/>
    <cellStyle name="Вывод 7 42 3" xfId="11098" xr:uid="{00000000-0005-0000-0000-000041180000}"/>
    <cellStyle name="Вывод 7 42 4" xfId="15334" xr:uid="{00000000-0005-0000-0000-000042180000}"/>
    <cellStyle name="Вывод 7 43" xfId="2095" xr:uid="{00000000-0005-0000-0000-000043180000}"/>
    <cellStyle name="Вывод 7 43 2" xfId="6831" xr:uid="{00000000-0005-0000-0000-000044180000}"/>
    <cellStyle name="Вывод 7 43 3" xfId="11099" xr:uid="{00000000-0005-0000-0000-000045180000}"/>
    <cellStyle name="Вывод 7 43 4" xfId="15335" xr:uid="{00000000-0005-0000-0000-000046180000}"/>
    <cellStyle name="Вывод 7 44" xfId="2096" xr:uid="{00000000-0005-0000-0000-000047180000}"/>
    <cellStyle name="Вывод 7 44 2" xfId="6832" xr:uid="{00000000-0005-0000-0000-000048180000}"/>
    <cellStyle name="Вывод 7 44 3" xfId="11100" xr:uid="{00000000-0005-0000-0000-000049180000}"/>
    <cellStyle name="Вывод 7 44 4" xfId="15336" xr:uid="{00000000-0005-0000-0000-00004A180000}"/>
    <cellStyle name="Вывод 7 45" xfId="2097" xr:uid="{00000000-0005-0000-0000-00004B180000}"/>
    <cellStyle name="Вывод 7 45 2" xfId="6833" xr:uid="{00000000-0005-0000-0000-00004C180000}"/>
    <cellStyle name="Вывод 7 45 3" xfId="11101" xr:uid="{00000000-0005-0000-0000-00004D180000}"/>
    <cellStyle name="Вывод 7 45 4" xfId="15337" xr:uid="{00000000-0005-0000-0000-00004E180000}"/>
    <cellStyle name="Вывод 7 46" xfId="2098" xr:uid="{00000000-0005-0000-0000-00004F180000}"/>
    <cellStyle name="Вывод 7 46 2" xfId="6834" xr:uid="{00000000-0005-0000-0000-000050180000}"/>
    <cellStyle name="Вывод 7 46 3" xfId="11102" xr:uid="{00000000-0005-0000-0000-000051180000}"/>
    <cellStyle name="Вывод 7 46 4" xfId="15338" xr:uid="{00000000-0005-0000-0000-000052180000}"/>
    <cellStyle name="Вывод 7 47" xfId="2099" xr:uid="{00000000-0005-0000-0000-000053180000}"/>
    <cellStyle name="Вывод 7 47 2" xfId="6835" xr:uid="{00000000-0005-0000-0000-000054180000}"/>
    <cellStyle name="Вывод 7 47 3" xfId="11103" xr:uid="{00000000-0005-0000-0000-000055180000}"/>
    <cellStyle name="Вывод 7 47 4" xfId="15339" xr:uid="{00000000-0005-0000-0000-000056180000}"/>
    <cellStyle name="Вывод 7 48" xfId="2100" xr:uid="{00000000-0005-0000-0000-000057180000}"/>
    <cellStyle name="Вывод 7 48 2" xfId="6836" xr:uid="{00000000-0005-0000-0000-000058180000}"/>
    <cellStyle name="Вывод 7 48 3" xfId="11104" xr:uid="{00000000-0005-0000-0000-000059180000}"/>
    <cellStyle name="Вывод 7 48 4" xfId="15340" xr:uid="{00000000-0005-0000-0000-00005A180000}"/>
    <cellStyle name="Вывод 7 49" xfId="2101" xr:uid="{00000000-0005-0000-0000-00005B180000}"/>
    <cellStyle name="Вывод 7 49 2" xfId="6837" xr:uid="{00000000-0005-0000-0000-00005C180000}"/>
    <cellStyle name="Вывод 7 49 3" xfId="11105" xr:uid="{00000000-0005-0000-0000-00005D180000}"/>
    <cellStyle name="Вывод 7 49 4" xfId="15341" xr:uid="{00000000-0005-0000-0000-00005E180000}"/>
    <cellStyle name="Вывод 7 5" xfId="2102" xr:uid="{00000000-0005-0000-0000-00005F180000}"/>
    <cellStyle name="Вывод 7 5 2" xfId="6838" xr:uid="{00000000-0005-0000-0000-000060180000}"/>
    <cellStyle name="Вывод 7 5 3" xfId="11106" xr:uid="{00000000-0005-0000-0000-000061180000}"/>
    <cellStyle name="Вывод 7 5 4" xfId="15342" xr:uid="{00000000-0005-0000-0000-000062180000}"/>
    <cellStyle name="Вывод 7 50" xfId="2103" xr:uid="{00000000-0005-0000-0000-000063180000}"/>
    <cellStyle name="Вывод 7 50 2" xfId="6839" xr:uid="{00000000-0005-0000-0000-000064180000}"/>
    <cellStyle name="Вывод 7 50 3" xfId="11107" xr:uid="{00000000-0005-0000-0000-000065180000}"/>
    <cellStyle name="Вывод 7 50 4" xfId="15343" xr:uid="{00000000-0005-0000-0000-000066180000}"/>
    <cellStyle name="Вывод 7 51" xfId="2104" xr:uid="{00000000-0005-0000-0000-000067180000}"/>
    <cellStyle name="Вывод 7 51 2" xfId="6840" xr:uid="{00000000-0005-0000-0000-000068180000}"/>
    <cellStyle name="Вывод 7 51 3" xfId="11108" xr:uid="{00000000-0005-0000-0000-000069180000}"/>
    <cellStyle name="Вывод 7 51 4" xfId="15344" xr:uid="{00000000-0005-0000-0000-00006A180000}"/>
    <cellStyle name="Вывод 7 52" xfId="2105" xr:uid="{00000000-0005-0000-0000-00006B180000}"/>
    <cellStyle name="Вывод 7 52 2" xfId="6841" xr:uid="{00000000-0005-0000-0000-00006C180000}"/>
    <cellStyle name="Вывод 7 52 3" xfId="11109" xr:uid="{00000000-0005-0000-0000-00006D180000}"/>
    <cellStyle name="Вывод 7 52 4" xfId="15345" xr:uid="{00000000-0005-0000-0000-00006E180000}"/>
    <cellStyle name="Вывод 7 53" xfId="2106" xr:uid="{00000000-0005-0000-0000-00006F180000}"/>
    <cellStyle name="Вывод 7 53 2" xfId="6842" xr:uid="{00000000-0005-0000-0000-000070180000}"/>
    <cellStyle name="Вывод 7 53 3" xfId="11110" xr:uid="{00000000-0005-0000-0000-000071180000}"/>
    <cellStyle name="Вывод 7 53 4" xfId="15346" xr:uid="{00000000-0005-0000-0000-000072180000}"/>
    <cellStyle name="Вывод 7 54" xfId="2107" xr:uid="{00000000-0005-0000-0000-000073180000}"/>
    <cellStyle name="Вывод 7 54 2" xfId="6843" xr:uid="{00000000-0005-0000-0000-000074180000}"/>
    <cellStyle name="Вывод 7 54 3" xfId="11111" xr:uid="{00000000-0005-0000-0000-000075180000}"/>
    <cellStyle name="Вывод 7 54 4" xfId="15347" xr:uid="{00000000-0005-0000-0000-000076180000}"/>
    <cellStyle name="Вывод 7 55" xfId="2108" xr:uid="{00000000-0005-0000-0000-000077180000}"/>
    <cellStyle name="Вывод 7 55 2" xfId="6844" xr:uid="{00000000-0005-0000-0000-000078180000}"/>
    <cellStyle name="Вывод 7 55 3" xfId="11112" xr:uid="{00000000-0005-0000-0000-000079180000}"/>
    <cellStyle name="Вывод 7 55 4" xfId="15348" xr:uid="{00000000-0005-0000-0000-00007A180000}"/>
    <cellStyle name="Вывод 7 56" xfId="2109" xr:uid="{00000000-0005-0000-0000-00007B180000}"/>
    <cellStyle name="Вывод 7 56 2" xfId="6845" xr:uid="{00000000-0005-0000-0000-00007C180000}"/>
    <cellStyle name="Вывод 7 56 3" xfId="11113" xr:uid="{00000000-0005-0000-0000-00007D180000}"/>
    <cellStyle name="Вывод 7 56 4" xfId="15349" xr:uid="{00000000-0005-0000-0000-00007E180000}"/>
    <cellStyle name="Вывод 7 57" xfId="2110" xr:uid="{00000000-0005-0000-0000-00007F180000}"/>
    <cellStyle name="Вывод 7 57 2" xfId="6846" xr:uid="{00000000-0005-0000-0000-000080180000}"/>
    <cellStyle name="Вывод 7 57 3" xfId="11114" xr:uid="{00000000-0005-0000-0000-000081180000}"/>
    <cellStyle name="Вывод 7 57 4" xfId="15350" xr:uid="{00000000-0005-0000-0000-000082180000}"/>
    <cellStyle name="Вывод 7 58" xfId="2111" xr:uid="{00000000-0005-0000-0000-000083180000}"/>
    <cellStyle name="Вывод 7 58 2" xfId="6847" xr:uid="{00000000-0005-0000-0000-000084180000}"/>
    <cellStyle name="Вывод 7 58 3" xfId="11115" xr:uid="{00000000-0005-0000-0000-000085180000}"/>
    <cellStyle name="Вывод 7 58 4" xfId="15351" xr:uid="{00000000-0005-0000-0000-000086180000}"/>
    <cellStyle name="Вывод 7 59" xfId="2112" xr:uid="{00000000-0005-0000-0000-000087180000}"/>
    <cellStyle name="Вывод 7 59 2" xfId="6848" xr:uid="{00000000-0005-0000-0000-000088180000}"/>
    <cellStyle name="Вывод 7 59 3" xfId="11116" xr:uid="{00000000-0005-0000-0000-000089180000}"/>
    <cellStyle name="Вывод 7 59 4" xfId="15352" xr:uid="{00000000-0005-0000-0000-00008A180000}"/>
    <cellStyle name="Вывод 7 6" xfId="2113" xr:uid="{00000000-0005-0000-0000-00008B180000}"/>
    <cellStyle name="Вывод 7 6 2" xfId="6849" xr:uid="{00000000-0005-0000-0000-00008C180000}"/>
    <cellStyle name="Вывод 7 6 3" xfId="11117" xr:uid="{00000000-0005-0000-0000-00008D180000}"/>
    <cellStyle name="Вывод 7 6 4" xfId="15353" xr:uid="{00000000-0005-0000-0000-00008E180000}"/>
    <cellStyle name="Вывод 7 60" xfId="2114" xr:uid="{00000000-0005-0000-0000-00008F180000}"/>
    <cellStyle name="Вывод 7 60 2" xfId="6850" xr:uid="{00000000-0005-0000-0000-000090180000}"/>
    <cellStyle name="Вывод 7 60 3" xfId="11118" xr:uid="{00000000-0005-0000-0000-000091180000}"/>
    <cellStyle name="Вывод 7 60 4" xfId="15354" xr:uid="{00000000-0005-0000-0000-000092180000}"/>
    <cellStyle name="Вывод 7 61" xfId="2115" xr:uid="{00000000-0005-0000-0000-000093180000}"/>
    <cellStyle name="Вывод 7 61 2" xfId="6851" xr:uid="{00000000-0005-0000-0000-000094180000}"/>
    <cellStyle name="Вывод 7 61 3" xfId="11119" xr:uid="{00000000-0005-0000-0000-000095180000}"/>
    <cellStyle name="Вывод 7 61 4" xfId="15355" xr:uid="{00000000-0005-0000-0000-000096180000}"/>
    <cellStyle name="Вывод 7 62" xfId="2116" xr:uid="{00000000-0005-0000-0000-000097180000}"/>
    <cellStyle name="Вывод 7 62 2" xfId="6852" xr:uid="{00000000-0005-0000-0000-000098180000}"/>
    <cellStyle name="Вывод 7 62 3" xfId="11120" xr:uid="{00000000-0005-0000-0000-000099180000}"/>
    <cellStyle name="Вывод 7 62 4" xfId="15356" xr:uid="{00000000-0005-0000-0000-00009A180000}"/>
    <cellStyle name="Вывод 7 63" xfId="2117" xr:uid="{00000000-0005-0000-0000-00009B180000}"/>
    <cellStyle name="Вывод 7 63 2" xfId="6853" xr:uid="{00000000-0005-0000-0000-00009C180000}"/>
    <cellStyle name="Вывод 7 63 3" xfId="11121" xr:uid="{00000000-0005-0000-0000-00009D180000}"/>
    <cellStyle name="Вывод 7 63 4" xfId="15357" xr:uid="{00000000-0005-0000-0000-00009E180000}"/>
    <cellStyle name="Вывод 7 64" xfId="2118" xr:uid="{00000000-0005-0000-0000-00009F180000}"/>
    <cellStyle name="Вывод 7 64 2" xfId="6854" xr:uid="{00000000-0005-0000-0000-0000A0180000}"/>
    <cellStyle name="Вывод 7 64 3" xfId="11122" xr:uid="{00000000-0005-0000-0000-0000A1180000}"/>
    <cellStyle name="Вывод 7 64 4" xfId="15358" xr:uid="{00000000-0005-0000-0000-0000A2180000}"/>
    <cellStyle name="Вывод 7 65" xfId="2119" xr:uid="{00000000-0005-0000-0000-0000A3180000}"/>
    <cellStyle name="Вывод 7 65 2" xfId="6855" xr:uid="{00000000-0005-0000-0000-0000A4180000}"/>
    <cellStyle name="Вывод 7 65 3" xfId="11123" xr:uid="{00000000-0005-0000-0000-0000A5180000}"/>
    <cellStyle name="Вывод 7 65 4" xfId="15359" xr:uid="{00000000-0005-0000-0000-0000A6180000}"/>
    <cellStyle name="Вывод 7 66" xfId="2120" xr:uid="{00000000-0005-0000-0000-0000A7180000}"/>
    <cellStyle name="Вывод 7 66 2" xfId="6856" xr:uid="{00000000-0005-0000-0000-0000A8180000}"/>
    <cellStyle name="Вывод 7 66 3" xfId="11124" xr:uid="{00000000-0005-0000-0000-0000A9180000}"/>
    <cellStyle name="Вывод 7 66 4" xfId="15360" xr:uid="{00000000-0005-0000-0000-0000AA180000}"/>
    <cellStyle name="Вывод 7 67" xfId="2121" xr:uid="{00000000-0005-0000-0000-0000AB180000}"/>
    <cellStyle name="Вывод 7 67 2" xfId="6857" xr:uid="{00000000-0005-0000-0000-0000AC180000}"/>
    <cellStyle name="Вывод 7 67 3" xfId="11125" xr:uid="{00000000-0005-0000-0000-0000AD180000}"/>
    <cellStyle name="Вывод 7 67 4" xfId="15361" xr:uid="{00000000-0005-0000-0000-0000AE180000}"/>
    <cellStyle name="Вывод 7 68" xfId="2122" xr:uid="{00000000-0005-0000-0000-0000AF180000}"/>
    <cellStyle name="Вывод 7 68 2" xfId="6858" xr:uid="{00000000-0005-0000-0000-0000B0180000}"/>
    <cellStyle name="Вывод 7 68 3" xfId="11126" xr:uid="{00000000-0005-0000-0000-0000B1180000}"/>
    <cellStyle name="Вывод 7 68 4" xfId="15362" xr:uid="{00000000-0005-0000-0000-0000B2180000}"/>
    <cellStyle name="Вывод 7 69" xfId="2123" xr:uid="{00000000-0005-0000-0000-0000B3180000}"/>
    <cellStyle name="Вывод 7 69 2" xfId="6859" xr:uid="{00000000-0005-0000-0000-0000B4180000}"/>
    <cellStyle name="Вывод 7 69 3" xfId="11127" xr:uid="{00000000-0005-0000-0000-0000B5180000}"/>
    <cellStyle name="Вывод 7 69 4" xfId="15363" xr:uid="{00000000-0005-0000-0000-0000B6180000}"/>
    <cellStyle name="Вывод 7 7" xfId="2124" xr:uid="{00000000-0005-0000-0000-0000B7180000}"/>
    <cellStyle name="Вывод 7 7 2" xfId="6860" xr:uid="{00000000-0005-0000-0000-0000B8180000}"/>
    <cellStyle name="Вывод 7 7 3" xfId="11128" xr:uid="{00000000-0005-0000-0000-0000B9180000}"/>
    <cellStyle name="Вывод 7 7 4" xfId="15364" xr:uid="{00000000-0005-0000-0000-0000BA180000}"/>
    <cellStyle name="Вывод 7 70" xfId="2125" xr:uid="{00000000-0005-0000-0000-0000BB180000}"/>
    <cellStyle name="Вывод 7 70 2" xfId="6861" xr:uid="{00000000-0005-0000-0000-0000BC180000}"/>
    <cellStyle name="Вывод 7 70 3" xfId="11129" xr:uid="{00000000-0005-0000-0000-0000BD180000}"/>
    <cellStyle name="Вывод 7 70 4" xfId="15365" xr:uid="{00000000-0005-0000-0000-0000BE180000}"/>
    <cellStyle name="Вывод 7 71" xfId="2126" xr:uid="{00000000-0005-0000-0000-0000BF180000}"/>
    <cellStyle name="Вывод 7 71 2" xfId="6862" xr:uid="{00000000-0005-0000-0000-0000C0180000}"/>
    <cellStyle name="Вывод 7 71 3" xfId="11130" xr:uid="{00000000-0005-0000-0000-0000C1180000}"/>
    <cellStyle name="Вывод 7 71 4" xfId="15366" xr:uid="{00000000-0005-0000-0000-0000C2180000}"/>
    <cellStyle name="Вывод 7 72" xfId="2127" xr:uid="{00000000-0005-0000-0000-0000C3180000}"/>
    <cellStyle name="Вывод 7 72 2" xfId="6863" xr:uid="{00000000-0005-0000-0000-0000C4180000}"/>
    <cellStyle name="Вывод 7 72 3" xfId="11131" xr:uid="{00000000-0005-0000-0000-0000C5180000}"/>
    <cellStyle name="Вывод 7 72 4" xfId="15367" xr:uid="{00000000-0005-0000-0000-0000C6180000}"/>
    <cellStyle name="Вывод 7 73" xfId="2128" xr:uid="{00000000-0005-0000-0000-0000C7180000}"/>
    <cellStyle name="Вывод 7 73 2" xfId="6864" xr:uid="{00000000-0005-0000-0000-0000C8180000}"/>
    <cellStyle name="Вывод 7 73 3" xfId="11132" xr:uid="{00000000-0005-0000-0000-0000C9180000}"/>
    <cellStyle name="Вывод 7 73 4" xfId="15368" xr:uid="{00000000-0005-0000-0000-0000CA180000}"/>
    <cellStyle name="Вывод 7 74" xfId="2129" xr:uid="{00000000-0005-0000-0000-0000CB180000}"/>
    <cellStyle name="Вывод 7 74 2" xfId="6865" xr:uid="{00000000-0005-0000-0000-0000CC180000}"/>
    <cellStyle name="Вывод 7 74 3" xfId="11133" xr:uid="{00000000-0005-0000-0000-0000CD180000}"/>
    <cellStyle name="Вывод 7 74 4" xfId="15369" xr:uid="{00000000-0005-0000-0000-0000CE180000}"/>
    <cellStyle name="Вывод 7 75" xfId="2130" xr:uid="{00000000-0005-0000-0000-0000CF180000}"/>
    <cellStyle name="Вывод 7 75 2" xfId="6866" xr:uid="{00000000-0005-0000-0000-0000D0180000}"/>
    <cellStyle name="Вывод 7 75 3" xfId="11134" xr:uid="{00000000-0005-0000-0000-0000D1180000}"/>
    <cellStyle name="Вывод 7 75 4" xfId="15370" xr:uid="{00000000-0005-0000-0000-0000D2180000}"/>
    <cellStyle name="Вывод 7 76" xfId="2131" xr:uid="{00000000-0005-0000-0000-0000D3180000}"/>
    <cellStyle name="Вывод 7 76 2" xfId="6867" xr:uid="{00000000-0005-0000-0000-0000D4180000}"/>
    <cellStyle name="Вывод 7 76 3" xfId="11135" xr:uid="{00000000-0005-0000-0000-0000D5180000}"/>
    <cellStyle name="Вывод 7 76 4" xfId="15371" xr:uid="{00000000-0005-0000-0000-0000D6180000}"/>
    <cellStyle name="Вывод 7 77" xfId="2132" xr:uid="{00000000-0005-0000-0000-0000D7180000}"/>
    <cellStyle name="Вывод 7 77 2" xfId="6868" xr:uid="{00000000-0005-0000-0000-0000D8180000}"/>
    <cellStyle name="Вывод 7 77 3" xfId="11136" xr:uid="{00000000-0005-0000-0000-0000D9180000}"/>
    <cellStyle name="Вывод 7 77 4" xfId="15372" xr:uid="{00000000-0005-0000-0000-0000DA180000}"/>
    <cellStyle name="Вывод 7 78" xfId="2133" xr:uid="{00000000-0005-0000-0000-0000DB180000}"/>
    <cellStyle name="Вывод 7 78 2" xfId="6869" xr:uid="{00000000-0005-0000-0000-0000DC180000}"/>
    <cellStyle name="Вывод 7 78 3" xfId="11137" xr:uid="{00000000-0005-0000-0000-0000DD180000}"/>
    <cellStyle name="Вывод 7 78 4" xfId="15373" xr:uid="{00000000-0005-0000-0000-0000DE180000}"/>
    <cellStyle name="Вывод 7 79" xfId="2134" xr:uid="{00000000-0005-0000-0000-0000DF180000}"/>
    <cellStyle name="Вывод 7 79 2" xfId="6870" xr:uid="{00000000-0005-0000-0000-0000E0180000}"/>
    <cellStyle name="Вывод 7 79 3" xfId="11138" xr:uid="{00000000-0005-0000-0000-0000E1180000}"/>
    <cellStyle name="Вывод 7 79 4" xfId="15374" xr:uid="{00000000-0005-0000-0000-0000E2180000}"/>
    <cellStyle name="Вывод 7 8" xfId="2135" xr:uid="{00000000-0005-0000-0000-0000E3180000}"/>
    <cellStyle name="Вывод 7 8 2" xfId="6871" xr:uid="{00000000-0005-0000-0000-0000E4180000}"/>
    <cellStyle name="Вывод 7 8 3" xfId="11139" xr:uid="{00000000-0005-0000-0000-0000E5180000}"/>
    <cellStyle name="Вывод 7 8 4" xfId="15375" xr:uid="{00000000-0005-0000-0000-0000E6180000}"/>
    <cellStyle name="Вывод 7 80" xfId="2136" xr:uid="{00000000-0005-0000-0000-0000E7180000}"/>
    <cellStyle name="Вывод 7 80 2" xfId="6872" xr:uid="{00000000-0005-0000-0000-0000E8180000}"/>
    <cellStyle name="Вывод 7 80 3" xfId="11140" xr:uid="{00000000-0005-0000-0000-0000E9180000}"/>
    <cellStyle name="Вывод 7 80 4" xfId="15376" xr:uid="{00000000-0005-0000-0000-0000EA180000}"/>
    <cellStyle name="Вывод 7 81" xfId="2137" xr:uid="{00000000-0005-0000-0000-0000EB180000}"/>
    <cellStyle name="Вывод 7 81 2" xfId="6873" xr:uid="{00000000-0005-0000-0000-0000EC180000}"/>
    <cellStyle name="Вывод 7 81 3" xfId="11141" xr:uid="{00000000-0005-0000-0000-0000ED180000}"/>
    <cellStyle name="Вывод 7 81 4" xfId="15377" xr:uid="{00000000-0005-0000-0000-0000EE180000}"/>
    <cellStyle name="Вывод 7 82" xfId="2138" xr:uid="{00000000-0005-0000-0000-0000EF180000}"/>
    <cellStyle name="Вывод 7 82 2" xfId="6874" xr:uid="{00000000-0005-0000-0000-0000F0180000}"/>
    <cellStyle name="Вывод 7 82 3" xfId="11142" xr:uid="{00000000-0005-0000-0000-0000F1180000}"/>
    <cellStyle name="Вывод 7 82 4" xfId="15378" xr:uid="{00000000-0005-0000-0000-0000F2180000}"/>
    <cellStyle name="Вывод 7 83" xfId="2139" xr:uid="{00000000-0005-0000-0000-0000F3180000}"/>
    <cellStyle name="Вывод 7 83 2" xfId="6875" xr:uid="{00000000-0005-0000-0000-0000F4180000}"/>
    <cellStyle name="Вывод 7 83 3" xfId="11143" xr:uid="{00000000-0005-0000-0000-0000F5180000}"/>
    <cellStyle name="Вывод 7 83 4" xfId="15379" xr:uid="{00000000-0005-0000-0000-0000F6180000}"/>
    <cellStyle name="Вывод 7 84" xfId="2140" xr:uid="{00000000-0005-0000-0000-0000F7180000}"/>
    <cellStyle name="Вывод 7 84 2" xfId="6876" xr:uid="{00000000-0005-0000-0000-0000F8180000}"/>
    <cellStyle name="Вывод 7 84 3" xfId="11144" xr:uid="{00000000-0005-0000-0000-0000F9180000}"/>
    <cellStyle name="Вывод 7 84 4" xfId="15380" xr:uid="{00000000-0005-0000-0000-0000FA180000}"/>
    <cellStyle name="Вывод 7 85" xfId="2141" xr:uid="{00000000-0005-0000-0000-0000FB180000}"/>
    <cellStyle name="Вывод 7 85 2" xfId="6877" xr:uid="{00000000-0005-0000-0000-0000FC180000}"/>
    <cellStyle name="Вывод 7 85 3" xfId="11145" xr:uid="{00000000-0005-0000-0000-0000FD180000}"/>
    <cellStyle name="Вывод 7 85 4" xfId="15381" xr:uid="{00000000-0005-0000-0000-0000FE180000}"/>
    <cellStyle name="Вывод 7 86" xfId="2142" xr:uid="{00000000-0005-0000-0000-0000FF180000}"/>
    <cellStyle name="Вывод 7 86 2" xfId="6878" xr:uid="{00000000-0005-0000-0000-000000190000}"/>
    <cellStyle name="Вывод 7 86 3" xfId="11146" xr:uid="{00000000-0005-0000-0000-000001190000}"/>
    <cellStyle name="Вывод 7 86 4" xfId="15382" xr:uid="{00000000-0005-0000-0000-000002190000}"/>
    <cellStyle name="Вывод 7 87" xfId="2143" xr:uid="{00000000-0005-0000-0000-000003190000}"/>
    <cellStyle name="Вывод 7 87 2" xfId="6879" xr:uid="{00000000-0005-0000-0000-000004190000}"/>
    <cellStyle name="Вывод 7 87 3" xfId="11147" xr:uid="{00000000-0005-0000-0000-000005190000}"/>
    <cellStyle name="Вывод 7 87 4" xfId="15383" xr:uid="{00000000-0005-0000-0000-000006190000}"/>
    <cellStyle name="Вывод 7 88" xfId="2144" xr:uid="{00000000-0005-0000-0000-000007190000}"/>
    <cellStyle name="Вывод 7 88 2" xfId="6880" xr:uid="{00000000-0005-0000-0000-000008190000}"/>
    <cellStyle name="Вывод 7 88 3" xfId="11148" xr:uid="{00000000-0005-0000-0000-000009190000}"/>
    <cellStyle name="Вывод 7 88 4" xfId="15384" xr:uid="{00000000-0005-0000-0000-00000A190000}"/>
    <cellStyle name="Вывод 7 89" xfId="2145" xr:uid="{00000000-0005-0000-0000-00000B190000}"/>
    <cellStyle name="Вывод 7 89 2" xfId="6881" xr:uid="{00000000-0005-0000-0000-00000C190000}"/>
    <cellStyle name="Вывод 7 89 3" xfId="11149" xr:uid="{00000000-0005-0000-0000-00000D190000}"/>
    <cellStyle name="Вывод 7 89 4" xfId="15385" xr:uid="{00000000-0005-0000-0000-00000E190000}"/>
    <cellStyle name="Вывод 7 9" xfId="2146" xr:uid="{00000000-0005-0000-0000-00000F190000}"/>
    <cellStyle name="Вывод 7 9 2" xfId="6882" xr:uid="{00000000-0005-0000-0000-000010190000}"/>
    <cellStyle name="Вывод 7 9 3" xfId="11150" xr:uid="{00000000-0005-0000-0000-000011190000}"/>
    <cellStyle name="Вывод 7 9 4" xfId="15386" xr:uid="{00000000-0005-0000-0000-000012190000}"/>
    <cellStyle name="Вывод 7 90" xfId="2147" xr:uid="{00000000-0005-0000-0000-000013190000}"/>
    <cellStyle name="Вывод 7 90 2" xfId="6883" xr:uid="{00000000-0005-0000-0000-000014190000}"/>
    <cellStyle name="Вывод 7 90 3" xfId="11151" xr:uid="{00000000-0005-0000-0000-000015190000}"/>
    <cellStyle name="Вывод 7 90 4" xfId="15387" xr:uid="{00000000-0005-0000-0000-000016190000}"/>
    <cellStyle name="Вывод 7 91" xfId="2148" xr:uid="{00000000-0005-0000-0000-000017190000}"/>
    <cellStyle name="Вывод 7 91 2" xfId="6884" xr:uid="{00000000-0005-0000-0000-000018190000}"/>
    <cellStyle name="Вывод 7 91 3" xfId="11152" xr:uid="{00000000-0005-0000-0000-000019190000}"/>
    <cellStyle name="Вывод 7 91 4" xfId="15388" xr:uid="{00000000-0005-0000-0000-00001A190000}"/>
    <cellStyle name="Вывод 7 92" xfId="5192" xr:uid="{00000000-0005-0000-0000-00001B190000}"/>
    <cellStyle name="Вывод 7 93" xfId="5086" xr:uid="{00000000-0005-0000-0000-00001C190000}"/>
    <cellStyle name="Вывод 7 94" xfId="5242" xr:uid="{00000000-0005-0000-0000-00001D190000}"/>
    <cellStyle name="Вывод 8" xfId="239" xr:uid="{00000000-0005-0000-0000-00001E190000}"/>
    <cellStyle name="Вывод 8 10" xfId="2149" xr:uid="{00000000-0005-0000-0000-00001F190000}"/>
    <cellStyle name="Вывод 8 10 2" xfId="6885" xr:uid="{00000000-0005-0000-0000-000020190000}"/>
    <cellStyle name="Вывод 8 10 3" xfId="11153" xr:uid="{00000000-0005-0000-0000-000021190000}"/>
    <cellStyle name="Вывод 8 10 4" xfId="15389" xr:uid="{00000000-0005-0000-0000-000022190000}"/>
    <cellStyle name="Вывод 8 11" xfId="2150" xr:uid="{00000000-0005-0000-0000-000023190000}"/>
    <cellStyle name="Вывод 8 11 2" xfId="6886" xr:uid="{00000000-0005-0000-0000-000024190000}"/>
    <cellStyle name="Вывод 8 11 3" xfId="11154" xr:uid="{00000000-0005-0000-0000-000025190000}"/>
    <cellStyle name="Вывод 8 11 4" xfId="15390" xr:uid="{00000000-0005-0000-0000-000026190000}"/>
    <cellStyle name="Вывод 8 12" xfId="2151" xr:uid="{00000000-0005-0000-0000-000027190000}"/>
    <cellStyle name="Вывод 8 12 2" xfId="6887" xr:uid="{00000000-0005-0000-0000-000028190000}"/>
    <cellStyle name="Вывод 8 12 3" xfId="11155" xr:uid="{00000000-0005-0000-0000-000029190000}"/>
    <cellStyle name="Вывод 8 12 4" xfId="15391" xr:uid="{00000000-0005-0000-0000-00002A190000}"/>
    <cellStyle name="Вывод 8 13" xfId="2152" xr:uid="{00000000-0005-0000-0000-00002B190000}"/>
    <cellStyle name="Вывод 8 13 2" xfId="6888" xr:uid="{00000000-0005-0000-0000-00002C190000}"/>
    <cellStyle name="Вывод 8 13 3" xfId="11156" xr:uid="{00000000-0005-0000-0000-00002D190000}"/>
    <cellStyle name="Вывод 8 13 4" xfId="15392" xr:uid="{00000000-0005-0000-0000-00002E190000}"/>
    <cellStyle name="Вывод 8 14" xfId="2153" xr:uid="{00000000-0005-0000-0000-00002F190000}"/>
    <cellStyle name="Вывод 8 14 2" xfId="6889" xr:uid="{00000000-0005-0000-0000-000030190000}"/>
    <cellStyle name="Вывод 8 14 3" xfId="11157" xr:uid="{00000000-0005-0000-0000-000031190000}"/>
    <cellStyle name="Вывод 8 14 4" xfId="15393" xr:uid="{00000000-0005-0000-0000-000032190000}"/>
    <cellStyle name="Вывод 8 15" xfId="2154" xr:uid="{00000000-0005-0000-0000-000033190000}"/>
    <cellStyle name="Вывод 8 15 2" xfId="6890" xr:uid="{00000000-0005-0000-0000-000034190000}"/>
    <cellStyle name="Вывод 8 15 3" xfId="11158" xr:uid="{00000000-0005-0000-0000-000035190000}"/>
    <cellStyle name="Вывод 8 15 4" xfId="15394" xr:uid="{00000000-0005-0000-0000-000036190000}"/>
    <cellStyle name="Вывод 8 16" xfId="2155" xr:uid="{00000000-0005-0000-0000-000037190000}"/>
    <cellStyle name="Вывод 8 16 2" xfId="6891" xr:uid="{00000000-0005-0000-0000-000038190000}"/>
    <cellStyle name="Вывод 8 16 3" xfId="11159" xr:uid="{00000000-0005-0000-0000-000039190000}"/>
    <cellStyle name="Вывод 8 16 4" xfId="15395" xr:uid="{00000000-0005-0000-0000-00003A190000}"/>
    <cellStyle name="Вывод 8 17" xfId="2156" xr:uid="{00000000-0005-0000-0000-00003B190000}"/>
    <cellStyle name="Вывод 8 17 2" xfId="6892" xr:uid="{00000000-0005-0000-0000-00003C190000}"/>
    <cellStyle name="Вывод 8 17 3" xfId="11160" xr:uid="{00000000-0005-0000-0000-00003D190000}"/>
    <cellStyle name="Вывод 8 17 4" xfId="15396" xr:uid="{00000000-0005-0000-0000-00003E190000}"/>
    <cellStyle name="Вывод 8 18" xfId="2157" xr:uid="{00000000-0005-0000-0000-00003F190000}"/>
    <cellStyle name="Вывод 8 18 2" xfId="6893" xr:uid="{00000000-0005-0000-0000-000040190000}"/>
    <cellStyle name="Вывод 8 18 3" xfId="11161" xr:uid="{00000000-0005-0000-0000-000041190000}"/>
    <cellStyle name="Вывод 8 18 4" xfId="15397" xr:uid="{00000000-0005-0000-0000-000042190000}"/>
    <cellStyle name="Вывод 8 19" xfId="2158" xr:uid="{00000000-0005-0000-0000-000043190000}"/>
    <cellStyle name="Вывод 8 19 2" xfId="6894" xr:uid="{00000000-0005-0000-0000-000044190000}"/>
    <cellStyle name="Вывод 8 19 3" xfId="11162" xr:uid="{00000000-0005-0000-0000-000045190000}"/>
    <cellStyle name="Вывод 8 19 4" xfId="15398" xr:uid="{00000000-0005-0000-0000-000046190000}"/>
    <cellStyle name="Вывод 8 2" xfId="2159" xr:uid="{00000000-0005-0000-0000-000047190000}"/>
    <cellStyle name="Вывод 8 2 2" xfId="2160" xr:uid="{00000000-0005-0000-0000-000048190000}"/>
    <cellStyle name="Вывод 8 2 2 2" xfId="6896" xr:uid="{00000000-0005-0000-0000-000049190000}"/>
    <cellStyle name="Вывод 8 2 2 3" xfId="11164" xr:uid="{00000000-0005-0000-0000-00004A190000}"/>
    <cellStyle name="Вывод 8 2 2 4" xfId="15400" xr:uid="{00000000-0005-0000-0000-00004B190000}"/>
    <cellStyle name="Вывод 8 2 3" xfId="2161" xr:uid="{00000000-0005-0000-0000-00004C190000}"/>
    <cellStyle name="Вывод 8 2 3 2" xfId="6897" xr:uid="{00000000-0005-0000-0000-00004D190000}"/>
    <cellStyle name="Вывод 8 2 3 3" xfId="11165" xr:uid="{00000000-0005-0000-0000-00004E190000}"/>
    <cellStyle name="Вывод 8 2 3 4" xfId="15401" xr:uid="{00000000-0005-0000-0000-00004F190000}"/>
    <cellStyle name="Вывод 8 2 4" xfId="6895" xr:uid="{00000000-0005-0000-0000-000050190000}"/>
    <cellStyle name="Вывод 8 2 5" xfId="11163" xr:uid="{00000000-0005-0000-0000-000051190000}"/>
    <cellStyle name="Вывод 8 2 6" xfId="15399" xr:uid="{00000000-0005-0000-0000-000052190000}"/>
    <cellStyle name="Вывод 8 20" xfId="2162" xr:uid="{00000000-0005-0000-0000-000053190000}"/>
    <cellStyle name="Вывод 8 20 2" xfId="6898" xr:uid="{00000000-0005-0000-0000-000054190000}"/>
    <cellStyle name="Вывод 8 20 3" xfId="11166" xr:uid="{00000000-0005-0000-0000-000055190000}"/>
    <cellStyle name="Вывод 8 20 4" xfId="15402" xr:uid="{00000000-0005-0000-0000-000056190000}"/>
    <cellStyle name="Вывод 8 21" xfId="2163" xr:uid="{00000000-0005-0000-0000-000057190000}"/>
    <cellStyle name="Вывод 8 21 2" xfId="6899" xr:uid="{00000000-0005-0000-0000-000058190000}"/>
    <cellStyle name="Вывод 8 21 3" xfId="11167" xr:uid="{00000000-0005-0000-0000-000059190000}"/>
    <cellStyle name="Вывод 8 21 4" xfId="15403" xr:uid="{00000000-0005-0000-0000-00005A190000}"/>
    <cellStyle name="Вывод 8 22" xfId="2164" xr:uid="{00000000-0005-0000-0000-00005B190000}"/>
    <cellStyle name="Вывод 8 22 2" xfId="6900" xr:uid="{00000000-0005-0000-0000-00005C190000}"/>
    <cellStyle name="Вывод 8 22 3" xfId="11168" xr:uid="{00000000-0005-0000-0000-00005D190000}"/>
    <cellStyle name="Вывод 8 22 4" xfId="15404" xr:uid="{00000000-0005-0000-0000-00005E190000}"/>
    <cellStyle name="Вывод 8 23" xfId="2165" xr:uid="{00000000-0005-0000-0000-00005F190000}"/>
    <cellStyle name="Вывод 8 23 2" xfId="6901" xr:uid="{00000000-0005-0000-0000-000060190000}"/>
    <cellStyle name="Вывод 8 23 3" xfId="11169" xr:uid="{00000000-0005-0000-0000-000061190000}"/>
    <cellStyle name="Вывод 8 23 4" xfId="15405" xr:uid="{00000000-0005-0000-0000-000062190000}"/>
    <cellStyle name="Вывод 8 24" xfId="2166" xr:uid="{00000000-0005-0000-0000-000063190000}"/>
    <cellStyle name="Вывод 8 24 2" xfId="6902" xr:uid="{00000000-0005-0000-0000-000064190000}"/>
    <cellStyle name="Вывод 8 24 3" xfId="11170" xr:uid="{00000000-0005-0000-0000-000065190000}"/>
    <cellStyle name="Вывод 8 24 4" xfId="15406" xr:uid="{00000000-0005-0000-0000-000066190000}"/>
    <cellStyle name="Вывод 8 25" xfId="2167" xr:uid="{00000000-0005-0000-0000-000067190000}"/>
    <cellStyle name="Вывод 8 25 2" xfId="6903" xr:uid="{00000000-0005-0000-0000-000068190000}"/>
    <cellStyle name="Вывод 8 25 3" xfId="11171" xr:uid="{00000000-0005-0000-0000-000069190000}"/>
    <cellStyle name="Вывод 8 25 4" xfId="15407" xr:uid="{00000000-0005-0000-0000-00006A190000}"/>
    <cellStyle name="Вывод 8 26" xfId="2168" xr:uid="{00000000-0005-0000-0000-00006B190000}"/>
    <cellStyle name="Вывод 8 26 2" xfId="6904" xr:uid="{00000000-0005-0000-0000-00006C190000}"/>
    <cellStyle name="Вывод 8 26 3" xfId="11172" xr:uid="{00000000-0005-0000-0000-00006D190000}"/>
    <cellStyle name="Вывод 8 26 4" xfId="15408" xr:uid="{00000000-0005-0000-0000-00006E190000}"/>
    <cellStyle name="Вывод 8 27" xfId="2169" xr:uid="{00000000-0005-0000-0000-00006F190000}"/>
    <cellStyle name="Вывод 8 27 2" xfId="6905" xr:uid="{00000000-0005-0000-0000-000070190000}"/>
    <cellStyle name="Вывод 8 27 3" xfId="11173" xr:uid="{00000000-0005-0000-0000-000071190000}"/>
    <cellStyle name="Вывод 8 27 4" xfId="15409" xr:uid="{00000000-0005-0000-0000-000072190000}"/>
    <cellStyle name="Вывод 8 28" xfId="2170" xr:uid="{00000000-0005-0000-0000-000073190000}"/>
    <cellStyle name="Вывод 8 28 2" xfId="6906" xr:uid="{00000000-0005-0000-0000-000074190000}"/>
    <cellStyle name="Вывод 8 28 3" xfId="11174" xr:uid="{00000000-0005-0000-0000-000075190000}"/>
    <cellStyle name="Вывод 8 28 4" xfId="15410" xr:uid="{00000000-0005-0000-0000-000076190000}"/>
    <cellStyle name="Вывод 8 29" xfId="2171" xr:uid="{00000000-0005-0000-0000-000077190000}"/>
    <cellStyle name="Вывод 8 29 2" xfId="6907" xr:uid="{00000000-0005-0000-0000-000078190000}"/>
    <cellStyle name="Вывод 8 29 3" xfId="11175" xr:uid="{00000000-0005-0000-0000-000079190000}"/>
    <cellStyle name="Вывод 8 29 4" xfId="15411" xr:uid="{00000000-0005-0000-0000-00007A190000}"/>
    <cellStyle name="Вывод 8 3" xfId="2172" xr:uid="{00000000-0005-0000-0000-00007B190000}"/>
    <cellStyle name="Вывод 8 3 2" xfId="2173" xr:uid="{00000000-0005-0000-0000-00007C190000}"/>
    <cellStyle name="Вывод 8 3 2 2" xfId="6909" xr:uid="{00000000-0005-0000-0000-00007D190000}"/>
    <cellStyle name="Вывод 8 3 2 3" xfId="11177" xr:uid="{00000000-0005-0000-0000-00007E190000}"/>
    <cellStyle name="Вывод 8 3 2 4" xfId="15413" xr:uid="{00000000-0005-0000-0000-00007F190000}"/>
    <cellStyle name="Вывод 8 3 3" xfId="2174" xr:uid="{00000000-0005-0000-0000-000080190000}"/>
    <cellStyle name="Вывод 8 3 3 2" xfId="6910" xr:uid="{00000000-0005-0000-0000-000081190000}"/>
    <cellStyle name="Вывод 8 3 3 3" xfId="11178" xr:uid="{00000000-0005-0000-0000-000082190000}"/>
    <cellStyle name="Вывод 8 3 3 4" xfId="15414" xr:uid="{00000000-0005-0000-0000-000083190000}"/>
    <cellStyle name="Вывод 8 3 4" xfId="6908" xr:uid="{00000000-0005-0000-0000-000084190000}"/>
    <cellStyle name="Вывод 8 3 5" xfId="11176" xr:uid="{00000000-0005-0000-0000-000085190000}"/>
    <cellStyle name="Вывод 8 3 6" xfId="15412" xr:uid="{00000000-0005-0000-0000-000086190000}"/>
    <cellStyle name="Вывод 8 30" xfId="2175" xr:uid="{00000000-0005-0000-0000-000087190000}"/>
    <cellStyle name="Вывод 8 30 2" xfId="6911" xr:uid="{00000000-0005-0000-0000-000088190000}"/>
    <cellStyle name="Вывод 8 30 3" xfId="11179" xr:uid="{00000000-0005-0000-0000-000089190000}"/>
    <cellStyle name="Вывод 8 30 4" xfId="15415" xr:uid="{00000000-0005-0000-0000-00008A190000}"/>
    <cellStyle name="Вывод 8 31" xfId="2176" xr:uid="{00000000-0005-0000-0000-00008B190000}"/>
    <cellStyle name="Вывод 8 31 2" xfId="6912" xr:uid="{00000000-0005-0000-0000-00008C190000}"/>
    <cellStyle name="Вывод 8 31 3" xfId="11180" xr:uid="{00000000-0005-0000-0000-00008D190000}"/>
    <cellStyle name="Вывод 8 31 4" xfId="15416" xr:uid="{00000000-0005-0000-0000-00008E190000}"/>
    <cellStyle name="Вывод 8 32" xfId="2177" xr:uid="{00000000-0005-0000-0000-00008F190000}"/>
    <cellStyle name="Вывод 8 32 2" xfId="6913" xr:uid="{00000000-0005-0000-0000-000090190000}"/>
    <cellStyle name="Вывод 8 32 3" xfId="11181" xr:uid="{00000000-0005-0000-0000-000091190000}"/>
    <cellStyle name="Вывод 8 32 4" xfId="15417" xr:uid="{00000000-0005-0000-0000-000092190000}"/>
    <cellStyle name="Вывод 8 33" xfId="2178" xr:uid="{00000000-0005-0000-0000-000093190000}"/>
    <cellStyle name="Вывод 8 33 2" xfId="6914" xr:uid="{00000000-0005-0000-0000-000094190000}"/>
    <cellStyle name="Вывод 8 33 3" xfId="11182" xr:uid="{00000000-0005-0000-0000-000095190000}"/>
    <cellStyle name="Вывод 8 33 4" xfId="15418" xr:uid="{00000000-0005-0000-0000-000096190000}"/>
    <cellStyle name="Вывод 8 34" xfId="2179" xr:uid="{00000000-0005-0000-0000-000097190000}"/>
    <cellStyle name="Вывод 8 34 2" xfId="6915" xr:uid="{00000000-0005-0000-0000-000098190000}"/>
    <cellStyle name="Вывод 8 34 3" xfId="11183" xr:uid="{00000000-0005-0000-0000-000099190000}"/>
    <cellStyle name="Вывод 8 34 4" xfId="15419" xr:uid="{00000000-0005-0000-0000-00009A190000}"/>
    <cellStyle name="Вывод 8 35" xfId="2180" xr:uid="{00000000-0005-0000-0000-00009B190000}"/>
    <cellStyle name="Вывод 8 35 2" xfId="6916" xr:uid="{00000000-0005-0000-0000-00009C190000}"/>
    <cellStyle name="Вывод 8 35 3" xfId="11184" xr:uid="{00000000-0005-0000-0000-00009D190000}"/>
    <cellStyle name="Вывод 8 35 4" xfId="15420" xr:uid="{00000000-0005-0000-0000-00009E190000}"/>
    <cellStyle name="Вывод 8 36" xfId="2181" xr:uid="{00000000-0005-0000-0000-00009F190000}"/>
    <cellStyle name="Вывод 8 36 2" xfId="6917" xr:uid="{00000000-0005-0000-0000-0000A0190000}"/>
    <cellStyle name="Вывод 8 36 3" xfId="11185" xr:uid="{00000000-0005-0000-0000-0000A1190000}"/>
    <cellStyle name="Вывод 8 36 4" xfId="15421" xr:uid="{00000000-0005-0000-0000-0000A2190000}"/>
    <cellStyle name="Вывод 8 37" xfId="2182" xr:uid="{00000000-0005-0000-0000-0000A3190000}"/>
    <cellStyle name="Вывод 8 37 2" xfId="6918" xr:uid="{00000000-0005-0000-0000-0000A4190000}"/>
    <cellStyle name="Вывод 8 37 3" xfId="11186" xr:uid="{00000000-0005-0000-0000-0000A5190000}"/>
    <cellStyle name="Вывод 8 37 4" xfId="15422" xr:uid="{00000000-0005-0000-0000-0000A6190000}"/>
    <cellStyle name="Вывод 8 38" xfId="2183" xr:uid="{00000000-0005-0000-0000-0000A7190000}"/>
    <cellStyle name="Вывод 8 38 2" xfId="6919" xr:uid="{00000000-0005-0000-0000-0000A8190000}"/>
    <cellStyle name="Вывод 8 38 3" xfId="11187" xr:uid="{00000000-0005-0000-0000-0000A9190000}"/>
    <cellStyle name="Вывод 8 38 4" xfId="15423" xr:uid="{00000000-0005-0000-0000-0000AA190000}"/>
    <cellStyle name="Вывод 8 39" xfId="2184" xr:uid="{00000000-0005-0000-0000-0000AB190000}"/>
    <cellStyle name="Вывод 8 39 2" xfId="6920" xr:uid="{00000000-0005-0000-0000-0000AC190000}"/>
    <cellStyle name="Вывод 8 39 3" xfId="11188" xr:uid="{00000000-0005-0000-0000-0000AD190000}"/>
    <cellStyle name="Вывод 8 39 4" xfId="15424" xr:uid="{00000000-0005-0000-0000-0000AE190000}"/>
    <cellStyle name="Вывод 8 4" xfId="2185" xr:uid="{00000000-0005-0000-0000-0000AF190000}"/>
    <cellStyle name="Вывод 8 4 2" xfId="2186" xr:uid="{00000000-0005-0000-0000-0000B0190000}"/>
    <cellStyle name="Вывод 8 4 2 2" xfId="6922" xr:uid="{00000000-0005-0000-0000-0000B1190000}"/>
    <cellStyle name="Вывод 8 4 2 3" xfId="11190" xr:uid="{00000000-0005-0000-0000-0000B2190000}"/>
    <cellStyle name="Вывод 8 4 2 4" xfId="15426" xr:uid="{00000000-0005-0000-0000-0000B3190000}"/>
    <cellStyle name="Вывод 8 4 3" xfId="2187" xr:uid="{00000000-0005-0000-0000-0000B4190000}"/>
    <cellStyle name="Вывод 8 4 3 2" xfId="6923" xr:uid="{00000000-0005-0000-0000-0000B5190000}"/>
    <cellStyle name="Вывод 8 4 3 3" xfId="11191" xr:uid="{00000000-0005-0000-0000-0000B6190000}"/>
    <cellStyle name="Вывод 8 4 3 4" xfId="15427" xr:uid="{00000000-0005-0000-0000-0000B7190000}"/>
    <cellStyle name="Вывод 8 4 4" xfId="6921" xr:uid="{00000000-0005-0000-0000-0000B8190000}"/>
    <cellStyle name="Вывод 8 4 5" xfId="11189" xr:uid="{00000000-0005-0000-0000-0000B9190000}"/>
    <cellStyle name="Вывод 8 4 6" xfId="15425" xr:uid="{00000000-0005-0000-0000-0000BA190000}"/>
    <cellStyle name="Вывод 8 40" xfId="2188" xr:uid="{00000000-0005-0000-0000-0000BB190000}"/>
    <cellStyle name="Вывод 8 40 2" xfId="6924" xr:uid="{00000000-0005-0000-0000-0000BC190000}"/>
    <cellStyle name="Вывод 8 40 3" xfId="11192" xr:uid="{00000000-0005-0000-0000-0000BD190000}"/>
    <cellStyle name="Вывод 8 40 4" xfId="15428" xr:uid="{00000000-0005-0000-0000-0000BE190000}"/>
    <cellStyle name="Вывод 8 41" xfId="2189" xr:uid="{00000000-0005-0000-0000-0000BF190000}"/>
    <cellStyle name="Вывод 8 41 2" xfId="6925" xr:uid="{00000000-0005-0000-0000-0000C0190000}"/>
    <cellStyle name="Вывод 8 41 3" xfId="11193" xr:uid="{00000000-0005-0000-0000-0000C1190000}"/>
    <cellStyle name="Вывод 8 41 4" xfId="15429" xr:uid="{00000000-0005-0000-0000-0000C2190000}"/>
    <cellStyle name="Вывод 8 42" xfId="2190" xr:uid="{00000000-0005-0000-0000-0000C3190000}"/>
    <cellStyle name="Вывод 8 42 2" xfId="6926" xr:uid="{00000000-0005-0000-0000-0000C4190000}"/>
    <cellStyle name="Вывод 8 42 3" xfId="11194" xr:uid="{00000000-0005-0000-0000-0000C5190000}"/>
    <cellStyle name="Вывод 8 42 4" xfId="15430" xr:uid="{00000000-0005-0000-0000-0000C6190000}"/>
    <cellStyle name="Вывод 8 43" xfId="2191" xr:uid="{00000000-0005-0000-0000-0000C7190000}"/>
    <cellStyle name="Вывод 8 43 2" xfId="6927" xr:uid="{00000000-0005-0000-0000-0000C8190000}"/>
    <cellStyle name="Вывод 8 43 3" xfId="11195" xr:uid="{00000000-0005-0000-0000-0000C9190000}"/>
    <cellStyle name="Вывод 8 43 4" xfId="15431" xr:uid="{00000000-0005-0000-0000-0000CA190000}"/>
    <cellStyle name="Вывод 8 44" xfId="2192" xr:uid="{00000000-0005-0000-0000-0000CB190000}"/>
    <cellStyle name="Вывод 8 44 2" xfId="6928" xr:uid="{00000000-0005-0000-0000-0000CC190000}"/>
    <cellStyle name="Вывод 8 44 3" xfId="11196" xr:uid="{00000000-0005-0000-0000-0000CD190000}"/>
    <cellStyle name="Вывод 8 44 4" xfId="15432" xr:uid="{00000000-0005-0000-0000-0000CE190000}"/>
    <cellStyle name="Вывод 8 45" xfId="2193" xr:uid="{00000000-0005-0000-0000-0000CF190000}"/>
    <cellStyle name="Вывод 8 45 2" xfId="6929" xr:uid="{00000000-0005-0000-0000-0000D0190000}"/>
    <cellStyle name="Вывод 8 45 3" xfId="11197" xr:uid="{00000000-0005-0000-0000-0000D1190000}"/>
    <cellStyle name="Вывод 8 45 4" xfId="15433" xr:uid="{00000000-0005-0000-0000-0000D2190000}"/>
    <cellStyle name="Вывод 8 46" xfId="2194" xr:uid="{00000000-0005-0000-0000-0000D3190000}"/>
    <cellStyle name="Вывод 8 46 2" xfId="6930" xr:uid="{00000000-0005-0000-0000-0000D4190000}"/>
    <cellStyle name="Вывод 8 46 3" xfId="11198" xr:uid="{00000000-0005-0000-0000-0000D5190000}"/>
    <cellStyle name="Вывод 8 46 4" xfId="15434" xr:uid="{00000000-0005-0000-0000-0000D6190000}"/>
    <cellStyle name="Вывод 8 47" xfId="2195" xr:uid="{00000000-0005-0000-0000-0000D7190000}"/>
    <cellStyle name="Вывод 8 47 2" xfId="6931" xr:uid="{00000000-0005-0000-0000-0000D8190000}"/>
    <cellStyle name="Вывод 8 47 3" xfId="11199" xr:uid="{00000000-0005-0000-0000-0000D9190000}"/>
    <cellStyle name="Вывод 8 47 4" xfId="15435" xr:uid="{00000000-0005-0000-0000-0000DA190000}"/>
    <cellStyle name="Вывод 8 48" xfId="2196" xr:uid="{00000000-0005-0000-0000-0000DB190000}"/>
    <cellStyle name="Вывод 8 48 2" xfId="6932" xr:uid="{00000000-0005-0000-0000-0000DC190000}"/>
    <cellStyle name="Вывод 8 48 3" xfId="11200" xr:uid="{00000000-0005-0000-0000-0000DD190000}"/>
    <cellStyle name="Вывод 8 48 4" xfId="15436" xr:uid="{00000000-0005-0000-0000-0000DE190000}"/>
    <cellStyle name="Вывод 8 49" xfId="2197" xr:uid="{00000000-0005-0000-0000-0000DF190000}"/>
    <cellStyle name="Вывод 8 49 2" xfId="6933" xr:uid="{00000000-0005-0000-0000-0000E0190000}"/>
    <cellStyle name="Вывод 8 49 3" xfId="11201" xr:uid="{00000000-0005-0000-0000-0000E1190000}"/>
    <cellStyle name="Вывод 8 49 4" xfId="15437" xr:uid="{00000000-0005-0000-0000-0000E2190000}"/>
    <cellStyle name="Вывод 8 5" xfId="2198" xr:uid="{00000000-0005-0000-0000-0000E3190000}"/>
    <cellStyle name="Вывод 8 5 2" xfId="6934" xr:uid="{00000000-0005-0000-0000-0000E4190000}"/>
    <cellStyle name="Вывод 8 5 3" xfId="11202" xr:uid="{00000000-0005-0000-0000-0000E5190000}"/>
    <cellStyle name="Вывод 8 5 4" xfId="15438" xr:uid="{00000000-0005-0000-0000-0000E6190000}"/>
    <cellStyle name="Вывод 8 50" xfId="2199" xr:uid="{00000000-0005-0000-0000-0000E7190000}"/>
    <cellStyle name="Вывод 8 50 2" xfId="6935" xr:uid="{00000000-0005-0000-0000-0000E8190000}"/>
    <cellStyle name="Вывод 8 50 3" xfId="11203" xr:uid="{00000000-0005-0000-0000-0000E9190000}"/>
    <cellStyle name="Вывод 8 50 4" xfId="15439" xr:uid="{00000000-0005-0000-0000-0000EA190000}"/>
    <cellStyle name="Вывод 8 51" xfId="2200" xr:uid="{00000000-0005-0000-0000-0000EB190000}"/>
    <cellStyle name="Вывод 8 51 2" xfId="6936" xr:uid="{00000000-0005-0000-0000-0000EC190000}"/>
    <cellStyle name="Вывод 8 51 3" xfId="11204" xr:uid="{00000000-0005-0000-0000-0000ED190000}"/>
    <cellStyle name="Вывод 8 51 4" xfId="15440" xr:uid="{00000000-0005-0000-0000-0000EE190000}"/>
    <cellStyle name="Вывод 8 52" xfId="2201" xr:uid="{00000000-0005-0000-0000-0000EF190000}"/>
    <cellStyle name="Вывод 8 52 2" xfId="6937" xr:uid="{00000000-0005-0000-0000-0000F0190000}"/>
    <cellStyle name="Вывод 8 52 3" xfId="11205" xr:uid="{00000000-0005-0000-0000-0000F1190000}"/>
    <cellStyle name="Вывод 8 52 4" xfId="15441" xr:uid="{00000000-0005-0000-0000-0000F2190000}"/>
    <cellStyle name="Вывод 8 53" xfId="2202" xr:uid="{00000000-0005-0000-0000-0000F3190000}"/>
    <cellStyle name="Вывод 8 53 2" xfId="6938" xr:uid="{00000000-0005-0000-0000-0000F4190000}"/>
    <cellStyle name="Вывод 8 53 3" xfId="11206" xr:uid="{00000000-0005-0000-0000-0000F5190000}"/>
    <cellStyle name="Вывод 8 53 4" xfId="15442" xr:uid="{00000000-0005-0000-0000-0000F6190000}"/>
    <cellStyle name="Вывод 8 54" xfId="2203" xr:uid="{00000000-0005-0000-0000-0000F7190000}"/>
    <cellStyle name="Вывод 8 54 2" xfId="6939" xr:uid="{00000000-0005-0000-0000-0000F8190000}"/>
    <cellStyle name="Вывод 8 54 3" xfId="11207" xr:uid="{00000000-0005-0000-0000-0000F9190000}"/>
    <cellStyle name="Вывод 8 54 4" xfId="15443" xr:uid="{00000000-0005-0000-0000-0000FA190000}"/>
    <cellStyle name="Вывод 8 55" xfId="2204" xr:uid="{00000000-0005-0000-0000-0000FB190000}"/>
    <cellStyle name="Вывод 8 55 2" xfId="6940" xr:uid="{00000000-0005-0000-0000-0000FC190000}"/>
    <cellStyle name="Вывод 8 55 3" xfId="11208" xr:uid="{00000000-0005-0000-0000-0000FD190000}"/>
    <cellStyle name="Вывод 8 55 4" xfId="15444" xr:uid="{00000000-0005-0000-0000-0000FE190000}"/>
    <cellStyle name="Вывод 8 56" xfId="2205" xr:uid="{00000000-0005-0000-0000-0000FF190000}"/>
    <cellStyle name="Вывод 8 56 2" xfId="6941" xr:uid="{00000000-0005-0000-0000-0000001A0000}"/>
    <cellStyle name="Вывод 8 56 3" xfId="11209" xr:uid="{00000000-0005-0000-0000-0000011A0000}"/>
    <cellStyle name="Вывод 8 56 4" xfId="15445" xr:uid="{00000000-0005-0000-0000-0000021A0000}"/>
    <cellStyle name="Вывод 8 57" xfId="2206" xr:uid="{00000000-0005-0000-0000-0000031A0000}"/>
    <cellStyle name="Вывод 8 57 2" xfId="6942" xr:uid="{00000000-0005-0000-0000-0000041A0000}"/>
    <cellStyle name="Вывод 8 57 3" xfId="11210" xr:uid="{00000000-0005-0000-0000-0000051A0000}"/>
    <cellStyle name="Вывод 8 57 4" xfId="15446" xr:uid="{00000000-0005-0000-0000-0000061A0000}"/>
    <cellStyle name="Вывод 8 58" xfId="2207" xr:uid="{00000000-0005-0000-0000-0000071A0000}"/>
    <cellStyle name="Вывод 8 58 2" xfId="6943" xr:uid="{00000000-0005-0000-0000-0000081A0000}"/>
    <cellStyle name="Вывод 8 58 3" xfId="11211" xr:uid="{00000000-0005-0000-0000-0000091A0000}"/>
    <cellStyle name="Вывод 8 58 4" xfId="15447" xr:uid="{00000000-0005-0000-0000-00000A1A0000}"/>
    <cellStyle name="Вывод 8 59" xfId="2208" xr:uid="{00000000-0005-0000-0000-00000B1A0000}"/>
    <cellStyle name="Вывод 8 59 2" xfId="6944" xr:uid="{00000000-0005-0000-0000-00000C1A0000}"/>
    <cellStyle name="Вывод 8 59 3" xfId="11212" xr:uid="{00000000-0005-0000-0000-00000D1A0000}"/>
    <cellStyle name="Вывод 8 59 4" xfId="15448" xr:uid="{00000000-0005-0000-0000-00000E1A0000}"/>
    <cellStyle name="Вывод 8 6" xfId="2209" xr:uid="{00000000-0005-0000-0000-00000F1A0000}"/>
    <cellStyle name="Вывод 8 6 2" xfId="6945" xr:uid="{00000000-0005-0000-0000-0000101A0000}"/>
    <cellStyle name="Вывод 8 6 3" xfId="11213" xr:uid="{00000000-0005-0000-0000-0000111A0000}"/>
    <cellStyle name="Вывод 8 6 4" xfId="15449" xr:uid="{00000000-0005-0000-0000-0000121A0000}"/>
    <cellStyle name="Вывод 8 60" xfId="2210" xr:uid="{00000000-0005-0000-0000-0000131A0000}"/>
    <cellStyle name="Вывод 8 60 2" xfId="6946" xr:uid="{00000000-0005-0000-0000-0000141A0000}"/>
    <cellStyle name="Вывод 8 60 3" xfId="11214" xr:uid="{00000000-0005-0000-0000-0000151A0000}"/>
    <cellStyle name="Вывод 8 60 4" xfId="15450" xr:uid="{00000000-0005-0000-0000-0000161A0000}"/>
    <cellStyle name="Вывод 8 61" xfId="2211" xr:uid="{00000000-0005-0000-0000-0000171A0000}"/>
    <cellStyle name="Вывод 8 61 2" xfId="6947" xr:uid="{00000000-0005-0000-0000-0000181A0000}"/>
    <cellStyle name="Вывод 8 61 3" xfId="11215" xr:uid="{00000000-0005-0000-0000-0000191A0000}"/>
    <cellStyle name="Вывод 8 61 4" xfId="15451" xr:uid="{00000000-0005-0000-0000-00001A1A0000}"/>
    <cellStyle name="Вывод 8 62" xfId="2212" xr:uid="{00000000-0005-0000-0000-00001B1A0000}"/>
    <cellStyle name="Вывод 8 62 2" xfId="6948" xr:uid="{00000000-0005-0000-0000-00001C1A0000}"/>
    <cellStyle name="Вывод 8 62 3" xfId="11216" xr:uid="{00000000-0005-0000-0000-00001D1A0000}"/>
    <cellStyle name="Вывод 8 62 4" xfId="15452" xr:uid="{00000000-0005-0000-0000-00001E1A0000}"/>
    <cellStyle name="Вывод 8 63" xfId="2213" xr:uid="{00000000-0005-0000-0000-00001F1A0000}"/>
    <cellStyle name="Вывод 8 63 2" xfId="6949" xr:uid="{00000000-0005-0000-0000-0000201A0000}"/>
    <cellStyle name="Вывод 8 63 3" xfId="11217" xr:uid="{00000000-0005-0000-0000-0000211A0000}"/>
    <cellStyle name="Вывод 8 63 4" xfId="15453" xr:uid="{00000000-0005-0000-0000-0000221A0000}"/>
    <cellStyle name="Вывод 8 64" xfId="2214" xr:uid="{00000000-0005-0000-0000-0000231A0000}"/>
    <cellStyle name="Вывод 8 64 2" xfId="6950" xr:uid="{00000000-0005-0000-0000-0000241A0000}"/>
    <cellStyle name="Вывод 8 64 3" xfId="11218" xr:uid="{00000000-0005-0000-0000-0000251A0000}"/>
    <cellStyle name="Вывод 8 64 4" xfId="15454" xr:uid="{00000000-0005-0000-0000-0000261A0000}"/>
    <cellStyle name="Вывод 8 65" xfId="2215" xr:uid="{00000000-0005-0000-0000-0000271A0000}"/>
    <cellStyle name="Вывод 8 65 2" xfId="6951" xr:uid="{00000000-0005-0000-0000-0000281A0000}"/>
    <cellStyle name="Вывод 8 65 3" xfId="11219" xr:uid="{00000000-0005-0000-0000-0000291A0000}"/>
    <cellStyle name="Вывод 8 65 4" xfId="15455" xr:uid="{00000000-0005-0000-0000-00002A1A0000}"/>
    <cellStyle name="Вывод 8 66" xfId="2216" xr:uid="{00000000-0005-0000-0000-00002B1A0000}"/>
    <cellStyle name="Вывод 8 66 2" xfId="6952" xr:uid="{00000000-0005-0000-0000-00002C1A0000}"/>
    <cellStyle name="Вывод 8 66 3" xfId="11220" xr:uid="{00000000-0005-0000-0000-00002D1A0000}"/>
    <cellStyle name="Вывод 8 66 4" xfId="15456" xr:uid="{00000000-0005-0000-0000-00002E1A0000}"/>
    <cellStyle name="Вывод 8 67" xfId="2217" xr:uid="{00000000-0005-0000-0000-00002F1A0000}"/>
    <cellStyle name="Вывод 8 67 2" xfId="6953" xr:uid="{00000000-0005-0000-0000-0000301A0000}"/>
    <cellStyle name="Вывод 8 67 3" xfId="11221" xr:uid="{00000000-0005-0000-0000-0000311A0000}"/>
    <cellStyle name="Вывод 8 67 4" xfId="15457" xr:uid="{00000000-0005-0000-0000-0000321A0000}"/>
    <cellStyle name="Вывод 8 68" xfId="2218" xr:uid="{00000000-0005-0000-0000-0000331A0000}"/>
    <cellStyle name="Вывод 8 68 2" xfId="6954" xr:uid="{00000000-0005-0000-0000-0000341A0000}"/>
    <cellStyle name="Вывод 8 68 3" xfId="11222" xr:uid="{00000000-0005-0000-0000-0000351A0000}"/>
    <cellStyle name="Вывод 8 68 4" xfId="15458" xr:uid="{00000000-0005-0000-0000-0000361A0000}"/>
    <cellStyle name="Вывод 8 69" xfId="2219" xr:uid="{00000000-0005-0000-0000-0000371A0000}"/>
    <cellStyle name="Вывод 8 69 2" xfId="6955" xr:uid="{00000000-0005-0000-0000-0000381A0000}"/>
    <cellStyle name="Вывод 8 69 3" xfId="11223" xr:uid="{00000000-0005-0000-0000-0000391A0000}"/>
    <cellStyle name="Вывод 8 69 4" xfId="15459" xr:uid="{00000000-0005-0000-0000-00003A1A0000}"/>
    <cellStyle name="Вывод 8 7" xfId="2220" xr:uid="{00000000-0005-0000-0000-00003B1A0000}"/>
    <cellStyle name="Вывод 8 7 2" xfId="6956" xr:uid="{00000000-0005-0000-0000-00003C1A0000}"/>
    <cellStyle name="Вывод 8 7 3" xfId="11224" xr:uid="{00000000-0005-0000-0000-00003D1A0000}"/>
    <cellStyle name="Вывод 8 7 4" xfId="15460" xr:uid="{00000000-0005-0000-0000-00003E1A0000}"/>
    <cellStyle name="Вывод 8 70" xfId="2221" xr:uid="{00000000-0005-0000-0000-00003F1A0000}"/>
    <cellStyle name="Вывод 8 70 2" xfId="6957" xr:uid="{00000000-0005-0000-0000-0000401A0000}"/>
    <cellStyle name="Вывод 8 70 3" xfId="11225" xr:uid="{00000000-0005-0000-0000-0000411A0000}"/>
    <cellStyle name="Вывод 8 70 4" xfId="15461" xr:uid="{00000000-0005-0000-0000-0000421A0000}"/>
    <cellStyle name="Вывод 8 71" xfId="2222" xr:uid="{00000000-0005-0000-0000-0000431A0000}"/>
    <cellStyle name="Вывод 8 71 2" xfId="6958" xr:uid="{00000000-0005-0000-0000-0000441A0000}"/>
    <cellStyle name="Вывод 8 71 3" xfId="11226" xr:uid="{00000000-0005-0000-0000-0000451A0000}"/>
    <cellStyle name="Вывод 8 71 4" xfId="15462" xr:uid="{00000000-0005-0000-0000-0000461A0000}"/>
    <cellStyle name="Вывод 8 72" xfId="2223" xr:uid="{00000000-0005-0000-0000-0000471A0000}"/>
    <cellStyle name="Вывод 8 72 2" xfId="6959" xr:uid="{00000000-0005-0000-0000-0000481A0000}"/>
    <cellStyle name="Вывод 8 72 3" xfId="11227" xr:uid="{00000000-0005-0000-0000-0000491A0000}"/>
    <cellStyle name="Вывод 8 72 4" xfId="15463" xr:uid="{00000000-0005-0000-0000-00004A1A0000}"/>
    <cellStyle name="Вывод 8 73" xfId="2224" xr:uid="{00000000-0005-0000-0000-00004B1A0000}"/>
    <cellStyle name="Вывод 8 73 2" xfId="6960" xr:uid="{00000000-0005-0000-0000-00004C1A0000}"/>
    <cellStyle name="Вывод 8 73 3" xfId="11228" xr:uid="{00000000-0005-0000-0000-00004D1A0000}"/>
    <cellStyle name="Вывод 8 73 4" xfId="15464" xr:uid="{00000000-0005-0000-0000-00004E1A0000}"/>
    <cellStyle name="Вывод 8 74" xfId="2225" xr:uid="{00000000-0005-0000-0000-00004F1A0000}"/>
    <cellStyle name="Вывод 8 74 2" xfId="6961" xr:uid="{00000000-0005-0000-0000-0000501A0000}"/>
    <cellStyle name="Вывод 8 74 3" xfId="11229" xr:uid="{00000000-0005-0000-0000-0000511A0000}"/>
    <cellStyle name="Вывод 8 74 4" xfId="15465" xr:uid="{00000000-0005-0000-0000-0000521A0000}"/>
    <cellStyle name="Вывод 8 75" xfId="2226" xr:uid="{00000000-0005-0000-0000-0000531A0000}"/>
    <cellStyle name="Вывод 8 75 2" xfId="6962" xr:uid="{00000000-0005-0000-0000-0000541A0000}"/>
    <cellStyle name="Вывод 8 75 3" xfId="11230" xr:uid="{00000000-0005-0000-0000-0000551A0000}"/>
    <cellStyle name="Вывод 8 75 4" xfId="15466" xr:uid="{00000000-0005-0000-0000-0000561A0000}"/>
    <cellStyle name="Вывод 8 76" xfId="2227" xr:uid="{00000000-0005-0000-0000-0000571A0000}"/>
    <cellStyle name="Вывод 8 76 2" xfId="6963" xr:uid="{00000000-0005-0000-0000-0000581A0000}"/>
    <cellStyle name="Вывод 8 76 3" xfId="11231" xr:uid="{00000000-0005-0000-0000-0000591A0000}"/>
    <cellStyle name="Вывод 8 76 4" xfId="15467" xr:uid="{00000000-0005-0000-0000-00005A1A0000}"/>
    <cellStyle name="Вывод 8 77" xfId="2228" xr:uid="{00000000-0005-0000-0000-00005B1A0000}"/>
    <cellStyle name="Вывод 8 77 2" xfId="6964" xr:uid="{00000000-0005-0000-0000-00005C1A0000}"/>
    <cellStyle name="Вывод 8 77 3" xfId="11232" xr:uid="{00000000-0005-0000-0000-00005D1A0000}"/>
    <cellStyle name="Вывод 8 77 4" xfId="15468" xr:uid="{00000000-0005-0000-0000-00005E1A0000}"/>
    <cellStyle name="Вывод 8 78" xfId="2229" xr:uid="{00000000-0005-0000-0000-00005F1A0000}"/>
    <cellStyle name="Вывод 8 78 2" xfId="6965" xr:uid="{00000000-0005-0000-0000-0000601A0000}"/>
    <cellStyle name="Вывод 8 78 3" xfId="11233" xr:uid="{00000000-0005-0000-0000-0000611A0000}"/>
    <cellStyle name="Вывод 8 78 4" xfId="15469" xr:uid="{00000000-0005-0000-0000-0000621A0000}"/>
    <cellStyle name="Вывод 8 79" xfId="2230" xr:uid="{00000000-0005-0000-0000-0000631A0000}"/>
    <cellStyle name="Вывод 8 79 2" xfId="6966" xr:uid="{00000000-0005-0000-0000-0000641A0000}"/>
    <cellStyle name="Вывод 8 79 3" xfId="11234" xr:uid="{00000000-0005-0000-0000-0000651A0000}"/>
    <cellStyle name="Вывод 8 79 4" xfId="15470" xr:uid="{00000000-0005-0000-0000-0000661A0000}"/>
    <cellStyle name="Вывод 8 8" xfId="2231" xr:uid="{00000000-0005-0000-0000-0000671A0000}"/>
    <cellStyle name="Вывод 8 8 2" xfId="6967" xr:uid="{00000000-0005-0000-0000-0000681A0000}"/>
    <cellStyle name="Вывод 8 8 3" xfId="11235" xr:uid="{00000000-0005-0000-0000-0000691A0000}"/>
    <cellStyle name="Вывод 8 8 4" xfId="15471" xr:uid="{00000000-0005-0000-0000-00006A1A0000}"/>
    <cellStyle name="Вывод 8 80" xfId="2232" xr:uid="{00000000-0005-0000-0000-00006B1A0000}"/>
    <cellStyle name="Вывод 8 80 2" xfId="6968" xr:uid="{00000000-0005-0000-0000-00006C1A0000}"/>
    <cellStyle name="Вывод 8 80 3" xfId="11236" xr:uid="{00000000-0005-0000-0000-00006D1A0000}"/>
    <cellStyle name="Вывод 8 80 4" xfId="15472" xr:uid="{00000000-0005-0000-0000-00006E1A0000}"/>
    <cellStyle name="Вывод 8 81" xfId="2233" xr:uid="{00000000-0005-0000-0000-00006F1A0000}"/>
    <cellStyle name="Вывод 8 81 2" xfId="6969" xr:uid="{00000000-0005-0000-0000-0000701A0000}"/>
    <cellStyle name="Вывод 8 81 3" xfId="11237" xr:uid="{00000000-0005-0000-0000-0000711A0000}"/>
    <cellStyle name="Вывод 8 81 4" xfId="15473" xr:uid="{00000000-0005-0000-0000-0000721A0000}"/>
    <cellStyle name="Вывод 8 82" xfId="2234" xr:uid="{00000000-0005-0000-0000-0000731A0000}"/>
    <cellStyle name="Вывод 8 82 2" xfId="6970" xr:uid="{00000000-0005-0000-0000-0000741A0000}"/>
    <cellStyle name="Вывод 8 82 3" xfId="11238" xr:uid="{00000000-0005-0000-0000-0000751A0000}"/>
    <cellStyle name="Вывод 8 82 4" xfId="15474" xr:uid="{00000000-0005-0000-0000-0000761A0000}"/>
    <cellStyle name="Вывод 8 83" xfId="2235" xr:uid="{00000000-0005-0000-0000-0000771A0000}"/>
    <cellStyle name="Вывод 8 83 2" xfId="6971" xr:uid="{00000000-0005-0000-0000-0000781A0000}"/>
    <cellStyle name="Вывод 8 83 3" xfId="11239" xr:uid="{00000000-0005-0000-0000-0000791A0000}"/>
    <cellStyle name="Вывод 8 83 4" xfId="15475" xr:uid="{00000000-0005-0000-0000-00007A1A0000}"/>
    <cellStyle name="Вывод 8 84" xfId="2236" xr:uid="{00000000-0005-0000-0000-00007B1A0000}"/>
    <cellStyle name="Вывод 8 84 2" xfId="6972" xr:uid="{00000000-0005-0000-0000-00007C1A0000}"/>
    <cellStyle name="Вывод 8 84 3" xfId="11240" xr:uid="{00000000-0005-0000-0000-00007D1A0000}"/>
    <cellStyle name="Вывод 8 84 4" xfId="15476" xr:uid="{00000000-0005-0000-0000-00007E1A0000}"/>
    <cellStyle name="Вывод 8 85" xfId="2237" xr:uid="{00000000-0005-0000-0000-00007F1A0000}"/>
    <cellStyle name="Вывод 8 85 2" xfId="6973" xr:uid="{00000000-0005-0000-0000-0000801A0000}"/>
    <cellStyle name="Вывод 8 85 3" xfId="11241" xr:uid="{00000000-0005-0000-0000-0000811A0000}"/>
    <cellStyle name="Вывод 8 85 4" xfId="15477" xr:uid="{00000000-0005-0000-0000-0000821A0000}"/>
    <cellStyle name="Вывод 8 86" xfId="2238" xr:uid="{00000000-0005-0000-0000-0000831A0000}"/>
    <cellStyle name="Вывод 8 86 2" xfId="6974" xr:uid="{00000000-0005-0000-0000-0000841A0000}"/>
    <cellStyle name="Вывод 8 86 3" xfId="11242" xr:uid="{00000000-0005-0000-0000-0000851A0000}"/>
    <cellStyle name="Вывод 8 86 4" xfId="15478" xr:uid="{00000000-0005-0000-0000-0000861A0000}"/>
    <cellStyle name="Вывод 8 87" xfId="2239" xr:uid="{00000000-0005-0000-0000-0000871A0000}"/>
    <cellStyle name="Вывод 8 87 2" xfId="6975" xr:uid="{00000000-0005-0000-0000-0000881A0000}"/>
    <cellStyle name="Вывод 8 87 3" xfId="11243" xr:uid="{00000000-0005-0000-0000-0000891A0000}"/>
    <cellStyle name="Вывод 8 87 4" xfId="15479" xr:uid="{00000000-0005-0000-0000-00008A1A0000}"/>
    <cellStyle name="Вывод 8 88" xfId="2240" xr:uid="{00000000-0005-0000-0000-00008B1A0000}"/>
    <cellStyle name="Вывод 8 88 2" xfId="6976" xr:uid="{00000000-0005-0000-0000-00008C1A0000}"/>
    <cellStyle name="Вывод 8 88 3" xfId="11244" xr:uid="{00000000-0005-0000-0000-00008D1A0000}"/>
    <cellStyle name="Вывод 8 88 4" xfId="15480" xr:uid="{00000000-0005-0000-0000-00008E1A0000}"/>
    <cellStyle name="Вывод 8 89" xfId="2241" xr:uid="{00000000-0005-0000-0000-00008F1A0000}"/>
    <cellStyle name="Вывод 8 89 2" xfId="6977" xr:uid="{00000000-0005-0000-0000-0000901A0000}"/>
    <cellStyle name="Вывод 8 89 3" xfId="11245" xr:uid="{00000000-0005-0000-0000-0000911A0000}"/>
    <cellStyle name="Вывод 8 89 4" xfId="15481" xr:uid="{00000000-0005-0000-0000-0000921A0000}"/>
    <cellStyle name="Вывод 8 9" xfId="2242" xr:uid="{00000000-0005-0000-0000-0000931A0000}"/>
    <cellStyle name="Вывод 8 9 2" xfId="6978" xr:uid="{00000000-0005-0000-0000-0000941A0000}"/>
    <cellStyle name="Вывод 8 9 3" xfId="11246" xr:uid="{00000000-0005-0000-0000-0000951A0000}"/>
    <cellStyle name="Вывод 8 9 4" xfId="15482" xr:uid="{00000000-0005-0000-0000-0000961A0000}"/>
    <cellStyle name="Вывод 8 90" xfId="2243" xr:uid="{00000000-0005-0000-0000-0000971A0000}"/>
    <cellStyle name="Вывод 8 90 2" xfId="6979" xr:uid="{00000000-0005-0000-0000-0000981A0000}"/>
    <cellStyle name="Вывод 8 90 3" xfId="11247" xr:uid="{00000000-0005-0000-0000-0000991A0000}"/>
    <cellStyle name="Вывод 8 90 4" xfId="15483" xr:uid="{00000000-0005-0000-0000-00009A1A0000}"/>
    <cellStyle name="Вывод 8 91" xfId="2244" xr:uid="{00000000-0005-0000-0000-00009B1A0000}"/>
    <cellStyle name="Вывод 8 91 2" xfId="6980" xr:uid="{00000000-0005-0000-0000-00009C1A0000}"/>
    <cellStyle name="Вывод 8 91 3" xfId="11248" xr:uid="{00000000-0005-0000-0000-00009D1A0000}"/>
    <cellStyle name="Вывод 8 91 4" xfId="15484" xr:uid="{00000000-0005-0000-0000-00009E1A0000}"/>
    <cellStyle name="Вывод 8 92" xfId="5193" xr:uid="{00000000-0005-0000-0000-00009F1A0000}"/>
    <cellStyle name="Вывод 8 93" xfId="5252" xr:uid="{00000000-0005-0000-0000-0000A01A0000}"/>
    <cellStyle name="Вывод 8 94" xfId="8813" xr:uid="{00000000-0005-0000-0000-0000A11A0000}"/>
    <cellStyle name="Вывод 9" xfId="240" xr:uid="{00000000-0005-0000-0000-0000A21A0000}"/>
    <cellStyle name="Вывод 9 10" xfId="2245" xr:uid="{00000000-0005-0000-0000-0000A31A0000}"/>
    <cellStyle name="Вывод 9 10 2" xfId="6981" xr:uid="{00000000-0005-0000-0000-0000A41A0000}"/>
    <cellStyle name="Вывод 9 10 3" xfId="11249" xr:uid="{00000000-0005-0000-0000-0000A51A0000}"/>
    <cellStyle name="Вывод 9 10 4" xfId="15485" xr:uid="{00000000-0005-0000-0000-0000A61A0000}"/>
    <cellStyle name="Вывод 9 11" xfId="2246" xr:uid="{00000000-0005-0000-0000-0000A71A0000}"/>
    <cellStyle name="Вывод 9 11 2" xfId="6982" xr:uid="{00000000-0005-0000-0000-0000A81A0000}"/>
    <cellStyle name="Вывод 9 11 3" xfId="11250" xr:uid="{00000000-0005-0000-0000-0000A91A0000}"/>
    <cellStyle name="Вывод 9 11 4" xfId="15486" xr:uid="{00000000-0005-0000-0000-0000AA1A0000}"/>
    <cellStyle name="Вывод 9 12" xfId="2247" xr:uid="{00000000-0005-0000-0000-0000AB1A0000}"/>
    <cellStyle name="Вывод 9 12 2" xfId="6983" xr:uid="{00000000-0005-0000-0000-0000AC1A0000}"/>
    <cellStyle name="Вывод 9 12 3" xfId="11251" xr:uid="{00000000-0005-0000-0000-0000AD1A0000}"/>
    <cellStyle name="Вывод 9 12 4" xfId="15487" xr:uid="{00000000-0005-0000-0000-0000AE1A0000}"/>
    <cellStyle name="Вывод 9 13" xfId="2248" xr:uid="{00000000-0005-0000-0000-0000AF1A0000}"/>
    <cellStyle name="Вывод 9 13 2" xfId="6984" xr:uid="{00000000-0005-0000-0000-0000B01A0000}"/>
    <cellStyle name="Вывод 9 13 3" xfId="11252" xr:uid="{00000000-0005-0000-0000-0000B11A0000}"/>
    <cellStyle name="Вывод 9 13 4" xfId="15488" xr:uid="{00000000-0005-0000-0000-0000B21A0000}"/>
    <cellStyle name="Вывод 9 14" xfId="2249" xr:uid="{00000000-0005-0000-0000-0000B31A0000}"/>
    <cellStyle name="Вывод 9 14 2" xfId="6985" xr:uid="{00000000-0005-0000-0000-0000B41A0000}"/>
    <cellStyle name="Вывод 9 14 3" xfId="11253" xr:uid="{00000000-0005-0000-0000-0000B51A0000}"/>
    <cellStyle name="Вывод 9 14 4" xfId="15489" xr:uid="{00000000-0005-0000-0000-0000B61A0000}"/>
    <cellStyle name="Вывод 9 15" xfId="2250" xr:uid="{00000000-0005-0000-0000-0000B71A0000}"/>
    <cellStyle name="Вывод 9 15 2" xfId="6986" xr:uid="{00000000-0005-0000-0000-0000B81A0000}"/>
    <cellStyle name="Вывод 9 15 3" xfId="11254" xr:uid="{00000000-0005-0000-0000-0000B91A0000}"/>
    <cellStyle name="Вывод 9 15 4" xfId="15490" xr:uid="{00000000-0005-0000-0000-0000BA1A0000}"/>
    <cellStyle name="Вывод 9 16" xfId="2251" xr:uid="{00000000-0005-0000-0000-0000BB1A0000}"/>
    <cellStyle name="Вывод 9 16 2" xfId="6987" xr:uid="{00000000-0005-0000-0000-0000BC1A0000}"/>
    <cellStyle name="Вывод 9 16 3" xfId="11255" xr:uid="{00000000-0005-0000-0000-0000BD1A0000}"/>
    <cellStyle name="Вывод 9 16 4" xfId="15491" xr:uid="{00000000-0005-0000-0000-0000BE1A0000}"/>
    <cellStyle name="Вывод 9 17" xfId="2252" xr:uid="{00000000-0005-0000-0000-0000BF1A0000}"/>
    <cellStyle name="Вывод 9 17 2" xfId="6988" xr:uid="{00000000-0005-0000-0000-0000C01A0000}"/>
    <cellStyle name="Вывод 9 17 3" xfId="11256" xr:uid="{00000000-0005-0000-0000-0000C11A0000}"/>
    <cellStyle name="Вывод 9 17 4" xfId="15492" xr:uid="{00000000-0005-0000-0000-0000C21A0000}"/>
    <cellStyle name="Вывод 9 18" xfId="2253" xr:uid="{00000000-0005-0000-0000-0000C31A0000}"/>
    <cellStyle name="Вывод 9 18 2" xfId="6989" xr:uid="{00000000-0005-0000-0000-0000C41A0000}"/>
    <cellStyle name="Вывод 9 18 3" xfId="11257" xr:uid="{00000000-0005-0000-0000-0000C51A0000}"/>
    <cellStyle name="Вывод 9 18 4" xfId="15493" xr:uid="{00000000-0005-0000-0000-0000C61A0000}"/>
    <cellStyle name="Вывод 9 19" xfId="2254" xr:uid="{00000000-0005-0000-0000-0000C71A0000}"/>
    <cellStyle name="Вывод 9 19 2" xfId="6990" xr:uid="{00000000-0005-0000-0000-0000C81A0000}"/>
    <cellStyle name="Вывод 9 19 3" xfId="11258" xr:uid="{00000000-0005-0000-0000-0000C91A0000}"/>
    <cellStyle name="Вывод 9 19 4" xfId="15494" xr:uid="{00000000-0005-0000-0000-0000CA1A0000}"/>
    <cellStyle name="Вывод 9 2" xfId="2255" xr:uid="{00000000-0005-0000-0000-0000CB1A0000}"/>
    <cellStyle name="Вывод 9 2 2" xfId="2256" xr:uid="{00000000-0005-0000-0000-0000CC1A0000}"/>
    <cellStyle name="Вывод 9 2 2 2" xfId="6992" xr:uid="{00000000-0005-0000-0000-0000CD1A0000}"/>
    <cellStyle name="Вывод 9 2 2 3" xfId="11260" xr:uid="{00000000-0005-0000-0000-0000CE1A0000}"/>
    <cellStyle name="Вывод 9 2 2 4" xfId="15496" xr:uid="{00000000-0005-0000-0000-0000CF1A0000}"/>
    <cellStyle name="Вывод 9 2 3" xfId="2257" xr:uid="{00000000-0005-0000-0000-0000D01A0000}"/>
    <cellStyle name="Вывод 9 2 3 2" xfId="6993" xr:uid="{00000000-0005-0000-0000-0000D11A0000}"/>
    <cellStyle name="Вывод 9 2 3 3" xfId="11261" xr:uid="{00000000-0005-0000-0000-0000D21A0000}"/>
    <cellStyle name="Вывод 9 2 3 4" xfId="15497" xr:uid="{00000000-0005-0000-0000-0000D31A0000}"/>
    <cellStyle name="Вывод 9 2 4" xfId="6991" xr:uid="{00000000-0005-0000-0000-0000D41A0000}"/>
    <cellStyle name="Вывод 9 2 5" xfId="11259" xr:uid="{00000000-0005-0000-0000-0000D51A0000}"/>
    <cellStyle name="Вывод 9 2 6" xfId="15495" xr:uid="{00000000-0005-0000-0000-0000D61A0000}"/>
    <cellStyle name="Вывод 9 20" xfId="2258" xr:uid="{00000000-0005-0000-0000-0000D71A0000}"/>
    <cellStyle name="Вывод 9 20 2" xfId="6994" xr:uid="{00000000-0005-0000-0000-0000D81A0000}"/>
    <cellStyle name="Вывод 9 20 3" xfId="11262" xr:uid="{00000000-0005-0000-0000-0000D91A0000}"/>
    <cellStyle name="Вывод 9 20 4" xfId="15498" xr:uid="{00000000-0005-0000-0000-0000DA1A0000}"/>
    <cellStyle name="Вывод 9 21" xfId="2259" xr:uid="{00000000-0005-0000-0000-0000DB1A0000}"/>
    <cellStyle name="Вывод 9 21 2" xfId="6995" xr:uid="{00000000-0005-0000-0000-0000DC1A0000}"/>
    <cellStyle name="Вывод 9 21 3" xfId="11263" xr:uid="{00000000-0005-0000-0000-0000DD1A0000}"/>
    <cellStyle name="Вывод 9 21 4" xfId="15499" xr:uid="{00000000-0005-0000-0000-0000DE1A0000}"/>
    <cellStyle name="Вывод 9 22" xfId="2260" xr:uid="{00000000-0005-0000-0000-0000DF1A0000}"/>
    <cellStyle name="Вывод 9 22 2" xfId="6996" xr:uid="{00000000-0005-0000-0000-0000E01A0000}"/>
    <cellStyle name="Вывод 9 22 3" xfId="11264" xr:uid="{00000000-0005-0000-0000-0000E11A0000}"/>
    <cellStyle name="Вывод 9 22 4" xfId="15500" xr:uid="{00000000-0005-0000-0000-0000E21A0000}"/>
    <cellStyle name="Вывод 9 23" xfId="2261" xr:uid="{00000000-0005-0000-0000-0000E31A0000}"/>
    <cellStyle name="Вывод 9 23 2" xfId="6997" xr:uid="{00000000-0005-0000-0000-0000E41A0000}"/>
    <cellStyle name="Вывод 9 23 3" xfId="11265" xr:uid="{00000000-0005-0000-0000-0000E51A0000}"/>
    <cellStyle name="Вывод 9 23 4" xfId="15501" xr:uid="{00000000-0005-0000-0000-0000E61A0000}"/>
    <cellStyle name="Вывод 9 24" xfId="2262" xr:uid="{00000000-0005-0000-0000-0000E71A0000}"/>
    <cellStyle name="Вывод 9 24 2" xfId="6998" xr:uid="{00000000-0005-0000-0000-0000E81A0000}"/>
    <cellStyle name="Вывод 9 24 3" xfId="11266" xr:uid="{00000000-0005-0000-0000-0000E91A0000}"/>
    <cellStyle name="Вывод 9 24 4" xfId="15502" xr:uid="{00000000-0005-0000-0000-0000EA1A0000}"/>
    <cellStyle name="Вывод 9 25" xfId="2263" xr:uid="{00000000-0005-0000-0000-0000EB1A0000}"/>
    <cellStyle name="Вывод 9 25 2" xfId="6999" xr:uid="{00000000-0005-0000-0000-0000EC1A0000}"/>
    <cellStyle name="Вывод 9 25 3" xfId="11267" xr:uid="{00000000-0005-0000-0000-0000ED1A0000}"/>
    <cellStyle name="Вывод 9 25 4" xfId="15503" xr:uid="{00000000-0005-0000-0000-0000EE1A0000}"/>
    <cellStyle name="Вывод 9 26" xfId="2264" xr:uid="{00000000-0005-0000-0000-0000EF1A0000}"/>
    <cellStyle name="Вывод 9 26 2" xfId="7000" xr:uid="{00000000-0005-0000-0000-0000F01A0000}"/>
    <cellStyle name="Вывод 9 26 3" xfId="11268" xr:uid="{00000000-0005-0000-0000-0000F11A0000}"/>
    <cellStyle name="Вывод 9 26 4" xfId="15504" xr:uid="{00000000-0005-0000-0000-0000F21A0000}"/>
    <cellStyle name="Вывод 9 27" xfId="2265" xr:uid="{00000000-0005-0000-0000-0000F31A0000}"/>
    <cellStyle name="Вывод 9 27 2" xfId="7001" xr:uid="{00000000-0005-0000-0000-0000F41A0000}"/>
    <cellStyle name="Вывод 9 27 3" xfId="11269" xr:uid="{00000000-0005-0000-0000-0000F51A0000}"/>
    <cellStyle name="Вывод 9 27 4" xfId="15505" xr:uid="{00000000-0005-0000-0000-0000F61A0000}"/>
    <cellStyle name="Вывод 9 28" xfId="2266" xr:uid="{00000000-0005-0000-0000-0000F71A0000}"/>
    <cellStyle name="Вывод 9 28 2" xfId="7002" xr:uid="{00000000-0005-0000-0000-0000F81A0000}"/>
    <cellStyle name="Вывод 9 28 3" xfId="11270" xr:uid="{00000000-0005-0000-0000-0000F91A0000}"/>
    <cellStyle name="Вывод 9 28 4" xfId="15506" xr:uid="{00000000-0005-0000-0000-0000FA1A0000}"/>
    <cellStyle name="Вывод 9 29" xfId="2267" xr:uid="{00000000-0005-0000-0000-0000FB1A0000}"/>
    <cellStyle name="Вывод 9 29 2" xfId="7003" xr:uid="{00000000-0005-0000-0000-0000FC1A0000}"/>
    <cellStyle name="Вывод 9 29 3" xfId="11271" xr:uid="{00000000-0005-0000-0000-0000FD1A0000}"/>
    <cellStyle name="Вывод 9 29 4" xfId="15507" xr:uid="{00000000-0005-0000-0000-0000FE1A0000}"/>
    <cellStyle name="Вывод 9 3" xfId="2268" xr:uid="{00000000-0005-0000-0000-0000FF1A0000}"/>
    <cellStyle name="Вывод 9 3 2" xfId="2269" xr:uid="{00000000-0005-0000-0000-0000001B0000}"/>
    <cellStyle name="Вывод 9 3 2 2" xfId="7005" xr:uid="{00000000-0005-0000-0000-0000011B0000}"/>
    <cellStyle name="Вывод 9 3 2 3" xfId="11273" xr:uid="{00000000-0005-0000-0000-0000021B0000}"/>
    <cellStyle name="Вывод 9 3 2 4" xfId="15509" xr:uid="{00000000-0005-0000-0000-0000031B0000}"/>
    <cellStyle name="Вывод 9 3 3" xfId="2270" xr:uid="{00000000-0005-0000-0000-0000041B0000}"/>
    <cellStyle name="Вывод 9 3 3 2" xfId="7006" xr:uid="{00000000-0005-0000-0000-0000051B0000}"/>
    <cellStyle name="Вывод 9 3 3 3" xfId="11274" xr:uid="{00000000-0005-0000-0000-0000061B0000}"/>
    <cellStyle name="Вывод 9 3 3 4" xfId="15510" xr:uid="{00000000-0005-0000-0000-0000071B0000}"/>
    <cellStyle name="Вывод 9 3 4" xfId="7004" xr:uid="{00000000-0005-0000-0000-0000081B0000}"/>
    <cellStyle name="Вывод 9 3 5" xfId="11272" xr:uid="{00000000-0005-0000-0000-0000091B0000}"/>
    <cellStyle name="Вывод 9 3 6" xfId="15508" xr:uid="{00000000-0005-0000-0000-00000A1B0000}"/>
    <cellStyle name="Вывод 9 30" xfId="2271" xr:uid="{00000000-0005-0000-0000-00000B1B0000}"/>
    <cellStyle name="Вывод 9 30 2" xfId="7007" xr:uid="{00000000-0005-0000-0000-00000C1B0000}"/>
    <cellStyle name="Вывод 9 30 3" xfId="11275" xr:uid="{00000000-0005-0000-0000-00000D1B0000}"/>
    <cellStyle name="Вывод 9 30 4" xfId="15511" xr:uid="{00000000-0005-0000-0000-00000E1B0000}"/>
    <cellStyle name="Вывод 9 31" xfId="2272" xr:uid="{00000000-0005-0000-0000-00000F1B0000}"/>
    <cellStyle name="Вывод 9 31 2" xfId="7008" xr:uid="{00000000-0005-0000-0000-0000101B0000}"/>
    <cellStyle name="Вывод 9 31 3" xfId="11276" xr:uid="{00000000-0005-0000-0000-0000111B0000}"/>
    <cellStyle name="Вывод 9 31 4" xfId="15512" xr:uid="{00000000-0005-0000-0000-0000121B0000}"/>
    <cellStyle name="Вывод 9 32" xfId="2273" xr:uid="{00000000-0005-0000-0000-0000131B0000}"/>
    <cellStyle name="Вывод 9 32 2" xfId="7009" xr:uid="{00000000-0005-0000-0000-0000141B0000}"/>
    <cellStyle name="Вывод 9 32 3" xfId="11277" xr:uid="{00000000-0005-0000-0000-0000151B0000}"/>
    <cellStyle name="Вывод 9 32 4" xfId="15513" xr:uid="{00000000-0005-0000-0000-0000161B0000}"/>
    <cellStyle name="Вывод 9 33" xfId="2274" xr:uid="{00000000-0005-0000-0000-0000171B0000}"/>
    <cellStyle name="Вывод 9 33 2" xfId="7010" xr:uid="{00000000-0005-0000-0000-0000181B0000}"/>
    <cellStyle name="Вывод 9 33 3" xfId="11278" xr:uid="{00000000-0005-0000-0000-0000191B0000}"/>
    <cellStyle name="Вывод 9 33 4" xfId="15514" xr:uid="{00000000-0005-0000-0000-00001A1B0000}"/>
    <cellStyle name="Вывод 9 34" xfId="2275" xr:uid="{00000000-0005-0000-0000-00001B1B0000}"/>
    <cellStyle name="Вывод 9 34 2" xfId="7011" xr:uid="{00000000-0005-0000-0000-00001C1B0000}"/>
    <cellStyle name="Вывод 9 34 3" xfId="11279" xr:uid="{00000000-0005-0000-0000-00001D1B0000}"/>
    <cellStyle name="Вывод 9 34 4" xfId="15515" xr:uid="{00000000-0005-0000-0000-00001E1B0000}"/>
    <cellStyle name="Вывод 9 35" xfId="2276" xr:uid="{00000000-0005-0000-0000-00001F1B0000}"/>
    <cellStyle name="Вывод 9 35 2" xfId="7012" xr:uid="{00000000-0005-0000-0000-0000201B0000}"/>
    <cellStyle name="Вывод 9 35 3" xfId="11280" xr:uid="{00000000-0005-0000-0000-0000211B0000}"/>
    <cellStyle name="Вывод 9 35 4" xfId="15516" xr:uid="{00000000-0005-0000-0000-0000221B0000}"/>
    <cellStyle name="Вывод 9 36" xfId="2277" xr:uid="{00000000-0005-0000-0000-0000231B0000}"/>
    <cellStyle name="Вывод 9 36 2" xfId="7013" xr:uid="{00000000-0005-0000-0000-0000241B0000}"/>
    <cellStyle name="Вывод 9 36 3" xfId="11281" xr:uid="{00000000-0005-0000-0000-0000251B0000}"/>
    <cellStyle name="Вывод 9 36 4" xfId="15517" xr:uid="{00000000-0005-0000-0000-0000261B0000}"/>
    <cellStyle name="Вывод 9 37" xfId="2278" xr:uid="{00000000-0005-0000-0000-0000271B0000}"/>
    <cellStyle name="Вывод 9 37 2" xfId="7014" xr:uid="{00000000-0005-0000-0000-0000281B0000}"/>
    <cellStyle name="Вывод 9 37 3" xfId="11282" xr:uid="{00000000-0005-0000-0000-0000291B0000}"/>
    <cellStyle name="Вывод 9 37 4" xfId="15518" xr:uid="{00000000-0005-0000-0000-00002A1B0000}"/>
    <cellStyle name="Вывод 9 38" xfId="2279" xr:uid="{00000000-0005-0000-0000-00002B1B0000}"/>
    <cellStyle name="Вывод 9 38 2" xfId="7015" xr:uid="{00000000-0005-0000-0000-00002C1B0000}"/>
    <cellStyle name="Вывод 9 38 3" xfId="11283" xr:uid="{00000000-0005-0000-0000-00002D1B0000}"/>
    <cellStyle name="Вывод 9 38 4" xfId="15519" xr:uid="{00000000-0005-0000-0000-00002E1B0000}"/>
    <cellStyle name="Вывод 9 39" xfId="2280" xr:uid="{00000000-0005-0000-0000-00002F1B0000}"/>
    <cellStyle name="Вывод 9 39 2" xfId="7016" xr:uid="{00000000-0005-0000-0000-0000301B0000}"/>
    <cellStyle name="Вывод 9 39 3" xfId="11284" xr:uid="{00000000-0005-0000-0000-0000311B0000}"/>
    <cellStyle name="Вывод 9 39 4" xfId="15520" xr:uid="{00000000-0005-0000-0000-0000321B0000}"/>
    <cellStyle name="Вывод 9 4" xfId="2281" xr:uid="{00000000-0005-0000-0000-0000331B0000}"/>
    <cellStyle name="Вывод 9 4 2" xfId="2282" xr:uid="{00000000-0005-0000-0000-0000341B0000}"/>
    <cellStyle name="Вывод 9 4 2 2" xfId="7018" xr:uid="{00000000-0005-0000-0000-0000351B0000}"/>
    <cellStyle name="Вывод 9 4 2 3" xfId="11286" xr:uid="{00000000-0005-0000-0000-0000361B0000}"/>
    <cellStyle name="Вывод 9 4 2 4" xfId="15522" xr:uid="{00000000-0005-0000-0000-0000371B0000}"/>
    <cellStyle name="Вывод 9 4 3" xfId="2283" xr:uid="{00000000-0005-0000-0000-0000381B0000}"/>
    <cellStyle name="Вывод 9 4 3 2" xfId="7019" xr:uid="{00000000-0005-0000-0000-0000391B0000}"/>
    <cellStyle name="Вывод 9 4 3 3" xfId="11287" xr:uid="{00000000-0005-0000-0000-00003A1B0000}"/>
    <cellStyle name="Вывод 9 4 3 4" xfId="15523" xr:uid="{00000000-0005-0000-0000-00003B1B0000}"/>
    <cellStyle name="Вывод 9 4 4" xfId="7017" xr:uid="{00000000-0005-0000-0000-00003C1B0000}"/>
    <cellStyle name="Вывод 9 4 5" xfId="11285" xr:uid="{00000000-0005-0000-0000-00003D1B0000}"/>
    <cellStyle name="Вывод 9 4 6" xfId="15521" xr:uid="{00000000-0005-0000-0000-00003E1B0000}"/>
    <cellStyle name="Вывод 9 40" xfId="2284" xr:uid="{00000000-0005-0000-0000-00003F1B0000}"/>
    <cellStyle name="Вывод 9 40 2" xfId="7020" xr:uid="{00000000-0005-0000-0000-0000401B0000}"/>
    <cellStyle name="Вывод 9 40 3" xfId="11288" xr:uid="{00000000-0005-0000-0000-0000411B0000}"/>
    <cellStyle name="Вывод 9 40 4" xfId="15524" xr:uid="{00000000-0005-0000-0000-0000421B0000}"/>
    <cellStyle name="Вывод 9 41" xfId="2285" xr:uid="{00000000-0005-0000-0000-0000431B0000}"/>
    <cellStyle name="Вывод 9 41 2" xfId="7021" xr:uid="{00000000-0005-0000-0000-0000441B0000}"/>
    <cellStyle name="Вывод 9 41 3" xfId="11289" xr:uid="{00000000-0005-0000-0000-0000451B0000}"/>
    <cellStyle name="Вывод 9 41 4" xfId="15525" xr:uid="{00000000-0005-0000-0000-0000461B0000}"/>
    <cellStyle name="Вывод 9 42" xfId="2286" xr:uid="{00000000-0005-0000-0000-0000471B0000}"/>
    <cellStyle name="Вывод 9 42 2" xfId="7022" xr:uid="{00000000-0005-0000-0000-0000481B0000}"/>
    <cellStyle name="Вывод 9 42 3" xfId="11290" xr:uid="{00000000-0005-0000-0000-0000491B0000}"/>
    <cellStyle name="Вывод 9 42 4" xfId="15526" xr:uid="{00000000-0005-0000-0000-00004A1B0000}"/>
    <cellStyle name="Вывод 9 43" xfId="2287" xr:uid="{00000000-0005-0000-0000-00004B1B0000}"/>
    <cellStyle name="Вывод 9 43 2" xfId="7023" xr:uid="{00000000-0005-0000-0000-00004C1B0000}"/>
    <cellStyle name="Вывод 9 43 3" xfId="11291" xr:uid="{00000000-0005-0000-0000-00004D1B0000}"/>
    <cellStyle name="Вывод 9 43 4" xfId="15527" xr:uid="{00000000-0005-0000-0000-00004E1B0000}"/>
    <cellStyle name="Вывод 9 44" xfId="2288" xr:uid="{00000000-0005-0000-0000-00004F1B0000}"/>
    <cellStyle name="Вывод 9 44 2" xfId="7024" xr:uid="{00000000-0005-0000-0000-0000501B0000}"/>
    <cellStyle name="Вывод 9 44 3" xfId="11292" xr:uid="{00000000-0005-0000-0000-0000511B0000}"/>
    <cellStyle name="Вывод 9 44 4" xfId="15528" xr:uid="{00000000-0005-0000-0000-0000521B0000}"/>
    <cellStyle name="Вывод 9 45" xfId="2289" xr:uid="{00000000-0005-0000-0000-0000531B0000}"/>
    <cellStyle name="Вывод 9 45 2" xfId="7025" xr:uid="{00000000-0005-0000-0000-0000541B0000}"/>
    <cellStyle name="Вывод 9 45 3" xfId="11293" xr:uid="{00000000-0005-0000-0000-0000551B0000}"/>
    <cellStyle name="Вывод 9 45 4" xfId="15529" xr:uid="{00000000-0005-0000-0000-0000561B0000}"/>
    <cellStyle name="Вывод 9 46" xfId="2290" xr:uid="{00000000-0005-0000-0000-0000571B0000}"/>
    <cellStyle name="Вывод 9 46 2" xfId="7026" xr:uid="{00000000-0005-0000-0000-0000581B0000}"/>
    <cellStyle name="Вывод 9 46 3" xfId="11294" xr:uid="{00000000-0005-0000-0000-0000591B0000}"/>
    <cellStyle name="Вывод 9 46 4" xfId="15530" xr:uid="{00000000-0005-0000-0000-00005A1B0000}"/>
    <cellStyle name="Вывод 9 47" xfId="2291" xr:uid="{00000000-0005-0000-0000-00005B1B0000}"/>
    <cellStyle name="Вывод 9 47 2" xfId="7027" xr:uid="{00000000-0005-0000-0000-00005C1B0000}"/>
    <cellStyle name="Вывод 9 47 3" xfId="11295" xr:uid="{00000000-0005-0000-0000-00005D1B0000}"/>
    <cellStyle name="Вывод 9 47 4" xfId="15531" xr:uid="{00000000-0005-0000-0000-00005E1B0000}"/>
    <cellStyle name="Вывод 9 48" xfId="2292" xr:uid="{00000000-0005-0000-0000-00005F1B0000}"/>
    <cellStyle name="Вывод 9 48 2" xfId="7028" xr:uid="{00000000-0005-0000-0000-0000601B0000}"/>
    <cellStyle name="Вывод 9 48 3" xfId="11296" xr:uid="{00000000-0005-0000-0000-0000611B0000}"/>
    <cellStyle name="Вывод 9 48 4" xfId="15532" xr:uid="{00000000-0005-0000-0000-0000621B0000}"/>
    <cellStyle name="Вывод 9 49" xfId="2293" xr:uid="{00000000-0005-0000-0000-0000631B0000}"/>
    <cellStyle name="Вывод 9 49 2" xfId="7029" xr:uid="{00000000-0005-0000-0000-0000641B0000}"/>
    <cellStyle name="Вывод 9 49 3" xfId="11297" xr:uid="{00000000-0005-0000-0000-0000651B0000}"/>
    <cellStyle name="Вывод 9 49 4" xfId="15533" xr:uid="{00000000-0005-0000-0000-0000661B0000}"/>
    <cellStyle name="Вывод 9 5" xfId="2294" xr:uid="{00000000-0005-0000-0000-0000671B0000}"/>
    <cellStyle name="Вывод 9 5 2" xfId="7030" xr:uid="{00000000-0005-0000-0000-0000681B0000}"/>
    <cellStyle name="Вывод 9 5 3" xfId="11298" xr:uid="{00000000-0005-0000-0000-0000691B0000}"/>
    <cellStyle name="Вывод 9 5 4" xfId="15534" xr:uid="{00000000-0005-0000-0000-00006A1B0000}"/>
    <cellStyle name="Вывод 9 50" xfId="2295" xr:uid="{00000000-0005-0000-0000-00006B1B0000}"/>
    <cellStyle name="Вывод 9 50 2" xfId="7031" xr:uid="{00000000-0005-0000-0000-00006C1B0000}"/>
    <cellStyle name="Вывод 9 50 3" xfId="11299" xr:uid="{00000000-0005-0000-0000-00006D1B0000}"/>
    <cellStyle name="Вывод 9 50 4" xfId="15535" xr:uid="{00000000-0005-0000-0000-00006E1B0000}"/>
    <cellStyle name="Вывод 9 51" xfId="2296" xr:uid="{00000000-0005-0000-0000-00006F1B0000}"/>
    <cellStyle name="Вывод 9 51 2" xfId="7032" xr:uid="{00000000-0005-0000-0000-0000701B0000}"/>
    <cellStyle name="Вывод 9 51 3" xfId="11300" xr:uid="{00000000-0005-0000-0000-0000711B0000}"/>
    <cellStyle name="Вывод 9 51 4" xfId="15536" xr:uid="{00000000-0005-0000-0000-0000721B0000}"/>
    <cellStyle name="Вывод 9 52" xfId="2297" xr:uid="{00000000-0005-0000-0000-0000731B0000}"/>
    <cellStyle name="Вывод 9 52 2" xfId="7033" xr:uid="{00000000-0005-0000-0000-0000741B0000}"/>
    <cellStyle name="Вывод 9 52 3" xfId="11301" xr:uid="{00000000-0005-0000-0000-0000751B0000}"/>
    <cellStyle name="Вывод 9 52 4" xfId="15537" xr:uid="{00000000-0005-0000-0000-0000761B0000}"/>
    <cellStyle name="Вывод 9 53" xfId="2298" xr:uid="{00000000-0005-0000-0000-0000771B0000}"/>
    <cellStyle name="Вывод 9 53 2" xfId="7034" xr:uid="{00000000-0005-0000-0000-0000781B0000}"/>
    <cellStyle name="Вывод 9 53 3" xfId="11302" xr:uid="{00000000-0005-0000-0000-0000791B0000}"/>
    <cellStyle name="Вывод 9 53 4" xfId="15538" xr:uid="{00000000-0005-0000-0000-00007A1B0000}"/>
    <cellStyle name="Вывод 9 54" xfId="2299" xr:uid="{00000000-0005-0000-0000-00007B1B0000}"/>
    <cellStyle name="Вывод 9 54 2" xfId="7035" xr:uid="{00000000-0005-0000-0000-00007C1B0000}"/>
    <cellStyle name="Вывод 9 54 3" xfId="11303" xr:uid="{00000000-0005-0000-0000-00007D1B0000}"/>
    <cellStyle name="Вывод 9 54 4" xfId="15539" xr:uid="{00000000-0005-0000-0000-00007E1B0000}"/>
    <cellStyle name="Вывод 9 55" xfId="2300" xr:uid="{00000000-0005-0000-0000-00007F1B0000}"/>
    <cellStyle name="Вывод 9 55 2" xfId="7036" xr:uid="{00000000-0005-0000-0000-0000801B0000}"/>
    <cellStyle name="Вывод 9 55 3" xfId="11304" xr:uid="{00000000-0005-0000-0000-0000811B0000}"/>
    <cellStyle name="Вывод 9 55 4" xfId="15540" xr:uid="{00000000-0005-0000-0000-0000821B0000}"/>
    <cellStyle name="Вывод 9 56" xfId="2301" xr:uid="{00000000-0005-0000-0000-0000831B0000}"/>
    <cellStyle name="Вывод 9 56 2" xfId="7037" xr:uid="{00000000-0005-0000-0000-0000841B0000}"/>
    <cellStyle name="Вывод 9 56 3" xfId="11305" xr:uid="{00000000-0005-0000-0000-0000851B0000}"/>
    <cellStyle name="Вывод 9 56 4" xfId="15541" xr:uid="{00000000-0005-0000-0000-0000861B0000}"/>
    <cellStyle name="Вывод 9 57" xfId="2302" xr:uid="{00000000-0005-0000-0000-0000871B0000}"/>
    <cellStyle name="Вывод 9 57 2" xfId="7038" xr:uid="{00000000-0005-0000-0000-0000881B0000}"/>
    <cellStyle name="Вывод 9 57 3" xfId="11306" xr:uid="{00000000-0005-0000-0000-0000891B0000}"/>
    <cellStyle name="Вывод 9 57 4" xfId="15542" xr:uid="{00000000-0005-0000-0000-00008A1B0000}"/>
    <cellStyle name="Вывод 9 58" xfId="2303" xr:uid="{00000000-0005-0000-0000-00008B1B0000}"/>
    <cellStyle name="Вывод 9 58 2" xfId="7039" xr:uid="{00000000-0005-0000-0000-00008C1B0000}"/>
    <cellStyle name="Вывод 9 58 3" xfId="11307" xr:uid="{00000000-0005-0000-0000-00008D1B0000}"/>
    <cellStyle name="Вывод 9 58 4" xfId="15543" xr:uid="{00000000-0005-0000-0000-00008E1B0000}"/>
    <cellStyle name="Вывод 9 59" xfId="2304" xr:uid="{00000000-0005-0000-0000-00008F1B0000}"/>
    <cellStyle name="Вывод 9 59 2" xfId="7040" xr:uid="{00000000-0005-0000-0000-0000901B0000}"/>
    <cellStyle name="Вывод 9 59 3" xfId="11308" xr:uid="{00000000-0005-0000-0000-0000911B0000}"/>
    <cellStyle name="Вывод 9 59 4" xfId="15544" xr:uid="{00000000-0005-0000-0000-0000921B0000}"/>
    <cellStyle name="Вывод 9 6" xfId="2305" xr:uid="{00000000-0005-0000-0000-0000931B0000}"/>
    <cellStyle name="Вывод 9 6 2" xfId="7041" xr:uid="{00000000-0005-0000-0000-0000941B0000}"/>
    <cellStyle name="Вывод 9 6 3" xfId="11309" xr:uid="{00000000-0005-0000-0000-0000951B0000}"/>
    <cellStyle name="Вывод 9 6 4" xfId="15545" xr:uid="{00000000-0005-0000-0000-0000961B0000}"/>
    <cellStyle name="Вывод 9 60" xfId="2306" xr:uid="{00000000-0005-0000-0000-0000971B0000}"/>
    <cellStyle name="Вывод 9 60 2" xfId="7042" xr:uid="{00000000-0005-0000-0000-0000981B0000}"/>
    <cellStyle name="Вывод 9 60 3" xfId="11310" xr:uid="{00000000-0005-0000-0000-0000991B0000}"/>
    <cellStyle name="Вывод 9 60 4" xfId="15546" xr:uid="{00000000-0005-0000-0000-00009A1B0000}"/>
    <cellStyle name="Вывод 9 61" xfId="2307" xr:uid="{00000000-0005-0000-0000-00009B1B0000}"/>
    <cellStyle name="Вывод 9 61 2" xfId="7043" xr:uid="{00000000-0005-0000-0000-00009C1B0000}"/>
    <cellStyle name="Вывод 9 61 3" xfId="11311" xr:uid="{00000000-0005-0000-0000-00009D1B0000}"/>
    <cellStyle name="Вывод 9 61 4" xfId="15547" xr:uid="{00000000-0005-0000-0000-00009E1B0000}"/>
    <cellStyle name="Вывод 9 62" xfId="2308" xr:uid="{00000000-0005-0000-0000-00009F1B0000}"/>
    <cellStyle name="Вывод 9 62 2" xfId="7044" xr:uid="{00000000-0005-0000-0000-0000A01B0000}"/>
    <cellStyle name="Вывод 9 62 3" xfId="11312" xr:uid="{00000000-0005-0000-0000-0000A11B0000}"/>
    <cellStyle name="Вывод 9 62 4" xfId="15548" xr:uid="{00000000-0005-0000-0000-0000A21B0000}"/>
    <cellStyle name="Вывод 9 63" xfId="2309" xr:uid="{00000000-0005-0000-0000-0000A31B0000}"/>
    <cellStyle name="Вывод 9 63 2" xfId="7045" xr:uid="{00000000-0005-0000-0000-0000A41B0000}"/>
    <cellStyle name="Вывод 9 63 3" xfId="11313" xr:uid="{00000000-0005-0000-0000-0000A51B0000}"/>
    <cellStyle name="Вывод 9 63 4" xfId="15549" xr:uid="{00000000-0005-0000-0000-0000A61B0000}"/>
    <cellStyle name="Вывод 9 64" xfId="2310" xr:uid="{00000000-0005-0000-0000-0000A71B0000}"/>
    <cellStyle name="Вывод 9 64 2" xfId="7046" xr:uid="{00000000-0005-0000-0000-0000A81B0000}"/>
    <cellStyle name="Вывод 9 64 3" xfId="11314" xr:uid="{00000000-0005-0000-0000-0000A91B0000}"/>
    <cellStyle name="Вывод 9 64 4" xfId="15550" xr:uid="{00000000-0005-0000-0000-0000AA1B0000}"/>
    <cellStyle name="Вывод 9 65" xfId="2311" xr:uid="{00000000-0005-0000-0000-0000AB1B0000}"/>
    <cellStyle name="Вывод 9 65 2" xfId="7047" xr:uid="{00000000-0005-0000-0000-0000AC1B0000}"/>
    <cellStyle name="Вывод 9 65 3" xfId="11315" xr:uid="{00000000-0005-0000-0000-0000AD1B0000}"/>
    <cellStyle name="Вывод 9 65 4" xfId="15551" xr:uid="{00000000-0005-0000-0000-0000AE1B0000}"/>
    <cellStyle name="Вывод 9 66" xfId="2312" xr:uid="{00000000-0005-0000-0000-0000AF1B0000}"/>
    <cellStyle name="Вывод 9 66 2" xfId="7048" xr:uid="{00000000-0005-0000-0000-0000B01B0000}"/>
    <cellStyle name="Вывод 9 66 3" xfId="11316" xr:uid="{00000000-0005-0000-0000-0000B11B0000}"/>
    <cellStyle name="Вывод 9 66 4" xfId="15552" xr:uid="{00000000-0005-0000-0000-0000B21B0000}"/>
    <cellStyle name="Вывод 9 67" xfId="2313" xr:uid="{00000000-0005-0000-0000-0000B31B0000}"/>
    <cellStyle name="Вывод 9 67 2" xfId="7049" xr:uid="{00000000-0005-0000-0000-0000B41B0000}"/>
    <cellStyle name="Вывод 9 67 3" xfId="11317" xr:uid="{00000000-0005-0000-0000-0000B51B0000}"/>
    <cellStyle name="Вывод 9 67 4" xfId="15553" xr:uid="{00000000-0005-0000-0000-0000B61B0000}"/>
    <cellStyle name="Вывод 9 68" xfId="2314" xr:uid="{00000000-0005-0000-0000-0000B71B0000}"/>
    <cellStyle name="Вывод 9 68 2" xfId="7050" xr:uid="{00000000-0005-0000-0000-0000B81B0000}"/>
    <cellStyle name="Вывод 9 68 3" xfId="11318" xr:uid="{00000000-0005-0000-0000-0000B91B0000}"/>
    <cellStyle name="Вывод 9 68 4" xfId="15554" xr:uid="{00000000-0005-0000-0000-0000BA1B0000}"/>
    <cellStyle name="Вывод 9 69" xfId="2315" xr:uid="{00000000-0005-0000-0000-0000BB1B0000}"/>
    <cellStyle name="Вывод 9 69 2" xfId="7051" xr:uid="{00000000-0005-0000-0000-0000BC1B0000}"/>
    <cellStyle name="Вывод 9 69 3" xfId="11319" xr:uid="{00000000-0005-0000-0000-0000BD1B0000}"/>
    <cellStyle name="Вывод 9 69 4" xfId="15555" xr:uid="{00000000-0005-0000-0000-0000BE1B0000}"/>
    <cellStyle name="Вывод 9 7" xfId="2316" xr:uid="{00000000-0005-0000-0000-0000BF1B0000}"/>
    <cellStyle name="Вывод 9 7 2" xfId="7052" xr:uid="{00000000-0005-0000-0000-0000C01B0000}"/>
    <cellStyle name="Вывод 9 7 3" xfId="11320" xr:uid="{00000000-0005-0000-0000-0000C11B0000}"/>
    <cellStyle name="Вывод 9 7 4" xfId="15556" xr:uid="{00000000-0005-0000-0000-0000C21B0000}"/>
    <cellStyle name="Вывод 9 70" xfId="2317" xr:uid="{00000000-0005-0000-0000-0000C31B0000}"/>
    <cellStyle name="Вывод 9 70 2" xfId="7053" xr:uid="{00000000-0005-0000-0000-0000C41B0000}"/>
    <cellStyle name="Вывод 9 70 3" xfId="11321" xr:uid="{00000000-0005-0000-0000-0000C51B0000}"/>
    <cellStyle name="Вывод 9 70 4" xfId="15557" xr:uid="{00000000-0005-0000-0000-0000C61B0000}"/>
    <cellStyle name="Вывод 9 71" xfId="2318" xr:uid="{00000000-0005-0000-0000-0000C71B0000}"/>
    <cellStyle name="Вывод 9 71 2" xfId="7054" xr:uid="{00000000-0005-0000-0000-0000C81B0000}"/>
    <cellStyle name="Вывод 9 71 3" xfId="11322" xr:uid="{00000000-0005-0000-0000-0000C91B0000}"/>
    <cellStyle name="Вывод 9 71 4" xfId="15558" xr:uid="{00000000-0005-0000-0000-0000CA1B0000}"/>
    <cellStyle name="Вывод 9 72" xfId="2319" xr:uid="{00000000-0005-0000-0000-0000CB1B0000}"/>
    <cellStyle name="Вывод 9 72 2" xfId="7055" xr:uid="{00000000-0005-0000-0000-0000CC1B0000}"/>
    <cellStyle name="Вывод 9 72 3" xfId="11323" xr:uid="{00000000-0005-0000-0000-0000CD1B0000}"/>
    <cellStyle name="Вывод 9 72 4" xfId="15559" xr:uid="{00000000-0005-0000-0000-0000CE1B0000}"/>
    <cellStyle name="Вывод 9 73" xfId="2320" xr:uid="{00000000-0005-0000-0000-0000CF1B0000}"/>
    <cellStyle name="Вывод 9 73 2" xfId="7056" xr:uid="{00000000-0005-0000-0000-0000D01B0000}"/>
    <cellStyle name="Вывод 9 73 3" xfId="11324" xr:uid="{00000000-0005-0000-0000-0000D11B0000}"/>
    <cellStyle name="Вывод 9 73 4" xfId="15560" xr:uid="{00000000-0005-0000-0000-0000D21B0000}"/>
    <cellStyle name="Вывод 9 74" xfId="2321" xr:uid="{00000000-0005-0000-0000-0000D31B0000}"/>
    <cellStyle name="Вывод 9 74 2" xfId="7057" xr:uid="{00000000-0005-0000-0000-0000D41B0000}"/>
    <cellStyle name="Вывод 9 74 3" xfId="11325" xr:uid="{00000000-0005-0000-0000-0000D51B0000}"/>
    <cellStyle name="Вывод 9 74 4" xfId="15561" xr:uid="{00000000-0005-0000-0000-0000D61B0000}"/>
    <cellStyle name="Вывод 9 75" xfId="2322" xr:uid="{00000000-0005-0000-0000-0000D71B0000}"/>
    <cellStyle name="Вывод 9 75 2" xfId="7058" xr:uid="{00000000-0005-0000-0000-0000D81B0000}"/>
    <cellStyle name="Вывод 9 75 3" xfId="11326" xr:uid="{00000000-0005-0000-0000-0000D91B0000}"/>
    <cellStyle name="Вывод 9 75 4" xfId="15562" xr:uid="{00000000-0005-0000-0000-0000DA1B0000}"/>
    <cellStyle name="Вывод 9 76" xfId="2323" xr:uid="{00000000-0005-0000-0000-0000DB1B0000}"/>
    <cellStyle name="Вывод 9 76 2" xfId="7059" xr:uid="{00000000-0005-0000-0000-0000DC1B0000}"/>
    <cellStyle name="Вывод 9 76 3" xfId="11327" xr:uid="{00000000-0005-0000-0000-0000DD1B0000}"/>
    <cellStyle name="Вывод 9 76 4" xfId="15563" xr:uid="{00000000-0005-0000-0000-0000DE1B0000}"/>
    <cellStyle name="Вывод 9 77" xfId="2324" xr:uid="{00000000-0005-0000-0000-0000DF1B0000}"/>
    <cellStyle name="Вывод 9 77 2" xfId="7060" xr:uid="{00000000-0005-0000-0000-0000E01B0000}"/>
    <cellStyle name="Вывод 9 77 3" xfId="11328" xr:uid="{00000000-0005-0000-0000-0000E11B0000}"/>
    <cellStyle name="Вывод 9 77 4" xfId="15564" xr:uid="{00000000-0005-0000-0000-0000E21B0000}"/>
    <cellStyle name="Вывод 9 78" xfId="2325" xr:uid="{00000000-0005-0000-0000-0000E31B0000}"/>
    <cellStyle name="Вывод 9 78 2" xfId="7061" xr:uid="{00000000-0005-0000-0000-0000E41B0000}"/>
    <cellStyle name="Вывод 9 78 3" xfId="11329" xr:uid="{00000000-0005-0000-0000-0000E51B0000}"/>
    <cellStyle name="Вывод 9 78 4" xfId="15565" xr:uid="{00000000-0005-0000-0000-0000E61B0000}"/>
    <cellStyle name="Вывод 9 79" xfId="2326" xr:uid="{00000000-0005-0000-0000-0000E71B0000}"/>
    <cellStyle name="Вывод 9 79 2" xfId="7062" xr:uid="{00000000-0005-0000-0000-0000E81B0000}"/>
    <cellStyle name="Вывод 9 79 3" xfId="11330" xr:uid="{00000000-0005-0000-0000-0000E91B0000}"/>
    <cellStyle name="Вывод 9 79 4" xfId="15566" xr:uid="{00000000-0005-0000-0000-0000EA1B0000}"/>
    <cellStyle name="Вывод 9 8" xfId="2327" xr:uid="{00000000-0005-0000-0000-0000EB1B0000}"/>
    <cellStyle name="Вывод 9 8 2" xfId="7063" xr:uid="{00000000-0005-0000-0000-0000EC1B0000}"/>
    <cellStyle name="Вывод 9 8 3" xfId="11331" xr:uid="{00000000-0005-0000-0000-0000ED1B0000}"/>
    <cellStyle name="Вывод 9 8 4" xfId="15567" xr:uid="{00000000-0005-0000-0000-0000EE1B0000}"/>
    <cellStyle name="Вывод 9 80" xfId="2328" xr:uid="{00000000-0005-0000-0000-0000EF1B0000}"/>
    <cellStyle name="Вывод 9 80 2" xfId="7064" xr:uid="{00000000-0005-0000-0000-0000F01B0000}"/>
    <cellStyle name="Вывод 9 80 3" xfId="11332" xr:uid="{00000000-0005-0000-0000-0000F11B0000}"/>
    <cellStyle name="Вывод 9 80 4" xfId="15568" xr:uid="{00000000-0005-0000-0000-0000F21B0000}"/>
    <cellStyle name="Вывод 9 81" xfId="2329" xr:uid="{00000000-0005-0000-0000-0000F31B0000}"/>
    <cellStyle name="Вывод 9 81 2" xfId="7065" xr:uid="{00000000-0005-0000-0000-0000F41B0000}"/>
    <cellStyle name="Вывод 9 81 3" xfId="11333" xr:uid="{00000000-0005-0000-0000-0000F51B0000}"/>
    <cellStyle name="Вывод 9 81 4" xfId="15569" xr:uid="{00000000-0005-0000-0000-0000F61B0000}"/>
    <cellStyle name="Вывод 9 82" xfId="2330" xr:uid="{00000000-0005-0000-0000-0000F71B0000}"/>
    <cellStyle name="Вывод 9 82 2" xfId="7066" xr:uid="{00000000-0005-0000-0000-0000F81B0000}"/>
    <cellStyle name="Вывод 9 82 3" xfId="11334" xr:uid="{00000000-0005-0000-0000-0000F91B0000}"/>
    <cellStyle name="Вывод 9 82 4" xfId="15570" xr:uid="{00000000-0005-0000-0000-0000FA1B0000}"/>
    <cellStyle name="Вывод 9 83" xfId="2331" xr:uid="{00000000-0005-0000-0000-0000FB1B0000}"/>
    <cellStyle name="Вывод 9 83 2" xfId="7067" xr:uid="{00000000-0005-0000-0000-0000FC1B0000}"/>
    <cellStyle name="Вывод 9 83 3" xfId="11335" xr:uid="{00000000-0005-0000-0000-0000FD1B0000}"/>
    <cellStyle name="Вывод 9 83 4" xfId="15571" xr:uid="{00000000-0005-0000-0000-0000FE1B0000}"/>
    <cellStyle name="Вывод 9 84" xfId="2332" xr:uid="{00000000-0005-0000-0000-0000FF1B0000}"/>
    <cellStyle name="Вывод 9 84 2" xfId="7068" xr:uid="{00000000-0005-0000-0000-0000001C0000}"/>
    <cellStyle name="Вывод 9 84 3" xfId="11336" xr:uid="{00000000-0005-0000-0000-0000011C0000}"/>
    <cellStyle name="Вывод 9 84 4" xfId="15572" xr:uid="{00000000-0005-0000-0000-0000021C0000}"/>
    <cellStyle name="Вывод 9 85" xfId="2333" xr:uid="{00000000-0005-0000-0000-0000031C0000}"/>
    <cellStyle name="Вывод 9 85 2" xfId="7069" xr:uid="{00000000-0005-0000-0000-0000041C0000}"/>
    <cellStyle name="Вывод 9 85 3" xfId="11337" xr:uid="{00000000-0005-0000-0000-0000051C0000}"/>
    <cellStyle name="Вывод 9 85 4" xfId="15573" xr:uid="{00000000-0005-0000-0000-0000061C0000}"/>
    <cellStyle name="Вывод 9 86" xfId="2334" xr:uid="{00000000-0005-0000-0000-0000071C0000}"/>
    <cellStyle name="Вывод 9 86 2" xfId="7070" xr:uid="{00000000-0005-0000-0000-0000081C0000}"/>
    <cellStyle name="Вывод 9 86 3" xfId="11338" xr:uid="{00000000-0005-0000-0000-0000091C0000}"/>
    <cellStyle name="Вывод 9 86 4" xfId="15574" xr:uid="{00000000-0005-0000-0000-00000A1C0000}"/>
    <cellStyle name="Вывод 9 87" xfId="2335" xr:uid="{00000000-0005-0000-0000-00000B1C0000}"/>
    <cellStyle name="Вывод 9 87 2" xfId="7071" xr:uid="{00000000-0005-0000-0000-00000C1C0000}"/>
    <cellStyle name="Вывод 9 87 3" xfId="11339" xr:uid="{00000000-0005-0000-0000-00000D1C0000}"/>
    <cellStyle name="Вывод 9 87 4" xfId="15575" xr:uid="{00000000-0005-0000-0000-00000E1C0000}"/>
    <cellStyle name="Вывод 9 88" xfId="2336" xr:uid="{00000000-0005-0000-0000-00000F1C0000}"/>
    <cellStyle name="Вывод 9 88 2" xfId="7072" xr:uid="{00000000-0005-0000-0000-0000101C0000}"/>
    <cellStyle name="Вывод 9 88 3" xfId="11340" xr:uid="{00000000-0005-0000-0000-0000111C0000}"/>
    <cellStyle name="Вывод 9 88 4" xfId="15576" xr:uid="{00000000-0005-0000-0000-0000121C0000}"/>
    <cellStyle name="Вывод 9 89" xfId="2337" xr:uid="{00000000-0005-0000-0000-0000131C0000}"/>
    <cellStyle name="Вывод 9 89 2" xfId="7073" xr:uid="{00000000-0005-0000-0000-0000141C0000}"/>
    <cellStyle name="Вывод 9 89 3" xfId="11341" xr:uid="{00000000-0005-0000-0000-0000151C0000}"/>
    <cellStyle name="Вывод 9 89 4" xfId="15577" xr:uid="{00000000-0005-0000-0000-0000161C0000}"/>
    <cellStyle name="Вывод 9 9" xfId="2338" xr:uid="{00000000-0005-0000-0000-0000171C0000}"/>
    <cellStyle name="Вывод 9 9 2" xfId="7074" xr:uid="{00000000-0005-0000-0000-0000181C0000}"/>
    <cellStyle name="Вывод 9 9 3" xfId="11342" xr:uid="{00000000-0005-0000-0000-0000191C0000}"/>
    <cellStyle name="Вывод 9 9 4" xfId="15578" xr:uid="{00000000-0005-0000-0000-00001A1C0000}"/>
    <cellStyle name="Вывод 9 90" xfId="2339" xr:uid="{00000000-0005-0000-0000-00001B1C0000}"/>
    <cellStyle name="Вывод 9 90 2" xfId="7075" xr:uid="{00000000-0005-0000-0000-00001C1C0000}"/>
    <cellStyle name="Вывод 9 90 3" xfId="11343" xr:uid="{00000000-0005-0000-0000-00001D1C0000}"/>
    <cellStyle name="Вывод 9 90 4" xfId="15579" xr:uid="{00000000-0005-0000-0000-00001E1C0000}"/>
    <cellStyle name="Вывод 9 91" xfId="2340" xr:uid="{00000000-0005-0000-0000-00001F1C0000}"/>
    <cellStyle name="Вывод 9 91 2" xfId="7076" xr:uid="{00000000-0005-0000-0000-0000201C0000}"/>
    <cellStyle name="Вывод 9 91 3" xfId="11344" xr:uid="{00000000-0005-0000-0000-0000211C0000}"/>
    <cellStyle name="Вывод 9 91 4" xfId="15580" xr:uid="{00000000-0005-0000-0000-0000221C0000}"/>
    <cellStyle name="Вывод 9 92" xfId="5194" xr:uid="{00000000-0005-0000-0000-0000231C0000}"/>
    <cellStyle name="Вывод 9 93" xfId="5251" xr:uid="{00000000-0005-0000-0000-0000241C0000}"/>
    <cellStyle name="Вывод 9 94" xfId="8814" xr:uid="{00000000-0005-0000-0000-0000251C0000}"/>
    <cellStyle name="Вычисление 10" xfId="241" xr:uid="{00000000-0005-0000-0000-0000261C0000}"/>
    <cellStyle name="Вычисление 10 10" xfId="2341" xr:uid="{00000000-0005-0000-0000-0000271C0000}"/>
    <cellStyle name="Вычисление 10 10 2" xfId="7077" xr:uid="{00000000-0005-0000-0000-0000281C0000}"/>
    <cellStyle name="Вычисление 10 10 3" xfId="11345" xr:uid="{00000000-0005-0000-0000-0000291C0000}"/>
    <cellStyle name="Вычисление 10 10 4" xfId="15581" xr:uid="{00000000-0005-0000-0000-00002A1C0000}"/>
    <cellStyle name="Вычисление 10 11" xfId="2342" xr:uid="{00000000-0005-0000-0000-00002B1C0000}"/>
    <cellStyle name="Вычисление 10 11 2" xfId="7078" xr:uid="{00000000-0005-0000-0000-00002C1C0000}"/>
    <cellStyle name="Вычисление 10 11 3" xfId="11346" xr:uid="{00000000-0005-0000-0000-00002D1C0000}"/>
    <cellStyle name="Вычисление 10 11 4" xfId="15582" xr:uid="{00000000-0005-0000-0000-00002E1C0000}"/>
    <cellStyle name="Вычисление 10 12" xfId="2343" xr:uid="{00000000-0005-0000-0000-00002F1C0000}"/>
    <cellStyle name="Вычисление 10 12 2" xfId="7079" xr:uid="{00000000-0005-0000-0000-0000301C0000}"/>
    <cellStyle name="Вычисление 10 12 3" xfId="11347" xr:uid="{00000000-0005-0000-0000-0000311C0000}"/>
    <cellStyle name="Вычисление 10 12 4" xfId="15583" xr:uid="{00000000-0005-0000-0000-0000321C0000}"/>
    <cellStyle name="Вычисление 10 13" xfId="2344" xr:uid="{00000000-0005-0000-0000-0000331C0000}"/>
    <cellStyle name="Вычисление 10 13 2" xfId="7080" xr:uid="{00000000-0005-0000-0000-0000341C0000}"/>
    <cellStyle name="Вычисление 10 13 3" xfId="11348" xr:uid="{00000000-0005-0000-0000-0000351C0000}"/>
    <cellStyle name="Вычисление 10 13 4" xfId="15584" xr:uid="{00000000-0005-0000-0000-0000361C0000}"/>
    <cellStyle name="Вычисление 10 14" xfId="2345" xr:uid="{00000000-0005-0000-0000-0000371C0000}"/>
    <cellStyle name="Вычисление 10 14 2" xfId="7081" xr:uid="{00000000-0005-0000-0000-0000381C0000}"/>
    <cellStyle name="Вычисление 10 14 3" xfId="11349" xr:uid="{00000000-0005-0000-0000-0000391C0000}"/>
    <cellStyle name="Вычисление 10 14 4" xfId="15585" xr:uid="{00000000-0005-0000-0000-00003A1C0000}"/>
    <cellStyle name="Вычисление 10 15" xfId="2346" xr:uid="{00000000-0005-0000-0000-00003B1C0000}"/>
    <cellStyle name="Вычисление 10 15 2" xfId="7082" xr:uid="{00000000-0005-0000-0000-00003C1C0000}"/>
    <cellStyle name="Вычисление 10 15 3" xfId="11350" xr:uid="{00000000-0005-0000-0000-00003D1C0000}"/>
    <cellStyle name="Вычисление 10 15 4" xfId="15586" xr:uid="{00000000-0005-0000-0000-00003E1C0000}"/>
    <cellStyle name="Вычисление 10 16" xfId="2347" xr:uid="{00000000-0005-0000-0000-00003F1C0000}"/>
    <cellStyle name="Вычисление 10 16 2" xfId="7083" xr:uid="{00000000-0005-0000-0000-0000401C0000}"/>
    <cellStyle name="Вычисление 10 16 3" xfId="11351" xr:uid="{00000000-0005-0000-0000-0000411C0000}"/>
    <cellStyle name="Вычисление 10 16 4" xfId="15587" xr:uid="{00000000-0005-0000-0000-0000421C0000}"/>
    <cellStyle name="Вычисление 10 17" xfId="2348" xr:uid="{00000000-0005-0000-0000-0000431C0000}"/>
    <cellStyle name="Вычисление 10 17 2" xfId="7084" xr:uid="{00000000-0005-0000-0000-0000441C0000}"/>
    <cellStyle name="Вычисление 10 17 3" xfId="11352" xr:uid="{00000000-0005-0000-0000-0000451C0000}"/>
    <cellStyle name="Вычисление 10 17 4" xfId="15588" xr:uid="{00000000-0005-0000-0000-0000461C0000}"/>
    <cellStyle name="Вычисление 10 18" xfId="2349" xr:uid="{00000000-0005-0000-0000-0000471C0000}"/>
    <cellStyle name="Вычисление 10 18 2" xfId="7085" xr:uid="{00000000-0005-0000-0000-0000481C0000}"/>
    <cellStyle name="Вычисление 10 18 3" xfId="11353" xr:uid="{00000000-0005-0000-0000-0000491C0000}"/>
    <cellStyle name="Вычисление 10 18 4" xfId="15589" xr:uid="{00000000-0005-0000-0000-00004A1C0000}"/>
    <cellStyle name="Вычисление 10 19" xfId="2350" xr:uid="{00000000-0005-0000-0000-00004B1C0000}"/>
    <cellStyle name="Вычисление 10 19 2" xfId="7086" xr:uid="{00000000-0005-0000-0000-00004C1C0000}"/>
    <cellStyle name="Вычисление 10 19 3" xfId="11354" xr:uid="{00000000-0005-0000-0000-00004D1C0000}"/>
    <cellStyle name="Вычисление 10 19 4" xfId="15590" xr:uid="{00000000-0005-0000-0000-00004E1C0000}"/>
    <cellStyle name="Вычисление 10 2" xfId="2351" xr:uid="{00000000-0005-0000-0000-00004F1C0000}"/>
    <cellStyle name="Вычисление 10 2 2" xfId="2352" xr:uid="{00000000-0005-0000-0000-0000501C0000}"/>
    <cellStyle name="Вычисление 10 2 2 2" xfId="7088" xr:uid="{00000000-0005-0000-0000-0000511C0000}"/>
    <cellStyle name="Вычисление 10 2 2 3" xfId="11356" xr:uid="{00000000-0005-0000-0000-0000521C0000}"/>
    <cellStyle name="Вычисление 10 2 2 4" xfId="15592" xr:uid="{00000000-0005-0000-0000-0000531C0000}"/>
    <cellStyle name="Вычисление 10 2 3" xfId="2353" xr:uid="{00000000-0005-0000-0000-0000541C0000}"/>
    <cellStyle name="Вычисление 10 2 3 2" xfId="7089" xr:uid="{00000000-0005-0000-0000-0000551C0000}"/>
    <cellStyle name="Вычисление 10 2 3 3" xfId="11357" xr:uid="{00000000-0005-0000-0000-0000561C0000}"/>
    <cellStyle name="Вычисление 10 2 3 4" xfId="15593" xr:uid="{00000000-0005-0000-0000-0000571C0000}"/>
    <cellStyle name="Вычисление 10 2 4" xfId="7087" xr:uid="{00000000-0005-0000-0000-0000581C0000}"/>
    <cellStyle name="Вычисление 10 2 5" xfId="11355" xr:uid="{00000000-0005-0000-0000-0000591C0000}"/>
    <cellStyle name="Вычисление 10 2 6" xfId="15591" xr:uid="{00000000-0005-0000-0000-00005A1C0000}"/>
    <cellStyle name="Вычисление 10 20" xfId="2354" xr:uid="{00000000-0005-0000-0000-00005B1C0000}"/>
    <cellStyle name="Вычисление 10 20 2" xfId="7090" xr:uid="{00000000-0005-0000-0000-00005C1C0000}"/>
    <cellStyle name="Вычисление 10 20 3" xfId="11358" xr:uid="{00000000-0005-0000-0000-00005D1C0000}"/>
    <cellStyle name="Вычисление 10 20 4" xfId="15594" xr:uid="{00000000-0005-0000-0000-00005E1C0000}"/>
    <cellStyle name="Вычисление 10 21" xfId="2355" xr:uid="{00000000-0005-0000-0000-00005F1C0000}"/>
    <cellStyle name="Вычисление 10 21 2" xfId="7091" xr:uid="{00000000-0005-0000-0000-0000601C0000}"/>
    <cellStyle name="Вычисление 10 21 3" xfId="11359" xr:uid="{00000000-0005-0000-0000-0000611C0000}"/>
    <cellStyle name="Вычисление 10 21 4" xfId="15595" xr:uid="{00000000-0005-0000-0000-0000621C0000}"/>
    <cellStyle name="Вычисление 10 22" xfId="2356" xr:uid="{00000000-0005-0000-0000-0000631C0000}"/>
    <cellStyle name="Вычисление 10 22 2" xfId="7092" xr:uid="{00000000-0005-0000-0000-0000641C0000}"/>
    <cellStyle name="Вычисление 10 22 3" xfId="11360" xr:uid="{00000000-0005-0000-0000-0000651C0000}"/>
    <cellStyle name="Вычисление 10 22 4" xfId="15596" xr:uid="{00000000-0005-0000-0000-0000661C0000}"/>
    <cellStyle name="Вычисление 10 23" xfId="2357" xr:uid="{00000000-0005-0000-0000-0000671C0000}"/>
    <cellStyle name="Вычисление 10 23 2" xfId="7093" xr:uid="{00000000-0005-0000-0000-0000681C0000}"/>
    <cellStyle name="Вычисление 10 23 3" xfId="11361" xr:uid="{00000000-0005-0000-0000-0000691C0000}"/>
    <cellStyle name="Вычисление 10 23 4" xfId="15597" xr:uid="{00000000-0005-0000-0000-00006A1C0000}"/>
    <cellStyle name="Вычисление 10 24" xfId="2358" xr:uid="{00000000-0005-0000-0000-00006B1C0000}"/>
    <cellStyle name="Вычисление 10 24 2" xfId="7094" xr:uid="{00000000-0005-0000-0000-00006C1C0000}"/>
    <cellStyle name="Вычисление 10 24 3" xfId="11362" xr:uid="{00000000-0005-0000-0000-00006D1C0000}"/>
    <cellStyle name="Вычисление 10 24 4" xfId="15598" xr:uid="{00000000-0005-0000-0000-00006E1C0000}"/>
    <cellStyle name="Вычисление 10 25" xfId="2359" xr:uid="{00000000-0005-0000-0000-00006F1C0000}"/>
    <cellStyle name="Вычисление 10 25 2" xfId="7095" xr:uid="{00000000-0005-0000-0000-0000701C0000}"/>
    <cellStyle name="Вычисление 10 25 3" xfId="11363" xr:uid="{00000000-0005-0000-0000-0000711C0000}"/>
    <cellStyle name="Вычисление 10 25 4" xfId="15599" xr:uid="{00000000-0005-0000-0000-0000721C0000}"/>
    <cellStyle name="Вычисление 10 26" xfId="2360" xr:uid="{00000000-0005-0000-0000-0000731C0000}"/>
    <cellStyle name="Вычисление 10 26 2" xfId="7096" xr:uid="{00000000-0005-0000-0000-0000741C0000}"/>
    <cellStyle name="Вычисление 10 26 3" xfId="11364" xr:uid="{00000000-0005-0000-0000-0000751C0000}"/>
    <cellStyle name="Вычисление 10 26 4" xfId="15600" xr:uid="{00000000-0005-0000-0000-0000761C0000}"/>
    <cellStyle name="Вычисление 10 27" xfId="2361" xr:uid="{00000000-0005-0000-0000-0000771C0000}"/>
    <cellStyle name="Вычисление 10 27 2" xfId="7097" xr:uid="{00000000-0005-0000-0000-0000781C0000}"/>
    <cellStyle name="Вычисление 10 27 3" xfId="11365" xr:uid="{00000000-0005-0000-0000-0000791C0000}"/>
    <cellStyle name="Вычисление 10 27 4" xfId="15601" xr:uid="{00000000-0005-0000-0000-00007A1C0000}"/>
    <cellStyle name="Вычисление 10 28" xfId="2362" xr:uid="{00000000-0005-0000-0000-00007B1C0000}"/>
    <cellStyle name="Вычисление 10 28 2" xfId="7098" xr:uid="{00000000-0005-0000-0000-00007C1C0000}"/>
    <cellStyle name="Вычисление 10 28 3" xfId="11366" xr:uid="{00000000-0005-0000-0000-00007D1C0000}"/>
    <cellStyle name="Вычисление 10 28 4" xfId="15602" xr:uid="{00000000-0005-0000-0000-00007E1C0000}"/>
    <cellStyle name="Вычисление 10 29" xfId="2363" xr:uid="{00000000-0005-0000-0000-00007F1C0000}"/>
    <cellStyle name="Вычисление 10 29 2" xfId="7099" xr:uid="{00000000-0005-0000-0000-0000801C0000}"/>
    <cellStyle name="Вычисление 10 29 3" xfId="11367" xr:uid="{00000000-0005-0000-0000-0000811C0000}"/>
    <cellStyle name="Вычисление 10 29 4" xfId="15603" xr:uid="{00000000-0005-0000-0000-0000821C0000}"/>
    <cellStyle name="Вычисление 10 3" xfId="2364" xr:uid="{00000000-0005-0000-0000-0000831C0000}"/>
    <cellStyle name="Вычисление 10 3 2" xfId="2365" xr:uid="{00000000-0005-0000-0000-0000841C0000}"/>
    <cellStyle name="Вычисление 10 3 2 2" xfId="7101" xr:uid="{00000000-0005-0000-0000-0000851C0000}"/>
    <cellStyle name="Вычисление 10 3 2 3" xfId="11369" xr:uid="{00000000-0005-0000-0000-0000861C0000}"/>
    <cellStyle name="Вычисление 10 3 2 4" xfId="15605" xr:uid="{00000000-0005-0000-0000-0000871C0000}"/>
    <cellStyle name="Вычисление 10 3 3" xfId="2366" xr:uid="{00000000-0005-0000-0000-0000881C0000}"/>
    <cellStyle name="Вычисление 10 3 3 2" xfId="7102" xr:uid="{00000000-0005-0000-0000-0000891C0000}"/>
    <cellStyle name="Вычисление 10 3 3 3" xfId="11370" xr:uid="{00000000-0005-0000-0000-00008A1C0000}"/>
    <cellStyle name="Вычисление 10 3 3 4" xfId="15606" xr:uid="{00000000-0005-0000-0000-00008B1C0000}"/>
    <cellStyle name="Вычисление 10 3 4" xfId="7100" xr:uid="{00000000-0005-0000-0000-00008C1C0000}"/>
    <cellStyle name="Вычисление 10 3 5" xfId="11368" xr:uid="{00000000-0005-0000-0000-00008D1C0000}"/>
    <cellStyle name="Вычисление 10 3 6" xfId="15604" xr:uid="{00000000-0005-0000-0000-00008E1C0000}"/>
    <cellStyle name="Вычисление 10 30" xfId="2367" xr:uid="{00000000-0005-0000-0000-00008F1C0000}"/>
    <cellStyle name="Вычисление 10 30 2" xfId="7103" xr:uid="{00000000-0005-0000-0000-0000901C0000}"/>
    <cellStyle name="Вычисление 10 30 3" xfId="11371" xr:uid="{00000000-0005-0000-0000-0000911C0000}"/>
    <cellStyle name="Вычисление 10 30 4" xfId="15607" xr:uid="{00000000-0005-0000-0000-0000921C0000}"/>
    <cellStyle name="Вычисление 10 31" xfId="2368" xr:uid="{00000000-0005-0000-0000-0000931C0000}"/>
    <cellStyle name="Вычисление 10 31 2" xfId="7104" xr:uid="{00000000-0005-0000-0000-0000941C0000}"/>
    <cellStyle name="Вычисление 10 31 3" xfId="11372" xr:uid="{00000000-0005-0000-0000-0000951C0000}"/>
    <cellStyle name="Вычисление 10 31 4" xfId="15608" xr:uid="{00000000-0005-0000-0000-0000961C0000}"/>
    <cellStyle name="Вычисление 10 32" xfId="2369" xr:uid="{00000000-0005-0000-0000-0000971C0000}"/>
    <cellStyle name="Вычисление 10 32 2" xfId="7105" xr:uid="{00000000-0005-0000-0000-0000981C0000}"/>
    <cellStyle name="Вычисление 10 32 3" xfId="11373" xr:uid="{00000000-0005-0000-0000-0000991C0000}"/>
    <cellStyle name="Вычисление 10 32 4" xfId="15609" xr:uid="{00000000-0005-0000-0000-00009A1C0000}"/>
    <cellStyle name="Вычисление 10 33" xfId="2370" xr:uid="{00000000-0005-0000-0000-00009B1C0000}"/>
    <cellStyle name="Вычисление 10 33 2" xfId="7106" xr:uid="{00000000-0005-0000-0000-00009C1C0000}"/>
    <cellStyle name="Вычисление 10 33 3" xfId="11374" xr:uid="{00000000-0005-0000-0000-00009D1C0000}"/>
    <cellStyle name="Вычисление 10 33 4" xfId="15610" xr:uid="{00000000-0005-0000-0000-00009E1C0000}"/>
    <cellStyle name="Вычисление 10 34" xfId="2371" xr:uid="{00000000-0005-0000-0000-00009F1C0000}"/>
    <cellStyle name="Вычисление 10 34 2" xfId="7107" xr:uid="{00000000-0005-0000-0000-0000A01C0000}"/>
    <cellStyle name="Вычисление 10 34 3" xfId="11375" xr:uid="{00000000-0005-0000-0000-0000A11C0000}"/>
    <cellStyle name="Вычисление 10 34 4" xfId="15611" xr:uid="{00000000-0005-0000-0000-0000A21C0000}"/>
    <cellStyle name="Вычисление 10 35" xfId="2372" xr:uid="{00000000-0005-0000-0000-0000A31C0000}"/>
    <cellStyle name="Вычисление 10 35 2" xfId="7108" xr:uid="{00000000-0005-0000-0000-0000A41C0000}"/>
    <cellStyle name="Вычисление 10 35 3" xfId="11376" xr:uid="{00000000-0005-0000-0000-0000A51C0000}"/>
    <cellStyle name="Вычисление 10 35 4" xfId="15612" xr:uid="{00000000-0005-0000-0000-0000A61C0000}"/>
    <cellStyle name="Вычисление 10 36" xfId="2373" xr:uid="{00000000-0005-0000-0000-0000A71C0000}"/>
    <cellStyle name="Вычисление 10 36 2" xfId="7109" xr:uid="{00000000-0005-0000-0000-0000A81C0000}"/>
    <cellStyle name="Вычисление 10 36 3" xfId="11377" xr:uid="{00000000-0005-0000-0000-0000A91C0000}"/>
    <cellStyle name="Вычисление 10 36 4" xfId="15613" xr:uid="{00000000-0005-0000-0000-0000AA1C0000}"/>
    <cellStyle name="Вычисление 10 37" xfId="2374" xr:uid="{00000000-0005-0000-0000-0000AB1C0000}"/>
    <cellStyle name="Вычисление 10 37 2" xfId="7110" xr:uid="{00000000-0005-0000-0000-0000AC1C0000}"/>
    <cellStyle name="Вычисление 10 37 3" xfId="11378" xr:uid="{00000000-0005-0000-0000-0000AD1C0000}"/>
    <cellStyle name="Вычисление 10 37 4" xfId="15614" xr:uid="{00000000-0005-0000-0000-0000AE1C0000}"/>
    <cellStyle name="Вычисление 10 38" xfId="2375" xr:uid="{00000000-0005-0000-0000-0000AF1C0000}"/>
    <cellStyle name="Вычисление 10 38 2" xfId="7111" xr:uid="{00000000-0005-0000-0000-0000B01C0000}"/>
    <cellStyle name="Вычисление 10 38 3" xfId="11379" xr:uid="{00000000-0005-0000-0000-0000B11C0000}"/>
    <cellStyle name="Вычисление 10 38 4" xfId="15615" xr:uid="{00000000-0005-0000-0000-0000B21C0000}"/>
    <cellStyle name="Вычисление 10 39" xfId="2376" xr:uid="{00000000-0005-0000-0000-0000B31C0000}"/>
    <cellStyle name="Вычисление 10 39 2" xfId="7112" xr:uid="{00000000-0005-0000-0000-0000B41C0000}"/>
    <cellStyle name="Вычисление 10 39 3" xfId="11380" xr:uid="{00000000-0005-0000-0000-0000B51C0000}"/>
    <cellStyle name="Вычисление 10 39 4" xfId="15616" xr:uid="{00000000-0005-0000-0000-0000B61C0000}"/>
    <cellStyle name="Вычисление 10 4" xfId="2377" xr:uid="{00000000-0005-0000-0000-0000B71C0000}"/>
    <cellStyle name="Вычисление 10 4 2" xfId="2378" xr:uid="{00000000-0005-0000-0000-0000B81C0000}"/>
    <cellStyle name="Вычисление 10 4 2 2" xfId="7114" xr:uid="{00000000-0005-0000-0000-0000B91C0000}"/>
    <cellStyle name="Вычисление 10 4 2 3" xfId="11382" xr:uid="{00000000-0005-0000-0000-0000BA1C0000}"/>
    <cellStyle name="Вычисление 10 4 2 4" xfId="15618" xr:uid="{00000000-0005-0000-0000-0000BB1C0000}"/>
    <cellStyle name="Вычисление 10 4 3" xfId="2379" xr:uid="{00000000-0005-0000-0000-0000BC1C0000}"/>
    <cellStyle name="Вычисление 10 4 3 2" xfId="7115" xr:uid="{00000000-0005-0000-0000-0000BD1C0000}"/>
    <cellStyle name="Вычисление 10 4 3 3" xfId="11383" xr:uid="{00000000-0005-0000-0000-0000BE1C0000}"/>
    <cellStyle name="Вычисление 10 4 3 4" xfId="15619" xr:uid="{00000000-0005-0000-0000-0000BF1C0000}"/>
    <cellStyle name="Вычисление 10 4 4" xfId="7113" xr:uid="{00000000-0005-0000-0000-0000C01C0000}"/>
    <cellStyle name="Вычисление 10 4 5" xfId="11381" xr:uid="{00000000-0005-0000-0000-0000C11C0000}"/>
    <cellStyle name="Вычисление 10 4 6" xfId="15617" xr:uid="{00000000-0005-0000-0000-0000C21C0000}"/>
    <cellStyle name="Вычисление 10 40" xfId="2380" xr:uid="{00000000-0005-0000-0000-0000C31C0000}"/>
    <cellStyle name="Вычисление 10 40 2" xfId="7116" xr:uid="{00000000-0005-0000-0000-0000C41C0000}"/>
    <cellStyle name="Вычисление 10 40 3" xfId="11384" xr:uid="{00000000-0005-0000-0000-0000C51C0000}"/>
    <cellStyle name="Вычисление 10 40 4" xfId="15620" xr:uid="{00000000-0005-0000-0000-0000C61C0000}"/>
    <cellStyle name="Вычисление 10 41" xfId="2381" xr:uid="{00000000-0005-0000-0000-0000C71C0000}"/>
    <cellStyle name="Вычисление 10 41 2" xfId="7117" xr:uid="{00000000-0005-0000-0000-0000C81C0000}"/>
    <cellStyle name="Вычисление 10 41 3" xfId="11385" xr:uid="{00000000-0005-0000-0000-0000C91C0000}"/>
    <cellStyle name="Вычисление 10 41 4" xfId="15621" xr:uid="{00000000-0005-0000-0000-0000CA1C0000}"/>
    <cellStyle name="Вычисление 10 42" xfId="2382" xr:uid="{00000000-0005-0000-0000-0000CB1C0000}"/>
    <cellStyle name="Вычисление 10 42 2" xfId="7118" xr:uid="{00000000-0005-0000-0000-0000CC1C0000}"/>
    <cellStyle name="Вычисление 10 42 3" xfId="11386" xr:uid="{00000000-0005-0000-0000-0000CD1C0000}"/>
    <cellStyle name="Вычисление 10 42 4" xfId="15622" xr:uid="{00000000-0005-0000-0000-0000CE1C0000}"/>
    <cellStyle name="Вычисление 10 43" xfId="2383" xr:uid="{00000000-0005-0000-0000-0000CF1C0000}"/>
    <cellStyle name="Вычисление 10 43 2" xfId="7119" xr:uid="{00000000-0005-0000-0000-0000D01C0000}"/>
    <cellStyle name="Вычисление 10 43 3" xfId="11387" xr:uid="{00000000-0005-0000-0000-0000D11C0000}"/>
    <cellStyle name="Вычисление 10 43 4" xfId="15623" xr:uid="{00000000-0005-0000-0000-0000D21C0000}"/>
    <cellStyle name="Вычисление 10 44" xfId="2384" xr:uid="{00000000-0005-0000-0000-0000D31C0000}"/>
    <cellStyle name="Вычисление 10 44 2" xfId="7120" xr:uid="{00000000-0005-0000-0000-0000D41C0000}"/>
    <cellStyle name="Вычисление 10 44 3" xfId="11388" xr:uid="{00000000-0005-0000-0000-0000D51C0000}"/>
    <cellStyle name="Вычисление 10 44 4" xfId="15624" xr:uid="{00000000-0005-0000-0000-0000D61C0000}"/>
    <cellStyle name="Вычисление 10 45" xfId="2385" xr:uid="{00000000-0005-0000-0000-0000D71C0000}"/>
    <cellStyle name="Вычисление 10 45 2" xfId="7121" xr:uid="{00000000-0005-0000-0000-0000D81C0000}"/>
    <cellStyle name="Вычисление 10 45 3" xfId="11389" xr:uid="{00000000-0005-0000-0000-0000D91C0000}"/>
    <cellStyle name="Вычисление 10 45 4" xfId="15625" xr:uid="{00000000-0005-0000-0000-0000DA1C0000}"/>
    <cellStyle name="Вычисление 10 46" xfId="2386" xr:uid="{00000000-0005-0000-0000-0000DB1C0000}"/>
    <cellStyle name="Вычисление 10 46 2" xfId="7122" xr:uid="{00000000-0005-0000-0000-0000DC1C0000}"/>
    <cellStyle name="Вычисление 10 46 3" xfId="11390" xr:uid="{00000000-0005-0000-0000-0000DD1C0000}"/>
    <cellStyle name="Вычисление 10 46 4" xfId="15626" xr:uid="{00000000-0005-0000-0000-0000DE1C0000}"/>
    <cellStyle name="Вычисление 10 47" xfId="2387" xr:uid="{00000000-0005-0000-0000-0000DF1C0000}"/>
    <cellStyle name="Вычисление 10 47 2" xfId="7123" xr:uid="{00000000-0005-0000-0000-0000E01C0000}"/>
    <cellStyle name="Вычисление 10 47 3" xfId="11391" xr:uid="{00000000-0005-0000-0000-0000E11C0000}"/>
    <cellStyle name="Вычисление 10 47 4" xfId="15627" xr:uid="{00000000-0005-0000-0000-0000E21C0000}"/>
    <cellStyle name="Вычисление 10 48" xfId="2388" xr:uid="{00000000-0005-0000-0000-0000E31C0000}"/>
    <cellStyle name="Вычисление 10 48 2" xfId="7124" xr:uid="{00000000-0005-0000-0000-0000E41C0000}"/>
    <cellStyle name="Вычисление 10 48 3" xfId="11392" xr:uid="{00000000-0005-0000-0000-0000E51C0000}"/>
    <cellStyle name="Вычисление 10 48 4" xfId="15628" xr:uid="{00000000-0005-0000-0000-0000E61C0000}"/>
    <cellStyle name="Вычисление 10 49" xfId="2389" xr:uid="{00000000-0005-0000-0000-0000E71C0000}"/>
    <cellStyle name="Вычисление 10 49 2" xfId="7125" xr:uid="{00000000-0005-0000-0000-0000E81C0000}"/>
    <cellStyle name="Вычисление 10 49 3" xfId="11393" xr:uid="{00000000-0005-0000-0000-0000E91C0000}"/>
    <cellStyle name="Вычисление 10 49 4" xfId="15629" xr:uid="{00000000-0005-0000-0000-0000EA1C0000}"/>
    <cellStyle name="Вычисление 10 5" xfId="2390" xr:uid="{00000000-0005-0000-0000-0000EB1C0000}"/>
    <cellStyle name="Вычисление 10 5 2" xfId="7126" xr:uid="{00000000-0005-0000-0000-0000EC1C0000}"/>
    <cellStyle name="Вычисление 10 5 3" xfId="11394" xr:uid="{00000000-0005-0000-0000-0000ED1C0000}"/>
    <cellStyle name="Вычисление 10 5 4" xfId="15630" xr:uid="{00000000-0005-0000-0000-0000EE1C0000}"/>
    <cellStyle name="Вычисление 10 50" xfId="2391" xr:uid="{00000000-0005-0000-0000-0000EF1C0000}"/>
    <cellStyle name="Вычисление 10 50 2" xfId="7127" xr:uid="{00000000-0005-0000-0000-0000F01C0000}"/>
    <cellStyle name="Вычисление 10 50 3" xfId="11395" xr:uid="{00000000-0005-0000-0000-0000F11C0000}"/>
    <cellStyle name="Вычисление 10 50 4" xfId="15631" xr:uid="{00000000-0005-0000-0000-0000F21C0000}"/>
    <cellStyle name="Вычисление 10 51" xfId="2392" xr:uid="{00000000-0005-0000-0000-0000F31C0000}"/>
    <cellStyle name="Вычисление 10 51 2" xfId="7128" xr:uid="{00000000-0005-0000-0000-0000F41C0000}"/>
    <cellStyle name="Вычисление 10 51 3" xfId="11396" xr:uid="{00000000-0005-0000-0000-0000F51C0000}"/>
    <cellStyle name="Вычисление 10 51 4" xfId="15632" xr:uid="{00000000-0005-0000-0000-0000F61C0000}"/>
    <cellStyle name="Вычисление 10 52" xfId="2393" xr:uid="{00000000-0005-0000-0000-0000F71C0000}"/>
    <cellStyle name="Вычисление 10 52 2" xfId="7129" xr:uid="{00000000-0005-0000-0000-0000F81C0000}"/>
    <cellStyle name="Вычисление 10 52 3" xfId="11397" xr:uid="{00000000-0005-0000-0000-0000F91C0000}"/>
    <cellStyle name="Вычисление 10 52 4" xfId="15633" xr:uid="{00000000-0005-0000-0000-0000FA1C0000}"/>
    <cellStyle name="Вычисление 10 53" xfId="2394" xr:uid="{00000000-0005-0000-0000-0000FB1C0000}"/>
    <cellStyle name="Вычисление 10 53 2" xfId="7130" xr:uid="{00000000-0005-0000-0000-0000FC1C0000}"/>
    <cellStyle name="Вычисление 10 53 3" xfId="11398" xr:uid="{00000000-0005-0000-0000-0000FD1C0000}"/>
    <cellStyle name="Вычисление 10 53 4" xfId="15634" xr:uid="{00000000-0005-0000-0000-0000FE1C0000}"/>
    <cellStyle name="Вычисление 10 54" xfId="2395" xr:uid="{00000000-0005-0000-0000-0000FF1C0000}"/>
    <cellStyle name="Вычисление 10 54 2" xfId="7131" xr:uid="{00000000-0005-0000-0000-0000001D0000}"/>
    <cellStyle name="Вычисление 10 54 3" xfId="11399" xr:uid="{00000000-0005-0000-0000-0000011D0000}"/>
    <cellStyle name="Вычисление 10 54 4" xfId="15635" xr:uid="{00000000-0005-0000-0000-0000021D0000}"/>
    <cellStyle name="Вычисление 10 55" xfId="2396" xr:uid="{00000000-0005-0000-0000-0000031D0000}"/>
    <cellStyle name="Вычисление 10 55 2" xfId="7132" xr:uid="{00000000-0005-0000-0000-0000041D0000}"/>
    <cellStyle name="Вычисление 10 55 3" xfId="11400" xr:uid="{00000000-0005-0000-0000-0000051D0000}"/>
    <cellStyle name="Вычисление 10 55 4" xfId="15636" xr:uid="{00000000-0005-0000-0000-0000061D0000}"/>
    <cellStyle name="Вычисление 10 56" xfId="2397" xr:uid="{00000000-0005-0000-0000-0000071D0000}"/>
    <cellStyle name="Вычисление 10 56 2" xfId="7133" xr:uid="{00000000-0005-0000-0000-0000081D0000}"/>
    <cellStyle name="Вычисление 10 56 3" xfId="11401" xr:uid="{00000000-0005-0000-0000-0000091D0000}"/>
    <cellStyle name="Вычисление 10 56 4" xfId="15637" xr:uid="{00000000-0005-0000-0000-00000A1D0000}"/>
    <cellStyle name="Вычисление 10 57" xfId="2398" xr:uid="{00000000-0005-0000-0000-00000B1D0000}"/>
    <cellStyle name="Вычисление 10 57 2" xfId="7134" xr:uid="{00000000-0005-0000-0000-00000C1D0000}"/>
    <cellStyle name="Вычисление 10 57 3" xfId="11402" xr:uid="{00000000-0005-0000-0000-00000D1D0000}"/>
    <cellStyle name="Вычисление 10 57 4" xfId="15638" xr:uid="{00000000-0005-0000-0000-00000E1D0000}"/>
    <cellStyle name="Вычисление 10 58" xfId="2399" xr:uid="{00000000-0005-0000-0000-00000F1D0000}"/>
    <cellStyle name="Вычисление 10 58 2" xfId="7135" xr:uid="{00000000-0005-0000-0000-0000101D0000}"/>
    <cellStyle name="Вычисление 10 58 3" xfId="11403" xr:uid="{00000000-0005-0000-0000-0000111D0000}"/>
    <cellStyle name="Вычисление 10 58 4" xfId="15639" xr:uid="{00000000-0005-0000-0000-0000121D0000}"/>
    <cellStyle name="Вычисление 10 59" xfId="2400" xr:uid="{00000000-0005-0000-0000-0000131D0000}"/>
    <cellStyle name="Вычисление 10 59 2" xfId="7136" xr:uid="{00000000-0005-0000-0000-0000141D0000}"/>
    <cellStyle name="Вычисление 10 59 3" xfId="11404" xr:uid="{00000000-0005-0000-0000-0000151D0000}"/>
    <cellStyle name="Вычисление 10 59 4" xfId="15640" xr:uid="{00000000-0005-0000-0000-0000161D0000}"/>
    <cellStyle name="Вычисление 10 6" xfId="2401" xr:uid="{00000000-0005-0000-0000-0000171D0000}"/>
    <cellStyle name="Вычисление 10 6 2" xfId="7137" xr:uid="{00000000-0005-0000-0000-0000181D0000}"/>
    <cellStyle name="Вычисление 10 6 3" xfId="11405" xr:uid="{00000000-0005-0000-0000-0000191D0000}"/>
    <cellStyle name="Вычисление 10 6 4" xfId="15641" xr:uid="{00000000-0005-0000-0000-00001A1D0000}"/>
    <cellStyle name="Вычисление 10 60" xfId="2402" xr:uid="{00000000-0005-0000-0000-00001B1D0000}"/>
    <cellStyle name="Вычисление 10 60 2" xfId="7138" xr:uid="{00000000-0005-0000-0000-00001C1D0000}"/>
    <cellStyle name="Вычисление 10 60 3" xfId="11406" xr:uid="{00000000-0005-0000-0000-00001D1D0000}"/>
    <cellStyle name="Вычисление 10 60 4" xfId="15642" xr:uid="{00000000-0005-0000-0000-00001E1D0000}"/>
    <cellStyle name="Вычисление 10 61" xfId="2403" xr:uid="{00000000-0005-0000-0000-00001F1D0000}"/>
    <cellStyle name="Вычисление 10 61 2" xfId="7139" xr:uid="{00000000-0005-0000-0000-0000201D0000}"/>
    <cellStyle name="Вычисление 10 61 3" xfId="11407" xr:uid="{00000000-0005-0000-0000-0000211D0000}"/>
    <cellStyle name="Вычисление 10 61 4" xfId="15643" xr:uid="{00000000-0005-0000-0000-0000221D0000}"/>
    <cellStyle name="Вычисление 10 62" xfId="2404" xr:uid="{00000000-0005-0000-0000-0000231D0000}"/>
    <cellStyle name="Вычисление 10 62 2" xfId="7140" xr:uid="{00000000-0005-0000-0000-0000241D0000}"/>
    <cellStyle name="Вычисление 10 62 3" xfId="11408" xr:uid="{00000000-0005-0000-0000-0000251D0000}"/>
    <cellStyle name="Вычисление 10 62 4" xfId="15644" xr:uid="{00000000-0005-0000-0000-0000261D0000}"/>
    <cellStyle name="Вычисление 10 63" xfId="2405" xr:uid="{00000000-0005-0000-0000-0000271D0000}"/>
    <cellStyle name="Вычисление 10 63 2" xfId="7141" xr:uid="{00000000-0005-0000-0000-0000281D0000}"/>
    <cellStyle name="Вычисление 10 63 3" xfId="11409" xr:uid="{00000000-0005-0000-0000-0000291D0000}"/>
    <cellStyle name="Вычисление 10 63 4" xfId="15645" xr:uid="{00000000-0005-0000-0000-00002A1D0000}"/>
    <cellStyle name="Вычисление 10 64" xfId="2406" xr:uid="{00000000-0005-0000-0000-00002B1D0000}"/>
    <cellStyle name="Вычисление 10 64 2" xfId="7142" xr:uid="{00000000-0005-0000-0000-00002C1D0000}"/>
    <cellStyle name="Вычисление 10 64 3" xfId="11410" xr:uid="{00000000-0005-0000-0000-00002D1D0000}"/>
    <cellStyle name="Вычисление 10 64 4" xfId="15646" xr:uid="{00000000-0005-0000-0000-00002E1D0000}"/>
    <cellStyle name="Вычисление 10 65" xfId="2407" xr:uid="{00000000-0005-0000-0000-00002F1D0000}"/>
    <cellStyle name="Вычисление 10 65 2" xfId="7143" xr:uid="{00000000-0005-0000-0000-0000301D0000}"/>
    <cellStyle name="Вычисление 10 65 3" xfId="11411" xr:uid="{00000000-0005-0000-0000-0000311D0000}"/>
    <cellStyle name="Вычисление 10 65 4" xfId="15647" xr:uid="{00000000-0005-0000-0000-0000321D0000}"/>
    <cellStyle name="Вычисление 10 66" xfId="2408" xr:uid="{00000000-0005-0000-0000-0000331D0000}"/>
    <cellStyle name="Вычисление 10 66 2" xfId="7144" xr:uid="{00000000-0005-0000-0000-0000341D0000}"/>
    <cellStyle name="Вычисление 10 66 3" xfId="11412" xr:uid="{00000000-0005-0000-0000-0000351D0000}"/>
    <cellStyle name="Вычисление 10 66 4" xfId="15648" xr:uid="{00000000-0005-0000-0000-0000361D0000}"/>
    <cellStyle name="Вычисление 10 67" xfId="2409" xr:uid="{00000000-0005-0000-0000-0000371D0000}"/>
    <cellStyle name="Вычисление 10 67 2" xfId="7145" xr:uid="{00000000-0005-0000-0000-0000381D0000}"/>
    <cellStyle name="Вычисление 10 67 3" xfId="11413" xr:uid="{00000000-0005-0000-0000-0000391D0000}"/>
    <cellStyle name="Вычисление 10 67 4" xfId="15649" xr:uid="{00000000-0005-0000-0000-00003A1D0000}"/>
    <cellStyle name="Вычисление 10 68" xfId="2410" xr:uid="{00000000-0005-0000-0000-00003B1D0000}"/>
    <cellStyle name="Вычисление 10 68 2" xfId="7146" xr:uid="{00000000-0005-0000-0000-00003C1D0000}"/>
    <cellStyle name="Вычисление 10 68 3" xfId="11414" xr:uid="{00000000-0005-0000-0000-00003D1D0000}"/>
    <cellStyle name="Вычисление 10 68 4" xfId="15650" xr:uid="{00000000-0005-0000-0000-00003E1D0000}"/>
    <cellStyle name="Вычисление 10 69" xfId="2411" xr:uid="{00000000-0005-0000-0000-00003F1D0000}"/>
    <cellStyle name="Вычисление 10 69 2" xfId="7147" xr:uid="{00000000-0005-0000-0000-0000401D0000}"/>
    <cellStyle name="Вычисление 10 69 3" xfId="11415" xr:uid="{00000000-0005-0000-0000-0000411D0000}"/>
    <cellStyle name="Вычисление 10 69 4" xfId="15651" xr:uid="{00000000-0005-0000-0000-0000421D0000}"/>
    <cellStyle name="Вычисление 10 7" xfId="2412" xr:uid="{00000000-0005-0000-0000-0000431D0000}"/>
    <cellStyle name="Вычисление 10 7 2" xfId="7148" xr:uid="{00000000-0005-0000-0000-0000441D0000}"/>
    <cellStyle name="Вычисление 10 7 3" xfId="11416" xr:uid="{00000000-0005-0000-0000-0000451D0000}"/>
    <cellStyle name="Вычисление 10 7 4" xfId="15652" xr:uid="{00000000-0005-0000-0000-0000461D0000}"/>
    <cellStyle name="Вычисление 10 70" xfId="2413" xr:uid="{00000000-0005-0000-0000-0000471D0000}"/>
    <cellStyle name="Вычисление 10 70 2" xfId="7149" xr:uid="{00000000-0005-0000-0000-0000481D0000}"/>
    <cellStyle name="Вычисление 10 70 3" xfId="11417" xr:uid="{00000000-0005-0000-0000-0000491D0000}"/>
    <cellStyle name="Вычисление 10 70 4" xfId="15653" xr:uid="{00000000-0005-0000-0000-00004A1D0000}"/>
    <cellStyle name="Вычисление 10 71" xfId="2414" xr:uid="{00000000-0005-0000-0000-00004B1D0000}"/>
    <cellStyle name="Вычисление 10 71 2" xfId="7150" xr:uid="{00000000-0005-0000-0000-00004C1D0000}"/>
    <cellStyle name="Вычисление 10 71 3" xfId="11418" xr:uid="{00000000-0005-0000-0000-00004D1D0000}"/>
    <cellStyle name="Вычисление 10 71 4" xfId="15654" xr:uid="{00000000-0005-0000-0000-00004E1D0000}"/>
    <cellStyle name="Вычисление 10 72" xfId="2415" xr:uid="{00000000-0005-0000-0000-00004F1D0000}"/>
    <cellStyle name="Вычисление 10 72 2" xfId="7151" xr:uid="{00000000-0005-0000-0000-0000501D0000}"/>
    <cellStyle name="Вычисление 10 72 3" xfId="11419" xr:uid="{00000000-0005-0000-0000-0000511D0000}"/>
    <cellStyle name="Вычисление 10 72 4" xfId="15655" xr:uid="{00000000-0005-0000-0000-0000521D0000}"/>
    <cellStyle name="Вычисление 10 73" xfId="2416" xr:uid="{00000000-0005-0000-0000-0000531D0000}"/>
    <cellStyle name="Вычисление 10 73 2" xfId="7152" xr:uid="{00000000-0005-0000-0000-0000541D0000}"/>
    <cellStyle name="Вычисление 10 73 3" xfId="11420" xr:uid="{00000000-0005-0000-0000-0000551D0000}"/>
    <cellStyle name="Вычисление 10 73 4" xfId="15656" xr:uid="{00000000-0005-0000-0000-0000561D0000}"/>
    <cellStyle name="Вычисление 10 74" xfId="2417" xr:uid="{00000000-0005-0000-0000-0000571D0000}"/>
    <cellStyle name="Вычисление 10 74 2" xfId="7153" xr:uid="{00000000-0005-0000-0000-0000581D0000}"/>
    <cellStyle name="Вычисление 10 74 3" xfId="11421" xr:uid="{00000000-0005-0000-0000-0000591D0000}"/>
    <cellStyle name="Вычисление 10 74 4" xfId="15657" xr:uid="{00000000-0005-0000-0000-00005A1D0000}"/>
    <cellStyle name="Вычисление 10 75" xfId="2418" xr:uid="{00000000-0005-0000-0000-00005B1D0000}"/>
    <cellStyle name="Вычисление 10 75 2" xfId="7154" xr:uid="{00000000-0005-0000-0000-00005C1D0000}"/>
    <cellStyle name="Вычисление 10 75 3" xfId="11422" xr:uid="{00000000-0005-0000-0000-00005D1D0000}"/>
    <cellStyle name="Вычисление 10 75 4" xfId="15658" xr:uid="{00000000-0005-0000-0000-00005E1D0000}"/>
    <cellStyle name="Вычисление 10 76" xfId="2419" xr:uid="{00000000-0005-0000-0000-00005F1D0000}"/>
    <cellStyle name="Вычисление 10 76 2" xfId="7155" xr:uid="{00000000-0005-0000-0000-0000601D0000}"/>
    <cellStyle name="Вычисление 10 76 3" xfId="11423" xr:uid="{00000000-0005-0000-0000-0000611D0000}"/>
    <cellStyle name="Вычисление 10 76 4" xfId="15659" xr:uid="{00000000-0005-0000-0000-0000621D0000}"/>
    <cellStyle name="Вычисление 10 77" xfId="2420" xr:uid="{00000000-0005-0000-0000-0000631D0000}"/>
    <cellStyle name="Вычисление 10 77 2" xfId="7156" xr:uid="{00000000-0005-0000-0000-0000641D0000}"/>
    <cellStyle name="Вычисление 10 77 3" xfId="11424" xr:uid="{00000000-0005-0000-0000-0000651D0000}"/>
    <cellStyle name="Вычисление 10 77 4" xfId="15660" xr:uid="{00000000-0005-0000-0000-0000661D0000}"/>
    <cellStyle name="Вычисление 10 78" xfId="2421" xr:uid="{00000000-0005-0000-0000-0000671D0000}"/>
    <cellStyle name="Вычисление 10 78 2" xfId="7157" xr:uid="{00000000-0005-0000-0000-0000681D0000}"/>
    <cellStyle name="Вычисление 10 78 3" xfId="11425" xr:uid="{00000000-0005-0000-0000-0000691D0000}"/>
    <cellStyle name="Вычисление 10 78 4" xfId="15661" xr:uid="{00000000-0005-0000-0000-00006A1D0000}"/>
    <cellStyle name="Вычисление 10 79" xfId="2422" xr:uid="{00000000-0005-0000-0000-00006B1D0000}"/>
    <cellStyle name="Вычисление 10 79 2" xfId="7158" xr:uid="{00000000-0005-0000-0000-00006C1D0000}"/>
    <cellStyle name="Вычисление 10 79 3" xfId="11426" xr:uid="{00000000-0005-0000-0000-00006D1D0000}"/>
    <cellStyle name="Вычисление 10 79 4" xfId="15662" xr:uid="{00000000-0005-0000-0000-00006E1D0000}"/>
    <cellStyle name="Вычисление 10 8" xfId="2423" xr:uid="{00000000-0005-0000-0000-00006F1D0000}"/>
    <cellStyle name="Вычисление 10 8 2" xfId="7159" xr:uid="{00000000-0005-0000-0000-0000701D0000}"/>
    <cellStyle name="Вычисление 10 8 3" xfId="11427" xr:uid="{00000000-0005-0000-0000-0000711D0000}"/>
    <cellStyle name="Вычисление 10 8 4" xfId="15663" xr:uid="{00000000-0005-0000-0000-0000721D0000}"/>
    <cellStyle name="Вычисление 10 80" xfId="2424" xr:uid="{00000000-0005-0000-0000-0000731D0000}"/>
    <cellStyle name="Вычисление 10 80 2" xfId="7160" xr:uid="{00000000-0005-0000-0000-0000741D0000}"/>
    <cellStyle name="Вычисление 10 80 3" xfId="11428" xr:uid="{00000000-0005-0000-0000-0000751D0000}"/>
    <cellStyle name="Вычисление 10 80 4" xfId="15664" xr:uid="{00000000-0005-0000-0000-0000761D0000}"/>
    <cellStyle name="Вычисление 10 81" xfId="2425" xr:uid="{00000000-0005-0000-0000-0000771D0000}"/>
    <cellStyle name="Вычисление 10 81 2" xfId="7161" xr:uid="{00000000-0005-0000-0000-0000781D0000}"/>
    <cellStyle name="Вычисление 10 81 3" xfId="11429" xr:uid="{00000000-0005-0000-0000-0000791D0000}"/>
    <cellStyle name="Вычисление 10 81 4" xfId="15665" xr:uid="{00000000-0005-0000-0000-00007A1D0000}"/>
    <cellStyle name="Вычисление 10 82" xfId="2426" xr:uid="{00000000-0005-0000-0000-00007B1D0000}"/>
    <cellStyle name="Вычисление 10 82 2" xfId="7162" xr:uid="{00000000-0005-0000-0000-00007C1D0000}"/>
    <cellStyle name="Вычисление 10 82 3" xfId="11430" xr:uid="{00000000-0005-0000-0000-00007D1D0000}"/>
    <cellStyle name="Вычисление 10 82 4" xfId="15666" xr:uid="{00000000-0005-0000-0000-00007E1D0000}"/>
    <cellStyle name="Вычисление 10 83" xfId="2427" xr:uid="{00000000-0005-0000-0000-00007F1D0000}"/>
    <cellStyle name="Вычисление 10 83 2" xfId="7163" xr:uid="{00000000-0005-0000-0000-0000801D0000}"/>
    <cellStyle name="Вычисление 10 83 3" xfId="11431" xr:uid="{00000000-0005-0000-0000-0000811D0000}"/>
    <cellStyle name="Вычисление 10 83 4" xfId="15667" xr:uid="{00000000-0005-0000-0000-0000821D0000}"/>
    <cellStyle name="Вычисление 10 84" xfId="2428" xr:uid="{00000000-0005-0000-0000-0000831D0000}"/>
    <cellStyle name="Вычисление 10 84 2" xfId="7164" xr:uid="{00000000-0005-0000-0000-0000841D0000}"/>
    <cellStyle name="Вычисление 10 84 3" xfId="11432" xr:uid="{00000000-0005-0000-0000-0000851D0000}"/>
    <cellStyle name="Вычисление 10 84 4" xfId="15668" xr:uid="{00000000-0005-0000-0000-0000861D0000}"/>
    <cellStyle name="Вычисление 10 85" xfId="2429" xr:uid="{00000000-0005-0000-0000-0000871D0000}"/>
    <cellStyle name="Вычисление 10 85 2" xfId="7165" xr:uid="{00000000-0005-0000-0000-0000881D0000}"/>
    <cellStyle name="Вычисление 10 85 3" xfId="11433" xr:uid="{00000000-0005-0000-0000-0000891D0000}"/>
    <cellStyle name="Вычисление 10 85 4" xfId="15669" xr:uid="{00000000-0005-0000-0000-00008A1D0000}"/>
    <cellStyle name="Вычисление 10 86" xfId="2430" xr:uid="{00000000-0005-0000-0000-00008B1D0000}"/>
    <cellStyle name="Вычисление 10 86 2" xfId="7166" xr:uid="{00000000-0005-0000-0000-00008C1D0000}"/>
    <cellStyle name="Вычисление 10 86 3" xfId="11434" xr:uid="{00000000-0005-0000-0000-00008D1D0000}"/>
    <cellStyle name="Вычисление 10 86 4" xfId="15670" xr:uid="{00000000-0005-0000-0000-00008E1D0000}"/>
    <cellStyle name="Вычисление 10 87" xfId="2431" xr:uid="{00000000-0005-0000-0000-00008F1D0000}"/>
    <cellStyle name="Вычисление 10 87 2" xfId="7167" xr:uid="{00000000-0005-0000-0000-0000901D0000}"/>
    <cellStyle name="Вычисление 10 87 3" xfId="11435" xr:uid="{00000000-0005-0000-0000-0000911D0000}"/>
    <cellStyle name="Вычисление 10 87 4" xfId="15671" xr:uid="{00000000-0005-0000-0000-0000921D0000}"/>
    <cellStyle name="Вычисление 10 88" xfId="2432" xr:uid="{00000000-0005-0000-0000-0000931D0000}"/>
    <cellStyle name="Вычисление 10 88 2" xfId="7168" xr:uid="{00000000-0005-0000-0000-0000941D0000}"/>
    <cellStyle name="Вычисление 10 88 3" xfId="11436" xr:uid="{00000000-0005-0000-0000-0000951D0000}"/>
    <cellStyle name="Вычисление 10 88 4" xfId="15672" xr:uid="{00000000-0005-0000-0000-0000961D0000}"/>
    <cellStyle name="Вычисление 10 89" xfId="2433" xr:uid="{00000000-0005-0000-0000-0000971D0000}"/>
    <cellStyle name="Вычисление 10 89 2" xfId="7169" xr:uid="{00000000-0005-0000-0000-0000981D0000}"/>
    <cellStyle name="Вычисление 10 89 3" xfId="11437" xr:uid="{00000000-0005-0000-0000-0000991D0000}"/>
    <cellStyle name="Вычисление 10 89 4" xfId="15673" xr:uid="{00000000-0005-0000-0000-00009A1D0000}"/>
    <cellStyle name="Вычисление 10 9" xfId="2434" xr:uid="{00000000-0005-0000-0000-00009B1D0000}"/>
    <cellStyle name="Вычисление 10 9 2" xfId="7170" xr:uid="{00000000-0005-0000-0000-00009C1D0000}"/>
    <cellStyle name="Вычисление 10 9 3" xfId="11438" xr:uid="{00000000-0005-0000-0000-00009D1D0000}"/>
    <cellStyle name="Вычисление 10 9 4" xfId="15674" xr:uid="{00000000-0005-0000-0000-00009E1D0000}"/>
    <cellStyle name="Вычисление 10 90" xfId="2435" xr:uid="{00000000-0005-0000-0000-00009F1D0000}"/>
    <cellStyle name="Вычисление 10 90 2" xfId="7171" xr:uid="{00000000-0005-0000-0000-0000A01D0000}"/>
    <cellStyle name="Вычисление 10 90 3" xfId="11439" xr:uid="{00000000-0005-0000-0000-0000A11D0000}"/>
    <cellStyle name="Вычисление 10 90 4" xfId="15675" xr:uid="{00000000-0005-0000-0000-0000A21D0000}"/>
    <cellStyle name="Вычисление 10 91" xfId="2436" xr:uid="{00000000-0005-0000-0000-0000A31D0000}"/>
    <cellStyle name="Вычисление 10 91 2" xfId="7172" xr:uid="{00000000-0005-0000-0000-0000A41D0000}"/>
    <cellStyle name="Вычисление 10 91 3" xfId="11440" xr:uid="{00000000-0005-0000-0000-0000A51D0000}"/>
    <cellStyle name="Вычисление 10 91 4" xfId="15676" xr:uid="{00000000-0005-0000-0000-0000A61D0000}"/>
    <cellStyle name="Вычисление 10 92" xfId="5195" xr:uid="{00000000-0005-0000-0000-0000A71D0000}"/>
    <cellStyle name="Вычисление 10 93" xfId="5250" xr:uid="{00000000-0005-0000-0000-0000A81D0000}"/>
    <cellStyle name="Вычисление 10 94" xfId="8815" xr:uid="{00000000-0005-0000-0000-0000A91D0000}"/>
    <cellStyle name="Вычисление 2" xfId="242" xr:uid="{00000000-0005-0000-0000-0000AA1D0000}"/>
    <cellStyle name="Вычисление 2 10" xfId="2437" xr:uid="{00000000-0005-0000-0000-0000AB1D0000}"/>
    <cellStyle name="Вычисление 2 10 2" xfId="7173" xr:uid="{00000000-0005-0000-0000-0000AC1D0000}"/>
    <cellStyle name="Вычисление 2 10 3" xfId="11441" xr:uid="{00000000-0005-0000-0000-0000AD1D0000}"/>
    <cellStyle name="Вычисление 2 10 4" xfId="15677" xr:uid="{00000000-0005-0000-0000-0000AE1D0000}"/>
    <cellStyle name="Вычисление 2 11" xfId="2438" xr:uid="{00000000-0005-0000-0000-0000AF1D0000}"/>
    <cellStyle name="Вычисление 2 11 2" xfId="7174" xr:uid="{00000000-0005-0000-0000-0000B01D0000}"/>
    <cellStyle name="Вычисление 2 11 3" xfId="11442" xr:uid="{00000000-0005-0000-0000-0000B11D0000}"/>
    <cellStyle name="Вычисление 2 11 4" xfId="15678" xr:uid="{00000000-0005-0000-0000-0000B21D0000}"/>
    <cellStyle name="Вычисление 2 12" xfId="2439" xr:uid="{00000000-0005-0000-0000-0000B31D0000}"/>
    <cellStyle name="Вычисление 2 12 2" xfId="7175" xr:uid="{00000000-0005-0000-0000-0000B41D0000}"/>
    <cellStyle name="Вычисление 2 12 3" xfId="11443" xr:uid="{00000000-0005-0000-0000-0000B51D0000}"/>
    <cellStyle name="Вычисление 2 12 4" xfId="15679" xr:uid="{00000000-0005-0000-0000-0000B61D0000}"/>
    <cellStyle name="Вычисление 2 13" xfId="2440" xr:uid="{00000000-0005-0000-0000-0000B71D0000}"/>
    <cellStyle name="Вычисление 2 13 2" xfId="7176" xr:uid="{00000000-0005-0000-0000-0000B81D0000}"/>
    <cellStyle name="Вычисление 2 13 3" xfId="11444" xr:uid="{00000000-0005-0000-0000-0000B91D0000}"/>
    <cellStyle name="Вычисление 2 13 4" xfId="15680" xr:uid="{00000000-0005-0000-0000-0000BA1D0000}"/>
    <cellStyle name="Вычисление 2 14" xfId="2441" xr:uid="{00000000-0005-0000-0000-0000BB1D0000}"/>
    <cellStyle name="Вычисление 2 14 2" xfId="7177" xr:uid="{00000000-0005-0000-0000-0000BC1D0000}"/>
    <cellStyle name="Вычисление 2 14 3" xfId="11445" xr:uid="{00000000-0005-0000-0000-0000BD1D0000}"/>
    <cellStyle name="Вычисление 2 14 4" xfId="15681" xr:uid="{00000000-0005-0000-0000-0000BE1D0000}"/>
    <cellStyle name="Вычисление 2 15" xfId="2442" xr:uid="{00000000-0005-0000-0000-0000BF1D0000}"/>
    <cellStyle name="Вычисление 2 15 2" xfId="7178" xr:uid="{00000000-0005-0000-0000-0000C01D0000}"/>
    <cellStyle name="Вычисление 2 15 3" xfId="11446" xr:uid="{00000000-0005-0000-0000-0000C11D0000}"/>
    <cellStyle name="Вычисление 2 15 4" xfId="15682" xr:uid="{00000000-0005-0000-0000-0000C21D0000}"/>
    <cellStyle name="Вычисление 2 16" xfId="2443" xr:uid="{00000000-0005-0000-0000-0000C31D0000}"/>
    <cellStyle name="Вычисление 2 16 2" xfId="7179" xr:uid="{00000000-0005-0000-0000-0000C41D0000}"/>
    <cellStyle name="Вычисление 2 16 3" xfId="11447" xr:uid="{00000000-0005-0000-0000-0000C51D0000}"/>
    <cellStyle name="Вычисление 2 16 4" xfId="15683" xr:uid="{00000000-0005-0000-0000-0000C61D0000}"/>
    <cellStyle name="Вычисление 2 17" xfId="2444" xr:uid="{00000000-0005-0000-0000-0000C71D0000}"/>
    <cellStyle name="Вычисление 2 17 2" xfId="7180" xr:uid="{00000000-0005-0000-0000-0000C81D0000}"/>
    <cellStyle name="Вычисление 2 17 3" xfId="11448" xr:uid="{00000000-0005-0000-0000-0000C91D0000}"/>
    <cellStyle name="Вычисление 2 17 4" xfId="15684" xr:uid="{00000000-0005-0000-0000-0000CA1D0000}"/>
    <cellStyle name="Вычисление 2 18" xfId="2445" xr:uid="{00000000-0005-0000-0000-0000CB1D0000}"/>
    <cellStyle name="Вычисление 2 18 2" xfId="7181" xr:uid="{00000000-0005-0000-0000-0000CC1D0000}"/>
    <cellStyle name="Вычисление 2 18 3" xfId="11449" xr:uid="{00000000-0005-0000-0000-0000CD1D0000}"/>
    <cellStyle name="Вычисление 2 18 4" xfId="15685" xr:uid="{00000000-0005-0000-0000-0000CE1D0000}"/>
    <cellStyle name="Вычисление 2 19" xfId="2446" xr:uid="{00000000-0005-0000-0000-0000CF1D0000}"/>
    <cellStyle name="Вычисление 2 19 2" xfId="7182" xr:uid="{00000000-0005-0000-0000-0000D01D0000}"/>
    <cellStyle name="Вычисление 2 19 3" xfId="11450" xr:uid="{00000000-0005-0000-0000-0000D11D0000}"/>
    <cellStyle name="Вычисление 2 19 4" xfId="15686" xr:uid="{00000000-0005-0000-0000-0000D21D0000}"/>
    <cellStyle name="Вычисление 2 2" xfId="2447" xr:uid="{00000000-0005-0000-0000-0000D31D0000}"/>
    <cellStyle name="Вычисление 2 2 2" xfId="2448" xr:uid="{00000000-0005-0000-0000-0000D41D0000}"/>
    <cellStyle name="Вычисление 2 2 2 2" xfId="7184" xr:uid="{00000000-0005-0000-0000-0000D51D0000}"/>
    <cellStyle name="Вычисление 2 2 2 3" xfId="11452" xr:uid="{00000000-0005-0000-0000-0000D61D0000}"/>
    <cellStyle name="Вычисление 2 2 2 4" xfId="15688" xr:uid="{00000000-0005-0000-0000-0000D71D0000}"/>
    <cellStyle name="Вычисление 2 2 3" xfId="2449" xr:uid="{00000000-0005-0000-0000-0000D81D0000}"/>
    <cellStyle name="Вычисление 2 2 3 2" xfId="7185" xr:uid="{00000000-0005-0000-0000-0000D91D0000}"/>
    <cellStyle name="Вычисление 2 2 3 3" xfId="11453" xr:uid="{00000000-0005-0000-0000-0000DA1D0000}"/>
    <cellStyle name="Вычисление 2 2 3 4" xfId="15689" xr:uid="{00000000-0005-0000-0000-0000DB1D0000}"/>
    <cellStyle name="Вычисление 2 2 4" xfId="7183" xr:uid="{00000000-0005-0000-0000-0000DC1D0000}"/>
    <cellStyle name="Вычисление 2 2 5" xfId="11451" xr:uid="{00000000-0005-0000-0000-0000DD1D0000}"/>
    <cellStyle name="Вычисление 2 2 6" xfId="15687" xr:uid="{00000000-0005-0000-0000-0000DE1D0000}"/>
    <cellStyle name="Вычисление 2 20" xfId="2450" xr:uid="{00000000-0005-0000-0000-0000DF1D0000}"/>
    <cellStyle name="Вычисление 2 20 2" xfId="7186" xr:uid="{00000000-0005-0000-0000-0000E01D0000}"/>
    <cellStyle name="Вычисление 2 20 3" xfId="11454" xr:uid="{00000000-0005-0000-0000-0000E11D0000}"/>
    <cellStyle name="Вычисление 2 20 4" xfId="15690" xr:uid="{00000000-0005-0000-0000-0000E21D0000}"/>
    <cellStyle name="Вычисление 2 21" xfId="2451" xr:uid="{00000000-0005-0000-0000-0000E31D0000}"/>
    <cellStyle name="Вычисление 2 21 2" xfId="7187" xr:uid="{00000000-0005-0000-0000-0000E41D0000}"/>
    <cellStyle name="Вычисление 2 21 3" xfId="11455" xr:uid="{00000000-0005-0000-0000-0000E51D0000}"/>
    <cellStyle name="Вычисление 2 21 4" xfId="15691" xr:uid="{00000000-0005-0000-0000-0000E61D0000}"/>
    <cellStyle name="Вычисление 2 22" xfId="2452" xr:uid="{00000000-0005-0000-0000-0000E71D0000}"/>
    <cellStyle name="Вычисление 2 22 2" xfId="7188" xr:uid="{00000000-0005-0000-0000-0000E81D0000}"/>
    <cellStyle name="Вычисление 2 22 3" xfId="11456" xr:uid="{00000000-0005-0000-0000-0000E91D0000}"/>
    <cellStyle name="Вычисление 2 22 4" xfId="15692" xr:uid="{00000000-0005-0000-0000-0000EA1D0000}"/>
    <cellStyle name="Вычисление 2 23" xfId="2453" xr:uid="{00000000-0005-0000-0000-0000EB1D0000}"/>
    <cellStyle name="Вычисление 2 23 2" xfId="7189" xr:uid="{00000000-0005-0000-0000-0000EC1D0000}"/>
    <cellStyle name="Вычисление 2 23 3" xfId="11457" xr:uid="{00000000-0005-0000-0000-0000ED1D0000}"/>
    <cellStyle name="Вычисление 2 23 4" xfId="15693" xr:uid="{00000000-0005-0000-0000-0000EE1D0000}"/>
    <cellStyle name="Вычисление 2 24" xfId="2454" xr:uid="{00000000-0005-0000-0000-0000EF1D0000}"/>
    <cellStyle name="Вычисление 2 24 2" xfId="7190" xr:uid="{00000000-0005-0000-0000-0000F01D0000}"/>
    <cellStyle name="Вычисление 2 24 3" xfId="11458" xr:uid="{00000000-0005-0000-0000-0000F11D0000}"/>
    <cellStyle name="Вычисление 2 24 4" xfId="15694" xr:uid="{00000000-0005-0000-0000-0000F21D0000}"/>
    <cellStyle name="Вычисление 2 25" xfId="2455" xr:uid="{00000000-0005-0000-0000-0000F31D0000}"/>
    <cellStyle name="Вычисление 2 25 2" xfId="7191" xr:uid="{00000000-0005-0000-0000-0000F41D0000}"/>
    <cellStyle name="Вычисление 2 25 3" xfId="11459" xr:uid="{00000000-0005-0000-0000-0000F51D0000}"/>
    <cellStyle name="Вычисление 2 25 4" xfId="15695" xr:uid="{00000000-0005-0000-0000-0000F61D0000}"/>
    <cellStyle name="Вычисление 2 26" xfId="2456" xr:uid="{00000000-0005-0000-0000-0000F71D0000}"/>
    <cellStyle name="Вычисление 2 26 2" xfId="7192" xr:uid="{00000000-0005-0000-0000-0000F81D0000}"/>
    <cellStyle name="Вычисление 2 26 3" xfId="11460" xr:uid="{00000000-0005-0000-0000-0000F91D0000}"/>
    <cellStyle name="Вычисление 2 26 4" xfId="15696" xr:uid="{00000000-0005-0000-0000-0000FA1D0000}"/>
    <cellStyle name="Вычисление 2 27" xfId="2457" xr:uid="{00000000-0005-0000-0000-0000FB1D0000}"/>
    <cellStyle name="Вычисление 2 27 2" xfId="7193" xr:uid="{00000000-0005-0000-0000-0000FC1D0000}"/>
    <cellStyle name="Вычисление 2 27 3" xfId="11461" xr:uid="{00000000-0005-0000-0000-0000FD1D0000}"/>
    <cellStyle name="Вычисление 2 27 4" xfId="15697" xr:uid="{00000000-0005-0000-0000-0000FE1D0000}"/>
    <cellStyle name="Вычисление 2 28" xfId="2458" xr:uid="{00000000-0005-0000-0000-0000FF1D0000}"/>
    <cellStyle name="Вычисление 2 28 2" xfId="7194" xr:uid="{00000000-0005-0000-0000-0000001E0000}"/>
    <cellStyle name="Вычисление 2 28 3" xfId="11462" xr:uid="{00000000-0005-0000-0000-0000011E0000}"/>
    <cellStyle name="Вычисление 2 28 4" xfId="15698" xr:uid="{00000000-0005-0000-0000-0000021E0000}"/>
    <cellStyle name="Вычисление 2 29" xfId="2459" xr:uid="{00000000-0005-0000-0000-0000031E0000}"/>
    <cellStyle name="Вычисление 2 29 2" xfId="7195" xr:uid="{00000000-0005-0000-0000-0000041E0000}"/>
    <cellStyle name="Вычисление 2 29 3" xfId="11463" xr:uid="{00000000-0005-0000-0000-0000051E0000}"/>
    <cellStyle name="Вычисление 2 29 4" xfId="15699" xr:uid="{00000000-0005-0000-0000-0000061E0000}"/>
    <cellStyle name="Вычисление 2 3" xfId="2460" xr:uid="{00000000-0005-0000-0000-0000071E0000}"/>
    <cellStyle name="Вычисление 2 3 2" xfId="2461" xr:uid="{00000000-0005-0000-0000-0000081E0000}"/>
    <cellStyle name="Вычисление 2 3 2 2" xfId="7197" xr:uid="{00000000-0005-0000-0000-0000091E0000}"/>
    <cellStyle name="Вычисление 2 3 2 3" xfId="11465" xr:uid="{00000000-0005-0000-0000-00000A1E0000}"/>
    <cellStyle name="Вычисление 2 3 2 4" xfId="15701" xr:uid="{00000000-0005-0000-0000-00000B1E0000}"/>
    <cellStyle name="Вычисление 2 3 3" xfId="2462" xr:uid="{00000000-0005-0000-0000-00000C1E0000}"/>
    <cellStyle name="Вычисление 2 3 3 2" xfId="7198" xr:uid="{00000000-0005-0000-0000-00000D1E0000}"/>
    <cellStyle name="Вычисление 2 3 3 3" xfId="11466" xr:uid="{00000000-0005-0000-0000-00000E1E0000}"/>
    <cellStyle name="Вычисление 2 3 3 4" xfId="15702" xr:uid="{00000000-0005-0000-0000-00000F1E0000}"/>
    <cellStyle name="Вычисление 2 3 4" xfId="7196" xr:uid="{00000000-0005-0000-0000-0000101E0000}"/>
    <cellStyle name="Вычисление 2 3 5" xfId="11464" xr:uid="{00000000-0005-0000-0000-0000111E0000}"/>
    <cellStyle name="Вычисление 2 3 6" xfId="15700" xr:uid="{00000000-0005-0000-0000-0000121E0000}"/>
    <cellStyle name="Вычисление 2 30" xfId="2463" xr:uid="{00000000-0005-0000-0000-0000131E0000}"/>
    <cellStyle name="Вычисление 2 30 2" xfId="7199" xr:uid="{00000000-0005-0000-0000-0000141E0000}"/>
    <cellStyle name="Вычисление 2 30 3" xfId="11467" xr:uid="{00000000-0005-0000-0000-0000151E0000}"/>
    <cellStyle name="Вычисление 2 30 4" xfId="15703" xr:uid="{00000000-0005-0000-0000-0000161E0000}"/>
    <cellStyle name="Вычисление 2 31" xfId="2464" xr:uid="{00000000-0005-0000-0000-0000171E0000}"/>
    <cellStyle name="Вычисление 2 31 2" xfId="7200" xr:uid="{00000000-0005-0000-0000-0000181E0000}"/>
    <cellStyle name="Вычисление 2 31 3" xfId="11468" xr:uid="{00000000-0005-0000-0000-0000191E0000}"/>
    <cellStyle name="Вычисление 2 31 4" xfId="15704" xr:uid="{00000000-0005-0000-0000-00001A1E0000}"/>
    <cellStyle name="Вычисление 2 32" xfId="2465" xr:uid="{00000000-0005-0000-0000-00001B1E0000}"/>
    <cellStyle name="Вычисление 2 32 2" xfId="7201" xr:uid="{00000000-0005-0000-0000-00001C1E0000}"/>
    <cellStyle name="Вычисление 2 32 3" xfId="11469" xr:uid="{00000000-0005-0000-0000-00001D1E0000}"/>
    <cellStyle name="Вычисление 2 32 4" xfId="15705" xr:uid="{00000000-0005-0000-0000-00001E1E0000}"/>
    <cellStyle name="Вычисление 2 33" xfId="2466" xr:uid="{00000000-0005-0000-0000-00001F1E0000}"/>
    <cellStyle name="Вычисление 2 33 2" xfId="7202" xr:uid="{00000000-0005-0000-0000-0000201E0000}"/>
    <cellStyle name="Вычисление 2 33 3" xfId="11470" xr:uid="{00000000-0005-0000-0000-0000211E0000}"/>
    <cellStyle name="Вычисление 2 33 4" xfId="15706" xr:uid="{00000000-0005-0000-0000-0000221E0000}"/>
    <cellStyle name="Вычисление 2 34" xfId="2467" xr:uid="{00000000-0005-0000-0000-0000231E0000}"/>
    <cellStyle name="Вычисление 2 34 2" xfId="7203" xr:uid="{00000000-0005-0000-0000-0000241E0000}"/>
    <cellStyle name="Вычисление 2 34 3" xfId="11471" xr:uid="{00000000-0005-0000-0000-0000251E0000}"/>
    <cellStyle name="Вычисление 2 34 4" xfId="15707" xr:uid="{00000000-0005-0000-0000-0000261E0000}"/>
    <cellStyle name="Вычисление 2 35" xfId="2468" xr:uid="{00000000-0005-0000-0000-0000271E0000}"/>
    <cellStyle name="Вычисление 2 35 2" xfId="7204" xr:uid="{00000000-0005-0000-0000-0000281E0000}"/>
    <cellStyle name="Вычисление 2 35 3" xfId="11472" xr:uid="{00000000-0005-0000-0000-0000291E0000}"/>
    <cellStyle name="Вычисление 2 35 4" xfId="15708" xr:uid="{00000000-0005-0000-0000-00002A1E0000}"/>
    <cellStyle name="Вычисление 2 36" xfId="2469" xr:uid="{00000000-0005-0000-0000-00002B1E0000}"/>
    <cellStyle name="Вычисление 2 36 2" xfId="7205" xr:uid="{00000000-0005-0000-0000-00002C1E0000}"/>
    <cellStyle name="Вычисление 2 36 3" xfId="11473" xr:uid="{00000000-0005-0000-0000-00002D1E0000}"/>
    <cellStyle name="Вычисление 2 36 4" xfId="15709" xr:uid="{00000000-0005-0000-0000-00002E1E0000}"/>
    <cellStyle name="Вычисление 2 37" xfId="2470" xr:uid="{00000000-0005-0000-0000-00002F1E0000}"/>
    <cellStyle name="Вычисление 2 37 2" xfId="7206" xr:uid="{00000000-0005-0000-0000-0000301E0000}"/>
    <cellStyle name="Вычисление 2 37 3" xfId="11474" xr:uid="{00000000-0005-0000-0000-0000311E0000}"/>
    <cellStyle name="Вычисление 2 37 4" xfId="15710" xr:uid="{00000000-0005-0000-0000-0000321E0000}"/>
    <cellStyle name="Вычисление 2 38" xfId="2471" xr:uid="{00000000-0005-0000-0000-0000331E0000}"/>
    <cellStyle name="Вычисление 2 38 2" xfId="7207" xr:uid="{00000000-0005-0000-0000-0000341E0000}"/>
    <cellStyle name="Вычисление 2 38 3" xfId="11475" xr:uid="{00000000-0005-0000-0000-0000351E0000}"/>
    <cellStyle name="Вычисление 2 38 4" xfId="15711" xr:uid="{00000000-0005-0000-0000-0000361E0000}"/>
    <cellStyle name="Вычисление 2 39" xfId="2472" xr:uid="{00000000-0005-0000-0000-0000371E0000}"/>
    <cellStyle name="Вычисление 2 39 2" xfId="7208" xr:uid="{00000000-0005-0000-0000-0000381E0000}"/>
    <cellStyle name="Вычисление 2 39 3" xfId="11476" xr:uid="{00000000-0005-0000-0000-0000391E0000}"/>
    <cellStyle name="Вычисление 2 39 4" xfId="15712" xr:uid="{00000000-0005-0000-0000-00003A1E0000}"/>
    <cellStyle name="Вычисление 2 4" xfId="2473" xr:uid="{00000000-0005-0000-0000-00003B1E0000}"/>
    <cellStyle name="Вычисление 2 4 2" xfId="2474" xr:uid="{00000000-0005-0000-0000-00003C1E0000}"/>
    <cellStyle name="Вычисление 2 4 2 2" xfId="7210" xr:uid="{00000000-0005-0000-0000-00003D1E0000}"/>
    <cellStyle name="Вычисление 2 4 2 3" xfId="11478" xr:uid="{00000000-0005-0000-0000-00003E1E0000}"/>
    <cellStyle name="Вычисление 2 4 2 4" xfId="15714" xr:uid="{00000000-0005-0000-0000-00003F1E0000}"/>
    <cellStyle name="Вычисление 2 4 3" xfId="2475" xr:uid="{00000000-0005-0000-0000-0000401E0000}"/>
    <cellStyle name="Вычисление 2 4 3 2" xfId="7211" xr:uid="{00000000-0005-0000-0000-0000411E0000}"/>
    <cellStyle name="Вычисление 2 4 3 3" xfId="11479" xr:uid="{00000000-0005-0000-0000-0000421E0000}"/>
    <cellStyle name="Вычисление 2 4 3 4" xfId="15715" xr:uid="{00000000-0005-0000-0000-0000431E0000}"/>
    <cellStyle name="Вычисление 2 4 4" xfId="7209" xr:uid="{00000000-0005-0000-0000-0000441E0000}"/>
    <cellStyle name="Вычисление 2 4 5" xfId="11477" xr:uid="{00000000-0005-0000-0000-0000451E0000}"/>
    <cellStyle name="Вычисление 2 4 6" xfId="15713" xr:uid="{00000000-0005-0000-0000-0000461E0000}"/>
    <cellStyle name="Вычисление 2 40" xfId="2476" xr:uid="{00000000-0005-0000-0000-0000471E0000}"/>
    <cellStyle name="Вычисление 2 40 2" xfId="7212" xr:uid="{00000000-0005-0000-0000-0000481E0000}"/>
    <cellStyle name="Вычисление 2 40 3" xfId="11480" xr:uid="{00000000-0005-0000-0000-0000491E0000}"/>
    <cellStyle name="Вычисление 2 40 4" xfId="15716" xr:uid="{00000000-0005-0000-0000-00004A1E0000}"/>
    <cellStyle name="Вычисление 2 41" xfId="2477" xr:uid="{00000000-0005-0000-0000-00004B1E0000}"/>
    <cellStyle name="Вычисление 2 41 2" xfId="7213" xr:uid="{00000000-0005-0000-0000-00004C1E0000}"/>
    <cellStyle name="Вычисление 2 41 3" xfId="11481" xr:uid="{00000000-0005-0000-0000-00004D1E0000}"/>
    <cellStyle name="Вычисление 2 41 4" xfId="15717" xr:uid="{00000000-0005-0000-0000-00004E1E0000}"/>
    <cellStyle name="Вычисление 2 42" xfId="2478" xr:uid="{00000000-0005-0000-0000-00004F1E0000}"/>
    <cellStyle name="Вычисление 2 42 2" xfId="7214" xr:uid="{00000000-0005-0000-0000-0000501E0000}"/>
    <cellStyle name="Вычисление 2 42 3" xfId="11482" xr:uid="{00000000-0005-0000-0000-0000511E0000}"/>
    <cellStyle name="Вычисление 2 42 4" xfId="15718" xr:uid="{00000000-0005-0000-0000-0000521E0000}"/>
    <cellStyle name="Вычисление 2 43" xfId="2479" xr:uid="{00000000-0005-0000-0000-0000531E0000}"/>
    <cellStyle name="Вычисление 2 43 2" xfId="7215" xr:uid="{00000000-0005-0000-0000-0000541E0000}"/>
    <cellStyle name="Вычисление 2 43 3" xfId="11483" xr:uid="{00000000-0005-0000-0000-0000551E0000}"/>
    <cellStyle name="Вычисление 2 43 4" xfId="15719" xr:uid="{00000000-0005-0000-0000-0000561E0000}"/>
    <cellStyle name="Вычисление 2 44" xfId="2480" xr:uid="{00000000-0005-0000-0000-0000571E0000}"/>
    <cellStyle name="Вычисление 2 44 2" xfId="7216" xr:uid="{00000000-0005-0000-0000-0000581E0000}"/>
    <cellStyle name="Вычисление 2 44 3" xfId="11484" xr:uid="{00000000-0005-0000-0000-0000591E0000}"/>
    <cellStyle name="Вычисление 2 44 4" xfId="15720" xr:uid="{00000000-0005-0000-0000-00005A1E0000}"/>
    <cellStyle name="Вычисление 2 45" xfId="2481" xr:uid="{00000000-0005-0000-0000-00005B1E0000}"/>
    <cellStyle name="Вычисление 2 45 2" xfId="7217" xr:uid="{00000000-0005-0000-0000-00005C1E0000}"/>
    <cellStyle name="Вычисление 2 45 3" xfId="11485" xr:uid="{00000000-0005-0000-0000-00005D1E0000}"/>
    <cellStyle name="Вычисление 2 45 4" xfId="15721" xr:uid="{00000000-0005-0000-0000-00005E1E0000}"/>
    <cellStyle name="Вычисление 2 46" xfId="2482" xr:uid="{00000000-0005-0000-0000-00005F1E0000}"/>
    <cellStyle name="Вычисление 2 46 2" xfId="7218" xr:uid="{00000000-0005-0000-0000-0000601E0000}"/>
    <cellStyle name="Вычисление 2 46 3" xfId="11486" xr:uid="{00000000-0005-0000-0000-0000611E0000}"/>
    <cellStyle name="Вычисление 2 46 4" xfId="15722" xr:uid="{00000000-0005-0000-0000-0000621E0000}"/>
    <cellStyle name="Вычисление 2 47" xfId="2483" xr:uid="{00000000-0005-0000-0000-0000631E0000}"/>
    <cellStyle name="Вычисление 2 47 2" xfId="7219" xr:uid="{00000000-0005-0000-0000-0000641E0000}"/>
    <cellStyle name="Вычисление 2 47 3" xfId="11487" xr:uid="{00000000-0005-0000-0000-0000651E0000}"/>
    <cellStyle name="Вычисление 2 47 4" xfId="15723" xr:uid="{00000000-0005-0000-0000-0000661E0000}"/>
    <cellStyle name="Вычисление 2 48" xfId="2484" xr:uid="{00000000-0005-0000-0000-0000671E0000}"/>
    <cellStyle name="Вычисление 2 48 2" xfId="7220" xr:uid="{00000000-0005-0000-0000-0000681E0000}"/>
    <cellStyle name="Вычисление 2 48 3" xfId="11488" xr:uid="{00000000-0005-0000-0000-0000691E0000}"/>
    <cellStyle name="Вычисление 2 48 4" xfId="15724" xr:uid="{00000000-0005-0000-0000-00006A1E0000}"/>
    <cellStyle name="Вычисление 2 49" xfId="2485" xr:uid="{00000000-0005-0000-0000-00006B1E0000}"/>
    <cellStyle name="Вычисление 2 49 2" xfId="7221" xr:uid="{00000000-0005-0000-0000-00006C1E0000}"/>
    <cellStyle name="Вычисление 2 49 3" xfId="11489" xr:uid="{00000000-0005-0000-0000-00006D1E0000}"/>
    <cellStyle name="Вычисление 2 49 4" xfId="15725" xr:uid="{00000000-0005-0000-0000-00006E1E0000}"/>
    <cellStyle name="Вычисление 2 5" xfId="2486" xr:uid="{00000000-0005-0000-0000-00006F1E0000}"/>
    <cellStyle name="Вычисление 2 5 2" xfId="7222" xr:uid="{00000000-0005-0000-0000-0000701E0000}"/>
    <cellStyle name="Вычисление 2 5 3" xfId="11490" xr:uid="{00000000-0005-0000-0000-0000711E0000}"/>
    <cellStyle name="Вычисление 2 5 4" xfId="15726" xr:uid="{00000000-0005-0000-0000-0000721E0000}"/>
    <cellStyle name="Вычисление 2 50" xfId="2487" xr:uid="{00000000-0005-0000-0000-0000731E0000}"/>
    <cellStyle name="Вычисление 2 50 2" xfId="7223" xr:uid="{00000000-0005-0000-0000-0000741E0000}"/>
    <cellStyle name="Вычисление 2 50 3" xfId="11491" xr:uid="{00000000-0005-0000-0000-0000751E0000}"/>
    <cellStyle name="Вычисление 2 50 4" xfId="15727" xr:uid="{00000000-0005-0000-0000-0000761E0000}"/>
    <cellStyle name="Вычисление 2 51" xfId="2488" xr:uid="{00000000-0005-0000-0000-0000771E0000}"/>
    <cellStyle name="Вычисление 2 51 2" xfId="7224" xr:uid="{00000000-0005-0000-0000-0000781E0000}"/>
    <cellStyle name="Вычисление 2 51 3" xfId="11492" xr:uid="{00000000-0005-0000-0000-0000791E0000}"/>
    <cellStyle name="Вычисление 2 51 4" xfId="15728" xr:uid="{00000000-0005-0000-0000-00007A1E0000}"/>
    <cellStyle name="Вычисление 2 52" xfId="2489" xr:uid="{00000000-0005-0000-0000-00007B1E0000}"/>
    <cellStyle name="Вычисление 2 52 2" xfId="7225" xr:uid="{00000000-0005-0000-0000-00007C1E0000}"/>
    <cellStyle name="Вычисление 2 52 3" xfId="11493" xr:uid="{00000000-0005-0000-0000-00007D1E0000}"/>
    <cellStyle name="Вычисление 2 52 4" xfId="15729" xr:uid="{00000000-0005-0000-0000-00007E1E0000}"/>
    <cellStyle name="Вычисление 2 53" xfId="2490" xr:uid="{00000000-0005-0000-0000-00007F1E0000}"/>
    <cellStyle name="Вычисление 2 53 2" xfId="7226" xr:uid="{00000000-0005-0000-0000-0000801E0000}"/>
    <cellStyle name="Вычисление 2 53 3" xfId="11494" xr:uid="{00000000-0005-0000-0000-0000811E0000}"/>
    <cellStyle name="Вычисление 2 53 4" xfId="15730" xr:uid="{00000000-0005-0000-0000-0000821E0000}"/>
    <cellStyle name="Вычисление 2 54" xfId="2491" xr:uid="{00000000-0005-0000-0000-0000831E0000}"/>
    <cellStyle name="Вычисление 2 54 2" xfId="7227" xr:uid="{00000000-0005-0000-0000-0000841E0000}"/>
    <cellStyle name="Вычисление 2 54 3" xfId="11495" xr:uid="{00000000-0005-0000-0000-0000851E0000}"/>
    <cellStyle name="Вычисление 2 54 4" xfId="15731" xr:uid="{00000000-0005-0000-0000-0000861E0000}"/>
    <cellStyle name="Вычисление 2 55" xfId="2492" xr:uid="{00000000-0005-0000-0000-0000871E0000}"/>
    <cellStyle name="Вычисление 2 55 2" xfId="7228" xr:uid="{00000000-0005-0000-0000-0000881E0000}"/>
    <cellStyle name="Вычисление 2 55 3" xfId="11496" xr:uid="{00000000-0005-0000-0000-0000891E0000}"/>
    <cellStyle name="Вычисление 2 55 4" xfId="15732" xr:uid="{00000000-0005-0000-0000-00008A1E0000}"/>
    <cellStyle name="Вычисление 2 56" xfId="2493" xr:uid="{00000000-0005-0000-0000-00008B1E0000}"/>
    <cellStyle name="Вычисление 2 56 2" xfId="7229" xr:uid="{00000000-0005-0000-0000-00008C1E0000}"/>
    <cellStyle name="Вычисление 2 56 3" xfId="11497" xr:uid="{00000000-0005-0000-0000-00008D1E0000}"/>
    <cellStyle name="Вычисление 2 56 4" xfId="15733" xr:uid="{00000000-0005-0000-0000-00008E1E0000}"/>
    <cellStyle name="Вычисление 2 57" xfId="2494" xr:uid="{00000000-0005-0000-0000-00008F1E0000}"/>
    <cellStyle name="Вычисление 2 57 2" xfId="7230" xr:uid="{00000000-0005-0000-0000-0000901E0000}"/>
    <cellStyle name="Вычисление 2 57 3" xfId="11498" xr:uid="{00000000-0005-0000-0000-0000911E0000}"/>
    <cellStyle name="Вычисление 2 57 4" xfId="15734" xr:uid="{00000000-0005-0000-0000-0000921E0000}"/>
    <cellStyle name="Вычисление 2 58" xfId="2495" xr:uid="{00000000-0005-0000-0000-0000931E0000}"/>
    <cellStyle name="Вычисление 2 58 2" xfId="7231" xr:uid="{00000000-0005-0000-0000-0000941E0000}"/>
    <cellStyle name="Вычисление 2 58 3" xfId="11499" xr:uid="{00000000-0005-0000-0000-0000951E0000}"/>
    <cellStyle name="Вычисление 2 58 4" xfId="15735" xr:uid="{00000000-0005-0000-0000-0000961E0000}"/>
    <cellStyle name="Вычисление 2 59" xfId="2496" xr:uid="{00000000-0005-0000-0000-0000971E0000}"/>
    <cellStyle name="Вычисление 2 59 2" xfId="7232" xr:uid="{00000000-0005-0000-0000-0000981E0000}"/>
    <cellStyle name="Вычисление 2 59 3" xfId="11500" xr:uid="{00000000-0005-0000-0000-0000991E0000}"/>
    <cellStyle name="Вычисление 2 59 4" xfId="15736" xr:uid="{00000000-0005-0000-0000-00009A1E0000}"/>
    <cellStyle name="Вычисление 2 6" xfId="2497" xr:uid="{00000000-0005-0000-0000-00009B1E0000}"/>
    <cellStyle name="Вычисление 2 6 2" xfId="7233" xr:uid="{00000000-0005-0000-0000-00009C1E0000}"/>
    <cellStyle name="Вычисление 2 6 3" xfId="11501" xr:uid="{00000000-0005-0000-0000-00009D1E0000}"/>
    <cellStyle name="Вычисление 2 6 4" xfId="15737" xr:uid="{00000000-0005-0000-0000-00009E1E0000}"/>
    <cellStyle name="Вычисление 2 60" xfId="2498" xr:uid="{00000000-0005-0000-0000-00009F1E0000}"/>
    <cellStyle name="Вычисление 2 60 2" xfId="7234" xr:uid="{00000000-0005-0000-0000-0000A01E0000}"/>
    <cellStyle name="Вычисление 2 60 3" xfId="11502" xr:uid="{00000000-0005-0000-0000-0000A11E0000}"/>
    <cellStyle name="Вычисление 2 60 4" xfId="15738" xr:uid="{00000000-0005-0000-0000-0000A21E0000}"/>
    <cellStyle name="Вычисление 2 61" xfId="2499" xr:uid="{00000000-0005-0000-0000-0000A31E0000}"/>
    <cellStyle name="Вычисление 2 61 2" xfId="7235" xr:uid="{00000000-0005-0000-0000-0000A41E0000}"/>
    <cellStyle name="Вычисление 2 61 3" xfId="11503" xr:uid="{00000000-0005-0000-0000-0000A51E0000}"/>
    <cellStyle name="Вычисление 2 61 4" xfId="15739" xr:uid="{00000000-0005-0000-0000-0000A61E0000}"/>
    <cellStyle name="Вычисление 2 62" xfId="2500" xr:uid="{00000000-0005-0000-0000-0000A71E0000}"/>
    <cellStyle name="Вычисление 2 62 2" xfId="7236" xr:uid="{00000000-0005-0000-0000-0000A81E0000}"/>
    <cellStyle name="Вычисление 2 62 3" xfId="11504" xr:uid="{00000000-0005-0000-0000-0000A91E0000}"/>
    <cellStyle name="Вычисление 2 62 4" xfId="15740" xr:uid="{00000000-0005-0000-0000-0000AA1E0000}"/>
    <cellStyle name="Вычисление 2 63" xfId="2501" xr:uid="{00000000-0005-0000-0000-0000AB1E0000}"/>
    <cellStyle name="Вычисление 2 63 2" xfId="7237" xr:uid="{00000000-0005-0000-0000-0000AC1E0000}"/>
    <cellStyle name="Вычисление 2 63 3" xfId="11505" xr:uid="{00000000-0005-0000-0000-0000AD1E0000}"/>
    <cellStyle name="Вычисление 2 63 4" xfId="15741" xr:uid="{00000000-0005-0000-0000-0000AE1E0000}"/>
    <cellStyle name="Вычисление 2 64" xfId="2502" xr:uid="{00000000-0005-0000-0000-0000AF1E0000}"/>
    <cellStyle name="Вычисление 2 64 2" xfId="7238" xr:uid="{00000000-0005-0000-0000-0000B01E0000}"/>
    <cellStyle name="Вычисление 2 64 3" xfId="11506" xr:uid="{00000000-0005-0000-0000-0000B11E0000}"/>
    <cellStyle name="Вычисление 2 64 4" xfId="15742" xr:uid="{00000000-0005-0000-0000-0000B21E0000}"/>
    <cellStyle name="Вычисление 2 65" xfId="2503" xr:uid="{00000000-0005-0000-0000-0000B31E0000}"/>
    <cellStyle name="Вычисление 2 65 2" xfId="7239" xr:uid="{00000000-0005-0000-0000-0000B41E0000}"/>
    <cellStyle name="Вычисление 2 65 3" xfId="11507" xr:uid="{00000000-0005-0000-0000-0000B51E0000}"/>
    <cellStyle name="Вычисление 2 65 4" xfId="15743" xr:uid="{00000000-0005-0000-0000-0000B61E0000}"/>
    <cellStyle name="Вычисление 2 66" xfId="2504" xr:uid="{00000000-0005-0000-0000-0000B71E0000}"/>
    <cellStyle name="Вычисление 2 66 2" xfId="7240" xr:uid="{00000000-0005-0000-0000-0000B81E0000}"/>
    <cellStyle name="Вычисление 2 66 3" xfId="11508" xr:uid="{00000000-0005-0000-0000-0000B91E0000}"/>
    <cellStyle name="Вычисление 2 66 4" xfId="15744" xr:uid="{00000000-0005-0000-0000-0000BA1E0000}"/>
    <cellStyle name="Вычисление 2 67" xfId="2505" xr:uid="{00000000-0005-0000-0000-0000BB1E0000}"/>
    <cellStyle name="Вычисление 2 67 2" xfId="7241" xr:uid="{00000000-0005-0000-0000-0000BC1E0000}"/>
    <cellStyle name="Вычисление 2 67 3" xfId="11509" xr:uid="{00000000-0005-0000-0000-0000BD1E0000}"/>
    <cellStyle name="Вычисление 2 67 4" xfId="15745" xr:uid="{00000000-0005-0000-0000-0000BE1E0000}"/>
    <cellStyle name="Вычисление 2 68" xfId="2506" xr:uid="{00000000-0005-0000-0000-0000BF1E0000}"/>
    <cellStyle name="Вычисление 2 68 2" xfId="7242" xr:uid="{00000000-0005-0000-0000-0000C01E0000}"/>
    <cellStyle name="Вычисление 2 68 3" xfId="11510" xr:uid="{00000000-0005-0000-0000-0000C11E0000}"/>
    <cellStyle name="Вычисление 2 68 4" xfId="15746" xr:uid="{00000000-0005-0000-0000-0000C21E0000}"/>
    <cellStyle name="Вычисление 2 69" xfId="2507" xr:uid="{00000000-0005-0000-0000-0000C31E0000}"/>
    <cellStyle name="Вычисление 2 69 2" xfId="7243" xr:uid="{00000000-0005-0000-0000-0000C41E0000}"/>
    <cellStyle name="Вычисление 2 69 3" xfId="11511" xr:uid="{00000000-0005-0000-0000-0000C51E0000}"/>
    <cellStyle name="Вычисление 2 69 4" xfId="15747" xr:uid="{00000000-0005-0000-0000-0000C61E0000}"/>
    <cellStyle name="Вычисление 2 7" xfId="2508" xr:uid="{00000000-0005-0000-0000-0000C71E0000}"/>
    <cellStyle name="Вычисление 2 7 2" xfId="7244" xr:uid="{00000000-0005-0000-0000-0000C81E0000}"/>
    <cellStyle name="Вычисление 2 7 3" xfId="11512" xr:uid="{00000000-0005-0000-0000-0000C91E0000}"/>
    <cellStyle name="Вычисление 2 7 4" xfId="15748" xr:uid="{00000000-0005-0000-0000-0000CA1E0000}"/>
    <cellStyle name="Вычисление 2 70" xfId="2509" xr:uid="{00000000-0005-0000-0000-0000CB1E0000}"/>
    <cellStyle name="Вычисление 2 70 2" xfId="7245" xr:uid="{00000000-0005-0000-0000-0000CC1E0000}"/>
    <cellStyle name="Вычисление 2 70 3" xfId="11513" xr:uid="{00000000-0005-0000-0000-0000CD1E0000}"/>
    <cellStyle name="Вычисление 2 70 4" xfId="15749" xr:uid="{00000000-0005-0000-0000-0000CE1E0000}"/>
    <cellStyle name="Вычисление 2 71" xfId="2510" xr:uid="{00000000-0005-0000-0000-0000CF1E0000}"/>
    <cellStyle name="Вычисление 2 71 2" xfId="7246" xr:uid="{00000000-0005-0000-0000-0000D01E0000}"/>
    <cellStyle name="Вычисление 2 71 3" xfId="11514" xr:uid="{00000000-0005-0000-0000-0000D11E0000}"/>
    <cellStyle name="Вычисление 2 71 4" xfId="15750" xr:uid="{00000000-0005-0000-0000-0000D21E0000}"/>
    <cellStyle name="Вычисление 2 72" xfId="2511" xr:uid="{00000000-0005-0000-0000-0000D31E0000}"/>
    <cellStyle name="Вычисление 2 72 2" xfId="7247" xr:uid="{00000000-0005-0000-0000-0000D41E0000}"/>
    <cellStyle name="Вычисление 2 72 3" xfId="11515" xr:uid="{00000000-0005-0000-0000-0000D51E0000}"/>
    <cellStyle name="Вычисление 2 72 4" xfId="15751" xr:uid="{00000000-0005-0000-0000-0000D61E0000}"/>
    <cellStyle name="Вычисление 2 73" xfId="2512" xr:uid="{00000000-0005-0000-0000-0000D71E0000}"/>
    <cellStyle name="Вычисление 2 73 2" xfId="7248" xr:uid="{00000000-0005-0000-0000-0000D81E0000}"/>
    <cellStyle name="Вычисление 2 73 3" xfId="11516" xr:uid="{00000000-0005-0000-0000-0000D91E0000}"/>
    <cellStyle name="Вычисление 2 73 4" xfId="15752" xr:uid="{00000000-0005-0000-0000-0000DA1E0000}"/>
    <cellStyle name="Вычисление 2 74" xfId="2513" xr:uid="{00000000-0005-0000-0000-0000DB1E0000}"/>
    <cellStyle name="Вычисление 2 74 2" xfId="7249" xr:uid="{00000000-0005-0000-0000-0000DC1E0000}"/>
    <cellStyle name="Вычисление 2 74 3" xfId="11517" xr:uid="{00000000-0005-0000-0000-0000DD1E0000}"/>
    <cellStyle name="Вычисление 2 74 4" xfId="15753" xr:uid="{00000000-0005-0000-0000-0000DE1E0000}"/>
    <cellStyle name="Вычисление 2 75" xfId="2514" xr:uid="{00000000-0005-0000-0000-0000DF1E0000}"/>
    <cellStyle name="Вычисление 2 75 2" xfId="7250" xr:uid="{00000000-0005-0000-0000-0000E01E0000}"/>
    <cellStyle name="Вычисление 2 75 3" xfId="11518" xr:uid="{00000000-0005-0000-0000-0000E11E0000}"/>
    <cellStyle name="Вычисление 2 75 4" xfId="15754" xr:uid="{00000000-0005-0000-0000-0000E21E0000}"/>
    <cellStyle name="Вычисление 2 76" xfId="2515" xr:uid="{00000000-0005-0000-0000-0000E31E0000}"/>
    <cellStyle name="Вычисление 2 76 2" xfId="7251" xr:uid="{00000000-0005-0000-0000-0000E41E0000}"/>
    <cellStyle name="Вычисление 2 76 3" xfId="11519" xr:uid="{00000000-0005-0000-0000-0000E51E0000}"/>
    <cellStyle name="Вычисление 2 76 4" xfId="15755" xr:uid="{00000000-0005-0000-0000-0000E61E0000}"/>
    <cellStyle name="Вычисление 2 77" xfId="2516" xr:uid="{00000000-0005-0000-0000-0000E71E0000}"/>
    <cellStyle name="Вычисление 2 77 2" xfId="7252" xr:uid="{00000000-0005-0000-0000-0000E81E0000}"/>
    <cellStyle name="Вычисление 2 77 3" xfId="11520" xr:uid="{00000000-0005-0000-0000-0000E91E0000}"/>
    <cellStyle name="Вычисление 2 77 4" xfId="15756" xr:uid="{00000000-0005-0000-0000-0000EA1E0000}"/>
    <cellStyle name="Вычисление 2 78" xfId="2517" xr:uid="{00000000-0005-0000-0000-0000EB1E0000}"/>
    <cellStyle name="Вычисление 2 78 2" xfId="7253" xr:uid="{00000000-0005-0000-0000-0000EC1E0000}"/>
    <cellStyle name="Вычисление 2 78 3" xfId="11521" xr:uid="{00000000-0005-0000-0000-0000ED1E0000}"/>
    <cellStyle name="Вычисление 2 78 4" xfId="15757" xr:uid="{00000000-0005-0000-0000-0000EE1E0000}"/>
    <cellStyle name="Вычисление 2 79" xfId="2518" xr:uid="{00000000-0005-0000-0000-0000EF1E0000}"/>
    <cellStyle name="Вычисление 2 79 2" xfId="7254" xr:uid="{00000000-0005-0000-0000-0000F01E0000}"/>
    <cellStyle name="Вычисление 2 79 3" xfId="11522" xr:uid="{00000000-0005-0000-0000-0000F11E0000}"/>
    <cellStyle name="Вычисление 2 79 4" xfId="15758" xr:uid="{00000000-0005-0000-0000-0000F21E0000}"/>
    <cellStyle name="Вычисление 2 8" xfId="2519" xr:uid="{00000000-0005-0000-0000-0000F31E0000}"/>
    <cellStyle name="Вычисление 2 8 2" xfId="7255" xr:uid="{00000000-0005-0000-0000-0000F41E0000}"/>
    <cellStyle name="Вычисление 2 8 3" xfId="11523" xr:uid="{00000000-0005-0000-0000-0000F51E0000}"/>
    <cellStyle name="Вычисление 2 8 4" xfId="15759" xr:uid="{00000000-0005-0000-0000-0000F61E0000}"/>
    <cellStyle name="Вычисление 2 80" xfId="2520" xr:uid="{00000000-0005-0000-0000-0000F71E0000}"/>
    <cellStyle name="Вычисление 2 80 2" xfId="7256" xr:uid="{00000000-0005-0000-0000-0000F81E0000}"/>
    <cellStyle name="Вычисление 2 80 3" xfId="11524" xr:uid="{00000000-0005-0000-0000-0000F91E0000}"/>
    <cellStyle name="Вычисление 2 80 4" xfId="15760" xr:uid="{00000000-0005-0000-0000-0000FA1E0000}"/>
    <cellStyle name="Вычисление 2 81" xfId="2521" xr:uid="{00000000-0005-0000-0000-0000FB1E0000}"/>
    <cellStyle name="Вычисление 2 81 2" xfId="7257" xr:uid="{00000000-0005-0000-0000-0000FC1E0000}"/>
    <cellStyle name="Вычисление 2 81 3" xfId="11525" xr:uid="{00000000-0005-0000-0000-0000FD1E0000}"/>
    <cellStyle name="Вычисление 2 81 4" xfId="15761" xr:uid="{00000000-0005-0000-0000-0000FE1E0000}"/>
    <cellStyle name="Вычисление 2 82" xfId="2522" xr:uid="{00000000-0005-0000-0000-0000FF1E0000}"/>
    <cellStyle name="Вычисление 2 82 2" xfId="7258" xr:uid="{00000000-0005-0000-0000-0000001F0000}"/>
    <cellStyle name="Вычисление 2 82 3" xfId="11526" xr:uid="{00000000-0005-0000-0000-0000011F0000}"/>
    <cellStyle name="Вычисление 2 82 4" xfId="15762" xr:uid="{00000000-0005-0000-0000-0000021F0000}"/>
    <cellStyle name="Вычисление 2 83" xfId="2523" xr:uid="{00000000-0005-0000-0000-0000031F0000}"/>
    <cellStyle name="Вычисление 2 83 2" xfId="7259" xr:uid="{00000000-0005-0000-0000-0000041F0000}"/>
    <cellStyle name="Вычисление 2 83 3" xfId="11527" xr:uid="{00000000-0005-0000-0000-0000051F0000}"/>
    <cellStyle name="Вычисление 2 83 4" xfId="15763" xr:uid="{00000000-0005-0000-0000-0000061F0000}"/>
    <cellStyle name="Вычисление 2 84" xfId="2524" xr:uid="{00000000-0005-0000-0000-0000071F0000}"/>
    <cellStyle name="Вычисление 2 84 2" xfId="7260" xr:uid="{00000000-0005-0000-0000-0000081F0000}"/>
    <cellStyle name="Вычисление 2 84 3" xfId="11528" xr:uid="{00000000-0005-0000-0000-0000091F0000}"/>
    <cellStyle name="Вычисление 2 84 4" xfId="15764" xr:uid="{00000000-0005-0000-0000-00000A1F0000}"/>
    <cellStyle name="Вычисление 2 85" xfId="2525" xr:uid="{00000000-0005-0000-0000-00000B1F0000}"/>
    <cellStyle name="Вычисление 2 85 2" xfId="7261" xr:uid="{00000000-0005-0000-0000-00000C1F0000}"/>
    <cellStyle name="Вычисление 2 85 3" xfId="11529" xr:uid="{00000000-0005-0000-0000-00000D1F0000}"/>
    <cellStyle name="Вычисление 2 85 4" xfId="15765" xr:uid="{00000000-0005-0000-0000-00000E1F0000}"/>
    <cellStyle name="Вычисление 2 86" xfId="2526" xr:uid="{00000000-0005-0000-0000-00000F1F0000}"/>
    <cellStyle name="Вычисление 2 86 2" xfId="7262" xr:uid="{00000000-0005-0000-0000-0000101F0000}"/>
    <cellStyle name="Вычисление 2 86 3" xfId="11530" xr:uid="{00000000-0005-0000-0000-0000111F0000}"/>
    <cellStyle name="Вычисление 2 86 4" xfId="15766" xr:uid="{00000000-0005-0000-0000-0000121F0000}"/>
    <cellStyle name="Вычисление 2 87" xfId="2527" xr:uid="{00000000-0005-0000-0000-0000131F0000}"/>
    <cellStyle name="Вычисление 2 87 2" xfId="7263" xr:uid="{00000000-0005-0000-0000-0000141F0000}"/>
    <cellStyle name="Вычисление 2 87 3" xfId="11531" xr:uid="{00000000-0005-0000-0000-0000151F0000}"/>
    <cellStyle name="Вычисление 2 87 4" xfId="15767" xr:uid="{00000000-0005-0000-0000-0000161F0000}"/>
    <cellStyle name="Вычисление 2 88" xfId="2528" xr:uid="{00000000-0005-0000-0000-0000171F0000}"/>
    <cellStyle name="Вычисление 2 88 2" xfId="7264" xr:uid="{00000000-0005-0000-0000-0000181F0000}"/>
    <cellStyle name="Вычисление 2 88 3" xfId="11532" xr:uid="{00000000-0005-0000-0000-0000191F0000}"/>
    <cellStyle name="Вычисление 2 88 4" xfId="15768" xr:uid="{00000000-0005-0000-0000-00001A1F0000}"/>
    <cellStyle name="Вычисление 2 89" xfId="2529" xr:uid="{00000000-0005-0000-0000-00001B1F0000}"/>
    <cellStyle name="Вычисление 2 89 2" xfId="7265" xr:uid="{00000000-0005-0000-0000-00001C1F0000}"/>
    <cellStyle name="Вычисление 2 89 3" xfId="11533" xr:uid="{00000000-0005-0000-0000-00001D1F0000}"/>
    <cellStyle name="Вычисление 2 89 4" xfId="15769" xr:uid="{00000000-0005-0000-0000-00001E1F0000}"/>
    <cellStyle name="Вычисление 2 9" xfId="2530" xr:uid="{00000000-0005-0000-0000-00001F1F0000}"/>
    <cellStyle name="Вычисление 2 9 2" xfId="7266" xr:uid="{00000000-0005-0000-0000-0000201F0000}"/>
    <cellStyle name="Вычисление 2 9 3" xfId="11534" xr:uid="{00000000-0005-0000-0000-0000211F0000}"/>
    <cellStyle name="Вычисление 2 9 4" xfId="15770" xr:uid="{00000000-0005-0000-0000-0000221F0000}"/>
    <cellStyle name="Вычисление 2 90" xfId="2531" xr:uid="{00000000-0005-0000-0000-0000231F0000}"/>
    <cellStyle name="Вычисление 2 90 2" xfId="7267" xr:uid="{00000000-0005-0000-0000-0000241F0000}"/>
    <cellStyle name="Вычисление 2 90 3" xfId="11535" xr:uid="{00000000-0005-0000-0000-0000251F0000}"/>
    <cellStyle name="Вычисление 2 90 4" xfId="15771" xr:uid="{00000000-0005-0000-0000-0000261F0000}"/>
    <cellStyle name="Вычисление 2 91" xfId="2532" xr:uid="{00000000-0005-0000-0000-0000271F0000}"/>
    <cellStyle name="Вычисление 2 91 2" xfId="7268" xr:uid="{00000000-0005-0000-0000-0000281F0000}"/>
    <cellStyle name="Вычисление 2 91 3" xfId="11536" xr:uid="{00000000-0005-0000-0000-0000291F0000}"/>
    <cellStyle name="Вычисление 2 91 4" xfId="15772" xr:uid="{00000000-0005-0000-0000-00002A1F0000}"/>
    <cellStyle name="Вычисление 2 92" xfId="5196" xr:uid="{00000000-0005-0000-0000-00002B1F0000}"/>
    <cellStyle name="Вычисление 2 93" xfId="5249" xr:uid="{00000000-0005-0000-0000-00002C1F0000}"/>
    <cellStyle name="Вычисление 2 94" xfId="8816" xr:uid="{00000000-0005-0000-0000-00002D1F0000}"/>
    <cellStyle name="Вычисление 3" xfId="243" xr:uid="{00000000-0005-0000-0000-00002E1F0000}"/>
    <cellStyle name="Вычисление 3 10" xfId="2533" xr:uid="{00000000-0005-0000-0000-00002F1F0000}"/>
    <cellStyle name="Вычисление 3 10 2" xfId="7269" xr:uid="{00000000-0005-0000-0000-0000301F0000}"/>
    <cellStyle name="Вычисление 3 10 3" xfId="11537" xr:uid="{00000000-0005-0000-0000-0000311F0000}"/>
    <cellStyle name="Вычисление 3 10 4" xfId="15773" xr:uid="{00000000-0005-0000-0000-0000321F0000}"/>
    <cellStyle name="Вычисление 3 11" xfId="2534" xr:uid="{00000000-0005-0000-0000-0000331F0000}"/>
    <cellStyle name="Вычисление 3 11 2" xfId="7270" xr:uid="{00000000-0005-0000-0000-0000341F0000}"/>
    <cellStyle name="Вычисление 3 11 3" xfId="11538" xr:uid="{00000000-0005-0000-0000-0000351F0000}"/>
    <cellStyle name="Вычисление 3 11 4" xfId="15774" xr:uid="{00000000-0005-0000-0000-0000361F0000}"/>
    <cellStyle name="Вычисление 3 12" xfId="2535" xr:uid="{00000000-0005-0000-0000-0000371F0000}"/>
    <cellStyle name="Вычисление 3 12 2" xfId="7271" xr:uid="{00000000-0005-0000-0000-0000381F0000}"/>
    <cellStyle name="Вычисление 3 12 3" xfId="11539" xr:uid="{00000000-0005-0000-0000-0000391F0000}"/>
    <cellStyle name="Вычисление 3 12 4" xfId="15775" xr:uid="{00000000-0005-0000-0000-00003A1F0000}"/>
    <cellStyle name="Вычисление 3 13" xfId="2536" xr:uid="{00000000-0005-0000-0000-00003B1F0000}"/>
    <cellStyle name="Вычисление 3 13 2" xfId="7272" xr:uid="{00000000-0005-0000-0000-00003C1F0000}"/>
    <cellStyle name="Вычисление 3 13 3" xfId="11540" xr:uid="{00000000-0005-0000-0000-00003D1F0000}"/>
    <cellStyle name="Вычисление 3 13 4" xfId="15776" xr:uid="{00000000-0005-0000-0000-00003E1F0000}"/>
    <cellStyle name="Вычисление 3 14" xfId="2537" xr:uid="{00000000-0005-0000-0000-00003F1F0000}"/>
    <cellStyle name="Вычисление 3 14 2" xfId="7273" xr:uid="{00000000-0005-0000-0000-0000401F0000}"/>
    <cellStyle name="Вычисление 3 14 3" xfId="11541" xr:uid="{00000000-0005-0000-0000-0000411F0000}"/>
    <cellStyle name="Вычисление 3 14 4" xfId="15777" xr:uid="{00000000-0005-0000-0000-0000421F0000}"/>
    <cellStyle name="Вычисление 3 15" xfId="2538" xr:uid="{00000000-0005-0000-0000-0000431F0000}"/>
    <cellStyle name="Вычисление 3 15 2" xfId="7274" xr:uid="{00000000-0005-0000-0000-0000441F0000}"/>
    <cellStyle name="Вычисление 3 15 3" xfId="11542" xr:uid="{00000000-0005-0000-0000-0000451F0000}"/>
    <cellStyle name="Вычисление 3 15 4" xfId="15778" xr:uid="{00000000-0005-0000-0000-0000461F0000}"/>
    <cellStyle name="Вычисление 3 16" xfId="2539" xr:uid="{00000000-0005-0000-0000-0000471F0000}"/>
    <cellStyle name="Вычисление 3 16 2" xfId="7275" xr:uid="{00000000-0005-0000-0000-0000481F0000}"/>
    <cellStyle name="Вычисление 3 16 3" xfId="11543" xr:uid="{00000000-0005-0000-0000-0000491F0000}"/>
    <cellStyle name="Вычисление 3 16 4" xfId="15779" xr:uid="{00000000-0005-0000-0000-00004A1F0000}"/>
    <cellStyle name="Вычисление 3 17" xfId="2540" xr:uid="{00000000-0005-0000-0000-00004B1F0000}"/>
    <cellStyle name="Вычисление 3 17 2" xfId="7276" xr:uid="{00000000-0005-0000-0000-00004C1F0000}"/>
    <cellStyle name="Вычисление 3 17 3" xfId="11544" xr:uid="{00000000-0005-0000-0000-00004D1F0000}"/>
    <cellStyle name="Вычисление 3 17 4" xfId="15780" xr:uid="{00000000-0005-0000-0000-00004E1F0000}"/>
    <cellStyle name="Вычисление 3 18" xfId="2541" xr:uid="{00000000-0005-0000-0000-00004F1F0000}"/>
    <cellStyle name="Вычисление 3 18 2" xfId="7277" xr:uid="{00000000-0005-0000-0000-0000501F0000}"/>
    <cellStyle name="Вычисление 3 18 3" xfId="11545" xr:uid="{00000000-0005-0000-0000-0000511F0000}"/>
    <cellStyle name="Вычисление 3 18 4" xfId="15781" xr:uid="{00000000-0005-0000-0000-0000521F0000}"/>
    <cellStyle name="Вычисление 3 19" xfId="2542" xr:uid="{00000000-0005-0000-0000-0000531F0000}"/>
    <cellStyle name="Вычисление 3 19 2" xfId="7278" xr:uid="{00000000-0005-0000-0000-0000541F0000}"/>
    <cellStyle name="Вычисление 3 19 3" xfId="11546" xr:uid="{00000000-0005-0000-0000-0000551F0000}"/>
    <cellStyle name="Вычисление 3 19 4" xfId="15782" xr:uid="{00000000-0005-0000-0000-0000561F0000}"/>
    <cellStyle name="Вычисление 3 2" xfId="2543" xr:uid="{00000000-0005-0000-0000-0000571F0000}"/>
    <cellStyle name="Вычисление 3 2 2" xfId="2544" xr:uid="{00000000-0005-0000-0000-0000581F0000}"/>
    <cellStyle name="Вычисление 3 2 2 2" xfId="7280" xr:uid="{00000000-0005-0000-0000-0000591F0000}"/>
    <cellStyle name="Вычисление 3 2 2 3" xfId="11548" xr:uid="{00000000-0005-0000-0000-00005A1F0000}"/>
    <cellStyle name="Вычисление 3 2 2 4" xfId="15784" xr:uid="{00000000-0005-0000-0000-00005B1F0000}"/>
    <cellStyle name="Вычисление 3 2 3" xfId="2545" xr:uid="{00000000-0005-0000-0000-00005C1F0000}"/>
    <cellStyle name="Вычисление 3 2 3 2" xfId="7281" xr:uid="{00000000-0005-0000-0000-00005D1F0000}"/>
    <cellStyle name="Вычисление 3 2 3 3" xfId="11549" xr:uid="{00000000-0005-0000-0000-00005E1F0000}"/>
    <cellStyle name="Вычисление 3 2 3 4" xfId="15785" xr:uid="{00000000-0005-0000-0000-00005F1F0000}"/>
    <cellStyle name="Вычисление 3 2 4" xfId="7279" xr:uid="{00000000-0005-0000-0000-0000601F0000}"/>
    <cellStyle name="Вычисление 3 2 5" xfId="11547" xr:uid="{00000000-0005-0000-0000-0000611F0000}"/>
    <cellStyle name="Вычисление 3 2 6" xfId="15783" xr:uid="{00000000-0005-0000-0000-0000621F0000}"/>
    <cellStyle name="Вычисление 3 20" xfId="2546" xr:uid="{00000000-0005-0000-0000-0000631F0000}"/>
    <cellStyle name="Вычисление 3 20 2" xfId="7282" xr:uid="{00000000-0005-0000-0000-0000641F0000}"/>
    <cellStyle name="Вычисление 3 20 3" xfId="11550" xr:uid="{00000000-0005-0000-0000-0000651F0000}"/>
    <cellStyle name="Вычисление 3 20 4" xfId="15786" xr:uid="{00000000-0005-0000-0000-0000661F0000}"/>
    <cellStyle name="Вычисление 3 21" xfId="2547" xr:uid="{00000000-0005-0000-0000-0000671F0000}"/>
    <cellStyle name="Вычисление 3 21 2" xfId="7283" xr:uid="{00000000-0005-0000-0000-0000681F0000}"/>
    <cellStyle name="Вычисление 3 21 3" xfId="11551" xr:uid="{00000000-0005-0000-0000-0000691F0000}"/>
    <cellStyle name="Вычисление 3 21 4" xfId="15787" xr:uid="{00000000-0005-0000-0000-00006A1F0000}"/>
    <cellStyle name="Вычисление 3 22" xfId="2548" xr:uid="{00000000-0005-0000-0000-00006B1F0000}"/>
    <cellStyle name="Вычисление 3 22 2" xfId="7284" xr:uid="{00000000-0005-0000-0000-00006C1F0000}"/>
    <cellStyle name="Вычисление 3 22 3" xfId="11552" xr:uid="{00000000-0005-0000-0000-00006D1F0000}"/>
    <cellStyle name="Вычисление 3 22 4" xfId="15788" xr:uid="{00000000-0005-0000-0000-00006E1F0000}"/>
    <cellStyle name="Вычисление 3 23" xfId="2549" xr:uid="{00000000-0005-0000-0000-00006F1F0000}"/>
    <cellStyle name="Вычисление 3 23 2" xfId="7285" xr:uid="{00000000-0005-0000-0000-0000701F0000}"/>
    <cellStyle name="Вычисление 3 23 3" xfId="11553" xr:uid="{00000000-0005-0000-0000-0000711F0000}"/>
    <cellStyle name="Вычисление 3 23 4" xfId="15789" xr:uid="{00000000-0005-0000-0000-0000721F0000}"/>
    <cellStyle name="Вычисление 3 24" xfId="2550" xr:uid="{00000000-0005-0000-0000-0000731F0000}"/>
    <cellStyle name="Вычисление 3 24 2" xfId="7286" xr:uid="{00000000-0005-0000-0000-0000741F0000}"/>
    <cellStyle name="Вычисление 3 24 3" xfId="11554" xr:uid="{00000000-0005-0000-0000-0000751F0000}"/>
    <cellStyle name="Вычисление 3 24 4" xfId="15790" xr:uid="{00000000-0005-0000-0000-0000761F0000}"/>
    <cellStyle name="Вычисление 3 25" xfId="2551" xr:uid="{00000000-0005-0000-0000-0000771F0000}"/>
    <cellStyle name="Вычисление 3 25 2" xfId="7287" xr:uid="{00000000-0005-0000-0000-0000781F0000}"/>
    <cellStyle name="Вычисление 3 25 3" xfId="11555" xr:uid="{00000000-0005-0000-0000-0000791F0000}"/>
    <cellStyle name="Вычисление 3 25 4" xfId="15791" xr:uid="{00000000-0005-0000-0000-00007A1F0000}"/>
    <cellStyle name="Вычисление 3 26" xfId="2552" xr:uid="{00000000-0005-0000-0000-00007B1F0000}"/>
    <cellStyle name="Вычисление 3 26 2" xfId="7288" xr:uid="{00000000-0005-0000-0000-00007C1F0000}"/>
    <cellStyle name="Вычисление 3 26 3" xfId="11556" xr:uid="{00000000-0005-0000-0000-00007D1F0000}"/>
    <cellStyle name="Вычисление 3 26 4" xfId="15792" xr:uid="{00000000-0005-0000-0000-00007E1F0000}"/>
    <cellStyle name="Вычисление 3 27" xfId="2553" xr:uid="{00000000-0005-0000-0000-00007F1F0000}"/>
    <cellStyle name="Вычисление 3 27 2" xfId="7289" xr:uid="{00000000-0005-0000-0000-0000801F0000}"/>
    <cellStyle name="Вычисление 3 27 3" xfId="11557" xr:uid="{00000000-0005-0000-0000-0000811F0000}"/>
    <cellStyle name="Вычисление 3 27 4" xfId="15793" xr:uid="{00000000-0005-0000-0000-0000821F0000}"/>
    <cellStyle name="Вычисление 3 28" xfId="2554" xr:uid="{00000000-0005-0000-0000-0000831F0000}"/>
    <cellStyle name="Вычисление 3 28 2" xfId="7290" xr:uid="{00000000-0005-0000-0000-0000841F0000}"/>
    <cellStyle name="Вычисление 3 28 3" xfId="11558" xr:uid="{00000000-0005-0000-0000-0000851F0000}"/>
    <cellStyle name="Вычисление 3 28 4" xfId="15794" xr:uid="{00000000-0005-0000-0000-0000861F0000}"/>
    <cellStyle name="Вычисление 3 29" xfId="2555" xr:uid="{00000000-0005-0000-0000-0000871F0000}"/>
    <cellStyle name="Вычисление 3 29 2" xfId="7291" xr:uid="{00000000-0005-0000-0000-0000881F0000}"/>
    <cellStyle name="Вычисление 3 29 3" xfId="11559" xr:uid="{00000000-0005-0000-0000-0000891F0000}"/>
    <cellStyle name="Вычисление 3 29 4" xfId="15795" xr:uid="{00000000-0005-0000-0000-00008A1F0000}"/>
    <cellStyle name="Вычисление 3 3" xfId="2556" xr:uid="{00000000-0005-0000-0000-00008B1F0000}"/>
    <cellStyle name="Вычисление 3 3 2" xfId="2557" xr:uid="{00000000-0005-0000-0000-00008C1F0000}"/>
    <cellStyle name="Вычисление 3 3 2 2" xfId="7293" xr:uid="{00000000-0005-0000-0000-00008D1F0000}"/>
    <cellStyle name="Вычисление 3 3 2 3" xfId="11561" xr:uid="{00000000-0005-0000-0000-00008E1F0000}"/>
    <cellStyle name="Вычисление 3 3 2 4" xfId="15797" xr:uid="{00000000-0005-0000-0000-00008F1F0000}"/>
    <cellStyle name="Вычисление 3 3 3" xfId="2558" xr:uid="{00000000-0005-0000-0000-0000901F0000}"/>
    <cellStyle name="Вычисление 3 3 3 2" xfId="7294" xr:uid="{00000000-0005-0000-0000-0000911F0000}"/>
    <cellStyle name="Вычисление 3 3 3 3" xfId="11562" xr:uid="{00000000-0005-0000-0000-0000921F0000}"/>
    <cellStyle name="Вычисление 3 3 3 4" xfId="15798" xr:uid="{00000000-0005-0000-0000-0000931F0000}"/>
    <cellStyle name="Вычисление 3 3 4" xfId="7292" xr:uid="{00000000-0005-0000-0000-0000941F0000}"/>
    <cellStyle name="Вычисление 3 3 5" xfId="11560" xr:uid="{00000000-0005-0000-0000-0000951F0000}"/>
    <cellStyle name="Вычисление 3 3 6" xfId="15796" xr:uid="{00000000-0005-0000-0000-0000961F0000}"/>
    <cellStyle name="Вычисление 3 30" xfId="2559" xr:uid="{00000000-0005-0000-0000-0000971F0000}"/>
    <cellStyle name="Вычисление 3 30 2" xfId="7295" xr:uid="{00000000-0005-0000-0000-0000981F0000}"/>
    <cellStyle name="Вычисление 3 30 3" xfId="11563" xr:uid="{00000000-0005-0000-0000-0000991F0000}"/>
    <cellStyle name="Вычисление 3 30 4" xfId="15799" xr:uid="{00000000-0005-0000-0000-00009A1F0000}"/>
    <cellStyle name="Вычисление 3 31" xfId="2560" xr:uid="{00000000-0005-0000-0000-00009B1F0000}"/>
    <cellStyle name="Вычисление 3 31 2" xfId="7296" xr:uid="{00000000-0005-0000-0000-00009C1F0000}"/>
    <cellStyle name="Вычисление 3 31 3" xfId="11564" xr:uid="{00000000-0005-0000-0000-00009D1F0000}"/>
    <cellStyle name="Вычисление 3 31 4" xfId="15800" xr:uid="{00000000-0005-0000-0000-00009E1F0000}"/>
    <cellStyle name="Вычисление 3 32" xfId="2561" xr:uid="{00000000-0005-0000-0000-00009F1F0000}"/>
    <cellStyle name="Вычисление 3 32 2" xfId="7297" xr:uid="{00000000-0005-0000-0000-0000A01F0000}"/>
    <cellStyle name="Вычисление 3 32 3" xfId="11565" xr:uid="{00000000-0005-0000-0000-0000A11F0000}"/>
    <cellStyle name="Вычисление 3 32 4" xfId="15801" xr:uid="{00000000-0005-0000-0000-0000A21F0000}"/>
    <cellStyle name="Вычисление 3 33" xfId="2562" xr:uid="{00000000-0005-0000-0000-0000A31F0000}"/>
    <cellStyle name="Вычисление 3 33 2" xfId="7298" xr:uid="{00000000-0005-0000-0000-0000A41F0000}"/>
    <cellStyle name="Вычисление 3 33 3" xfId="11566" xr:uid="{00000000-0005-0000-0000-0000A51F0000}"/>
    <cellStyle name="Вычисление 3 33 4" xfId="15802" xr:uid="{00000000-0005-0000-0000-0000A61F0000}"/>
    <cellStyle name="Вычисление 3 34" xfId="2563" xr:uid="{00000000-0005-0000-0000-0000A71F0000}"/>
    <cellStyle name="Вычисление 3 34 2" xfId="7299" xr:uid="{00000000-0005-0000-0000-0000A81F0000}"/>
    <cellStyle name="Вычисление 3 34 3" xfId="11567" xr:uid="{00000000-0005-0000-0000-0000A91F0000}"/>
    <cellStyle name="Вычисление 3 34 4" xfId="15803" xr:uid="{00000000-0005-0000-0000-0000AA1F0000}"/>
    <cellStyle name="Вычисление 3 35" xfId="2564" xr:uid="{00000000-0005-0000-0000-0000AB1F0000}"/>
    <cellStyle name="Вычисление 3 35 2" xfId="7300" xr:uid="{00000000-0005-0000-0000-0000AC1F0000}"/>
    <cellStyle name="Вычисление 3 35 3" xfId="11568" xr:uid="{00000000-0005-0000-0000-0000AD1F0000}"/>
    <cellStyle name="Вычисление 3 35 4" xfId="15804" xr:uid="{00000000-0005-0000-0000-0000AE1F0000}"/>
    <cellStyle name="Вычисление 3 36" xfId="2565" xr:uid="{00000000-0005-0000-0000-0000AF1F0000}"/>
    <cellStyle name="Вычисление 3 36 2" xfId="7301" xr:uid="{00000000-0005-0000-0000-0000B01F0000}"/>
    <cellStyle name="Вычисление 3 36 3" xfId="11569" xr:uid="{00000000-0005-0000-0000-0000B11F0000}"/>
    <cellStyle name="Вычисление 3 36 4" xfId="15805" xr:uid="{00000000-0005-0000-0000-0000B21F0000}"/>
    <cellStyle name="Вычисление 3 37" xfId="2566" xr:uid="{00000000-0005-0000-0000-0000B31F0000}"/>
    <cellStyle name="Вычисление 3 37 2" xfId="7302" xr:uid="{00000000-0005-0000-0000-0000B41F0000}"/>
    <cellStyle name="Вычисление 3 37 3" xfId="11570" xr:uid="{00000000-0005-0000-0000-0000B51F0000}"/>
    <cellStyle name="Вычисление 3 37 4" xfId="15806" xr:uid="{00000000-0005-0000-0000-0000B61F0000}"/>
    <cellStyle name="Вычисление 3 38" xfId="2567" xr:uid="{00000000-0005-0000-0000-0000B71F0000}"/>
    <cellStyle name="Вычисление 3 38 2" xfId="7303" xr:uid="{00000000-0005-0000-0000-0000B81F0000}"/>
    <cellStyle name="Вычисление 3 38 3" xfId="11571" xr:uid="{00000000-0005-0000-0000-0000B91F0000}"/>
    <cellStyle name="Вычисление 3 38 4" xfId="15807" xr:uid="{00000000-0005-0000-0000-0000BA1F0000}"/>
    <cellStyle name="Вычисление 3 39" xfId="2568" xr:uid="{00000000-0005-0000-0000-0000BB1F0000}"/>
    <cellStyle name="Вычисление 3 39 2" xfId="7304" xr:uid="{00000000-0005-0000-0000-0000BC1F0000}"/>
    <cellStyle name="Вычисление 3 39 3" xfId="11572" xr:uid="{00000000-0005-0000-0000-0000BD1F0000}"/>
    <cellStyle name="Вычисление 3 39 4" xfId="15808" xr:uid="{00000000-0005-0000-0000-0000BE1F0000}"/>
    <cellStyle name="Вычисление 3 4" xfId="2569" xr:uid="{00000000-0005-0000-0000-0000BF1F0000}"/>
    <cellStyle name="Вычисление 3 4 2" xfId="2570" xr:uid="{00000000-0005-0000-0000-0000C01F0000}"/>
    <cellStyle name="Вычисление 3 4 2 2" xfId="7306" xr:uid="{00000000-0005-0000-0000-0000C11F0000}"/>
    <cellStyle name="Вычисление 3 4 2 3" xfId="11574" xr:uid="{00000000-0005-0000-0000-0000C21F0000}"/>
    <cellStyle name="Вычисление 3 4 2 4" xfId="15810" xr:uid="{00000000-0005-0000-0000-0000C31F0000}"/>
    <cellStyle name="Вычисление 3 4 3" xfId="2571" xr:uid="{00000000-0005-0000-0000-0000C41F0000}"/>
    <cellStyle name="Вычисление 3 4 3 2" xfId="7307" xr:uid="{00000000-0005-0000-0000-0000C51F0000}"/>
    <cellStyle name="Вычисление 3 4 3 3" xfId="11575" xr:uid="{00000000-0005-0000-0000-0000C61F0000}"/>
    <cellStyle name="Вычисление 3 4 3 4" xfId="15811" xr:uid="{00000000-0005-0000-0000-0000C71F0000}"/>
    <cellStyle name="Вычисление 3 4 4" xfId="7305" xr:uid="{00000000-0005-0000-0000-0000C81F0000}"/>
    <cellStyle name="Вычисление 3 4 5" xfId="11573" xr:uid="{00000000-0005-0000-0000-0000C91F0000}"/>
    <cellStyle name="Вычисление 3 4 6" xfId="15809" xr:uid="{00000000-0005-0000-0000-0000CA1F0000}"/>
    <cellStyle name="Вычисление 3 40" xfId="2572" xr:uid="{00000000-0005-0000-0000-0000CB1F0000}"/>
    <cellStyle name="Вычисление 3 40 2" xfId="7308" xr:uid="{00000000-0005-0000-0000-0000CC1F0000}"/>
    <cellStyle name="Вычисление 3 40 3" xfId="11576" xr:uid="{00000000-0005-0000-0000-0000CD1F0000}"/>
    <cellStyle name="Вычисление 3 40 4" xfId="15812" xr:uid="{00000000-0005-0000-0000-0000CE1F0000}"/>
    <cellStyle name="Вычисление 3 41" xfId="2573" xr:uid="{00000000-0005-0000-0000-0000CF1F0000}"/>
    <cellStyle name="Вычисление 3 41 2" xfId="7309" xr:uid="{00000000-0005-0000-0000-0000D01F0000}"/>
    <cellStyle name="Вычисление 3 41 3" xfId="11577" xr:uid="{00000000-0005-0000-0000-0000D11F0000}"/>
    <cellStyle name="Вычисление 3 41 4" xfId="15813" xr:uid="{00000000-0005-0000-0000-0000D21F0000}"/>
    <cellStyle name="Вычисление 3 42" xfId="2574" xr:uid="{00000000-0005-0000-0000-0000D31F0000}"/>
    <cellStyle name="Вычисление 3 42 2" xfId="7310" xr:uid="{00000000-0005-0000-0000-0000D41F0000}"/>
    <cellStyle name="Вычисление 3 42 3" xfId="11578" xr:uid="{00000000-0005-0000-0000-0000D51F0000}"/>
    <cellStyle name="Вычисление 3 42 4" xfId="15814" xr:uid="{00000000-0005-0000-0000-0000D61F0000}"/>
    <cellStyle name="Вычисление 3 43" xfId="2575" xr:uid="{00000000-0005-0000-0000-0000D71F0000}"/>
    <cellStyle name="Вычисление 3 43 2" xfId="7311" xr:uid="{00000000-0005-0000-0000-0000D81F0000}"/>
    <cellStyle name="Вычисление 3 43 3" xfId="11579" xr:uid="{00000000-0005-0000-0000-0000D91F0000}"/>
    <cellStyle name="Вычисление 3 43 4" xfId="15815" xr:uid="{00000000-0005-0000-0000-0000DA1F0000}"/>
    <cellStyle name="Вычисление 3 44" xfId="2576" xr:uid="{00000000-0005-0000-0000-0000DB1F0000}"/>
    <cellStyle name="Вычисление 3 44 2" xfId="7312" xr:uid="{00000000-0005-0000-0000-0000DC1F0000}"/>
    <cellStyle name="Вычисление 3 44 3" xfId="11580" xr:uid="{00000000-0005-0000-0000-0000DD1F0000}"/>
    <cellStyle name="Вычисление 3 44 4" xfId="15816" xr:uid="{00000000-0005-0000-0000-0000DE1F0000}"/>
    <cellStyle name="Вычисление 3 45" xfId="2577" xr:uid="{00000000-0005-0000-0000-0000DF1F0000}"/>
    <cellStyle name="Вычисление 3 45 2" xfId="7313" xr:uid="{00000000-0005-0000-0000-0000E01F0000}"/>
    <cellStyle name="Вычисление 3 45 3" xfId="11581" xr:uid="{00000000-0005-0000-0000-0000E11F0000}"/>
    <cellStyle name="Вычисление 3 45 4" xfId="15817" xr:uid="{00000000-0005-0000-0000-0000E21F0000}"/>
    <cellStyle name="Вычисление 3 46" xfId="2578" xr:uid="{00000000-0005-0000-0000-0000E31F0000}"/>
    <cellStyle name="Вычисление 3 46 2" xfId="7314" xr:uid="{00000000-0005-0000-0000-0000E41F0000}"/>
    <cellStyle name="Вычисление 3 46 3" xfId="11582" xr:uid="{00000000-0005-0000-0000-0000E51F0000}"/>
    <cellStyle name="Вычисление 3 46 4" xfId="15818" xr:uid="{00000000-0005-0000-0000-0000E61F0000}"/>
    <cellStyle name="Вычисление 3 47" xfId="2579" xr:uid="{00000000-0005-0000-0000-0000E71F0000}"/>
    <cellStyle name="Вычисление 3 47 2" xfId="7315" xr:uid="{00000000-0005-0000-0000-0000E81F0000}"/>
    <cellStyle name="Вычисление 3 47 3" xfId="11583" xr:uid="{00000000-0005-0000-0000-0000E91F0000}"/>
    <cellStyle name="Вычисление 3 47 4" xfId="15819" xr:uid="{00000000-0005-0000-0000-0000EA1F0000}"/>
    <cellStyle name="Вычисление 3 48" xfId="2580" xr:uid="{00000000-0005-0000-0000-0000EB1F0000}"/>
    <cellStyle name="Вычисление 3 48 2" xfId="7316" xr:uid="{00000000-0005-0000-0000-0000EC1F0000}"/>
    <cellStyle name="Вычисление 3 48 3" xfId="11584" xr:uid="{00000000-0005-0000-0000-0000ED1F0000}"/>
    <cellStyle name="Вычисление 3 48 4" xfId="15820" xr:uid="{00000000-0005-0000-0000-0000EE1F0000}"/>
    <cellStyle name="Вычисление 3 49" xfId="2581" xr:uid="{00000000-0005-0000-0000-0000EF1F0000}"/>
    <cellStyle name="Вычисление 3 49 2" xfId="7317" xr:uid="{00000000-0005-0000-0000-0000F01F0000}"/>
    <cellStyle name="Вычисление 3 49 3" xfId="11585" xr:uid="{00000000-0005-0000-0000-0000F11F0000}"/>
    <cellStyle name="Вычисление 3 49 4" xfId="15821" xr:uid="{00000000-0005-0000-0000-0000F21F0000}"/>
    <cellStyle name="Вычисление 3 5" xfId="2582" xr:uid="{00000000-0005-0000-0000-0000F31F0000}"/>
    <cellStyle name="Вычисление 3 5 2" xfId="7318" xr:uid="{00000000-0005-0000-0000-0000F41F0000}"/>
    <cellStyle name="Вычисление 3 5 3" xfId="11586" xr:uid="{00000000-0005-0000-0000-0000F51F0000}"/>
    <cellStyle name="Вычисление 3 5 4" xfId="15822" xr:uid="{00000000-0005-0000-0000-0000F61F0000}"/>
    <cellStyle name="Вычисление 3 50" xfId="2583" xr:uid="{00000000-0005-0000-0000-0000F71F0000}"/>
    <cellStyle name="Вычисление 3 50 2" xfId="7319" xr:uid="{00000000-0005-0000-0000-0000F81F0000}"/>
    <cellStyle name="Вычисление 3 50 3" xfId="11587" xr:uid="{00000000-0005-0000-0000-0000F91F0000}"/>
    <cellStyle name="Вычисление 3 50 4" xfId="15823" xr:uid="{00000000-0005-0000-0000-0000FA1F0000}"/>
    <cellStyle name="Вычисление 3 51" xfId="2584" xr:uid="{00000000-0005-0000-0000-0000FB1F0000}"/>
    <cellStyle name="Вычисление 3 51 2" xfId="7320" xr:uid="{00000000-0005-0000-0000-0000FC1F0000}"/>
    <cellStyle name="Вычисление 3 51 3" xfId="11588" xr:uid="{00000000-0005-0000-0000-0000FD1F0000}"/>
    <cellStyle name="Вычисление 3 51 4" xfId="15824" xr:uid="{00000000-0005-0000-0000-0000FE1F0000}"/>
    <cellStyle name="Вычисление 3 52" xfId="2585" xr:uid="{00000000-0005-0000-0000-0000FF1F0000}"/>
    <cellStyle name="Вычисление 3 52 2" xfId="7321" xr:uid="{00000000-0005-0000-0000-000000200000}"/>
    <cellStyle name="Вычисление 3 52 3" xfId="11589" xr:uid="{00000000-0005-0000-0000-000001200000}"/>
    <cellStyle name="Вычисление 3 52 4" xfId="15825" xr:uid="{00000000-0005-0000-0000-000002200000}"/>
    <cellStyle name="Вычисление 3 53" xfId="2586" xr:uid="{00000000-0005-0000-0000-000003200000}"/>
    <cellStyle name="Вычисление 3 53 2" xfId="7322" xr:uid="{00000000-0005-0000-0000-000004200000}"/>
    <cellStyle name="Вычисление 3 53 3" xfId="11590" xr:uid="{00000000-0005-0000-0000-000005200000}"/>
    <cellStyle name="Вычисление 3 53 4" xfId="15826" xr:uid="{00000000-0005-0000-0000-000006200000}"/>
    <cellStyle name="Вычисление 3 54" xfId="2587" xr:uid="{00000000-0005-0000-0000-000007200000}"/>
    <cellStyle name="Вычисление 3 54 2" xfId="7323" xr:uid="{00000000-0005-0000-0000-000008200000}"/>
    <cellStyle name="Вычисление 3 54 3" xfId="11591" xr:uid="{00000000-0005-0000-0000-000009200000}"/>
    <cellStyle name="Вычисление 3 54 4" xfId="15827" xr:uid="{00000000-0005-0000-0000-00000A200000}"/>
    <cellStyle name="Вычисление 3 55" xfId="2588" xr:uid="{00000000-0005-0000-0000-00000B200000}"/>
    <cellStyle name="Вычисление 3 55 2" xfId="7324" xr:uid="{00000000-0005-0000-0000-00000C200000}"/>
    <cellStyle name="Вычисление 3 55 3" xfId="11592" xr:uid="{00000000-0005-0000-0000-00000D200000}"/>
    <cellStyle name="Вычисление 3 55 4" xfId="15828" xr:uid="{00000000-0005-0000-0000-00000E200000}"/>
    <cellStyle name="Вычисление 3 56" xfId="2589" xr:uid="{00000000-0005-0000-0000-00000F200000}"/>
    <cellStyle name="Вычисление 3 56 2" xfId="7325" xr:uid="{00000000-0005-0000-0000-000010200000}"/>
    <cellStyle name="Вычисление 3 56 3" xfId="11593" xr:uid="{00000000-0005-0000-0000-000011200000}"/>
    <cellStyle name="Вычисление 3 56 4" xfId="15829" xr:uid="{00000000-0005-0000-0000-000012200000}"/>
    <cellStyle name="Вычисление 3 57" xfId="2590" xr:uid="{00000000-0005-0000-0000-000013200000}"/>
    <cellStyle name="Вычисление 3 57 2" xfId="7326" xr:uid="{00000000-0005-0000-0000-000014200000}"/>
    <cellStyle name="Вычисление 3 57 3" xfId="11594" xr:uid="{00000000-0005-0000-0000-000015200000}"/>
    <cellStyle name="Вычисление 3 57 4" xfId="15830" xr:uid="{00000000-0005-0000-0000-000016200000}"/>
    <cellStyle name="Вычисление 3 58" xfId="2591" xr:uid="{00000000-0005-0000-0000-000017200000}"/>
    <cellStyle name="Вычисление 3 58 2" xfId="7327" xr:uid="{00000000-0005-0000-0000-000018200000}"/>
    <cellStyle name="Вычисление 3 58 3" xfId="11595" xr:uid="{00000000-0005-0000-0000-000019200000}"/>
    <cellStyle name="Вычисление 3 58 4" xfId="15831" xr:uid="{00000000-0005-0000-0000-00001A200000}"/>
    <cellStyle name="Вычисление 3 59" xfId="2592" xr:uid="{00000000-0005-0000-0000-00001B200000}"/>
    <cellStyle name="Вычисление 3 59 2" xfId="7328" xr:uid="{00000000-0005-0000-0000-00001C200000}"/>
    <cellStyle name="Вычисление 3 59 3" xfId="11596" xr:uid="{00000000-0005-0000-0000-00001D200000}"/>
    <cellStyle name="Вычисление 3 59 4" xfId="15832" xr:uid="{00000000-0005-0000-0000-00001E200000}"/>
    <cellStyle name="Вычисление 3 6" xfId="2593" xr:uid="{00000000-0005-0000-0000-00001F200000}"/>
    <cellStyle name="Вычисление 3 6 2" xfId="7329" xr:uid="{00000000-0005-0000-0000-000020200000}"/>
    <cellStyle name="Вычисление 3 6 3" xfId="11597" xr:uid="{00000000-0005-0000-0000-000021200000}"/>
    <cellStyle name="Вычисление 3 6 4" xfId="15833" xr:uid="{00000000-0005-0000-0000-000022200000}"/>
    <cellStyle name="Вычисление 3 60" xfId="2594" xr:uid="{00000000-0005-0000-0000-000023200000}"/>
    <cellStyle name="Вычисление 3 60 2" xfId="7330" xr:uid="{00000000-0005-0000-0000-000024200000}"/>
    <cellStyle name="Вычисление 3 60 3" xfId="11598" xr:uid="{00000000-0005-0000-0000-000025200000}"/>
    <cellStyle name="Вычисление 3 60 4" xfId="15834" xr:uid="{00000000-0005-0000-0000-000026200000}"/>
    <cellStyle name="Вычисление 3 61" xfId="2595" xr:uid="{00000000-0005-0000-0000-000027200000}"/>
    <cellStyle name="Вычисление 3 61 2" xfId="7331" xr:uid="{00000000-0005-0000-0000-000028200000}"/>
    <cellStyle name="Вычисление 3 61 3" xfId="11599" xr:uid="{00000000-0005-0000-0000-000029200000}"/>
    <cellStyle name="Вычисление 3 61 4" xfId="15835" xr:uid="{00000000-0005-0000-0000-00002A200000}"/>
    <cellStyle name="Вычисление 3 62" xfId="2596" xr:uid="{00000000-0005-0000-0000-00002B200000}"/>
    <cellStyle name="Вычисление 3 62 2" xfId="7332" xr:uid="{00000000-0005-0000-0000-00002C200000}"/>
    <cellStyle name="Вычисление 3 62 3" xfId="11600" xr:uid="{00000000-0005-0000-0000-00002D200000}"/>
    <cellStyle name="Вычисление 3 62 4" xfId="15836" xr:uid="{00000000-0005-0000-0000-00002E200000}"/>
    <cellStyle name="Вычисление 3 63" xfId="2597" xr:uid="{00000000-0005-0000-0000-00002F200000}"/>
    <cellStyle name="Вычисление 3 63 2" xfId="7333" xr:uid="{00000000-0005-0000-0000-000030200000}"/>
    <cellStyle name="Вычисление 3 63 3" xfId="11601" xr:uid="{00000000-0005-0000-0000-000031200000}"/>
    <cellStyle name="Вычисление 3 63 4" xfId="15837" xr:uid="{00000000-0005-0000-0000-000032200000}"/>
    <cellStyle name="Вычисление 3 64" xfId="2598" xr:uid="{00000000-0005-0000-0000-000033200000}"/>
    <cellStyle name="Вычисление 3 64 2" xfId="7334" xr:uid="{00000000-0005-0000-0000-000034200000}"/>
    <cellStyle name="Вычисление 3 64 3" xfId="11602" xr:uid="{00000000-0005-0000-0000-000035200000}"/>
    <cellStyle name="Вычисление 3 64 4" xfId="15838" xr:uid="{00000000-0005-0000-0000-000036200000}"/>
    <cellStyle name="Вычисление 3 65" xfId="2599" xr:uid="{00000000-0005-0000-0000-000037200000}"/>
    <cellStyle name="Вычисление 3 65 2" xfId="7335" xr:uid="{00000000-0005-0000-0000-000038200000}"/>
    <cellStyle name="Вычисление 3 65 3" xfId="11603" xr:uid="{00000000-0005-0000-0000-000039200000}"/>
    <cellStyle name="Вычисление 3 65 4" xfId="15839" xr:uid="{00000000-0005-0000-0000-00003A200000}"/>
    <cellStyle name="Вычисление 3 66" xfId="2600" xr:uid="{00000000-0005-0000-0000-00003B200000}"/>
    <cellStyle name="Вычисление 3 66 2" xfId="7336" xr:uid="{00000000-0005-0000-0000-00003C200000}"/>
    <cellStyle name="Вычисление 3 66 3" xfId="11604" xr:uid="{00000000-0005-0000-0000-00003D200000}"/>
    <cellStyle name="Вычисление 3 66 4" xfId="15840" xr:uid="{00000000-0005-0000-0000-00003E200000}"/>
    <cellStyle name="Вычисление 3 67" xfId="2601" xr:uid="{00000000-0005-0000-0000-00003F200000}"/>
    <cellStyle name="Вычисление 3 67 2" xfId="7337" xr:uid="{00000000-0005-0000-0000-000040200000}"/>
    <cellStyle name="Вычисление 3 67 3" xfId="11605" xr:uid="{00000000-0005-0000-0000-000041200000}"/>
    <cellStyle name="Вычисление 3 67 4" xfId="15841" xr:uid="{00000000-0005-0000-0000-000042200000}"/>
    <cellStyle name="Вычисление 3 68" xfId="2602" xr:uid="{00000000-0005-0000-0000-000043200000}"/>
    <cellStyle name="Вычисление 3 68 2" xfId="7338" xr:uid="{00000000-0005-0000-0000-000044200000}"/>
    <cellStyle name="Вычисление 3 68 3" xfId="11606" xr:uid="{00000000-0005-0000-0000-000045200000}"/>
    <cellStyle name="Вычисление 3 68 4" xfId="15842" xr:uid="{00000000-0005-0000-0000-000046200000}"/>
    <cellStyle name="Вычисление 3 69" xfId="2603" xr:uid="{00000000-0005-0000-0000-000047200000}"/>
    <cellStyle name="Вычисление 3 69 2" xfId="7339" xr:uid="{00000000-0005-0000-0000-000048200000}"/>
    <cellStyle name="Вычисление 3 69 3" xfId="11607" xr:uid="{00000000-0005-0000-0000-000049200000}"/>
    <cellStyle name="Вычисление 3 69 4" xfId="15843" xr:uid="{00000000-0005-0000-0000-00004A200000}"/>
    <cellStyle name="Вычисление 3 7" xfId="2604" xr:uid="{00000000-0005-0000-0000-00004B200000}"/>
    <cellStyle name="Вычисление 3 7 2" xfId="7340" xr:uid="{00000000-0005-0000-0000-00004C200000}"/>
    <cellStyle name="Вычисление 3 7 3" xfId="11608" xr:uid="{00000000-0005-0000-0000-00004D200000}"/>
    <cellStyle name="Вычисление 3 7 4" xfId="15844" xr:uid="{00000000-0005-0000-0000-00004E200000}"/>
    <cellStyle name="Вычисление 3 70" xfId="2605" xr:uid="{00000000-0005-0000-0000-00004F200000}"/>
    <cellStyle name="Вычисление 3 70 2" xfId="7341" xr:uid="{00000000-0005-0000-0000-000050200000}"/>
    <cellStyle name="Вычисление 3 70 3" xfId="11609" xr:uid="{00000000-0005-0000-0000-000051200000}"/>
    <cellStyle name="Вычисление 3 70 4" xfId="15845" xr:uid="{00000000-0005-0000-0000-000052200000}"/>
    <cellStyle name="Вычисление 3 71" xfId="2606" xr:uid="{00000000-0005-0000-0000-000053200000}"/>
    <cellStyle name="Вычисление 3 71 2" xfId="7342" xr:uid="{00000000-0005-0000-0000-000054200000}"/>
    <cellStyle name="Вычисление 3 71 3" xfId="11610" xr:uid="{00000000-0005-0000-0000-000055200000}"/>
    <cellStyle name="Вычисление 3 71 4" xfId="15846" xr:uid="{00000000-0005-0000-0000-000056200000}"/>
    <cellStyle name="Вычисление 3 72" xfId="2607" xr:uid="{00000000-0005-0000-0000-000057200000}"/>
    <cellStyle name="Вычисление 3 72 2" xfId="7343" xr:uid="{00000000-0005-0000-0000-000058200000}"/>
    <cellStyle name="Вычисление 3 72 3" xfId="11611" xr:uid="{00000000-0005-0000-0000-000059200000}"/>
    <cellStyle name="Вычисление 3 72 4" xfId="15847" xr:uid="{00000000-0005-0000-0000-00005A200000}"/>
    <cellStyle name="Вычисление 3 73" xfId="2608" xr:uid="{00000000-0005-0000-0000-00005B200000}"/>
    <cellStyle name="Вычисление 3 73 2" xfId="7344" xr:uid="{00000000-0005-0000-0000-00005C200000}"/>
    <cellStyle name="Вычисление 3 73 3" xfId="11612" xr:uid="{00000000-0005-0000-0000-00005D200000}"/>
    <cellStyle name="Вычисление 3 73 4" xfId="15848" xr:uid="{00000000-0005-0000-0000-00005E200000}"/>
    <cellStyle name="Вычисление 3 74" xfId="2609" xr:uid="{00000000-0005-0000-0000-00005F200000}"/>
    <cellStyle name="Вычисление 3 74 2" xfId="7345" xr:uid="{00000000-0005-0000-0000-000060200000}"/>
    <cellStyle name="Вычисление 3 74 3" xfId="11613" xr:uid="{00000000-0005-0000-0000-000061200000}"/>
    <cellStyle name="Вычисление 3 74 4" xfId="15849" xr:uid="{00000000-0005-0000-0000-000062200000}"/>
    <cellStyle name="Вычисление 3 75" xfId="2610" xr:uid="{00000000-0005-0000-0000-000063200000}"/>
    <cellStyle name="Вычисление 3 75 2" xfId="7346" xr:uid="{00000000-0005-0000-0000-000064200000}"/>
    <cellStyle name="Вычисление 3 75 3" xfId="11614" xr:uid="{00000000-0005-0000-0000-000065200000}"/>
    <cellStyle name="Вычисление 3 75 4" xfId="15850" xr:uid="{00000000-0005-0000-0000-000066200000}"/>
    <cellStyle name="Вычисление 3 76" xfId="2611" xr:uid="{00000000-0005-0000-0000-000067200000}"/>
    <cellStyle name="Вычисление 3 76 2" xfId="7347" xr:uid="{00000000-0005-0000-0000-000068200000}"/>
    <cellStyle name="Вычисление 3 76 3" xfId="11615" xr:uid="{00000000-0005-0000-0000-000069200000}"/>
    <cellStyle name="Вычисление 3 76 4" xfId="15851" xr:uid="{00000000-0005-0000-0000-00006A200000}"/>
    <cellStyle name="Вычисление 3 77" xfId="2612" xr:uid="{00000000-0005-0000-0000-00006B200000}"/>
    <cellStyle name="Вычисление 3 77 2" xfId="7348" xr:uid="{00000000-0005-0000-0000-00006C200000}"/>
    <cellStyle name="Вычисление 3 77 3" xfId="11616" xr:uid="{00000000-0005-0000-0000-00006D200000}"/>
    <cellStyle name="Вычисление 3 77 4" xfId="15852" xr:uid="{00000000-0005-0000-0000-00006E200000}"/>
    <cellStyle name="Вычисление 3 78" xfId="2613" xr:uid="{00000000-0005-0000-0000-00006F200000}"/>
    <cellStyle name="Вычисление 3 78 2" xfId="7349" xr:uid="{00000000-0005-0000-0000-000070200000}"/>
    <cellStyle name="Вычисление 3 78 3" xfId="11617" xr:uid="{00000000-0005-0000-0000-000071200000}"/>
    <cellStyle name="Вычисление 3 78 4" xfId="15853" xr:uid="{00000000-0005-0000-0000-000072200000}"/>
    <cellStyle name="Вычисление 3 79" xfId="2614" xr:uid="{00000000-0005-0000-0000-000073200000}"/>
    <cellStyle name="Вычисление 3 79 2" xfId="7350" xr:uid="{00000000-0005-0000-0000-000074200000}"/>
    <cellStyle name="Вычисление 3 79 3" xfId="11618" xr:uid="{00000000-0005-0000-0000-000075200000}"/>
    <cellStyle name="Вычисление 3 79 4" xfId="15854" xr:uid="{00000000-0005-0000-0000-000076200000}"/>
    <cellStyle name="Вычисление 3 8" xfId="2615" xr:uid="{00000000-0005-0000-0000-000077200000}"/>
    <cellStyle name="Вычисление 3 8 2" xfId="7351" xr:uid="{00000000-0005-0000-0000-000078200000}"/>
    <cellStyle name="Вычисление 3 8 3" xfId="11619" xr:uid="{00000000-0005-0000-0000-000079200000}"/>
    <cellStyle name="Вычисление 3 8 4" xfId="15855" xr:uid="{00000000-0005-0000-0000-00007A200000}"/>
    <cellStyle name="Вычисление 3 80" xfId="2616" xr:uid="{00000000-0005-0000-0000-00007B200000}"/>
    <cellStyle name="Вычисление 3 80 2" xfId="7352" xr:uid="{00000000-0005-0000-0000-00007C200000}"/>
    <cellStyle name="Вычисление 3 80 3" xfId="11620" xr:uid="{00000000-0005-0000-0000-00007D200000}"/>
    <cellStyle name="Вычисление 3 80 4" xfId="15856" xr:uid="{00000000-0005-0000-0000-00007E200000}"/>
    <cellStyle name="Вычисление 3 81" xfId="2617" xr:uid="{00000000-0005-0000-0000-00007F200000}"/>
    <cellStyle name="Вычисление 3 81 2" xfId="7353" xr:uid="{00000000-0005-0000-0000-000080200000}"/>
    <cellStyle name="Вычисление 3 81 3" xfId="11621" xr:uid="{00000000-0005-0000-0000-000081200000}"/>
    <cellStyle name="Вычисление 3 81 4" xfId="15857" xr:uid="{00000000-0005-0000-0000-000082200000}"/>
    <cellStyle name="Вычисление 3 82" xfId="2618" xr:uid="{00000000-0005-0000-0000-000083200000}"/>
    <cellStyle name="Вычисление 3 82 2" xfId="7354" xr:uid="{00000000-0005-0000-0000-000084200000}"/>
    <cellStyle name="Вычисление 3 82 3" xfId="11622" xr:uid="{00000000-0005-0000-0000-000085200000}"/>
    <cellStyle name="Вычисление 3 82 4" xfId="15858" xr:uid="{00000000-0005-0000-0000-000086200000}"/>
    <cellStyle name="Вычисление 3 83" xfId="2619" xr:uid="{00000000-0005-0000-0000-000087200000}"/>
    <cellStyle name="Вычисление 3 83 2" xfId="7355" xr:uid="{00000000-0005-0000-0000-000088200000}"/>
    <cellStyle name="Вычисление 3 83 3" xfId="11623" xr:uid="{00000000-0005-0000-0000-000089200000}"/>
    <cellStyle name="Вычисление 3 83 4" xfId="15859" xr:uid="{00000000-0005-0000-0000-00008A200000}"/>
    <cellStyle name="Вычисление 3 84" xfId="2620" xr:uid="{00000000-0005-0000-0000-00008B200000}"/>
    <cellStyle name="Вычисление 3 84 2" xfId="7356" xr:uid="{00000000-0005-0000-0000-00008C200000}"/>
    <cellStyle name="Вычисление 3 84 3" xfId="11624" xr:uid="{00000000-0005-0000-0000-00008D200000}"/>
    <cellStyle name="Вычисление 3 84 4" xfId="15860" xr:uid="{00000000-0005-0000-0000-00008E200000}"/>
    <cellStyle name="Вычисление 3 85" xfId="2621" xr:uid="{00000000-0005-0000-0000-00008F200000}"/>
    <cellStyle name="Вычисление 3 85 2" xfId="7357" xr:uid="{00000000-0005-0000-0000-000090200000}"/>
    <cellStyle name="Вычисление 3 85 3" xfId="11625" xr:uid="{00000000-0005-0000-0000-000091200000}"/>
    <cellStyle name="Вычисление 3 85 4" xfId="15861" xr:uid="{00000000-0005-0000-0000-000092200000}"/>
    <cellStyle name="Вычисление 3 86" xfId="2622" xr:uid="{00000000-0005-0000-0000-000093200000}"/>
    <cellStyle name="Вычисление 3 86 2" xfId="7358" xr:uid="{00000000-0005-0000-0000-000094200000}"/>
    <cellStyle name="Вычисление 3 86 3" xfId="11626" xr:uid="{00000000-0005-0000-0000-000095200000}"/>
    <cellStyle name="Вычисление 3 86 4" xfId="15862" xr:uid="{00000000-0005-0000-0000-000096200000}"/>
    <cellStyle name="Вычисление 3 87" xfId="2623" xr:uid="{00000000-0005-0000-0000-000097200000}"/>
    <cellStyle name="Вычисление 3 87 2" xfId="7359" xr:uid="{00000000-0005-0000-0000-000098200000}"/>
    <cellStyle name="Вычисление 3 87 3" xfId="11627" xr:uid="{00000000-0005-0000-0000-000099200000}"/>
    <cellStyle name="Вычисление 3 87 4" xfId="15863" xr:uid="{00000000-0005-0000-0000-00009A200000}"/>
    <cellStyle name="Вычисление 3 88" xfId="2624" xr:uid="{00000000-0005-0000-0000-00009B200000}"/>
    <cellStyle name="Вычисление 3 88 2" xfId="7360" xr:uid="{00000000-0005-0000-0000-00009C200000}"/>
    <cellStyle name="Вычисление 3 88 3" xfId="11628" xr:uid="{00000000-0005-0000-0000-00009D200000}"/>
    <cellStyle name="Вычисление 3 88 4" xfId="15864" xr:uid="{00000000-0005-0000-0000-00009E200000}"/>
    <cellStyle name="Вычисление 3 89" xfId="2625" xr:uid="{00000000-0005-0000-0000-00009F200000}"/>
    <cellStyle name="Вычисление 3 89 2" xfId="7361" xr:uid="{00000000-0005-0000-0000-0000A0200000}"/>
    <cellStyle name="Вычисление 3 89 3" xfId="11629" xr:uid="{00000000-0005-0000-0000-0000A1200000}"/>
    <cellStyle name="Вычисление 3 89 4" xfId="15865" xr:uid="{00000000-0005-0000-0000-0000A2200000}"/>
    <cellStyle name="Вычисление 3 9" xfId="2626" xr:uid="{00000000-0005-0000-0000-0000A3200000}"/>
    <cellStyle name="Вычисление 3 9 2" xfId="7362" xr:uid="{00000000-0005-0000-0000-0000A4200000}"/>
    <cellStyle name="Вычисление 3 9 3" xfId="11630" xr:uid="{00000000-0005-0000-0000-0000A5200000}"/>
    <cellStyle name="Вычисление 3 9 4" xfId="15866" xr:uid="{00000000-0005-0000-0000-0000A6200000}"/>
    <cellStyle name="Вычисление 3 90" xfId="2627" xr:uid="{00000000-0005-0000-0000-0000A7200000}"/>
    <cellStyle name="Вычисление 3 90 2" xfId="7363" xr:uid="{00000000-0005-0000-0000-0000A8200000}"/>
    <cellStyle name="Вычисление 3 90 3" xfId="11631" xr:uid="{00000000-0005-0000-0000-0000A9200000}"/>
    <cellStyle name="Вычисление 3 90 4" xfId="15867" xr:uid="{00000000-0005-0000-0000-0000AA200000}"/>
    <cellStyle name="Вычисление 3 91" xfId="2628" xr:uid="{00000000-0005-0000-0000-0000AB200000}"/>
    <cellStyle name="Вычисление 3 91 2" xfId="7364" xr:uid="{00000000-0005-0000-0000-0000AC200000}"/>
    <cellStyle name="Вычисление 3 91 3" xfId="11632" xr:uid="{00000000-0005-0000-0000-0000AD200000}"/>
    <cellStyle name="Вычисление 3 91 4" xfId="15868" xr:uid="{00000000-0005-0000-0000-0000AE200000}"/>
    <cellStyle name="Вычисление 3 92" xfId="5197" xr:uid="{00000000-0005-0000-0000-0000AF200000}"/>
    <cellStyle name="Вычисление 3 93" xfId="5248" xr:uid="{00000000-0005-0000-0000-0000B0200000}"/>
    <cellStyle name="Вычисление 3 94" xfId="8817" xr:uid="{00000000-0005-0000-0000-0000B1200000}"/>
    <cellStyle name="Вычисление 4" xfId="244" xr:uid="{00000000-0005-0000-0000-0000B2200000}"/>
    <cellStyle name="Вычисление 4 10" xfId="2629" xr:uid="{00000000-0005-0000-0000-0000B3200000}"/>
    <cellStyle name="Вычисление 4 10 2" xfId="7365" xr:uid="{00000000-0005-0000-0000-0000B4200000}"/>
    <cellStyle name="Вычисление 4 10 3" xfId="11633" xr:uid="{00000000-0005-0000-0000-0000B5200000}"/>
    <cellStyle name="Вычисление 4 10 4" xfId="15869" xr:uid="{00000000-0005-0000-0000-0000B6200000}"/>
    <cellStyle name="Вычисление 4 11" xfId="2630" xr:uid="{00000000-0005-0000-0000-0000B7200000}"/>
    <cellStyle name="Вычисление 4 11 2" xfId="7366" xr:uid="{00000000-0005-0000-0000-0000B8200000}"/>
    <cellStyle name="Вычисление 4 11 3" xfId="11634" xr:uid="{00000000-0005-0000-0000-0000B9200000}"/>
    <cellStyle name="Вычисление 4 11 4" xfId="15870" xr:uid="{00000000-0005-0000-0000-0000BA200000}"/>
    <cellStyle name="Вычисление 4 12" xfId="2631" xr:uid="{00000000-0005-0000-0000-0000BB200000}"/>
    <cellStyle name="Вычисление 4 12 2" xfId="7367" xr:uid="{00000000-0005-0000-0000-0000BC200000}"/>
    <cellStyle name="Вычисление 4 12 3" xfId="11635" xr:uid="{00000000-0005-0000-0000-0000BD200000}"/>
    <cellStyle name="Вычисление 4 12 4" xfId="15871" xr:uid="{00000000-0005-0000-0000-0000BE200000}"/>
    <cellStyle name="Вычисление 4 13" xfId="2632" xr:uid="{00000000-0005-0000-0000-0000BF200000}"/>
    <cellStyle name="Вычисление 4 13 2" xfId="7368" xr:uid="{00000000-0005-0000-0000-0000C0200000}"/>
    <cellStyle name="Вычисление 4 13 3" xfId="11636" xr:uid="{00000000-0005-0000-0000-0000C1200000}"/>
    <cellStyle name="Вычисление 4 13 4" xfId="15872" xr:uid="{00000000-0005-0000-0000-0000C2200000}"/>
    <cellStyle name="Вычисление 4 14" xfId="2633" xr:uid="{00000000-0005-0000-0000-0000C3200000}"/>
    <cellStyle name="Вычисление 4 14 2" xfId="7369" xr:uid="{00000000-0005-0000-0000-0000C4200000}"/>
    <cellStyle name="Вычисление 4 14 3" xfId="11637" xr:uid="{00000000-0005-0000-0000-0000C5200000}"/>
    <cellStyle name="Вычисление 4 14 4" xfId="15873" xr:uid="{00000000-0005-0000-0000-0000C6200000}"/>
    <cellStyle name="Вычисление 4 15" xfId="2634" xr:uid="{00000000-0005-0000-0000-0000C7200000}"/>
    <cellStyle name="Вычисление 4 15 2" xfId="7370" xr:uid="{00000000-0005-0000-0000-0000C8200000}"/>
    <cellStyle name="Вычисление 4 15 3" xfId="11638" xr:uid="{00000000-0005-0000-0000-0000C9200000}"/>
    <cellStyle name="Вычисление 4 15 4" xfId="15874" xr:uid="{00000000-0005-0000-0000-0000CA200000}"/>
    <cellStyle name="Вычисление 4 16" xfId="2635" xr:uid="{00000000-0005-0000-0000-0000CB200000}"/>
    <cellStyle name="Вычисление 4 16 2" xfId="7371" xr:uid="{00000000-0005-0000-0000-0000CC200000}"/>
    <cellStyle name="Вычисление 4 16 3" xfId="11639" xr:uid="{00000000-0005-0000-0000-0000CD200000}"/>
    <cellStyle name="Вычисление 4 16 4" xfId="15875" xr:uid="{00000000-0005-0000-0000-0000CE200000}"/>
    <cellStyle name="Вычисление 4 17" xfId="2636" xr:uid="{00000000-0005-0000-0000-0000CF200000}"/>
    <cellStyle name="Вычисление 4 17 2" xfId="7372" xr:uid="{00000000-0005-0000-0000-0000D0200000}"/>
    <cellStyle name="Вычисление 4 17 3" xfId="11640" xr:uid="{00000000-0005-0000-0000-0000D1200000}"/>
    <cellStyle name="Вычисление 4 17 4" xfId="15876" xr:uid="{00000000-0005-0000-0000-0000D2200000}"/>
    <cellStyle name="Вычисление 4 18" xfId="2637" xr:uid="{00000000-0005-0000-0000-0000D3200000}"/>
    <cellStyle name="Вычисление 4 18 2" xfId="7373" xr:uid="{00000000-0005-0000-0000-0000D4200000}"/>
    <cellStyle name="Вычисление 4 18 3" xfId="11641" xr:uid="{00000000-0005-0000-0000-0000D5200000}"/>
    <cellStyle name="Вычисление 4 18 4" xfId="15877" xr:uid="{00000000-0005-0000-0000-0000D6200000}"/>
    <cellStyle name="Вычисление 4 19" xfId="2638" xr:uid="{00000000-0005-0000-0000-0000D7200000}"/>
    <cellStyle name="Вычисление 4 19 2" xfId="7374" xr:uid="{00000000-0005-0000-0000-0000D8200000}"/>
    <cellStyle name="Вычисление 4 19 3" xfId="11642" xr:uid="{00000000-0005-0000-0000-0000D9200000}"/>
    <cellStyle name="Вычисление 4 19 4" xfId="15878" xr:uid="{00000000-0005-0000-0000-0000DA200000}"/>
    <cellStyle name="Вычисление 4 2" xfId="2639" xr:uid="{00000000-0005-0000-0000-0000DB200000}"/>
    <cellStyle name="Вычисление 4 2 2" xfId="2640" xr:uid="{00000000-0005-0000-0000-0000DC200000}"/>
    <cellStyle name="Вычисление 4 2 2 2" xfId="7376" xr:uid="{00000000-0005-0000-0000-0000DD200000}"/>
    <cellStyle name="Вычисление 4 2 2 3" xfId="11644" xr:uid="{00000000-0005-0000-0000-0000DE200000}"/>
    <cellStyle name="Вычисление 4 2 2 4" xfId="15880" xr:uid="{00000000-0005-0000-0000-0000DF200000}"/>
    <cellStyle name="Вычисление 4 2 3" xfId="2641" xr:uid="{00000000-0005-0000-0000-0000E0200000}"/>
    <cellStyle name="Вычисление 4 2 3 2" xfId="7377" xr:uid="{00000000-0005-0000-0000-0000E1200000}"/>
    <cellStyle name="Вычисление 4 2 3 3" xfId="11645" xr:uid="{00000000-0005-0000-0000-0000E2200000}"/>
    <cellStyle name="Вычисление 4 2 3 4" xfId="15881" xr:uid="{00000000-0005-0000-0000-0000E3200000}"/>
    <cellStyle name="Вычисление 4 2 4" xfId="7375" xr:uid="{00000000-0005-0000-0000-0000E4200000}"/>
    <cellStyle name="Вычисление 4 2 5" xfId="11643" xr:uid="{00000000-0005-0000-0000-0000E5200000}"/>
    <cellStyle name="Вычисление 4 2 6" xfId="15879" xr:uid="{00000000-0005-0000-0000-0000E6200000}"/>
    <cellStyle name="Вычисление 4 20" xfId="2642" xr:uid="{00000000-0005-0000-0000-0000E7200000}"/>
    <cellStyle name="Вычисление 4 20 2" xfId="7378" xr:uid="{00000000-0005-0000-0000-0000E8200000}"/>
    <cellStyle name="Вычисление 4 20 3" xfId="11646" xr:uid="{00000000-0005-0000-0000-0000E9200000}"/>
    <cellStyle name="Вычисление 4 20 4" xfId="15882" xr:uid="{00000000-0005-0000-0000-0000EA200000}"/>
    <cellStyle name="Вычисление 4 21" xfId="2643" xr:uid="{00000000-0005-0000-0000-0000EB200000}"/>
    <cellStyle name="Вычисление 4 21 2" xfId="7379" xr:uid="{00000000-0005-0000-0000-0000EC200000}"/>
    <cellStyle name="Вычисление 4 21 3" xfId="11647" xr:uid="{00000000-0005-0000-0000-0000ED200000}"/>
    <cellStyle name="Вычисление 4 21 4" xfId="15883" xr:uid="{00000000-0005-0000-0000-0000EE200000}"/>
    <cellStyle name="Вычисление 4 22" xfId="2644" xr:uid="{00000000-0005-0000-0000-0000EF200000}"/>
    <cellStyle name="Вычисление 4 22 2" xfId="7380" xr:uid="{00000000-0005-0000-0000-0000F0200000}"/>
    <cellStyle name="Вычисление 4 22 3" xfId="11648" xr:uid="{00000000-0005-0000-0000-0000F1200000}"/>
    <cellStyle name="Вычисление 4 22 4" xfId="15884" xr:uid="{00000000-0005-0000-0000-0000F2200000}"/>
    <cellStyle name="Вычисление 4 23" xfId="2645" xr:uid="{00000000-0005-0000-0000-0000F3200000}"/>
    <cellStyle name="Вычисление 4 23 2" xfId="7381" xr:uid="{00000000-0005-0000-0000-0000F4200000}"/>
    <cellStyle name="Вычисление 4 23 3" xfId="11649" xr:uid="{00000000-0005-0000-0000-0000F5200000}"/>
    <cellStyle name="Вычисление 4 23 4" xfId="15885" xr:uid="{00000000-0005-0000-0000-0000F6200000}"/>
    <cellStyle name="Вычисление 4 24" xfId="2646" xr:uid="{00000000-0005-0000-0000-0000F7200000}"/>
    <cellStyle name="Вычисление 4 24 2" xfId="7382" xr:uid="{00000000-0005-0000-0000-0000F8200000}"/>
    <cellStyle name="Вычисление 4 24 3" xfId="11650" xr:uid="{00000000-0005-0000-0000-0000F9200000}"/>
    <cellStyle name="Вычисление 4 24 4" xfId="15886" xr:uid="{00000000-0005-0000-0000-0000FA200000}"/>
    <cellStyle name="Вычисление 4 25" xfId="2647" xr:uid="{00000000-0005-0000-0000-0000FB200000}"/>
    <cellStyle name="Вычисление 4 25 2" xfId="7383" xr:uid="{00000000-0005-0000-0000-0000FC200000}"/>
    <cellStyle name="Вычисление 4 25 3" xfId="11651" xr:uid="{00000000-0005-0000-0000-0000FD200000}"/>
    <cellStyle name="Вычисление 4 25 4" xfId="15887" xr:uid="{00000000-0005-0000-0000-0000FE200000}"/>
    <cellStyle name="Вычисление 4 26" xfId="2648" xr:uid="{00000000-0005-0000-0000-0000FF200000}"/>
    <cellStyle name="Вычисление 4 26 2" xfId="7384" xr:uid="{00000000-0005-0000-0000-000000210000}"/>
    <cellStyle name="Вычисление 4 26 3" xfId="11652" xr:uid="{00000000-0005-0000-0000-000001210000}"/>
    <cellStyle name="Вычисление 4 26 4" xfId="15888" xr:uid="{00000000-0005-0000-0000-000002210000}"/>
    <cellStyle name="Вычисление 4 27" xfId="2649" xr:uid="{00000000-0005-0000-0000-000003210000}"/>
    <cellStyle name="Вычисление 4 27 2" xfId="7385" xr:uid="{00000000-0005-0000-0000-000004210000}"/>
    <cellStyle name="Вычисление 4 27 3" xfId="11653" xr:uid="{00000000-0005-0000-0000-000005210000}"/>
    <cellStyle name="Вычисление 4 27 4" xfId="15889" xr:uid="{00000000-0005-0000-0000-000006210000}"/>
    <cellStyle name="Вычисление 4 28" xfId="2650" xr:uid="{00000000-0005-0000-0000-000007210000}"/>
    <cellStyle name="Вычисление 4 28 2" xfId="7386" xr:uid="{00000000-0005-0000-0000-000008210000}"/>
    <cellStyle name="Вычисление 4 28 3" xfId="11654" xr:uid="{00000000-0005-0000-0000-000009210000}"/>
    <cellStyle name="Вычисление 4 28 4" xfId="15890" xr:uid="{00000000-0005-0000-0000-00000A210000}"/>
    <cellStyle name="Вычисление 4 29" xfId="2651" xr:uid="{00000000-0005-0000-0000-00000B210000}"/>
    <cellStyle name="Вычисление 4 29 2" xfId="7387" xr:uid="{00000000-0005-0000-0000-00000C210000}"/>
    <cellStyle name="Вычисление 4 29 3" xfId="11655" xr:uid="{00000000-0005-0000-0000-00000D210000}"/>
    <cellStyle name="Вычисление 4 29 4" xfId="15891" xr:uid="{00000000-0005-0000-0000-00000E210000}"/>
    <cellStyle name="Вычисление 4 3" xfId="2652" xr:uid="{00000000-0005-0000-0000-00000F210000}"/>
    <cellStyle name="Вычисление 4 3 2" xfId="2653" xr:uid="{00000000-0005-0000-0000-000010210000}"/>
    <cellStyle name="Вычисление 4 3 2 2" xfId="7389" xr:uid="{00000000-0005-0000-0000-000011210000}"/>
    <cellStyle name="Вычисление 4 3 2 3" xfId="11657" xr:uid="{00000000-0005-0000-0000-000012210000}"/>
    <cellStyle name="Вычисление 4 3 2 4" xfId="15893" xr:uid="{00000000-0005-0000-0000-000013210000}"/>
    <cellStyle name="Вычисление 4 3 3" xfId="2654" xr:uid="{00000000-0005-0000-0000-000014210000}"/>
    <cellStyle name="Вычисление 4 3 3 2" xfId="7390" xr:uid="{00000000-0005-0000-0000-000015210000}"/>
    <cellStyle name="Вычисление 4 3 3 3" xfId="11658" xr:uid="{00000000-0005-0000-0000-000016210000}"/>
    <cellStyle name="Вычисление 4 3 3 4" xfId="15894" xr:uid="{00000000-0005-0000-0000-000017210000}"/>
    <cellStyle name="Вычисление 4 3 4" xfId="7388" xr:uid="{00000000-0005-0000-0000-000018210000}"/>
    <cellStyle name="Вычисление 4 3 5" xfId="11656" xr:uid="{00000000-0005-0000-0000-000019210000}"/>
    <cellStyle name="Вычисление 4 3 6" xfId="15892" xr:uid="{00000000-0005-0000-0000-00001A210000}"/>
    <cellStyle name="Вычисление 4 30" xfId="2655" xr:uid="{00000000-0005-0000-0000-00001B210000}"/>
    <cellStyle name="Вычисление 4 30 2" xfId="7391" xr:uid="{00000000-0005-0000-0000-00001C210000}"/>
    <cellStyle name="Вычисление 4 30 3" xfId="11659" xr:uid="{00000000-0005-0000-0000-00001D210000}"/>
    <cellStyle name="Вычисление 4 30 4" xfId="15895" xr:uid="{00000000-0005-0000-0000-00001E210000}"/>
    <cellStyle name="Вычисление 4 31" xfId="2656" xr:uid="{00000000-0005-0000-0000-00001F210000}"/>
    <cellStyle name="Вычисление 4 31 2" xfId="7392" xr:uid="{00000000-0005-0000-0000-000020210000}"/>
    <cellStyle name="Вычисление 4 31 3" xfId="11660" xr:uid="{00000000-0005-0000-0000-000021210000}"/>
    <cellStyle name="Вычисление 4 31 4" xfId="15896" xr:uid="{00000000-0005-0000-0000-000022210000}"/>
    <cellStyle name="Вычисление 4 32" xfId="2657" xr:uid="{00000000-0005-0000-0000-000023210000}"/>
    <cellStyle name="Вычисление 4 32 2" xfId="7393" xr:uid="{00000000-0005-0000-0000-000024210000}"/>
    <cellStyle name="Вычисление 4 32 3" xfId="11661" xr:uid="{00000000-0005-0000-0000-000025210000}"/>
    <cellStyle name="Вычисление 4 32 4" xfId="15897" xr:uid="{00000000-0005-0000-0000-000026210000}"/>
    <cellStyle name="Вычисление 4 33" xfId="2658" xr:uid="{00000000-0005-0000-0000-000027210000}"/>
    <cellStyle name="Вычисление 4 33 2" xfId="7394" xr:uid="{00000000-0005-0000-0000-000028210000}"/>
    <cellStyle name="Вычисление 4 33 3" xfId="11662" xr:uid="{00000000-0005-0000-0000-000029210000}"/>
    <cellStyle name="Вычисление 4 33 4" xfId="15898" xr:uid="{00000000-0005-0000-0000-00002A210000}"/>
    <cellStyle name="Вычисление 4 34" xfId="2659" xr:uid="{00000000-0005-0000-0000-00002B210000}"/>
    <cellStyle name="Вычисление 4 34 2" xfId="7395" xr:uid="{00000000-0005-0000-0000-00002C210000}"/>
    <cellStyle name="Вычисление 4 34 3" xfId="11663" xr:uid="{00000000-0005-0000-0000-00002D210000}"/>
    <cellStyle name="Вычисление 4 34 4" xfId="15899" xr:uid="{00000000-0005-0000-0000-00002E210000}"/>
    <cellStyle name="Вычисление 4 35" xfId="2660" xr:uid="{00000000-0005-0000-0000-00002F210000}"/>
    <cellStyle name="Вычисление 4 35 2" xfId="7396" xr:uid="{00000000-0005-0000-0000-000030210000}"/>
    <cellStyle name="Вычисление 4 35 3" xfId="11664" xr:uid="{00000000-0005-0000-0000-000031210000}"/>
    <cellStyle name="Вычисление 4 35 4" xfId="15900" xr:uid="{00000000-0005-0000-0000-000032210000}"/>
    <cellStyle name="Вычисление 4 36" xfId="2661" xr:uid="{00000000-0005-0000-0000-000033210000}"/>
    <cellStyle name="Вычисление 4 36 2" xfId="7397" xr:uid="{00000000-0005-0000-0000-000034210000}"/>
    <cellStyle name="Вычисление 4 36 3" xfId="11665" xr:uid="{00000000-0005-0000-0000-000035210000}"/>
    <cellStyle name="Вычисление 4 36 4" xfId="15901" xr:uid="{00000000-0005-0000-0000-000036210000}"/>
    <cellStyle name="Вычисление 4 37" xfId="2662" xr:uid="{00000000-0005-0000-0000-000037210000}"/>
    <cellStyle name="Вычисление 4 37 2" xfId="7398" xr:uid="{00000000-0005-0000-0000-000038210000}"/>
    <cellStyle name="Вычисление 4 37 3" xfId="11666" xr:uid="{00000000-0005-0000-0000-000039210000}"/>
    <cellStyle name="Вычисление 4 37 4" xfId="15902" xr:uid="{00000000-0005-0000-0000-00003A210000}"/>
    <cellStyle name="Вычисление 4 38" xfId="2663" xr:uid="{00000000-0005-0000-0000-00003B210000}"/>
    <cellStyle name="Вычисление 4 38 2" xfId="7399" xr:uid="{00000000-0005-0000-0000-00003C210000}"/>
    <cellStyle name="Вычисление 4 38 3" xfId="11667" xr:uid="{00000000-0005-0000-0000-00003D210000}"/>
    <cellStyle name="Вычисление 4 38 4" xfId="15903" xr:uid="{00000000-0005-0000-0000-00003E210000}"/>
    <cellStyle name="Вычисление 4 39" xfId="2664" xr:uid="{00000000-0005-0000-0000-00003F210000}"/>
    <cellStyle name="Вычисление 4 39 2" xfId="7400" xr:uid="{00000000-0005-0000-0000-000040210000}"/>
    <cellStyle name="Вычисление 4 39 3" xfId="11668" xr:uid="{00000000-0005-0000-0000-000041210000}"/>
    <cellStyle name="Вычисление 4 39 4" xfId="15904" xr:uid="{00000000-0005-0000-0000-000042210000}"/>
    <cellStyle name="Вычисление 4 4" xfId="2665" xr:uid="{00000000-0005-0000-0000-000043210000}"/>
    <cellStyle name="Вычисление 4 4 2" xfId="2666" xr:uid="{00000000-0005-0000-0000-000044210000}"/>
    <cellStyle name="Вычисление 4 4 2 2" xfId="7402" xr:uid="{00000000-0005-0000-0000-000045210000}"/>
    <cellStyle name="Вычисление 4 4 2 3" xfId="11670" xr:uid="{00000000-0005-0000-0000-000046210000}"/>
    <cellStyle name="Вычисление 4 4 2 4" xfId="15906" xr:uid="{00000000-0005-0000-0000-000047210000}"/>
    <cellStyle name="Вычисление 4 4 3" xfId="2667" xr:uid="{00000000-0005-0000-0000-000048210000}"/>
    <cellStyle name="Вычисление 4 4 3 2" xfId="7403" xr:uid="{00000000-0005-0000-0000-000049210000}"/>
    <cellStyle name="Вычисление 4 4 3 3" xfId="11671" xr:uid="{00000000-0005-0000-0000-00004A210000}"/>
    <cellStyle name="Вычисление 4 4 3 4" xfId="15907" xr:uid="{00000000-0005-0000-0000-00004B210000}"/>
    <cellStyle name="Вычисление 4 4 4" xfId="7401" xr:uid="{00000000-0005-0000-0000-00004C210000}"/>
    <cellStyle name="Вычисление 4 4 5" xfId="11669" xr:uid="{00000000-0005-0000-0000-00004D210000}"/>
    <cellStyle name="Вычисление 4 4 6" xfId="15905" xr:uid="{00000000-0005-0000-0000-00004E210000}"/>
    <cellStyle name="Вычисление 4 40" xfId="2668" xr:uid="{00000000-0005-0000-0000-00004F210000}"/>
    <cellStyle name="Вычисление 4 40 2" xfId="7404" xr:uid="{00000000-0005-0000-0000-000050210000}"/>
    <cellStyle name="Вычисление 4 40 3" xfId="11672" xr:uid="{00000000-0005-0000-0000-000051210000}"/>
    <cellStyle name="Вычисление 4 40 4" xfId="15908" xr:uid="{00000000-0005-0000-0000-000052210000}"/>
    <cellStyle name="Вычисление 4 41" xfId="2669" xr:uid="{00000000-0005-0000-0000-000053210000}"/>
    <cellStyle name="Вычисление 4 41 2" xfId="7405" xr:uid="{00000000-0005-0000-0000-000054210000}"/>
    <cellStyle name="Вычисление 4 41 3" xfId="11673" xr:uid="{00000000-0005-0000-0000-000055210000}"/>
    <cellStyle name="Вычисление 4 41 4" xfId="15909" xr:uid="{00000000-0005-0000-0000-000056210000}"/>
    <cellStyle name="Вычисление 4 42" xfId="2670" xr:uid="{00000000-0005-0000-0000-000057210000}"/>
    <cellStyle name="Вычисление 4 42 2" xfId="7406" xr:uid="{00000000-0005-0000-0000-000058210000}"/>
    <cellStyle name="Вычисление 4 42 3" xfId="11674" xr:uid="{00000000-0005-0000-0000-000059210000}"/>
    <cellStyle name="Вычисление 4 42 4" xfId="15910" xr:uid="{00000000-0005-0000-0000-00005A210000}"/>
    <cellStyle name="Вычисление 4 43" xfId="2671" xr:uid="{00000000-0005-0000-0000-00005B210000}"/>
    <cellStyle name="Вычисление 4 43 2" xfId="7407" xr:uid="{00000000-0005-0000-0000-00005C210000}"/>
    <cellStyle name="Вычисление 4 43 3" xfId="11675" xr:uid="{00000000-0005-0000-0000-00005D210000}"/>
    <cellStyle name="Вычисление 4 43 4" xfId="15911" xr:uid="{00000000-0005-0000-0000-00005E210000}"/>
    <cellStyle name="Вычисление 4 44" xfId="2672" xr:uid="{00000000-0005-0000-0000-00005F210000}"/>
    <cellStyle name="Вычисление 4 44 2" xfId="7408" xr:uid="{00000000-0005-0000-0000-000060210000}"/>
    <cellStyle name="Вычисление 4 44 3" xfId="11676" xr:uid="{00000000-0005-0000-0000-000061210000}"/>
    <cellStyle name="Вычисление 4 44 4" xfId="15912" xr:uid="{00000000-0005-0000-0000-000062210000}"/>
    <cellStyle name="Вычисление 4 45" xfId="2673" xr:uid="{00000000-0005-0000-0000-000063210000}"/>
    <cellStyle name="Вычисление 4 45 2" xfId="7409" xr:uid="{00000000-0005-0000-0000-000064210000}"/>
    <cellStyle name="Вычисление 4 45 3" xfId="11677" xr:uid="{00000000-0005-0000-0000-000065210000}"/>
    <cellStyle name="Вычисление 4 45 4" xfId="15913" xr:uid="{00000000-0005-0000-0000-000066210000}"/>
    <cellStyle name="Вычисление 4 46" xfId="2674" xr:uid="{00000000-0005-0000-0000-000067210000}"/>
    <cellStyle name="Вычисление 4 46 2" xfId="7410" xr:uid="{00000000-0005-0000-0000-000068210000}"/>
    <cellStyle name="Вычисление 4 46 3" xfId="11678" xr:uid="{00000000-0005-0000-0000-000069210000}"/>
    <cellStyle name="Вычисление 4 46 4" xfId="15914" xr:uid="{00000000-0005-0000-0000-00006A210000}"/>
    <cellStyle name="Вычисление 4 47" xfId="2675" xr:uid="{00000000-0005-0000-0000-00006B210000}"/>
    <cellStyle name="Вычисление 4 47 2" xfId="7411" xr:uid="{00000000-0005-0000-0000-00006C210000}"/>
    <cellStyle name="Вычисление 4 47 3" xfId="11679" xr:uid="{00000000-0005-0000-0000-00006D210000}"/>
    <cellStyle name="Вычисление 4 47 4" xfId="15915" xr:uid="{00000000-0005-0000-0000-00006E210000}"/>
    <cellStyle name="Вычисление 4 48" xfId="2676" xr:uid="{00000000-0005-0000-0000-00006F210000}"/>
    <cellStyle name="Вычисление 4 48 2" xfId="7412" xr:uid="{00000000-0005-0000-0000-000070210000}"/>
    <cellStyle name="Вычисление 4 48 3" xfId="11680" xr:uid="{00000000-0005-0000-0000-000071210000}"/>
    <cellStyle name="Вычисление 4 48 4" xfId="15916" xr:uid="{00000000-0005-0000-0000-000072210000}"/>
    <cellStyle name="Вычисление 4 49" xfId="2677" xr:uid="{00000000-0005-0000-0000-000073210000}"/>
    <cellStyle name="Вычисление 4 49 2" xfId="7413" xr:uid="{00000000-0005-0000-0000-000074210000}"/>
    <cellStyle name="Вычисление 4 49 3" xfId="11681" xr:uid="{00000000-0005-0000-0000-000075210000}"/>
    <cellStyle name="Вычисление 4 49 4" xfId="15917" xr:uid="{00000000-0005-0000-0000-000076210000}"/>
    <cellStyle name="Вычисление 4 5" xfId="2678" xr:uid="{00000000-0005-0000-0000-000077210000}"/>
    <cellStyle name="Вычисление 4 5 2" xfId="7414" xr:uid="{00000000-0005-0000-0000-000078210000}"/>
    <cellStyle name="Вычисление 4 5 3" xfId="11682" xr:uid="{00000000-0005-0000-0000-000079210000}"/>
    <cellStyle name="Вычисление 4 5 4" xfId="15918" xr:uid="{00000000-0005-0000-0000-00007A210000}"/>
    <cellStyle name="Вычисление 4 50" xfId="2679" xr:uid="{00000000-0005-0000-0000-00007B210000}"/>
    <cellStyle name="Вычисление 4 50 2" xfId="7415" xr:uid="{00000000-0005-0000-0000-00007C210000}"/>
    <cellStyle name="Вычисление 4 50 3" xfId="11683" xr:uid="{00000000-0005-0000-0000-00007D210000}"/>
    <cellStyle name="Вычисление 4 50 4" xfId="15919" xr:uid="{00000000-0005-0000-0000-00007E210000}"/>
    <cellStyle name="Вычисление 4 51" xfId="2680" xr:uid="{00000000-0005-0000-0000-00007F210000}"/>
    <cellStyle name="Вычисление 4 51 2" xfId="7416" xr:uid="{00000000-0005-0000-0000-000080210000}"/>
    <cellStyle name="Вычисление 4 51 3" xfId="11684" xr:uid="{00000000-0005-0000-0000-000081210000}"/>
    <cellStyle name="Вычисление 4 51 4" xfId="15920" xr:uid="{00000000-0005-0000-0000-000082210000}"/>
    <cellStyle name="Вычисление 4 52" xfId="2681" xr:uid="{00000000-0005-0000-0000-000083210000}"/>
    <cellStyle name="Вычисление 4 52 2" xfId="7417" xr:uid="{00000000-0005-0000-0000-000084210000}"/>
    <cellStyle name="Вычисление 4 52 3" xfId="11685" xr:uid="{00000000-0005-0000-0000-000085210000}"/>
    <cellStyle name="Вычисление 4 52 4" xfId="15921" xr:uid="{00000000-0005-0000-0000-000086210000}"/>
    <cellStyle name="Вычисление 4 53" xfId="2682" xr:uid="{00000000-0005-0000-0000-000087210000}"/>
    <cellStyle name="Вычисление 4 53 2" xfId="7418" xr:uid="{00000000-0005-0000-0000-000088210000}"/>
    <cellStyle name="Вычисление 4 53 3" xfId="11686" xr:uid="{00000000-0005-0000-0000-000089210000}"/>
    <cellStyle name="Вычисление 4 53 4" xfId="15922" xr:uid="{00000000-0005-0000-0000-00008A210000}"/>
    <cellStyle name="Вычисление 4 54" xfId="2683" xr:uid="{00000000-0005-0000-0000-00008B210000}"/>
    <cellStyle name="Вычисление 4 54 2" xfId="7419" xr:uid="{00000000-0005-0000-0000-00008C210000}"/>
    <cellStyle name="Вычисление 4 54 3" xfId="11687" xr:uid="{00000000-0005-0000-0000-00008D210000}"/>
    <cellStyle name="Вычисление 4 54 4" xfId="15923" xr:uid="{00000000-0005-0000-0000-00008E210000}"/>
    <cellStyle name="Вычисление 4 55" xfId="2684" xr:uid="{00000000-0005-0000-0000-00008F210000}"/>
    <cellStyle name="Вычисление 4 55 2" xfId="7420" xr:uid="{00000000-0005-0000-0000-000090210000}"/>
    <cellStyle name="Вычисление 4 55 3" xfId="11688" xr:uid="{00000000-0005-0000-0000-000091210000}"/>
    <cellStyle name="Вычисление 4 55 4" xfId="15924" xr:uid="{00000000-0005-0000-0000-000092210000}"/>
    <cellStyle name="Вычисление 4 56" xfId="2685" xr:uid="{00000000-0005-0000-0000-000093210000}"/>
    <cellStyle name="Вычисление 4 56 2" xfId="7421" xr:uid="{00000000-0005-0000-0000-000094210000}"/>
    <cellStyle name="Вычисление 4 56 3" xfId="11689" xr:uid="{00000000-0005-0000-0000-000095210000}"/>
    <cellStyle name="Вычисление 4 56 4" xfId="15925" xr:uid="{00000000-0005-0000-0000-000096210000}"/>
    <cellStyle name="Вычисление 4 57" xfId="2686" xr:uid="{00000000-0005-0000-0000-000097210000}"/>
    <cellStyle name="Вычисление 4 57 2" xfId="7422" xr:uid="{00000000-0005-0000-0000-000098210000}"/>
    <cellStyle name="Вычисление 4 57 3" xfId="11690" xr:uid="{00000000-0005-0000-0000-000099210000}"/>
    <cellStyle name="Вычисление 4 57 4" xfId="15926" xr:uid="{00000000-0005-0000-0000-00009A210000}"/>
    <cellStyle name="Вычисление 4 58" xfId="2687" xr:uid="{00000000-0005-0000-0000-00009B210000}"/>
    <cellStyle name="Вычисление 4 58 2" xfId="7423" xr:uid="{00000000-0005-0000-0000-00009C210000}"/>
    <cellStyle name="Вычисление 4 58 3" xfId="11691" xr:uid="{00000000-0005-0000-0000-00009D210000}"/>
    <cellStyle name="Вычисление 4 58 4" xfId="15927" xr:uid="{00000000-0005-0000-0000-00009E210000}"/>
    <cellStyle name="Вычисление 4 59" xfId="2688" xr:uid="{00000000-0005-0000-0000-00009F210000}"/>
    <cellStyle name="Вычисление 4 59 2" xfId="7424" xr:uid="{00000000-0005-0000-0000-0000A0210000}"/>
    <cellStyle name="Вычисление 4 59 3" xfId="11692" xr:uid="{00000000-0005-0000-0000-0000A1210000}"/>
    <cellStyle name="Вычисление 4 59 4" xfId="15928" xr:uid="{00000000-0005-0000-0000-0000A2210000}"/>
    <cellStyle name="Вычисление 4 6" xfId="2689" xr:uid="{00000000-0005-0000-0000-0000A3210000}"/>
    <cellStyle name="Вычисление 4 6 2" xfId="7425" xr:uid="{00000000-0005-0000-0000-0000A4210000}"/>
    <cellStyle name="Вычисление 4 6 3" xfId="11693" xr:uid="{00000000-0005-0000-0000-0000A5210000}"/>
    <cellStyle name="Вычисление 4 6 4" xfId="15929" xr:uid="{00000000-0005-0000-0000-0000A6210000}"/>
    <cellStyle name="Вычисление 4 60" xfId="2690" xr:uid="{00000000-0005-0000-0000-0000A7210000}"/>
    <cellStyle name="Вычисление 4 60 2" xfId="7426" xr:uid="{00000000-0005-0000-0000-0000A8210000}"/>
    <cellStyle name="Вычисление 4 60 3" xfId="11694" xr:uid="{00000000-0005-0000-0000-0000A9210000}"/>
    <cellStyle name="Вычисление 4 60 4" xfId="15930" xr:uid="{00000000-0005-0000-0000-0000AA210000}"/>
    <cellStyle name="Вычисление 4 61" xfId="2691" xr:uid="{00000000-0005-0000-0000-0000AB210000}"/>
    <cellStyle name="Вычисление 4 61 2" xfId="7427" xr:uid="{00000000-0005-0000-0000-0000AC210000}"/>
    <cellStyle name="Вычисление 4 61 3" xfId="11695" xr:uid="{00000000-0005-0000-0000-0000AD210000}"/>
    <cellStyle name="Вычисление 4 61 4" xfId="15931" xr:uid="{00000000-0005-0000-0000-0000AE210000}"/>
    <cellStyle name="Вычисление 4 62" xfId="2692" xr:uid="{00000000-0005-0000-0000-0000AF210000}"/>
    <cellStyle name="Вычисление 4 62 2" xfId="7428" xr:uid="{00000000-0005-0000-0000-0000B0210000}"/>
    <cellStyle name="Вычисление 4 62 3" xfId="11696" xr:uid="{00000000-0005-0000-0000-0000B1210000}"/>
    <cellStyle name="Вычисление 4 62 4" xfId="15932" xr:uid="{00000000-0005-0000-0000-0000B2210000}"/>
    <cellStyle name="Вычисление 4 63" xfId="2693" xr:uid="{00000000-0005-0000-0000-0000B3210000}"/>
    <cellStyle name="Вычисление 4 63 2" xfId="7429" xr:uid="{00000000-0005-0000-0000-0000B4210000}"/>
    <cellStyle name="Вычисление 4 63 3" xfId="11697" xr:uid="{00000000-0005-0000-0000-0000B5210000}"/>
    <cellStyle name="Вычисление 4 63 4" xfId="15933" xr:uid="{00000000-0005-0000-0000-0000B6210000}"/>
    <cellStyle name="Вычисление 4 64" xfId="2694" xr:uid="{00000000-0005-0000-0000-0000B7210000}"/>
    <cellStyle name="Вычисление 4 64 2" xfId="7430" xr:uid="{00000000-0005-0000-0000-0000B8210000}"/>
    <cellStyle name="Вычисление 4 64 3" xfId="11698" xr:uid="{00000000-0005-0000-0000-0000B9210000}"/>
    <cellStyle name="Вычисление 4 64 4" xfId="15934" xr:uid="{00000000-0005-0000-0000-0000BA210000}"/>
    <cellStyle name="Вычисление 4 65" xfId="2695" xr:uid="{00000000-0005-0000-0000-0000BB210000}"/>
    <cellStyle name="Вычисление 4 65 2" xfId="7431" xr:uid="{00000000-0005-0000-0000-0000BC210000}"/>
    <cellStyle name="Вычисление 4 65 3" xfId="11699" xr:uid="{00000000-0005-0000-0000-0000BD210000}"/>
    <cellStyle name="Вычисление 4 65 4" xfId="15935" xr:uid="{00000000-0005-0000-0000-0000BE210000}"/>
    <cellStyle name="Вычисление 4 66" xfId="2696" xr:uid="{00000000-0005-0000-0000-0000BF210000}"/>
    <cellStyle name="Вычисление 4 66 2" xfId="7432" xr:uid="{00000000-0005-0000-0000-0000C0210000}"/>
    <cellStyle name="Вычисление 4 66 3" xfId="11700" xr:uid="{00000000-0005-0000-0000-0000C1210000}"/>
    <cellStyle name="Вычисление 4 66 4" xfId="15936" xr:uid="{00000000-0005-0000-0000-0000C2210000}"/>
    <cellStyle name="Вычисление 4 67" xfId="2697" xr:uid="{00000000-0005-0000-0000-0000C3210000}"/>
    <cellStyle name="Вычисление 4 67 2" xfId="7433" xr:uid="{00000000-0005-0000-0000-0000C4210000}"/>
    <cellStyle name="Вычисление 4 67 3" xfId="11701" xr:uid="{00000000-0005-0000-0000-0000C5210000}"/>
    <cellStyle name="Вычисление 4 67 4" xfId="15937" xr:uid="{00000000-0005-0000-0000-0000C6210000}"/>
    <cellStyle name="Вычисление 4 68" xfId="2698" xr:uid="{00000000-0005-0000-0000-0000C7210000}"/>
    <cellStyle name="Вычисление 4 68 2" xfId="7434" xr:uid="{00000000-0005-0000-0000-0000C8210000}"/>
    <cellStyle name="Вычисление 4 68 3" xfId="11702" xr:uid="{00000000-0005-0000-0000-0000C9210000}"/>
    <cellStyle name="Вычисление 4 68 4" xfId="15938" xr:uid="{00000000-0005-0000-0000-0000CA210000}"/>
    <cellStyle name="Вычисление 4 69" xfId="2699" xr:uid="{00000000-0005-0000-0000-0000CB210000}"/>
    <cellStyle name="Вычисление 4 69 2" xfId="7435" xr:uid="{00000000-0005-0000-0000-0000CC210000}"/>
    <cellStyle name="Вычисление 4 69 3" xfId="11703" xr:uid="{00000000-0005-0000-0000-0000CD210000}"/>
    <cellStyle name="Вычисление 4 69 4" xfId="15939" xr:uid="{00000000-0005-0000-0000-0000CE210000}"/>
    <cellStyle name="Вычисление 4 7" xfId="2700" xr:uid="{00000000-0005-0000-0000-0000CF210000}"/>
    <cellStyle name="Вычисление 4 7 2" xfId="7436" xr:uid="{00000000-0005-0000-0000-0000D0210000}"/>
    <cellStyle name="Вычисление 4 7 3" xfId="11704" xr:uid="{00000000-0005-0000-0000-0000D1210000}"/>
    <cellStyle name="Вычисление 4 7 4" xfId="15940" xr:uid="{00000000-0005-0000-0000-0000D2210000}"/>
    <cellStyle name="Вычисление 4 70" xfId="2701" xr:uid="{00000000-0005-0000-0000-0000D3210000}"/>
    <cellStyle name="Вычисление 4 70 2" xfId="7437" xr:uid="{00000000-0005-0000-0000-0000D4210000}"/>
    <cellStyle name="Вычисление 4 70 3" xfId="11705" xr:uid="{00000000-0005-0000-0000-0000D5210000}"/>
    <cellStyle name="Вычисление 4 70 4" xfId="15941" xr:uid="{00000000-0005-0000-0000-0000D6210000}"/>
    <cellStyle name="Вычисление 4 71" xfId="2702" xr:uid="{00000000-0005-0000-0000-0000D7210000}"/>
    <cellStyle name="Вычисление 4 71 2" xfId="7438" xr:uid="{00000000-0005-0000-0000-0000D8210000}"/>
    <cellStyle name="Вычисление 4 71 3" xfId="11706" xr:uid="{00000000-0005-0000-0000-0000D9210000}"/>
    <cellStyle name="Вычисление 4 71 4" xfId="15942" xr:uid="{00000000-0005-0000-0000-0000DA210000}"/>
    <cellStyle name="Вычисление 4 72" xfId="2703" xr:uid="{00000000-0005-0000-0000-0000DB210000}"/>
    <cellStyle name="Вычисление 4 72 2" xfId="7439" xr:uid="{00000000-0005-0000-0000-0000DC210000}"/>
    <cellStyle name="Вычисление 4 72 3" xfId="11707" xr:uid="{00000000-0005-0000-0000-0000DD210000}"/>
    <cellStyle name="Вычисление 4 72 4" xfId="15943" xr:uid="{00000000-0005-0000-0000-0000DE210000}"/>
    <cellStyle name="Вычисление 4 73" xfId="2704" xr:uid="{00000000-0005-0000-0000-0000DF210000}"/>
    <cellStyle name="Вычисление 4 73 2" xfId="7440" xr:uid="{00000000-0005-0000-0000-0000E0210000}"/>
    <cellStyle name="Вычисление 4 73 3" xfId="11708" xr:uid="{00000000-0005-0000-0000-0000E1210000}"/>
    <cellStyle name="Вычисление 4 73 4" xfId="15944" xr:uid="{00000000-0005-0000-0000-0000E2210000}"/>
    <cellStyle name="Вычисление 4 74" xfId="2705" xr:uid="{00000000-0005-0000-0000-0000E3210000}"/>
    <cellStyle name="Вычисление 4 74 2" xfId="7441" xr:uid="{00000000-0005-0000-0000-0000E4210000}"/>
    <cellStyle name="Вычисление 4 74 3" xfId="11709" xr:uid="{00000000-0005-0000-0000-0000E5210000}"/>
    <cellStyle name="Вычисление 4 74 4" xfId="15945" xr:uid="{00000000-0005-0000-0000-0000E6210000}"/>
    <cellStyle name="Вычисление 4 75" xfId="2706" xr:uid="{00000000-0005-0000-0000-0000E7210000}"/>
    <cellStyle name="Вычисление 4 75 2" xfId="7442" xr:uid="{00000000-0005-0000-0000-0000E8210000}"/>
    <cellStyle name="Вычисление 4 75 3" xfId="11710" xr:uid="{00000000-0005-0000-0000-0000E9210000}"/>
    <cellStyle name="Вычисление 4 75 4" xfId="15946" xr:uid="{00000000-0005-0000-0000-0000EA210000}"/>
    <cellStyle name="Вычисление 4 76" xfId="2707" xr:uid="{00000000-0005-0000-0000-0000EB210000}"/>
    <cellStyle name="Вычисление 4 76 2" xfId="7443" xr:uid="{00000000-0005-0000-0000-0000EC210000}"/>
    <cellStyle name="Вычисление 4 76 3" xfId="11711" xr:uid="{00000000-0005-0000-0000-0000ED210000}"/>
    <cellStyle name="Вычисление 4 76 4" xfId="15947" xr:uid="{00000000-0005-0000-0000-0000EE210000}"/>
    <cellStyle name="Вычисление 4 77" xfId="2708" xr:uid="{00000000-0005-0000-0000-0000EF210000}"/>
    <cellStyle name="Вычисление 4 77 2" xfId="7444" xr:uid="{00000000-0005-0000-0000-0000F0210000}"/>
    <cellStyle name="Вычисление 4 77 3" xfId="11712" xr:uid="{00000000-0005-0000-0000-0000F1210000}"/>
    <cellStyle name="Вычисление 4 77 4" xfId="15948" xr:uid="{00000000-0005-0000-0000-0000F2210000}"/>
    <cellStyle name="Вычисление 4 78" xfId="2709" xr:uid="{00000000-0005-0000-0000-0000F3210000}"/>
    <cellStyle name="Вычисление 4 78 2" xfId="7445" xr:uid="{00000000-0005-0000-0000-0000F4210000}"/>
    <cellStyle name="Вычисление 4 78 3" xfId="11713" xr:uid="{00000000-0005-0000-0000-0000F5210000}"/>
    <cellStyle name="Вычисление 4 78 4" xfId="15949" xr:uid="{00000000-0005-0000-0000-0000F6210000}"/>
    <cellStyle name="Вычисление 4 79" xfId="2710" xr:uid="{00000000-0005-0000-0000-0000F7210000}"/>
    <cellStyle name="Вычисление 4 79 2" xfId="7446" xr:uid="{00000000-0005-0000-0000-0000F8210000}"/>
    <cellStyle name="Вычисление 4 79 3" xfId="11714" xr:uid="{00000000-0005-0000-0000-0000F9210000}"/>
    <cellStyle name="Вычисление 4 79 4" xfId="15950" xr:uid="{00000000-0005-0000-0000-0000FA210000}"/>
    <cellStyle name="Вычисление 4 8" xfId="2711" xr:uid="{00000000-0005-0000-0000-0000FB210000}"/>
    <cellStyle name="Вычисление 4 8 2" xfId="7447" xr:uid="{00000000-0005-0000-0000-0000FC210000}"/>
    <cellStyle name="Вычисление 4 8 3" xfId="11715" xr:uid="{00000000-0005-0000-0000-0000FD210000}"/>
    <cellStyle name="Вычисление 4 8 4" xfId="15951" xr:uid="{00000000-0005-0000-0000-0000FE210000}"/>
    <cellStyle name="Вычисление 4 80" xfId="2712" xr:uid="{00000000-0005-0000-0000-0000FF210000}"/>
    <cellStyle name="Вычисление 4 80 2" xfId="7448" xr:uid="{00000000-0005-0000-0000-000000220000}"/>
    <cellStyle name="Вычисление 4 80 3" xfId="11716" xr:uid="{00000000-0005-0000-0000-000001220000}"/>
    <cellStyle name="Вычисление 4 80 4" xfId="15952" xr:uid="{00000000-0005-0000-0000-000002220000}"/>
    <cellStyle name="Вычисление 4 81" xfId="2713" xr:uid="{00000000-0005-0000-0000-000003220000}"/>
    <cellStyle name="Вычисление 4 81 2" xfId="7449" xr:uid="{00000000-0005-0000-0000-000004220000}"/>
    <cellStyle name="Вычисление 4 81 3" xfId="11717" xr:uid="{00000000-0005-0000-0000-000005220000}"/>
    <cellStyle name="Вычисление 4 81 4" xfId="15953" xr:uid="{00000000-0005-0000-0000-000006220000}"/>
    <cellStyle name="Вычисление 4 82" xfId="2714" xr:uid="{00000000-0005-0000-0000-000007220000}"/>
    <cellStyle name="Вычисление 4 82 2" xfId="7450" xr:uid="{00000000-0005-0000-0000-000008220000}"/>
    <cellStyle name="Вычисление 4 82 3" xfId="11718" xr:uid="{00000000-0005-0000-0000-000009220000}"/>
    <cellStyle name="Вычисление 4 82 4" xfId="15954" xr:uid="{00000000-0005-0000-0000-00000A220000}"/>
    <cellStyle name="Вычисление 4 83" xfId="2715" xr:uid="{00000000-0005-0000-0000-00000B220000}"/>
    <cellStyle name="Вычисление 4 83 2" xfId="7451" xr:uid="{00000000-0005-0000-0000-00000C220000}"/>
    <cellStyle name="Вычисление 4 83 3" xfId="11719" xr:uid="{00000000-0005-0000-0000-00000D220000}"/>
    <cellStyle name="Вычисление 4 83 4" xfId="15955" xr:uid="{00000000-0005-0000-0000-00000E220000}"/>
    <cellStyle name="Вычисление 4 84" xfId="2716" xr:uid="{00000000-0005-0000-0000-00000F220000}"/>
    <cellStyle name="Вычисление 4 84 2" xfId="7452" xr:uid="{00000000-0005-0000-0000-000010220000}"/>
    <cellStyle name="Вычисление 4 84 3" xfId="11720" xr:uid="{00000000-0005-0000-0000-000011220000}"/>
    <cellStyle name="Вычисление 4 84 4" xfId="15956" xr:uid="{00000000-0005-0000-0000-000012220000}"/>
    <cellStyle name="Вычисление 4 85" xfId="2717" xr:uid="{00000000-0005-0000-0000-000013220000}"/>
    <cellStyle name="Вычисление 4 85 2" xfId="7453" xr:uid="{00000000-0005-0000-0000-000014220000}"/>
    <cellStyle name="Вычисление 4 85 3" xfId="11721" xr:uid="{00000000-0005-0000-0000-000015220000}"/>
    <cellStyle name="Вычисление 4 85 4" xfId="15957" xr:uid="{00000000-0005-0000-0000-000016220000}"/>
    <cellStyle name="Вычисление 4 86" xfId="2718" xr:uid="{00000000-0005-0000-0000-000017220000}"/>
    <cellStyle name="Вычисление 4 86 2" xfId="7454" xr:uid="{00000000-0005-0000-0000-000018220000}"/>
    <cellStyle name="Вычисление 4 86 3" xfId="11722" xr:uid="{00000000-0005-0000-0000-000019220000}"/>
    <cellStyle name="Вычисление 4 86 4" xfId="15958" xr:uid="{00000000-0005-0000-0000-00001A220000}"/>
    <cellStyle name="Вычисление 4 87" xfId="2719" xr:uid="{00000000-0005-0000-0000-00001B220000}"/>
    <cellStyle name="Вычисление 4 87 2" xfId="7455" xr:uid="{00000000-0005-0000-0000-00001C220000}"/>
    <cellStyle name="Вычисление 4 87 3" xfId="11723" xr:uid="{00000000-0005-0000-0000-00001D220000}"/>
    <cellStyle name="Вычисление 4 87 4" xfId="15959" xr:uid="{00000000-0005-0000-0000-00001E220000}"/>
    <cellStyle name="Вычисление 4 88" xfId="2720" xr:uid="{00000000-0005-0000-0000-00001F220000}"/>
    <cellStyle name="Вычисление 4 88 2" xfId="7456" xr:uid="{00000000-0005-0000-0000-000020220000}"/>
    <cellStyle name="Вычисление 4 88 3" xfId="11724" xr:uid="{00000000-0005-0000-0000-000021220000}"/>
    <cellStyle name="Вычисление 4 88 4" xfId="15960" xr:uid="{00000000-0005-0000-0000-000022220000}"/>
    <cellStyle name="Вычисление 4 89" xfId="2721" xr:uid="{00000000-0005-0000-0000-000023220000}"/>
    <cellStyle name="Вычисление 4 89 2" xfId="7457" xr:uid="{00000000-0005-0000-0000-000024220000}"/>
    <cellStyle name="Вычисление 4 89 3" xfId="11725" xr:uid="{00000000-0005-0000-0000-000025220000}"/>
    <cellStyle name="Вычисление 4 89 4" xfId="15961" xr:uid="{00000000-0005-0000-0000-000026220000}"/>
    <cellStyle name="Вычисление 4 9" xfId="2722" xr:uid="{00000000-0005-0000-0000-000027220000}"/>
    <cellStyle name="Вычисление 4 9 2" xfId="7458" xr:uid="{00000000-0005-0000-0000-000028220000}"/>
    <cellStyle name="Вычисление 4 9 3" xfId="11726" xr:uid="{00000000-0005-0000-0000-000029220000}"/>
    <cellStyle name="Вычисление 4 9 4" xfId="15962" xr:uid="{00000000-0005-0000-0000-00002A220000}"/>
    <cellStyle name="Вычисление 4 90" xfId="2723" xr:uid="{00000000-0005-0000-0000-00002B220000}"/>
    <cellStyle name="Вычисление 4 90 2" xfId="7459" xr:uid="{00000000-0005-0000-0000-00002C220000}"/>
    <cellStyle name="Вычисление 4 90 3" xfId="11727" xr:uid="{00000000-0005-0000-0000-00002D220000}"/>
    <cellStyle name="Вычисление 4 90 4" xfId="15963" xr:uid="{00000000-0005-0000-0000-00002E220000}"/>
    <cellStyle name="Вычисление 4 91" xfId="2724" xr:uid="{00000000-0005-0000-0000-00002F220000}"/>
    <cellStyle name="Вычисление 4 91 2" xfId="7460" xr:uid="{00000000-0005-0000-0000-000030220000}"/>
    <cellStyle name="Вычисление 4 91 3" xfId="11728" xr:uid="{00000000-0005-0000-0000-000031220000}"/>
    <cellStyle name="Вычисление 4 91 4" xfId="15964" xr:uid="{00000000-0005-0000-0000-000032220000}"/>
    <cellStyle name="Вычисление 4 92" xfId="5198" xr:uid="{00000000-0005-0000-0000-000033220000}"/>
    <cellStyle name="Вычисление 4 93" xfId="5247" xr:uid="{00000000-0005-0000-0000-000034220000}"/>
    <cellStyle name="Вычисление 4 94" xfId="8818" xr:uid="{00000000-0005-0000-0000-000035220000}"/>
    <cellStyle name="Вычисление 5" xfId="245" xr:uid="{00000000-0005-0000-0000-000036220000}"/>
    <cellStyle name="Вычисление 5 10" xfId="2725" xr:uid="{00000000-0005-0000-0000-000037220000}"/>
    <cellStyle name="Вычисление 5 10 2" xfId="7461" xr:uid="{00000000-0005-0000-0000-000038220000}"/>
    <cellStyle name="Вычисление 5 10 3" xfId="11729" xr:uid="{00000000-0005-0000-0000-000039220000}"/>
    <cellStyle name="Вычисление 5 10 4" xfId="15965" xr:uid="{00000000-0005-0000-0000-00003A220000}"/>
    <cellStyle name="Вычисление 5 11" xfId="2726" xr:uid="{00000000-0005-0000-0000-00003B220000}"/>
    <cellStyle name="Вычисление 5 11 2" xfId="7462" xr:uid="{00000000-0005-0000-0000-00003C220000}"/>
    <cellStyle name="Вычисление 5 11 3" xfId="11730" xr:uid="{00000000-0005-0000-0000-00003D220000}"/>
    <cellStyle name="Вычисление 5 11 4" xfId="15966" xr:uid="{00000000-0005-0000-0000-00003E220000}"/>
    <cellStyle name="Вычисление 5 12" xfId="2727" xr:uid="{00000000-0005-0000-0000-00003F220000}"/>
    <cellStyle name="Вычисление 5 12 2" xfId="7463" xr:uid="{00000000-0005-0000-0000-000040220000}"/>
    <cellStyle name="Вычисление 5 12 3" xfId="11731" xr:uid="{00000000-0005-0000-0000-000041220000}"/>
    <cellStyle name="Вычисление 5 12 4" xfId="15967" xr:uid="{00000000-0005-0000-0000-000042220000}"/>
    <cellStyle name="Вычисление 5 13" xfId="2728" xr:uid="{00000000-0005-0000-0000-000043220000}"/>
    <cellStyle name="Вычисление 5 13 2" xfId="7464" xr:uid="{00000000-0005-0000-0000-000044220000}"/>
    <cellStyle name="Вычисление 5 13 3" xfId="11732" xr:uid="{00000000-0005-0000-0000-000045220000}"/>
    <cellStyle name="Вычисление 5 13 4" xfId="15968" xr:uid="{00000000-0005-0000-0000-000046220000}"/>
    <cellStyle name="Вычисление 5 14" xfId="2729" xr:uid="{00000000-0005-0000-0000-000047220000}"/>
    <cellStyle name="Вычисление 5 14 2" xfId="7465" xr:uid="{00000000-0005-0000-0000-000048220000}"/>
    <cellStyle name="Вычисление 5 14 3" xfId="11733" xr:uid="{00000000-0005-0000-0000-000049220000}"/>
    <cellStyle name="Вычисление 5 14 4" xfId="15969" xr:uid="{00000000-0005-0000-0000-00004A220000}"/>
    <cellStyle name="Вычисление 5 15" xfId="2730" xr:uid="{00000000-0005-0000-0000-00004B220000}"/>
    <cellStyle name="Вычисление 5 15 2" xfId="7466" xr:uid="{00000000-0005-0000-0000-00004C220000}"/>
    <cellStyle name="Вычисление 5 15 3" xfId="11734" xr:uid="{00000000-0005-0000-0000-00004D220000}"/>
    <cellStyle name="Вычисление 5 15 4" xfId="15970" xr:uid="{00000000-0005-0000-0000-00004E220000}"/>
    <cellStyle name="Вычисление 5 16" xfId="2731" xr:uid="{00000000-0005-0000-0000-00004F220000}"/>
    <cellStyle name="Вычисление 5 16 2" xfId="7467" xr:uid="{00000000-0005-0000-0000-000050220000}"/>
    <cellStyle name="Вычисление 5 16 3" xfId="11735" xr:uid="{00000000-0005-0000-0000-000051220000}"/>
    <cellStyle name="Вычисление 5 16 4" xfId="15971" xr:uid="{00000000-0005-0000-0000-000052220000}"/>
    <cellStyle name="Вычисление 5 17" xfId="2732" xr:uid="{00000000-0005-0000-0000-000053220000}"/>
    <cellStyle name="Вычисление 5 17 2" xfId="7468" xr:uid="{00000000-0005-0000-0000-000054220000}"/>
    <cellStyle name="Вычисление 5 17 3" xfId="11736" xr:uid="{00000000-0005-0000-0000-000055220000}"/>
    <cellStyle name="Вычисление 5 17 4" xfId="15972" xr:uid="{00000000-0005-0000-0000-000056220000}"/>
    <cellStyle name="Вычисление 5 18" xfId="2733" xr:uid="{00000000-0005-0000-0000-000057220000}"/>
    <cellStyle name="Вычисление 5 18 2" xfId="7469" xr:uid="{00000000-0005-0000-0000-000058220000}"/>
    <cellStyle name="Вычисление 5 18 3" xfId="11737" xr:uid="{00000000-0005-0000-0000-000059220000}"/>
    <cellStyle name="Вычисление 5 18 4" xfId="15973" xr:uid="{00000000-0005-0000-0000-00005A220000}"/>
    <cellStyle name="Вычисление 5 19" xfId="2734" xr:uid="{00000000-0005-0000-0000-00005B220000}"/>
    <cellStyle name="Вычисление 5 19 2" xfId="7470" xr:uid="{00000000-0005-0000-0000-00005C220000}"/>
    <cellStyle name="Вычисление 5 19 3" xfId="11738" xr:uid="{00000000-0005-0000-0000-00005D220000}"/>
    <cellStyle name="Вычисление 5 19 4" xfId="15974" xr:uid="{00000000-0005-0000-0000-00005E220000}"/>
    <cellStyle name="Вычисление 5 2" xfId="2735" xr:uid="{00000000-0005-0000-0000-00005F220000}"/>
    <cellStyle name="Вычисление 5 2 2" xfId="2736" xr:uid="{00000000-0005-0000-0000-000060220000}"/>
    <cellStyle name="Вычисление 5 2 2 2" xfId="7472" xr:uid="{00000000-0005-0000-0000-000061220000}"/>
    <cellStyle name="Вычисление 5 2 2 3" xfId="11740" xr:uid="{00000000-0005-0000-0000-000062220000}"/>
    <cellStyle name="Вычисление 5 2 2 4" xfId="15976" xr:uid="{00000000-0005-0000-0000-000063220000}"/>
    <cellStyle name="Вычисление 5 2 3" xfId="2737" xr:uid="{00000000-0005-0000-0000-000064220000}"/>
    <cellStyle name="Вычисление 5 2 3 2" xfId="7473" xr:uid="{00000000-0005-0000-0000-000065220000}"/>
    <cellStyle name="Вычисление 5 2 3 3" xfId="11741" xr:uid="{00000000-0005-0000-0000-000066220000}"/>
    <cellStyle name="Вычисление 5 2 3 4" xfId="15977" xr:uid="{00000000-0005-0000-0000-000067220000}"/>
    <cellStyle name="Вычисление 5 2 4" xfId="7471" xr:uid="{00000000-0005-0000-0000-000068220000}"/>
    <cellStyle name="Вычисление 5 2 5" xfId="11739" xr:uid="{00000000-0005-0000-0000-000069220000}"/>
    <cellStyle name="Вычисление 5 2 6" xfId="15975" xr:uid="{00000000-0005-0000-0000-00006A220000}"/>
    <cellStyle name="Вычисление 5 20" xfId="2738" xr:uid="{00000000-0005-0000-0000-00006B220000}"/>
    <cellStyle name="Вычисление 5 20 2" xfId="7474" xr:uid="{00000000-0005-0000-0000-00006C220000}"/>
    <cellStyle name="Вычисление 5 20 3" xfId="11742" xr:uid="{00000000-0005-0000-0000-00006D220000}"/>
    <cellStyle name="Вычисление 5 20 4" xfId="15978" xr:uid="{00000000-0005-0000-0000-00006E220000}"/>
    <cellStyle name="Вычисление 5 21" xfId="2739" xr:uid="{00000000-0005-0000-0000-00006F220000}"/>
    <cellStyle name="Вычисление 5 21 2" xfId="7475" xr:uid="{00000000-0005-0000-0000-000070220000}"/>
    <cellStyle name="Вычисление 5 21 3" xfId="11743" xr:uid="{00000000-0005-0000-0000-000071220000}"/>
    <cellStyle name="Вычисление 5 21 4" xfId="15979" xr:uid="{00000000-0005-0000-0000-000072220000}"/>
    <cellStyle name="Вычисление 5 22" xfId="2740" xr:uid="{00000000-0005-0000-0000-000073220000}"/>
    <cellStyle name="Вычисление 5 22 2" xfId="7476" xr:uid="{00000000-0005-0000-0000-000074220000}"/>
    <cellStyle name="Вычисление 5 22 3" xfId="11744" xr:uid="{00000000-0005-0000-0000-000075220000}"/>
    <cellStyle name="Вычисление 5 22 4" xfId="15980" xr:uid="{00000000-0005-0000-0000-000076220000}"/>
    <cellStyle name="Вычисление 5 23" xfId="2741" xr:uid="{00000000-0005-0000-0000-000077220000}"/>
    <cellStyle name="Вычисление 5 23 2" xfId="7477" xr:uid="{00000000-0005-0000-0000-000078220000}"/>
    <cellStyle name="Вычисление 5 23 3" xfId="11745" xr:uid="{00000000-0005-0000-0000-000079220000}"/>
    <cellStyle name="Вычисление 5 23 4" xfId="15981" xr:uid="{00000000-0005-0000-0000-00007A220000}"/>
    <cellStyle name="Вычисление 5 24" xfId="2742" xr:uid="{00000000-0005-0000-0000-00007B220000}"/>
    <cellStyle name="Вычисление 5 24 2" xfId="7478" xr:uid="{00000000-0005-0000-0000-00007C220000}"/>
    <cellStyle name="Вычисление 5 24 3" xfId="11746" xr:uid="{00000000-0005-0000-0000-00007D220000}"/>
    <cellStyle name="Вычисление 5 24 4" xfId="15982" xr:uid="{00000000-0005-0000-0000-00007E220000}"/>
    <cellStyle name="Вычисление 5 25" xfId="2743" xr:uid="{00000000-0005-0000-0000-00007F220000}"/>
    <cellStyle name="Вычисление 5 25 2" xfId="7479" xr:uid="{00000000-0005-0000-0000-000080220000}"/>
    <cellStyle name="Вычисление 5 25 3" xfId="11747" xr:uid="{00000000-0005-0000-0000-000081220000}"/>
    <cellStyle name="Вычисление 5 25 4" xfId="15983" xr:uid="{00000000-0005-0000-0000-000082220000}"/>
    <cellStyle name="Вычисление 5 26" xfId="2744" xr:uid="{00000000-0005-0000-0000-000083220000}"/>
    <cellStyle name="Вычисление 5 26 2" xfId="7480" xr:uid="{00000000-0005-0000-0000-000084220000}"/>
    <cellStyle name="Вычисление 5 26 3" xfId="11748" xr:uid="{00000000-0005-0000-0000-000085220000}"/>
    <cellStyle name="Вычисление 5 26 4" xfId="15984" xr:uid="{00000000-0005-0000-0000-000086220000}"/>
    <cellStyle name="Вычисление 5 27" xfId="2745" xr:uid="{00000000-0005-0000-0000-000087220000}"/>
    <cellStyle name="Вычисление 5 27 2" xfId="7481" xr:uid="{00000000-0005-0000-0000-000088220000}"/>
    <cellStyle name="Вычисление 5 27 3" xfId="11749" xr:uid="{00000000-0005-0000-0000-000089220000}"/>
    <cellStyle name="Вычисление 5 27 4" xfId="15985" xr:uid="{00000000-0005-0000-0000-00008A220000}"/>
    <cellStyle name="Вычисление 5 28" xfId="2746" xr:uid="{00000000-0005-0000-0000-00008B220000}"/>
    <cellStyle name="Вычисление 5 28 2" xfId="7482" xr:uid="{00000000-0005-0000-0000-00008C220000}"/>
    <cellStyle name="Вычисление 5 28 3" xfId="11750" xr:uid="{00000000-0005-0000-0000-00008D220000}"/>
    <cellStyle name="Вычисление 5 28 4" xfId="15986" xr:uid="{00000000-0005-0000-0000-00008E220000}"/>
    <cellStyle name="Вычисление 5 29" xfId="2747" xr:uid="{00000000-0005-0000-0000-00008F220000}"/>
    <cellStyle name="Вычисление 5 29 2" xfId="7483" xr:uid="{00000000-0005-0000-0000-000090220000}"/>
    <cellStyle name="Вычисление 5 29 3" xfId="11751" xr:uid="{00000000-0005-0000-0000-000091220000}"/>
    <cellStyle name="Вычисление 5 29 4" xfId="15987" xr:uid="{00000000-0005-0000-0000-000092220000}"/>
    <cellStyle name="Вычисление 5 3" xfId="2748" xr:uid="{00000000-0005-0000-0000-000093220000}"/>
    <cellStyle name="Вычисление 5 3 2" xfId="2749" xr:uid="{00000000-0005-0000-0000-000094220000}"/>
    <cellStyle name="Вычисление 5 3 2 2" xfId="7485" xr:uid="{00000000-0005-0000-0000-000095220000}"/>
    <cellStyle name="Вычисление 5 3 2 3" xfId="11753" xr:uid="{00000000-0005-0000-0000-000096220000}"/>
    <cellStyle name="Вычисление 5 3 2 4" xfId="15989" xr:uid="{00000000-0005-0000-0000-000097220000}"/>
    <cellStyle name="Вычисление 5 3 3" xfId="2750" xr:uid="{00000000-0005-0000-0000-000098220000}"/>
    <cellStyle name="Вычисление 5 3 3 2" xfId="7486" xr:uid="{00000000-0005-0000-0000-000099220000}"/>
    <cellStyle name="Вычисление 5 3 3 3" xfId="11754" xr:uid="{00000000-0005-0000-0000-00009A220000}"/>
    <cellStyle name="Вычисление 5 3 3 4" xfId="15990" xr:uid="{00000000-0005-0000-0000-00009B220000}"/>
    <cellStyle name="Вычисление 5 3 4" xfId="7484" xr:uid="{00000000-0005-0000-0000-00009C220000}"/>
    <cellStyle name="Вычисление 5 3 5" xfId="11752" xr:uid="{00000000-0005-0000-0000-00009D220000}"/>
    <cellStyle name="Вычисление 5 3 6" xfId="15988" xr:uid="{00000000-0005-0000-0000-00009E220000}"/>
    <cellStyle name="Вычисление 5 30" xfId="2751" xr:uid="{00000000-0005-0000-0000-00009F220000}"/>
    <cellStyle name="Вычисление 5 30 2" xfId="7487" xr:uid="{00000000-0005-0000-0000-0000A0220000}"/>
    <cellStyle name="Вычисление 5 30 3" xfId="11755" xr:uid="{00000000-0005-0000-0000-0000A1220000}"/>
    <cellStyle name="Вычисление 5 30 4" xfId="15991" xr:uid="{00000000-0005-0000-0000-0000A2220000}"/>
    <cellStyle name="Вычисление 5 31" xfId="2752" xr:uid="{00000000-0005-0000-0000-0000A3220000}"/>
    <cellStyle name="Вычисление 5 31 2" xfId="7488" xr:uid="{00000000-0005-0000-0000-0000A4220000}"/>
    <cellStyle name="Вычисление 5 31 3" xfId="11756" xr:uid="{00000000-0005-0000-0000-0000A5220000}"/>
    <cellStyle name="Вычисление 5 31 4" xfId="15992" xr:uid="{00000000-0005-0000-0000-0000A6220000}"/>
    <cellStyle name="Вычисление 5 32" xfId="2753" xr:uid="{00000000-0005-0000-0000-0000A7220000}"/>
    <cellStyle name="Вычисление 5 32 2" xfId="7489" xr:uid="{00000000-0005-0000-0000-0000A8220000}"/>
    <cellStyle name="Вычисление 5 32 3" xfId="11757" xr:uid="{00000000-0005-0000-0000-0000A9220000}"/>
    <cellStyle name="Вычисление 5 32 4" xfId="15993" xr:uid="{00000000-0005-0000-0000-0000AA220000}"/>
    <cellStyle name="Вычисление 5 33" xfId="2754" xr:uid="{00000000-0005-0000-0000-0000AB220000}"/>
    <cellStyle name="Вычисление 5 33 2" xfId="7490" xr:uid="{00000000-0005-0000-0000-0000AC220000}"/>
    <cellStyle name="Вычисление 5 33 3" xfId="11758" xr:uid="{00000000-0005-0000-0000-0000AD220000}"/>
    <cellStyle name="Вычисление 5 33 4" xfId="15994" xr:uid="{00000000-0005-0000-0000-0000AE220000}"/>
    <cellStyle name="Вычисление 5 34" xfId="2755" xr:uid="{00000000-0005-0000-0000-0000AF220000}"/>
    <cellStyle name="Вычисление 5 34 2" xfId="7491" xr:uid="{00000000-0005-0000-0000-0000B0220000}"/>
    <cellStyle name="Вычисление 5 34 3" xfId="11759" xr:uid="{00000000-0005-0000-0000-0000B1220000}"/>
    <cellStyle name="Вычисление 5 34 4" xfId="15995" xr:uid="{00000000-0005-0000-0000-0000B2220000}"/>
    <cellStyle name="Вычисление 5 35" xfId="2756" xr:uid="{00000000-0005-0000-0000-0000B3220000}"/>
    <cellStyle name="Вычисление 5 35 2" xfId="7492" xr:uid="{00000000-0005-0000-0000-0000B4220000}"/>
    <cellStyle name="Вычисление 5 35 3" xfId="11760" xr:uid="{00000000-0005-0000-0000-0000B5220000}"/>
    <cellStyle name="Вычисление 5 35 4" xfId="15996" xr:uid="{00000000-0005-0000-0000-0000B6220000}"/>
    <cellStyle name="Вычисление 5 36" xfId="2757" xr:uid="{00000000-0005-0000-0000-0000B7220000}"/>
    <cellStyle name="Вычисление 5 36 2" xfId="7493" xr:uid="{00000000-0005-0000-0000-0000B8220000}"/>
    <cellStyle name="Вычисление 5 36 3" xfId="11761" xr:uid="{00000000-0005-0000-0000-0000B9220000}"/>
    <cellStyle name="Вычисление 5 36 4" xfId="15997" xr:uid="{00000000-0005-0000-0000-0000BA220000}"/>
    <cellStyle name="Вычисление 5 37" xfId="2758" xr:uid="{00000000-0005-0000-0000-0000BB220000}"/>
    <cellStyle name="Вычисление 5 37 2" xfId="7494" xr:uid="{00000000-0005-0000-0000-0000BC220000}"/>
    <cellStyle name="Вычисление 5 37 3" xfId="11762" xr:uid="{00000000-0005-0000-0000-0000BD220000}"/>
    <cellStyle name="Вычисление 5 37 4" xfId="15998" xr:uid="{00000000-0005-0000-0000-0000BE220000}"/>
    <cellStyle name="Вычисление 5 38" xfId="2759" xr:uid="{00000000-0005-0000-0000-0000BF220000}"/>
    <cellStyle name="Вычисление 5 38 2" xfId="7495" xr:uid="{00000000-0005-0000-0000-0000C0220000}"/>
    <cellStyle name="Вычисление 5 38 3" xfId="11763" xr:uid="{00000000-0005-0000-0000-0000C1220000}"/>
    <cellStyle name="Вычисление 5 38 4" xfId="15999" xr:uid="{00000000-0005-0000-0000-0000C2220000}"/>
    <cellStyle name="Вычисление 5 39" xfId="2760" xr:uid="{00000000-0005-0000-0000-0000C3220000}"/>
    <cellStyle name="Вычисление 5 39 2" xfId="7496" xr:uid="{00000000-0005-0000-0000-0000C4220000}"/>
    <cellStyle name="Вычисление 5 39 3" xfId="11764" xr:uid="{00000000-0005-0000-0000-0000C5220000}"/>
    <cellStyle name="Вычисление 5 39 4" xfId="16000" xr:uid="{00000000-0005-0000-0000-0000C6220000}"/>
    <cellStyle name="Вычисление 5 4" xfId="2761" xr:uid="{00000000-0005-0000-0000-0000C7220000}"/>
    <cellStyle name="Вычисление 5 4 2" xfId="2762" xr:uid="{00000000-0005-0000-0000-0000C8220000}"/>
    <cellStyle name="Вычисление 5 4 2 2" xfId="7498" xr:uid="{00000000-0005-0000-0000-0000C9220000}"/>
    <cellStyle name="Вычисление 5 4 2 3" xfId="11766" xr:uid="{00000000-0005-0000-0000-0000CA220000}"/>
    <cellStyle name="Вычисление 5 4 2 4" xfId="16002" xr:uid="{00000000-0005-0000-0000-0000CB220000}"/>
    <cellStyle name="Вычисление 5 4 3" xfId="2763" xr:uid="{00000000-0005-0000-0000-0000CC220000}"/>
    <cellStyle name="Вычисление 5 4 3 2" xfId="7499" xr:uid="{00000000-0005-0000-0000-0000CD220000}"/>
    <cellStyle name="Вычисление 5 4 3 3" xfId="11767" xr:uid="{00000000-0005-0000-0000-0000CE220000}"/>
    <cellStyle name="Вычисление 5 4 3 4" xfId="16003" xr:uid="{00000000-0005-0000-0000-0000CF220000}"/>
    <cellStyle name="Вычисление 5 4 4" xfId="7497" xr:uid="{00000000-0005-0000-0000-0000D0220000}"/>
    <cellStyle name="Вычисление 5 4 5" xfId="11765" xr:uid="{00000000-0005-0000-0000-0000D1220000}"/>
    <cellStyle name="Вычисление 5 4 6" xfId="16001" xr:uid="{00000000-0005-0000-0000-0000D2220000}"/>
    <cellStyle name="Вычисление 5 40" xfId="2764" xr:uid="{00000000-0005-0000-0000-0000D3220000}"/>
    <cellStyle name="Вычисление 5 40 2" xfId="7500" xr:uid="{00000000-0005-0000-0000-0000D4220000}"/>
    <cellStyle name="Вычисление 5 40 3" xfId="11768" xr:uid="{00000000-0005-0000-0000-0000D5220000}"/>
    <cellStyle name="Вычисление 5 40 4" xfId="16004" xr:uid="{00000000-0005-0000-0000-0000D6220000}"/>
    <cellStyle name="Вычисление 5 41" xfId="2765" xr:uid="{00000000-0005-0000-0000-0000D7220000}"/>
    <cellStyle name="Вычисление 5 41 2" xfId="7501" xr:uid="{00000000-0005-0000-0000-0000D8220000}"/>
    <cellStyle name="Вычисление 5 41 3" xfId="11769" xr:uid="{00000000-0005-0000-0000-0000D9220000}"/>
    <cellStyle name="Вычисление 5 41 4" xfId="16005" xr:uid="{00000000-0005-0000-0000-0000DA220000}"/>
    <cellStyle name="Вычисление 5 42" xfId="2766" xr:uid="{00000000-0005-0000-0000-0000DB220000}"/>
    <cellStyle name="Вычисление 5 42 2" xfId="7502" xr:uid="{00000000-0005-0000-0000-0000DC220000}"/>
    <cellStyle name="Вычисление 5 42 3" xfId="11770" xr:uid="{00000000-0005-0000-0000-0000DD220000}"/>
    <cellStyle name="Вычисление 5 42 4" xfId="16006" xr:uid="{00000000-0005-0000-0000-0000DE220000}"/>
    <cellStyle name="Вычисление 5 43" xfId="2767" xr:uid="{00000000-0005-0000-0000-0000DF220000}"/>
    <cellStyle name="Вычисление 5 43 2" xfId="7503" xr:uid="{00000000-0005-0000-0000-0000E0220000}"/>
    <cellStyle name="Вычисление 5 43 3" xfId="11771" xr:uid="{00000000-0005-0000-0000-0000E1220000}"/>
    <cellStyle name="Вычисление 5 43 4" xfId="16007" xr:uid="{00000000-0005-0000-0000-0000E2220000}"/>
    <cellStyle name="Вычисление 5 44" xfId="2768" xr:uid="{00000000-0005-0000-0000-0000E3220000}"/>
    <cellStyle name="Вычисление 5 44 2" xfId="7504" xr:uid="{00000000-0005-0000-0000-0000E4220000}"/>
    <cellStyle name="Вычисление 5 44 3" xfId="11772" xr:uid="{00000000-0005-0000-0000-0000E5220000}"/>
    <cellStyle name="Вычисление 5 44 4" xfId="16008" xr:uid="{00000000-0005-0000-0000-0000E6220000}"/>
    <cellStyle name="Вычисление 5 45" xfId="2769" xr:uid="{00000000-0005-0000-0000-0000E7220000}"/>
    <cellStyle name="Вычисление 5 45 2" xfId="7505" xr:uid="{00000000-0005-0000-0000-0000E8220000}"/>
    <cellStyle name="Вычисление 5 45 3" xfId="11773" xr:uid="{00000000-0005-0000-0000-0000E9220000}"/>
    <cellStyle name="Вычисление 5 45 4" xfId="16009" xr:uid="{00000000-0005-0000-0000-0000EA220000}"/>
    <cellStyle name="Вычисление 5 46" xfId="2770" xr:uid="{00000000-0005-0000-0000-0000EB220000}"/>
    <cellStyle name="Вычисление 5 46 2" xfId="7506" xr:uid="{00000000-0005-0000-0000-0000EC220000}"/>
    <cellStyle name="Вычисление 5 46 3" xfId="11774" xr:uid="{00000000-0005-0000-0000-0000ED220000}"/>
    <cellStyle name="Вычисление 5 46 4" xfId="16010" xr:uid="{00000000-0005-0000-0000-0000EE220000}"/>
    <cellStyle name="Вычисление 5 47" xfId="2771" xr:uid="{00000000-0005-0000-0000-0000EF220000}"/>
    <cellStyle name="Вычисление 5 47 2" xfId="7507" xr:uid="{00000000-0005-0000-0000-0000F0220000}"/>
    <cellStyle name="Вычисление 5 47 3" xfId="11775" xr:uid="{00000000-0005-0000-0000-0000F1220000}"/>
    <cellStyle name="Вычисление 5 47 4" xfId="16011" xr:uid="{00000000-0005-0000-0000-0000F2220000}"/>
    <cellStyle name="Вычисление 5 48" xfId="2772" xr:uid="{00000000-0005-0000-0000-0000F3220000}"/>
    <cellStyle name="Вычисление 5 48 2" xfId="7508" xr:uid="{00000000-0005-0000-0000-0000F4220000}"/>
    <cellStyle name="Вычисление 5 48 3" xfId="11776" xr:uid="{00000000-0005-0000-0000-0000F5220000}"/>
    <cellStyle name="Вычисление 5 48 4" xfId="16012" xr:uid="{00000000-0005-0000-0000-0000F6220000}"/>
    <cellStyle name="Вычисление 5 49" xfId="2773" xr:uid="{00000000-0005-0000-0000-0000F7220000}"/>
    <cellStyle name="Вычисление 5 49 2" xfId="7509" xr:uid="{00000000-0005-0000-0000-0000F8220000}"/>
    <cellStyle name="Вычисление 5 49 3" xfId="11777" xr:uid="{00000000-0005-0000-0000-0000F9220000}"/>
    <cellStyle name="Вычисление 5 49 4" xfId="16013" xr:uid="{00000000-0005-0000-0000-0000FA220000}"/>
    <cellStyle name="Вычисление 5 5" xfId="2774" xr:uid="{00000000-0005-0000-0000-0000FB220000}"/>
    <cellStyle name="Вычисление 5 5 2" xfId="7510" xr:uid="{00000000-0005-0000-0000-0000FC220000}"/>
    <cellStyle name="Вычисление 5 5 3" xfId="11778" xr:uid="{00000000-0005-0000-0000-0000FD220000}"/>
    <cellStyle name="Вычисление 5 5 4" xfId="16014" xr:uid="{00000000-0005-0000-0000-0000FE220000}"/>
    <cellStyle name="Вычисление 5 50" xfId="2775" xr:uid="{00000000-0005-0000-0000-0000FF220000}"/>
    <cellStyle name="Вычисление 5 50 2" xfId="7511" xr:uid="{00000000-0005-0000-0000-000000230000}"/>
    <cellStyle name="Вычисление 5 50 3" xfId="11779" xr:uid="{00000000-0005-0000-0000-000001230000}"/>
    <cellStyle name="Вычисление 5 50 4" xfId="16015" xr:uid="{00000000-0005-0000-0000-000002230000}"/>
    <cellStyle name="Вычисление 5 51" xfId="2776" xr:uid="{00000000-0005-0000-0000-000003230000}"/>
    <cellStyle name="Вычисление 5 51 2" xfId="7512" xr:uid="{00000000-0005-0000-0000-000004230000}"/>
    <cellStyle name="Вычисление 5 51 3" xfId="11780" xr:uid="{00000000-0005-0000-0000-000005230000}"/>
    <cellStyle name="Вычисление 5 51 4" xfId="16016" xr:uid="{00000000-0005-0000-0000-000006230000}"/>
    <cellStyle name="Вычисление 5 52" xfId="2777" xr:uid="{00000000-0005-0000-0000-000007230000}"/>
    <cellStyle name="Вычисление 5 52 2" xfId="7513" xr:uid="{00000000-0005-0000-0000-000008230000}"/>
    <cellStyle name="Вычисление 5 52 3" xfId="11781" xr:uid="{00000000-0005-0000-0000-000009230000}"/>
    <cellStyle name="Вычисление 5 52 4" xfId="16017" xr:uid="{00000000-0005-0000-0000-00000A230000}"/>
    <cellStyle name="Вычисление 5 53" xfId="2778" xr:uid="{00000000-0005-0000-0000-00000B230000}"/>
    <cellStyle name="Вычисление 5 53 2" xfId="7514" xr:uid="{00000000-0005-0000-0000-00000C230000}"/>
    <cellStyle name="Вычисление 5 53 3" xfId="11782" xr:uid="{00000000-0005-0000-0000-00000D230000}"/>
    <cellStyle name="Вычисление 5 53 4" xfId="16018" xr:uid="{00000000-0005-0000-0000-00000E230000}"/>
    <cellStyle name="Вычисление 5 54" xfId="2779" xr:uid="{00000000-0005-0000-0000-00000F230000}"/>
    <cellStyle name="Вычисление 5 54 2" xfId="7515" xr:uid="{00000000-0005-0000-0000-000010230000}"/>
    <cellStyle name="Вычисление 5 54 3" xfId="11783" xr:uid="{00000000-0005-0000-0000-000011230000}"/>
    <cellStyle name="Вычисление 5 54 4" xfId="16019" xr:uid="{00000000-0005-0000-0000-000012230000}"/>
    <cellStyle name="Вычисление 5 55" xfId="2780" xr:uid="{00000000-0005-0000-0000-000013230000}"/>
    <cellStyle name="Вычисление 5 55 2" xfId="7516" xr:uid="{00000000-0005-0000-0000-000014230000}"/>
    <cellStyle name="Вычисление 5 55 3" xfId="11784" xr:uid="{00000000-0005-0000-0000-000015230000}"/>
    <cellStyle name="Вычисление 5 55 4" xfId="16020" xr:uid="{00000000-0005-0000-0000-000016230000}"/>
    <cellStyle name="Вычисление 5 56" xfId="2781" xr:uid="{00000000-0005-0000-0000-000017230000}"/>
    <cellStyle name="Вычисление 5 56 2" xfId="7517" xr:uid="{00000000-0005-0000-0000-000018230000}"/>
    <cellStyle name="Вычисление 5 56 3" xfId="11785" xr:uid="{00000000-0005-0000-0000-000019230000}"/>
    <cellStyle name="Вычисление 5 56 4" xfId="16021" xr:uid="{00000000-0005-0000-0000-00001A230000}"/>
    <cellStyle name="Вычисление 5 57" xfId="2782" xr:uid="{00000000-0005-0000-0000-00001B230000}"/>
    <cellStyle name="Вычисление 5 57 2" xfId="7518" xr:uid="{00000000-0005-0000-0000-00001C230000}"/>
    <cellStyle name="Вычисление 5 57 3" xfId="11786" xr:uid="{00000000-0005-0000-0000-00001D230000}"/>
    <cellStyle name="Вычисление 5 57 4" xfId="16022" xr:uid="{00000000-0005-0000-0000-00001E230000}"/>
    <cellStyle name="Вычисление 5 58" xfId="2783" xr:uid="{00000000-0005-0000-0000-00001F230000}"/>
    <cellStyle name="Вычисление 5 58 2" xfId="7519" xr:uid="{00000000-0005-0000-0000-000020230000}"/>
    <cellStyle name="Вычисление 5 58 3" xfId="11787" xr:uid="{00000000-0005-0000-0000-000021230000}"/>
    <cellStyle name="Вычисление 5 58 4" xfId="16023" xr:uid="{00000000-0005-0000-0000-000022230000}"/>
    <cellStyle name="Вычисление 5 59" xfId="2784" xr:uid="{00000000-0005-0000-0000-000023230000}"/>
    <cellStyle name="Вычисление 5 59 2" xfId="7520" xr:uid="{00000000-0005-0000-0000-000024230000}"/>
    <cellStyle name="Вычисление 5 59 3" xfId="11788" xr:uid="{00000000-0005-0000-0000-000025230000}"/>
    <cellStyle name="Вычисление 5 59 4" xfId="16024" xr:uid="{00000000-0005-0000-0000-000026230000}"/>
    <cellStyle name="Вычисление 5 6" xfId="2785" xr:uid="{00000000-0005-0000-0000-000027230000}"/>
    <cellStyle name="Вычисление 5 6 2" xfId="7521" xr:uid="{00000000-0005-0000-0000-000028230000}"/>
    <cellStyle name="Вычисление 5 6 3" xfId="11789" xr:uid="{00000000-0005-0000-0000-000029230000}"/>
    <cellStyle name="Вычисление 5 6 4" xfId="16025" xr:uid="{00000000-0005-0000-0000-00002A230000}"/>
    <cellStyle name="Вычисление 5 60" xfId="2786" xr:uid="{00000000-0005-0000-0000-00002B230000}"/>
    <cellStyle name="Вычисление 5 60 2" xfId="7522" xr:uid="{00000000-0005-0000-0000-00002C230000}"/>
    <cellStyle name="Вычисление 5 60 3" xfId="11790" xr:uid="{00000000-0005-0000-0000-00002D230000}"/>
    <cellStyle name="Вычисление 5 60 4" xfId="16026" xr:uid="{00000000-0005-0000-0000-00002E230000}"/>
    <cellStyle name="Вычисление 5 61" xfId="2787" xr:uid="{00000000-0005-0000-0000-00002F230000}"/>
    <cellStyle name="Вычисление 5 61 2" xfId="7523" xr:uid="{00000000-0005-0000-0000-000030230000}"/>
    <cellStyle name="Вычисление 5 61 3" xfId="11791" xr:uid="{00000000-0005-0000-0000-000031230000}"/>
    <cellStyle name="Вычисление 5 61 4" xfId="16027" xr:uid="{00000000-0005-0000-0000-000032230000}"/>
    <cellStyle name="Вычисление 5 62" xfId="2788" xr:uid="{00000000-0005-0000-0000-000033230000}"/>
    <cellStyle name="Вычисление 5 62 2" xfId="7524" xr:uid="{00000000-0005-0000-0000-000034230000}"/>
    <cellStyle name="Вычисление 5 62 3" xfId="11792" xr:uid="{00000000-0005-0000-0000-000035230000}"/>
    <cellStyle name="Вычисление 5 62 4" xfId="16028" xr:uid="{00000000-0005-0000-0000-000036230000}"/>
    <cellStyle name="Вычисление 5 63" xfId="2789" xr:uid="{00000000-0005-0000-0000-000037230000}"/>
    <cellStyle name="Вычисление 5 63 2" xfId="7525" xr:uid="{00000000-0005-0000-0000-000038230000}"/>
    <cellStyle name="Вычисление 5 63 3" xfId="11793" xr:uid="{00000000-0005-0000-0000-000039230000}"/>
    <cellStyle name="Вычисление 5 63 4" xfId="16029" xr:uid="{00000000-0005-0000-0000-00003A230000}"/>
    <cellStyle name="Вычисление 5 64" xfId="2790" xr:uid="{00000000-0005-0000-0000-00003B230000}"/>
    <cellStyle name="Вычисление 5 64 2" xfId="7526" xr:uid="{00000000-0005-0000-0000-00003C230000}"/>
    <cellStyle name="Вычисление 5 64 3" xfId="11794" xr:uid="{00000000-0005-0000-0000-00003D230000}"/>
    <cellStyle name="Вычисление 5 64 4" xfId="16030" xr:uid="{00000000-0005-0000-0000-00003E230000}"/>
    <cellStyle name="Вычисление 5 65" xfId="2791" xr:uid="{00000000-0005-0000-0000-00003F230000}"/>
    <cellStyle name="Вычисление 5 65 2" xfId="7527" xr:uid="{00000000-0005-0000-0000-000040230000}"/>
    <cellStyle name="Вычисление 5 65 3" xfId="11795" xr:uid="{00000000-0005-0000-0000-000041230000}"/>
    <cellStyle name="Вычисление 5 65 4" xfId="16031" xr:uid="{00000000-0005-0000-0000-000042230000}"/>
    <cellStyle name="Вычисление 5 66" xfId="2792" xr:uid="{00000000-0005-0000-0000-000043230000}"/>
    <cellStyle name="Вычисление 5 66 2" xfId="7528" xr:uid="{00000000-0005-0000-0000-000044230000}"/>
    <cellStyle name="Вычисление 5 66 3" xfId="11796" xr:uid="{00000000-0005-0000-0000-000045230000}"/>
    <cellStyle name="Вычисление 5 66 4" xfId="16032" xr:uid="{00000000-0005-0000-0000-000046230000}"/>
    <cellStyle name="Вычисление 5 67" xfId="2793" xr:uid="{00000000-0005-0000-0000-000047230000}"/>
    <cellStyle name="Вычисление 5 67 2" xfId="7529" xr:uid="{00000000-0005-0000-0000-000048230000}"/>
    <cellStyle name="Вычисление 5 67 3" xfId="11797" xr:uid="{00000000-0005-0000-0000-000049230000}"/>
    <cellStyle name="Вычисление 5 67 4" xfId="16033" xr:uid="{00000000-0005-0000-0000-00004A230000}"/>
    <cellStyle name="Вычисление 5 68" xfId="2794" xr:uid="{00000000-0005-0000-0000-00004B230000}"/>
    <cellStyle name="Вычисление 5 68 2" xfId="7530" xr:uid="{00000000-0005-0000-0000-00004C230000}"/>
    <cellStyle name="Вычисление 5 68 3" xfId="11798" xr:uid="{00000000-0005-0000-0000-00004D230000}"/>
    <cellStyle name="Вычисление 5 68 4" xfId="16034" xr:uid="{00000000-0005-0000-0000-00004E230000}"/>
    <cellStyle name="Вычисление 5 69" xfId="2795" xr:uid="{00000000-0005-0000-0000-00004F230000}"/>
    <cellStyle name="Вычисление 5 69 2" xfId="7531" xr:uid="{00000000-0005-0000-0000-000050230000}"/>
    <cellStyle name="Вычисление 5 69 3" xfId="11799" xr:uid="{00000000-0005-0000-0000-000051230000}"/>
    <cellStyle name="Вычисление 5 69 4" xfId="16035" xr:uid="{00000000-0005-0000-0000-000052230000}"/>
    <cellStyle name="Вычисление 5 7" xfId="2796" xr:uid="{00000000-0005-0000-0000-000053230000}"/>
    <cellStyle name="Вычисление 5 7 2" xfId="7532" xr:uid="{00000000-0005-0000-0000-000054230000}"/>
    <cellStyle name="Вычисление 5 7 3" xfId="11800" xr:uid="{00000000-0005-0000-0000-000055230000}"/>
    <cellStyle name="Вычисление 5 7 4" xfId="16036" xr:uid="{00000000-0005-0000-0000-000056230000}"/>
    <cellStyle name="Вычисление 5 70" xfId="2797" xr:uid="{00000000-0005-0000-0000-000057230000}"/>
    <cellStyle name="Вычисление 5 70 2" xfId="7533" xr:uid="{00000000-0005-0000-0000-000058230000}"/>
    <cellStyle name="Вычисление 5 70 3" xfId="11801" xr:uid="{00000000-0005-0000-0000-000059230000}"/>
    <cellStyle name="Вычисление 5 70 4" xfId="16037" xr:uid="{00000000-0005-0000-0000-00005A230000}"/>
    <cellStyle name="Вычисление 5 71" xfId="2798" xr:uid="{00000000-0005-0000-0000-00005B230000}"/>
    <cellStyle name="Вычисление 5 71 2" xfId="7534" xr:uid="{00000000-0005-0000-0000-00005C230000}"/>
    <cellStyle name="Вычисление 5 71 3" xfId="11802" xr:uid="{00000000-0005-0000-0000-00005D230000}"/>
    <cellStyle name="Вычисление 5 71 4" xfId="16038" xr:uid="{00000000-0005-0000-0000-00005E230000}"/>
    <cellStyle name="Вычисление 5 72" xfId="2799" xr:uid="{00000000-0005-0000-0000-00005F230000}"/>
    <cellStyle name="Вычисление 5 72 2" xfId="7535" xr:uid="{00000000-0005-0000-0000-000060230000}"/>
    <cellStyle name="Вычисление 5 72 3" xfId="11803" xr:uid="{00000000-0005-0000-0000-000061230000}"/>
    <cellStyle name="Вычисление 5 72 4" xfId="16039" xr:uid="{00000000-0005-0000-0000-000062230000}"/>
    <cellStyle name="Вычисление 5 73" xfId="2800" xr:uid="{00000000-0005-0000-0000-000063230000}"/>
    <cellStyle name="Вычисление 5 73 2" xfId="7536" xr:uid="{00000000-0005-0000-0000-000064230000}"/>
    <cellStyle name="Вычисление 5 73 3" xfId="11804" xr:uid="{00000000-0005-0000-0000-000065230000}"/>
    <cellStyle name="Вычисление 5 73 4" xfId="16040" xr:uid="{00000000-0005-0000-0000-000066230000}"/>
    <cellStyle name="Вычисление 5 74" xfId="2801" xr:uid="{00000000-0005-0000-0000-000067230000}"/>
    <cellStyle name="Вычисление 5 74 2" xfId="7537" xr:uid="{00000000-0005-0000-0000-000068230000}"/>
    <cellStyle name="Вычисление 5 74 3" xfId="11805" xr:uid="{00000000-0005-0000-0000-000069230000}"/>
    <cellStyle name="Вычисление 5 74 4" xfId="16041" xr:uid="{00000000-0005-0000-0000-00006A230000}"/>
    <cellStyle name="Вычисление 5 75" xfId="2802" xr:uid="{00000000-0005-0000-0000-00006B230000}"/>
    <cellStyle name="Вычисление 5 75 2" xfId="7538" xr:uid="{00000000-0005-0000-0000-00006C230000}"/>
    <cellStyle name="Вычисление 5 75 3" xfId="11806" xr:uid="{00000000-0005-0000-0000-00006D230000}"/>
    <cellStyle name="Вычисление 5 75 4" xfId="16042" xr:uid="{00000000-0005-0000-0000-00006E230000}"/>
    <cellStyle name="Вычисление 5 76" xfId="2803" xr:uid="{00000000-0005-0000-0000-00006F230000}"/>
    <cellStyle name="Вычисление 5 76 2" xfId="7539" xr:uid="{00000000-0005-0000-0000-000070230000}"/>
    <cellStyle name="Вычисление 5 76 3" xfId="11807" xr:uid="{00000000-0005-0000-0000-000071230000}"/>
    <cellStyle name="Вычисление 5 76 4" xfId="16043" xr:uid="{00000000-0005-0000-0000-000072230000}"/>
    <cellStyle name="Вычисление 5 77" xfId="2804" xr:uid="{00000000-0005-0000-0000-000073230000}"/>
    <cellStyle name="Вычисление 5 77 2" xfId="7540" xr:uid="{00000000-0005-0000-0000-000074230000}"/>
    <cellStyle name="Вычисление 5 77 3" xfId="11808" xr:uid="{00000000-0005-0000-0000-000075230000}"/>
    <cellStyle name="Вычисление 5 77 4" xfId="16044" xr:uid="{00000000-0005-0000-0000-000076230000}"/>
    <cellStyle name="Вычисление 5 78" xfId="2805" xr:uid="{00000000-0005-0000-0000-000077230000}"/>
    <cellStyle name="Вычисление 5 78 2" xfId="7541" xr:uid="{00000000-0005-0000-0000-000078230000}"/>
    <cellStyle name="Вычисление 5 78 3" xfId="11809" xr:uid="{00000000-0005-0000-0000-000079230000}"/>
    <cellStyle name="Вычисление 5 78 4" xfId="16045" xr:uid="{00000000-0005-0000-0000-00007A230000}"/>
    <cellStyle name="Вычисление 5 79" xfId="2806" xr:uid="{00000000-0005-0000-0000-00007B230000}"/>
    <cellStyle name="Вычисление 5 79 2" xfId="7542" xr:uid="{00000000-0005-0000-0000-00007C230000}"/>
    <cellStyle name="Вычисление 5 79 3" xfId="11810" xr:uid="{00000000-0005-0000-0000-00007D230000}"/>
    <cellStyle name="Вычисление 5 79 4" xfId="16046" xr:uid="{00000000-0005-0000-0000-00007E230000}"/>
    <cellStyle name="Вычисление 5 8" xfId="2807" xr:uid="{00000000-0005-0000-0000-00007F230000}"/>
    <cellStyle name="Вычисление 5 8 2" xfId="7543" xr:uid="{00000000-0005-0000-0000-000080230000}"/>
    <cellStyle name="Вычисление 5 8 3" xfId="11811" xr:uid="{00000000-0005-0000-0000-000081230000}"/>
    <cellStyle name="Вычисление 5 8 4" xfId="16047" xr:uid="{00000000-0005-0000-0000-000082230000}"/>
    <cellStyle name="Вычисление 5 80" xfId="2808" xr:uid="{00000000-0005-0000-0000-000083230000}"/>
    <cellStyle name="Вычисление 5 80 2" xfId="7544" xr:uid="{00000000-0005-0000-0000-000084230000}"/>
    <cellStyle name="Вычисление 5 80 3" xfId="11812" xr:uid="{00000000-0005-0000-0000-000085230000}"/>
    <cellStyle name="Вычисление 5 80 4" xfId="16048" xr:uid="{00000000-0005-0000-0000-000086230000}"/>
    <cellStyle name="Вычисление 5 81" xfId="2809" xr:uid="{00000000-0005-0000-0000-000087230000}"/>
    <cellStyle name="Вычисление 5 81 2" xfId="7545" xr:uid="{00000000-0005-0000-0000-000088230000}"/>
    <cellStyle name="Вычисление 5 81 3" xfId="11813" xr:uid="{00000000-0005-0000-0000-000089230000}"/>
    <cellStyle name="Вычисление 5 81 4" xfId="16049" xr:uid="{00000000-0005-0000-0000-00008A230000}"/>
    <cellStyle name="Вычисление 5 82" xfId="2810" xr:uid="{00000000-0005-0000-0000-00008B230000}"/>
    <cellStyle name="Вычисление 5 82 2" xfId="7546" xr:uid="{00000000-0005-0000-0000-00008C230000}"/>
    <cellStyle name="Вычисление 5 82 3" xfId="11814" xr:uid="{00000000-0005-0000-0000-00008D230000}"/>
    <cellStyle name="Вычисление 5 82 4" xfId="16050" xr:uid="{00000000-0005-0000-0000-00008E230000}"/>
    <cellStyle name="Вычисление 5 83" xfId="2811" xr:uid="{00000000-0005-0000-0000-00008F230000}"/>
    <cellStyle name="Вычисление 5 83 2" xfId="7547" xr:uid="{00000000-0005-0000-0000-000090230000}"/>
    <cellStyle name="Вычисление 5 83 3" xfId="11815" xr:uid="{00000000-0005-0000-0000-000091230000}"/>
    <cellStyle name="Вычисление 5 83 4" xfId="16051" xr:uid="{00000000-0005-0000-0000-000092230000}"/>
    <cellStyle name="Вычисление 5 84" xfId="2812" xr:uid="{00000000-0005-0000-0000-000093230000}"/>
    <cellStyle name="Вычисление 5 84 2" xfId="7548" xr:uid="{00000000-0005-0000-0000-000094230000}"/>
    <cellStyle name="Вычисление 5 84 3" xfId="11816" xr:uid="{00000000-0005-0000-0000-000095230000}"/>
    <cellStyle name="Вычисление 5 84 4" xfId="16052" xr:uid="{00000000-0005-0000-0000-000096230000}"/>
    <cellStyle name="Вычисление 5 85" xfId="2813" xr:uid="{00000000-0005-0000-0000-000097230000}"/>
    <cellStyle name="Вычисление 5 85 2" xfId="7549" xr:uid="{00000000-0005-0000-0000-000098230000}"/>
    <cellStyle name="Вычисление 5 85 3" xfId="11817" xr:uid="{00000000-0005-0000-0000-000099230000}"/>
    <cellStyle name="Вычисление 5 85 4" xfId="16053" xr:uid="{00000000-0005-0000-0000-00009A230000}"/>
    <cellStyle name="Вычисление 5 86" xfId="2814" xr:uid="{00000000-0005-0000-0000-00009B230000}"/>
    <cellStyle name="Вычисление 5 86 2" xfId="7550" xr:uid="{00000000-0005-0000-0000-00009C230000}"/>
    <cellStyle name="Вычисление 5 86 3" xfId="11818" xr:uid="{00000000-0005-0000-0000-00009D230000}"/>
    <cellStyle name="Вычисление 5 86 4" xfId="16054" xr:uid="{00000000-0005-0000-0000-00009E230000}"/>
    <cellStyle name="Вычисление 5 87" xfId="2815" xr:uid="{00000000-0005-0000-0000-00009F230000}"/>
    <cellStyle name="Вычисление 5 87 2" xfId="7551" xr:uid="{00000000-0005-0000-0000-0000A0230000}"/>
    <cellStyle name="Вычисление 5 87 3" xfId="11819" xr:uid="{00000000-0005-0000-0000-0000A1230000}"/>
    <cellStyle name="Вычисление 5 87 4" xfId="16055" xr:uid="{00000000-0005-0000-0000-0000A2230000}"/>
    <cellStyle name="Вычисление 5 88" xfId="2816" xr:uid="{00000000-0005-0000-0000-0000A3230000}"/>
    <cellStyle name="Вычисление 5 88 2" xfId="7552" xr:uid="{00000000-0005-0000-0000-0000A4230000}"/>
    <cellStyle name="Вычисление 5 88 3" xfId="11820" xr:uid="{00000000-0005-0000-0000-0000A5230000}"/>
    <cellStyle name="Вычисление 5 88 4" xfId="16056" xr:uid="{00000000-0005-0000-0000-0000A6230000}"/>
    <cellStyle name="Вычисление 5 89" xfId="2817" xr:uid="{00000000-0005-0000-0000-0000A7230000}"/>
    <cellStyle name="Вычисление 5 89 2" xfId="7553" xr:uid="{00000000-0005-0000-0000-0000A8230000}"/>
    <cellStyle name="Вычисление 5 89 3" xfId="11821" xr:uid="{00000000-0005-0000-0000-0000A9230000}"/>
    <cellStyle name="Вычисление 5 89 4" xfId="16057" xr:uid="{00000000-0005-0000-0000-0000AA230000}"/>
    <cellStyle name="Вычисление 5 9" xfId="2818" xr:uid="{00000000-0005-0000-0000-0000AB230000}"/>
    <cellStyle name="Вычисление 5 9 2" xfId="7554" xr:uid="{00000000-0005-0000-0000-0000AC230000}"/>
    <cellStyle name="Вычисление 5 9 3" xfId="11822" xr:uid="{00000000-0005-0000-0000-0000AD230000}"/>
    <cellStyle name="Вычисление 5 9 4" xfId="16058" xr:uid="{00000000-0005-0000-0000-0000AE230000}"/>
    <cellStyle name="Вычисление 5 90" xfId="2819" xr:uid="{00000000-0005-0000-0000-0000AF230000}"/>
    <cellStyle name="Вычисление 5 90 2" xfId="7555" xr:uid="{00000000-0005-0000-0000-0000B0230000}"/>
    <cellStyle name="Вычисление 5 90 3" xfId="11823" xr:uid="{00000000-0005-0000-0000-0000B1230000}"/>
    <cellStyle name="Вычисление 5 90 4" xfId="16059" xr:uid="{00000000-0005-0000-0000-0000B2230000}"/>
    <cellStyle name="Вычисление 5 91" xfId="2820" xr:uid="{00000000-0005-0000-0000-0000B3230000}"/>
    <cellStyle name="Вычисление 5 91 2" xfId="7556" xr:uid="{00000000-0005-0000-0000-0000B4230000}"/>
    <cellStyle name="Вычисление 5 91 3" xfId="11824" xr:uid="{00000000-0005-0000-0000-0000B5230000}"/>
    <cellStyle name="Вычисление 5 91 4" xfId="16060" xr:uid="{00000000-0005-0000-0000-0000B6230000}"/>
    <cellStyle name="Вычисление 5 92" xfId="5199" xr:uid="{00000000-0005-0000-0000-0000B7230000}"/>
    <cellStyle name="Вычисление 5 93" xfId="5243" xr:uid="{00000000-0005-0000-0000-0000B8230000}"/>
    <cellStyle name="Вычисление 5 94" xfId="8822" xr:uid="{00000000-0005-0000-0000-0000B9230000}"/>
    <cellStyle name="Вычисление 6" xfId="246" xr:uid="{00000000-0005-0000-0000-0000BA230000}"/>
    <cellStyle name="Вычисление 6 10" xfId="2821" xr:uid="{00000000-0005-0000-0000-0000BB230000}"/>
    <cellStyle name="Вычисление 6 10 2" xfId="7557" xr:uid="{00000000-0005-0000-0000-0000BC230000}"/>
    <cellStyle name="Вычисление 6 10 3" xfId="11825" xr:uid="{00000000-0005-0000-0000-0000BD230000}"/>
    <cellStyle name="Вычисление 6 10 4" xfId="16061" xr:uid="{00000000-0005-0000-0000-0000BE230000}"/>
    <cellStyle name="Вычисление 6 11" xfId="2822" xr:uid="{00000000-0005-0000-0000-0000BF230000}"/>
    <cellStyle name="Вычисление 6 11 2" xfId="7558" xr:uid="{00000000-0005-0000-0000-0000C0230000}"/>
    <cellStyle name="Вычисление 6 11 3" xfId="11826" xr:uid="{00000000-0005-0000-0000-0000C1230000}"/>
    <cellStyle name="Вычисление 6 11 4" xfId="16062" xr:uid="{00000000-0005-0000-0000-0000C2230000}"/>
    <cellStyle name="Вычисление 6 12" xfId="2823" xr:uid="{00000000-0005-0000-0000-0000C3230000}"/>
    <cellStyle name="Вычисление 6 12 2" xfId="7559" xr:uid="{00000000-0005-0000-0000-0000C4230000}"/>
    <cellStyle name="Вычисление 6 12 3" xfId="11827" xr:uid="{00000000-0005-0000-0000-0000C5230000}"/>
    <cellStyle name="Вычисление 6 12 4" xfId="16063" xr:uid="{00000000-0005-0000-0000-0000C6230000}"/>
    <cellStyle name="Вычисление 6 13" xfId="2824" xr:uid="{00000000-0005-0000-0000-0000C7230000}"/>
    <cellStyle name="Вычисление 6 13 2" xfId="7560" xr:uid="{00000000-0005-0000-0000-0000C8230000}"/>
    <cellStyle name="Вычисление 6 13 3" xfId="11828" xr:uid="{00000000-0005-0000-0000-0000C9230000}"/>
    <cellStyle name="Вычисление 6 13 4" xfId="16064" xr:uid="{00000000-0005-0000-0000-0000CA230000}"/>
    <cellStyle name="Вычисление 6 14" xfId="2825" xr:uid="{00000000-0005-0000-0000-0000CB230000}"/>
    <cellStyle name="Вычисление 6 14 2" xfId="7561" xr:uid="{00000000-0005-0000-0000-0000CC230000}"/>
    <cellStyle name="Вычисление 6 14 3" xfId="11829" xr:uid="{00000000-0005-0000-0000-0000CD230000}"/>
    <cellStyle name="Вычисление 6 14 4" xfId="16065" xr:uid="{00000000-0005-0000-0000-0000CE230000}"/>
    <cellStyle name="Вычисление 6 15" xfId="2826" xr:uid="{00000000-0005-0000-0000-0000CF230000}"/>
    <cellStyle name="Вычисление 6 15 2" xfId="7562" xr:uid="{00000000-0005-0000-0000-0000D0230000}"/>
    <cellStyle name="Вычисление 6 15 3" xfId="11830" xr:uid="{00000000-0005-0000-0000-0000D1230000}"/>
    <cellStyle name="Вычисление 6 15 4" xfId="16066" xr:uid="{00000000-0005-0000-0000-0000D2230000}"/>
    <cellStyle name="Вычисление 6 16" xfId="2827" xr:uid="{00000000-0005-0000-0000-0000D3230000}"/>
    <cellStyle name="Вычисление 6 16 2" xfId="7563" xr:uid="{00000000-0005-0000-0000-0000D4230000}"/>
    <cellStyle name="Вычисление 6 16 3" xfId="11831" xr:uid="{00000000-0005-0000-0000-0000D5230000}"/>
    <cellStyle name="Вычисление 6 16 4" xfId="16067" xr:uid="{00000000-0005-0000-0000-0000D6230000}"/>
    <cellStyle name="Вычисление 6 17" xfId="2828" xr:uid="{00000000-0005-0000-0000-0000D7230000}"/>
    <cellStyle name="Вычисление 6 17 2" xfId="7564" xr:uid="{00000000-0005-0000-0000-0000D8230000}"/>
    <cellStyle name="Вычисление 6 17 3" xfId="11832" xr:uid="{00000000-0005-0000-0000-0000D9230000}"/>
    <cellStyle name="Вычисление 6 17 4" xfId="16068" xr:uid="{00000000-0005-0000-0000-0000DA230000}"/>
    <cellStyle name="Вычисление 6 18" xfId="2829" xr:uid="{00000000-0005-0000-0000-0000DB230000}"/>
    <cellStyle name="Вычисление 6 18 2" xfId="7565" xr:uid="{00000000-0005-0000-0000-0000DC230000}"/>
    <cellStyle name="Вычисление 6 18 3" xfId="11833" xr:uid="{00000000-0005-0000-0000-0000DD230000}"/>
    <cellStyle name="Вычисление 6 18 4" xfId="16069" xr:uid="{00000000-0005-0000-0000-0000DE230000}"/>
    <cellStyle name="Вычисление 6 19" xfId="2830" xr:uid="{00000000-0005-0000-0000-0000DF230000}"/>
    <cellStyle name="Вычисление 6 19 2" xfId="7566" xr:uid="{00000000-0005-0000-0000-0000E0230000}"/>
    <cellStyle name="Вычисление 6 19 3" xfId="11834" xr:uid="{00000000-0005-0000-0000-0000E1230000}"/>
    <cellStyle name="Вычисление 6 19 4" xfId="16070" xr:uid="{00000000-0005-0000-0000-0000E2230000}"/>
    <cellStyle name="Вычисление 6 2" xfId="2831" xr:uid="{00000000-0005-0000-0000-0000E3230000}"/>
    <cellStyle name="Вычисление 6 2 2" xfId="2832" xr:uid="{00000000-0005-0000-0000-0000E4230000}"/>
    <cellStyle name="Вычисление 6 2 2 2" xfId="7568" xr:uid="{00000000-0005-0000-0000-0000E5230000}"/>
    <cellStyle name="Вычисление 6 2 2 3" xfId="11836" xr:uid="{00000000-0005-0000-0000-0000E6230000}"/>
    <cellStyle name="Вычисление 6 2 2 4" xfId="16072" xr:uid="{00000000-0005-0000-0000-0000E7230000}"/>
    <cellStyle name="Вычисление 6 2 3" xfId="2833" xr:uid="{00000000-0005-0000-0000-0000E8230000}"/>
    <cellStyle name="Вычисление 6 2 3 2" xfId="7569" xr:uid="{00000000-0005-0000-0000-0000E9230000}"/>
    <cellStyle name="Вычисление 6 2 3 3" xfId="11837" xr:uid="{00000000-0005-0000-0000-0000EA230000}"/>
    <cellStyle name="Вычисление 6 2 3 4" xfId="16073" xr:uid="{00000000-0005-0000-0000-0000EB230000}"/>
    <cellStyle name="Вычисление 6 2 4" xfId="7567" xr:uid="{00000000-0005-0000-0000-0000EC230000}"/>
    <cellStyle name="Вычисление 6 2 5" xfId="11835" xr:uid="{00000000-0005-0000-0000-0000ED230000}"/>
    <cellStyle name="Вычисление 6 2 6" xfId="16071" xr:uid="{00000000-0005-0000-0000-0000EE230000}"/>
    <cellStyle name="Вычисление 6 20" xfId="2834" xr:uid="{00000000-0005-0000-0000-0000EF230000}"/>
    <cellStyle name="Вычисление 6 20 2" xfId="7570" xr:uid="{00000000-0005-0000-0000-0000F0230000}"/>
    <cellStyle name="Вычисление 6 20 3" xfId="11838" xr:uid="{00000000-0005-0000-0000-0000F1230000}"/>
    <cellStyle name="Вычисление 6 20 4" xfId="16074" xr:uid="{00000000-0005-0000-0000-0000F2230000}"/>
    <cellStyle name="Вычисление 6 21" xfId="2835" xr:uid="{00000000-0005-0000-0000-0000F3230000}"/>
    <cellStyle name="Вычисление 6 21 2" xfId="7571" xr:uid="{00000000-0005-0000-0000-0000F4230000}"/>
    <cellStyle name="Вычисление 6 21 3" xfId="11839" xr:uid="{00000000-0005-0000-0000-0000F5230000}"/>
    <cellStyle name="Вычисление 6 21 4" xfId="16075" xr:uid="{00000000-0005-0000-0000-0000F6230000}"/>
    <cellStyle name="Вычисление 6 22" xfId="2836" xr:uid="{00000000-0005-0000-0000-0000F7230000}"/>
    <cellStyle name="Вычисление 6 22 2" xfId="7572" xr:uid="{00000000-0005-0000-0000-0000F8230000}"/>
    <cellStyle name="Вычисление 6 22 3" xfId="11840" xr:uid="{00000000-0005-0000-0000-0000F9230000}"/>
    <cellStyle name="Вычисление 6 22 4" xfId="16076" xr:uid="{00000000-0005-0000-0000-0000FA230000}"/>
    <cellStyle name="Вычисление 6 23" xfId="2837" xr:uid="{00000000-0005-0000-0000-0000FB230000}"/>
    <cellStyle name="Вычисление 6 23 2" xfId="7573" xr:uid="{00000000-0005-0000-0000-0000FC230000}"/>
    <cellStyle name="Вычисление 6 23 3" xfId="11841" xr:uid="{00000000-0005-0000-0000-0000FD230000}"/>
    <cellStyle name="Вычисление 6 23 4" xfId="16077" xr:uid="{00000000-0005-0000-0000-0000FE230000}"/>
    <cellStyle name="Вычисление 6 24" xfId="2838" xr:uid="{00000000-0005-0000-0000-0000FF230000}"/>
    <cellStyle name="Вычисление 6 24 2" xfId="7574" xr:uid="{00000000-0005-0000-0000-000000240000}"/>
    <cellStyle name="Вычисление 6 24 3" xfId="11842" xr:uid="{00000000-0005-0000-0000-000001240000}"/>
    <cellStyle name="Вычисление 6 24 4" xfId="16078" xr:uid="{00000000-0005-0000-0000-000002240000}"/>
    <cellStyle name="Вычисление 6 25" xfId="2839" xr:uid="{00000000-0005-0000-0000-000003240000}"/>
    <cellStyle name="Вычисление 6 25 2" xfId="7575" xr:uid="{00000000-0005-0000-0000-000004240000}"/>
    <cellStyle name="Вычисление 6 25 3" xfId="11843" xr:uid="{00000000-0005-0000-0000-000005240000}"/>
    <cellStyle name="Вычисление 6 25 4" xfId="16079" xr:uid="{00000000-0005-0000-0000-000006240000}"/>
    <cellStyle name="Вычисление 6 26" xfId="2840" xr:uid="{00000000-0005-0000-0000-000007240000}"/>
    <cellStyle name="Вычисление 6 26 2" xfId="7576" xr:uid="{00000000-0005-0000-0000-000008240000}"/>
    <cellStyle name="Вычисление 6 26 3" xfId="11844" xr:uid="{00000000-0005-0000-0000-000009240000}"/>
    <cellStyle name="Вычисление 6 26 4" xfId="16080" xr:uid="{00000000-0005-0000-0000-00000A240000}"/>
    <cellStyle name="Вычисление 6 27" xfId="2841" xr:uid="{00000000-0005-0000-0000-00000B240000}"/>
    <cellStyle name="Вычисление 6 27 2" xfId="7577" xr:uid="{00000000-0005-0000-0000-00000C240000}"/>
    <cellStyle name="Вычисление 6 27 3" xfId="11845" xr:uid="{00000000-0005-0000-0000-00000D240000}"/>
    <cellStyle name="Вычисление 6 27 4" xfId="16081" xr:uid="{00000000-0005-0000-0000-00000E240000}"/>
    <cellStyle name="Вычисление 6 28" xfId="2842" xr:uid="{00000000-0005-0000-0000-00000F240000}"/>
    <cellStyle name="Вычисление 6 28 2" xfId="7578" xr:uid="{00000000-0005-0000-0000-000010240000}"/>
    <cellStyle name="Вычисление 6 28 3" xfId="11846" xr:uid="{00000000-0005-0000-0000-000011240000}"/>
    <cellStyle name="Вычисление 6 28 4" xfId="16082" xr:uid="{00000000-0005-0000-0000-000012240000}"/>
    <cellStyle name="Вычисление 6 29" xfId="2843" xr:uid="{00000000-0005-0000-0000-000013240000}"/>
    <cellStyle name="Вычисление 6 29 2" xfId="7579" xr:uid="{00000000-0005-0000-0000-000014240000}"/>
    <cellStyle name="Вычисление 6 29 3" xfId="11847" xr:uid="{00000000-0005-0000-0000-000015240000}"/>
    <cellStyle name="Вычисление 6 29 4" xfId="16083" xr:uid="{00000000-0005-0000-0000-000016240000}"/>
    <cellStyle name="Вычисление 6 3" xfId="2844" xr:uid="{00000000-0005-0000-0000-000017240000}"/>
    <cellStyle name="Вычисление 6 3 2" xfId="2845" xr:uid="{00000000-0005-0000-0000-000018240000}"/>
    <cellStyle name="Вычисление 6 3 2 2" xfId="7581" xr:uid="{00000000-0005-0000-0000-000019240000}"/>
    <cellStyle name="Вычисление 6 3 2 3" xfId="11849" xr:uid="{00000000-0005-0000-0000-00001A240000}"/>
    <cellStyle name="Вычисление 6 3 2 4" xfId="16085" xr:uid="{00000000-0005-0000-0000-00001B240000}"/>
    <cellStyle name="Вычисление 6 3 3" xfId="2846" xr:uid="{00000000-0005-0000-0000-00001C240000}"/>
    <cellStyle name="Вычисление 6 3 3 2" xfId="7582" xr:uid="{00000000-0005-0000-0000-00001D240000}"/>
    <cellStyle name="Вычисление 6 3 3 3" xfId="11850" xr:uid="{00000000-0005-0000-0000-00001E240000}"/>
    <cellStyle name="Вычисление 6 3 3 4" xfId="16086" xr:uid="{00000000-0005-0000-0000-00001F240000}"/>
    <cellStyle name="Вычисление 6 3 4" xfId="7580" xr:uid="{00000000-0005-0000-0000-000020240000}"/>
    <cellStyle name="Вычисление 6 3 5" xfId="11848" xr:uid="{00000000-0005-0000-0000-000021240000}"/>
    <cellStyle name="Вычисление 6 3 6" xfId="16084" xr:uid="{00000000-0005-0000-0000-000022240000}"/>
    <cellStyle name="Вычисление 6 30" xfId="2847" xr:uid="{00000000-0005-0000-0000-000023240000}"/>
    <cellStyle name="Вычисление 6 30 2" xfId="7583" xr:uid="{00000000-0005-0000-0000-000024240000}"/>
    <cellStyle name="Вычисление 6 30 3" xfId="11851" xr:uid="{00000000-0005-0000-0000-000025240000}"/>
    <cellStyle name="Вычисление 6 30 4" xfId="16087" xr:uid="{00000000-0005-0000-0000-000026240000}"/>
    <cellStyle name="Вычисление 6 31" xfId="2848" xr:uid="{00000000-0005-0000-0000-000027240000}"/>
    <cellStyle name="Вычисление 6 31 2" xfId="7584" xr:uid="{00000000-0005-0000-0000-000028240000}"/>
    <cellStyle name="Вычисление 6 31 3" xfId="11852" xr:uid="{00000000-0005-0000-0000-000029240000}"/>
    <cellStyle name="Вычисление 6 31 4" xfId="16088" xr:uid="{00000000-0005-0000-0000-00002A240000}"/>
    <cellStyle name="Вычисление 6 32" xfId="2849" xr:uid="{00000000-0005-0000-0000-00002B240000}"/>
    <cellStyle name="Вычисление 6 32 2" xfId="7585" xr:uid="{00000000-0005-0000-0000-00002C240000}"/>
    <cellStyle name="Вычисление 6 32 3" xfId="11853" xr:uid="{00000000-0005-0000-0000-00002D240000}"/>
    <cellStyle name="Вычисление 6 32 4" xfId="16089" xr:uid="{00000000-0005-0000-0000-00002E240000}"/>
    <cellStyle name="Вычисление 6 33" xfId="2850" xr:uid="{00000000-0005-0000-0000-00002F240000}"/>
    <cellStyle name="Вычисление 6 33 2" xfId="7586" xr:uid="{00000000-0005-0000-0000-000030240000}"/>
    <cellStyle name="Вычисление 6 33 3" xfId="11854" xr:uid="{00000000-0005-0000-0000-000031240000}"/>
    <cellStyle name="Вычисление 6 33 4" xfId="16090" xr:uid="{00000000-0005-0000-0000-000032240000}"/>
    <cellStyle name="Вычисление 6 34" xfId="2851" xr:uid="{00000000-0005-0000-0000-000033240000}"/>
    <cellStyle name="Вычисление 6 34 2" xfId="7587" xr:uid="{00000000-0005-0000-0000-000034240000}"/>
    <cellStyle name="Вычисление 6 34 3" xfId="11855" xr:uid="{00000000-0005-0000-0000-000035240000}"/>
    <cellStyle name="Вычисление 6 34 4" xfId="16091" xr:uid="{00000000-0005-0000-0000-000036240000}"/>
    <cellStyle name="Вычисление 6 35" xfId="2852" xr:uid="{00000000-0005-0000-0000-000037240000}"/>
    <cellStyle name="Вычисление 6 35 2" xfId="7588" xr:uid="{00000000-0005-0000-0000-000038240000}"/>
    <cellStyle name="Вычисление 6 35 3" xfId="11856" xr:uid="{00000000-0005-0000-0000-000039240000}"/>
    <cellStyle name="Вычисление 6 35 4" xfId="16092" xr:uid="{00000000-0005-0000-0000-00003A240000}"/>
    <cellStyle name="Вычисление 6 36" xfId="2853" xr:uid="{00000000-0005-0000-0000-00003B240000}"/>
    <cellStyle name="Вычисление 6 36 2" xfId="7589" xr:uid="{00000000-0005-0000-0000-00003C240000}"/>
    <cellStyle name="Вычисление 6 36 3" xfId="11857" xr:uid="{00000000-0005-0000-0000-00003D240000}"/>
    <cellStyle name="Вычисление 6 36 4" xfId="16093" xr:uid="{00000000-0005-0000-0000-00003E240000}"/>
    <cellStyle name="Вычисление 6 37" xfId="2854" xr:uid="{00000000-0005-0000-0000-00003F240000}"/>
    <cellStyle name="Вычисление 6 37 2" xfId="7590" xr:uid="{00000000-0005-0000-0000-000040240000}"/>
    <cellStyle name="Вычисление 6 37 3" xfId="11858" xr:uid="{00000000-0005-0000-0000-000041240000}"/>
    <cellStyle name="Вычисление 6 37 4" xfId="16094" xr:uid="{00000000-0005-0000-0000-000042240000}"/>
    <cellStyle name="Вычисление 6 38" xfId="2855" xr:uid="{00000000-0005-0000-0000-000043240000}"/>
    <cellStyle name="Вычисление 6 38 2" xfId="7591" xr:uid="{00000000-0005-0000-0000-000044240000}"/>
    <cellStyle name="Вычисление 6 38 3" xfId="11859" xr:uid="{00000000-0005-0000-0000-000045240000}"/>
    <cellStyle name="Вычисление 6 38 4" xfId="16095" xr:uid="{00000000-0005-0000-0000-000046240000}"/>
    <cellStyle name="Вычисление 6 39" xfId="2856" xr:uid="{00000000-0005-0000-0000-000047240000}"/>
    <cellStyle name="Вычисление 6 39 2" xfId="7592" xr:uid="{00000000-0005-0000-0000-000048240000}"/>
    <cellStyle name="Вычисление 6 39 3" xfId="11860" xr:uid="{00000000-0005-0000-0000-000049240000}"/>
    <cellStyle name="Вычисление 6 39 4" xfId="16096" xr:uid="{00000000-0005-0000-0000-00004A240000}"/>
    <cellStyle name="Вычисление 6 4" xfId="2857" xr:uid="{00000000-0005-0000-0000-00004B240000}"/>
    <cellStyle name="Вычисление 6 4 2" xfId="2858" xr:uid="{00000000-0005-0000-0000-00004C240000}"/>
    <cellStyle name="Вычисление 6 4 2 2" xfId="7594" xr:uid="{00000000-0005-0000-0000-00004D240000}"/>
    <cellStyle name="Вычисление 6 4 2 3" xfId="11862" xr:uid="{00000000-0005-0000-0000-00004E240000}"/>
    <cellStyle name="Вычисление 6 4 2 4" xfId="16098" xr:uid="{00000000-0005-0000-0000-00004F240000}"/>
    <cellStyle name="Вычисление 6 4 3" xfId="2859" xr:uid="{00000000-0005-0000-0000-000050240000}"/>
    <cellStyle name="Вычисление 6 4 3 2" xfId="7595" xr:uid="{00000000-0005-0000-0000-000051240000}"/>
    <cellStyle name="Вычисление 6 4 3 3" xfId="11863" xr:uid="{00000000-0005-0000-0000-000052240000}"/>
    <cellStyle name="Вычисление 6 4 3 4" xfId="16099" xr:uid="{00000000-0005-0000-0000-000053240000}"/>
    <cellStyle name="Вычисление 6 4 4" xfId="7593" xr:uid="{00000000-0005-0000-0000-000054240000}"/>
    <cellStyle name="Вычисление 6 4 5" xfId="11861" xr:uid="{00000000-0005-0000-0000-000055240000}"/>
    <cellStyle name="Вычисление 6 4 6" xfId="16097" xr:uid="{00000000-0005-0000-0000-000056240000}"/>
    <cellStyle name="Вычисление 6 40" xfId="2860" xr:uid="{00000000-0005-0000-0000-000057240000}"/>
    <cellStyle name="Вычисление 6 40 2" xfId="7596" xr:uid="{00000000-0005-0000-0000-000058240000}"/>
    <cellStyle name="Вычисление 6 40 3" xfId="11864" xr:uid="{00000000-0005-0000-0000-000059240000}"/>
    <cellStyle name="Вычисление 6 40 4" xfId="16100" xr:uid="{00000000-0005-0000-0000-00005A240000}"/>
    <cellStyle name="Вычисление 6 41" xfId="2861" xr:uid="{00000000-0005-0000-0000-00005B240000}"/>
    <cellStyle name="Вычисление 6 41 2" xfId="7597" xr:uid="{00000000-0005-0000-0000-00005C240000}"/>
    <cellStyle name="Вычисление 6 41 3" xfId="11865" xr:uid="{00000000-0005-0000-0000-00005D240000}"/>
    <cellStyle name="Вычисление 6 41 4" xfId="16101" xr:uid="{00000000-0005-0000-0000-00005E240000}"/>
    <cellStyle name="Вычисление 6 42" xfId="2862" xr:uid="{00000000-0005-0000-0000-00005F240000}"/>
    <cellStyle name="Вычисление 6 42 2" xfId="7598" xr:uid="{00000000-0005-0000-0000-000060240000}"/>
    <cellStyle name="Вычисление 6 42 3" xfId="11866" xr:uid="{00000000-0005-0000-0000-000061240000}"/>
    <cellStyle name="Вычисление 6 42 4" xfId="16102" xr:uid="{00000000-0005-0000-0000-000062240000}"/>
    <cellStyle name="Вычисление 6 43" xfId="2863" xr:uid="{00000000-0005-0000-0000-000063240000}"/>
    <cellStyle name="Вычисление 6 43 2" xfId="7599" xr:uid="{00000000-0005-0000-0000-000064240000}"/>
    <cellStyle name="Вычисление 6 43 3" xfId="11867" xr:uid="{00000000-0005-0000-0000-000065240000}"/>
    <cellStyle name="Вычисление 6 43 4" xfId="16103" xr:uid="{00000000-0005-0000-0000-000066240000}"/>
    <cellStyle name="Вычисление 6 44" xfId="2864" xr:uid="{00000000-0005-0000-0000-000067240000}"/>
    <cellStyle name="Вычисление 6 44 2" xfId="7600" xr:uid="{00000000-0005-0000-0000-000068240000}"/>
    <cellStyle name="Вычисление 6 44 3" xfId="11868" xr:uid="{00000000-0005-0000-0000-000069240000}"/>
    <cellStyle name="Вычисление 6 44 4" xfId="16104" xr:uid="{00000000-0005-0000-0000-00006A240000}"/>
    <cellStyle name="Вычисление 6 45" xfId="2865" xr:uid="{00000000-0005-0000-0000-00006B240000}"/>
    <cellStyle name="Вычисление 6 45 2" xfId="7601" xr:uid="{00000000-0005-0000-0000-00006C240000}"/>
    <cellStyle name="Вычисление 6 45 3" xfId="11869" xr:uid="{00000000-0005-0000-0000-00006D240000}"/>
    <cellStyle name="Вычисление 6 45 4" xfId="16105" xr:uid="{00000000-0005-0000-0000-00006E240000}"/>
    <cellStyle name="Вычисление 6 46" xfId="2866" xr:uid="{00000000-0005-0000-0000-00006F240000}"/>
    <cellStyle name="Вычисление 6 46 2" xfId="7602" xr:uid="{00000000-0005-0000-0000-000070240000}"/>
    <cellStyle name="Вычисление 6 46 3" xfId="11870" xr:uid="{00000000-0005-0000-0000-000071240000}"/>
    <cellStyle name="Вычисление 6 46 4" xfId="16106" xr:uid="{00000000-0005-0000-0000-000072240000}"/>
    <cellStyle name="Вычисление 6 47" xfId="2867" xr:uid="{00000000-0005-0000-0000-000073240000}"/>
    <cellStyle name="Вычисление 6 47 2" xfId="7603" xr:uid="{00000000-0005-0000-0000-000074240000}"/>
    <cellStyle name="Вычисление 6 47 3" xfId="11871" xr:uid="{00000000-0005-0000-0000-000075240000}"/>
    <cellStyle name="Вычисление 6 47 4" xfId="16107" xr:uid="{00000000-0005-0000-0000-000076240000}"/>
    <cellStyle name="Вычисление 6 48" xfId="2868" xr:uid="{00000000-0005-0000-0000-000077240000}"/>
    <cellStyle name="Вычисление 6 48 2" xfId="7604" xr:uid="{00000000-0005-0000-0000-000078240000}"/>
    <cellStyle name="Вычисление 6 48 3" xfId="11872" xr:uid="{00000000-0005-0000-0000-000079240000}"/>
    <cellStyle name="Вычисление 6 48 4" xfId="16108" xr:uid="{00000000-0005-0000-0000-00007A240000}"/>
    <cellStyle name="Вычисление 6 49" xfId="2869" xr:uid="{00000000-0005-0000-0000-00007B240000}"/>
    <cellStyle name="Вычисление 6 49 2" xfId="7605" xr:uid="{00000000-0005-0000-0000-00007C240000}"/>
    <cellStyle name="Вычисление 6 49 3" xfId="11873" xr:uid="{00000000-0005-0000-0000-00007D240000}"/>
    <cellStyle name="Вычисление 6 49 4" xfId="16109" xr:uid="{00000000-0005-0000-0000-00007E240000}"/>
    <cellStyle name="Вычисление 6 5" xfId="2870" xr:uid="{00000000-0005-0000-0000-00007F240000}"/>
    <cellStyle name="Вычисление 6 5 2" xfId="7606" xr:uid="{00000000-0005-0000-0000-000080240000}"/>
    <cellStyle name="Вычисление 6 5 3" xfId="11874" xr:uid="{00000000-0005-0000-0000-000081240000}"/>
    <cellStyle name="Вычисление 6 5 4" xfId="16110" xr:uid="{00000000-0005-0000-0000-000082240000}"/>
    <cellStyle name="Вычисление 6 50" xfId="2871" xr:uid="{00000000-0005-0000-0000-000083240000}"/>
    <cellStyle name="Вычисление 6 50 2" xfId="7607" xr:uid="{00000000-0005-0000-0000-000084240000}"/>
    <cellStyle name="Вычисление 6 50 3" xfId="11875" xr:uid="{00000000-0005-0000-0000-000085240000}"/>
    <cellStyle name="Вычисление 6 50 4" xfId="16111" xr:uid="{00000000-0005-0000-0000-000086240000}"/>
    <cellStyle name="Вычисление 6 51" xfId="2872" xr:uid="{00000000-0005-0000-0000-000087240000}"/>
    <cellStyle name="Вычисление 6 51 2" xfId="7608" xr:uid="{00000000-0005-0000-0000-000088240000}"/>
    <cellStyle name="Вычисление 6 51 3" xfId="11876" xr:uid="{00000000-0005-0000-0000-000089240000}"/>
    <cellStyle name="Вычисление 6 51 4" xfId="16112" xr:uid="{00000000-0005-0000-0000-00008A240000}"/>
    <cellStyle name="Вычисление 6 52" xfId="2873" xr:uid="{00000000-0005-0000-0000-00008B240000}"/>
    <cellStyle name="Вычисление 6 52 2" xfId="7609" xr:uid="{00000000-0005-0000-0000-00008C240000}"/>
    <cellStyle name="Вычисление 6 52 3" xfId="11877" xr:uid="{00000000-0005-0000-0000-00008D240000}"/>
    <cellStyle name="Вычисление 6 52 4" xfId="16113" xr:uid="{00000000-0005-0000-0000-00008E240000}"/>
    <cellStyle name="Вычисление 6 53" xfId="2874" xr:uid="{00000000-0005-0000-0000-00008F240000}"/>
    <cellStyle name="Вычисление 6 53 2" xfId="7610" xr:uid="{00000000-0005-0000-0000-000090240000}"/>
    <cellStyle name="Вычисление 6 53 3" xfId="11878" xr:uid="{00000000-0005-0000-0000-000091240000}"/>
    <cellStyle name="Вычисление 6 53 4" xfId="16114" xr:uid="{00000000-0005-0000-0000-000092240000}"/>
    <cellStyle name="Вычисление 6 54" xfId="2875" xr:uid="{00000000-0005-0000-0000-000093240000}"/>
    <cellStyle name="Вычисление 6 54 2" xfId="7611" xr:uid="{00000000-0005-0000-0000-000094240000}"/>
    <cellStyle name="Вычисление 6 54 3" xfId="11879" xr:uid="{00000000-0005-0000-0000-000095240000}"/>
    <cellStyle name="Вычисление 6 54 4" xfId="16115" xr:uid="{00000000-0005-0000-0000-000096240000}"/>
    <cellStyle name="Вычисление 6 55" xfId="2876" xr:uid="{00000000-0005-0000-0000-000097240000}"/>
    <cellStyle name="Вычисление 6 55 2" xfId="7612" xr:uid="{00000000-0005-0000-0000-000098240000}"/>
    <cellStyle name="Вычисление 6 55 3" xfId="11880" xr:uid="{00000000-0005-0000-0000-000099240000}"/>
    <cellStyle name="Вычисление 6 55 4" xfId="16116" xr:uid="{00000000-0005-0000-0000-00009A240000}"/>
    <cellStyle name="Вычисление 6 56" xfId="2877" xr:uid="{00000000-0005-0000-0000-00009B240000}"/>
    <cellStyle name="Вычисление 6 56 2" xfId="7613" xr:uid="{00000000-0005-0000-0000-00009C240000}"/>
    <cellStyle name="Вычисление 6 56 3" xfId="11881" xr:uid="{00000000-0005-0000-0000-00009D240000}"/>
    <cellStyle name="Вычисление 6 56 4" xfId="16117" xr:uid="{00000000-0005-0000-0000-00009E240000}"/>
    <cellStyle name="Вычисление 6 57" xfId="2878" xr:uid="{00000000-0005-0000-0000-00009F240000}"/>
    <cellStyle name="Вычисление 6 57 2" xfId="7614" xr:uid="{00000000-0005-0000-0000-0000A0240000}"/>
    <cellStyle name="Вычисление 6 57 3" xfId="11882" xr:uid="{00000000-0005-0000-0000-0000A1240000}"/>
    <cellStyle name="Вычисление 6 57 4" xfId="16118" xr:uid="{00000000-0005-0000-0000-0000A2240000}"/>
    <cellStyle name="Вычисление 6 58" xfId="2879" xr:uid="{00000000-0005-0000-0000-0000A3240000}"/>
    <cellStyle name="Вычисление 6 58 2" xfId="7615" xr:uid="{00000000-0005-0000-0000-0000A4240000}"/>
    <cellStyle name="Вычисление 6 58 3" xfId="11883" xr:uid="{00000000-0005-0000-0000-0000A5240000}"/>
    <cellStyle name="Вычисление 6 58 4" xfId="16119" xr:uid="{00000000-0005-0000-0000-0000A6240000}"/>
    <cellStyle name="Вычисление 6 59" xfId="2880" xr:uid="{00000000-0005-0000-0000-0000A7240000}"/>
    <cellStyle name="Вычисление 6 59 2" xfId="7616" xr:uid="{00000000-0005-0000-0000-0000A8240000}"/>
    <cellStyle name="Вычисление 6 59 3" xfId="11884" xr:uid="{00000000-0005-0000-0000-0000A9240000}"/>
    <cellStyle name="Вычисление 6 59 4" xfId="16120" xr:uid="{00000000-0005-0000-0000-0000AA240000}"/>
    <cellStyle name="Вычисление 6 6" xfId="2881" xr:uid="{00000000-0005-0000-0000-0000AB240000}"/>
    <cellStyle name="Вычисление 6 6 2" xfId="7617" xr:uid="{00000000-0005-0000-0000-0000AC240000}"/>
    <cellStyle name="Вычисление 6 6 3" xfId="11885" xr:uid="{00000000-0005-0000-0000-0000AD240000}"/>
    <cellStyle name="Вычисление 6 6 4" xfId="16121" xr:uid="{00000000-0005-0000-0000-0000AE240000}"/>
    <cellStyle name="Вычисление 6 60" xfId="2882" xr:uid="{00000000-0005-0000-0000-0000AF240000}"/>
    <cellStyle name="Вычисление 6 60 2" xfId="7618" xr:uid="{00000000-0005-0000-0000-0000B0240000}"/>
    <cellStyle name="Вычисление 6 60 3" xfId="11886" xr:uid="{00000000-0005-0000-0000-0000B1240000}"/>
    <cellStyle name="Вычисление 6 60 4" xfId="16122" xr:uid="{00000000-0005-0000-0000-0000B2240000}"/>
    <cellStyle name="Вычисление 6 61" xfId="2883" xr:uid="{00000000-0005-0000-0000-0000B3240000}"/>
    <cellStyle name="Вычисление 6 61 2" xfId="7619" xr:uid="{00000000-0005-0000-0000-0000B4240000}"/>
    <cellStyle name="Вычисление 6 61 3" xfId="11887" xr:uid="{00000000-0005-0000-0000-0000B5240000}"/>
    <cellStyle name="Вычисление 6 61 4" xfId="16123" xr:uid="{00000000-0005-0000-0000-0000B6240000}"/>
    <cellStyle name="Вычисление 6 62" xfId="2884" xr:uid="{00000000-0005-0000-0000-0000B7240000}"/>
    <cellStyle name="Вычисление 6 62 2" xfId="7620" xr:uid="{00000000-0005-0000-0000-0000B8240000}"/>
    <cellStyle name="Вычисление 6 62 3" xfId="11888" xr:uid="{00000000-0005-0000-0000-0000B9240000}"/>
    <cellStyle name="Вычисление 6 62 4" xfId="16124" xr:uid="{00000000-0005-0000-0000-0000BA240000}"/>
    <cellStyle name="Вычисление 6 63" xfId="2885" xr:uid="{00000000-0005-0000-0000-0000BB240000}"/>
    <cellStyle name="Вычисление 6 63 2" xfId="7621" xr:uid="{00000000-0005-0000-0000-0000BC240000}"/>
    <cellStyle name="Вычисление 6 63 3" xfId="11889" xr:uid="{00000000-0005-0000-0000-0000BD240000}"/>
    <cellStyle name="Вычисление 6 63 4" xfId="16125" xr:uid="{00000000-0005-0000-0000-0000BE240000}"/>
    <cellStyle name="Вычисление 6 64" xfId="2886" xr:uid="{00000000-0005-0000-0000-0000BF240000}"/>
    <cellStyle name="Вычисление 6 64 2" xfId="7622" xr:uid="{00000000-0005-0000-0000-0000C0240000}"/>
    <cellStyle name="Вычисление 6 64 3" xfId="11890" xr:uid="{00000000-0005-0000-0000-0000C1240000}"/>
    <cellStyle name="Вычисление 6 64 4" xfId="16126" xr:uid="{00000000-0005-0000-0000-0000C2240000}"/>
    <cellStyle name="Вычисление 6 65" xfId="2887" xr:uid="{00000000-0005-0000-0000-0000C3240000}"/>
    <cellStyle name="Вычисление 6 65 2" xfId="7623" xr:uid="{00000000-0005-0000-0000-0000C4240000}"/>
    <cellStyle name="Вычисление 6 65 3" xfId="11891" xr:uid="{00000000-0005-0000-0000-0000C5240000}"/>
    <cellStyle name="Вычисление 6 65 4" xfId="16127" xr:uid="{00000000-0005-0000-0000-0000C6240000}"/>
    <cellStyle name="Вычисление 6 66" xfId="2888" xr:uid="{00000000-0005-0000-0000-0000C7240000}"/>
    <cellStyle name="Вычисление 6 66 2" xfId="7624" xr:uid="{00000000-0005-0000-0000-0000C8240000}"/>
    <cellStyle name="Вычисление 6 66 3" xfId="11892" xr:uid="{00000000-0005-0000-0000-0000C9240000}"/>
    <cellStyle name="Вычисление 6 66 4" xfId="16128" xr:uid="{00000000-0005-0000-0000-0000CA240000}"/>
    <cellStyle name="Вычисление 6 67" xfId="2889" xr:uid="{00000000-0005-0000-0000-0000CB240000}"/>
    <cellStyle name="Вычисление 6 67 2" xfId="7625" xr:uid="{00000000-0005-0000-0000-0000CC240000}"/>
    <cellStyle name="Вычисление 6 67 3" xfId="11893" xr:uid="{00000000-0005-0000-0000-0000CD240000}"/>
    <cellStyle name="Вычисление 6 67 4" xfId="16129" xr:uid="{00000000-0005-0000-0000-0000CE240000}"/>
    <cellStyle name="Вычисление 6 68" xfId="2890" xr:uid="{00000000-0005-0000-0000-0000CF240000}"/>
    <cellStyle name="Вычисление 6 68 2" xfId="7626" xr:uid="{00000000-0005-0000-0000-0000D0240000}"/>
    <cellStyle name="Вычисление 6 68 3" xfId="11894" xr:uid="{00000000-0005-0000-0000-0000D1240000}"/>
    <cellStyle name="Вычисление 6 68 4" xfId="16130" xr:uid="{00000000-0005-0000-0000-0000D2240000}"/>
    <cellStyle name="Вычисление 6 69" xfId="2891" xr:uid="{00000000-0005-0000-0000-0000D3240000}"/>
    <cellStyle name="Вычисление 6 69 2" xfId="7627" xr:uid="{00000000-0005-0000-0000-0000D4240000}"/>
    <cellStyle name="Вычисление 6 69 3" xfId="11895" xr:uid="{00000000-0005-0000-0000-0000D5240000}"/>
    <cellStyle name="Вычисление 6 69 4" xfId="16131" xr:uid="{00000000-0005-0000-0000-0000D6240000}"/>
    <cellStyle name="Вычисление 6 7" xfId="2892" xr:uid="{00000000-0005-0000-0000-0000D7240000}"/>
    <cellStyle name="Вычисление 6 7 2" xfId="7628" xr:uid="{00000000-0005-0000-0000-0000D8240000}"/>
    <cellStyle name="Вычисление 6 7 3" xfId="11896" xr:uid="{00000000-0005-0000-0000-0000D9240000}"/>
    <cellStyle name="Вычисление 6 7 4" xfId="16132" xr:uid="{00000000-0005-0000-0000-0000DA240000}"/>
    <cellStyle name="Вычисление 6 70" xfId="2893" xr:uid="{00000000-0005-0000-0000-0000DB240000}"/>
    <cellStyle name="Вычисление 6 70 2" xfId="7629" xr:uid="{00000000-0005-0000-0000-0000DC240000}"/>
    <cellStyle name="Вычисление 6 70 3" xfId="11897" xr:uid="{00000000-0005-0000-0000-0000DD240000}"/>
    <cellStyle name="Вычисление 6 70 4" xfId="16133" xr:uid="{00000000-0005-0000-0000-0000DE240000}"/>
    <cellStyle name="Вычисление 6 71" xfId="2894" xr:uid="{00000000-0005-0000-0000-0000DF240000}"/>
    <cellStyle name="Вычисление 6 71 2" xfId="7630" xr:uid="{00000000-0005-0000-0000-0000E0240000}"/>
    <cellStyle name="Вычисление 6 71 3" xfId="11898" xr:uid="{00000000-0005-0000-0000-0000E1240000}"/>
    <cellStyle name="Вычисление 6 71 4" xfId="16134" xr:uid="{00000000-0005-0000-0000-0000E2240000}"/>
    <cellStyle name="Вычисление 6 72" xfId="2895" xr:uid="{00000000-0005-0000-0000-0000E3240000}"/>
    <cellStyle name="Вычисление 6 72 2" xfId="7631" xr:uid="{00000000-0005-0000-0000-0000E4240000}"/>
    <cellStyle name="Вычисление 6 72 3" xfId="11899" xr:uid="{00000000-0005-0000-0000-0000E5240000}"/>
    <cellStyle name="Вычисление 6 72 4" xfId="16135" xr:uid="{00000000-0005-0000-0000-0000E6240000}"/>
    <cellStyle name="Вычисление 6 73" xfId="2896" xr:uid="{00000000-0005-0000-0000-0000E7240000}"/>
    <cellStyle name="Вычисление 6 73 2" xfId="7632" xr:uid="{00000000-0005-0000-0000-0000E8240000}"/>
    <cellStyle name="Вычисление 6 73 3" xfId="11900" xr:uid="{00000000-0005-0000-0000-0000E9240000}"/>
    <cellStyle name="Вычисление 6 73 4" xfId="16136" xr:uid="{00000000-0005-0000-0000-0000EA240000}"/>
    <cellStyle name="Вычисление 6 74" xfId="2897" xr:uid="{00000000-0005-0000-0000-0000EB240000}"/>
    <cellStyle name="Вычисление 6 74 2" xfId="7633" xr:uid="{00000000-0005-0000-0000-0000EC240000}"/>
    <cellStyle name="Вычисление 6 74 3" xfId="11901" xr:uid="{00000000-0005-0000-0000-0000ED240000}"/>
    <cellStyle name="Вычисление 6 74 4" xfId="16137" xr:uid="{00000000-0005-0000-0000-0000EE240000}"/>
    <cellStyle name="Вычисление 6 75" xfId="2898" xr:uid="{00000000-0005-0000-0000-0000EF240000}"/>
    <cellStyle name="Вычисление 6 75 2" xfId="7634" xr:uid="{00000000-0005-0000-0000-0000F0240000}"/>
    <cellStyle name="Вычисление 6 75 3" xfId="11902" xr:uid="{00000000-0005-0000-0000-0000F1240000}"/>
    <cellStyle name="Вычисление 6 75 4" xfId="16138" xr:uid="{00000000-0005-0000-0000-0000F2240000}"/>
    <cellStyle name="Вычисление 6 76" xfId="2899" xr:uid="{00000000-0005-0000-0000-0000F3240000}"/>
    <cellStyle name="Вычисление 6 76 2" xfId="7635" xr:uid="{00000000-0005-0000-0000-0000F4240000}"/>
    <cellStyle name="Вычисление 6 76 3" xfId="11903" xr:uid="{00000000-0005-0000-0000-0000F5240000}"/>
    <cellStyle name="Вычисление 6 76 4" xfId="16139" xr:uid="{00000000-0005-0000-0000-0000F6240000}"/>
    <cellStyle name="Вычисление 6 77" xfId="2900" xr:uid="{00000000-0005-0000-0000-0000F7240000}"/>
    <cellStyle name="Вычисление 6 77 2" xfId="7636" xr:uid="{00000000-0005-0000-0000-0000F8240000}"/>
    <cellStyle name="Вычисление 6 77 3" xfId="11904" xr:uid="{00000000-0005-0000-0000-0000F9240000}"/>
    <cellStyle name="Вычисление 6 77 4" xfId="16140" xr:uid="{00000000-0005-0000-0000-0000FA240000}"/>
    <cellStyle name="Вычисление 6 78" xfId="2901" xr:uid="{00000000-0005-0000-0000-0000FB240000}"/>
    <cellStyle name="Вычисление 6 78 2" xfId="7637" xr:uid="{00000000-0005-0000-0000-0000FC240000}"/>
    <cellStyle name="Вычисление 6 78 3" xfId="11905" xr:uid="{00000000-0005-0000-0000-0000FD240000}"/>
    <cellStyle name="Вычисление 6 78 4" xfId="16141" xr:uid="{00000000-0005-0000-0000-0000FE240000}"/>
    <cellStyle name="Вычисление 6 79" xfId="2902" xr:uid="{00000000-0005-0000-0000-0000FF240000}"/>
    <cellStyle name="Вычисление 6 79 2" xfId="7638" xr:uid="{00000000-0005-0000-0000-000000250000}"/>
    <cellStyle name="Вычисление 6 79 3" xfId="11906" xr:uid="{00000000-0005-0000-0000-000001250000}"/>
    <cellStyle name="Вычисление 6 79 4" xfId="16142" xr:uid="{00000000-0005-0000-0000-000002250000}"/>
    <cellStyle name="Вычисление 6 8" xfId="2903" xr:uid="{00000000-0005-0000-0000-000003250000}"/>
    <cellStyle name="Вычисление 6 8 2" xfId="7639" xr:uid="{00000000-0005-0000-0000-000004250000}"/>
    <cellStyle name="Вычисление 6 8 3" xfId="11907" xr:uid="{00000000-0005-0000-0000-000005250000}"/>
    <cellStyle name="Вычисление 6 8 4" xfId="16143" xr:uid="{00000000-0005-0000-0000-000006250000}"/>
    <cellStyle name="Вычисление 6 80" xfId="2904" xr:uid="{00000000-0005-0000-0000-000007250000}"/>
    <cellStyle name="Вычисление 6 80 2" xfId="7640" xr:uid="{00000000-0005-0000-0000-000008250000}"/>
    <cellStyle name="Вычисление 6 80 3" xfId="11908" xr:uid="{00000000-0005-0000-0000-000009250000}"/>
    <cellStyle name="Вычисление 6 80 4" xfId="16144" xr:uid="{00000000-0005-0000-0000-00000A250000}"/>
    <cellStyle name="Вычисление 6 81" xfId="2905" xr:uid="{00000000-0005-0000-0000-00000B250000}"/>
    <cellStyle name="Вычисление 6 81 2" xfId="7641" xr:uid="{00000000-0005-0000-0000-00000C250000}"/>
    <cellStyle name="Вычисление 6 81 3" xfId="11909" xr:uid="{00000000-0005-0000-0000-00000D250000}"/>
    <cellStyle name="Вычисление 6 81 4" xfId="16145" xr:uid="{00000000-0005-0000-0000-00000E250000}"/>
    <cellStyle name="Вычисление 6 82" xfId="2906" xr:uid="{00000000-0005-0000-0000-00000F250000}"/>
    <cellStyle name="Вычисление 6 82 2" xfId="7642" xr:uid="{00000000-0005-0000-0000-000010250000}"/>
    <cellStyle name="Вычисление 6 82 3" xfId="11910" xr:uid="{00000000-0005-0000-0000-000011250000}"/>
    <cellStyle name="Вычисление 6 82 4" xfId="16146" xr:uid="{00000000-0005-0000-0000-000012250000}"/>
    <cellStyle name="Вычисление 6 83" xfId="2907" xr:uid="{00000000-0005-0000-0000-000013250000}"/>
    <cellStyle name="Вычисление 6 83 2" xfId="7643" xr:uid="{00000000-0005-0000-0000-000014250000}"/>
    <cellStyle name="Вычисление 6 83 3" xfId="11911" xr:uid="{00000000-0005-0000-0000-000015250000}"/>
    <cellStyle name="Вычисление 6 83 4" xfId="16147" xr:uid="{00000000-0005-0000-0000-000016250000}"/>
    <cellStyle name="Вычисление 6 84" xfId="2908" xr:uid="{00000000-0005-0000-0000-000017250000}"/>
    <cellStyle name="Вычисление 6 84 2" xfId="7644" xr:uid="{00000000-0005-0000-0000-000018250000}"/>
    <cellStyle name="Вычисление 6 84 3" xfId="11912" xr:uid="{00000000-0005-0000-0000-000019250000}"/>
    <cellStyle name="Вычисление 6 84 4" xfId="16148" xr:uid="{00000000-0005-0000-0000-00001A250000}"/>
    <cellStyle name="Вычисление 6 85" xfId="2909" xr:uid="{00000000-0005-0000-0000-00001B250000}"/>
    <cellStyle name="Вычисление 6 85 2" xfId="7645" xr:uid="{00000000-0005-0000-0000-00001C250000}"/>
    <cellStyle name="Вычисление 6 85 3" xfId="11913" xr:uid="{00000000-0005-0000-0000-00001D250000}"/>
    <cellStyle name="Вычисление 6 85 4" xfId="16149" xr:uid="{00000000-0005-0000-0000-00001E250000}"/>
    <cellStyle name="Вычисление 6 86" xfId="2910" xr:uid="{00000000-0005-0000-0000-00001F250000}"/>
    <cellStyle name="Вычисление 6 86 2" xfId="7646" xr:uid="{00000000-0005-0000-0000-000020250000}"/>
    <cellStyle name="Вычисление 6 86 3" xfId="11914" xr:uid="{00000000-0005-0000-0000-000021250000}"/>
    <cellStyle name="Вычисление 6 86 4" xfId="16150" xr:uid="{00000000-0005-0000-0000-000022250000}"/>
    <cellStyle name="Вычисление 6 87" xfId="2911" xr:uid="{00000000-0005-0000-0000-000023250000}"/>
    <cellStyle name="Вычисление 6 87 2" xfId="7647" xr:uid="{00000000-0005-0000-0000-000024250000}"/>
    <cellStyle name="Вычисление 6 87 3" xfId="11915" xr:uid="{00000000-0005-0000-0000-000025250000}"/>
    <cellStyle name="Вычисление 6 87 4" xfId="16151" xr:uid="{00000000-0005-0000-0000-000026250000}"/>
    <cellStyle name="Вычисление 6 88" xfId="2912" xr:uid="{00000000-0005-0000-0000-000027250000}"/>
    <cellStyle name="Вычисление 6 88 2" xfId="7648" xr:uid="{00000000-0005-0000-0000-000028250000}"/>
    <cellStyle name="Вычисление 6 88 3" xfId="11916" xr:uid="{00000000-0005-0000-0000-000029250000}"/>
    <cellStyle name="Вычисление 6 88 4" xfId="16152" xr:uid="{00000000-0005-0000-0000-00002A250000}"/>
    <cellStyle name="Вычисление 6 89" xfId="2913" xr:uid="{00000000-0005-0000-0000-00002B250000}"/>
    <cellStyle name="Вычисление 6 89 2" xfId="7649" xr:uid="{00000000-0005-0000-0000-00002C250000}"/>
    <cellStyle name="Вычисление 6 89 3" xfId="11917" xr:uid="{00000000-0005-0000-0000-00002D250000}"/>
    <cellStyle name="Вычисление 6 89 4" xfId="16153" xr:uid="{00000000-0005-0000-0000-00002E250000}"/>
    <cellStyle name="Вычисление 6 9" xfId="2914" xr:uid="{00000000-0005-0000-0000-00002F250000}"/>
    <cellStyle name="Вычисление 6 9 2" xfId="7650" xr:uid="{00000000-0005-0000-0000-000030250000}"/>
    <cellStyle name="Вычисление 6 9 3" xfId="11918" xr:uid="{00000000-0005-0000-0000-000031250000}"/>
    <cellStyle name="Вычисление 6 9 4" xfId="16154" xr:uid="{00000000-0005-0000-0000-000032250000}"/>
    <cellStyle name="Вычисление 6 90" xfId="2915" xr:uid="{00000000-0005-0000-0000-000033250000}"/>
    <cellStyle name="Вычисление 6 90 2" xfId="7651" xr:uid="{00000000-0005-0000-0000-000034250000}"/>
    <cellStyle name="Вычисление 6 90 3" xfId="11919" xr:uid="{00000000-0005-0000-0000-000035250000}"/>
    <cellStyle name="Вычисление 6 90 4" xfId="16155" xr:uid="{00000000-0005-0000-0000-000036250000}"/>
    <cellStyle name="Вычисление 6 91" xfId="2916" xr:uid="{00000000-0005-0000-0000-000037250000}"/>
    <cellStyle name="Вычисление 6 91 2" xfId="7652" xr:uid="{00000000-0005-0000-0000-000038250000}"/>
    <cellStyle name="Вычисление 6 91 3" xfId="11920" xr:uid="{00000000-0005-0000-0000-000039250000}"/>
    <cellStyle name="Вычисление 6 91 4" xfId="16156" xr:uid="{00000000-0005-0000-0000-00003A250000}"/>
    <cellStyle name="Вычисление 6 92" xfId="5200" xr:uid="{00000000-0005-0000-0000-00003B250000}"/>
    <cellStyle name="Вычисление 6 93" xfId="5338" xr:uid="{00000000-0005-0000-0000-00003C250000}"/>
    <cellStyle name="Вычисление 6 94" xfId="5171" xr:uid="{00000000-0005-0000-0000-00003D250000}"/>
    <cellStyle name="Вычисление 7" xfId="247" xr:uid="{00000000-0005-0000-0000-00003E250000}"/>
    <cellStyle name="Вычисление 7 10" xfId="2917" xr:uid="{00000000-0005-0000-0000-00003F250000}"/>
    <cellStyle name="Вычисление 7 10 2" xfId="7653" xr:uid="{00000000-0005-0000-0000-000040250000}"/>
    <cellStyle name="Вычисление 7 10 3" xfId="11921" xr:uid="{00000000-0005-0000-0000-000041250000}"/>
    <cellStyle name="Вычисление 7 10 4" xfId="16157" xr:uid="{00000000-0005-0000-0000-000042250000}"/>
    <cellStyle name="Вычисление 7 11" xfId="2918" xr:uid="{00000000-0005-0000-0000-000043250000}"/>
    <cellStyle name="Вычисление 7 11 2" xfId="7654" xr:uid="{00000000-0005-0000-0000-000044250000}"/>
    <cellStyle name="Вычисление 7 11 3" xfId="11922" xr:uid="{00000000-0005-0000-0000-000045250000}"/>
    <cellStyle name="Вычисление 7 11 4" xfId="16158" xr:uid="{00000000-0005-0000-0000-000046250000}"/>
    <cellStyle name="Вычисление 7 12" xfId="2919" xr:uid="{00000000-0005-0000-0000-000047250000}"/>
    <cellStyle name="Вычисление 7 12 2" xfId="7655" xr:uid="{00000000-0005-0000-0000-000048250000}"/>
    <cellStyle name="Вычисление 7 12 3" xfId="11923" xr:uid="{00000000-0005-0000-0000-000049250000}"/>
    <cellStyle name="Вычисление 7 12 4" xfId="16159" xr:uid="{00000000-0005-0000-0000-00004A250000}"/>
    <cellStyle name="Вычисление 7 13" xfId="2920" xr:uid="{00000000-0005-0000-0000-00004B250000}"/>
    <cellStyle name="Вычисление 7 13 2" xfId="7656" xr:uid="{00000000-0005-0000-0000-00004C250000}"/>
    <cellStyle name="Вычисление 7 13 3" xfId="11924" xr:uid="{00000000-0005-0000-0000-00004D250000}"/>
    <cellStyle name="Вычисление 7 13 4" xfId="16160" xr:uid="{00000000-0005-0000-0000-00004E250000}"/>
    <cellStyle name="Вычисление 7 14" xfId="2921" xr:uid="{00000000-0005-0000-0000-00004F250000}"/>
    <cellStyle name="Вычисление 7 14 2" xfId="7657" xr:uid="{00000000-0005-0000-0000-000050250000}"/>
    <cellStyle name="Вычисление 7 14 3" xfId="11925" xr:uid="{00000000-0005-0000-0000-000051250000}"/>
    <cellStyle name="Вычисление 7 14 4" xfId="16161" xr:uid="{00000000-0005-0000-0000-000052250000}"/>
    <cellStyle name="Вычисление 7 15" xfId="2922" xr:uid="{00000000-0005-0000-0000-000053250000}"/>
    <cellStyle name="Вычисление 7 15 2" xfId="7658" xr:uid="{00000000-0005-0000-0000-000054250000}"/>
    <cellStyle name="Вычисление 7 15 3" xfId="11926" xr:uid="{00000000-0005-0000-0000-000055250000}"/>
    <cellStyle name="Вычисление 7 15 4" xfId="16162" xr:uid="{00000000-0005-0000-0000-000056250000}"/>
    <cellStyle name="Вычисление 7 16" xfId="2923" xr:uid="{00000000-0005-0000-0000-000057250000}"/>
    <cellStyle name="Вычисление 7 16 2" xfId="7659" xr:uid="{00000000-0005-0000-0000-000058250000}"/>
    <cellStyle name="Вычисление 7 16 3" xfId="11927" xr:uid="{00000000-0005-0000-0000-000059250000}"/>
    <cellStyle name="Вычисление 7 16 4" xfId="16163" xr:uid="{00000000-0005-0000-0000-00005A250000}"/>
    <cellStyle name="Вычисление 7 17" xfId="2924" xr:uid="{00000000-0005-0000-0000-00005B250000}"/>
    <cellStyle name="Вычисление 7 17 2" xfId="7660" xr:uid="{00000000-0005-0000-0000-00005C250000}"/>
    <cellStyle name="Вычисление 7 17 3" xfId="11928" xr:uid="{00000000-0005-0000-0000-00005D250000}"/>
    <cellStyle name="Вычисление 7 17 4" xfId="16164" xr:uid="{00000000-0005-0000-0000-00005E250000}"/>
    <cellStyle name="Вычисление 7 18" xfId="2925" xr:uid="{00000000-0005-0000-0000-00005F250000}"/>
    <cellStyle name="Вычисление 7 18 2" xfId="7661" xr:uid="{00000000-0005-0000-0000-000060250000}"/>
    <cellStyle name="Вычисление 7 18 3" xfId="11929" xr:uid="{00000000-0005-0000-0000-000061250000}"/>
    <cellStyle name="Вычисление 7 18 4" xfId="16165" xr:uid="{00000000-0005-0000-0000-000062250000}"/>
    <cellStyle name="Вычисление 7 19" xfId="2926" xr:uid="{00000000-0005-0000-0000-000063250000}"/>
    <cellStyle name="Вычисление 7 19 2" xfId="7662" xr:uid="{00000000-0005-0000-0000-000064250000}"/>
    <cellStyle name="Вычисление 7 19 3" xfId="11930" xr:uid="{00000000-0005-0000-0000-000065250000}"/>
    <cellStyle name="Вычисление 7 19 4" xfId="16166" xr:uid="{00000000-0005-0000-0000-000066250000}"/>
    <cellStyle name="Вычисление 7 2" xfId="2927" xr:uid="{00000000-0005-0000-0000-000067250000}"/>
    <cellStyle name="Вычисление 7 2 2" xfId="2928" xr:uid="{00000000-0005-0000-0000-000068250000}"/>
    <cellStyle name="Вычисление 7 2 2 2" xfId="7664" xr:uid="{00000000-0005-0000-0000-000069250000}"/>
    <cellStyle name="Вычисление 7 2 2 3" xfId="11932" xr:uid="{00000000-0005-0000-0000-00006A250000}"/>
    <cellStyle name="Вычисление 7 2 2 4" xfId="16168" xr:uid="{00000000-0005-0000-0000-00006B250000}"/>
    <cellStyle name="Вычисление 7 2 3" xfId="2929" xr:uid="{00000000-0005-0000-0000-00006C250000}"/>
    <cellStyle name="Вычисление 7 2 3 2" xfId="7665" xr:uid="{00000000-0005-0000-0000-00006D250000}"/>
    <cellStyle name="Вычисление 7 2 3 3" xfId="11933" xr:uid="{00000000-0005-0000-0000-00006E250000}"/>
    <cellStyle name="Вычисление 7 2 3 4" xfId="16169" xr:uid="{00000000-0005-0000-0000-00006F250000}"/>
    <cellStyle name="Вычисление 7 2 4" xfId="7663" xr:uid="{00000000-0005-0000-0000-000070250000}"/>
    <cellStyle name="Вычисление 7 2 5" xfId="11931" xr:uid="{00000000-0005-0000-0000-000071250000}"/>
    <cellStyle name="Вычисление 7 2 6" xfId="16167" xr:uid="{00000000-0005-0000-0000-000072250000}"/>
    <cellStyle name="Вычисление 7 20" xfId="2930" xr:uid="{00000000-0005-0000-0000-000073250000}"/>
    <cellStyle name="Вычисление 7 20 2" xfId="7666" xr:uid="{00000000-0005-0000-0000-000074250000}"/>
    <cellStyle name="Вычисление 7 20 3" xfId="11934" xr:uid="{00000000-0005-0000-0000-000075250000}"/>
    <cellStyle name="Вычисление 7 20 4" xfId="16170" xr:uid="{00000000-0005-0000-0000-000076250000}"/>
    <cellStyle name="Вычисление 7 21" xfId="2931" xr:uid="{00000000-0005-0000-0000-000077250000}"/>
    <cellStyle name="Вычисление 7 21 2" xfId="7667" xr:uid="{00000000-0005-0000-0000-000078250000}"/>
    <cellStyle name="Вычисление 7 21 3" xfId="11935" xr:uid="{00000000-0005-0000-0000-000079250000}"/>
    <cellStyle name="Вычисление 7 21 4" xfId="16171" xr:uid="{00000000-0005-0000-0000-00007A250000}"/>
    <cellStyle name="Вычисление 7 22" xfId="2932" xr:uid="{00000000-0005-0000-0000-00007B250000}"/>
    <cellStyle name="Вычисление 7 22 2" xfId="7668" xr:uid="{00000000-0005-0000-0000-00007C250000}"/>
    <cellStyle name="Вычисление 7 22 3" xfId="11936" xr:uid="{00000000-0005-0000-0000-00007D250000}"/>
    <cellStyle name="Вычисление 7 22 4" xfId="16172" xr:uid="{00000000-0005-0000-0000-00007E250000}"/>
    <cellStyle name="Вычисление 7 23" xfId="2933" xr:uid="{00000000-0005-0000-0000-00007F250000}"/>
    <cellStyle name="Вычисление 7 23 2" xfId="7669" xr:uid="{00000000-0005-0000-0000-000080250000}"/>
    <cellStyle name="Вычисление 7 23 3" xfId="11937" xr:uid="{00000000-0005-0000-0000-000081250000}"/>
    <cellStyle name="Вычисление 7 23 4" xfId="16173" xr:uid="{00000000-0005-0000-0000-000082250000}"/>
    <cellStyle name="Вычисление 7 24" xfId="2934" xr:uid="{00000000-0005-0000-0000-000083250000}"/>
    <cellStyle name="Вычисление 7 24 2" xfId="7670" xr:uid="{00000000-0005-0000-0000-000084250000}"/>
    <cellStyle name="Вычисление 7 24 3" xfId="11938" xr:uid="{00000000-0005-0000-0000-000085250000}"/>
    <cellStyle name="Вычисление 7 24 4" xfId="16174" xr:uid="{00000000-0005-0000-0000-000086250000}"/>
    <cellStyle name="Вычисление 7 25" xfId="2935" xr:uid="{00000000-0005-0000-0000-000087250000}"/>
    <cellStyle name="Вычисление 7 25 2" xfId="7671" xr:uid="{00000000-0005-0000-0000-000088250000}"/>
    <cellStyle name="Вычисление 7 25 3" xfId="11939" xr:uid="{00000000-0005-0000-0000-000089250000}"/>
    <cellStyle name="Вычисление 7 25 4" xfId="16175" xr:uid="{00000000-0005-0000-0000-00008A250000}"/>
    <cellStyle name="Вычисление 7 26" xfId="2936" xr:uid="{00000000-0005-0000-0000-00008B250000}"/>
    <cellStyle name="Вычисление 7 26 2" xfId="7672" xr:uid="{00000000-0005-0000-0000-00008C250000}"/>
    <cellStyle name="Вычисление 7 26 3" xfId="11940" xr:uid="{00000000-0005-0000-0000-00008D250000}"/>
    <cellStyle name="Вычисление 7 26 4" xfId="16176" xr:uid="{00000000-0005-0000-0000-00008E250000}"/>
    <cellStyle name="Вычисление 7 27" xfId="2937" xr:uid="{00000000-0005-0000-0000-00008F250000}"/>
    <cellStyle name="Вычисление 7 27 2" xfId="7673" xr:uid="{00000000-0005-0000-0000-000090250000}"/>
    <cellStyle name="Вычисление 7 27 3" xfId="11941" xr:uid="{00000000-0005-0000-0000-000091250000}"/>
    <cellStyle name="Вычисление 7 27 4" xfId="16177" xr:uid="{00000000-0005-0000-0000-000092250000}"/>
    <cellStyle name="Вычисление 7 28" xfId="2938" xr:uid="{00000000-0005-0000-0000-000093250000}"/>
    <cellStyle name="Вычисление 7 28 2" xfId="7674" xr:uid="{00000000-0005-0000-0000-000094250000}"/>
    <cellStyle name="Вычисление 7 28 3" xfId="11942" xr:uid="{00000000-0005-0000-0000-000095250000}"/>
    <cellStyle name="Вычисление 7 28 4" xfId="16178" xr:uid="{00000000-0005-0000-0000-000096250000}"/>
    <cellStyle name="Вычисление 7 29" xfId="2939" xr:uid="{00000000-0005-0000-0000-000097250000}"/>
    <cellStyle name="Вычисление 7 29 2" xfId="7675" xr:uid="{00000000-0005-0000-0000-000098250000}"/>
    <cellStyle name="Вычисление 7 29 3" xfId="11943" xr:uid="{00000000-0005-0000-0000-000099250000}"/>
    <cellStyle name="Вычисление 7 29 4" xfId="16179" xr:uid="{00000000-0005-0000-0000-00009A250000}"/>
    <cellStyle name="Вычисление 7 3" xfId="2940" xr:uid="{00000000-0005-0000-0000-00009B250000}"/>
    <cellStyle name="Вычисление 7 3 2" xfId="2941" xr:uid="{00000000-0005-0000-0000-00009C250000}"/>
    <cellStyle name="Вычисление 7 3 2 2" xfId="7677" xr:uid="{00000000-0005-0000-0000-00009D250000}"/>
    <cellStyle name="Вычисление 7 3 2 3" xfId="11945" xr:uid="{00000000-0005-0000-0000-00009E250000}"/>
    <cellStyle name="Вычисление 7 3 2 4" xfId="16181" xr:uid="{00000000-0005-0000-0000-00009F250000}"/>
    <cellStyle name="Вычисление 7 3 3" xfId="2942" xr:uid="{00000000-0005-0000-0000-0000A0250000}"/>
    <cellStyle name="Вычисление 7 3 3 2" xfId="7678" xr:uid="{00000000-0005-0000-0000-0000A1250000}"/>
    <cellStyle name="Вычисление 7 3 3 3" xfId="11946" xr:uid="{00000000-0005-0000-0000-0000A2250000}"/>
    <cellStyle name="Вычисление 7 3 3 4" xfId="16182" xr:uid="{00000000-0005-0000-0000-0000A3250000}"/>
    <cellStyle name="Вычисление 7 3 4" xfId="7676" xr:uid="{00000000-0005-0000-0000-0000A4250000}"/>
    <cellStyle name="Вычисление 7 3 5" xfId="11944" xr:uid="{00000000-0005-0000-0000-0000A5250000}"/>
    <cellStyle name="Вычисление 7 3 6" xfId="16180" xr:uid="{00000000-0005-0000-0000-0000A6250000}"/>
    <cellStyle name="Вычисление 7 30" xfId="2943" xr:uid="{00000000-0005-0000-0000-0000A7250000}"/>
    <cellStyle name="Вычисление 7 30 2" xfId="7679" xr:uid="{00000000-0005-0000-0000-0000A8250000}"/>
    <cellStyle name="Вычисление 7 30 3" xfId="11947" xr:uid="{00000000-0005-0000-0000-0000A9250000}"/>
    <cellStyle name="Вычисление 7 30 4" xfId="16183" xr:uid="{00000000-0005-0000-0000-0000AA250000}"/>
    <cellStyle name="Вычисление 7 31" xfId="2944" xr:uid="{00000000-0005-0000-0000-0000AB250000}"/>
    <cellStyle name="Вычисление 7 31 2" xfId="7680" xr:uid="{00000000-0005-0000-0000-0000AC250000}"/>
    <cellStyle name="Вычисление 7 31 3" xfId="11948" xr:uid="{00000000-0005-0000-0000-0000AD250000}"/>
    <cellStyle name="Вычисление 7 31 4" xfId="16184" xr:uid="{00000000-0005-0000-0000-0000AE250000}"/>
    <cellStyle name="Вычисление 7 32" xfId="2945" xr:uid="{00000000-0005-0000-0000-0000AF250000}"/>
    <cellStyle name="Вычисление 7 32 2" xfId="7681" xr:uid="{00000000-0005-0000-0000-0000B0250000}"/>
    <cellStyle name="Вычисление 7 32 3" xfId="11949" xr:uid="{00000000-0005-0000-0000-0000B1250000}"/>
    <cellStyle name="Вычисление 7 32 4" xfId="16185" xr:uid="{00000000-0005-0000-0000-0000B2250000}"/>
    <cellStyle name="Вычисление 7 33" xfId="2946" xr:uid="{00000000-0005-0000-0000-0000B3250000}"/>
    <cellStyle name="Вычисление 7 33 2" xfId="7682" xr:uid="{00000000-0005-0000-0000-0000B4250000}"/>
    <cellStyle name="Вычисление 7 33 3" xfId="11950" xr:uid="{00000000-0005-0000-0000-0000B5250000}"/>
    <cellStyle name="Вычисление 7 33 4" xfId="16186" xr:uid="{00000000-0005-0000-0000-0000B6250000}"/>
    <cellStyle name="Вычисление 7 34" xfId="2947" xr:uid="{00000000-0005-0000-0000-0000B7250000}"/>
    <cellStyle name="Вычисление 7 34 2" xfId="7683" xr:uid="{00000000-0005-0000-0000-0000B8250000}"/>
    <cellStyle name="Вычисление 7 34 3" xfId="11951" xr:uid="{00000000-0005-0000-0000-0000B9250000}"/>
    <cellStyle name="Вычисление 7 34 4" xfId="16187" xr:uid="{00000000-0005-0000-0000-0000BA250000}"/>
    <cellStyle name="Вычисление 7 35" xfId="2948" xr:uid="{00000000-0005-0000-0000-0000BB250000}"/>
    <cellStyle name="Вычисление 7 35 2" xfId="7684" xr:uid="{00000000-0005-0000-0000-0000BC250000}"/>
    <cellStyle name="Вычисление 7 35 3" xfId="11952" xr:uid="{00000000-0005-0000-0000-0000BD250000}"/>
    <cellStyle name="Вычисление 7 35 4" xfId="16188" xr:uid="{00000000-0005-0000-0000-0000BE250000}"/>
    <cellStyle name="Вычисление 7 36" xfId="2949" xr:uid="{00000000-0005-0000-0000-0000BF250000}"/>
    <cellStyle name="Вычисление 7 36 2" xfId="7685" xr:uid="{00000000-0005-0000-0000-0000C0250000}"/>
    <cellStyle name="Вычисление 7 36 3" xfId="11953" xr:uid="{00000000-0005-0000-0000-0000C1250000}"/>
    <cellStyle name="Вычисление 7 36 4" xfId="16189" xr:uid="{00000000-0005-0000-0000-0000C2250000}"/>
    <cellStyle name="Вычисление 7 37" xfId="2950" xr:uid="{00000000-0005-0000-0000-0000C3250000}"/>
    <cellStyle name="Вычисление 7 37 2" xfId="7686" xr:uid="{00000000-0005-0000-0000-0000C4250000}"/>
    <cellStyle name="Вычисление 7 37 3" xfId="11954" xr:uid="{00000000-0005-0000-0000-0000C5250000}"/>
    <cellStyle name="Вычисление 7 37 4" xfId="16190" xr:uid="{00000000-0005-0000-0000-0000C6250000}"/>
    <cellStyle name="Вычисление 7 38" xfId="2951" xr:uid="{00000000-0005-0000-0000-0000C7250000}"/>
    <cellStyle name="Вычисление 7 38 2" xfId="7687" xr:uid="{00000000-0005-0000-0000-0000C8250000}"/>
    <cellStyle name="Вычисление 7 38 3" xfId="11955" xr:uid="{00000000-0005-0000-0000-0000C9250000}"/>
    <cellStyle name="Вычисление 7 38 4" xfId="16191" xr:uid="{00000000-0005-0000-0000-0000CA250000}"/>
    <cellStyle name="Вычисление 7 39" xfId="2952" xr:uid="{00000000-0005-0000-0000-0000CB250000}"/>
    <cellStyle name="Вычисление 7 39 2" xfId="7688" xr:uid="{00000000-0005-0000-0000-0000CC250000}"/>
    <cellStyle name="Вычисление 7 39 3" xfId="11956" xr:uid="{00000000-0005-0000-0000-0000CD250000}"/>
    <cellStyle name="Вычисление 7 39 4" xfId="16192" xr:uid="{00000000-0005-0000-0000-0000CE250000}"/>
    <cellStyle name="Вычисление 7 4" xfId="2953" xr:uid="{00000000-0005-0000-0000-0000CF250000}"/>
    <cellStyle name="Вычисление 7 4 2" xfId="2954" xr:uid="{00000000-0005-0000-0000-0000D0250000}"/>
    <cellStyle name="Вычисление 7 4 2 2" xfId="7690" xr:uid="{00000000-0005-0000-0000-0000D1250000}"/>
    <cellStyle name="Вычисление 7 4 2 3" xfId="11958" xr:uid="{00000000-0005-0000-0000-0000D2250000}"/>
    <cellStyle name="Вычисление 7 4 2 4" xfId="16194" xr:uid="{00000000-0005-0000-0000-0000D3250000}"/>
    <cellStyle name="Вычисление 7 4 3" xfId="2955" xr:uid="{00000000-0005-0000-0000-0000D4250000}"/>
    <cellStyle name="Вычисление 7 4 3 2" xfId="7691" xr:uid="{00000000-0005-0000-0000-0000D5250000}"/>
    <cellStyle name="Вычисление 7 4 3 3" xfId="11959" xr:uid="{00000000-0005-0000-0000-0000D6250000}"/>
    <cellStyle name="Вычисление 7 4 3 4" xfId="16195" xr:uid="{00000000-0005-0000-0000-0000D7250000}"/>
    <cellStyle name="Вычисление 7 4 4" xfId="7689" xr:uid="{00000000-0005-0000-0000-0000D8250000}"/>
    <cellStyle name="Вычисление 7 4 5" xfId="11957" xr:uid="{00000000-0005-0000-0000-0000D9250000}"/>
    <cellStyle name="Вычисление 7 4 6" xfId="16193" xr:uid="{00000000-0005-0000-0000-0000DA250000}"/>
    <cellStyle name="Вычисление 7 40" xfId="2956" xr:uid="{00000000-0005-0000-0000-0000DB250000}"/>
    <cellStyle name="Вычисление 7 40 2" xfId="7692" xr:uid="{00000000-0005-0000-0000-0000DC250000}"/>
    <cellStyle name="Вычисление 7 40 3" xfId="11960" xr:uid="{00000000-0005-0000-0000-0000DD250000}"/>
    <cellStyle name="Вычисление 7 40 4" xfId="16196" xr:uid="{00000000-0005-0000-0000-0000DE250000}"/>
    <cellStyle name="Вычисление 7 41" xfId="2957" xr:uid="{00000000-0005-0000-0000-0000DF250000}"/>
    <cellStyle name="Вычисление 7 41 2" xfId="7693" xr:uid="{00000000-0005-0000-0000-0000E0250000}"/>
    <cellStyle name="Вычисление 7 41 3" xfId="11961" xr:uid="{00000000-0005-0000-0000-0000E1250000}"/>
    <cellStyle name="Вычисление 7 41 4" xfId="16197" xr:uid="{00000000-0005-0000-0000-0000E2250000}"/>
    <cellStyle name="Вычисление 7 42" xfId="2958" xr:uid="{00000000-0005-0000-0000-0000E3250000}"/>
    <cellStyle name="Вычисление 7 42 2" xfId="7694" xr:uid="{00000000-0005-0000-0000-0000E4250000}"/>
    <cellStyle name="Вычисление 7 42 3" xfId="11962" xr:uid="{00000000-0005-0000-0000-0000E5250000}"/>
    <cellStyle name="Вычисление 7 42 4" xfId="16198" xr:uid="{00000000-0005-0000-0000-0000E6250000}"/>
    <cellStyle name="Вычисление 7 43" xfId="2959" xr:uid="{00000000-0005-0000-0000-0000E7250000}"/>
    <cellStyle name="Вычисление 7 43 2" xfId="7695" xr:uid="{00000000-0005-0000-0000-0000E8250000}"/>
    <cellStyle name="Вычисление 7 43 3" xfId="11963" xr:uid="{00000000-0005-0000-0000-0000E9250000}"/>
    <cellStyle name="Вычисление 7 43 4" xfId="16199" xr:uid="{00000000-0005-0000-0000-0000EA250000}"/>
    <cellStyle name="Вычисление 7 44" xfId="2960" xr:uid="{00000000-0005-0000-0000-0000EB250000}"/>
    <cellStyle name="Вычисление 7 44 2" xfId="7696" xr:uid="{00000000-0005-0000-0000-0000EC250000}"/>
    <cellStyle name="Вычисление 7 44 3" xfId="11964" xr:uid="{00000000-0005-0000-0000-0000ED250000}"/>
    <cellStyle name="Вычисление 7 44 4" xfId="16200" xr:uid="{00000000-0005-0000-0000-0000EE250000}"/>
    <cellStyle name="Вычисление 7 45" xfId="2961" xr:uid="{00000000-0005-0000-0000-0000EF250000}"/>
    <cellStyle name="Вычисление 7 45 2" xfId="7697" xr:uid="{00000000-0005-0000-0000-0000F0250000}"/>
    <cellStyle name="Вычисление 7 45 3" xfId="11965" xr:uid="{00000000-0005-0000-0000-0000F1250000}"/>
    <cellStyle name="Вычисление 7 45 4" xfId="16201" xr:uid="{00000000-0005-0000-0000-0000F2250000}"/>
    <cellStyle name="Вычисление 7 46" xfId="2962" xr:uid="{00000000-0005-0000-0000-0000F3250000}"/>
    <cellStyle name="Вычисление 7 46 2" xfId="7698" xr:uid="{00000000-0005-0000-0000-0000F4250000}"/>
    <cellStyle name="Вычисление 7 46 3" xfId="11966" xr:uid="{00000000-0005-0000-0000-0000F5250000}"/>
    <cellStyle name="Вычисление 7 46 4" xfId="16202" xr:uid="{00000000-0005-0000-0000-0000F6250000}"/>
    <cellStyle name="Вычисление 7 47" xfId="2963" xr:uid="{00000000-0005-0000-0000-0000F7250000}"/>
    <cellStyle name="Вычисление 7 47 2" xfId="7699" xr:uid="{00000000-0005-0000-0000-0000F8250000}"/>
    <cellStyle name="Вычисление 7 47 3" xfId="11967" xr:uid="{00000000-0005-0000-0000-0000F9250000}"/>
    <cellStyle name="Вычисление 7 47 4" xfId="16203" xr:uid="{00000000-0005-0000-0000-0000FA250000}"/>
    <cellStyle name="Вычисление 7 48" xfId="2964" xr:uid="{00000000-0005-0000-0000-0000FB250000}"/>
    <cellStyle name="Вычисление 7 48 2" xfId="7700" xr:uid="{00000000-0005-0000-0000-0000FC250000}"/>
    <cellStyle name="Вычисление 7 48 3" xfId="11968" xr:uid="{00000000-0005-0000-0000-0000FD250000}"/>
    <cellStyle name="Вычисление 7 48 4" xfId="16204" xr:uid="{00000000-0005-0000-0000-0000FE250000}"/>
    <cellStyle name="Вычисление 7 49" xfId="2965" xr:uid="{00000000-0005-0000-0000-0000FF250000}"/>
    <cellStyle name="Вычисление 7 49 2" xfId="7701" xr:uid="{00000000-0005-0000-0000-000000260000}"/>
    <cellStyle name="Вычисление 7 49 3" xfId="11969" xr:uid="{00000000-0005-0000-0000-000001260000}"/>
    <cellStyle name="Вычисление 7 49 4" xfId="16205" xr:uid="{00000000-0005-0000-0000-000002260000}"/>
    <cellStyle name="Вычисление 7 5" xfId="2966" xr:uid="{00000000-0005-0000-0000-000003260000}"/>
    <cellStyle name="Вычисление 7 5 2" xfId="7702" xr:uid="{00000000-0005-0000-0000-000004260000}"/>
    <cellStyle name="Вычисление 7 5 3" xfId="11970" xr:uid="{00000000-0005-0000-0000-000005260000}"/>
    <cellStyle name="Вычисление 7 5 4" xfId="16206" xr:uid="{00000000-0005-0000-0000-000006260000}"/>
    <cellStyle name="Вычисление 7 50" xfId="2967" xr:uid="{00000000-0005-0000-0000-000007260000}"/>
    <cellStyle name="Вычисление 7 50 2" xfId="7703" xr:uid="{00000000-0005-0000-0000-000008260000}"/>
    <cellStyle name="Вычисление 7 50 3" xfId="11971" xr:uid="{00000000-0005-0000-0000-000009260000}"/>
    <cellStyle name="Вычисление 7 50 4" xfId="16207" xr:uid="{00000000-0005-0000-0000-00000A260000}"/>
    <cellStyle name="Вычисление 7 51" xfId="2968" xr:uid="{00000000-0005-0000-0000-00000B260000}"/>
    <cellStyle name="Вычисление 7 51 2" xfId="7704" xr:uid="{00000000-0005-0000-0000-00000C260000}"/>
    <cellStyle name="Вычисление 7 51 3" xfId="11972" xr:uid="{00000000-0005-0000-0000-00000D260000}"/>
    <cellStyle name="Вычисление 7 51 4" xfId="16208" xr:uid="{00000000-0005-0000-0000-00000E260000}"/>
    <cellStyle name="Вычисление 7 52" xfId="2969" xr:uid="{00000000-0005-0000-0000-00000F260000}"/>
    <cellStyle name="Вычисление 7 52 2" xfId="7705" xr:uid="{00000000-0005-0000-0000-000010260000}"/>
    <cellStyle name="Вычисление 7 52 3" xfId="11973" xr:uid="{00000000-0005-0000-0000-000011260000}"/>
    <cellStyle name="Вычисление 7 52 4" xfId="16209" xr:uid="{00000000-0005-0000-0000-000012260000}"/>
    <cellStyle name="Вычисление 7 53" xfId="2970" xr:uid="{00000000-0005-0000-0000-000013260000}"/>
    <cellStyle name="Вычисление 7 53 2" xfId="7706" xr:uid="{00000000-0005-0000-0000-000014260000}"/>
    <cellStyle name="Вычисление 7 53 3" xfId="11974" xr:uid="{00000000-0005-0000-0000-000015260000}"/>
    <cellStyle name="Вычисление 7 53 4" xfId="16210" xr:uid="{00000000-0005-0000-0000-000016260000}"/>
    <cellStyle name="Вычисление 7 54" xfId="2971" xr:uid="{00000000-0005-0000-0000-000017260000}"/>
    <cellStyle name="Вычисление 7 54 2" xfId="7707" xr:uid="{00000000-0005-0000-0000-000018260000}"/>
    <cellStyle name="Вычисление 7 54 3" xfId="11975" xr:uid="{00000000-0005-0000-0000-000019260000}"/>
    <cellStyle name="Вычисление 7 54 4" xfId="16211" xr:uid="{00000000-0005-0000-0000-00001A260000}"/>
    <cellStyle name="Вычисление 7 55" xfId="2972" xr:uid="{00000000-0005-0000-0000-00001B260000}"/>
    <cellStyle name="Вычисление 7 55 2" xfId="7708" xr:uid="{00000000-0005-0000-0000-00001C260000}"/>
    <cellStyle name="Вычисление 7 55 3" xfId="11976" xr:uid="{00000000-0005-0000-0000-00001D260000}"/>
    <cellStyle name="Вычисление 7 55 4" xfId="16212" xr:uid="{00000000-0005-0000-0000-00001E260000}"/>
    <cellStyle name="Вычисление 7 56" xfId="2973" xr:uid="{00000000-0005-0000-0000-00001F260000}"/>
    <cellStyle name="Вычисление 7 56 2" xfId="7709" xr:uid="{00000000-0005-0000-0000-000020260000}"/>
    <cellStyle name="Вычисление 7 56 3" xfId="11977" xr:uid="{00000000-0005-0000-0000-000021260000}"/>
    <cellStyle name="Вычисление 7 56 4" xfId="16213" xr:uid="{00000000-0005-0000-0000-000022260000}"/>
    <cellStyle name="Вычисление 7 57" xfId="2974" xr:uid="{00000000-0005-0000-0000-000023260000}"/>
    <cellStyle name="Вычисление 7 57 2" xfId="7710" xr:uid="{00000000-0005-0000-0000-000024260000}"/>
    <cellStyle name="Вычисление 7 57 3" xfId="11978" xr:uid="{00000000-0005-0000-0000-000025260000}"/>
    <cellStyle name="Вычисление 7 57 4" xfId="16214" xr:uid="{00000000-0005-0000-0000-000026260000}"/>
    <cellStyle name="Вычисление 7 58" xfId="2975" xr:uid="{00000000-0005-0000-0000-000027260000}"/>
    <cellStyle name="Вычисление 7 58 2" xfId="7711" xr:uid="{00000000-0005-0000-0000-000028260000}"/>
    <cellStyle name="Вычисление 7 58 3" xfId="11979" xr:uid="{00000000-0005-0000-0000-000029260000}"/>
    <cellStyle name="Вычисление 7 58 4" xfId="16215" xr:uid="{00000000-0005-0000-0000-00002A260000}"/>
    <cellStyle name="Вычисление 7 59" xfId="2976" xr:uid="{00000000-0005-0000-0000-00002B260000}"/>
    <cellStyle name="Вычисление 7 59 2" xfId="7712" xr:uid="{00000000-0005-0000-0000-00002C260000}"/>
    <cellStyle name="Вычисление 7 59 3" xfId="11980" xr:uid="{00000000-0005-0000-0000-00002D260000}"/>
    <cellStyle name="Вычисление 7 59 4" xfId="16216" xr:uid="{00000000-0005-0000-0000-00002E260000}"/>
    <cellStyle name="Вычисление 7 6" xfId="2977" xr:uid="{00000000-0005-0000-0000-00002F260000}"/>
    <cellStyle name="Вычисление 7 6 2" xfId="7713" xr:uid="{00000000-0005-0000-0000-000030260000}"/>
    <cellStyle name="Вычисление 7 6 3" xfId="11981" xr:uid="{00000000-0005-0000-0000-000031260000}"/>
    <cellStyle name="Вычисление 7 6 4" xfId="16217" xr:uid="{00000000-0005-0000-0000-000032260000}"/>
    <cellStyle name="Вычисление 7 60" xfId="2978" xr:uid="{00000000-0005-0000-0000-000033260000}"/>
    <cellStyle name="Вычисление 7 60 2" xfId="7714" xr:uid="{00000000-0005-0000-0000-000034260000}"/>
    <cellStyle name="Вычисление 7 60 3" xfId="11982" xr:uid="{00000000-0005-0000-0000-000035260000}"/>
    <cellStyle name="Вычисление 7 60 4" xfId="16218" xr:uid="{00000000-0005-0000-0000-000036260000}"/>
    <cellStyle name="Вычисление 7 61" xfId="2979" xr:uid="{00000000-0005-0000-0000-000037260000}"/>
    <cellStyle name="Вычисление 7 61 2" xfId="7715" xr:uid="{00000000-0005-0000-0000-000038260000}"/>
    <cellStyle name="Вычисление 7 61 3" xfId="11983" xr:uid="{00000000-0005-0000-0000-000039260000}"/>
    <cellStyle name="Вычисление 7 61 4" xfId="16219" xr:uid="{00000000-0005-0000-0000-00003A260000}"/>
    <cellStyle name="Вычисление 7 62" xfId="2980" xr:uid="{00000000-0005-0000-0000-00003B260000}"/>
    <cellStyle name="Вычисление 7 62 2" xfId="7716" xr:uid="{00000000-0005-0000-0000-00003C260000}"/>
    <cellStyle name="Вычисление 7 62 3" xfId="11984" xr:uid="{00000000-0005-0000-0000-00003D260000}"/>
    <cellStyle name="Вычисление 7 62 4" xfId="16220" xr:uid="{00000000-0005-0000-0000-00003E260000}"/>
    <cellStyle name="Вычисление 7 63" xfId="2981" xr:uid="{00000000-0005-0000-0000-00003F260000}"/>
    <cellStyle name="Вычисление 7 63 2" xfId="7717" xr:uid="{00000000-0005-0000-0000-000040260000}"/>
    <cellStyle name="Вычисление 7 63 3" xfId="11985" xr:uid="{00000000-0005-0000-0000-000041260000}"/>
    <cellStyle name="Вычисление 7 63 4" xfId="16221" xr:uid="{00000000-0005-0000-0000-000042260000}"/>
    <cellStyle name="Вычисление 7 64" xfId="2982" xr:uid="{00000000-0005-0000-0000-000043260000}"/>
    <cellStyle name="Вычисление 7 64 2" xfId="7718" xr:uid="{00000000-0005-0000-0000-000044260000}"/>
    <cellStyle name="Вычисление 7 64 3" xfId="11986" xr:uid="{00000000-0005-0000-0000-000045260000}"/>
    <cellStyle name="Вычисление 7 64 4" xfId="16222" xr:uid="{00000000-0005-0000-0000-000046260000}"/>
    <cellStyle name="Вычисление 7 65" xfId="2983" xr:uid="{00000000-0005-0000-0000-000047260000}"/>
    <cellStyle name="Вычисление 7 65 2" xfId="7719" xr:uid="{00000000-0005-0000-0000-000048260000}"/>
    <cellStyle name="Вычисление 7 65 3" xfId="11987" xr:uid="{00000000-0005-0000-0000-000049260000}"/>
    <cellStyle name="Вычисление 7 65 4" xfId="16223" xr:uid="{00000000-0005-0000-0000-00004A260000}"/>
    <cellStyle name="Вычисление 7 66" xfId="2984" xr:uid="{00000000-0005-0000-0000-00004B260000}"/>
    <cellStyle name="Вычисление 7 66 2" xfId="7720" xr:uid="{00000000-0005-0000-0000-00004C260000}"/>
    <cellStyle name="Вычисление 7 66 3" xfId="11988" xr:uid="{00000000-0005-0000-0000-00004D260000}"/>
    <cellStyle name="Вычисление 7 66 4" xfId="16224" xr:uid="{00000000-0005-0000-0000-00004E260000}"/>
    <cellStyle name="Вычисление 7 67" xfId="2985" xr:uid="{00000000-0005-0000-0000-00004F260000}"/>
    <cellStyle name="Вычисление 7 67 2" xfId="7721" xr:uid="{00000000-0005-0000-0000-000050260000}"/>
    <cellStyle name="Вычисление 7 67 3" xfId="11989" xr:uid="{00000000-0005-0000-0000-000051260000}"/>
    <cellStyle name="Вычисление 7 67 4" xfId="16225" xr:uid="{00000000-0005-0000-0000-000052260000}"/>
    <cellStyle name="Вычисление 7 68" xfId="2986" xr:uid="{00000000-0005-0000-0000-000053260000}"/>
    <cellStyle name="Вычисление 7 68 2" xfId="7722" xr:uid="{00000000-0005-0000-0000-000054260000}"/>
    <cellStyle name="Вычисление 7 68 3" xfId="11990" xr:uid="{00000000-0005-0000-0000-000055260000}"/>
    <cellStyle name="Вычисление 7 68 4" xfId="16226" xr:uid="{00000000-0005-0000-0000-000056260000}"/>
    <cellStyle name="Вычисление 7 69" xfId="2987" xr:uid="{00000000-0005-0000-0000-000057260000}"/>
    <cellStyle name="Вычисление 7 69 2" xfId="7723" xr:uid="{00000000-0005-0000-0000-000058260000}"/>
    <cellStyle name="Вычисление 7 69 3" xfId="11991" xr:uid="{00000000-0005-0000-0000-000059260000}"/>
    <cellStyle name="Вычисление 7 69 4" xfId="16227" xr:uid="{00000000-0005-0000-0000-00005A260000}"/>
    <cellStyle name="Вычисление 7 7" xfId="2988" xr:uid="{00000000-0005-0000-0000-00005B260000}"/>
    <cellStyle name="Вычисление 7 7 2" xfId="7724" xr:uid="{00000000-0005-0000-0000-00005C260000}"/>
    <cellStyle name="Вычисление 7 7 3" xfId="11992" xr:uid="{00000000-0005-0000-0000-00005D260000}"/>
    <cellStyle name="Вычисление 7 7 4" xfId="16228" xr:uid="{00000000-0005-0000-0000-00005E260000}"/>
    <cellStyle name="Вычисление 7 70" xfId="2989" xr:uid="{00000000-0005-0000-0000-00005F260000}"/>
    <cellStyle name="Вычисление 7 70 2" xfId="7725" xr:uid="{00000000-0005-0000-0000-000060260000}"/>
    <cellStyle name="Вычисление 7 70 3" xfId="11993" xr:uid="{00000000-0005-0000-0000-000061260000}"/>
    <cellStyle name="Вычисление 7 70 4" xfId="16229" xr:uid="{00000000-0005-0000-0000-000062260000}"/>
    <cellStyle name="Вычисление 7 71" xfId="2990" xr:uid="{00000000-0005-0000-0000-000063260000}"/>
    <cellStyle name="Вычисление 7 71 2" xfId="7726" xr:uid="{00000000-0005-0000-0000-000064260000}"/>
    <cellStyle name="Вычисление 7 71 3" xfId="11994" xr:uid="{00000000-0005-0000-0000-000065260000}"/>
    <cellStyle name="Вычисление 7 71 4" xfId="16230" xr:uid="{00000000-0005-0000-0000-000066260000}"/>
    <cellStyle name="Вычисление 7 72" xfId="2991" xr:uid="{00000000-0005-0000-0000-000067260000}"/>
    <cellStyle name="Вычисление 7 72 2" xfId="7727" xr:uid="{00000000-0005-0000-0000-000068260000}"/>
    <cellStyle name="Вычисление 7 72 3" xfId="11995" xr:uid="{00000000-0005-0000-0000-000069260000}"/>
    <cellStyle name="Вычисление 7 72 4" xfId="16231" xr:uid="{00000000-0005-0000-0000-00006A260000}"/>
    <cellStyle name="Вычисление 7 73" xfId="2992" xr:uid="{00000000-0005-0000-0000-00006B260000}"/>
    <cellStyle name="Вычисление 7 73 2" xfId="7728" xr:uid="{00000000-0005-0000-0000-00006C260000}"/>
    <cellStyle name="Вычисление 7 73 3" xfId="11996" xr:uid="{00000000-0005-0000-0000-00006D260000}"/>
    <cellStyle name="Вычисление 7 73 4" xfId="16232" xr:uid="{00000000-0005-0000-0000-00006E260000}"/>
    <cellStyle name="Вычисление 7 74" xfId="2993" xr:uid="{00000000-0005-0000-0000-00006F260000}"/>
    <cellStyle name="Вычисление 7 74 2" xfId="7729" xr:uid="{00000000-0005-0000-0000-000070260000}"/>
    <cellStyle name="Вычисление 7 74 3" xfId="11997" xr:uid="{00000000-0005-0000-0000-000071260000}"/>
    <cellStyle name="Вычисление 7 74 4" xfId="16233" xr:uid="{00000000-0005-0000-0000-000072260000}"/>
    <cellStyle name="Вычисление 7 75" xfId="2994" xr:uid="{00000000-0005-0000-0000-000073260000}"/>
    <cellStyle name="Вычисление 7 75 2" xfId="7730" xr:uid="{00000000-0005-0000-0000-000074260000}"/>
    <cellStyle name="Вычисление 7 75 3" xfId="11998" xr:uid="{00000000-0005-0000-0000-000075260000}"/>
    <cellStyle name="Вычисление 7 75 4" xfId="16234" xr:uid="{00000000-0005-0000-0000-000076260000}"/>
    <cellStyle name="Вычисление 7 76" xfId="2995" xr:uid="{00000000-0005-0000-0000-000077260000}"/>
    <cellStyle name="Вычисление 7 76 2" xfId="7731" xr:uid="{00000000-0005-0000-0000-000078260000}"/>
    <cellStyle name="Вычисление 7 76 3" xfId="11999" xr:uid="{00000000-0005-0000-0000-000079260000}"/>
    <cellStyle name="Вычисление 7 76 4" xfId="16235" xr:uid="{00000000-0005-0000-0000-00007A260000}"/>
    <cellStyle name="Вычисление 7 77" xfId="2996" xr:uid="{00000000-0005-0000-0000-00007B260000}"/>
    <cellStyle name="Вычисление 7 77 2" xfId="7732" xr:uid="{00000000-0005-0000-0000-00007C260000}"/>
    <cellStyle name="Вычисление 7 77 3" xfId="12000" xr:uid="{00000000-0005-0000-0000-00007D260000}"/>
    <cellStyle name="Вычисление 7 77 4" xfId="16236" xr:uid="{00000000-0005-0000-0000-00007E260000}"/>
    <cellStyle name="Вычисление 7 78" xfId="2997" xr:uid="{00000000-0005-0000-0000-00007F260000}"/>
    <cellStyle name="Вычисление 7 78 2" xfId="7733" xr:uid="{00000000-0005-0000-0000-000080260000}"/>
    <cellStyle name="Вычисление 7 78 3" xfId="12001" xr:uid="{00000000-0005-0000-0000-000081260000}"/>
    <cellStyle name="Вычисление 7 78 4" xfId="16237" xr:uid="{00000000-0005-0000-0000-000082260000}"/>
    <cellStyle name="Вычисление 7 79" xfId="2998" xr:uid="{00000000-0005-0000-0000-000083260000}"/>
    <cellStyle name="Вычисление 7 79 2" xfId="7734" xr:uid="{00000000-0005-0000-0000-000084260000}"/>
    <cellStyle name="Вычисление 7 79 3" xfId="12002" xr:uid="{00000000-0005-0000-0000-000085260000}"/>
    <cellStyle name="Вычисление 7 79 4" xfId="16238" xr:uid="{00000000-0005-0000-0000-000086260000}"/>
    <cellStyle name="Вычисление 7 8" xfId="2999" xr:uid="{00000000-0005-0000-0000-000087260000}"/>
    <cellStyle name="Вычисление 7 8 2" xfId="7735" xr:uid="{00000000-0005-0000-0000-000088260000}"/>
    <cellStyle name="Вычисление 7 8 3" xfId="12003" xr:uid="{00000000-0005-0000-0000-000089260000}"/>
    <cellStyle name="Вычисление 7 8 4" xfId="16239" xr:uid="{00000000-0005-0000-0000-00008A260000}"/>
    <cellStyle name="Вычисление 7 80" xfId="3000" xr:uid="{00000000-0005-0000-0000-00008B260000}"/>
    <cellStyle name="Вычисление 7 80 2" xfId="7736" xr:uid="{00000000-0005-0000-0000-00008C260000}"/>
    <cellStyle name="Вычисление 7 80 3" xfId="12004" xr:uid="{00000000-0005-0000-0000-00008D260000}"/>
    <cellStyle name="Вычисление 7 80 4" xfId="16240" xr:uid="{00000000-0005-0000-0000-00008E260000}"/>
    <cellStyle name="Вычисление 7 81" xfId="3001" xr:uid="{00000000-0005-0000-0000-00008F260000}"/>
    <cellStyle name="Вычисление 7 81 2" xfId="7737" xr:uid="{00000000-0005-0000-0000-000090260000}"/>
    <cellStyle name="Вычисление 7 81 3" xfId="12005" xr:uid="{00000000-0005-0000-0000-000091260000}"/>
    <cellStyle name="Вычисление 7 81 4" xfId="16241" xr:uid="{00000000-0005-0000-0000-000092260000}"/>
    <cellStyle name="Вычисление 7 82" xfId="3002" xr:uid="{00000000-0005-0000-0000-000093260000}"/>
    <cellStyle name="Вычисление 7 82 2" xfId="7738" xr:uid="{00000000-0005-0000-0000-000094260000}"/>
    <cellStyle name="Вычисление 7 82 3" xfId="12006" xr:uid="{00000000-0005-0000-0000-000095260000}"/>
    <cellStyle name="Вычисление 7 82 4" xfId="16242" xr:uid="{00000000-0005-0000-0000-000096260000}"/>
    <cellStyle name="Вычисление 7 83" xfId="3003" xr:uid="{00000000-0005-0000-0000-000097260000}"/>
    <cellStyle name="Вычисление 7 83 2" xfId="7739" xr:uid="{00000000-0005-0000-0000-000098260000}"/>
    <cellStyle name="Вычисление 7 83 3" xfId="12007" xr:uid="{00000000-0005-0000-0000-000099260000}"/>
    <cellStyle name="Вычисление 7 83 4" xfId="16243" xr:uid="{00000000-0005-0000-0000-00009A260000}"/>
    <cellStyle name="Вычисление 7 84" xfId="3004" xr:uid="{00000000-0005-0000-0000-00009B260000}"/>
    <cellStyle name="Вычисление 7 84 2" xfId="7740" xr:uid="{00000000-0005-0000-0000-00009C260000}"/>
    <cellStyle name="Вычисление 7 84 3" xfId="12008" xr:uid="{00000000-0005-0000-0000-00009D260000}"/>
    <cellStyle name="Вычисление 7 84 4" xfId="16244" xr:uid="{00000000-0005-0000-0000-00009E260000}"/>
    <cellStyle name="Вычисление 7 85" xfId="3005" xr:uid="{00000000-0005-0000-0000-00009F260000}"/>
    <cellStyle name="Вычисление 7 85 2" xfId="7741" xr:uid="{00000000-0005-0000-0000-0000A0260000}"/>
    <cellStyle name="Вычисление 7 85 3" xfId="12009" xr:uid="{00000000-0005-0000-0000-0000A1260000}"/>
    <cellStyle name="Вычисление 7 85 4" xfId="16245" xr:uid="{00000000-0005-0000-0000-0000A2260000}"/>
    <cellStyle name="Вычисление 7 86" xfId="3006" xr:uid="{00000000-0005-0000-0000-0000A3260000}"/>
    <cellStyle name="Вычисление 7 86 2" xfId="7742" xr:uid="{00000000-0005-0000-0000-0000A4260000}"/>
    <cellStyle name="Вычисление 7 86 3" xfId="12010" xr:uid="{00000000-0005-0000-0000-0000A5260000}"/>
    <cellStyle name="Вычисление 7 86 4" xfId="16246" xr:uid="{00000000-0005-0000-0000-0000A6260000}"/>
    <cellStyle name="Вычисление 7 87" xfId="3007" xr:uid="{00000000-0005-0000-0000-0000A7260000}"/>
    <cellStyle name="Вычисление 7 87 2" xfId="7743" xr:uid="{00000000-0005-0000-0000-0000A8260000}"/>
    <cellStyle name="Вычисление 7 87 3" xfId="12011" xr:uid="{00000000-0005-0000-0000-0000A9260000}"/>
    <cellStyle name="Вычисление 7 87 4" xfId="16247" xr:uid="{00000000-0005-0000-0000-0000AA260000}"/>
    <cellStyle name="Вычисление 7 88" xfId="3008" xr:uid="{00000000-0005-0000-0000-0000AB260000}"/>
    <cellStyle name="Вычисление 7 88 2" xfId="7744" xr:uid="{00000000-0005-0000-0000-0000AC260000}"/>
    <cellStyle name="Вычисление 7 88 3" xfId="12012" xr:uid="{00000000-0005-0000-0000-0000AD260000}"/>
    <cellStyle name="Вычисление 7 88 4" xfId="16248" xr:uid="{00000000-0005-0000-0000-0000AE260000}"/>
    <cellStyle name="Вычисление 7 89" xfId="3009" xr:uid="{00000000-0005-0000-0000-0000AF260000}"/>
    <cellStyle name="Вычисление 7 89 2" xfId="7745" xr:uid="{00000000-0005-0000-0000-0000B0260000}"/>
    <cellStyle name="Вычисление 7 89 3" xfId="12013" xr:uid="{00000000-0005-0000-0000-0000B1260000}"/>
    <cellStyle name="Вычисление 7 89 4" xfId="16249" xr:uid="{00000000-0005-0000-0000-0000B2260000}"/>
    <cellStyle name="Вычисление 7 9" xfId="3010" xr:uid="{00000000-0005-0000-0000-0000B3260000}"/>
    <cellStyle name="Вычисление 7 9 2" xfId="7746" xr:uid="{00000000-0005-0000-0000-0000B4260000}"/>
    <cellStyle name="Вычисление 7 9 3" xfId="12014" xr:uid="{00000000-0005-0000-0000-0000B5260000}"/>
    <cellStyle name="Вычисление 7 9 4" xfId="16250" xr:uid="{00000000-0005-0000-0000-0000B6260000}"/>
    <cellStyle name="Вычисление 7 90" xfId="3011" xr:uid="{00000000-0005-0000-0000-0000B7260000}"/>
    <cellStyle name="Вычисление 7 90 2" xfId="7747" xr:uid="{00000000-0005-0000-0000-0000B8260000}"/>
    <cellStyle name="Вычисление 7 90 3" xfId="12015" xr:uid="{00000000-0005-0000-0000-0000B9260000}"/>
    <cellStyle name="Вычисление 7 90 4" xfId="16251" xr:uid="{00000000-0005-0000-0000-0000BA260000}"/>
    <cellStyle name="Вычисление 7 91" xfId="3012" xr:uid="{00000000-0005-0000-0000-0000BB260000}"/>
    <cellStyle name="Вычисление 7 91 2" xfId="7748" xr:uid="{00000000-0005-0000-0000-0000BC260000}"/>
    <cellStyle name="Вычисление 7 91 3" xfId="12016" xr:uid="{00000000-0005-0000-0000-0000BD260000}"/>
    <cellStyle name="Вычисление 7 91 4" xfId="16252" xr:uid="{00000000-0005-0000-0000-0000BE260000}"/>
    <cellStyle name="Вычисление 7 92" xfId="5201" xr:uid="{00000000-0005-0000-0000-0000BF260000}"/>
    <cellStyle name="Вычисление 7 93" xfId="5246" xr:uid="{00000000-0005-0000-0000-0000C0260000}"/>
    <cellStyle name="Вычисление 7 94" xfId="8819" xr:uid="{00000000-0005-0000-0000-0000C1260000}"/>
    <cellStyle name="Вычисление 8" xfId="248" xr:uid="{00000000-0005-0000-0000-0000C2260000}"/>
    <cellStyle name="Вычисление 8 10" xfId="3013" xr:uid="{00000000-0005-0000-0000-0000C3260000}"/>
    <cellStyle name="Вычисление 8 10 2" xfId="7749" xr:uid="{00000000-0005-0000-0000-0000C4260000}"/>
    <cellStyle name="Вычисление 8 10 3" xfId="12017" xr:uid="{00000000-0005-0000-0000-0000C5260000}"/>
    <cellStyle name="Вычисление 8 10 4" xfId="16253" xr:uid="{00000000-0005-0000-0000-0000C6260000}"/>
    <cellStyle name="Вычисление 8 11" xfId="3014" xr:uid="{00000000-0005-0000-0000-0000C7260000}"/>
    <cellStyle name="Вычисление 8 11 2" xfId="7750" xr:uid="{00000000-0005-0000-0000-0000C8260000}"/>
    <cellStyle name="Вычисление 8 11 3" xfId="12018" xr:uid="{00000000-0005-0000-0000-0000C9260000}"/>
    <cellStyle name="Вычисление 8 11 4" xfId="16254" xr:uid="{00000000-0005-0000-0000-0000CA260000}"/>
    <cellStyle name="Вычисление 8 12" xfId="3015" xr:uid="{00000000-0005-0000-0000-0000CB260000}"/>
    <cellStyle name="Вычисление 8 12 2" xfId="7751" xr:uid="{00000000-0005-0000-0000-0000CC260000}"/>
    <cellStyle name="Вычисление 8 12 3" xfId="12019" xr:uid="{00000000-0005-0000-0000-0000CD260000}"/>
    <cellStyle name="Вычисление 8 12 4" xfId="16255" xr:uid="{00000000-0005-0000-0000-0000CE260000}"/>
    <cellStyle name="Вычисление 8 13" xfId="3016" xr:uid="{00000000-0005-0000-0000-0000CF260000}"/>
    <cellStyle name="Вычисление 8 13 2" xfId="7752" xr:uid="{00000000-0005-0000-0000-0000D0260000}"/>
    <cellStyle name="Вычисление 8 13 3" xfId="12020" xr:uid="{00000000-0005-0000-0000-0000D1260000}"/>
    <cellStyle name="Вычисление 8 13 4" xfId="16256" xr:uid="{00000000-0005-0000-0000-0000D2260000}"/>
    <cellStyle name="Вычисление 8 14" xfId="3017" xr:uid="{00000000-0005-0000-0000-0000D3260000}"/>
    <cellStyle name="Вычисление 8 14 2" xfId="7753" xr:uid="{00000000-0005-0000-0000-0000D4260000}"/>
    <cellStyle name="Вычисление 8 14 3" xfId="12021" xr:uid="{00000000-0005-0000-0000-0000D5260000}"/>
    <cellStyle name="Вычисление 8 14 4" xfId="16257" xr:uid="{00000000-0005-0000-0000-0000D6260000}"/>
    <cellStyle name="Вычисление 8 15" xfId="3018" xr:uid="{00000000-0005-0000-0000-0000D7260000}"/>
    <cellStyle name="Вычисление 8 15 2" xfId="7754" xr:uid="{00000000-0005-0000-0000-0000D8260000}"/>
    <cellStyle name="Вычисление 8 15 3" xfId="12022" xr:uid="{00000000-0005-0000-0000-0000D9260000}"/>
    <cellStyle name="Вычисление 8 15 4" xfId="16258" xr:uid="{00000000-0005-0000-0000-0000DA260000}"/>
    <cellStyle name="Вычисление 8 16" xfId="3019" xr:uid="{00000000-0005-0000-0000-0000DB260000}"/>
    <cellStyle name="Вычисление 8 16 2" xfId="7755" xr:uid="{00000000-0005-0000-0000-0000DC260000}"/>
    <cellStyle name="Вычисление 8 16 3" xfId="12023" xr:uid="{00000000-0005-0000-0000-0000DD260000}"/>
    <cellStyle name="Вычисление 8 16 4" xfId="16259" xr:uid="{00000000-0005-0000-0000-0000DE260000}"/>
    <cellStyle name="Вычисление 8 17" xfId="3020" xr:uid="{00000000-0005-0000-0000-0000DF260000}"/>
    <cellStyle name="Вычисление 8 17 2" xfId="7756" xr:uid="{00000000-0005-0000-0000-0000E0260000}"/>
    <cellStyle name="Вычисление 8 17 3" xfId="12024" xr:uid="{00000000-0005-0000-0000-0000E1260000}"/>
    <cellStyle name="Вычисление 8 17 4" xfId="16260" xr:uid="{00000000-0005-0000-0000-0000E2260000}"/>
    <cellStyle name="Вычисление 8 18" xfId="3021" xr:uid="{00000000-0005-0000-0000-0000E3260000}"/>
    <cellStyle name="Вычисление 8 18 2" xfId="7757" xr:uid="{00000000-0005-0000-0000-0000E4260000}"/>
    <cellStyle name="Вычисление 8 18 3" xfId="12025" xr:uid="{00000000-0005-0000-0000-0000E5260000}"/>
    <cellStyle name="Вычисление 8 18 4" xfId="16261" xr:uid="{00000000-0005-0000-0000-0000E6260000}"/>
    <cellStyle name="Вычисление 8 19" xfId="3022" xr:uid="{00000000-0005-0000-0000-0000E7260000}"/>
    <cellStyle name="Вычисление 8 19 2" xfId="7758" xr:uid="{00000000-0005-0000-0000-0000E8260000}"/>
    <cellStyle name="Вычисление 8 19 3" xfId="12026" xr:uid="{00000000-0005-0000-0000-0000E9260000}"/>
    <cellStyle name="Вычисление 8 19 4" xfId="16262" xr:uid="{00000000-0005-0000-0000-0000EA260000}"/>
    <cellStyle name="Вычисление 8 2" xfId="3023" xr:uid="{00000000-0005-0000-0000-0000EB260000}"/>
    <cellStyle name="Вычисление 8 2 2" xfId="3024" xr:uid="{00000000-0005-0000-0000-0000EC260000}"/>
    <cellStyle name="Вычисление 8 2 2 2" xfId="7760" xr:uid="{00000000-0005-0000-0000-0000ED260000}"/>
    <cellStyle name="Вычисление 8 2 2 3" xfId="12028" xr:uid="{00000000-0005-0000-0000-0000EE260000}"/>
    <cellStyle name="Вычисление 8 2 2 4" xfId="16264" xr:uid="{00000000-0005-0000-0000-0000EF260000}"/>
    <cellStyle name="Вычисление 8 2 3" xfId="3025" xr:uid="{00000000-0005-0000-0000-0000F0260000}"/>
    <cellStyle name="Вычисление 8 2 3 2" xfId="7761" xr:uid="{00000000-0005-0000-0000-0000F1260000}"/>
    <cellStyle name="Вычисление 8 2 3 3" xfId="12029" xr:uid="{00000000-0005-0000-0000-0000F2260000}"/>
    <cellStyle name="Вычисление 8 2 3 4" xfId="16265" xr:uid="{00000000-0005-0000-0000-0000F3260000}"/>
    <cellStyle name="Вычисление 8 2 4" xfId="7759" xr:uid="{00000000-0005-0000-0000-0000F4260000}"/>
    <cellStyle name="Вычисление 8 2 5" xfId="12027" xr:uid="{00000000-0005-0000-0000-0000F5260000}"/>
    <cellStyle name="Вычисление 8 2 6" xfId="16263" xr:uid="{00000000-0005-0000-0000-0000F6260000}"/>
    <cellStyle name="Вычисление 8 20" xfId="3026" xr:uid="{00000000-0005-0000-0000-0000F7260000}"/>
    <cellStyle name="Вычисление 8 20 2" xfId="7762" xr:uid="{00000000-0005-0000-0000-0000F8260000}"/>
    <cellStyle name="Вычисление 8 20 3" xfId="12030" xr:uid="{00000000-0005-0000-0000-0000F9260000}"/>
    <cellStyle name="Вычисление 8 20 4" xfId="16266" xr:uid="{00000000-0005-0000-0000-0000FA260000}"/>
    <cellStyle name="Вычисление 8 21" xfId="3027" xr:uid="{00000000-0005-0000-0000-0000FB260000}"/>
    <cellStyle name="Вычисление 8 21 2" xfId="7763" xr:uid="{00000000-0005-0000-0000-0000FC260000}"/>
    <cellStyle name="Вычисление 8 21 3" xfId="12031" xr:uid="{00000000-0005-0000-0000-0000FD260000}"/>
    <cellStyle name="Вычисление 8 21 4" xfId="16267" xr:uid="{00000000-0005-0000-0000-0000FE260000}"/>
    <cellStyle name="Вычисление 8 22" xfId="3028" xr:uid="{00000000-0005-0000-0000-0000FF260000}"/>
    <cellStyle name="Вычисление 8 22 2" xfId="7764" xr:uid="{00000000-0005-0000-0000-000000270000}"/>
    <cellStyle name="Вычисление 8 22 3" xfId="12032" xr:uid="{00000000-0005-0000-0000-000001270000}"/>
    <cellStyle name="Вычисление 8 22 4" xfId="16268" xr:uid="{00000000-0005-0000-0000-000002270000}"/>
    <cellStyle name="Вычисление 8 23" xfId="3029" xr:uid="{00000000-0005-0000-0000-000003270000}"/>
    <cellStyle name="Вычисление 8 23 2" xfId="7765" xr:uid="{00000000-0005-0000-0000-000004270000}"/>
    <cellStyle name="Вычисление 8 23 3" xfId="12033" xr:uid="{00000000-0005-0000-0000-000005270000}"/>
    <cellStyle name="Вычисление 8 23 4" xfId="16269" xr:uid="{00000000-0005-0000-0000-000006270000}"/>
    <cellStyle name="Вычисление 8 24" xfId="3030" xr:uid="{00000000-0005-0000-0000-000007270000}"/>
    <cellStyle name="Вычисление 8 24 2" xfId="7766" xr:uid="{00000000-0005-0000-0000-000008270000}"/>
    <cellStyle name="Вычисление 8 24 3" xfId="12034" xr:uid="{00000000-0005-0000-0000-000009270000}"/>
    <cellStyle name="Вычисление 8 24 4" xfId="16270" xr:uid="{00000000-0005-0000-0000-00000A270000}"/>
    <cellStyle name="Вычисление 8 25" xfId="3031" xr:uid="{00000000-0005-0000-0000-00000B270000}"/>
    <cellStyle name="Вычисление 8 25 2" xfId="7767" xr:uid="{00000000-0005-0000-0000-00000C270000}"/>
    <cellStyle name="Вычисление 8 25 3" xfId="12035" xr:uid="{00000000-0005-0000-0000-00000D270000}"/>
    <cellStyle name="Вычисление 8 25 4" xfId="16271" xr:uid="{00000000-0005-0000-0000-00000E270000}"/>
    <cellStyle name="Вычисление 8 26" xfId="3032" xr:uid="{00000000-0005-0000-0000-00000F270000}"/>
    <cellStyle name="Вычисление 8 26 2" xfId="7768" xr:uid="{00000000-0005-0000-0000-000010270000}"/>
    <cellStyle name="Вычисление 8 26 3" xfId="12036" xr:uid="{00000000-0005-0000-0000-000011270000}"/>
    <cellStyle name="Вычисление 8 26 4" xfId="16272" xr:uid="{00000000-0005-0000-0000-000012270000}"/>
    <cellStyle name="Вычисление 8 27" xfId="3033" xr:uid="{00000000-0005-0000-0000-000013270000}"/>
    <cellStyle name="Вычисление 8 27 2" xfId="7769" xr:uid="{00000000-0005-0000-0000-000014270000}"/>
    <cellStyle name="Вычисление 8 27 3" xfId="12037" xr:uid="{00000000-0005-0000-0000-000015270000}"/>
    <cellStyle name="Вычисление 8 27 4" xfId="16273" xr:uid="{00000000-0005-0000-0000-000016270000}"/>
    <cellStyle name="Вычисление 8 28" xfId="3034" xr:uid="{00000000-0005-0000-0000-000017270000}"/>
    <cellStyle name="Вычисление 8 28 2" xfId="7770" xr:uid="{00000000-0005-0000-0000-000018270000}"/>
    <cellStyle name="Вычисление 8 28 3" xfId="12038" xr:uid="{00000000-0005-0000-0000-000019270000}"/>
    <cellStyle name="Вычисление 8 28 4" xfId="16274" xr:uid="{00000000-0005-0000-0000-00001A270000}"/>
    <cellStyle name="Вычисление 8 29" xfId="3035" xr:uid="{00000000-0005-0000-0000-00001B270000}"/>
    <cellStyle name="Вычисление 8 29 2" xfId="7771" xr:uid="{00000000-0005-0000-0000-00001C270000}"/>
    <cellStyle name="Вычисление 8 29 3" xfId="12039" xr:uid="{00000000-0005-0000-0000-00001D270000}"/>
    <cellStyle name="Вычисление 8 29 4" xfId="16275" xr:uid="{00000000-0005-0000-0000-00001E270000}"/>
    <cellStyle name="Вычисление 8 3" xfId="3036" xr:uid="{00000000-0005-0000-0000-00001F270000}"/>
    <cellStyle name="Вычисление 8 3 2" xfId="3037" xr:uid="{00000000-0005-0000-0000-000020270000}"/>
    <cellStyle name="Вычисление 8 3 2 2" xfId="7773" xr:uid="{00000000-0005-0000-0000-000021270000}"/>
    <cellStyle name="Вычисление 8 3 2 3" xfId="12041" xr:uid="{00000000-0005-0000-0000-000022270000}"/>
    <cellStyle name="Вычисление 8 3 2 4" xfId="16277" xr:uid="{00000000-0005-0000-0000-000023270000}"/>
    <cellStyle name="Вычисление 8 3 3" xfId="3038" xr:uid="{00000000-0005-0000-0000-000024270000}"/>
    <cellStyle name="Вычисление 8 3 3 2" xfId="7774" xr:uid="{00000000-0005-0000-0000-000025270000}"/>
    <cellStyle name="Вычисление 8 3 3 3" xfId="12042" xr:uid="{00000000-0005-0000-0000-000026270000}"/>
    <cellStyle name="Вычисление 8 3 3 4" xfId="16278" xr:uid="{00000000-0005-0000-0000-000027270000}"/>
    <cellStyle name="Вычисление 8 3 4" xfId="7772" xr:uid="{00000000-0005-0000-0000-000028270000}"/>
    <cellStyle name="Вычисление 8 3 5" xfId="12040" xr:uid="{00000000-0005-0000-0000-000029270000}"/>
    <cellStyle name="Вычисление 8 3 6" xfId="16276" xr:uid="{00000000-0005-0000-0000-00002A270000}"/>
    <cellStyle name="Вычисление 8 30" xfId="3039" xr:uid="{00000000-0005-0000-0000-00002B270000}"/>
    <cellStyle name="Вычисление 8 30 2" xfId="7775" xr:uid="{00000000-0005-0000-0000-00002C270000}"/>
    <cellStyle name="Вычисление 8 30 3" xfId="12043" xr:uid="{00000000-0005-0000-0000-00002D270000}"/>
    <cellStyle name="Вычисление 8 30 4" xfId="16279" xr:uid="{00000000-0005-0000-0000-00002E270000}"/>
    <cellStyle name="Вычисление 8 31" xfId="3040" xr:uid="{00000000-0005-0000-0000-00002F270000}"/>
    <cellStyle name="Вычисление 8 31 2" xfId="7776" xr:uid="{00000000-0005-0000-0000-000030270000}"/>
    <cellStyle name="Вычисление 8 31 3" xfId="12044" xr:uid="{00000000-0005-0000-0000-000031270000}"/>
    <cellStyle name="Вычисление 8 31 4" xfId="16280" xr:uid="{00000000-0005-0000-0000-000032270000}"/>
    <cellStyle name="Вычисление 8 32" xfId="3041" xr:uid="{00000000-0005-0000-0000-000033270000}"/>
    <cellStyle name="Вычисление 8 32 2" xfId="7777" xr:uid="{00000000-0005-0000-0000-000034270000}"/>
    <cellStyle name="Вычисление 8 32 3" xfId="12045" xr:uid="{00000000-0005-0000-0000-000035270000}"/>
    <cellStyle name="Вычисление 8 32 4" xfId="16281" xr:uid="{00000000-0005-0000-0000-000036270000}"/>
    <cellStyle name="Вычисление 8 33" xfId="3042" xr:uid="{00000000-0005-0000-0000-000037270000}"/>
    <cellStyle name="Вычисление 8 33 2" xfId="7778" xr:uid="{00000000-0005-0000-0000-000038270000}"/>
    <cellStyle name="Вычисление 8 33 3" xfId="12046" xr:uid="{00000000-0005-0000-0000-000039270000}"/>
    <cellStyle name="Вычисление 8 33 4" xfId="16282" xr:uid="{00000000-0005-0000-0000-00003A270000}"/>
    <cellStyle name="Вычисление 8 34" xfId="3043" xr:uid="{00000000-0005-0000-0000-00003B270000}"/>
    <cellStyle name="Вычисление 8 34 2" xfId="7779" xr:uid="{00000000-0005-0000-0000-00003C270000}"/>
    <cellStyle name="Вычисление 8 34 3" xfId="12047" xr:uid="{00000000-0005-0000-0000-00003D270000}"/>
    <cellStyle name="Вычисление 8 34 4" xfId="16283" xr:uid="{00000000-0005-0000-0000-00003E270000}"/>
    <cellStyle name="Вычисление 8 35" xfId="3044" xr:uid="{00000000-0005-0000-0000-00003F270000}"/>
    <cellStyle name="Вычисление 8 35 2" xfId="7780" xr:uid="{00000000-0005-0000-0000-000040270000}"/>
    <cellStyle name="Вычисление 8 35 3" xfId="12048" xr:uid="{00000000-0005-0000-0000-000041270000}"/>
    <cellStyle name="Вычисление 8 35 4" xfId="16284" xr:uid="{00000000-0005-0000-0000-000042270000}"/>
    <cellStyle name="Вычисление 8 36" xfId="3045" xr:uid="{00000000-0005-0000-0000-000043270000}"/>
    <cellStyle name="Вычисление 8 36 2" xfId="7781" xr:uid="{00000000-0005-0000-0000-000044270000}"/>
    <cellStyle name="Вычисление 8 36 3" xfId="12049" xr:uid="{00000000-0005-0000-0000-000045270000}"/>
    <cellStyle name="Вычисление 8 36 4" xfId="16285" xr:uid="{00000000-0005-0000-0000-000046270000}"/>
    <cellStyle name="Вычисление 8 37" xfId="3046" xr:uid="{00000000-0005-0000-0000-000047270000}"/>
    <cellStyle name="Вычисление 8 37 2" xfId="7782" xr:uid="{00000000-0005-0000-0000-000048270000}"/>
    <cellStyle name="Вычисление 8 37 3" xfId="12050" xr:uid="{00000000-0005-0000-0000-000049270000}"/>
    <cellStyle name="Вычисление 8 37 4" xfId="16286" xr:uid="{00000000-0005-0000-0000-00004A270000}"/>
    <cellStyle name="Вычисление 8 38" xfId="3047" xr:uid="{00000000-0005-0000-0000-00004B270000}"/>
    <cellStyle name="Вычисление 8 38 2" xfId="7783" xr:uid="{00000000-0005-0000-0000-00004C270000}"/>
    <cellStyle name="Вычисление 8 38 3" xfId="12051" xr:uid="{00000000-0005-0000-0000-00004D270000}"/>
    <cellStyle name="Вычисление 8 38 4" xfId="16287" xr:uid="{00000000-0005-0000-0000-00004E270000}"/>
    <cellStyle name="Вычисление 8 39" xfId="3048" xr:uid="{00000000-0005-0000-0000-00004F270000}"/>
    <cellStyle name="Вычисление 8 39 2" xfId="7784" xr:uid="{00000000-0005-0000-0000-000050270000}"/>
    <cellStyle name="Вычисление 8 39 3" xfId="12052" xr:uid="{00000000-0005-0000-0000-000051270000}"/>
    <cellStyle name="Вычисление 8 39 4" xfId="16288" xr:uid="{00000000-0005-0000-0000-000052270000}"/>
    <cellStyle name="Вычисление 8 4" xfId="3049" xr:uid="{00000000-0005-0000-0000-000053270000}"/>
    <cellStyle name="Вычисление 8 4 2" xfId="3050" xr:uid="{00000000-0005-0000-0000-000054270000}"/>
    <cellStyle name="Вычисление 8 4 2 2" xfId="7786" xr:uid="{00000000-0005-0000-0000-000055270000}"/>
    <cellStyle name="Вычисление 8 4 2 3" xfId="12054" xr:uid="{00000000-0005-0000-0000-000056270000}"/>
    <cellStyle name="Вычисление 8 4 2 4" xfId="16290" xr:uid="{00000000-0005-0000-0000-000057270000}"/>
    <cellStyle name="Вычисление 8 4 3" xfId="3051" xr:uid="{00000000-0005-0000-0000-000058270000}"/>
    <cellStyle name="Вычисление 8 4 3 2" xfId="7787" xr:uid="{00000000-0005-0000-0000-000059270000}"/>
    <cellStyle name="Вычисление 8 4 3 3" xfId="12055" xr:uid="{00000000-0005-0000-0000-00005A270000}"/>
    <cellStyle name="Вычисление 8 4 3 4" xfId="16291" xr:uid="{00000000-0005-0000-0000-00005B270000}"/>
    <cellStyle name="Вычисление 8 4 4" xfId="7785" xr:uid="{00000000-0005-0000-0000-00005C270000}"/>
    <cellStyle name="Вычисление 8 4 5" xfId="12053" xr:uid="{00000000-0005-0000-0000-00005D270000}"/>
    <cellStyle name="Вычисление 8 4 6" xfId="16289" xr:uid="{00000000-0005-0000-0000-00005E270000}"/>
    <cellStyle name="Вычисление 8 40" xfId="3052" xr:uid="{00000000-0005-0000-0000-00005F270000}"/>
    <cellStyle name="Вычисление 8 40 2" xfId="7788" xr:uid="{00000000-0005-0000-0000-000060270000}"/>
    <cellStyle name="Вычисление 8 40 3" xfId="12056" xr:uid="{00000000-0005-0000-0000-000061270000}"/>
    <cellStyle name="Вычисление 8 40 4" xfId="16292" xr:uid="{00000000-0005-0000-0000-000062270000}"/>
    <cellStyle name="Вычисление 8 41" xfId="3053" xr:uid="{00000000-0005-0000-0000-000063270000}"/>
    <cellStyle name="Вычисление 8 41 2" xfId="7789" xr:uid="{00000000-0005-0000-0000-000064270000}"/>
    <cellStyle name="Вычисление 8 41 3" xfId="12057" xr:uid="{00000000-0005-0000-0000-000065270000}"/>
    <cellStyle name="Вычисление 8 41 4" xfId="16293" xr:uid="{00000000-0005-0000-0000-000066270000}"/>
    <cellStyle name="Вычисление 8 42" xfId="3054" xr:uid="{00000000-0005-0000-0000-000067270000}"/>
    <cellStyle name="Вычисление 8 42 2" xfId="7790" xr:uid="{00000000-0005-0000-0000-000068270000}"/>
    <cellStyle name="Вычисление 8 42 3" xfId="12058" xr:uid="{00000000-0005-0000-0000-000069270000}"/>
    <cellStyle name="Вычисление 8 42 4" xfId="16294" xr:uid="{00000000-0005-0000-0000-00006A270000}"/>
    <cellStyle name="Вычисление 8 43" xfId="3055" xr:uid="{00000000-0005-0000-0000-00006B270000}"/>
    <cellStyle name="Вычисление 8 43 2" xfId="7791" xr:uid="{00000000-0005-0000-0000-00006C270000}"/>
    <cellStyle name="Вычисление 8 43 3" xfId="12059" xr:uid="{00000000-0005-0000-0000-00006D270000}"/>
    <cellStyle name="Вычисление 8 43 4" xfId="16295" xr:uid="{00000000-0005-0000-0000-00006E270000}"/>
    <cellStyle name="Вычисление 8 44" xfId="3056" xr:uid="{00000000-0005-0000-0000-00006F270000}"/>
    <cellStyle name="Вычисление 8 44 2" xfId="7792" xr:uid="{00000000-0005-0000-0000-000070270000}"/>
    <cellStyle name="Вычисление 8 44 3" xfId="12060" xr:uid="{00000000-0005-0000-0000-000071270000}"/>
    <cellStyle name="Вычисление 8 44 4" xfId="16296" xr:uid="{00000000-0005-0000-0000-000072270000}"/>
    <cellStyle name="Вычисление 8 45" xfId="3057" xr:uid="{00000000-0005-0000-0000-000073270000}"/>
    <cellStyle name="Вычисление 8 45 2" xfId="7793" xr:uid="{00000000-0005-0000-0000-000074270000}"/>
    <cellStyle name="Вычисление 8 45 3" xfId="12061" xr:uid="{00000000-0005-0000-0000-000075270000}"/>
    <cellStyle name="Вычисление 8 45 4" xfId="16297" xr:uid="{00000000-0005-0000-0000-000076270000}"/>
    <cellStyle name="Вычисление 8 46" xfId="3058" xr:uid="{00000000-0005-0000-0000-000077270000}"/>
    <cellStyle name="Вычисление 8 46 2" xfId="7794" xr:uid="{00000000-0005-0000-0000-000078270000}"/>
    <cellStyle name="Вычисление 8 46 3" xfId="12062" xr:uid="{00000000-0005-0000-0000-000079270000}"/>
    <cellStyle name="Вычисление 8 46 4" xfId="16298" xr:uid="{00000000-0005-0000-0000-00007A270000}"/>
    <cellStyle name="Вычисление 8 47" xfId="3059" xr:uid="{00000000-0005-0000-0000-00007B270000}"/>
    <cellStyle name="Вычисление 8 47 2" xfId="7795" xr:uid="{00000000-0005-0000-0000-00007C270000}"/>
    <cellStyle name="Вычисление 8 47 3" xfId="12063" xr:uid="{00000000-0005-0000-0000-00007D270000}"/>
    <cellStyle name="Вычисление 8 47 4" xfId="16299" xr:uid="{00000000-0005-0000-0000-00007E270000}"/>
    <cellStyle name="Вычисление 8 48" xfId="3060" xr:uid="{00000000-0005-0000-0000-00007F270000}"/>
    <cellStyle name="Вычисление 8 48 2" xfId="7796" xr:uid="{00000000-0005-0000-0000-000080270000}"/>
    <cellStyle name="Вычисление 8 48 3" xfId="12064" xr:uid="{00000000-0005-0000-0000-000081270000}"/>
    <cellStyle name="Вычисление 8 48 4" xfId="16300" xr:uid="{00000000-0005-0000-0000-000082270000}"/>
    <cellStyle name="Вычисление 8 49" xfId="3061" xr:uid="{00000000-0005-0000-0000-000083270000}"/>
    <cellStyle name="Вычисление 8 49 2" xfId="7797" xr:uid="{00000000-0005-0000-0000-000084270000}"/>
    <cellStyle name="Вычисление 8 49 3" xfId="12065" xr:uid="{00000000-0005-0000-0000-000085270000}"/>
    <cellStyle name="Вычисление 8 49 4" xfId="16301" xr:uid="{00000000-0005-0000-0000-000086270000}"/>
    <cellStyle name="Вычисление 8 5" xfId="3062" xr:uid="{00000000-0005-0000-0000-000087270000}"/>
    <cellStyle name="Вычисление 8 5 2" xfId="7798" xr:uid="{00000000-0005-0000-0000-000088270000}"/>
    <cellStyle name="Вычисление 8 5 3" xfId="12066" xr:uid="{00000000-0005-0000-0000-000089270000}"/>
    <cellStyle name="Вычисление 8 5 4" xfId="16302" xr:uid="{00000000-0005-0000-0000-00008A270000}"/>
    <cellStyle name="Вычисление 8 50" xfId="3063" xr:uid="{00000000-0005-0000-0000-00008B270000}"/>
    <cellStyle name="Вычисление 8 50 2" xfId="7799" xr:uid="{00000000-0005-0000-0000-00008C270000}"/>
    <cellStyle name="Вычисление 8 50 3" xfId="12067" xr:uid="{00000000-0005-0000-0000-00008D270000}"/>
    <cellStyle name="Вычисление 8 50 4" xfId="16303" xr:uid="{00000000-0005-0000-0000-00008E270000}"/>
    <cellStyle name="Вычисление 8 51" xfId="3064" xr:uid="{00000000-0005-0000-0000-00008F270000}"/>
    <cellStyle name="Вычисление 8 51 2" xfId="7800" xr:uid="{00000000-0005-0000-0000-000090270000}"/>
    <cellStyle name="Вычисление 8 51 3" xfId="12068" xr:uid="{00000000-0005-0000-0000-000091270000}"/>
    <cellStyle name="Вычисление 8 51 4" xfId="16304" xr:uid="{00000000-0005-0000-0000-000092270000}"/>
    <cellStyle name="Вычисление 8 52" xfId="3065" xr:uid="{00000000-0005-0000-0000-000093270000}"/>
    <cellStyle name="Вычисление 8 52 2" xfId="7801" xr:uid="{00000000-0005-0000-0000-000094270000}"/>
    <cellStyle name="Вычисление 8 52 3" xfId="12069" xr:uid="{00000000-0005-0000-0000-000095270000}"/>
    <cellStyle name="Вычисление 8 52 4" xfId="16305" xr:uid="{00000000-0005-0000-0000-000096270000}"/>
    <cellStyle name="Вычисление 8 53" xfId="3066" xr:uid="{00000000-0005-0000-0000-000097270000}"/>
    <cellStyle name="Вычисление 8 53 2" xfId="7802" xr:uid="{00000000-0005-0000-0000-000098270000}"/>
    <cellStyle name="Вычисление 8 53 3" xfId="12070" xr:uid="{00000000-0005-0000-0000-000099270000}"/>
    <cellStyle name="Вычисление 8 53 4" xfId="16306" xr:uid="{00000000-0005-0000-0000-00009A270000}"/>
    <cellStyle name="Вычисление 8 54" xfId="3067" xr:uid="{00000000-0005-0000-0000-00009B270000}"/>
    <cellStyle name="Вычисление 8 54 2" xfId="7803" xr:uid="{00000000-0005-0000-0000-00009C270000}"/>
    <cellStyle name="Вычисление 8 54 3" xfId="12071" xr:uid="{00000000-0005-0000-0000-00009D270000}"/>
    <cellStyle name="Вычисление 8 54 4" xfId="16307" xr:uid="{00000000-0005-0000-0000-00009E270000}"/>
    <cellStyle name="Вычисление 8 55" xfId="3068" xr:uid="{00000000-0005-0000-0000-00009F270000}"/>
    <cellStyle name="Вычисление 8 55 2" xfId="7804" xr:uid="{00000000-0005-0000-0000-0000A0270000}"/>
    <cellStyle name="Вычисление 8 55 3" xfId="12072" xr:uid="{00000000-0005-0000-0000-0000A1270000}"/>
    <cellStyle name="Вычисление 8 55 4" xfId="16308" xr:uid="{00000000-0005-0000-0000-0000A2270000}"/>
    <cellStyle name="Вычисление 8 56" xfId="3069" xr:uid="{00000000-0005-0000-0000-0000A3270000}"/>
    <cellStyle name="Вычисление 8 56 2" xfId="7805" xr:uid="{00000000-0005-0000-0000-0000A4270000}"/>
    <cellStyle name="Вычисление 8 56 3" xfId="12073" xr:uid="{00000000-0005-0000-0000-0000A5270000}"/>
    <cellStyle name="Вычисление 8 56 4" xfId="16309" xr:uid="{00000000-0005-0000-0000-0000A6270000}"/>
    <cellStyle name="Вычисление 8 57" xfId="3070" xr:uid="{00000000-0005-0000-0000-0000A7270000}"/>
    <cellStyle name="Вычисление 8 57 2" xfId="7806" xr:uid="{00000000-0005-0000-0000-0000A8270000}"/>
    <cellStyle name="Вычисление 8 57 3" xfId="12074" xr:uid="{00000000-0005-0000-0000-0000A9270000}"/>
    <cellStyle name="Вычисление 8 57 4" xfId="16310" xr:uid="{00000000-0005-0000-0000-0000AA270000}"/>
    <cellStyle name="Вычисление 8 58" xfId="3071" xr:uid="{00000000-0005-0000-0000-0000AB270000}"/>
    <cellStyle name="Вычисление 8 58 2" xfId="7807" xr:uid="{00000000-0005-0000-0000-0000AC270000}"/>
    <cellStyle name="Вычисление 8 58 3" xfId="12075" xr:uid="{00000000-0005-0000-0000-0000AD270000}"/>
    <cellStyle name="Вычисление 8 58 4" xfId="16311" xr:uid="{00000000-0005-0000-0000-0000AE270000}"/>
    <cellStyle name="Вычисление 8 59" xfId="3072" xr:uid="{00000000-0005-0000-0000-0000AF270000}"/>
    <cellStyle name="Вычисление 8 59 2" xfId="7808" xr:uid="{00000000-0005-0000-0000-0000B0270000}"/>
    <cellStyle name="Вычисление 8 59 3" xfId="12076" xr:uid="{00000000-0005-0000-0000-0000B1270000}"/>
    <cellStyle name="Вычисление 8 59 4" xfId="16312" xr:uid="{00000000-0005-0000-0000-0000B2270000}"/>
    <cellStyle name="Вычисление 8 6" xfId="3073" xr:uid="{00000000-0005-0000-0000-0000B3270000}"/>
    <cellStyle name="Вычисление 8 6 2" xfId="7809" xr:uid="{00000000-0005-0000-0000-0000B4270000}"/>
    <cellStyle name="Вычисление 8 6 3" xfId="12077" xr:uid="{00000000-0005-0000-0000-0000B5270000}"/>
    <cellStyle name="Вычисление 8 6 4" xfId="16313" xr:uid="{00000000-0005-0000-0000-0000B6270000}"/>
    <cellStyle name="Вычисление 8 60" xfId="3074" xr:uid="{00000000-0005-0000-0000-0000B7270000}"/>
    <cellStyle name="Вычисление 8 60 2" xfId="7810" xr:uid="{00000000-0005-0000-0000-0000B8270000}"/>
    <cellStyle name="Вычисление 8 60 3" xfId="12078" xr:uid="{00000000-0005-0000-0000-0000B9270000}"/>
    <cellStyle name="Вычисление 8 60 4" xfId="16314" xr:uid="{00000000-0005-0000-0000-0000BA270000}"/>
    <cellStyle name="Вычисление 8 61" xfId="3075" xr:uid="{00000000-0005-0000-0000-0000BB270000}"/>
    <cellStyle name="Вычисление 8 61 2" xfId="7811" xr:uid="{00000000-0005-0000-0000-0000BC270000}"/>
    <cellStyle name="Вычисление 8 61 3" xfId="12079" xr:uid="{00000000-0005-0000-0000-0000BD270000}"/>
    <cellStyle name="Вычисление 8 61 4" xfId="16315" xr:uid="{00000000-0005-0000-0000-0000BE270000}"/>
    <cellStyle name="Вычисление 8 62" xfId="3076" xr:uid="{00000000-0005-0000-0000-0000BF270000}"/>
    <cellStyle name="Вычисление 8 62 2" xfId="7812" xr:uid="{00000000-0005-0000-0000-0000C0270000}"/>
    <cellStyle name="Вычисление 8 62 3" xfId="12080" xr:uid="{00000000-0005-0000-0000-0000C1270000}"/>
    <cellStyle name="Вычисление 8 62 4" xfId="16316" xr:uid="{00000000-0005-0000-0000-0000C2270000}"/>
    <cellStyle name="Вычисление 8 63" xfId="3077" xr:uid="{00000000-0005-0000-0000-0000C3270000}"/>
    <cellStyle name="Вычисление 8 63 2" xfId="7813" xr:uid="{00000000-0005-0000-0000-0000C4270000}"/>
    <cellStyle name="Вычисление 8 63 3" xfId="12081" xr:uid="{00000000-0005-0000-0000-0000C5270000}"/>
    <cellStyle name="Вычисление 8 63 4" xfId="16317" xr:uid="{00000000-0005-0000-0000-0000C6270000}"/>
    <cellStyle name="Вычисление 8 64" xfId="3078" xr:uid="{00000000-0005-0000-0000-0000C7270000}"/>
    <cellStyle name="Вычисление 8 64 2" xfId="7814" xr:uid="{00000000-0005-0000-0000-0000C8270000}"/>
    <cellStyle name="Вычисление 8 64 3" xfId="12082" xr:uid="{00000000-0005-0000-0000-0000C9270000}"/>
    <cellStyle name="Вычисление 8 64 4" xfId="16318" xr:uid="{00000000-0005-0000-0000-0000CA270000}"/>
    <cellStyle name="Вычисление 8 65" xfId="3079" xr:uid="{00000000-0005-0000-0000-0000CB270000}"/>
    <cellStyle name="Вычисление 8 65 2" xfId="7815" xr:uid="{00000000-0005-0000-0000-0000CC270000}"/>
    <cellStyle name="Вычисление 8 65 3" xfId="12083" xr:uid="{00000000-0005-0000-0000-0000CD270000}"/>
    <cellStyle name="Вычисление 8 65 4" xfId="16319" xr:uid="{00000000-0005-0000-0000-0000CE270000}"/>
    <cellStyle name="Вычисление 8 66" xfId="3080" xr:uid="{00000000-0005-0000-0000-0000CF270000}"/>
    <cellStyle name="Вычисление 8 66 2" xfId="7816" xr:uid="{00000000-0005-0000-0000-0000D0270000}"/>
    <cellStyle name="Вычисление 8 66 3" xfId="12084" xr:uid="{00000000-0005-0000-0000-0000D1270000}"/>
    <cellStyle name="Вычисление 8 66 4" xfId="16320" xr:uid="{00000000-0005-0000-0000-0000D2270000}"/>
    <cellStyle name="Вычисление 8 67" xfId="3081" xr:uid="{00000000-0005-0000-0000-0000D3270000}"/>
    <cellStyle name="Вычисление 8 67 2" xfId="7817" xr:uid="{00000000-0005-0000-0000-0000D4270000}"/>
    <cellStyle name="Вычисление 8 67 3" xfId="12085" xr:uid="{00000000-0005-0000-0000-0000D5270000}"/>
    <cellStyle name="Вычисление 8 67 4" xfId="16321" xr:uid="{00000000-0005-0000-0000-0000D6270000}"/>
    <cellStyle name="Вычисление 8 68" xfId="3082" xr:uid="{00000000-0005-0000-0000-0000D7270000}"/>
    <cellStyle name="Вычисление 8 68 2" xfId="7818" xr:uid="{00000000-0005-0000-0000-0000D8270000}"/>
    <cellStyle name="Вычисление 8 68 3" xfId="12086" xr:uid="{00000000-0005-0000-0000-0000D9270000}"/>
    <cellStyle name="Вычисление 8 68 4" xfId="16322" xr:uid="{00000000-0005-0000-0000-0000DA270000}"/>
    <cellStyle name="Вычисление 8 69" xfId="3083" xr:uid="{00000000-0005-0000-0000-0000DB270000}"/>
    <cellStyle name="Вычисление 8 69 2" xfId="7819" xr:uid="{00000000-0005-0000-0000-0000DC270000}"/>
    <cellStyle name="Вычисление 8 69 3" xfId="12087" xr:uid="{00000000-0005-0000-0000-0000DD270000}"/>
    <cellStyle name="Вычисление 8 69 4" xfId="16323" xr:uid="{00000000-0005-0000-0000-0000DE270000}"/>
    <cellStyle name="Вычисление 8 7" xfId="3084" xr:uid="{00000000-0005-0000-0000-0000DF270000}"/>
    <cellStyle name="Вычисление 8 7 2" xfId="7820" xr:uid="{00000000-0005-0000-0000-0000E0270000}"/>
    <cellStyle name="Вычисление 8 7 3" xfId="12088" xr:uid="{00000000-0005-0000-0000-0000E1270000}"/>
    <cellStyle name="Вычисление 8 7 4" xfId="16324" xr:uid="{00000000-0005-0000-0000-0000E2270000}"/>
    <cellStyle name="Вычисление 8 70" xfId="3085" xr:uid="{00000000-0005-0000-0000-0000E3270000}"/>
    <cellStyle name="Вычисление 8 70 2" xfId="7821" xr:uid="{00000000-0005-0000-0000-0000E4270000}"/>
    <cellStyle name="Вычисление 8 70 3" xfId="12089" xr:uid="{00000000-0005-0000-0000-0000E5270000}"/>
    <cellStyle name="Вычисление 8 70 4" xfId="16325" xr:uid="{00000000-0005-0000-0000-0000E6270000}"/>
    <cellStyle name="Вычисление 8 71" xfId="3086" xr:uid="{00000000-0005-0000-0000-0000E7270000}"/>
    <cellStyle name="Вычисление 8 71 2" xfId="7822" xr:uid="{00000000-0005-0000-0000-0000E8270000}"/>
    <cellStyle name="Вычисление 8 71 3" xfId="12090" xr:uid="{00000000-0005-0000-0000-0000E9270000}"/>
    <cellStyle name="Вычисление 8 71 4" xfId="16326" xr:uid="{00000000-0005-0000-0000-0000EA270000}"/>
    <cellStyle name="Вычисление 8 72" xfId="3087" xr:uid="{00000000-0005-0000-0000-0000EB270000}"/>
    <cellStyle name="Вычисление 8 72 2" xfId="7823" xr:uid="{00000000-0005-0000-0000-0000EC270000}"/>
    <cellStyle name="Вычисление 8 72 3" xfId="12091" xr:uid="{00000000-0005-0000-0000-0000ED270000}"/>
    <cellStyle name="Вычисление 8 72 4" xfId="16327" xr:uid="{00000000-0005-0000-0000-0000EE270000}"/>
    <cellStyle name="Вычисление 8 73" xfId="3088" xr:uid="{00000000-0005-0000-0000-0000EF270000}"/>
    <cellStyle name="Вычисление 8 73 2" xfId="7824" xr:uid="{00000000-0005-0000-0000-0000F0270000}"/>
    <cellStyle name="Вычисление 8 73 3" xfId="12092" xr:uid="{00000000-0005-0000-0000-0000F1270000}"/>
    <cellStyle name="Вычисление 8 73 4" xfId="16328" xr:uid="{00000000-0005-0000-0000-0000F2270000}"/>
    <cellStyle name="Вычисление 8 74" xfId="3089" xr:uid="{00000000-0005-0000-0000-0000F3270000}"/>
    <cellStyle name="Вычисление 8 74 2" xfId="7825" xr:uid="{00000000-0005-0000-0000-0000F4270000}"/>
    <cellStyle name="Вычисление 8 74 3" xfId="12093" xr:uid="{00000000-0005-0000-0000-0000F5270000}"/>
    <cellStyle name="Вычисление 8 74 4" xfId="16329" xr:uid="{00000000-0005-0000-0000-0000F6270000}"/>
    <cellStyle name="Вычисление 8 75" xfId="3090" xr:uid="{00000000-0005-0000-0000-0000F7270000}"/>
    <cellStyle name="Вычисление 8 75 2" xfId="7826" xr:uid="{00000000-0005-0000-0000-0000F8270000}"/>
    <cellStyle name="Вычисление 8 75 3" xfId="12094" xr:uid="{00000000-0005-0000-0000-0000F9270000}"/>
    <cellStyle name="Вычисление 8 75 4" xfId="16330" xr:uid="{00000000-0005-0000-0000-0000FA270000}"/>
    <cellStyle name="Вычисление 8 76" xfId="3091" xr:uid="{00000000-0005-0000-0000-0000FB270000}"/>
    <cellStyle name="Вычисление 8 76 2" xfId="7827" xr:uid="{00000000-0005-0000-0000-0000FC270000}"/>
    <cellStyle name="Вычисление 8 76 3" xfId="12095" xr:uid="{00000000-0005-0000-0000-0000FD270000}"/>
    <cellStyle name="Вычисление 8 76 4" xfId="16331" xr:uid="{00000000-0005-0000-0000-0000FE270000}"/>
    <cellStyle name="Вычисление 8 77" xfId="3092" xr:uid="{00000000-0005-0000-0000-0000FF270000}"/>
    <cellStyle name="Вычисление 8 77 2" xfId="7828" xr:uid="{00000000-0005-0000-0000-000000280000}"/>
    <cellStyle name="Вычисление 8 77 3" xfId="12096" xr:uid="{00000000-0005-0000-0000-000001280000}"/>
    <cellStyle name="Вычисление 8 77 4" xfId="16332" xr:uid="{00000000-0005-0000-0000-000002280000}"/>
    <cellStyle name="Вычисление 8 78" xfId="3093" xr:uid="{00000000-0005-0000-0000-000003280000}"/>
    <cellStyle name="Вычисление 8 78 2" xfId="7829" xr:uid="{00000000-0005-0000-0000-000004280000}"/>
    <cellStyle name="Вычисление 8 78 3" xfId="12097" xr:uid="{00000000-0005-0000-0000-000005280000}"/>
    <cellStyle name="Вычисление 8 78 4" xfId="16333" xr:uid="{00000000-0005-0000-0000-000006280000}"/>
    <cellStyle name="Вычисление 8 79" xfId="3094" xr:uid="{00000000-0005-0000-0000-000007280000}"/>
    <cellStyle name="Вычисление 8 79 2" xfId="7830" xr:uid="{00000000-0005-0000-0000-000008280000}"/>
    <cellStyle name="Вычисление 8 79 3" xfId="12098" xr:uid="{00000000-0005-0000-0000-000009280000}"/>
    <cellStyle name="Вычисление 8 79 4" xfId="16334" xr:uid="{00000000-0005-0000-0000-00000A280000}"/>
    <cellStyle name="Вычисление 8 8" xfId="3095" xr:uid="{00000000-0005-0000-0000-00000B280000}"/>
    <cellStyle name="Вычисление 8 8 2" xfId="7831" xr:uid="{00000000-0005-0000-0000-00000C280000}"/>
    <cellStyle name="Вычисление 8 8 3" xfId="12099" xr:uid="{00000000-0005-0000-0000-00000D280000}"/>
    <cellStyle name="Вычисление 8 8 4" xfId="16335" xr:uid="{00000000-0005-0000-0000-00000E280000}"/>
    <cellStyle name="Вычисление 8 80" xfId="3096" xr:uid="{00000000-0005-0000-0000-00000F280000}"/>
    <cellStyle name="Вычисление 8 80 2" xfId="7832" xr:uid="{00000000-0005-0000-0000-000010280000}"/>
    <cellStyle name="Вычисление 8 80 3" xfId="12100" xr:uid="{00000000-0005-0000-0000-000011280000}"/>
    <cellStyle name="Вычисление 8 80 4" xfId="16336" xr:uid="{00000000-0005-0000-0000-000012280000}"/>
    <cellStyle name="Вычисление 8 81" xfId="3097" xr:uid="{00000000-0005-0000-0000-000013280000}"/>
    <cellStyle name="Вычисление 8 81 2" xfId="7833" xr:uid="{00000000-0005-0000-0000-000014280000}"/>
    <cellStyle name="Вычисление 8 81 3" xfId="12101" xr:uid="{00000000-0005-0000-0000-000015280000}"/>
    <cellStyle name="Вычисление 8 81 4" xfId="16337" xr:uid="{00000000-0005-0000-0000-000016280000}"/>
    <cellStyle name="Вычисление 8 82" xfId="3098" xr:uid="{00000000-0005-0000-0000-000017280000}"/>
    <cellStyle name="Вычисление 8 82 2" xfId="7834" xr:uid="{00000000-0005-0000-0000-000018280000}"/>
    <cellStyle name="Вычисление 8 82 3" xfId="12102" xr:uid="{00000000-0005-0000-0000-000019280000}"/>
    <cellStyle name="Вычисление 8 82 4" xfId="16338" xr:uid="{00000000-0005-0000-0000-00001A280000}"/>
    <cellStyle name="Вычисление 8 83" xfId="3099" xr:uid="{00000000-0005-0000-0000-00001B280000}"/>
    <cellStyle name="Вычисление 8 83 2" xfId="7835" xr:uid="{00000000-0005-0000-0000-00001C280000}"/>
    <cellStyle name="Вычисление 8 83 3" xfId="12103" xr:uid="{00000000-0005-0000-0000-00001D280000}"/>
    <cellStyle name="Вычисление 8 83 4" xfId="16339" xr:uid="{00000000-0005-0000-0000-00001E280000}"/>
    <cellStyle name="Вычисление 8 84" xfId="3100" xr:uid="{00000000-0005-0000-0000-00001F280000}"/>
    <cellStyle name="Вычисление 8 84 2" xfId="7836" xr:uid="{00000000-0005-0000-0000-000020280000}"/>
    <cellStyle name="Вычисление 8 84 3" xfId="12104" xr:uid="{00000000-0005-0000-0000-000021280000}"/>
    <cellStyle name="Вычисление 8 84 4" xfId="16340" xr:uid="{00000000-0005-0000-0000-000022280000}"/>
    <cellStyle name="Вычисление 8 85" xfId="3101" xr:uid="{00000000-0005-0000-0000-000023280000}"/>
    <cellStyle name="Вычисление 8 85 2" xfId="7837" xr:uid="{00000000-0005-0000-0000-000024280000}"/>
    <cellStyle name="Вычисление 8 85 3" xfId="12105" xr:uid="{00000000-0005-0000-0000-000025280000}"/>
    <cellStyle name="Вычисление 8 85 4" xfId="16341" xr:uid="{00000000-0005-0000-0000-000026280000}"/>
    <cellStyle name="Вычисление 8 86" xfId="3102" xr:uid="{00000000-0005-0000-0000-000027280000}"/>
    <cellStyle name="Вычисление 8 86 2" xfId="7838" xr:uid="{00000000-0005-0000-0000-000028280000}"/>
    <cellStyle name="Вычисление 8 86 3" xfId="12106" xr:uid="{00000000-0005-0000-0000-000029280000}"/>
    <cellStyle name="Вычисление 8 86 4" xfId="16342" xr:uid="{00000000-0005-0000-0000-00002A280000}"/>
    <cellStyle name="Вычисление 8 87" xfId="3103" xr:uid="{00000000-0005-0000-0000-00002B280000}"/>
    <cellStyle name="Вычисление 8 87 2" xfId="7839" xr:uid="{00000000-0005-0000-0000-00002C280000}"/>
    <cellStyle name="Вычисление 8 87 3" xfId="12107" xr:uid="{00000000-0005-0000-0000-00002D280000}"/>
    <cellStyle name="Вычисление 8 87 4" xfId="16343" xr:uid="{00000000-0005-0000-0000-00002E280000}"/>
    <cellStyle name="Вычисление 8 88" xfId="3104" xr:uid="{00000000-0005-0000-0000-00002F280000}"/>
    <cellStyle name="Вычисление 8 88 2" xfId="7840" xr:uid="{00000000-0005-0000-0000-000030280000}"/>
    <cellStyle name="Вычисление 8 88 3" xfId="12108" xr:uid="{00000000-0005-0000-0000-000031280000}"/>
    <cellStyle name="Вычисление 8 88 4" xfId="16344" xr:uid="{00000000-0005-0000-0000-000032280000}"/>
    <cellStyle name="Вычисление 8 89" xfId="3105" xr:uid="{00000000-0005-0000-0000-000033280000}"/>
    <cellStyle name="Вычисление 8 89 2" xfId="7841" xr:uid="{00000000-0005-0000-0000-000034280000}"/>
    <cellStyle name="Вычисление 8 89 3" xfId="12109" xr:uid="{00000000-0005-0000-0000-000035280000}"/>
    <cellStyle name="Вычисление 8 89 4" xfId="16345" xr:uid="{00000000-0005-0000-0000-000036280000}"/>
    <cellStyle name="Вычисление 8 9" xfId="3106" xr:uid="{00000000-0005-0000-0000-000037280000}"/>
    <cellStyle name="Вычисление 8 9 2" xfId="7842" xr:uid="{00000000-0005-0000-0000-000038280000}"/>
    <cellStyle name="Вычисление 8 9 3" xfId="12110" xr:uid="{00000000-0005-0000-0000-000039280000}"/>
    <cellStyle name="Вычисление 8 9 4" xfId="16346" xr:uid="{00000000-0005-0000-0000-00003A280000}"/>
    <cellStyle name="Вычисление 8 90" xfId="3107" xr:uid="{00000000-0005-0000-0000-00003B280000}"/>
    <cellStyle name="Вычисление 8 90 2" xfId="7843" xr:uid="{00000000-0005-0000-0000-00003C280000}"/>
    <cellStyle name="Вычисление 8 90 3" xfId="12111" xr:uid="{00000000-0005-0000-0000-00003D280000}"/>
    <cellStyle name="Вычисление 8 90 4" xfId="16347" xr:uid="{00000000-0005-0000-0000-00003E280000}"/>
    <cellStyle name="Вычисление 8 91" xfId="3108" xr:uid="{00000000-0005-0000-0000-00003F280000}"/>
    <cellStyle name="Вычисление 8 91 2" xfId="7844" xr:uid="{00000000-0005-0000-0000-000040280000}"/>
    <cellStyle name="Вычисление 8 91 3" xfId="12112" xr:uid="{00000000-0005-0000-0000-000041280000}"/>
    <cellStyle name="Вычисление 8 91 4" xfId="16348" xr:uid="{00000000-0005-0000-0000-000042280000}"/>
    <cellStyle name="Вычисление 8 92" xfId="5202" xr:uid="{00000000-0005-0000-0000-000043280000}"/>
    <cellStyle name="Вычисление 8 93" xfId="5245" xr:uid="{00000000-0005-0000-0000-000044280000}"/>
    <cellStyle name="Вычисление 8 94" xfId="8820" xr:uid="{00000000-0005-0000-0000-000045280000}"/>
    <cellStyle name="Вычисление 9" xfId="249" xr:uid="{00000000-0005-0000-0000-000046280000}"/>
    <cellStyle name="Вычисление 9 10" xfId="3109" xr:uid="{00000000-0005-0000-0000-000047280000}"/>
    <cellStyle name="Вычисление 9 10 2" xfId="7845" xr:uid="{00000000-0005-0000-0000-000048280000}"/>
    <cellStyle name="Вычисление 9 10 3" xfId="12113" xr:uid="{00000000-0005-0000-0000-000049280000}"/>
    <cellStyle name="Вычисление 9 10 4" xfId="16349" xr:uid="{00000000-0005-0000-0000-00004A280000}"/>
    <cellStyle name="Вычисление 9 11" xfId="3110" xr:uid="{00000000-0005-0000-0000-00004B280000}"/>
    <cellStyle name="Вычисление 9 11 2" xfId="7846" xr:uid="{00000000-0005-0000-0000-00004C280000}"/>
    <cellStyle name="Вычисление 9 11 3" xfId="12114" xr:uid="{00000000-0005-0000-0000-00004D280000}"/>
    <cellStyle name="Вычисление 9 11 4" xfId="16350" xr:uid="{00000000-0005-0000-0000-00004E280000}"/>
    <cellStyle name="Вычисление 9 12" xfId="3111" xr:uid="{00000000-0005-0000-0000-00004F280000}"/>
    <cellStyle name="Вычисление 9 12 2" xfId="7847" xr:uid="{00000000-0005-0000-0000-000050280000}"/>
    <cellStyle name="Вычисление 9 12 3" xfId="12115" xr:uid="{00000000-0005-0000-0000-000051280000}"/>
    <cellStyle name="Вычисление 9 12 4" xfId="16351" xr:uid="{00000000-0005-0000-0000-000052280000}"/>
    <cellStyle name="Вычисление 9 13" xfId="3112" xr:uid="{00000000-0005-0000-0000-000053280000}"/>
    <cellStyle name="Вычисление 9 13 2" xfId="7848" xr:uid="{00000000-0005-0000-0000-000054280000}"/>
    <cellStyle name="Вычисление 9 13 3" xfId="12116" xr:uid="{00000000-0005-0000-0000-000055280000}"/>
    <cellStyle name="Вычисление 9 13 4" xfId="16352" xr:uid="{00000000-0005-0000-0000-000056280000}"/>
    <cellStyle name="Вычисление 9 14" xfId="3113" xr:uid="{00000000-0005-0000-0000-000057280000}"/>
    <cellStyle name="Вычисление 9 14 2" xfId="7849" xr:uid="{00000000-0005-0000-0000-000058280000}"/>
    <cellStyle name="Вычисление 9 14 3" xfId="12117" xr:uid="{00000000-0005-0000-0000-000059280000}"/>
    <cellStyle name="Вычисление 9 14 4" xfId="16353" xr:uid="{00000000-0005-0000-0000-00005A280000}"/>
    <cellStyle name="Вычисление 9 15" xfId="3114" xr:uid="{00000000-0005-0000-0000-00005B280000}"/>
    <cellStyle name="Вычисление 9 15 2" xfId="7850" xr:uid="{00000000-0005-0000-0000-00005C280000}"/>
    <cellStyle name="Вычисление 9 15 3" xfId="12118" xr:uid="{00000000-0005-0000-0000-00005D280000}"/>
    <cellStyle name="Вычисление 9 15 4" xfId="16354" xr:uid="{00000000-0005-0000-0000-00005E280000}"/>
    <cellStyle name="Вычисление 9 16" xfId="3115" xr:uid="{00000000-0005-0000-0000-00005F280000}"/>
    <cellStyle name="Вычисление 9 16 2" xfId="7851" xr:uid="{00000000-0005-0000-0000-000060280000}"/>
    <cellStyle name="Вычисление 9 16 3" xfId="12119" xr:uid="{00000000-0005-0000-0000-000061280000}"/>
    <cellStyle name="Вычисление 9 16 4" xfId="16355" xr:uid="{00000000-0005-0000-0000-000062280000}"/>
    <cellStyle name="Вычисление 9 17" xfId="3116" xr:uid="{00000000-0005-0000-0000-000063280000}"/>
    <cellStyle name="Вычисление 9 17 2" xfId="7852" xr:uid="{00000000-0005-0000-0000-000064280000}"/>
    <cellStyle name="Вычисление 9 17 3" xfId="12120" xr:uid="{00000000-0005-0000-0000-000065280000}"/>
    <cellStyle name="Вычисление 9 17 4" xfId="16356" xr:uid="{00000000-0005-0000-0000-000066280000}"/>
    <cellStyle name="Вычисление 9 18" xfId="3117" xr:uid="{00000000-0005-0000-0000-000067280000}"/>
    <cellStyle name="Вычисление 9 18 2" xfId="7853" xr:uid="{00000000-0005-0000-0000-000068280000}"/>
    <cellStyle name="Вычисление 9 18 3" xfId="12121" xr:uid="{00000000-0005-0000-0000-000069280000}"/>
    <cellStyle name="Вычисление 9 18 4" xfId="16357" xr:uid="{00000000-0005-0000-0000-00006A280000}"/>
    <cellStyle name="Вычисление 9 19" xfId="3118" xr:uid="{00000000-0005-0000-0000-00006B280000}"/>
    <cellStyle name="Вычисление 9 19 2" xfId="7854" xr:uid="{00000000-0005-0000-0000-00006C280000}"/>
    <cellStyle name="Вычисление 9 19 3" xfId="12122" xr:uid="{00000000-0005-0000-0000-00006D280000}"/>
    <cellStyle name="Вычисление 9 19 4" xfId="16358" xr:uid="{00000000-0005-0000-0000-00006E280000}"/>
    <cellStyle name="Вычисление 9 2" xfId="3119" xr:uid="{00000000-0005-0000-0000-00006F280000}"/>
    <cellStyle name="Вычисление 9 2 2" xfId="3120" xr:uid="{00000000-0005-0000-0000-000070280000}"/>
    <cellStyle name="Вычисление 9 2 2 2" xfId="7856" xr:uid="{00000000-0005-0000-0000-000071280000}"/>
    <cellStyle name="Вычисление 9 2 2 3" xfId="12124" xr:uid="{00000000-0005-0000-0000-000072280000}"/>
    <cellStyle name="Вычисление 9 2 2 4" xfId="16360" xr:uid="{00000000-0005-0000-0000-000073280000}"/>
    <cellStyle name="Вычисление 9 2 3" xfId="3121" xr:uid="{00000000-0005-0000-0000-000074280000}"/>
    <cellStyle name="Вычисление 9 2 3 2" xfId="7857" xr:uid="{00000000-0005-0000-0000-000075280000}"/>
    <cellStyle name="Вычисление 9 2 3 3" xfId="12125" xr:uid="{00000000-0005-0000-0000-000076280000}"/>
    <cellStyle name="Вычисление 9 2 3 4" xfId="16361" xr:uid="{00000000-0005-0000-0000-000077280000}"/>
    <cellStyle name="Вычисление 9 2 4" xfId="7855" xr:uid="{00000000-0005-0000-0000-000078280000}"/>
    <cellStyle name="Вычисление 9 2 5" xfId="12123" xr:uid="{00000000-0005-0000-0000-000079280000}"/>
    <cellStyle name="Вычисление 9 2 6" xfId="16359" xr:uid="{00000000-0005-0000-0000-00007A280000}"/>
    <cellStyle name="Вычисление 9 20" xfId="3122" xr:uid="{00000000-0005-0000-0000-00007B280000}"/>
    <cellStyle name="Вычисление 9 20 2" xfId="7858" xr:uid="{00000000-0005-0000-0000-00007C280000}"/>
    <cellStyle name="Вычисление 9 20 3" xfId="12126" xr:uid="{00000000-0005-0000-0000-00007D280000}"/>
    <cellStyle name="Вычисление 9 20 4" xfId="16362" xr:uid="{00000000-0005-0000-0000-00007E280000}"/>
    <cellStyle name="Вычисление 9 21" xfId="3123" xr:uid="{00000000-0005-0000-0000-00007F280000}"/>
    <cellStyle name="Вычисление 9 21 2" xfId="7859" xr:uid="{00000000-0005-0000-0000-000080280000}"/>
    <cellStyle name="Вычисление 9 21 3" xfId="12127" xr:uid="{00000000-0005-0000-0000-000081280000}"/>
    <cellStyle name="Вычисление 9 21 4" xfId="16363" xr:uid="{00000000-0005-0000-0000-000082280000}"/>
    <cellStyle name="Вычисление 9 22" xfId="3124" xr:uid="{00000000-0005-0000-0000-000083280000}"/>
    <cellStyle name="Вычисление 9 22 2" xfId="7860" xr:uid="{00000000-0005-0000-0000-000084280000}"/>
    <cellStyle name="Вычисление 9 22 3" xfId="12128" xr:uid="{00000000-0005-0000-0000-000085280000}"/>
    <cellStyle name="Вычисление 9 22 4" xfId="16364" xr:uid="{00000000-0005-0000-0000-000086280000}"/>
    <cellStyle name="Вычисление 9 23" xfId="3125" xr:uid="{00000000-0005-0000-0000-000087280000}"/>
    <cellStyle name="Вычисление 9 23 2" xfId="7861" xr:uid="{00000000-0005-0000-0000-000088280000}"/>
    <cellStyle name="Вычисление 9 23 3" xfId="12129" xr:uid="{00000000-0005-0000-0000-000089280000}"/>
    <cellStyle name="Вычисление 9 23 4" xfId="16365" xr:uid="{00000000-0005-0000-0000-00008A280000}"/>
    <cellStyle name="Вычисление 9 24" xfId="3126" xr:uid="{00000000-0005-0000-0000-00008B280000}"/>
    <cellStyle name="Вычисление 9 24 2" xfId="7862" xr:uid="{00000000-0005-0000-0000-00008C280000}"/>
    <cellStyle name="Вычисление 9 24 3" xfId="12130" xr:uid="{00000000-0005-0000-0000-00008D280000}"/>
    <cellStyle name="Вычисление 9 24 4" xfId="16366" xr:uid="{00000000-0005-0000-0000-00008E280000}"/>
    <cellStyle name="Вычисление 9 25" xfId="3127" xr:uid="{00000000-0005-0000-0000-00008F280000}"/>
    <cellStyle name="Вычисление 9 25 2" xfId="7863" xr:uid="{00000000-0005-0000-0000-000090280000}"/>
    <cellStyle name="Вычисление 9 25 3" xfId="12131" xr:uid="{00000000-0005-0000-0000-000091280000}"/>
    <cellStyle name="Вычисление 9 25 4" xfId="16367" xr:uid="{00000000-0005-0000-0000-000092280000}"/>
    <cellStyle name="Вычисление 9 26" xfId="3128" xr:uid="{00000000-0005-0000-0000-000093280000}"/>
    <cellStyle name="Вычисление 9 26 2" xfId="7864" xr:uid="{00000000-0005-0000-0000-000094280000}"/>
    <cellStyle name="Вычисление 9 26 3" xfId="12132" xr:uid="{00000000-0005-0000-0000-000095280000}"/>
    <cellStyle name="Вычисление 9 26 4" xfId="16368" xr:uid="{00000000-0005-0000-0000-000096280000}"/>
    <cellStyle name="Вычисление 9 27" xfId="3129" xr:uid="{00000000-0005-0000-0000-000097280000}"/>
    <cellStyle name="Вычисление 9 27 2" xfId="7865" xr:uid="{00000000-0005-0000-0000-000098280000}"/>
    <cellStyle name="Вычисление 9 27 3" xfId="12133" xr:uid="{00000000-0005-0000-0000-000099280000}"/>
    <cellStyle name="Вычисление 9 27 4" xfId="16369" xr:uid="{00000000-0005-0000-0000-00009A280000}"/>
    <cellStyle name="Вычисление 9 28" xfId="3130" xr:uid="{00000000-0005-0000-0000-00009B280000}"/>
    <cellStyle name="Вычисление 9 28 2" xfId="7866" xr:uid="{00000000-0005-0000-0000-00009C280000}"/>
    <cellStyle name="Вычисление 9 28 3" xfId="12134" xr:uid="{00000000-0005-0000-0000-00009D280000}"/>
    <cellStyle name="Вычисление 9 28 4" xfId="16370" xr:uid="{00000000-0005-0000-0000-00009E280000}"/>
    <cellStyle name="Вычисление 9 29" xfId="3131" xr:uid="{00000000-0005-0000-0000-00009F280000}"/>
    <cellStyle name="Вычисление 9 29 2" xfId="7867" xr:uid="{00000000-0005-0000-0000-0000A0280000}"/>
    <cellStyle name="Вычисление 9 29 3" xfId="12135" xr:uid="{00000000-0005-0000-0000-0000A1280000}"/>
    <cellStyle name="Вычисление 9 29 4" xfId="16371" xr:uid="{00000000-0005-0000-0000-0000A2280000}"/>
    <cellStyle name="Вычисление 9 3" xfId="3132" xr:uid="{00000000-0005-0000-0000-0000A3280000}"/>
    <cellStyle name="Вычисление 9 3 2" xfId="3133" xr:uid="{00000000-0005-0000-0000-0000A4280000}"/>
    <cellStyle name="Вычисление 9 3 2 2" xfId="7869" xr:uid="{00000000-0005-0000-0000-0000A5280000}"/>
    <cellStyle name="Вычисление 9 3 2 3" xfId="12137" xr:uid="{00000000-0005-0000-0000-0000A6280000}"/>
    <cellStyle name="Вычисление 9 3 2 4" xfId="16373" xr:uid="{00000000-0005-0000-0000-0000A7280000}"/>
    <cellStyle name="Вычисление 9 3 3" xfId="3134" xr:uid="{00000000-0005-0000-0000-0000A8280000}"/>
    <cellStyle name="Вычисление 9 3 3 2" xfId="7870" xr:uid="{00000000-0005-0000-0000-0000A9280000}"/>
    <cellStyle name="Вычисление 9 3 3 3" xfId="12138" xr:uid="{00000000-0005-0000-0000-0000AA280000}"/>
    <cellStyle name="Вычисление 9 3 3 4" xfId="16374" xr:uid="{00000000-0005-0000-0000-0000AB280000}"/>
    <cellStyle name="Вычисление 9 3 4" xfId="7868" xr:uid="{00000000-0005-0000-0000-0000AC280000}"/>
    <cellStyle name="Вычисление 9 3 5" xfId="12136" xr:uid="{00000000-0005-0000-0000-0000AD280000}"/>
    <cellStyle name="Вычисление 9 3 6" xfId="16372" xr:uid="{00000000-0005-0000-0000-0000AE280000}"/>
    <cellStyle name="Вычисление 9 30" xfId="3135" xr:uid="{00000000-0005-0000-0000-0000AF280000}"/>
    <cellStyle name="Вычисление 9 30 2" xfId="7871" xr:uid="{00000000-0005-0000-0000-0000B0280000}"/>
    <cellStyle name="Вычисление 9 30 3" xfId="12139" xr:uid="{00000000-0005-0000-0000-0000B1280000}"/>
    <cellStyle name="Вычисление 9 30 4" xfId="16375" xr:uid="{00000000-0005-0000-0000-0000B2280000}"/>
    <cellStyle name="Вычисление 9 31" xfId="3136" xr:uid="{00000000-0005-0000-0000-0000B3280000}"/>
    <cellStyle name="Вычисление 9 31 2" xfId="7872" xr:uid="{00000000-0005-0000-0000-0000B4280000}"/>
    <cellStyle name="Вычисление 9 31 3" xfId="12140" xr:uid="{00000000-0005-0000-0000-0000B5280000}"/>
    <cellStyle name="Вычисление 9 31 4" xfId="16376" xr:uid="{00000000-0005-0000-0000-0000B6280000}"/>
    <cellStyle name="Вычисление 9 32" xfId="3137" xr:uid="{00000000-0005-0000-0000-0000B7280000}"/>
    <cellStyle name="Вычисление 9 32 2" xfId="7873" xr:uid="{00000000-0005-0000-0000-0000B8280000}"/>
    <cellStyle name="Вычисление 9 32 3" xfId="12141" xr:uid="{00000000-0005-0000-0000-0000B9280000}"/>
    <cellStyle name="Вычисление 9 32 4" xfId="16377" xr:uid="{00000000-0005-0000-0000-0000BA280000}"/>
    <cellStyle name="Вычисление 9 33" xfId="3138" xr:uid="{00000000-0005-0000-0000-0000BB280000}"/>
    <cellStyle name="Вычисление 9 33 2" xfId="7874" xr:uid="{00000000-0005-0000-0000-0000BC280000}"/>
    <cellStyle name="Вычисление 9 33 3" xfId="12142" xr:uid="{00000000-0005-0000-0000-0000BD280000}"/>
    <cellStyle name="Вычисление 9 33 4" xfId="16378" xr:uid="{00000000-0005-0000-0000-0000BE280000}"/>
    <cellStyle name="Вычисление 9 34" xfId="3139" xr:uid="{00000000-0005-0000-0000-0000BF280000}"/>
    <cellStyle name="Вычисление 9 34 2" xfId="7875" xr:uid="{00000000-0005-0000-0000-0000C0280000}"/>
    <cellStyle name="Вычисление 9 34 3" xfId="12143" xr:uid="{00000000-0005-0000-0000-0000C1280000}"/>
    <cellStyle name="Вычисление 9 34 4" xfId="16379" xr:uid="{00000000-0005-0000-0000-0000C2280000}"/>
    <cellStyle name="Вычисление 9 35" xfId="3140" xr:uid="{00000000-0005-0000-0000-0000C3280000}"/>
    <cellStyle name="Вычисление 9 35 2" xfId="7876" xr:uid="{00000000-0005-0000-0000-0000C4280000}"/>
    <cellStyle name="Вычисление 9 35 3" xfId="12144" xr:uid="{00000000-0005-0000-0000-0000C5280000}"/>
    <cellStyle name="Вычисление 9 35 4" xfId="16380" xr:uid="{00000000-0005-0000-0000-0000C6280000}"/>
    <cellStyle name="Вычисление 9 36" xfId="3141" xr:uid="{00000000-0005-0000-0000-0000C7280000}"/>
    <cellStyle name="Вычисление 9 36 2" xfId="7877" xr:uid="{00000000-0005-0000-0000-0000C8280000}"/>
    <cellStyle name="Вычисление 9 36 3" xfId="12145" xr:uid="{00000000-0005-0000-0000-0000C9280000}"/>
    <cellStyle name="Вычисление 9 36 4" xfId="16381" xr:uid="{00000000-0005-0000-0000-0000CA280000}"/>
    <cellStyle name="Вычисление 9 37" xfId="3142" xr:uid="{00000000-0005-0000-0000-0000CB280000}"/>
    <cellStyle name="Вычисление 9 37 2" xfId="7878" xr:uid="{00000000-0005-0000-0000-0000CC280000}"/>
    <cellStyle name="Вычисление 9 37 3" xfId="12146" xr:uid="{00000000-0005-0000-0000-0000CD280000}"/>
    <cellStyle name="Вычисление 9 37 4" xfId="16382" xr:uid="{00000000-0005-0000-0000-0000CE280000}"/>
    <cellStyle name="Вычисление 9 38" xfId="3143" xr:uid="{00000000-0005-0000-0000-0000CF280000}"/>
    <cellStyle name="Вычисление 9 38 2" xfId="7879" xr:uid="{00000000-0005-0000-0000-0000D0280000}"/>
    <cellStyle name="Вычисление 9 38 3" xfId="12147" xr:uid="{00000000-0005-0000-0000-0000D1280000}"/>
    <cellStyle name="Вычисление 9 38 4" xfId="16383" xr:uid="{00000000-0005-0000-0000-0000D2280000}"/>
    <cellStyle name="Вычисление 9 39" xfId="3144" xr:uid="{00000000-0005-0000-0000-0000D3280000}"/>
    <cellStyle name="Вычисление 9 39 2" xfId="7880" xr:uid="{00000000-0005-0000-0000-0000D4280000}"/>
    <cellStyle name="Вычисление 9 39 3" xfId="12148" xr:uid="{00000000-0005-0000-0000-0000D5280000}"/>
    <cellStyle name="Вычисление 9 39 4" xfId="16384" xr:uid="{00000000-0005-0000-0000-0000D6280000}"/>
    <cellStyle name="Вычисление 9 4" xfId="3145" xr:uid="{00000000-0005-0000-0000-0000D7280000}"/>
    <cellStyle name="Вычисление 9 4 2" xfId="3146" xr:uid="{00000000-0005-0000-0000-0000D8280000}"/>
    <cellStyle name="Вычисление 9 4 2 2" xfId="7882" xr:uid="{00000000-0005-0000-0000-0000D9280000}"/>
    <cellStyle name="Вычисление 9 4 2 3" xfId="12150" xr:uid="{00000000-0005-0000-0000-0000DA280000}"/>
    <cellStyle name="Вычисление 9 4 2 4" xfId="16386" xr:uid="{00000000-0005-0000-0000-0000DB280000}"/>
    <cellStyle name="Вычисление 9 4 3" xfId="3147" xr:uid="{00000000-0005-0000-0000-0000DC280000}"/>
    <cellStyle name="Вычисление 9 4 3 2" xfId="7883" xr:uid="{00000000-0005-0000-0000-0000DD280000}"/>
    <cellStyle name="Вычисление 9 4 3 3" xfId="12151" xr:uid="{00000000-0005-0000-0000-0000DE280000}"/>
    <cellStyle name="Вычисление 9 4 3 4" xfId="16387" xr:uid="{00000000-0005-0000-0000-0000DF280000}"/>
    <cellStyle name="Вычисление 9 4 4" xfId="7881" xr:uid="{00000000-0005-0000-0000-0000E0280000}"/>
    <cellStyle name="Вычисление 9 4 5" xfId="12149" xr:uid="{00000000-0005-0000-0000-0000E1280000}"/>
    <cellStyle name="Вычисление 9 4 6" xfId="16385" xr:uid="{00000000-0005-0000-0000-0000E2280000}"/>
    <cellStyle name="Вычисление 9 40" xfId="3148" xr:uid="{00000000-0005-0000-0000-0000E3280000}"/>
    <cellStyle name="Вычисление 9 40 2" xfId="7884" xr:uid="{00000000-0005-0000-0000-0000E4280000}"/>
    <cellStyle name="Вычисление 9 40 3" xfId="12152" xr:uid="{00000000-0005-0000-0000-0000E5280000}"/>
    <cellStyle name="Вычисление 9 40 4" xfId="16388" xr:uid="{00000000-0005-0000-0000-0000E6280000}"/>
    <cellStyle name="Вычисление 9 41" xfId="3149" xr:uid="{00000000-0005-0000-0000-0000E7280000}"/>
    <cellStyle name="Вычисление 9 41 2" xfId="7885" xr:uid="{00000000-0005-0000-0000-0000E8280000}"/>
    <cellStyle name="Вычисление 9 41 3" xfId="12153" xr:uid="{00000000-0005-0000-0000-0000E9280000}"/>
    <cellStyle name="Вычисление 9 41 4" xfId="16389" xr:uid="{00000000-0005-0000-0000-0000EA280000}"/>
    <cellStyle name="Вычисление 9 42" xfId="3150" xr:uid="{00000000-0005-0000-0000-0000EB280000}"/>
    <cellStyle name="Вычисление 9 42 2" xfId="7886" xr:uid="{00000000-0005-0000-0000-0000EC280000}"/>
    <cellStyle name="Вычисление 9 42 3" xfId="12154" xr:uid="{00000000-0005-0000-0000-0000ED280000}"/>
    <cellStyle name="Вычисление 9 42 4" xfId="16390" xr:uid="{00000000-0005-0000-0000-0000EE280000}"/>
    <cellStyle name="Вычисление 9 43" xfId="3151" xr:uid="{00000000-0005-0000-0000-0000EF280000}"/>
    <cellStyle name="Вычисление 9 43 2" xfId="7887" xr:uid="{00000000-0005-0000-0000-0000F0280000}"/>
    <cellStyle name="Вычисление 9 43 3" xfId="12155" xr:uid="{00000000-0005-0000-0000-0000F1280000}"/>
    <cellStyle name="Вычисление 9 43 4" xfId="16391" xr:uid="{00000000-0005-0000-0000-0000F2280000}"/>
    <cellStyle name="Вычисление 9 44" xfId="3152" xr:uid="{00000000-0005-0000-0000-0000F3280000}"/>
    <cellStyle name="Вычисление 9 44 2" xfId="7888" xr:uid="{00000000-0005-0000-0000-0000F4280000}"/>
    <cellStyle name="Вычисление 9 44 3" xfId="12156" xr:uid="{00000000-0005-0000-0000-0000F5280000}"/>
    <cellStyle name="Вычисление 9 44 4" xfId="16392" xr:uid="{00000000-0005-0000-0000-0000F6280000}"/>
    <cellStyle name="Вычисление 9 45" xfId="3153" xr:uid="{00000000-0005-0000-0000-0000F7280000}"/>
    <cellStyle name="Вычисление 9 45 2" xfId="7889" xr:uid="{00000000-0005-0000-0000-0000F8280000}"/>
    <cellStyle name="Вычисление 9 45 3" xfId="12157" xr:uid="{00000000-0005-0000-0000-0000F9280000}"/>
    <cellStyle name="Вычисление 9 45 4" xfId="16393" xr:uid="{00000000-0005-0000-0000-0000FA280000}"/>
    <cellStyle name="Вычисление 9 46" xfId="3154" xr:uid="{00000000-0005-0000-0000-0000FB280000}"/>
    <cellStyle name="Вычисление 9 46 2" xfId="7890" xr:uid="{00000000-0005-0000-0000-0000FC280000}"/>
    <cellStyle name="Вычисление 9 46 3" xfId="12158" xr:uid="{00000000-0005-0000-0000-0000FD280000}"/>
    <cellStyle name="Вычисление 9 46 4" xfId="16394" xr:uid="{00000000-0005-0000-0000-0000FE280000}"/>
    <cellStyle name="Вычисление 9 47" xfId="3155" xr:uid="{00000000-0005-0000-0000-0000FF280000}"/>
    <cellStyle name="Вычисление 9 47 2" xfId="7891" xr:uid="{00000000-0005-0000-0000-000000290000}"/>
    <cellStyle name="Вычисление 9 47 3" xfId="12159" xr:uid="{00000000-0005-0000-0000-000001290000}"/>
    <cellStyle name="Вычисление 9 47 4" xfId="16395" xr:uid="{00000000-0005-0000-0000-000002290000}"/>
    <cellStyle name="Вычисление 9 48" xfId="3156" xr:uid="{00000000-0005-0000-0000-000003290000}"/>
    <cellStyle name="Вычисление 9 48 2" xfId="7892" xr:uid="{00000000-0005-0000-0000-000004290000}"/>
    <cellStyle name="Вычисление 9 48 3" xfId="12160" xr:uid="{00000000-0005-0000-0000-000005290000}"/>
    <cellStyle name="Вычисление 9 48 4" xfId="16396" xr:uid="{00000000-0005-0000-0000-000006290000}"/>
    <cellStyle name="Вычисление 9 49" xfId="3157" xr:uid="{00000000-0005-0000-0000-000007290000}"/>
    <cellStyle name="Вычисление 9 49 2" xfId="7893" xr:uid="{00000000-0005-0000-0000-000008290000}"/>
    <cellStyle name="Вычисление 9 49 3" xfId="12161" xr:uid="{00000000-0005-0000-0000-000009290000}"/>
    <cellStyle name="Вычисление 9 49 4" xfId="16397" xr:uid="{00000000-0005-0000-0000-00000A290000}"/>
    <cellStyle name="Вычисление 9 5" xfId="3158" xr:uid="{00000000-0005-0000-0000-00000B290000}"/>
    <cellStyle name="Вычисление 9 5 2" xfId="7894" xr:uid="{00000000-0005-0000-0000-00000C290000}"/>
    <cellStyle name="Вычисление 9 5 3" xfId="12162" xr:uid="{00000000-0005-0000-0000-00000D290000}"/>
    <cellStyle name="Вычисление 9 5 4" xfId="16398" xr:uid="{00000000-0005-0000-0000-00000E290000}"/>
    <cellStyle name="Вычисление 9 50" xfId="3159" xr:uid="{00000000-0005-0000-0000-00000F290000}"/>
    <cellStyle name="Вычисление 9 50 2" xfId="7895" xr:uid="{00000000-0005-0000-0000-000010290000}"/>
    <cellStyle name="Вычисление 9 50 3" xfId="12163" xr:uid="{00000000-0005-0000-0000-000011290000}"/>
    <cellStyle name="Вычисление 9 50 4" xfId="16399" xr:uid="{00000000-0005-0000-0000-000012290000}"/>
    <cellStyle name="Вычисление 9 51" xfId="3160" xr:uid="{00000000-0005-0000-0000-000013290000}"/>
    <cellStyle name="Вычисление 9 51 2" xfId="7896" xr:uid="{00000000-0005-0000-0000-000014290000}"/>
    <cellStyle name="Вычисление 9 51 3" xfId="12164" xr:uid="{00000000-0005-0000-0000-000015290000}"/>
    <cellStyle name="Вычисление 9 51 4" xfId="16400" xr:uid="{00000000-0005-0000-0000-000016290000}"/>
    <cellStyle name="Вычисление 9 52" xfId="3161" xr:uid="{00000000-0005-0000-0000-000017290000}"/>
    <cellStyle name="Вычисление 9 52 2" xfId="7897" xr:uid="{00000000-0005-0000-0000-000018290000}"/>
    <cellStyle name="Вычисление 9 52 3" xfId="12165" xr:uid="{00000000-0005-0000-0000-000019290000}"/>
    <cellStyle name="Вычисление 9 52 4" xfId="16401" xr:uid="{00000000-0005-0000-0000-00001A290000}"/>
    <cellStyle name="Вычисление 9 53" xfId="3162" xr:uid="{00000000-0005-0000-0000-00001B290000}"/>
    <cellStyle name="Вычисление 9 53 2" xfId="7898" xr:uid="{00000000-0005-0000-0000-00001C290000}"/>
    <cellStyle name="Вычисление 9 53 3" xfId="12166" xr:uid="{00000000-0005-0000-0000-00001D290000}"/>
    <cellStyle name="Вычисление 9 53 4" xfId="16402" xr:uid="{00000000-0005-0000-0000-00001E290000}"/>
    <cellStyle name="Вычисление 9 54" xfId="3163" xr:uid="{00000000-0005-0000-0000-00001F290000}"/>
    <cellStyle name="Вычисление 9 54 2" xfId="7899" xr:uid="{00000000-0005-0000-0000-000020290000}"/>
    <cellStyle name="Вычисление 9 54 3" xfId="12167" xr:uid="{00000000-0005-0000-0000-000021290000}"/>
    <cellStyle name="Вычисление 9 54 4" xfId="16403" xr:uid="{00000000-0005-0000-0000-000022290000}"/>
    <cellStyle name="Вычисление 9 55" xfId="3164" xr:uid="{00000000-0005-0000-0000-000023290000}"/>
    <cellStyle name="Вычисление 9 55 2" xfId="7900" xr:uid="{00000000-0005-0000-0000-000024290000}"/>
    <cellStyle name="Вычисление 9 55 3" xfId="12168" xr:uid="{00000000-0005-0000-0000-000025290000}"/>
    <cellStyle name="Вычисление 9 55 4" xfId="16404" xr:uid="{00000000-0005-0000-0000-000026290000}"/>
    <cellStyle name="Вычисление 9 56" xfId="3165" xr:uid="{00000000-0005-0000-0000-000027290000}"/>
    <cellStyle name="Вычисление 9 56 2" xfId="7901" xr:uid="{00000000-0005-0000-0000-000028290000}"/>
    <cellStyle name="Вычисление 9 56 3" xfId="12169" xr:uid="{00000000-0005-0000-0000-000029290000}"/>
    <cellStyle name="Вычисление 9 56 4" xfId="16405" xr:uid="{00000000-0005-0000-0000-00002A290000}"/>
    <cellStyle name="Вычисление 9 57" xfId="3166" xr:uid="{00000000-0005-0000-0000-00002B290000}"/>
    <cellStyle name="Вычисление 9 57 2" xfId="7902" xr:uid="{00000000-0005-0000-0000-00002C290000}"/>
    <cellStyle name="Вычисление 9 57 3" xfId="12170" xr:uid="{00000000-0005-0000-0000-00002D290000}"/>
    <cellStyle name="Вычисление 9 57 4" xfId="16406" xr:uid="{00000000-0005-0000-0000-00002E290000}"/>
    <cellStyle name="Вычисление 9 58" xfId="3167" xr:uid="{00000000-0005-0000-0000-00002F290000}"/>
    <cellStyle name="Вычисление 9 58 2" xfId="7903" xr:uid="{00000000-0005-0000-0000-000030290000}"/>
    <cellStyle name="Вычисление 9 58 3" xfId="12171" xr:uid="{00000000-0005-0000-0000-000031290000}"/>
    <cellStyle name="Вычисление 9 58 4" xfId="16407" xr:uid="{00000000-0005-0000-0000-000032290000}"/>
    <cellStyle name="Вычисление 9 59" xfId="3168" xr:uid="{00000000-0005-0000-0000-000033290000}"/>
    <cellStyle name="Вычисление 9 59 2" xfId="7904" xr:uid="{00000000-0005-0000-0000-000034290000}"/>
    <cellStyle name="Вычисление 9 59 3" xfId="12172" xr:uid="{00000000-0005-0000-0000-000035290000}"/>
    <cellStyle name="Вычисление 9 59 4" xfId="16408" xr:uid="{00000000-0005-0000-0000-000036290000}"/>
    <cellStyle name="Вычисление 9 6" xfId="3169" xr:uid="{00000000-0005-0000-0000-000037290000}"/>
    <cellStyle name="Вычисление 9 6 2" xfId="7905" xr:uid="{00000000-0005-0000-0000-000038290000}"/>
    <cellStyle name="Вычисление 9 6 3" xfId="12173" xr:uid="{00000000-0005-0000-0000-000039290000}"/>
    <cellStyle name="Вычисление 9 6 4" xfId="16409" xr:uid="{00000000-0005-0000-0000-00003A290000}"/>
    <cellStyle name="Вычисление 9 60" xfId="3170" xr:uid="{00000000-0005-0000-0000-00003B290000}"/>
    <cellStyle name="Вычисление 9 60 2" xfId="7906" xr:uid="{00000000-0005-0000-0000-00003C290000}"/>
    <cellStyle name="Вычисление 9 60 3" xfId="12174" xr:uid="{00000000-0005-0000-0000-00003D290000}"/>
    <cellStyle name="Вычисление 9 60 4" xfId="16410" xr:uid="{00000000-0005-0000-0000-00003E290000}"/>
    <cellStyle name="Вычисление 9 61" xfId="3171" xr:uid="{00000000-0005-0000-0000-00003F290000}"/>
    <cellStyle name="Вычисление 9 61 2" xfId="7907" xr:uid="{00000000-0005-0000-0000-000040290000}"/>
    <cellStyle name="Вычисление 9 61 3" xfId="12175" xr:uid="{00000000-0005-0000-0000-000041290000}"/>
    <cellStyle name="Вычисление 9 61 4" xfId="16411" xr:uid="{00000000-0005-0000-0000-000042290000}"/>
    <cellStyle name="Вычисление 9 62" xfId="3172" xr:uid="{00000000-0005-0000-0000-000043290000}"/>
    <cellStyle name="Вычисление 9 62 2" xfId="7908" xr:uid="{00000000-0005-0000-0000-000044290000}"/>
    <cellStyle name="Вычисление 9 62 3" xfId="12176" xr:uid="{00000000-0005-0000-0000-000045290000}"/>
    <cellStyle name="Вычисление 9 62 4" xfId="16412" xr:uid="{00000000-0005-0000-0000-000046290000}"/>
    <cellStyle name="Вычисление 9 63" xfId="3173" xr:uid="{00000000-0005-0000-0000-000047290000}"/>
    <cellStyle name="Вычисление 9 63 2" xfId="7909" xr:uid="{00000000-0005-0000-0000-000048290000}"/>
    <cellStyle name="Вычисление 9 63 3" xfId="12177" xr:uid="{00000000-0005-0000-0000-000049290000}"/>
    <cellStyle name="Вычисление 9 63 4" xfId="16413" xr:uid="{00000000-0005-0000-0000-00004A290000}"/>
    <cellStyle name="Вычисление 9 64" xfId="3174" xr:uid="{00000000-0005-0000-0000-00004B290000}"/>
    <cellStyle name="Вычисление 9 64 2" xfId="7910" xr:uid="{00000000-0005-0000-0000-00004C290000}"/>
    <cellStyle name="Вычисление 9 64 3" xfId="12178" xr:uid="{00000000-0005-0000-0000-00004D290000}"/>
    <cellStyle name="Вычисление 9 64 4" xfId="16414" xr:uid="{00000000-0005-0000-0000-00004E290000}"/>
    <cellStyle name="Вычисление 9 65" xfId="3175" xr:uid="{00000000-0005-0000-0000-00004F290000}"/>
    <cellStyle name="Вычисление 9 65 2" xfId="7911" xr:uid="{00000000-0005-0000-0000-000050290000}"/>
    <cellStyle name="Вычисление 9 65 3" xfId="12179" xr:uid="{00000000-0005-0000-0000-000051290000}"/>
    <cellStyle name="Вычисление 9 65 4" xfId="16415" xr:uid="{00000000-0005-0000-0000-000052290000}"/>
    <cellStyle name="Вычисление 9 66" xfId="3176" xr:uid="{00000000-0005-0000-0000-000053290000}"/>
    <cellStyle name="Вычисление 9 66 2" xfId="7912" xr:uid="{00000000-0005-0000-0000-000054290000}"/>
    <cellStyle name="Вычисление 9 66 3" xfId="12180" xr:uid="{00000000-0005-0000-0000-000055290000}"/>
    <cellStyle name="Вычисление 9 66 4" xfId="16416" xr:uid="{00000000-0005-0000-0000-000056290000}"/>
    <cellStyle name="Вычисление 9 67" xfId="3177" xr:uid="{00000000-0005-0000-0000-000057290000}"/>
    <cellStyle name="Вычисление 9 67 2" xfId="7913" xr:uid="{00000000-0005-0000-0000-000058290000}"/>
    <cellStyle name="Вычисление 9 67 3" xfId="12181" xr:uid="{00000000-0005-0000-0000-000059290000}"/>
    <cellStyle name="Вычисление 9 67 4" xfId="16417" xr:uid="{00000000-0005-0000-0000-00005A290000}"/>
    <cellStyle name="Вычисление 9 68" xfId="3178" xr:uid="{00000000-0005-0000-0000-00005B290000}"/>
    <cellStyle name="Вычисление 9 68 2" xfId="7914" xr:uid="{00000000-0005-0000-0000-00005C290000}"/>
    <cellStyle name="Вычисление 9 68 3" xfId="12182" xr:uid="{00000000-0005-0000-0000-00005D290000}"/>
    <cellStyle name="Вычисление 9 68 4" xfId="16418" xr:uid="{00000000-0005-0000-0000-00005E290000}"/>
    <cellStyle name="Вычисление 9 69" xfId="3179" xr:uid="{00000000-0005-0000-0000-00005F290000}"/>
    <cellStyle name="Вычисление 9 69 2" xfId="7915" xr:uid="{00000000-0005-0000-0000-000060290000}"/>
    <cellStyle name="Вычисление 9 69 3" xfId="12183" xr:uid="{00000000-0005-0000-0000-000061290000}"/>
    <cellStyle name="Вычисление 9 69 4" xfId="16419" xr:uid="{00000000-0005-0000-0000-000062290000}"/>
    <cellStyle name="Вычисление 9 7" xfId="3180" xr:uid="{00000000-0005-0000-0000-000063290000}"/>
    <cellStyle name="Вычисление 9 7 2" xfId="7916" xr:uid="{00000000-0005-0000-0000-000064290000}"/>
    <cellStyle name="Вычисление 9 7 3" xfId="12184" xr:uid="{00000000-0005-0000-0000-000065290000}"/>
    <cellStyle name="Вычисление 9 7 4" xfId="16420" xr:uid="{00000000-0005-0000-0000-000066290000}"/>
    <cellStyle name="Вычисление 9 70" xfId="3181" xr:uid="{00000000-0005-0000-0000-000067290000}"/>
    <cellStyle name="Вычисление 9 70 2" xfId="7917" xr:uid="{00000000-0005-0000-0000-000068290000}"/>
    <cellStyle name="Вычисление 9 70 3" xfId="12185" xr:uid="{00000000-0005-0000-0000-000069290000}"/>
    <cellStyle name="Вычисление 9 70 4" xfId="16421" xr:uid="{00000000-0005-0000-0000-00006A290000}"/>
    <cellStyle name="Вычисление 9 71" xfId="3182" xr:uid="{00000000-0005-0000-0000-00006B290000}"/>
    <cellStyle name="Вычисление 9 71 2" xfId="7918" xr:uid="{00000000-0005-0000-0000-00006C290000}"/>
    <cellStyle name="Вычисление 9 71 3" xfId="12186" xr:uid="{00000000-0005-0000-0000-00006D290000}"/>
    <cellStyle name="Вычисление 9 71 4" xfId="16422" xr:uid="{00000000-0005-0000-0000-00006E290000}"/>
    <cellStyle name="Вычисление 9 72" xfId="3183" xr:uid="{00000000-0005-0000-0000-00006F290000}"/>
    <cellStyle name="Вычисление 9 72 2" xfId="7919" xr:uid="{00000000-0005-0000-0000-000070290000}"/>
    <cellStyle name="Вычисление 9 72 3" xfId="12187" xr:uid="{00000000-0005-0000-0000-000071290000}"/>
    <cellStyle name="Вычисление 9 72 4" xfId="16423" xr:uid="{00000000-0005-0000-0000-000072290000}"/>
    <cellStyle name="Вычисление 9 73" xfId="3184" xr:uid="{00000000-0005-0000-0000-000073290000}"/>
    <cellStyle name="Вычисление 9 73 2" xfId="7920" xr:uid="{00000000-0005-0000-0000-000074290000}"/>
    <cellStyle name="Вычисление 9 73 3" xfId="12188" xr:uid="{00000000-0005-0000-0000-000075290000}"/>
    <cellStyle name="Вычисление 9 73 4" xfId="16424" xr:uid="{00000000-0005-0000-0000-000076290000}"/>
    <cellStyle name="Вычисление 9 74" xfId="3185" xr:uid="{00000000-0005-0000-0000-000077290000}"/>
    <cellStyle name="Вычисление 9 74 2" xfId="7921" xr:uid="{00000000-0005-0000-0000-000078290000}"/>
    <cellStyle name="Вычисление 9 74 3" xfId="12189" xr:uid="{00000000-0005-0000-0000-000079290000}"/>
    <cellStyle name="Вычисление 9 74 4" xfId="16425" xr:uid="{00000000-0005-0000-0000-00007A290000}"/>
    <cellStyle name="Вычисление 9 75" xfId="3186" xr:uid="{00000000-0005-0000-0000-00007B290000}"/>
    <cellStyle name="Вычисление 9 75 2" xfId="7922" xr:uid="{00000000-0005-0000-0000-00007C290000}"/>
    <cellStyle name="Вычисление 9 75 3" xfId="12190" xr:uid="{00000000-0005-0000-0000-00007D290000}"/>
    <cellStyle name="Вычисление 9 75 4" xfId="16426" xr:uid="{00000000-0005-0000-0000-00007E290000}"/>
    <cellStyle name="Вычисление 9 76" xfId="3187" xr:uid="{00000000-0005-0000-0000-00007F290000}"/>
    <cellStyle name="Вычисление 9 76 2" xfId="7923" xr:uid="{00000000-0005-0000-0000-000080290000}"/>
    <cellStyle name="Вычисление 9 76 3" xfId="12191" xr:uid="{00000000-0005-0000-0000-000081290000}"/>
    <cellStyle name="Вычисление 9 76 4" xfId="16427" xr:uid="{00000000-0005-0000-0000-000082290000}"/>
    <cellStyle name="Вычисление 9 77" xfId="3188" xr:uid="{00000000-0005-0000-0000-000083290000}"/>
    <cellStyle name="Вычисление 9 77 2" xfId="7924" xr:uid="{00000000-0005-0000-0000-000084290000}"/>
    <cellStyle name="Вычисление 9 77 3" xfId="12192" xr:uid="{00000000-0005-0000-0000-000085290000}"/>
    <cellStyle name="Вычисление 9 77 4" xfId="16428" xr:uid="{00000000-0005-0000-0000-000086290000}"/>
    <cellStyle name="Вычисление 9 78" xfId="3189" xr:uid="{00000000-0005-0000-0000-000087290000}"/>
    <cellStyle name="Вычисление 9 78 2" xfId="7925" xr:uid="{00000000-0005-0000-0000-000088290000}"/>
    <cellStyle name="Вычисление 9 78 3" xfId="12193" xr:uid="{00000000-0005-0000-0000-000089290000}"/>
    <cellStyle name="Вычисление 9 78 4" xfId="16429" xr:uid="{00000000-0005-0000-0000-00008A290000}"/>
    <cellStyle name="Вычисление 9 79" xfId="3190" xr:uid="{00000000-0005-0000-0000-00008B290000}"/>
    <cellStyle name="Вычисление 9 79 2" xfId="7926" xr:uid="{00000000-0005-0000-0000-00008C290000}"/>
    <cellStyle name="Вычисление 9 79 3" xfId="12194" xr:uid="{00000000-0005-0000-0000-00008D290000}"/>
    <cellStyle name="Вычисление 9 79 4" xfId="16430" xr:uid="{00000000-0005-0000-0000-00008E290000}"/>
    <cellStyle name="Вычисление 9 8" xfId="3191" xr:uid="{00000000-0005-0000-0000-00008F290000}"/>
    <cellStyle name="Вычисление 9 8 2" xfId="7927" xr:uid="{00000000-0005-0000-0000-000090290000}"/>
    <cellStyle name="Вычисление 9 8 3" xfId="12195" xr:uid="{00000000-0005-0000-0000-000091290000}"/>
    <cellStyle name="Вычисление 9 8 4" xfId="16431" xr:uid="{00000000-0005-0000-0000-000092290000}"/>
    <cellStyle name="Вычисление 9 80" xfId="3192" xr:uid="{00000000-0005-0000-0000-000093290000}"/>
    <cellStyle name="Вычисление 9 80 2" xfId="7928" xr:uid="{00000000-0005-0000-0000-000094290000}"/>
    <cellStyle name="Вычисление 9 80 3" xfId="12196" xr:uid="{00000000-0005-0000-0000-000095290000}"/>
    <cellStyle name="Вычисление 9 80 4" xfId="16432" xr:uid="{00000000-0005-0000-0000-000096290000}"/>
    <cellStyle name="Вычисление 9 81" xfId="3193" xr:uid="{00000000-0005-0000-0000-000097290000}"/>
    <cellStyle name="Вычисление 9 81 2" xfId="7929" xr:uid="{00000000-0005-0000-0000-000098290000}"/>
    <cellStyle name="Вычисление 9 81 3" xfId="12197" xr:uid="{00000000-0005-0000-0000-000099290000}"/>
    <cellStyle name="Вычисление 9 81 4" xfId="16433" xr:uid="{00000000-0005-0000-0000-00009A290000}"/>
    <cellStyle name="Вычисление 9 82" xfId="3194" xr:uid="{00000000-0005-0000-0000-00009B290000}"/>
    <cellStyle name="Вычисление 9 82 2" xfId="7930" xr:uid="{00000000-0005-0000-0000-00009C290000}"/>
    <cellStyle name="Вычисление 9 82 3" xfId="12198" xr:uid="{00000000-0005-0000-0000-00009D290000}"/>
    <cellStyle name="Вычисление 9 82 4" xfId="16434" xr:uid="{00000000-0005-0000-0000-00009E290000}"/>
    <cellStyle name="Вычисление 9 83" xfId="3195" xr:uid="{00000000-0005-0000-0000-00009F290000}"/>
    <cellStyle name="Вычисление 9 83 2" xfId="7931" xr:uid="{00000000-0005-0000-0000-0000A0290000}"/>
    <cellStyle name="Вычисление 9 83 3" xfId="12199" xr:uid="{00000000-0005-0000-0000-0000A1290000}"/>
    <cellStyle name="Вычисление 9 83 4" xfId="16435" xr:uid="{00000000-0005-0000-0000-0000A2290000}"/>
    <cellStyle name="Вычисление 9 84" xfId="3196" xr:uid="{00000000-0005-0000-0000-0000A3290000}"/>
    <cellStyle name="Вычисление 9 84 2" xfId="7932" xr:uid="{00000000-0005-0000-0000-0000A4290000}"/>
    <cellStyle name="Вычисление 9 84 3" xfId="12200" xr:uid="{00000000-0005-0000-0000-0000A5290000}"/>
    <cellStyle name="Вычисление 9 84 4" xfId="16436" xr:uid="{00000000-0005-0000-0000-0000A6290000}"/>
    <cellStyle name="Вычисление 9 85" xfId="3197" xr:uid="{00000000-0005-0000-0000-0000A7290000}"/>
    <cellStyle name="Вычисление 9 85 2" xfId="7933" xr:uid="{00000000-0005-0000-0000-0000A8290000}"/>
    <cellStyle name="Вычисление 9 85 3" xfId="12201" xr:uid="{00000000-0005-0000-0000-0000A9290000}"/>
    <cellStyle name="Вычисление 9 85 4" xfId="16437" xr:uid="{00000000-0005-0000-0000-0000AA290000}"/>
    <cellStyle name="Вычисление 9 86" xfId="3198" xr:uid="{00000000-0005-0000-0000-0000AB290000}"/>
    <cellStyle name="Вычисление 9 86 2" xfId="7934" xr:uid="{00000000-0005-0000-0000-0000AC290000}"/>
    <cellStyle name="Вычисление 9 86 3" xfId="12202" xr:uid="{00000000-0005-0000-0000-0000AD290000}"/>
    <cellStyle name="Вычисление 9 86 4" xfId="16438" xr:uid="{00000000-0005-0000-0000-0000AE290000}"/>
    <cellStyle name="Вычисление 9 87" xfId="3199" xr:uid="{00000000-0005-0000-0000-0000AF290000}"/>
    <cellStyle name="Вычисление 9 87 2" xfId="7935" xr:uid="{00000000-0005-0000-0000-0000B0290000}"/>
    <cellStyle name="Вычисление 9 87 3" xfId="12203" xr:uid="{00000000-0005-0000-0000-0000B1290000}"/>
    <cellStyle name="Вычисление 9 87 4" xfId="16439" xr:uid="{00000000-0005-0000-0000-0000B2290000}"/>
    <cellStyle name="Вычисление 9 88" xfId="3200" xr:uid="{00000000-0005-0000-0000-0000B3290000}"/>
    <cellStyle name="Вычисление 9 88 2" xfId="7936" xr:uid="{00000000-0005-0000-0000-0000B4290000}"/>
    <cellStyle name="Вычисление 9 88 3" xfId="12204" xr:uid="{00000000-0005-0000-0000-0000B5290000}"/>
    <cellStyle name="Вычисление 9 88 4" xfId="16440" xr:uid="{00000000-0005-0000-0000-0000B6290000}"/>
    <cellStyle name="Вычисление 9 89" xfId="3201" xr:uid="{00000000-0005-0000-0000-0000B7290000}"/>
    <cellStyle name="Вычисление 9 89 2" xfId="7937" xr:uid="{00000000-0005-0000-0000-0000B8290000}"/>
    <cellStyle name="Вычисление 9 89 3" xfId="12205" xr:uid="{00000000-0005-0000-0000-0000B9290000}"/>
    <cellStyle name="Вычисление 9 89 4" xfId="16441" xr:uid="{00000000-0005-0000-0000-0000BA290000}"/>
    <cellStyle name="Вычисление 9 9" xfId="3202" xr:uid="{00000000-0005-0000-0000-0000BB290000}"/>
    <cellStyle name="Вычисление 9 9 2" xfId="7938" xr:uid="{00000000-0005-0000-0000-0000BC290000}"/>
    <cellStyle name="Вычисление 9 9 3" xfId="12206" xr:uid="{00000000-0005-0000-0000-0000BD290000}"/>
    <cellStyle name="Вычисление 9 9 4" xfId="16442" xr:uid="{00000000-0005-0000-0000-0000BE290000}"/>
    <cellStyle name="Вычисление 9 90" xfId="3203" xr:uid="{00000000-0005-0000-0000-0000BF290000}"/>
    <cellStyle name="Вычисление 9 90 2" xfId="7939" xr:uid="{00000000-0005-0000-0000-0000C0290000}"/>
    <cellStyle name="Вычисление 9 90 3" xfId="12207" xr:uid="{00000000-0005-0000-0000-0000C1290000}"/>
    <cellStyle name="Вычисление 9 90 4" xfId="16443" xr:uid="{00000000-0005-0000-0000-0000C2290000}"/>
    <cellStyle name="Вычисление 9 91" xfId="3204" xr:uid="{00000000-0005-0000-0000-0000C3290000}"/>
    <cellStyle name="Вычисление 9 91 2" xfId="7940" xr:uid="{00000000-0005-0000-0000-0000C4290000}"/>
    <cellStyle name="Вычисление 9 91 3" xfId="12208" xr:uid="{00000000-0005-0000-0000-0000C5290000}"/>
    <cellStyle name="Вычисление 9 91 4" xfId="16444" xr:uid="{00000000-0005-0000-0000-0000C6290000}"/>
    <cellStyle name="Вычисление 9 92" xfId="5203" xr:uid="{00000000-0005-0000-0000-0000C7290000}"/>
    <cellStyle name="Вычисление 9 93" xfId="5244" xr:uid="{00000000-0005-0000-0000-0000C8290000}"/>
    <cellStyle name="Вычисление 9 94" xfId="8821" xr:uid="{00000000-0005-0000-0000-0000C9290000}"/>
    <cellStyle name="Гиперссылка 2" xfId="250" xr:uid="{00000000-0005-0000-0000-0000CA290000}"/>
    <cellStyle name="Гиперссылка 3" xfId="251" xr:uid="{00000000-0005-0000-0000-0000CB290000}"/>
    <cellStyle name="Денежный 2" xfId="252" xr:uid="{00000000-0005-0000-0000-0000CC290000}"/>
    <cellStyle name="Заголовок 1 10" xfId="253" xr:uid="{00000000-0005-0000-0000-0000CD290000}"/>
    <cellStyle name="Заголовок 1 2" xfId="254" xr:uid="{00000000-0005-0000-0000-0000CE290000}"/>
    <cellStyle name="Заголовок 1 3" xfId="255" xr:uid="{00000000-0005-0000-0000-0000CF290000}"/>
    <cellStyle name="Заголовок 1 4" xfId="256" xr:uid="{00000000-0005-0000-0000-0000D0290000}"/>
    <cellStyle name="Заголовок 1 5" xfId="257" xr:uid="{00000000-0005-0000-0000-0000D1290000}"/>
    <cellStyle name="Заголовок 1 6" xfId="258" xr:uid="{00000000-0005-0000-0000-0000D2290000}"/>
    <cellStyle name="Заголовок 1 7" xfId="259" xr:uid="{00000000-0005-0000-0000-0000D3290000}"/>
    <cellStyle name="Заголовок 1 8" xfId="260" xr:uid="{00000000-0005-0000-0000-0000D4290000}"/>
    <cellStyle name="Заголовок 1 9" xfId="261" xr:uid="{00000000-0005-0000-0000-0000D5290000}"/>
    <cellStyle name="Заголовок 2 10" xfId="262" xr:uid="{00000000-0005-0000-0000-0000D6290000}"/>
    <cellStyle name="Заголовок 2 2" xfId="263" xr:uid="{00000000-0005-0000-0000-0000D7290000}"/>
    <cellStyle name="Заголовок 2 3" xfId="264" xr:uid="{00000000-0005-0000-0000-0000D8290000}"/>
    <cellStyle name="Заголовок 2 4" xfId="265" xr:uid="{00000000-0005-0000-0000-0000D9290000}"/>
    <cellStyle name="Заголовок 2 5" xfId="266" xr:uid="{00000000-0005-0000-0000-0000DA290000}"/>
    <cellStyle name="Заголовок 2 6" xfId="267" xr:uid="{00000000-0005-0000-0000-0000DB290000}"/>
    <cellStyle name="Заголовок 2 7" xfId="268" xr:uid="{00000000-0005-0000-0000-0000DC290000}"/>
    <cellStyle name="Заголовок 2 8" xfId="269" xr:uid="{00000000-0005-0000-0000-0000DD290000}"/>
    <cellStyle name="Заголовок 2 9" xfId="270" xr:uid="{00000000-0005-0000-0000-0000DE290000}"/>
    <cellStyle name="Заголовок 3 10" xfId="271" xr:uid="{00000000-0005-0000-0000-0000DF290000}"/>
    <cellStyle name="Заголовок 3 2" xfId="272" xr:uid="{00000000-0005-0000-0000-0000E0290000}"/>
    <cellStyle name="Заголовок 3 3" xfId="273" xr:uid="{00000000-0005-0000-0000-0000E1290000}"/>
    <cellStyle name="Заголовок 3 4" xfId="274" xr:uid="{00000000-0005-0000-0000-0000E2290000}"/>
    <cellStyle name="Заголовок 3 5" xfId="275" xr:uid="{00000000-0005-0000-0000-0000E3290000}"/>
    <cellStyle name="Заголовок 3 6" xfId="276" xr:uid="{00000000-0005-0000-0000-0000E4290000}"/>
    <cellStyle name="Заголовок 3 7" xfId="277" xr:uid="{00000000-0005-0000-0000-0000E5290000}"/>
    <cellStyle name="Заголовок 3 8" xfId="278" xr:uid="{00000000-0005-0000-0000-0000E6290000}"/>
    <cellStyle name="Заголовок 3 9" xfId="279" xr:uid="{00000000-0005-0000-0000-0000E7290000}"/>
    <cellStyle name="Заголовок 4 10" xfId="280" xr:uid="{00000000-0005-0000-0000-0000E8290000}"/>
    <cellStyle name="Заголовок 4 2" xfId="281" xr:uid="{00000000-0005-0000-0000-0000E9290000}"/>
    <cellStyle name="Заголовок 4 3" xfId="282" xr:uid="{00000000-0005-0000-0000-0000EA290000}"/>
    <cellStyle name="Заголовок 4 4" xfId="283" xr:uid="{00000000-0005-0000-0000-0000EB290000}"/>
    <cellStyle name="Заголовок 4 5" xfId="284" xr:uid="{00000000-0005-0000-0000-0000EC290000}"/>
    <cellStyle name="Заголовок 4 6" xfId="285" xr:uid="{00000000-0005-0000-0000-0000ED290000}"/>
    <cellStyle name="Заголовок 4 7" xfId="286" xr:uid="{00000000-0005-0000-0000-0000EE290000}"/>
    <cellStyle name="Заголовок 4 8" xfId="287" xr:uid="{00000000-0005-0000-0000-0000EF290000}"/>
    <cellStyle name="Заголовок 4 9" xfId="288" xr:uid="{00000000-0005-0000-0000-0000F0290000}"/>
    <cellStyle name="Итог 10" xfId="289" xr:uid="{00000000-0005-0000-0000-0000F1290000}"/>
    <cellStyle name="Итог 10 10" xfId="3205" xr:uid="{00000000-0005-0000-0000-0000F2290000}"/>
    <cellStyle name="Итог 10 10 2" xfId="7941" xr:uid="{00000000-0005-0000-0000-0000F3290000}"/>
    <cellStyle name="Итог 10 10 3" xfId="12209" xr:uid="{00000000-0005-0000-0000-0000F4290000}"/>
    <cellStyle name="Итог 10 10 4" xfId="16445" xr:uid="{00000000-0005-0000-0000-0000F5290000}"/>
    <cellStyle name="Итог 10 11" xfId="3206" xr:uid="{00000000-0005-0000-0000-0000F6290000}"/>
    <cellStyle name="Итог 10 11 2" xfId="7942" xr:uid="{00000000-0005-0000-0000-0000F7290000}"/>
    <cellStyle name="Итог 10 11 3" xfId="12210" xr:uid="{00000000-0005-0000-0000-0000F8290000}"/>
    <cellStyle name="Итог 10 11 4" xfId="16446" xr:uid="{00000000-0005-0000-0000-0000F9290000}"/>
    <cellStyle name="Итог 10 12" xfId="3207" xr:uid="{00000000-0005-0000-0000-0000FA290000}"/>
    <cellStyle name="Итог 10 12 2" xfId="7943" xr:uid="{00000000-0005-0000-0000-0000FB290000}"/>
    <cellStyle name="Итог 10 12 3" xfId="12211" xr:uid="{00000000-0005-0000-0000-0000FC290000}"/>
    <cellStyle name="Итог 10 12 4" xfId="16447" xr:uid="{00000000-0005-0000-0000-0000FD290000}"/>
    <cellStyle name="Итог 10 13" xfId="3208" xr:uid="{00000000-0005-0000-0000-0000FE290000}"/>
    <cellStyle name="Итог 10 13 2" xfId="7944" xr:uid="{00000000-0005-0000-0000-0000FF290000}"/>
    <cellStyle name="Итог 10 13 3" xfId="12212" xr:uid="{00000000-0005-0000-0000-0000002A0000}"/>
    <cellStyle name="Итог 10 13 4" xfId="16448" xr:uid="{00000000-0005-0000-0000-0000012A0000}"/>
    <cellStyle name="Итог 10 14" xfId="3209" xr:uid="{00000000-0005-0000-0000-0000022A0000}"/>
    <cellStyle name="Итог 10 14 2" xfId="7945" xr:uid="{00000000-0005-0000-0000-0000032A0000}"/>
    <cellStyle name="Итог 10 14 3" xfId="12213" xr:uid="{00000000-0005-0000-0000-0000042A0000}"/>
    <cellStyle name="Итог 10 14 4" xfId="16449" xr:uid="{00000000-0005-0000-0000-0000052A0000}"/>
    <cellStyle name="Итог 10 15" xfId="3210" xr:uid="{00000000-0005-0000-0000-0000062A0000}"/>
    <cellStyle name="Итог 10 15 2" xfId="7946" xr:uid="{00000000-0005-0000-0000-0000072A0000}"/>
    <cellStyle name="Итог 10 15 3" xfId="12214" xr:uid="{00000000-0005-0000-0000-0000082A0000}"/>
    <cellStyle name="Итог 10 15 4" xfId="16450" xr:uid="{00000000-0005-0000-0000-0000092A0000}"/>
    <cellStyle name="Итог 10 16" xfId="3211" xr:uid="{00000000-0005-0000-0000-00000A2A0000}"/>
    <cellStyle name="Итог 10 16 2" xfId="7947" xr:uid="{00000000-0005-0000-0000-00000B2A0000}"/>
    <cellStyle name="Итог 10 16 3" xfId="12215" xr:uid="{00000000-0005-0000-0000-00000C2A0000}"/>
    <cellStyle name="Итог 10 16 4" xfId="16451" xr:uid="{00000000-0005-0000-0000-00000D2A0000}"/>
    <cellStyle name="Итог 10 17" xfId="3212" xr:uid="{00000000-0005-0000-0000-00000E2A0000}"/>
    <cellStyle name="Итог 10 17 2" xfId="7948" xr:uid="{00000000-0005-0000-0000-00000F2A0000}"/>
    <cellStyle name="Итог 10 17 3" xfId="12216" xr:uid="{00000000-0005-0000-0000-0000102A0000}"/>
    <cellStyle name="Итог 10 17 4" xfId="16452" xr:uid="{00000000-0005-0000-0000-0000112A0000}"/>
    <cellStyle name="Итог 10 18" xfId="3213" xr:uid="{00000000-0005-0000-0000-0000122A0000}"/>
    <cellStyle name="Итог 10 18 2" xfId="7949" xr:uid="{00000000-0005-0000-0000-0000132A0000}"/>
    <cellStyle name="Итог 10 18 3" xfId="12217" xr:uid="{00000000-0005-0000-0000-0000142A0000}"/>
    <cellStyle name="Итог 10 18 4" xfId="16453" xr:uid="{00000000-0005-0000-0000-0000152A0000}"/>
    <cellStyle name="Итог 10 19" xfId="3214" xr:uid="{00000000-0005-0000-0000-0000162A0000}"/>
    <cellStyle name="Итог 10 19 2" xfId="7950" xr:uid="{00000000-0005-0000-0000-0000172A0000}"/>
    <cellStyle name="Итог 10 19 3" xfId="12218" xr:uid="{00000000-0005-0000-0000-0000182A0000}"/>
    <cellStyle name="Итог 10 19 4" xfId="16454" xr:uid="{00000000-0005-0000-0000-0000192A0000}"/>
    <cellStyle name="Итог 10 2" xfId="3215" xr:uid="{00000000-0005-0000-0000-00001A2A0000}"/>
    <cellStyle name="Итог 10 2 2" xfId="3216" xr:uid="{00000000-0005-0000-0000-00001B2A0000}"/>
    <cellStyle name="Итог 10 2 2 2" xfId="7952" xr:uid="{00000000-0005-0000-0000-00001C2A0000}"/>
    <cellStyle name="Итог 10 2 2 3" xfId="12220" xr:uid="{00000000-0005-0000-0000-00001D2A0000}"/>
    <cellStyle name="Итог 10 2 2 4" xfId="16456" xr:uid="{00000000-0005-0000-0000-00001E2A0000}"/>
    <cellStyle name="Итог 10 2 3" xfId="3217" xr:uid="{00000000-0005-0000-0000-00001F2A0000}"/>
    <cellStyle name="Итог 10 2 3 2" xfId="7953" xr:uid="{00000000-0005-0000-0000-0000202A0000}"/>
    <cellStyle name="Итог 10 2 3 3" xfId="12221" xr:uid="{00000000-0005-0000-0000-0000212A0000}"/>
    <cellStyle name="Итог 10 2 3 4" xfId="16457" xr:uid="{00000000-0005-0000-0000-0000222A0000}"/>
    <cellStyle name="Итог 10 2 4" xfId="7951" xr:uid="{00000000-0005-0000-0000-0000232A0000}"/>
    <cellStyle name="Итог 10 2 5" xfId="12219" xr:uid="{00000000-0005-0000-0000-0000242A0000}"/>
    <cellStyle name="Итог 10 2 6" xfId="16455" xr:uid="{00000000-0005-0000-0000-0000252A0000}"/>
    <cellStyle name="Итог 10 20" xfId="3218" xr:uid="{00000000-0005-0000-0000-0000262A0000}"/>
    <cellStyle name="Итог 10 20 2" xfId="7954" xr:uid="{00000000-0005-0000-0000-0000272A0000}"/>
    <cellStyle name="Итог 10 20 3" xfId="12222" xr:uid="{00000000-0005-0000-0000-0000282A0000}"/>
    <cellStyle name="Итог 10 20 4" xfId="16458" xr:uid="{00000000-0005-0000-0000-0000292A0000}"/>
    <cellStyle name="Итог 10 21" xfId="3219" xr:uid="{00000000-0005-0000-0000-00002A2A0000}"/>
    <cellStyle name="Итог 10 21 2" xfId="7955" xr:uid="{00000000-0005-0000-0000-00002B2A0000}"/>
    <cellStyle name="Итог 10 21 3" xfId="12223" xr:uid="{00000000-0005-0000-0000-00002C2A0000}"/>
    <cellStyle name="Итог 10 21 4" xfId="16459" xr:uid="{00000000-0005-0000-0000-00002D2A0000}"/>
    <cellStyle name="Итог 10 22" xfId="3220" xr:uid="{00000000-0005-0000-0000-00002E2A0000}"/>
    <cellStyle name="Итог 10 22 2" xfId="7956" xr:uid="{00000000-0005-0000-0000-00002F2A0000}"/>
    <cellStyle name="Итог 10 22 3" xfId="12224" xr:uid="{00000000-0005-0000-0000-0000302A0000}"/>
    <cellStyle name="Итог 10 22 4" xfId="16460" xr:uid="{00000000-0005-0000-0000-0000312A0000}"/>
    <cellStyle name="Итог 10 23" xfId="3221" xr:uid="{00000000-0005-0000-0000-0000322A0000}"/>
    <cellStyle name="Итог 10 23 2" xfId="7957" xr:uid="{00000000-0005-0000-0000-0000332A0000}"/>
    <cellStyle name="Итог 10 23 3" xfId="12225" xr:uid="{00000000-0005-0000-0000-0000342A0000}"/>
    <cellStyle name="Итог 10 23 4" xfId="16461" xr:uid="{00000000-0005-0000-0000-0000352A0000}"/>
    <cellStyle name="Итог 10 24" xfId="3222" xr:uid="{00000000-0005-0000-0000-0000362A0000}"/>
    <cellStyle name="Итог 10 24 2" xfId="7958" xr:uid="{00000000-0005-0000-0000-0000372A0000}"/>
    <cellStyle name="Итог 10 24 3" xfId="12226" xr:uid="{00000000-0005-0000-0000-0000382A0000}"/>
    <cellStyle name="Итог 10 24 4" xfId="16462" xr:uid="{00000000-0005-0000-0000-0000392A0000}"/>
    <cellStyle name="Итог 10 25" xfId="3223" xr:uid="{00000000-0005-0000-0000-00003A2A0000}"/>
    <cellStyle name="Итог 10 25 2" xfId="7959" xr:uid="{00000000-0005-0000-0000-00003B2A0000}"/>
    <cellStyle name="Итог 10 25 3" xfId="12227" xr:uid="{00000000-0005-0000-0000-00003C2A0000}"/>
    <cellStyle name="Итог 10 25 4" xfId="16463" xr:uid="{00000000-0005-0000-0000-00003D2A0000}"/>
    <cellStyle name="Итог 10 26" xfId="3224" xr:uid="{00000000-0005-0000-0000-00003E2A0000}"/>
    <cellStyle name="Итог 10 26 2" xfId="7960" xr:uid="{00000000-0005-0000-0000-00003F2A0000}"/>
    <cellStyle name="Итог 10 26 3" xfId="12228" xr:uid="{00000000-0005-0000-0000-0000402A0000}"/>
    <cellStyle name="Итог 10 26 4" xfId="16464" xr:uid="{00000000-0005-0000-0000-0000412A0000}"/>
    <cellStyle name="Итог 10 27" xfId="3225" xr:uid="{00000000-0005-0000-0000-0000422A0000}"/>
    <cellStyle name="Итог 10 27 2" xfId="7961" xr:uid="{00000000-0005-0000-0000-0000432A0000}"/>
    <cellStyle name="Итог 10 27 3" xfId="12229" xr:uid="{00000000-0005-0000-0000-0000442A0000}"/>
    <cellStyle name="Итог 10 27 4" xfId="16465" xr:uid="{00000000-0005-0000-0000-0000452A0000}"/>
    <cellStyle name="Итог 10 28" xfId="3226" xr:uid="{00000000-0005-0000-0000-0000462A0000}"/>
    <cellStyle name="Итог 10 28 2" xfId="7962" xr:uid="{00000000-0005-0000-0000-0000472A0000}"/>
    <cellStyle name="Итог 10 28 3" xfId="12230" xr:uid="{00000000-0005-0000-0000-0000482A0000}"/>
    <cellStyle name="Итог 10 28 4" xfId="16466" xr:uid="{00000000-0005-0000-0000-0000492A0000}"/>
    <cellStyle name="Итог 10 29" xfId="3227" xr:uid="{00000000-0005-0000-0000-00004A2A0000}"/>
    <cellStyle name="Итог 10 29 2" xfId="7963" xr:uid="{00000000-0005-0000-0000-00004B2A0000}"/>
    <cellStyle name="Итог 10 29 3" xfId="12231" xr:uid="{00000000-0005-0000-0000-00004C2A0000}"/>
    <cellStyle name="Итог 10 29 4" xfId="16467" xr:uid="{00000000-0005-0000-0000-00004D2A0000}"/>
    <cellStyle name="Итог 10 3" xfId="3228" xr:uid="{00000000-0005-0000-0000-00004E2A0000}"/>
    <cellStyle name="Итог 10 3 2" xfId="3229" xr:uid="{00000000-0005-0000-0000-00004F2A0000}"/>
    <cellStyle name="Итог 10 3 2 2" xfId="7965" xr:uid="{00000000-0005-0000-0000-0000502A0000}"/>
    <cellStyle name="Итог 10 3 2 3" xfId="12233" xr:uid="{00000000-0005-0000-0000-0000512A0000}"/>
    <cellStyle name="Итог 10 3 2 4" xfId="16469" xr:uid="{00000000-0005-0000-0000-0000522A0000}"/>
    <cellStyle name="Итог 10 3 3" xfId="3230" xr:uid="{00000000-0005-0000-0000-0000532A0000}"/>
    <cellStyle name="Итог 10 3 3 2" xfId="7966" xr:uid="{00000000-0005-0000-0000-0000542A0000}"/>
    <cellStyle name="Итог 10 3 3 3" xfId="12234" xr:uid="{00000000-0005-0000-0000-0000552A0000}"/>
    <cellStyle name="Итог 10 3 3 4" xfId="16470" xr:uid="{00000000-0005-0000-0000-0000562A0000}"/>
    <cellStyle name="Итог 10 3 4" xfId="7964" xr:uid="{00000000-0005-0000-0000-0000572A0000}"/>
    <cellStyle name="Итог 10 3 5" xfId="12232" xr:uid="{00000000-0005-0000-0000-0000582A0000}"/>
    <cellStyle name="Итог 10 3 6" xfId="16468" xr:uid="{00000000-0005-0000-0000-0000592A0000}"/>
    <cellStyle name="Итог 10 30" xfId="3231" xr:uid="{00000000-0005-0000-0000-00005A2A0000}"/>
    <cellStyle name="Итог 10 30 2" xfId="7967" xr:uid="{00000000-0005-0000-0000-00005B2A0000}"/>
    <cellStyle name="Итог 10 30 3" xfId="12235" xr:uid="{00000000-0005-0000-0000-00005C2A0000}"/>
    <cellStyle name="Итог 10 30 4" xfId="16471" xr:uid="{00000000-0005-0000-0000-00005D2A0000}"/>
    <cellStyle name="Итог 10 31" xfId="3232" xr:uid="{00000000-0005-0000-0000-00005E2A0000}"/>
    <cellStyle name="Итог 10 31 2" xfId="7968" xr:uid="{00000000-0005-0000-0000-00005F2A0000}"/>
    <cellStyle name="Итог 10 31 3" xfId="12236" xr:uid="{00000000-0005-0000-0000-0000602A0000}"/>
    <cellStyle name="Итог 10 31 4" xfId="16472" xr:uid="{00000000-0005-0000-0000-0000612A0000}"/>
    <cellStyle name="Итог 10 32" xfId="3233" xr:uid="{00000000-0005-0000-0000-0000622A0000}"/>
    <cellStyle name="Итог 10 32 2" xfId="7969" xr:uid="{00000000-0005-0000-0000-0000632A0000}"/>
    <cellStyle name="Итог 10 32 3" xfId="12237" xr:uid="{00000000-0005-0000-0000-0000642A0000}"/>
    <cellStyle name="Итог 10 32 4" xfId="16473" xr:uid="{00000000-0005-0000-0000-0000652A0000}"/>
    <cellStyle name="Итог 10 33" xfId="3234" xr:uid="{00000000-0005-0000-0000-0000662A0000}"/>
    <cellStyle name="Итог 10 33 2" xfId="7970" xr:uid="{00000000-0005-0000-0000-0000672A0000}"/>
    <cellStyle name="Итог 10 33 3" xfId="12238" xr:uid="{00000000-0005-0000-0000-0000682A0000}"/>
    <cellStyle name="Итог 10 33 4" xfId="16474" xr:uid="{00000000-0005-0000-0000-0000692A0000}"/>
    <cellStyle name="Итог 10 34" xfId="3235" xr:uid="{00000000-0005-0000-0000-00006A2A0000}"/>
    <cellStyle name="Итог 10 34 2" xfId="7971" xr:uid="{00000000-0005-0000-0000-00006B2A0000}"/>
    <cellStyle name="Итог 10 34 3" xfId="12239" xr:uid="{00000000-0005-0000-0000-00006C2A0000}"/>
    <cellStyle name="Итог 10 34 4" xfId="16475" xr:uid="{00000000-0005-0000-0000-00006D2A0000}"/>
    <cellStyle name="Итог 10 35" xfId="3236" xr:uid="{00000000-0005-0000-0000-00006E2A0000}"/>
    <cellStyle name="Итог 10 35 2" xfId="7972" xr:uid="{00000000-0005-0000-0000-00006F2A0000}"/>
    <cellStyle name="Итог 10 35 3" xfId="12240" xr:uid="{00000000-0005-0000-0000-0000702A0000}"/>
    <cellStyle name="Итог 10 35 4" xfId="16476" xr:uid="{00000000-0005-0000-0000-0000712A0000}"/>
    <cellStyle name="Итог 10 36" xfId="3237" xr:uid="{00000000-0005-0000-0000-0000722A0000}"/>
    <cellStyle name="Итог 10 36 2" xfId="7973" xr:uid="{00000000-0005-0000-0000-0000732A0000}"/>
    <cellStyle name="Итог 10 36 3" xfId="12241" xr:uid="{00000000-0005-0000-0000-0000742A0000}"/>
    <cellStyle name="Итог 10 36 4" xfId="16477" xr:uid="{00000000-0005-0000-0000-0000752A0000}"/>
    <cellStyle name="Итог 10 37" xfId="3238" xr:uid="{00000000-0005-0000-0000-0000762A0000}"/>
    <cellStyle name="Итог 10 37 2" xfId="7974" xr:uid="{00000000-0005-0000-0000-0000772A0000}"/>
    <cellStyle name="Итог 10 37 3" xfId="12242" xr:uid="{00000000-0005-0000-0000-0000782A0000}"/>
    <cellStyle name="Итог 10 37 4" xfId="16478" xr:uid="{00000000-0005-0000-0000-0000792A0000}"/>
    <cellStyle name="Итог 10 38" xfId="3239" xr:uid="{00000000-0005-0000-0000-00007A2A0000}"/>
    <cellStyle name="Итог 10 38 2" xfId="7975" xr:uid="{00000000-0005-0000-0000-00007B2A0000}"/>
    <cellStyle name="Итог 10 38 3" xfId="12243" xr:uid="{00000000-0005-0000-0000-00007C2A0000}"/>
    <cellStyle name="Итог 10 38 4" xfId="16479" xr:uid="{00000000-0005-0000-0000-00007D2A0000}"/>
    <cellStyle name="Итог 10 39" xfId="3240" xr:uid="{00000000-0005-0000-0000-00007E2A0000}"/>
    <cellStyle name="Итог 10 39 2" xfId="7976" xr:uid="{00000000-0005-0000-0000-00007F2A0000}"/>
    <cellStyle name="Итог 10 39 3" xfId="12244" xr:uid="{00000000-0005-0000-0000-0000802A0000}"/>
    <cellStyle name="Итог 10 39 4" xfId="16480" xr:uid="{00000000-0005-0000-0000-0000812A0000}"/>
    <cellStyle name="Итог 10 4" xfId="3241" xr:uid="{00000000-0005-0000-0000-0000822A0000}"/>
    <cellStyle name="Итог 10 4 2" xfId="3242" xr:uid="{00000000-0005-0000-0000-0000832A0000}"/>
    <cellStyle name="Итог 10 4 2 2" xfId="7978" xr:uid="{00000000-0005-0000-0000-0000842A0000}"/>
    <cellStyle name="Итог 10 4 2 3" xfId="12246" xr:uid="{00000000-0005-0000-0000-0000852A0000}"/>
    <cellStyle name="Итог 10 4 2 4" xfId="16482" xr:uid="{00000000-0005-0000-0000-0000862A0000}"/>
    <cellStyle name="Итог 10 4 3" xfId="3243" xr:uid="{00000000-0005-0000-0000-0000872A0000}"/>
    <cellStyle name="Итог 10 4 3 2" xfId="7979" xr:uid="{00000000-0005-0000-0000-0000882A0000}"/>
    <cellStyle name="Итог 10 4 3 3" xfId="12247" xr:uid="{00000000-0005-0000-0000-0000892A0000}"/>
    <cellStyle name="Итог 10 4 3 4" xfId="16483" xr:uid="{00000000-0005-0000-0000-00008A2A0000}"/>
    <cellStyle name="Итог 10 4 4" xfId="7977" xr:uid="{00000000-0005-0000-0000-00008B2A0000}"/>
    <cellStyle name="Итог 10 4 5" xfId="12245" xr:uid="{00000000-0005-0000-0000-00008C2A0000}"/>
    <cellStyle name="Итог 10 4 6" xfId="16481" xr:uid="{00000000-0005-0000-0000-00008D2A0000}"/>
    <cellStyle name="Итог 10 40" xfId="3244" xr:uid="{00000000-0005-0000-0000-00008E2A0000}"/>
    <cellStyle name="Итог 10 40 2" xfId="7980" xr:uid="{00000000-0005-0000-0000-00008F2A0000}"/>
    <cellStyle name="Итог 10 40 3" xfId="12248" xr:uid="{00000000-0005-0000-0000-0000902A0000}"/>
    <cellStyle name="Итог 10 40 4" xfId="16484" xr:uid="{00000000-0005-0000-0000-0000912A0000}"/>
    <cellStyle name="Итог 10 41" xfId="3245" xr:uid="{00000000-0005-0000-0000-0000922A0000}"/>
    <cellStyle name="Итог 10 41 2" xfId="7981" xr:uid="{00000000-0005-0000-0000-0000932A0000}"/>
    <cellStyle name="Итог 10 41 3" xfId="12249" xr:uid="{00000000-0005-0000-0000-0000942A0000}"/>
    <cellStyle name="Итог 10 41 4" xfId="16485" xr:uid="{00000000-0005-0000-0000-0000952A0000}"/>
    <cellStyle name="Итог 10 42" xfId="3246" xr:uid="{00000000-0005-0000-0000-0000962A0000}"/>
    <cellStyle name="Итог 10 42 2" xfId="7982" xr:uid="{00000000-0005-0000-0000-0000972A0000}"/>
    <cellStyle name="Итог 10 42 3" xfId="12250" xr:uid="{00000000-0005-0000-0000-0000982A0000}"/>
    <cellStyle name="Итог 10 42 4" xfId="16486" xr:uid="{00000000-0005-0000-0000-0000992A0000}"/>
    <cellStyle name="Итог 10 43" xfId="3247" xr:uid="{00000000-0005-0000-0000-00009A2A0000}"/>
    <cellStyle name="Итог 10 43 2" xfId="7983" xr:uid="{00000000-0005-0000-0000-00009B2A0000}"/>
    <cellStyle name="Итог 10 43 3" xfId="12251" xr:uid="{00000000-0005-0000-0000-00009C2A0000}"/>
    <cellStyle name="Итог 10 43 4" xfId="16487" xr:uid="{00000000-0005-0000-0000-00009D2A0000}"/>
    <cellStyle name="Итог 10 44" xfId="3248" xr:uid="{00000000-0005-0000-0000-00009E2A0000}"/>
    <cellStyle name="Итог 10 44 2" xfId="7984" xr:uid="{00000000-0005-0000-0000-00009F2A0000}"/>
    <cellStyle name="Итог 10 44 3" xfId="12252" xr:uid="{00000000-0005-0000-0000-0000A02A0000}"/>
    <cellStyle name="Итог 10 44 4" xfId="16488" xr:uid="{00000000-0005-0000-0000-0000A12A0000}"/>
    <cellStyle name="Итог 10 45" xfId="3249" xr:uid="{00000000-0005-0000-0000-0000A22A0000}"/>
    <cellStyle name="Итог 10 45 2" xfId="7985" xr:uid="{00000000-0005-0000-0000-0000A32A0000}"/>
    <cellStyle name="Итог 10 45 3" xfId="12253" xr:uid="{00000000-0005-0000-0000-0000A42A0000}"/>
    <cellStyle name="Итог 10 45 4" xfId="16489" xr:uid="{00000000-0005-0000-0000-0000A52A0000}"/>
    <cellStyle name="Итог 10 46" xfId="3250" xr:uid="{00000000-0005-0000-0000-0000A62A0000}"/>
    <cellStyle name="Итог 10 46 2" xfId="7986" xr:uid="{00000000-0005-0000-0000-0000A72A0000}"/>
    <cellStyle name="Итог 10 46 3" xfId="12254" xr:uid="{00000000-0005-0000-0000-0000A82A0000}"/>
    <cellStyle name="Итог 10 46 4" xfId="16490" xr:uid="{00000000-0005-0000-0000-0000A92A0000}"/>
    <cellStyle name="Итог 10 47" xfId="3251" xr:uid="{00000000-0005-0000-0000-0000AA2A0000}"/>
    <cellStyle name="Итог 10 47 2" xfId="7987" xr:uid="{00000000-0005-0000-0000-0000AB2A0000}"/>
    <cellStyle name="Итог 10 47 3" xfId="12255" xr:uid="{00000000-0005-0000-0000-0000AC2A0000}"/>
    <cellStyle name="Итог 10 47 4" xfId="16491" xr:uid="{00000000-0005-0000-0000-0000AD2A0000}"/>
    <cellStyle name="Итог 10 48" xfId="3252" xr:uid="{00000000-0005-0000-0000-0000AE2A0000}"/>
    <cellStyle name="Итог 10 48 2" xfId="7988" xr:uid="{00000000-0005-0000-0000-0000AF2A0000}"/>
    <cellStyle name="Итог 10 48 3" xfId="12256" xr:uid="{00000000-0005-0000-0000-0000B02A0000}"/>
    <cellStyle name="Итог 10 48 4" xfId="16492" xr:uid="{00000000-0005-0000-0000-0000B12A0000}"/>
    <cellStyle name="Итог 10 49" xfId="3253" xr:uid="{00000000-0005-0000-0000-0000B22A0000}"/>
    <cellStyle name="Итог 10 49 2" xfId="7989" xr:uid="{00000000-0005-0000-0000-0000B32A0000}"/>
    <cellStyle name="Итог 10 49 3" xfId="12257" xr:uid="{00000000-0005-0000-0000-0000B42A0000}"/>
    <cellStyle name="Итог 10 49 4" xfId="16493" xr:uid="{00000000-0005-0000-0000-0000B52A0000}"/>
    <cellStyle name="Итог 10 5" xfId="3254" xr:uid="{00000000-0005-0000-0000-0000B62A0000}"/>
    <cellStyle name="Итог 10 5 2" xfId="7990" xr:uid="{00000000-0005-0000-0000-0000B72A0000}"/>
    <cellStyle name="Итог 10 5 3" xfId="12258" xr:uid="{00000000-0005-0000-0000-0000B82A0000}"/>
    <cellStyle name="Итог 10 5 4" xfId="16494" xr:uid="{00000000-0005-0000-0000-0000B92A0000}"/>
    <cellStyle name="Итог 10 50" xfId="3255" xr:uid="{00000000-0005-0000-0000-0000BA2A0000}"/>
    <cellStyle name="Итог 10 50 2" xfId="7991" xr:uid="{00000000-0005-0000-0000-0000BB2A0000}"/>
    <cellStyle name="Итог 10 50 3" xfId="12259" xr:uid="{00000000-0005-0000-0000-0000BC2A0000}"/>
    <cellStyle name="Итог 10 50 4" xfId="16495" xr:uid="{00000000-0005-0000-0000-0000BD2A0000}"/>
    <cellStyle name="Итог 10 51" xfId="3256" xr:uid="{00000000-0005-0000-0000-0000BE2A0000}"/>
    <cellStyle name="Итог 10 51 2" xfId="7992" xr:uid="{00000000-0005-0000-0000-0000BF2A0000}"/>
    <cellStyle name="Итог 10 51 3" xfId="12260" xr:uid="{00000000-0005-0000-0000-0000C02A0000}"/>
    <cellStyle name="Итог 10 51 4" xfId="16496" xr:uid="{00000000-0005-0000-0000-0000C12A0000}"/>
    <cellStyle name="Итог 10 52" xfId="3257" xr:uid="{00000000-0005-0000-0000-0000C22A0000}"/>
    <cellStyle name="Итог 10 52 2" xfId="7993" xr:uid="{00000000-0005-0000-0000-0000C32A0000}"/>
    <cellStyle name="Итог 10 52 3" xfId="12261" xr:uid="{00000000-0005-0000-0000-0000C42A0000}"/>
    <cellStyle name="Итог 10 52 4" xfId="16497" xr:uid="{00000000-0005-0000-0000-0000C52A0000}"/>
    <cellStyle name="Итог 10 53" xfId="3258" xr:uid="{00000000-0005-0000-0000-0000C62A0000}"/>
    <cellStyle name="Итог 10 53 2" xfId="7994" xr:uid="{00000000-0005-0000-0000-0000C72A0000}"/>
    <cellStyle name="Итог 10 53 3" xfId="12262" xr:uid="{00000000-0005-0000-0000-0000C82A0000}"/>
    <cellStyle name="Итог 10 53 4" xfId="16498" xr:uid="{00000000-0005-0000-0000-0000C92A0000}"/>
    <cellStyle name="Итог 10 54" xfId="3259" xr:uid="{00000000-0005-0000-0000-0000CA2A0000}"/>
    <cellStyle name="Итог 10 54 2" xfId="7995" xr:uid="{00000000-0005-0000-0000-0000CB2A0000}"/>
    <cellStyle name="Итог 10 54 3" xfId="12263" xr:uid="{00000000-0005-0000-0000-0000CC2A0000}"/>
    <cellStyle name="Итог 10 54 4" xfId="16499" xr:uid="{00000000-0005-0000-0000-0000CD2A0000}"/>
    <cellStyle name="Итог 10 55" xfId="3260" xr:uid="{00000000-0005-0000-0000-0000CE2A0000}"/>
    <cellStyle name="Итог 10 55 2" xfId="7996" xr:uid="{00000000-0005-0000-0000-0000CF2A0000}"/>
    <cellStyle name="Итог 10 55 3" xfId="12264" xr:uid="{00000000-0005-0000-0000-0000D02A0000}"/>
    <cellStyle name="Итог 10 55 4" xfId="16500" xr:uid="{00000000-0005-0000-0000-0000D12A0000}"/>
    <cellStyle name="Итог 10 56" xfId="3261" xr:uid="{00000000-0005-0000-0000-0000D22A0000}"/>
    <cellStyle name="Итог 10 56 2" xfId="7997" xr:uid="{00000000-0005-0000-0000-0000D32A0000}"/>
    <cellStyle name="Итог 10 56 3" xfId="12265" xr:uid="{00000000-0005-0000-0000-0000D42A0000}"/>
    <cellStyle name="Итог 10 56 4" xfId="16501" xr:uid="{00000000-0005-0000-0000-0000D52A0000}"/>
    <cellStyle name="Итог 10 57" xfId="3262" xr:uid="{00000000-0005-0000-0000-0000D62A0000}"/>
    <cellStyle name="Итог 10 57 2" xfId="7998" xr:uid="{00000000-0005-0000-0000-0000D72A0000}"/>
    <cellStyle name="Итог 10 57 3" xfId="12266" xr:uid="{00000000-0005-0000-0000-0000D82A0000}"/>
    <cellStyle name="Итог 10 57 4" xfId="16502" xr:uid="{00000000-0005-0000-0000-0000D92A0000}"/>
    <cellStyle name="Итог 10 58" xfId="3263" xr:uid="{00000000-0005-0000-0000-0000DA2A0000}"/>
    <cellStyle name="Итог 10 58 2" xfId="7999" xr:uid="{00000000-0005-0000-0000-0000DB2A0000}"/>
    <cellStyle name="Итог 10 58 3" xfId="12267" xr:uid="{00000000-0005-0000-0000-0000DC2A0000}"/>
    <cellStyle name="Итог 10 58 4" xfId="16503" xr:uid="{00000000-0005-0000-0000-0000DD2A0000}"/>
    <cellStyle name="Итог 10 59" xfId="3264" xr:uid="{00000000-0005-0000-0000-0000DE2A0000}"/>
    <cellStyle name="Итог 10 59 2" xfId="8000" xr:uid="{00000000-0005-0000-0000-0000DF2A0000}"/>
    <cellStyle name="Итог 10 59 3" xfId="12268" xr:uid="{00000000-0005-0000-0000-0000E02A0000}"/>
    <cellStyle name="Итог 10 59 4" xfId="16504" xr:uid="{00000000-0005-0000-0000-0000E12A0000}"/>
    <cellStyle name="Итог 10 6" xfId="3265" xr:uid="{00000000-0005-0000-0000-0000E22A0000}"/>
    <cellStyle name="Итог 10 6 2" xfId="8001" xr:uid="{00000000-0005-0000-0000-0000E32A0000}"/>
    <cellStyle name="Итог 10 6 3" xfId="12269" xr:uid="{00000000-0005-0000-0000-0000E42A0000}"/>
    <cellStyle name="Итог 10 6 4" xfId="16505" xr:uid="{00000000-0005-0000-0000-0000E52A0000}"/>
    <cellStyle name="Итог 10 60" xfId="3266" xr:uid="{00000000-0005-0000-0000-0000E62A0000}"/>
    <cellStyle name="Итог 10 60 2" xfId="8002" xr:uid="{00000000-0005-0000-0000-0000E72A0000}"/>
    <cellStyle name="Итог 10 60 3" xfId="12270" xr:uid="{00000000-0005-0000-0000-0000E82A0000}"/>
    <cellStyle name="Итог 10 60 4" xfId="16506" xr:uid="{00000000-0005-0000-0000-0000E92A0000}"/>
    <cellStyle name="Итог 10 61" xfId="3267" xr:uid="{00000000-0005-0000-0000-0000EA2A0000}"/>
    <cellStyle name="Итог 10 61 2" xfId="8003" xr:uid="{00000000-0005-0000-0000-0000EB2A0000}"/>
    <cellStyle name="Итог 10 61 3" xfId="12271" xr:uid="{00000000-0005-0000-0000-0000EC2A0000}"/>
    <cellStyle name="Итог 10 61 4" xfId="16507" xr:uid="{00000000-0005-0000-0000-0000ED2A0000}"/>
    <cellStyle name="Итог 10 62" xfId="3268" xr:uid="{00000000-0005-0000-0000-0000EE2A0000}"/>
    <cellStyle name="Итог 10 62 2" xfId="8004" xr:uid="{00000000-0005-0000-0000-0000EF2A0000}"/>
    <cellStyle name="Итог 10 62 3" xfId="12272" xr:uid="{00000000-0005-0000-0000-0000F02A0000}"/>
    <cellStyle name="Итог 10 62 4" xfId="16508" xr:uid="{00000000-0005-0000-0000-0000F12A0000}"/>
    <cellStyle name="Итог 10 63" xfId="3269" xr:uid="{00000000-0005-0000-0000-0000F22A0000}"/>
    <cellStyle name="Итог 10 63 2" xfId="8005" xr:uid="{00000000-0005-0000-0000-0000F32A0000}"/>
    <cellStyle name="Итог 10 63 3" xfId="12273" xr:uid="{00000000-0005-0000-0000-0000F42A0000}"/>
    <cellStyle name="Итог 10 63 4" xfId="16509" xr:uid="{00000000-0005-0000-0000-0000F52A0000}"/>
    <cellStyle name="Итог 10 64" xfId="3270" xr:uid="{00000000-0005-0000-0000-0000F62A0000}"/>
    <cellStyle name="Итог 10 64 2" xfId="8006" xr:uid="{00000000-0005-0000-0000-0000F72A0000}"/>
    <cellStyle name="Итог 10 64 3" xfId="12274" xr:uid="{00000000-0005-0000-0000-0000F82A0000}"/>
    <cellStyle name="Итог 10 64 4" xfId="16510" xr:uid="{00000000-0005-0000-0000-0000F92A0000}"/>
    <cellStyle name="Итог 10 65" xfId="3271" xr:uid="{00000000-0005-0000-0000-0000FA2A0000}"/>
    <cellStyle name="Итог 10 65 2" xfId="8007" xr:uid="{00000000-0005-0000-0000-0000FB2A0000}"/>
    <cellStyle name="Итог 10 65 3" xfId="12275" xr:uid="{00000000-0005-0000-0000-0000FC2A0000}"/>
    <cellStyle name="Итог 10 65 4" xfId="16511" xr:uid="{00000000-0005-0000-0000-0000FD2A0000}"/>
    <cellStyle name="Итог 10 66" xfId="3272" xr:uid="{00000000-0005-0000-0000-0000FE2A0000}"/>
    <cellStyle name="Итог 10 66 2" xfId="8008" xr:uid="{00000000-0005-0000-0000-0000FF2A0000}"/>
    <cellStyle name="Итог 10 66 3" xfId="12276" xr:uid="{00000000-0005-0000-0000-0000002B0000}"/>
    <cellStyle name="Итог 10 66 4" xfId="16512" xr:uid="{00000000-0005-0000-0000-0000012B0000}"/>
    <cellStyle name="Итог 10 67" xfId="3273" xr:uid="{00000000-0005-0000-0000-0000022B0000}"/>
    <cellStyle name="Итог 10 67 2" xfId="8009" xr:uid="{00000000-0005-0000-0000-0000032B0000}"/>
    <cellStyle name="Итог 10 67 3" xfId="12277" xr:uid="{00000000-0005-0000-0000-0000042B0000}"/>
    <cellStyle name="Итог 10 67 4" xfId="16513" xr:uid="{00000000-0005-0000-0000-0000052B0000}"/>
    <cellStyle name="Итог 10 68" xfId="3274" xr:uid="{00000000-0005-0000-0000-0000062B0000}"/>
    <cellStyle name="Итог 10 68 2" xfId="8010" xr:uid="{00000000-0005-0000-0000-0000072B0000}"/>
    <cellStyle name="Итог 10 68 3" xfId="12278" xr:uid="{00000000-0005-0000-0000-0000082B0000}"/>
    <cellStyle name="Итог 10 68 4" xfId="16514" xr:uid="{00000000-0005-0000-0000-0000092B0000}"/>
    <cellStyle name="Итог 10 69" xfId="3275" xr:uid="{00000000-0005-0000-0000-00000A2B0000}"/>
    <cellStyle name="Итог 10 69 2" xfId="8011" xr:uid="{00000000-0005-0000-0000-00000B2B0000}"/>
    <cellStyle name="Итог 10 69 3" xfId="12279" xr:uid="{00000000-0005-0000-0000-00000C2B0000}"/>
    <cellStyle name="Итог 10 69 4" xfId="16515" xr:uid="{00000000-0005-0000-0000-00000D2B0000}"/>
    <cellStyle name="Итог 10 7" xfId="3276" xr:uid="{00000000-0005-0000-0000-00000E2B0000}"/>
    <cellStyle name="Итог 10 7 2" xfId="8012" xr:uid="{00000000-0005-0000-0000-00000F2B0000}"/>
    <cellStyle name="Итог 10 7 3" xfId="12280" xr:uid="{00000000-0005-0000-0000-0000102B0000}"/>
    <cellStyle name="Итог 10 7 4" xfId="16516" xr:uid="{00000000-0005-0000-0000-0000112B0000}"/>
    <cellStyle name="Итог 10 70" xfId="3277" xr:uid="{00000000-0005-0000-0000-0000122B0000}"/>
    <cellStyle name="Итог 10 70 2" xfId="8013" xr:uid="{00000000-0005-0000-0000-0000132B0000}"/>
    <cellStyle name="Итог 10 70 3" xfId="12281" xr:uid="{00000000-0005-0000-0000-0000142B0000}"/>
    <cellStyle name="Итог 10 70 4" xfId="16517" xr:uid="{00000000-0005-0000-0000-0000152B0000}"/>
    <cellStyle name="Итог 10 71" xfId="3278" xr:uid="{00000000-0005-0000-0000-0000162B0000}"/>
    <cellStyle name="Итог 10 71 2" xfId="8014" xr:uid="{00000000-0005-0000-0000-0000172B0000}"/>
    <cellStyle name="Итог 10 71 3" xfId="12282" xr:uid="{00000000-0005-0000-0000-0000182B0000}"/>
    <cellStyle name="Итог 10 71 4" xfId="16518" xr:uid="{00000000-0005-0000-0000-0000192B0000}"/>
    <cellStyle name="Итог 10 72" xfId="3279" xr:uid="{00000000-0005-0000-0000-00001A2B0000}"/>
    <cellStyle name="Итог 10 72 2" xfId="8015" xr:uid="{00000000-0005-0000-0000-00001B2B0000}"/>
    <cellStyle name="Итог 10 72 3" xfId="12283" xr:uid="{00000000-0005-0000-0000-00001C2B0000}"/>
    <cellStyle name="Итог 10 72 4" xfId="16519" xr:uid="{00000000-0005-0000-0000-00001D2B0000}"/>
    <cellStyle name="Итог 10 73" xfId="3280" xr:uid="{00000000-0005-0000-0000-00001E2B0000}"/>
    <cellStyle name="Итог 10 73 2" xfId="8016" xr:uid="{00000000-0005-0000-0000-00001F2B0000}"/>
    <cellStyle name="Итог 10 73 3" xfId="12284" xr:uid="{00000000-0005-0000-0000-0000202B0000}"/>
    <cellStyle name="Итог 10 73 4" xfId="16520" xr:uid="{00000000-0005-0000-0000-0000212B0000}"/>
    <cellStyle name="Итог 10 74" xfId="3281" xr:uid="{00000000-0005-0000-0000-0000222B0000}"/>
    <cellStyle name="Итог 10 74 2" xfId="8017" xr:uid="{00000000-0005-0000-0000-0000232B0000}"/>
    <cellStyle name="Итог 10 74 3" xfId="12285" xr:uid="{00000000-0005-0000-0000-0000242B0000}"/>
    <cellStyle name="Итог 10 74 4" xfId="16521" xr:uid="{00000000-0005-0000-0000-0000252B0000}"/>
    <cellStyle name="Итог 10 75" xfId="3282" xr:uid="{00000000-0005-0000-0000-0000262B0000}"/>
    <cellStyle name="Итог 10 75 2" xfId="8018" xr:uid="{00000000-0005-0000-0000-0000272B0000}"/>
    <cellStyle name="Итог 10 75 3" xfId="12286" xr:uid="{00000000-0005-0000-0000-0000282B0000}"/>
    <cellStyle name="Итог 10 75 4" xfId="16522" xr:uid="{00000000-0005-0000-0000-0000292B0000}"/>
    <cellStyle name="Итог 10 76" xfId="3283" xr:uid="{00000000-0005-0000-0000-00002A2B0000}"/>
    <cellStyle name="Итог 10 76 2" xfId="8019" xr:uid="{00000000-0005-0000-0000-00002B2B0000}"/>
    <cellStyle name="Итог 10 76 3" xfId="12287" xr:uid="{00000000-0005-0000-0000-00002C2B0000}"/>
    <cellStyle name="Итог 10 76 4" xfId="16523" xr:uid="{00000000-0005-0000-0000-00002D2B0000}"/>
    <cellStyle name="Итог 10 77" xfId="3284" xr:uid="{00000000-0005-0000-0000-00002E2B0000}"/>
    <cellStyle name="Итог 10 77 2" xfId="8020" xr:uid="{00000000-0005-0000-0000-00002F2B0000}"/>
    <cellStyle name="Итог 10 77 3" xfId="12288" xr:uid="{00000000-0005-0000-0000-0000302B0000}"/>
    <cellStyle name="Итог 10 77 4" xfId="16524" xr:uid="{00000000-0005-0000-0000-0000312B0000}"/>
    <cellStyle name="Итог 10 78" xfId="3285" xr:uid="{00000000-0005-0000-0000-0000322B0000}"/>
    <cellStyle name="Итог 10 78 2" xfId="8021" xr:uid="{00000000-0005-0000-0000-0000332B0000}"/>
    <cellStyle name="Итог 10 78 3" xfId="12289" xr:uid="{00000000-0005-0000-0000-0000342B0000}"/>
    <cellStyle name="Итог 10 78 4" xfId="16525" xr:uid="{00000000-0005-0000-0000-0000352B0000}"/>
    <cellStyle name="Итог 10 79" xfId="3286" xr:uid="{00000000-0005-0000-0000-0000362B0000}"/>
    <cellStyle name="Итог 10 79 2" xfId="8022" xr:uid="{00000000-0005-0000-0000-0000372B0000}"/>
    <cellStyle name="Итог 10 79 3" xfId="12290" xr:uid="{00000000-0005-0000-0000-0000382B0000}"/>
    <cellStyle name="Итог 10 79 4" xfId="16526" xr:uid="{00000000-0005-0000-0000-0000392B0000}"/>
    <cellStyle name="Итог 10 8" xfId="3287" xr:uid="{00000000-0005-0000-0000-00003A2B0000}"/>
    <cellStyle name="Итог 10 8 2" xfId="8023" xr:uid="{00000000-0005-0000-0000-00003B2B0000}"/>
    <cellStyle name="Итог 10 8 3" xfId="12291" xr:uid="{00000000-0005-0000-0000-00003C2B0000}"/>
    <cellStyle name="Итог 10 8 4" xfId="16527" xr:uid="{00000000-0005-0000-0000-00003D2B0000}"/>
    <cellStyle name="Итог 10 80" xfId="3288" xr:uid="{00000000-0005-0000-0000-00003E2B0000}"/>
    <cellStyle name="Итог 10 80 2" xfId="8024" xr:uid="{00000000-0005-0000-0000-00003F2B0000}"/>
    <cellStyle name="Итог 10 80 3" xfId="12292" xr:uid="{00000000-0005-0000-0000-0000402B0000}"/>
    <cellStyle name="Итог 10 80 4" xfId="16528" xr:uid="{00000000-0005-0000-0000-0000412B0000}"/>
    <cellStyle name="Итог 10 81" xfId="3289" xr:uid="{00000000-0005-0000-0000-0000422B0000}"/>
    <cellStyle name="Итог 10 81 2" xfId="8025" xr:uid="{00000000-0005-0000-0000-0000432B0000}"/>
    <cellStyle name="Итог 10 81 3" xfId="12293" xr:uid="{00000000-0005-0000-0000-0000442B0000}"/>
    <cellStyle name="Итог 10 81 4" xfId="16529" xr:uid="{00000000-0005-0000-0000-0000452B0000}"/>
    <cellStyle name="Итог 10 82" xfId="3290" xr:uid="{00000000-0005-0000-0000-0000462B0000}"/>
    <cellStyle name="Итог 10 82 2" xfId="8026" xr:uid="{00000000-0005-0000-0000-0000472B0000}"/>
    <cellStyle name="Итог 10 82 3" xfId="12294" xr:uid="{00000000-0005-0000-0000-0000482B0000}"/>
    <cellStyle name="Итог 10 82 4" xfId="16530" xr:uid="{00000000-0005-0000-0000-0000492B0000}"/>
    <cellStyle name="Итог 10 83" xfId="3291" xr:uid="{00000000-0005-0000-0000-00004A2B0000}"/>
    <cellStyle name="Итог 10 83 2" xfId="8027" xr:uid="{00000000-0005-0000-0000-00004B2B0000}"/>
    <cellStyle name="Итог 10 83 3" xfId="12295" xr:uid="{00000000-0005-0000-0000-00004C2B0000}"/>
    <cellStyle name="Итог 10 83 4" xfId="16531" xr:uid="{00000000-0005-0000-0000-00004D2B0000}"/>
    <cellStyle name="Итог 10 84" xfId="3292" xr:uid="{00000000-0005-0000-0000-00004E2B0000}"/>
    <cellStyle name="Итог 10 84 2" xfId="8028" xr:uid="{00000000-0005-0000-0000-00004F2B0000}"/>
    <cellStyle name="Итог 10 84 3" xfId="12296" xr:uid="{00000000-0005-0000-0000-0000502B0000}"/>
    <cellStyle name="Итог 10 84 4" xfId="16532" xr:uid="{00000000-0005-0000-0000-0000512B0000}"/>
    <cellStyle name="Итог 10 85" xfId="3293" xr:uid="{00000000-0005-0000-0000-0000522B0000}"/>
    <cellStyle name="Итог 10 85 2" xfId="8029" xr:uid="{00000000-0005-0000-0000-0000532B0000}"/>
    <cellStyle name="Итог 10 85 3" xfId="12297" xr:uid="{00000000-0005-0000-0000-0000542B0000}"/>
    <cellStyle name="Итог 10 85 4" xfId="16533" xr:uid="{00000000-0005-0000-0000-0000552B0000}"/>
    <cellStyle name="Итог 10 86" xfId="3294" xr:uid="{00000000-0005-0000-0000-0000562B0000}"/>
    <cellStyle name="Итог 10 86 2" xfId="8030" xr:uid="{00000000-0005-0000-0000-0000572B0000}"/>
    <cellStyle name="Итог 10 86 3" xfId="12298" xr:uid="{00000000-0005-0000-0000-0000582B0000}"/>
    <cellStyle name="Итог 10 86 4" xfId="16534" xr:uid="{00000000-0005-0000-0000-0000592B0000}"/>
    <cellStyle name="Итог 10 87" xfId="3295" xr:uid="{00000000-0005-0000-0000-00005A2B0000}"/>
    <cellStyle name="Итог 10 87 2" xfId="8031" xr:uid="{00000000-0005-0000-0000-00005B2B0000}"/>
    <cellStyle name="Итог 10 87 3" xfId="12299" xr:uid="{00000000-0005-0000-0000-00005C2B0000}"/>
    <cellStyle name="Итог 10 87 4" xfId="16535" xr:uid="{00000000-0005-0000-0000-00005D2B0000}"/>
    <cellStyle name="Итог 10 88" xfId="3296" xr:uid="{00000000-0005-0000-0000-00005E2B0000}"/>
    <cellStyle name="Итог 10 88 2" xfId="8032" xr:uid="{00000000-0005-0000-0000-00005F2B0000}"/>
    <cellStyle name="Итог 10 88 3" xfId="12300" xr:uid="{00000000-0005-0000-0000-0000602B0000}"/>
    <cellStyle name="Итог 10 88 4" xfId="16536" xr:uid="{00000000-0005-0000-0000-0000612B0000}"/>
    <cellStyle name="Итог 10 89" xfId="3297" xr:uid="{00000000-0005-0000-0000-0000622B0000}"/>
    <cellStyle name="Итог 10 89 2" xfId="8033" xr:uid="{00000000-0005-0000-0000-0000632B0000}"/>
    <cellStyle name="Итог 10 89 3" xfId="12301" xr:uid="{00000000-0005-0000-0000-0000642B0000}"/>
    <cellStyle name="Итог 10 89 4" xfId="16537" xr:uid="{00000000-0005-0000-0000-0000652B0000}"/>
    <cellStyle name="Итог 10 9" xfId="3298" xr:uid="{00000000-0005-0000-0000-0000662B0000}"/>
    <cellStyle name="Итог 10 9 2" xfId="8034" xr:uid="{00000000-0005-0000-0000-0000672B0000}"/>
    <cellStyle name="Итог 10 9 3" xfId="12302" xr:uid="{00000000-0005-0000-0000-0000682B0000}"/>
    <cellStyle name="Итог 10 9 4" xfId="16538" xr:uid="{00000000-0005-0000-0000-0000692B0000}"/>
    <cellStyle name="Итог 10 90" xfId="3299" xr:uid="{00000000-0005-0000-0000-00006A2B0000}"/>
    <cellStyle name="Итог 10 90 2" xfId="8035" xr:uid="{00000000-0005-0000-0000-00006B2B0000}"/>
    <cellStyle name="Итог 10 90 3" xfId="12303" xr:uid="{00000000-0005-0000-0000-00006C2B0000}"/>
    <cellStyle name="Итог 10 90 4" xfId="16539" xr:uid="{00000000-0005-0000-0000-00006D2B0000}"/>
    <cellStyle name="Итог 10 91" xfId="3300" xr:uid="{00000000-0005-0000-0000-00006E2B0000}"/>
    <cellStyle name="Итог 10 91 2" xfId="8036" xr:uid="{00000000-0005-0000-0000-00006F2B0000}"/>
    <cellStyle name="Итог 10 91 3" xfId="12304" xr:uid="{00000000-0005-0000-0000-0000702B0000}"/>
    <cellStyle name="Итог 10 91 4" xfId="16540" xr:uid="{00000000-0005-0000-0000-0000712B0000}"/>
    <cellStyle name="Итог 10 92" xfId="5204" xr:uid="{00000000-0005-0000-0000-0000722B0000}"/>
    <cellStyle name="Итог 10 93" xfId="8837" xr:uid="{00000000-0005-0000-0000-0000732B0000}"/>
    <cellStyle name="Итог 10 94" xfId="13087" xr:uid="{00000000-0005-0000-0000-0000742B0000}"/>
    <cellStyle name="Итог 2" xfId="290" xr:uid="{00000000-0005-0000-0000-0000752B0000}"/>
    <cellStyle name="Итог 2 10" xfId="3301" xr:uid="{00000000-0005-0000-0000-0000762B0000}"/>
    <cellStyle name="Итог 2 10 2" xfId="8037" xr:uid="{00000000-0005-0000-0000-0000772B0000}"/>
    <cellStyle name="Итог 2 10 3" xfId="12305" xr:uid="{00000000-0005-0000-0000-0000782B0000}"/>
    <cellStyle name="Итог 2 10 4" xfId="16541" xr:uid="{00000000-0005-0000-0000-0000792B0000}"/>
    <cellStyle name="Итог 2 11" xfId="3302" xr:uid="{00000000-0005-0000-0000-00007A2B0000}"/>
    <cellStyle name="Итог 2 11 2" xfId="8038" xr:uid="{00000000-0005-0000-0000-00007B2B0000}"/>
    <cellStyle name="Итог 2 11 3" xfId="12306" xr:uid="{00000000-0005-0000-0000-00007C2B0000}"/>
    <cellStyle name="Итог 2 11 4" xfId="16542" xr:uid="{00000000-0005-0000-0000-00007D2B0000}"/>
    <cellStyle name="Итог 2 12" xfId="3303" xr:uid="{00000000-0005-0000-0000-00007E2B0000}"/>
    <cellStyle name="Итог 2 12 2" xfId="8039" xr:uid="{00000000-0005-0000-0000-00007F2B0000}"/>
    <cellStyle name="Итог 2 12 3" xfId="12307" xr:uid="{00000000-0005-0000-0000-0000802B0000}"/>
    <cellStyle name="Итог 2 12 4" xfId="16543" xr:uid="{00000000-0005-0000-0000-0000812B0000}"/>
    <cellStyle name="Итог 2 13" xfId="3304" xr:uid="{00000000-0005-0000-0000-0000822B0000}"/>
    <cellStyle name="Итог 2 13 2" xfId="8040" xr:uid="{00000000-0005-0000-0000-0000832B0000}"/>
    <cellStyle name="Итог 2 13 3" xfId="12308" xr:uid="{00000000-0005-0000-0000-0000842B0000}"/>
    <cellStyle name="Итог 2 13 4" xfId="16544" xr:uid="{00000000-0005-0000-0000-0000852B0000}"/>
    <cellStyle name="Итог 2 14" xfId="3305" xr:uid="{00000000-0005-0000-0000-0000862B0000}"/>
    <cellStyle name="Итог 2 14 2" xfId="8041" xr:uid="{00000000-0005-0000-0000-0000872B0000}"/>
    <cellStyle name="Итог 2 14 3" xfId="12309" xr:uid="{00000000-0005-0000-0000-0000882B0000}"/>
    <cellStyle name="Итог 2 14 4" xfId="16545" xr:uid="{00000000-0005-0000-0000-0000892B0000}"/>
    <cellStyle name="Итог 2 15" xfId="3306" xr:uid="{00000000-0005-0000-0000-00008A2B0000}"/>
    <cellStyle name="Итог 2 15 2" xfId="8042" xr:uid="{00000000-0005-0000-0000-00008B2B0000}"/>
    <cellStyle name="Итог 2 15 3" xfId="12310" xr:uid="{00000000-0005-0000-0000-00008C2B0000}"/>
    <cellStyle name="Итог 2 15 4" xfId="16546" xr:uid="{00000000-0005-0000-0000-00008D2B0000}"/>
    <cellStyle name="Итог 2 16" xfId="3307" xr:uid="{00000000-0005-0000-0000-00008E2B0000}"/>
    <cellStyle name="Итог 2 16 2" xfId="8043" xr:uid="{00000000-0005-0000-0000-00008F2B0000}"/>
    <cellStyle name="Итог 2 16 3" xfId="12311" xr:uid="{00000000-0005-0000-0000-0000902B0000}"/>
    <cellStyle name="Итог 2 16 4" xfId="16547" xr:uid="{00000000-0005-0000-0000-0000912B0000}"/>
    <cellStyle name="Итог 2 17" xfId="3308" xr:uid="{00000000-0005-0000-0000-0000922B0000}"/>
    <cellStyle name="Итог 2 17 2" xfId="8044" xr:uid="{00000000-0005-0000-0000-0000932B0000}"/>
    <cellStyle name="Итог 2 17 3" xfId="12312" xr:uid="{00000000-0005-0000-0000-0000942B0000}"/>
    <cellStyle name="Итог 2 17 4" xfId="16548" xr:uid="{00000000-0005-0000-0000-0000952B0000}"/>
    <cellStyle name="Итог 2 18" xfId="3309" xr:uid="{00000000-0005-0000-0000-0000962B0000}"/>
    <cellStyle name="Итог 2 18 2" xfId="8045" xr:uid="{00000000-0005-0000-0000-0000972B0000}"/>
    <cellStyle name="Итог 2 18 3" xfId="12313" xr:uid="{00000000-0005-0000-0000-0000982B0000}"/>
    <cellStyle name="Итог 2 18 4" xfId="16549" xr:uid="{00000000-0005-0000-0000-0000992B0000}"/>
    <cellStyle name="Итог 2 19" xfId="3310" xr:uid="{00000000-0005-0000-0000-00009A2B0000}"/>
    <cellStyle name="Итог 2 19 2" xfId="8046" xr:uid="{00000000-0005-0000-0000-00009B2B0000}"/>
    <cellStyle name="Итог 2 19 3" xfId="12314" xr:uid="{00000000-0005-0000-0000-00009C2B0000}"/>
    <cellStyle name="Итог 2 19 4" xfId="16550" xr:uid="{00000000-0005-0000-0000-00009D2B0000}"/>
    <cellStyle name="Итог 2 2" xfId="3311" xr:uid="{00000000-0005-0000-0000-00009E2B0000}"/>
    <cellStyle name="Итог 2 2 2" xfId="3312" xr:uid="{00000000-0005-0000-0000-00009F2B0000}"/>
    <cellStyle name="Итог 2 2 2 2" xfId="8048" xr:uid="{00000000-0005-0000-0000-0000A02B0000}"/>
    <cellStyle name="Итог 2 2 2 3" xfId="12316" xr:uid="{00000000-0005-0000-0000-0000A12B0000}"/>
    <cellStyle name="Итог 2 2 2 4" xfId="16552" xr:uid="{00000000-0005-0000-0000-0000A22B0000}"/>
    <cellStyle name="Итог 2 2 3" xfId="3313" xr:uid="{00000000-0005-0000-0000-0000A32B0000}"/>
    <cellStyle name="Итог 2 2 3 2" xfId="8049" xr:uid="{00000000-0005-0000-0000-0000A42B0000}"/>
    <cellStyle name="Итог 2 2 3 3" xfId="12317" xr:uid="{00000000-0005-0000-0000-0000A52B0000}"/>
    <cellStyle name="Итог 2 2 3 4" xfId="16553" xr:uid="{00000000-0005-0000-0000-0000A62B0000}"/>
    <cellStyle name="Итог 2 2 4" xfId="8047" xr:uid="{00000000-0005-0000-0000-0000A72B0000}"/>
    <cellStyle name="Итог 2 2 5" xfId="12315" xr:uid="{00000000-0005-0000-0000-0000A82B0000}"/>
    <cellStyle name="Итог 2 2 6" xfId="16551" xr:uid="{00000000-0005-0000-0000-0000A92B0000}"/>
    <cellStyle name="Итог 2 20" xfId="3314" xr:uid="{00000000-0005-0000-0000-0000AA2B0000}"/>
    <cellStyle name="Итог 2 20 2" xfId="8050" xr:uid="{00000000-0005-0000-0000-0000AB2B0000}"/>
    <cellStyle name="Итог 2 20 3" xfId="12318" xr:uid="{00000000-0005-0000-0000-0000AC2B0000}"/>
    <cellStyle name="Итог 2 20 4" xfId="16554" xr:uid="{00000000-0005-0000-0000-0000AD2B0000}"/>
    <cellStyle name="Итог 2 21" xfId="3315" xr:uid="{00000000-0005-0000-0000-0000AE2B0000}"/>
    <cellStyle name="Итог 2 21 2" xfId="8051" xr:uid="{00000000-0005-0000-0000-0000AF2B0000}"/>
    <cellStyle name="Итог 2 21 3" xfId="12319" xr:uid="{00000000-0005-0000-0000-0000B02B0000}"/>
    <cellStyle name="Итог 2 21 4" xfId="16555" xr:uid="{00000000-0005-0000-0000-0000B12B0000}"/>
    <cellStyle name="Итог 2 22" xfId="3316" xr:uid="{00000000-0005-0000-0000-0000B22B0000}"/>
    <cellStyle name="Итог 2 22 2" xfId="8052" xr:uid="{00000000-0005-0000-0000-0000B32B0000}"/>
    <cellStyle name="Итог 2 22 3" xfId="12320" xr:uid="{00000000-0005-0000-0000-0000B42B0000}"/>
    <cellStyle name="Итог 2 22 4" xfId="16556" xr:uid="{00000000-0005-0000-0000-0000B52B0000}"/>
    <cellStyle name="Итог 2 23" xfId="3317" xr:uid="{00000000-0005-0000-0000-0000B62B0000}"/>
    <cellStyle name="Итог 2 23 2" xfId="8053" xr:uid="{00000000-0005-0000-0000-0000B72B0000}"/>
    <cellStyle name="Итог 2 23 3" xfId="12321" xr:uid="{00000000-0005-0000-0000-0000B82B0000}"/>
    <cellStyle name="Итог 2 23 4" xfId="16557" xr:uid="{00000000-0005-0000-0000-0000B92B0000}"/>
    <cellStyle name="Итог 2 24" xfId="3318" xr:uid="{00000000-0005-0000-0000-0000BA2B0000}"/>
    <cellStyle name="Итог 2 24 2" xfId="8054" xr:uid="{00000000-0005-0000-0000-0000BB2B0000}"/>
    <cellStyle name="Итог 2 24 3" xfId="12322" xr:uid="{00000000-0005-0000-0000-0000BC2B0000}"/>
    <cellStyle name="Итог 2 24 4" xfId="16558" xr:uid="{00000000-0005-0000-0000-0000BD2B0000}"/>
    <cellStyle name="Итог 2 25" xfId="3319" xr:uid="{00000000-0005-0000-0000-0000BE2B0000}"/>
    <cellStyle name="Итог 2 25 2" xfId="8055" xr:uid="{00000000-0005-0000-0000-0000BF2B0000}"/>
    <cellStyle name="Итог 2 25 3" xfId="12323" xr:uid="{00000000-0005-0000-0000-0000C02B0000}"/>
    <cellStyle name="Итог 2 25 4" xfId="16559" xr:uid="{00000000-0005-0000-0000-0000C12B0000}"/>
    <cellStyle name="Итог 2 26" xfId="3320" xr:uid="{00000000-0005-0000-0000-0000C22B0000}"/>
    <cellStyle name="Итог 2 26 2" xfId="8056" xr:uid="{00000000-0005-0000-0000-0000C32B0000}"/>
    <cellStyle name="Итог 2 26 3" xfId="12324" xr:uid="{00000000-0005-0000-0000-0000C42B0000}"/>
    <cellStyle name="Итог 2 26 4" xfId="16560" xr:uid="{00000000-0005-0000-0000-0000C52B0000}"/>
    <cellStyle name="Итог 2 27" xfId="3321" xr:uid="{00000000-0005-0000-0000-0000C62B0000}"/>
    <cellStyle name="Итог 2 27 2" xfId="8057" xr:uid="{00000000-0005-0000-0000-0000C72B0000}"/>
    <cellStyle name="Итог 2 27 3" xfId="12325" xr:uid="{00000000-0005-0000-0000-0000C82B0000}"/>
    <cellStyle name="Итог 2 27 4" xfId="16561" xr:uid="{00000000-0005-0000-0000-0000C92B0000}"/>
    <cellStyle name="Итог 2 28" xfId="3322" xr:uid="{00000000-0005-0000-0000-0000CA2B0000}"/>
    <cellStyle name="Итог 2 28 2" xfId="8058" xr:uid="{00000000-0005-0000-0000-0000CB2B0000}"/>
    <cellStyle name="Итог 2 28 3" xfId="12326" xr:uid="{00000000-0005-0000-0000-0000CC2B0000}"/>
    <cellStyle name="Итог 2 28 4" xfId="16562" xr:uid="{00000000-0005-0000-0000-0000CD2B0000}"/>
    <cellStyle name="Итог 2 29" xfId="3323" xr:uid="{00000000-0005-0000-0000-0000CE2B0000}"/>
    <cellStyle name="Итог 2 29 2" xfId="8059" xr:uid="{00000000-0005-0000-0000-0000CF2B0000}"/>
    <cellStyle name="Итог 2 29 3" xfId="12327" xr:uid="{00000000-0005-0000-0000-0000D02B0000}"/>
    <cellStyle name="Итог 2 29 4" xfId="16563" xr:uid="{00000000-0005-0000-0000-0000D12B0000}"/>
    <cellStyle name="Итог 2 3" xfId="3324" xr:uid="{00000000-0005-0000-0000-0000D22B0000}"/>
    <cellStyle name="Итог 2 3 2" xfId="3325" xr:uid="{00000000-0005-0000-0000-0000D32B0000}"/>
    <cellStyle name="Итог 2 3 2 2" xfId="8061" xr:uid="{00000000-0005-0000-0000-0000D42B0000}"/>
    <cellStyle name="Итог 2 3 2 3" xfId="12329" xr:uid="{00000000-0005-0000-0000-0000D52B0000}"/>
    <cellStyle name="Итог 2 3 2 4" xfId="16565" xr:uid="{00000000-0005-0000-0000-0000D62B0000}"/>
    <cellStyle name="Итог 2 3 3" xfId="3326" xr:uid="{00000000-0005-0000-0000-0000D72B0000}"/>
    <cellStyle name="Итог 2 3 3 2" xfId="8062" xr:uid="{00000000-0005-0000-0000-0000D82B0000}"/>
    <cellStyle name="Итог 2 3 3 3" xfId="12330" xr:uid="{00000000-0005-0000-0000-0000D92B0000}"/>
    <cellStyle name="Итог 2 3 3 4" xfId="16566" xr:uid="{00000000-0005-0000-0000-0000DA2B0000}"/>
    <cellStyle name="Итог 2 3 4" xfId="8060" xr:uid="{00000000-0005-0000-0000-0000DB2B0000}"/>
    <cellStyle name="Итог 2 3 5" xfId="12328" xr:uid="{00000000-0005-0000-0000-0000DC2B0000}"/>
    <cellStyle name="Итог 2 3 6" xfId="16564" xr:uid="{00000000-0005-0000-0000-0000DD2B0000}"/>
    <cellStyle name="Итог 2 30" xfId="3327" xr:uid="{00000000-0005-0000-0000-0000DE2B0000}"/>
    <cellStyle name="Итог 2 30 2" xfId="8063" xr:uid="{00000000-0005-0000-0000-0000DF2B0000}"/>
    <cellStyle name="Итог 2 30 3" xfId="12331" xr:uid="{00000000-0005-0000-0000-0000E02B0000}"/>
    <cellStyle name="Итог 2 30 4" xfId="16567" xr:uid="{00000000-0005-0000-0000-0000E12B0000}"/>
    <cellStyle name="Итог 2 31" xfId="3328" xr:uid="{00000000-0005-0000-0000-0000E22B0000}"/>
    <cellStyle name="Итог 2 31 2" xfId="8064" xr:uid="{00000000-0005-0000-0000-0000E32B0000}"/>
    <cellStyle name="Итог 2 31 3" xfId="12332" xr:uid="{00000000-0005-0000-0000-0000E42B0000}"/>
    <cellStyle name="Итог 2 31 4" xfId="16568" xr:uid="{00000000-0005-0000-0000-0000E52B0000}"/>
    <cellStyle name="Итог 2 32" xfId="3329" xr:uid="{00000000-0005-0000-0000-0000E62B0000}"/>
    <cellStyle name="Итог 2 32 2" xfId="8065" xr:uid="{00000000-0005-0000-0000-0000E72B0000}"/>
    <cellStyle name="Итог 2 32 3" xfId="12333" xr:uid="{00000000-0005-0000-0000-0000E82B0000}"/>
    <cellStyle name="Итог 2 32 4" xfId="16569" xr:uid="{00000000-0005-0000-0000-0000E92B0000}"/>
    <cellStyle name="Итог 2 33" xfId="3330" xr:uid="{00000000-0005-0000-0000-0000EA2B0000}"/>
    <cellStyle name="Итог 2 33 2" xfId="8066" xr:uid="{00000000-0005-0000-0000-0000EB2B0000}"/>
    <cellStyle name="Итог 2 33 3" xfId="12334" xr:uid="{00000000-0005-0000-0000-0000EC2B0000}"/>
    <cellStyle name="Итог 2 33 4" xfId="16570" xr:uid="{00000000-0005-0000-0000-0000ED2B0000}"/>
    <cellStyle name="Итог 2 34" xfId="3331" xr:uid="{00000000-0005-0000-0000-0000EE2B0000}"/>
    <cellStyle name="Итог 2 34 2" xfId="8067" xr:uid="{00000000-0005-0000-0000-0000EF2B0000}"/>
    <cellStyle name="Итог 2 34 3" xfId="12335" xr:uid="{00000000-0005-0000-0000-0000F02B0000}"/>
    <cellStyle name="Итог 2 34 4" xfId="16571" xr:uid="{00000000-0005-0000-0000-0000F12B0000}"/>
    <cellStyle name="Итог 2 35" xfId="3332" xr:uid="{00000000-0005-0000-0000-0000F22B0000}"/>
    <cellStyle name="Итог 2 35 2" xfId="8068" xr:uid="{00000000-0005-0000-0000-0000F32B0000}"/>
    <cellStyle name="Итог 2 35 3" xfId="12336" xr:uid="{00000000-0005-0000-0000-0000F42B0000}"/>
    <cellStyle name="Итог 2 35 4" xfId="16572" xr:uid="{00000000-0005-0000-0000-0000F52B0000}"/>
    <cellStyle name="Итог 2 36" xfId="3333" xr:uid="{00000000-0005-0000-0000-0000F62B0000}"/>
    <cellStyle name="Итог 2 36 2" xfId="8069" xr:uid="{00000000-0005-0000-0000-0000F72B0000}"/>
    <cellStyle name="Итог 2 36 3" xfId="12337" xr:uid="{00000000-0005-0000-0000-0000F82B0000}"/>
    <cellStyle name="Итог 2 36 4" xfId="16573" xr:uid="{00000000-0005-0000-0000-0000F92B0000}"/>
    <cellStyle name="Итог 2 37" xfId="3334" xr:uid="{00000000-0005-0000-0000-0000FA2B0000}"/>
    <cellStyle name="Итог 2 37 2" xfId="8070" xr:uid="{00000000-0005-0000-0000-0000FB2B0000}"/>
    <cellStyle name="Итог 2 37 3" xfId="12338" xr:uid="{00000000-0005-0000-0000-0000FC2B0000}"/>
    <cellStyle name="Итог 2 37 4" xfId="16574" xr:uid="{00000000-0005-0000-0000-0000FD2B0000}"/>
    <cellStyle name="Итог 2 38" xfId="3335" xr:uid="{00000000-0005-0000-0000-0000FE2B0000}"/>
    <cellStyle name="Итог 2 38 2" xfId="8071" xr:uid="{00000000-0005-0000-0000-0000FF2B0000}"/>
    <cellStyle name="Итог 2 38 3" xfId="12339" xr:uid="{00000000-0005-0000-0000-0000002C0000}"/>
    <cellStyle name="Итог 2 38 4" xfId="16575" xr:uid="{00000000-0005-0000-0000-0000012C0000}"/>
    <cellStyle name="Итог 2 39" xfId="3336" xr:uid="{00000000-0005-0000-0000-0000022C0000}"/>
    <cellStyle name="Итог 2 39 2" xfId="8072" xr:uid="{00000000-0005-0000-0000-0000032C0000}"/>
    <cellStyle name="Итог 2 39 3" xfId="12340" xr:uid="{00000000-0005-0000-0000-0000042C0000}"/>
    <cellStyle name="Итог 2 39 4" xfId="16576" xr:uid="{00000000-0005-0000-0000-0000052C0000}"/>
    <cellStyle name="Итог 2 4" xfId="3337" xr:uid="{00000000-0005-0000-0000-0000062C0000}"/>
    <cellStyle name="Итог 2 4 2" xfId="3338" xr:uid="{00000000-0005-0000-0000-0000072C0000}"/>
    <cellStyle name="Итог 2 4 2 2" xfId="8074" xr:uid="{00000000-0005-0000-0000-0000082C0000}"/>
    <cellStyle name="Итог 2 4 2 3" xfId="12342" xr:uid="{00000000-0005-0000-0000-0000092C0000}"/>
    <cellStyle name="Итог 2 4 2 4" xfId="16578" xr:uid="{00000000-0005-0000-0000-00000A2C0000}"/>
    <cellStyle name="Итог 2 4 3" xfId="3339" xr:uid="{00000000-0005-0000-0000-00000B2C0000}"/>
    <cellStyle name="Итог 2 4 3 2" xfId="8075" xr:uid="{00000000-0005-0000-0000-00000C2C0000}"/>
    <cellStyle name="Итог 2 4 3 3" xfId="12343" xr:uid="{00000000-0005-0000-0000-00000D2C0000}"/>
    <cellStyle name="Итог 2 4 3 4" xfId="16579" xr:uid="{00000000-0005-0000-0000-00000E2C0000}"/>
    <cellStyle name="Итог 2 4 4" xfId="8073" xr:uid="{00000000-0005-0000-0000-00000F2C0000}"/>
    <cellStyle name="Итог 2 4 5" xfId="12341" xr:uid="{00000000-0005-0000-0000-0000102C0000}"/>
    <cellStyle name="Итог 2 4 6" xfId="16577" xr:uid="{00000000-0005-0000-0000-0000112C0000}"/>
    <cellStyle name="Итог 2 40" xfId="3340" xr:uid="{00000000-0005-0000-0000-0000122C0000}"/>
    <cellStyle name="Итог 2 40 2" xfId="8076" xr:uid="{00000000-0005-0000-0000-0000132C0000}"/>
    <cellStyle name="Итог 2 40 3" xfId="12344" xr:uid="{00000000-0005-0000-0000-0000142C0000}"/>
    <cellStyle name="Итог 2 40 4" xfId="16580" xr:uid="{00000000-0005-0000-0000-0000152C0000}"/>
    <cellStyle name="Итог 2 41" xfId="3341" xr:uid="{00000000-0005-0000-0000-0000162C0000}"/>
    <cellStyle name="Итог 2 41 2" xfId="8077" xr:uid="{00000000-0005-0000-0000-0000172C0000}"/>
    <cellStyle name="Итог 2 41 3" xfId="12345" xr:uid="{00000000-0005-0000-0000-0000182C0000}"/>
    <cellStyle name="Итог 2 41 4" xfId="16581" xr:uid="{00000000-0005-0000-0000-0000192C0000}"/>
    <cellStyle name="Итог 2 42" xfId="3342" xr:uid="{00000000-0005-0000-0000-00001A2C0000}"/>
    <cellStyle name="Итог 2 42 2" xfId="8078" xr:uid="{00000000-0005-0000-0000-00001B2C0000}"/>
    <cellStyle name="Итог 2 42 3" xfId="12346" xr:uid="{00000000-0005-0000-0000-00001C2C0000}"/>
    <cellStyle name="Итог 2 42 4" xfId="16582" xr:uid="{00000000-0005-0000-0000-00001D2C0000}"/>
    <cellStyle name="Итог 2 43" xfId="3343" xr:uid="{00000000-0005-0000-0000-00001E2C0000}"/>
    <cellStyle name="Итог 2 43 2" xfId="8079" xr:uid="{00000000-0005-0000-0000-00001F2C0000}"/>
    <cellStyle name="Итог 2 43 3" xfId="12347" xr:uid="{00000000-0005-0000-0000-0000202C0000}"/>
    <cellStyle name="Итог 2 43 4" xfId="16583" xr:uid="{00000000-0005-0000-0000-0000212C0000}"/>
    <cellStyle name="Итог 2 44" xfId="3344" xr:uid="{00000000-0005-0000-0000-0000222C0000}"/>
    <cellStyle name="Итог 2 44 2" xfId="8080" xr:uid="{00000000-0005-0000-0000-0000232C0000}"/>
    <cellStyle name="Итог 2 44 3" xfId="12348" xr:uid="{00000000-0005-0000-0000-0000242C0000}"/>
    <cellStyle name="Итог 2 44 4" xfId="16584" xr:uid="{00000000-0005-0000-0000-0000252C0000}"/>
    <cellStyle name="Итог 2 45" xfId="3345" xr:uid="{00000000-0005-0000-0000-0000262C0000}"/>
    <cellStyle name="Итог 2 45 2" xfId="8081" xr:uid="{00000000-0005-0000-0000-0000272C0000}"/>
    <cellStyle name="Итог 2 45 3" xfId="12349" xr:uid="{00000000-0005-0000-0000-0000282C0000}"/>
    <cellStyle name="Итог 2 45 4" xfId="16585" xr:uid="{00000000-0005-0000-0000-0000292C0000}"/>
    <cellStyle name="Итог 2 46" xfId="3346" xr:uid="{00000000-0005-0000-0000-00002A2C0000}"/>
    <cellStyle name="Итог 2 46 2" xfId="8082" xr:uid="{00000000-0005-0000-0000-00002B2C0000}"/>
    <cellStyle name="Итог 2 46 3" xfId="12350" xr:uid="{00000000-0005-0000-0000-00002C2C0000}"/>
    <cellStyle name="Итог 2 46 4" xfId="16586" xr:uid="{00000000-0005-0000-0000-00002D2C0000}"/>
    <cellStyle name="Итог 2 47" xfId="3347" xr:uid="{00000000-0005-0000-0000-00002E2C0000}"/>
    <cellStyle name="Итог 2 47 2" xfId="8083" xr:uid="{00000000-0005-0000-0000-00002F2C0000}"/>
    <cellStyle name="Итог 2 47 3" xfId="12351" xr:uid="{00000000-0005-0000-0000-0000302C0000}"/>
    <cellStyle name="Итог 2 47 4" xfId="16587" xr:uid="{00000000-0005-0000-0000-0000312C0000}"/>
    <cellStyle name="Итог 2 48" xfId="3348" xr:uid="{00000000-0005-0000-0000-0000322C0000}"/>
    <cellStyle name="Итог 2 48 2" xfId="8084" xr:uid="{00000000-0005-0000-0000-0000332C0000}"/>
    <cellStyle name="Итог 2 48 3" xfId="12352" xr:uid="{00000000-0005-0000-0000-0000342C0000}"/>
    <cellStyle name="Итог 2 48 4" xfId="16588" xr:uid="{00000000-0005-0000-0000-0000352C0000}"/>
    <cellStyle name="Итог 2 49" xfId="3349" xr:uid="{00000000-0005-0000-0000-0000362C0000}"/>
    <cellStyle name="Итог 2 49 2" xfId="8085" xr:uid="{00000000-0005-0000-0000-0000372C0000}"/>
    <cellStyle name="Итог 2 49 3" xfId="12353" xr:uid="{00000000-0005-0000-0000-0000382C0000}"/>
    <cellStyle name="Итог 2 49 4" xfId="16589" xr:uid="{00000000-0005-0000-0000-0000392C0000}"/>
    <cellStyle name="Итог 2 5" xfId="3350" xr:uid="{00000000-0005-0000-0000-00003A2C0000}"/>
    <cellStyle name="Итог 2 5 2" xfId="8086" xr:uid="{00000000-0005-0000-0000-00003B2C0000}"/>
    <cellStyle name="Итог 2 5 3" xfId="12354" xr:uid="{00000000-0005-0000-0000-00003C2C0000}"/>
    <cellStyle name="Итог 2 5 4" xfId="16590" xr:uid="{00000000-0005-0000-0000-00003D2C0000}"/>
    <cellStyle name="Итог 2 50" xfId="3351" xr:uid="{00000000-0005-0000-0000-00003E2C0000}"/>
    <cellStyle name="Итог 2 50 2" xfId="8087" xr:uid="{00000000-0005-0000-0000-00003F2C0000}"/>
    <cellStyle name="Итог 2 50 3" xfId="12355" xr:uid="{00000000-0005-0000-0000-0000402C0000}"/>
    <cellStyle name="Итог 2 50 4" xfId="16591" xr:uid="{00000000-0005-0000-0000-0000412C0000}"/>
    <cellStyle name="Итог 2 51" xfId="3352" xr:uid="{00000000-0005-0000-0000-0000422C0000}"/>
    <cellStyle name="Итог 2 51 2" xfId="8088" xr:uid="{00000000-0005-0000-0000-0000432C0000}"/>
    <cellStyle name="Итог 2 51 3" xfId="12356" xr:uid="{00000000-0005-0000-0000-0000442C0000}"/>
    <cellStyle name="Итог 2 51 4" xfId="16592" xr:uid="{00000000-0005-0000-0000-0000452C0000}"/>
    <cellStyle name="Итог 2 52" xfId="3353" xr:uid="{00000000-0005-0000-0000-0000462C0000}"/>
    <cellStyle name="Итог 2 52 2" xfId="8089" xr:uid="{00000000-0005-0000-0000-0000472C0000}"/>
    <cellStyle name="Итог 2 52 3" xfId="12357" xr:uid="{00000000-0005-0000-0000-0000482C0000}"/>
    <cellStyle name="Итог 2 52 4" xfId="16593" xr:uid="{00000000-0005-0000-0000-0000492C0000}"/>
    <cellStyle name="Итог 2 53" xfId="3354" xr:uid="{00000000-0005-0000-0000-00004A2C0000}"/>
    <cellStyle name="Итог 2 53 2" xfId="8090" xr:uid="{00000000-0005-0000-0000-00004B2C0000}"/>
    <cellStyle name="Итог 2 53 3" xfId="12358" xr:uid="{00000000-0005-0000-0000-00004C2C0000}"/>
    <cellStyle name="Итог 2 53 4" xfId="16594" xr:uid="{00000000-0005-0000-0000-00004D2C0000}"/>
    <cellStyle name="Итог 2 54" xfId="3355" xr:uid="{00000000-0005-0000-0000-00004E2C0000}"/>
    <cellStyle name="Итог 2 54 2" xfId="8091" xr:uid="{00000000-0005-0000-0000-00004F2C0000}"/>
    <cellStyle name="Итог 2 54 3" xfId="12359" xr:uid="{00000000-0005-0000-0000-0000502C0000}"/>
    <cellStyle name="Итог 2 54 4" xfId="16595" xr:uid="{00000000-0005-0000-0000-0000512C0000}"/>
    <cellStyle name="Итог 2 55" xfId="3356" xr:uid="{00000000-0005-0000-0000-0000522C0000}"/>
    <cellStyle name="Итог 2 55 2" xfId="8092" xr:uid="{00000000-0005-0000-0000-0000532C0000}"/>
    <cellStyle name="Итог 2 55 3" xfId="12360" xr:uid="{00000000-0005-0000-0000-0000542C0000}"/>
    <cellStyle name="Итог 2 55 4" xfId="16596" xr:uid="{00000000-0005-0000-0000-0000552C0000}"/>
    <cellStyle name="Итог 2 56" xfId="3357" xr:uid="{00000000-0005-0000-0000-0000562C0000}"/>
    <cellStyle name="Итог 2 56 2" xfId="8093" xr:uid="{00000000-0005-0000-0000-0000572C0000}"/>
    <cellStyle name="Итог 2 56 3" xfId="12361" xr:uid="{00000000-0005-0000-0000-0000582C0000}"/>
    <cellStyle name="Итог 2 56 4" xfId="16597" xr:uid="{00000000-0005-0000-0000-0000592C0000}"/>
    <cellStyle name="Итог 2 57" xfId="3358" xr:uid="{00000000-0005-0000-0000-00005A2C0000}"/>
    <cellStyle name="Итог 2 57 2" xfId="8094" xr:uid="{00000000-0005-0000-0000-00005B2C0000}"/>
    <cellStyle name="Итог 2 57 3" xfId="12362" xr:uid="{00000000-0005-0000-0000-00005C2C0000}"/>
    <cellStyle name="Итог 2 57 4" xfId="16598" xr:uid="{00000000-0005-0000-0000-00005D2C0000}"/>
    <cellStyle name="Итог 2 58" xfId="3359" xr:uid="{00000000-0005-0000-0000-00005E2C0000}"/>
    <cellStyle name="Итог 2 58 2" xfId="8095" xr:uid="{00000000-0005-0000-0000-00005F2C0000}"/>
    <cellStyle name="Итог 2 58 3" xfId="12363" xr:uid="{00000000-0005-0000-0000-0000602C0000}"/>
    <cellStyle name="Итог 2 58 4" xfId="16599" xr:uid="{00000000-0005-0000-0000-0000612C0000}"/>
    <cellStyle name="Итог 2 59" xfId="3360" xr:uid="{00000000-0005-0000-0000-0000622C0000}"/>
    <cellStyle name="Итог 2 59 2" xfId="8096" xr:uid="{00000000-0005-0000-0000-0000632C0000}"/>
    <cellStyle name="Итог 2 59 3" xfId="12364" xr:uid="{00000000-0005-0000-0000-0000642C0000}"/>
    <cellStyle name="Итог 2 59 4" xfId="16600" xr:uid="{00000000-0005-0000-0000-0000652C0000}"/>
    <cellStyle name="Итог 2 6" xfId="3361" xr:uid="{00000000-0005-0000-0000-0000662C0000}"/>
    <cellStyle name="Итог 2 6 2" xfId="8097" xr:uid="{00000000-0005-0000-0000-0000672C0000}"/>
    <cellStyle name="Итог 2 6 3" xfId="12365" xr:uid="{00000000-0005-0000-0000-0000682C0000}"/>
    <cellStyle name="Итог 2 6 4" xfId="16601" xr:uid="{00000000-0005-0000-0000-0000692C0000}"/>
    <cellStyle name="Итог 2 60" xfId="3362" xr:uid="{00000000-0005-0000-0000-00006A2C0000}"/>
    <cellStyle name="Итог 2 60 2" xfId="8098" xr:uid="{00000000-0005-0000-0000-00006B2C0000}"/>
    <cellStyle name="Итог 2 60 3" xfId="12366" xr:uid="{00000000-0005-0000-0000-00006C2C0000}"/>
    <cellStyle name="Итог 2 60 4" xfId="16602" xr:uid="{00000000-0005-0000-0000-00006D2C0000}"/>
    <cellStyle name="Итог 2 61" xfId="3363" xr:uid="{00000000-0005-0000-0000-00006E2C0000}"/>
    <cellStyle name="Итог 2 61 2" xfId="8099" xr:uid="{00000000-0005-0000-0000-00006F2C0000}"/>
    <cellStyle name="Итог 2 61 3" xfId="12367" xr:uid="{00000000-0005-0000-0000-0000702C0000}"/>
    <cellStyle name="Итог 2 61 4" xfId="16603" xr:uid="{00000000-0005-0000-0000-0000712C0000}"/>
    <cellStyle name="Итог 2 62" xfId="3364" xr:uid="{00000000-0005-0000-0000-0000722C0000}"/>
    <cellStyle name="Итог 2 62 2" xfId="8100" xr:uid="{00000000-0005-0000-0000-0000732C0000}"/>
    <cellStyle name="Итог 2 62 3" xfId="12368" xr:uid="{00000000-0005-0000-0000-0000742C0000}"/>
    <cellStyle name="Итог 2 62 4" xfId="16604" xr:uid="{00000000-0005-0000-0000-0000752C0000}"/>
    <cellStyle name="Итог 2 63" xfId="3365" xr:uid="{00000000-0005-0000-0000-0000762C0000}"/>
    <cellStyle name="Итог 2 63 2" xfId="8101" xr:uid="{00000000-0005-0000-0000-0000772C0000}"/>
    <cellStyle name="Итог 2 63 3" xfId="12369" xr:uid="{00000000-0005-0000-0000-0000782C0000}"/>
    <cellStyle name="Итог 2 63 4" xfId="16605" xr:uid="{00000000-0005-0000-0000-0000792C0000}"/>
    <cellStyle name="Итог 2 64" xfId="3366" xr:uid="{00000000-0005-0000-0000-00007A2C0000}"/>
    <cellStyle name="Итог 2 64 2" xfId="8102" xr:uid="{00000000-0005-0000-0000-00007B2C0000}"/>
    <cellStyle name="Итог 2 64 3" xfId="12370" xr:uid="{00000000-0005-0000-0000-00007C2C0000}"/>
    <cellStyle name="Итог 2 64 4" xfId="16606" xr:uid="{00000000-0005-0000-0000-00007D2C0000}"/>
    <cellStyle name="Итог 2 65" xfId="3367" xr:uid="{00000000-0005-0000-0000-00007E2C0000}"/>
    <cellStyle name="Итог 2 65 2" xfId="8103" xr:uid="{00000000-0005-0000-0000-00007F2C0000}"/>
    <cellStyle name="Итог 2 65 3" xfId="12371" xr:uid="{00000000-0005-0000-0000-0000802C0000}"/>
    <cellStyle name="Итог 2 65 4" xfId="16607" xr:uid="{00000000-0005-0000-0000-0000812C0000}"/>
    <cellStyle name="Итог 2 66" xfId="3368" xr:uid="{00000000-0005-0000-0000-0000822C0000}"/>
    <cellStyle name="Итог 2 66 2" xfId="8104" xr:uid="{00000000-0005-0000-0000-0000832C0000}"/>
    <cellStyle name="Итог 2 66 3" xfId="12372" xr:uid="{00000000-0005-0000-0000-0000842C0000}"/>
    <cellStyle name="Итог 2 66 4" xfId="16608" xr:uid="{00000000-0005-0000-0000-0000852C0000}"/>
    <cellStyle name="Итог 2 67" xfId="3369" xr:uid="{00000000-0005-0000-0000-0000862C0000}"/>
    <cellStyle name="Итог 2 67 2" xfId="8105" xr:uid="{00000000-0005-0000-0000-0000872C0000}"/>
    <cellStyle name="Итог 2 67 3" xfId="12373" xr:uid="{00000000-0005-0000-0000-0000882C0000}"/>
    <cellStyle name="Итог 2 67 4" xfId="16609" xr:uid="{00000000-0005-0000-0000-0000892C0000}"/>
    <cellStyle name="Итог 2 68" xfId="3370" xr:uid="{00000000-0005-0000-0000-00008A2C0000}"/>
    <cellStyle name="Итог 2 68 2" xfId="8106" xr:uid="{00000000-0005-0000-0000-00008B2C0000}"/>
    <cellStyle name="Итог 2 68 3" xfId="12374" xr:uid="{00000000-0005-0000-0000-00008C2C0000}"/>
    <cellStyle name="Итог 2 68 4" xfId="16610" xr:uid="{00000000-0005-0000-0000-00008D2C0000}"/>
    <cellStyle name="Итог 2 69" xfId="3371" xr:uid="{00000000-0005-0000-0000-00008E2C0000}"/>
    <cellStyle name="Итог 2 69 2" xfId="8107" xr:uid="{00000000-0005-0000-0000-00008F2C0000}"/>
    <cellStyle name="Итог 2 69 3" xfId="12375" xr:uid="{00000000-0005-0000-0000-0000902C0000}"/>
    <cellStyle name="Итог 2 69 4" xfId="16611" xr:uid="{00000000-0005-0000-0000-0000912C0000}"/>
    <cellStyle name="Итог 2 7" xfId="3372" xr:uid="{00000000-0005-0000-0000-0000922C0000}"/>
    <cellStyle name="Итог 2 7 2" xfId="8108" xr:uid="{00000000-0005-0000-0000-0000932C0000}"/>
    <cellStyle name="Итог 2 7 3" xfId="12376" xr:uid="{00000000-0005-0000-0000-0000942C0000}"/>
    <cellStyle name="Итог 2 7 4" xfId="16612" xr:uid="{00000000-0005-0000-0000-0000952C0000}"/>
    <cellStyle name="Итог 2 70" xfId="3373" xr:uid="{00000000-0005-0000-0000-0000962C0000}"/>
    <cellStyle name="Итог 2 70 2" xfId="8109" xr:uid="{00000000-0005-0000-0000-0000972C0000}"/>
    <cellStyle name="Итог 2 70 3" xfId="12377" xr:uid="{00000000-0005-0000-0000-0000982C0000}"/>
    <cellStyle name="Итог 2 70 4" xfId="16613" xr:uid="{00000000-0005-0000-0000-0000992C0000}"/>
    <cellStyle name="Итог 2 71" xfId="3374" xr:uid="{00000000-0005-0000-0000-00009A2C0000}"/>
    <cellStyle name="Итог 2 71 2" xfId="8110" xr:uid="{00000000-0005-0000-0000-00009B2C0000}"/>
    <cellStyle name="Итог 2 71 3" xfId="12378" xr:uid="{00000000-0005-0000-0000-00009C2C0000}"/>
    <cellStyle name="Итог 2 71 4" xfId="16614" xr:uid="{00000000-0005-0000-0000-00009D2C0000}"/>
    <cellStyle name="Итог 2 72" xfId="3375" xr:uid="{00000000-0005-0000-0000-00009E2C0000}"/>
    <cellStyle name="Итог 2 72 2" xfId="8111" xr:uid="{00000000-0005-0000-0000-00009F2C0000}"/>
    <cellStyle name="Итог 2 72 3" xfId="12379" xr:uid="{00000000-0005-0000-0000-0000A02C0000}"/>
    <cellStyle name="Итог 2 72 4" xfId="16615" xr:uid="{00000000-0005-0000-0000-0000A12C0000}"/>
    <cellStyle name="Итог 2 73" xfId="3376" xr:uid="{00000000-0005-0000-0000-0000A22C0000}"/>
    <cellStyle name="Итог 2 73 2" xfId="8112" xr:uid="{00000000-0005-0000-0000-0000A32C0000}"/>
    <cellStyle name="Итог 2 73 3" xfId="12380" xr:uid="{00000000-0005-0000-0000-0000A42C0000}"/>
    <cellStyle name="Итог 2 73 4" xfId="16616" xr:uid="{00000000-0005-0000-0000-0000A52C0000}"/>
    <cellStyle name="Итог 2 74" xfId="3377" xr:uid="{00000000-0005-0000-0000-0000A62C0000}"/>
    <cellStyle name="Итог 2 74 2" xfId="8113" xr:uid="{00000000-0005-0000-0000-0000A72C0000}"/>
    <cellStyle name="Итог 2 74 3" xfId="12381" xr:uid="{00000000-0005-0000-0000-0000A82C0000}"/>
    <cellStyle name="Итог 2 74 4" xfId="16617" xr:uid="{00000000-0005-0000-0000-0000A92C0000}"/>
    <cellStyle name="Итог 2 75" xfId="3378" xr:uid="{00000000-0005-0000-0000-0000AA2C0000}"/>
    <cellStyle name="Итог 2 75 2" xfId="8114" xr:uid="{00000000-0005-0000-0000-0000AB2C0000}"/>
    <cellStyle name="Итог 2 75 3" xfId="12382" xr:uid="{00000000-0005-0000-0000-0000AC2C0000}"/>
    <cellStyle name="Итог 2 75 4" xfId="16618" xr:uid="{00000000-0005-0000-0000-0000AD2C0000}"/>
    <cellStyle name="Итог 2 76" xfId="3379" xr:uid="{00000000-0005-0000-0000-0000AE2C0000}"/>
    <cellStyle name="Итог 2 76 2" xfId="8115" xr:uid="{00000000-0005-0000-0000-0000AF2C0000}"/>
    <cellStyle name="Итог 2 76 3" xfId="12383" xr:uid="{00000000-0005-0000-0000-0000B02C0000}"/>
    <cellStyle name="Итог 2 76 4" xfId="16619" xr:uid="{00000000-0005-0000-0000-0000B12C0000}"/>
    <cellStyle name="Итог 2 77" xfId="3380" xr:uid="{00000000-0005-0000-0000-0000B22C0000}"/>
    <cellStyle name="Итог 2 77 2" xfId="8116" xr:uid="{00000000-0005-0000-0000-0000B32C0000}"/>
    <cellStyle name="Итог 2 77 3" xfId="12384" xr:uid="{00000000-0005-0000-0000-0000B42C0000}"/>
    <cellStyle name="Итог 2 77 4" xfId="16620" xr:uid="{00000000-0005-0000-0000-0000B52C0000}"/>
    <cellStyle name="Итог 2 78" xfId="3381" xr:uid="{00000000-0005-0000-0000-0000B62C0000}"/>
    <cellStyle name="Итог 2 78 2" xfId="8117" xr:uid="{00000000-0005-0000-0000-0000B72C0000}"/>
    <cellStyle name="Итог 2 78 3" xfId="12385" xr:uid="{00000000-0005-0000-0000-0000B82C0000}"/>
    <cellStyle name="Итог 2 78 4" xfId="16621" xr:uid="{00000000-0005-0000-0000-0000B92C0000}"/>
    <cellStyle name="Итог 2 79" xfId="3382" xr:uid="{00000000-0005-0000-0000-0000BA2C0000}"/>
    <cellStyle name="Итог 2 79 2" xfId="8118" xr:uid="{00000000-0005-0000-0000-0000BB2C0000}"/>
    <cellStyle name="Итог 2 79 3" xfId="12386" xr:uid="{00000000-0005-0000-0000-0000BC2C0000}"/>
    <cellStyle name="Итог 2 79 4" xfId="16622" xr:uid="{00000000-0005-0000-0000-0000BD2C0000}"/>
    <cellStyle name="Итог 2 8" xfId="3383" xr:uid="{00000000-0005-0000-0000-0000BE2C0000}"/>
    <cellStyle name="Итог 2 8 2" xfId="8119" xr:uid="{00000000-0005-0000-0000-0000BF2C0000}"/>
    <cellStyle name="Итог 2 8 3" xfId="12387" xr:uid="{00000000-0005-0000-0000-0000C02C0000}"/>
    <cellStyle name="Итог 2 8 4" xfId="16623" xr:uid="{00000000-0005-0000-0000-0000C12C0000}"/>
    <cellStyle name="Итог 2 80" xfId="3384" xr:uid="{00000000-0005-0000-0000-0000C22C0000}"/>
    <cellStyle name="Итог 2 80 2" xfId="8120" xr:uid="{00000000-0005-0000-0000-0000C32C0000}"/>
    <cellStyle name="Итог 2 80 3" xfId="12388" xr:uid="{00000000-0005-0000-0000-0000C42C0000}"/>
    <cellStyle name="Итог 2 80 4" xfId="16624" xr:uid="{00000000-0005-0000-0000-0000C52C0000}"/>
    <cellStyle name="Итог 2 81" xfId="3385" xr:uid="{00000000-0005-0000-0000-0000C62C0000}"/>
    <cellStyle name="Итог 2 81 2" xfId="8121" xr:uid="{00000000-0005-0000-0000-0000C72C0000}"/>
    <cellStyle name="Итог 2 81 3" xfId="12389" xr:uid="{00000000-0005-0000-0000-0000C82C0000}"/>
    <cellStyle name="Итог 2 81 4" xfId="16625" xr:uid="{00000000-0005-0000-0000-0000C92C0000}"/>
    <cellStyle name="Итог 2 82" xfId="3386" xr:uid="{00000000-0005-0000-0000-0000CA2C0000}"/>
    <cellStyle name="Итог 2 82 2" xfId="8122" xr:uid="{00000000-0005-0000-0000-0000CB2C0000}"/>
    <cellStyle name="Итог 2 82 3" xfId="12390" xr:uid="{00000000-0005-0000-0000-0000CC2C0000}"/>
    <cellStyle name="Итог 2 82 4" xfId="16626" xr:uid="{00000000-0005-0000-0000-0000CD2C0000}"/>
    <cellStyle name="Итог 2 83" xfId="3387" xr:uid="{00000000-0005-0000-0000-0000CE2C0000}"/>
    <cellStyle name="Итог 2 83 2" xfId="8123" xr:uid="{00000000-0005-0000-0000-0000CF2C0000}"/>
    <cellStyle name="Итог 2 83 3" xfId="12391" xr:uid="{00000000-0005-0000-0000-0000D02C0000}"/>
    <cellStyle name="Итог 2 83 4" xfId="16627" xr:uid="{00000000-0005-0000-0000-0000D12C0000}"/>
    <cellStyle name="Итог 2 84" xfId="3388" xr:uid="{00000000-0005-0000-0000-0000D22C0000}"/>
    <cellStyle name="Итог 2 84 2" xfId="8124" xr:uid="{00000000-0005-0000-0000-0000D32C0000}"/>
    <cellStyle name="Итог 2 84 3" xfId="12392" xr:uid="{00000000-0005-0000-0000-0000D42C0000}"/>
    <cellStyle name="Итог 2 84 4" xfId="16628" xr:uid="{00000000-0005-0000-0000-0000D52C0000}"/>
    <cellStyle name="Итог 2 85" xfId="3389" xr:uid="{00000000-0005-0000-0000-0000D62C0000}"/>
    <cellStyle name="Итог 2 85 2" xfId="8125" xr:uid="{00000000-0005-0000-0000-0000D72C0000}"/>
    <cellStyle name="Итог 2 85 3" xfId="12393" xr:uid="{00000000-0005-0000-0000-0000D82C0000}"/>
    <cellStyle name="Итог 2 85 4" xfId="16629" xr:uid="{00000000-0005-0000-0000-0000D92C0000}"/>
    <cellStyle name="Итог 2 86" xfId="3390" xr:uid="{00000000-0005-0000-0000-0000DA2C0000}"/>
    <cellStyle name="Итог 2 86 2" xfId="8126" xr:uid="{00000000-0005-0000-0000-0000DB2C0000}"/>
    <cellStyle name="Итог 2 86 3" xfId="12394" xr:uid="{00000000-0005-0000-0000-0000DC2C0000}"/>
    <cellStyle name="Итог 2 86 4" xfId="16630" xr:uid="{00000000-0005-0000-0000-0000DD2C0000}"/>
    <cellStyle name="Итог 2 87" xfId="3391" xr:uid="{00000000-0005-0000-0000-0000DE2C0000}"/>
    <cellStyle name="Итог 2 87 2" xfId="8127" xr:uid="{00000000-0005-0000-0000-0000DF2C0000}"/>
    <cellStyle name="Итог 2 87 3" xfId="12395" xr:uid="{00000000-0005-0000-0000-0000E02C0000}"/>
    <cellStyle name="Итог 2 87 4" xfId="16631" xr:uid="{00000000-0005-0000-0000-0000E12C0000}"/>
    <cellStyle name="Итог 2 88" xfId="3392" xr:uid="{00000000-0005-0000-0000-0000E22C0000}"/>
    <cellStyle name="Итог 2 88 2" xfId="8128" xr:uid="{00000000-0005-0000-0000-0000E32C0000}"/>
    <cellStyle name="Итог 2 88 3" xfId="12396" xr:uid="{00000000-0005-0000-0000-0000E42C0000}"/>
    <cellStyle name="Итог 2 88 4" xfId="16632" xr:uid="{00000000-0005-0000-0000-0000E52C0000}"/>
    <cellStyle name="Итог 2 89" xfId="3393" xr:uid="{00000000-0005-0000-0000-0000E62C0000}"/>
    <cellStyle name="Итог 2 89 2" xfId="8129" xr:uid="{00000000-0005-0000-0000-0000E72C0000}"/>
    <cellStyle name="Итог 2 89 3" xfId="12397" xr:uid="{00000000-0005-0000-0000-0000E82C0000}"/>
    <cellStyle name="Итог 2 89 4" xfId="16633" xr:uid="{00000000-0005-0000-0000-0000E92C0000}"/>
    <cellStyle name="Итог 2 9" xfId="3394" xr:uid="{00000000-0005-0000-0000-0000EA2C0000}"/>
    <cellStyle name="Итог 2 9 2" xfId="8130" xr:uid="{00000000-0005-0000-0000-0000EB2C0000}"/>
    <cellStyle name="Итог 2 9 3" xfId="12398" xr:uid="{00000000-0005-0000-0000-0000EC2C0000}"/>
    <cellStyle name="Итог 2 9 4" xfId="16634" xr:uid="{00000000-0005-0000-0000-0000ED2C0000}"/>
    <cellStyle name="Итог 2 90" xfId="3395" xr:uid="{00000000-0005-0000-0000-0000EE2C0000}"/>
    <cellStyle name="Итог 2 90 2" xfId="8131" xr:uid="{00000000-0005-0000-0000-0000EF2C0000}"/>
    <cellStyle name="Итог 2 90 3" xfId="12399" xr:uid="{00000000-0005-0000-0000-0000F02C0000}"/>
    <cellStyle name="Итог 2 90 4" xfId="16635" xr:uid="{00000000-0005-0000-0000-0000F12C0000}"/>
    <cellStyle name="Итог 2 91" xfId="3396" xr:uid="{00000000-0005-0000-0000-0000F22C0000}"/>
    <cellStyle name="Итог 2 91 2" xfId="8132" xr:uid="{00000000-0005-0000-0000-0000F32C0000}"/>
    <cellStyle name="Итог 2 91 3" xfId="12400" xr:uid="{00000000-0005-0000-0000-0000F42C0000}"/>
    <cellStyle name="Итог 2 91 4" xfId="16636" xr:uid="{00000000-0005-0000-0000-0000F52C0000}"/>
    <cellStyle name="Итог 2 92" xfId="5205" xr:uid="{00000000-0005-0000-0000-0000F62C0000}"/>
    <cellStyle name="Итог 2 93" xfId="8836" xr:uid="{00000000-0005-0000-0000-0000F72C0000}"/>
    <cellStyle name="Итог 2 94" xfId="13086" xr:uid="{00000000-0005-0000-0000-0000F82C0000}"/>
    <cellStyle name="Итог 3" xfId="291" xr:uid="{00000000-0005-0000-0000-0000F92C0000}"/>
    <cellStyle name="Итог 3 10" xfId="3397" xr:uid="{00000000-0005-0000-0000-0000FA2C0000}"/>
    <cellStyle name="Итог 3 10 2" xfId="8133" xr:uid="{00000000-0005-0000-0000-0000FB2C0000}"/>
    <cellStyle name="Итог 3 10 3" xfId="12401" xr:uid="{00000000-0005-0000-0000-0000FC2C0000}"/>
    <cellStyle name="Итог 3 10 4" xfId="16637" xr:uid="{00000000-0005-0000-0000-0000FD2C0000}"/>
    <cellStyle name="Итог 3 11" xfId="3398" xr:uid="{00000000-0005-0000-0000-0000FE2C0000}"/>
    <cellStyle name="Итог 3 11 2" xfId="8134" xr:uid="{00000000-0005-0000-0000-0000FF2C0000}"/>
    <cellStyle name="Итог 3 11 3" xfId="12402" xr:uid="{00000000-0005-0000-0000-0000002D0000}"/>
    <cellStyle name="Итог 3 11 4" xfId="16638" xr:uid="{00000000-0005-0000-0000-0000012D0000}"/>
    <cellStyle name="Итог 3 12" xfId="3399" xr:uid="{00000000-0005-0000-0000-0000022D0000}"/>
    <cellStyle name="Итог 3 12 2" xfId="8135" xr:uid="{00000000-0005-0000-0000-0000032D0000}"/>
    <cellStyle name="Итог 3 12 3" xfId="12403" xr:uid="{00000000-0005-0000-0000-0000042D0000}"/>
    <cellStyle name="Итог 3 12 4" xfId="16639" xr:uid="{00000000-0005-0000-0000-0000052D0000}"/>
    <cellStyle name="Итог 3 13" xfId="3400" xr:uid="{00000000-0005-0000-0000-0000062D0000}"/>
    <cellStyle name="Итог 3 13 2" xfId="8136" xr:uid="{00000000-0005-0000-0000-0000072D0000}"/>
    <cellStyle name="Итог 3 13 3" xfId="12404" xr:uid="{00000000-0005-0000-0000-0000082D0000}"/>
    <cellStyle name="Итог 3 13 4" xfId="16640" xr:uid="{00000000-0005-0000-0000-0000092D0000}"/>
    <cellStyle name="Итог 3 14" xfId="3401" xr:uid="{00000000-0005-0000-0000-00000A2D0000}"/>
    <cellStyle name="Итог 3 14 2" xfId="8137" xr:uid="{00000000-0005-0000-0000-00000B2D0000}"/>
    <cellStyle name="Итог 3 14 3" xfId="12405" xr:uid="{00000000-0005-0000-0000-00000C2D0000}"/>
    <cellStyle name="Итог 3 14 4" xfId="16641" xr:uid="{00000000-0005-0000-0000-00000D2D0000}"/>
    <cellStyle name="Итог 3 15" xfId="3402" xr:uid="{00000000-0005-0000-0000-00000E2D0000}"/>
    <cellStyle name="Итог 3 15 2" xfId="8138" xr:uid="{00000000-0005-0000-0000-00000F2D0000}"/>
    <cellStyle name="Итог 3 15 3" xfId="12406" xr:uid="{00000000-0005-0000-0000-0000102D0000}"/>
    <cellStyle name="Итог 3 15 4" xfId="16642" xr:uid="{00000000-0005-0000-0000-0000112D0000}"/>
    <cellStyle name="Итог 3 16" xfId="3403" xr:uid="{00000000-0005-0000-0000-0000122D0000}"/>
    <cellStyle name="Итог 3 16 2" xfId="8139" xr:uid="{00000000-0005-0000-0000-0000132D0000}"/>
    <cellStyle name="Итог 3 16 3" xfId="12407" xr:uid="{00000000-0005-0000-0000-0000142D0000}"/>
    <cellStyle name="Итог 3 16 4" xfId="16643" xr:uid="{00000000-0005-0000-0000-0000152D0000}"/>
    <cellStyle name="Итог 3 17" xfId="3404" xr:uid="{00000000-0005-0000-0000-0000162D0000}"/>
    <cellStyle name="Итог 3 17 2" xfId="8140" xr:uid="{00000000-0005-0000-0000-0000172D0000}"/>
    <cellStyle name="Итог 3 17 3" xfId="12408" xr:uid="{00000000-0005-0000-0000-0000182D0000}"/>
    <cellStyle name="Итог 3 17 4" xfId="16644" xr:uid="{00000000-0005-0000-0000-0000192D0000}"/>
    <cellStyle name="Итог 3 18" xfId="3405" xr:uid="{00000000-0005-0000-0000-00001A2D0000}"/>
    <cellStyle name="Итог 3 18 2" xfId="8141" xr:uid="{00000000-0005-0000-0000-00001B2D0000}"/>
    <cellStyle name="Итог 3 18 3" xfId="12409" xr:uid="{00000000-0005-0000-0000-00001C2D0000}"/>
    <cellStyle name="Итог 3 18 4" xfId="16645" xr:uid="{00000000-0005-0000-0000-00001D2D0000}"/>
    <cellStyle name="Итог 3 19" xfId="3406" xr:uid="{00000000-0005-0000-0000-00001E2D0000}"/>
    <cellStyle name="Итог 3 19 2" xfId="8142" xr:uid="{00000000-0005-0000-0000-00001F2D0000}"/>
    <cellStyle name="Итог 3 19 3" xfId="12410" xr:uid="{00000000-0005-0000-0000-0000202D0000}"/>
    <cellStyle name="Итог 3 19 4" xfId="16646" xr:uid="{00000000-0005-0000-0000-0000212D0000}"/>
    <cellStyle name="Итог 3 2" xfId="3407" xr:uid="{00000000-0005-0000-0000-0000222D0000}"/>
    <cellStyle name="Итог 3 2 2" xfId="3408" xr:uid="{00000000-0005-0000-0000-0000232D0000}"/>
    <cellStyle name="Итог 3 2 2 2" xfId="8144" xr:uid="{00000000-0005-0000-0000-0000242D0000}"/>
    <cellStyle name="Итог 3 2 2 3" xfId="12412" xr:uid="{00000000-0005-0000-0000-0000252D0000}"/>
    <cellStyle name="Итог 3 2 2 4" xfId="16648" xr:uid="{00000000-0005-0000-0000-0000262D0000}"/>
    <cellStyle name="Итог 3 2 3" xfId="3409" xr:uid="{00000000-0005-0000-0000-0000272D0000}"/>
    <cellStyle name="Итог 3 2 3 2" xfId="8145" xr:uid="{00000000-0005-0000-0000-0000282D0000}"/>
    <cellStyle name="Итог 3 2 3 3" xfId="12413" xr:uid="{00000000-0005-0000-0000-0000292D0000}"/>
    <cellStyle name="Итог 3 2 3 4" xfId="16649" xr:uid="{00000000-0005-0000-0000-00002A2D0000}"/>
    <cellStyle name="Итог 3 2 4" xfId="8143" xr:uid="{00000000-0005-0000-0000-00002B2D0000}"/>
    <cellStyle name="Итог 3 2 5" xfId="12411" xr:uid="{00000000-0005-0000-0000-00002C2D0000}"/>
    <cellStyle name="Итог 3 2 6" xfId="16647" xr:uid="{00000000-0005-0000-0000-00002D2D0000}"/>
    <cellStyle name="Итог 3 20" xfId="3410" xr:uid="{00000000-0005-0000-0000-00002E2D0000}"/>
    <cellStyle name="Итог 3 20 2" xfId="8146" xr:uid="{00000000-0005-0000-0000-00002F2D0000}"/>
    <cellStyle name="Итог 3 20 3" xfId="12414" xr:uid="{00000000-0005-0000-0000-0000302D0000}"/>
    <cellStyle name="Итог 3 20 4" xfId="16650" xr:uid="{00000000-0005-0000-0000-0000312D0000}"/>
    <cellStyle name="Итог 3 21" xfId="3411" xr:uid="{00000000-0005-0000-0000-0000322D0000}"/>
    <cellStyle name="Итог 3 21 2" xfId="8147" xr:uid="{00000000-0005-0000-0000-0000332D0000}"/>
    <cellStyle name="Итог 3 21 3" xfId="12415" xr:uid="{00000000-0005-0000-0000-0000342D0000}"/>
    <cellStyle name="Итог 3 21 4" xfId="16651" xr:uid="{00000000-0005-0000-0000-0000352D0000}"/>
    <cellStyle name="Итог 3 22" xfId="3412" xr:uid="{00000000-0005-0000-0000-0000362D0000}"/>
    <cellStyle name="Итог 3 22 2" xfId="8148" xr:uid="{00000000-0005-0000-0000-0000372D0000}"/>
    <cellStyle name="Итог 3 22 3" xfId="12416" xr:uid="{00000000-0005-0000-0000-0000382D0000}"/>
    <cellStyle name="Итог 3 22 4" xfId="16652" xr:uid="{00000000-0005-0000-0000-0000392D0000}"/>
    <cellStyle name="Итог 3 23" xfId="3413" xr:uid="{00000000-0005-0000-0000-00003A2D0000}"/>
    <cellStyle name="Итог 3 23 2" xfId="8149" xr:uid="{00000000-0005-0000-0000-00003B2D0000}"/>
    <cellStyle name="Итог 3 23 3" xfId="12417" xr:uid="{00000000-0005-0000-0000-00003C2D0000}"/>
    <cellStyle name="Итог 3 23 4" xfId="16653" xr:uid="{00000000-0005-0000-0000-00003D2D0000}"/>
    <cellStyle name="Итог 3 24" xfId="3414" xr:uid="{00000000-0005-0000-0000-00003E2D0000}"/>
    <cellStyle name="Итог 3 24 2" xfId="8150" xr:uid="{00000000-0005-0000-0000-00003F2D0000}"/>
    <cellStyle name="Итог 3 24 3" xfId="12418" xr:uid="{00000000-0005-0000-0000-0000402D0000}"/>
    <cellStyle name="Итог 3 24 4" xfId="16654" xr:uid="{00000000-0005-0000-0000-0000412D0000}"/>
    <cellStyle name="Итог 3 25" xfId="3415" xr:uid="{00000000-0005-0000-0000-0000422D0000}"/>
    <cellStyle name="Итог 3 25 2" xfId="8151" xr:uid="{00000000-0005-0000-0000-0000432D0000}"/>
    <cellStyle name="Итог 3 25 3" xfId="12419" xr:uid="{00000000-0005-0000-0000-0000442D0000}"/>
    <cellStyle name="Итог 3 25 4" xfId="16655" xr:uid="{00000000-0005-0000-0000-0000452D0000}"/>
    <cellStyle name="Итог 3 26" xfId="3416" xr:uid="{00000000-0005-0000-0000-0000462D0000}"/>
    <cellStyle name="Итог 3 26 2" xfId="8152" xr:uid="{00000000-0005-0000-0000-0000472D0000}"/>
    <cellStyle name="Итог 3 26 3" xfId="12420" xr:uid="{00000000-0005-0000-0000-0000482D0000}"/>
    <cellStyle name="Итог 3 26 4" xfId="16656" xr:uid="{00000000-0005-0000-0000-0000492D0000}"/>
    <cellStyle name="Итог 3 27" xfId="3417" xr:uid="{00000000-0005-0000-0000-00004A2D0000}"/>
    <cellStyle name="Итог 3 27 2" xfId="8153" xr:uid="{00000000-0005-0000-0000-00004B2D0000}"/>
    <cellStyle name="Итог 3 27 3" xfId="12421" xr:uid="{00000000-0005-0000-0000-00004C2D0000}"/>
    <cellStyle name="Итог 3 27 4" xfId="16657" xr:uid="{00000000-0005-0000-0000-00004D2D0000}"/>
    <cellStyle name="Итог 3 28" xfId="3418" xr:uid="{00000000-0005-0000-0000-00004E2D0000}"/>
    <cellStyle name="Итог 3 28 2" xfId="8154" xr:uid="{00000000-0005-0000-0000-00004F2D0000}"/>
    <cellStyle name="Итог 3 28 3" xfId="12422" xr:uid="{00000000-0005-0000-0000-0000502D0000}"/>
    <cellStyle name="Итог 3 28 4" xfId="16658" xr:uid="{00000000-0005-0000-0000-0000512D0000}"/>
    <cellStyle name="Итог 3 29" xfId="3419" xr:uid="{00000000-0005-0000-0000-0000522D0000}"/>
    <cellStyle name="Итог 3 29 2" xfId="8155" xr:uid="{00000000-0005-0000-0000-0000532D0000}"/>
    <cellStyle name="Итог 3 29 3" xfId="12423" xr:uid="{00000000-0005-0000-0000-0000542D0000}"/>
    <cellStyle name="Итог 3 29 4" xfId="16659" xr:uid="{00000000-0005-0000-0000-0000552D0000}"/>
    <cellStyle name="Итог 3 3" xfId="3420" xr:uid="{00000000-0005-0000-0000-0000562D0000}"/>
    <cellStyle name="Итог 3 3 2" xfId="3421" xr:uid="{00000000-0005-0000-0000-0000572D0000}"/>
    <cellStyle name="Итог 3 3 2 2" xfId="8157" xr:uid="{00000000-0005-0000-0000-0000582D0000}"/>
    <cellStyle name="Итог 3 3 2 3" xfId="12425" xr:uid="{00000000-0005-0000-0000-0000592D0000}"/>
    <cellStyle name="Итог 3 3 2 4" xfId="16661" xr:uid="{00000000-0005-0000-0000-00005A2D0000}"/>
    <cellStyle name="Итог 3 3 3" xfId="3422" xr:uid="{00000000-0005-0000-0000-00005B2D0000}"/>
    <cellStyle name="Итог 3 3 3 2" xfId="8158" xr:uid="{00000000-0005-0000-0000-00005C2D0000}"/>
    <cellStyle name="Итог 3 3 3 3" xfId="12426" xr:uid="{00000000-0005-0000-0000-00005D2D0000}"/>
    <cellStyle name="Итог 3 3 3 4" xfId="16662" xr:uid="{00000000-0005-0000-0000-00005E2D0000}"/>
    <cellStyle name="Итог 3 3 4" xfId="8156" xr:uid="{00000000-0005-0000-0000-00005F2D0000}"/>
    <cellStyle name="Итог 3 3 5" xfId="12424" xr:uid="{00000000-0005-0000-0000-0000602D0000}"/>
    <cellStyle name="Итог 3 3 6" xfId="16660" xr:uid="{00000000-0005-0000-0000-0000612D0000}"/>
    <cellStyle name="Итог 3 30" xfId="3423" xr:uid="{00000000-0005-0000-0000-0000622D0000}"/>
    <cellStyle name="Итог 3 30 2" xfId="8159" xr:uid="{00000000-0005-0000-0000-0000632D0000}"/>
    <cellStyle name="Итог 3 30 3" xfId="12427" xr:uid="{00000000-0005-0000-0000-0000642D0000}"/>
    <cellStyle name="Итог 3 30 4" xfId="16663" xr:uid="{00000000-0005-0000-0000-0000652D0000}"/>
    <cellStyle name="Итог 3 31" xfId="3424" xr:uid="{00000000-0005-0000-0000-0000662D0000}"/>
    <cellStyle name="Итог 3 31 2" xfId="8160" xr:uid="{00000000-0005-0000-0000-0000672D0000}"/>
    <cellStyle name="Итог 3 31 3" xfId="12428" xr:uid="{00000000-0005-0000-0000-0000682D0000}"/>
    <cellStyle name="Итог 3 31 4" xfId="16664" xr:uid="{00000000-0005-0000-0000-0000692D0000}"/>
    <cellStyle name="Итог 3 32" xfId="3425" xr:uid="{00000000-0005-0000-0000-00006A2D0000}"/>
    <cellStyle name="Итог 3 32 2" xfId="8161" xr:uid="{00000000-0005-0000-0000-00006B2D0000}"/>
    <cellStyle name="Итог 3 32 3" xfId="12429" xr:uid="{00000000-0005-0000-0000-00006C2D0000}"/>
    <cellStyle name="Итог 3 32 4" xfId="16665" xr:uid="{00000000-0005-0000-0000-00006D2D0000}"/>
    <cellStyle name="Итог 3 33" xfId="3426" xr:uid="{00000000-0005-0000-0000-00006E2D0000}"/>
    <cellStyle name="Итог 3 33 2" xfId="8162" xr:uid="{00000000-0005-0000-0000-00006F2D0000}"/>
    <cellStyle name="Итог 3 33 3" xfId="12430" xr:uid="{00000000-0005-0000-0000-0000702D0000}"/>
    <cellStyle name="Итог 3 33 4" xfId="16666" xr:uid="{00000000-0005-0000-0000-0000712D0000}"/>
    <cellStyle name="Итог 3 34" xfId="3427" xr:uid="{00000000-0005-0000-0000-0000722D0000}"/>
    <cellStyle name="Итог 3 34 2" xfId="8163" xr:uid="{00000000-0005-0000-0000-0000732D0000}"/>
    <cellStyle name="Итог 3 34 3" xfId="12431" xr:uid="{00000000-0005-0000-0000-0000742D0000}"/>
    <cellStyle name="Итог 3 34 4" xfId="16667" xr:uid="{00000000-0005-0000-0000-0000752D0000}"/>
    <cellStyle name="Итог 3 35" xfId="3428" xr:uid="{00000000-0005-0000-0000-0000762D0000}"/>
    <cellStyle name="Итог 3 35 2" xfId="8164" xr:uid="{00000000-0005-0000-0000-0000772D0000}"/>
    <cellStyle name="Итог 3 35 3" xfId="12432" xr:uid="{00000000-0005-0000-0000-0000782D0000}"/>
    <cellStyle name="Итог 3 35 4" xfId="16668" xr:uid="{00000000-0005-0000-0000-0000792D0000}"/>
    <cellStyle name="Итог 3 36" xfId="3429" xr:uid="{00000000-0005-0000-0000-00007A2D0000}"/>
    <cellStyle name="Итог 3 36 2" xfId="8165" xr:uid="{00000000-0005-0000-0000-00007B2D0000}"/>
    <cellStyle name="Итог 3 36 3" xfId="12433" xr:uid="{00000000-0005-0000-0000-00007C2D0000}"/>
    <cellStyle name="Итог 3 36 4" xfId="16669" xr:uid="{00000000-0005-0000-0000-00007D2D0000}"/>
    <cellStyle name="Итог 3 37" xfId="3430" xr:uid="{00000000-0005-0000-0000-00007E2D0000}"/>
    <cellStyle name="Итог 3 37 2" xfId="8166" xr:uid="{00000000-0005-0000-0000-00007F2D0000}"/>
    <cellStyle name="Итог 3 37 3" xfId="12434" xr:uid="{00000000-0005-0000-0000-0000802D0000}"/>
    <cellStyle name="Итог 3 37 4" xfId="16670" xr:uid="{00000000-0005-0000-0000-0000812D0000}"/>
    <cellStyle name="Итог 3 38" xfId="3431" xr:uid="{00000000-0005-0000-0000-0000822D0000}"/>
    <cellStyle name="Итог 3 38 2" xfId="8167" xr:uid="{00000000-0005-0000-0000-0000832D0000}"/>
    <cellStyle name="Итог 3 38 3" xfId="12435" xr:uid="{00000000-0005-0000-0000-0000842D0000}"/>
    <cellStyle name="Итог 3 38 4" xfId="16671" xr:uid="{00000000-0005-0000-0000-0000852D0000}"/>
    <cellStyle name="Итог 3 39" xfId="3432" xr:uid="{00000000-0005-0000-0000-0000862D0000}"/>
    <cellStyle name="Итог 3 39 2" xfId="8168" xr:uid="{00000000-0005-0000-0000-0000872D0000}"/>
    <cellStyle name="Итог 3 39 3" xfId="12436" xr:uid="{00000000-0005-0000-0000-0000882D0000}"/>
    <cellStyle name="Итог 3 39 4" xfId="16672" xr:uid="{00000000-0005-0000-0000-0000892D0000}"/>
    <cellStyle name="Итог 3 4" xfId="3433" xr:uid="{00000000-0005-0000-0000-00008A2D0000}"/>
    <cellStyle name="Итог 3 4 2" xfId="3434" xr:uid="{00000000-0005-0000-0000-00008B2D0000}"/>
    <cellStyle name="Итог 3 4 2 2" xfId="8170" xr:uid="{00000000-0005-0000-0000-00008C2D0000}"/>
    <cellStyle name="Итог 3 4 2 3" xfId="12438" xr:uid="{00000000-0005-0000-0000-00008D2D0000}"/>
    <cellStyle name="Итог 3 4 2 4" xfId="16674" xr:uid="{00000000-0005-0000-0000-00008E2D0000}"/>
    <cellStyle name="Итог 3 4 3" xfId="3435" xr:uid="{00000000-0005-0000-0000-00008F2D0000}"/>
    <cellStyle name="Итог 3 4 3 2" xfId="8171" xr:uid="{00000000-0005-0000-0000-0000902D0000}"/>
    <cellStyle name="Итог 3 4 3 3" xfId="12439" xr:uid="{00000000-0005-0000-0000-0000912D0000}"/>
    <cellStyle name="Итог 3 4 3 4" xfId="16675" xr:uid="{00000000-0005-0000-0000-0000922D0000}"/>
    <cellStyle name="Итог 3 4 4" xfId="8169" xr:uid="{00000000-0005-0000-0000-0000932D0000}"/>
    <cellStyle name="Итог 3 4 5" xfId="12437" xr:uid="{00000000-0005-0000-0000-0000942D0000}"/>
    <cellStyle name="Итог 3 4 6" xfId="16673" xr:uid="{00000000-0005-0000-0000-0000952D0000}"/>
    <cellStyle name="Итог 3 40" xfId="3436" xr:uid="{00000000-0005-0000-0000-0000962D0000}"/>
    <cellStyle name="Итог 3 40 2" xfId="8172" xr:uid="{00000000-0005-0000-0000-0000972D0000}"/>
    <cellStyle name="Итог 3 40 3" xfId="12440" xr:uid="{00000000-0005-0000-0000-0000982D0000}"/>
    <cellStyle name="Итог 3 40 4" xfId="16676" xr:uid="{00000000-0005-0000-0000-0000992D0000}"/>
    <cellStyle name="Итог 3 41" xfId="3437" xr:uid="{00000000-0005-0000-0000-00009A2D0000}"/>
    <cellStyle name="Итог 3 41 2" xfId="8173" xr:uid="{00000000-0005-0000-0000-00009B2D0000}"/>
    <cellStyle name="Итог 3 41 3" xfId="12441" xr:uid="{00000000-0005-0000-0000-00009C2D0000}"/>
    <cellStyle name="Итог 3 41 4" xfId="16677" xr:uid="{00000000-0005-0000-0000-00009D2D0000}"/>
    <cellStyle name="Итог 3 42" xfId="3438" xr:uid="{00000000-0005-0000-0000-00009E2D0000}"/>
    <cellStyle name="Итог 3 42 2" xfId="8174" xr:uid="{00000000-0005-0000-0000-00009F2D0000}"/>
    <cellStyle name="Итог 3 42 3" xfId="12442" xr:uid="{00000000-0005-0000-0000-0000A02D0000}"/>
    <cellStyle name="Итог 3 42 4" xfId="16678" xr:uid="{00000000-0005-0000-0000-0000A12D0000}"/>
    <cellStyle name="Итог 3 43" xfId="3439" xr:uid="{00000000-0005-0000-0000-0000A22D0000}"/>
    <cellStyle name="Итог 3 43 2" xfId="8175" xr:uid="{00000000-0005-0000-0000-0000A32D0000}"/>
    <cellStyle name="Итог 3 43 3" xfId="12443" xr:uid="{00000000-0005-0000-0000-0000A42D0000}"/>
    <cellStyle name="Итог 3 43 4" xfId="16679" xr:uid="{00000000-0005-0000-0000-0000A52D0000}"/>
    <cellStyle name="Итог 3 44" xfId="3440" xr:uid="{00000000-0005-0000-0000-0000A62D0000}"/>
    <cellStyle name="Итог 3 44 2" xfId="8176" xr:uid="{00000000-0005-0000-0000-0000A72D0000}"/>
    <cellStyle name="Итог 3 44 3" xfId="12444" xr:uid="{00000000-0005-0000-0000-0000A82D0000}"/>
    <cellStyle name="Итог 3 44 4" xfId="16680" xr:uid="{00000000-0005-0000-0000-0000A92D0000}"/>
    <cellStyle name="Итог 3 45" xfId="3441" xr:uid="{00000000-0005-0000-0000-0000AA2D0000}"/>
    <cellStyle name="Итог 3 45 2" xfId="8177" xr:uid="{00000000-0005-0000-0000-0000AB2D0000}"/>
    <cellStyle name="Итог 3 45 3" xfId="12445" xr:uid="{00000000-0005-0000-0000-0000AC2D0000}"/>
    <cellStyle name="Итог 3 45 4" xfId="16681" xr:uid="{00000000-0005-0000-0000-0000AD2D0000}"/>
    <cellStyle name="Итог 3 46" xfId="3442" xr:uid="{00000000-0005-0000-0000-0000AE2D0000}"/>
    <cellStyle name="Итог 3 46 2" xfId="8178" xr:uid="{00000000-0005-0000-0000-0000AF2D0000}"/>
    <cellStyle name="Итог 3 46 3" xfId="12446" xr:uid="{00000000-0005-0000-0000-0000B02D0000}"/>
    <cellStyle name="Итог 3 46 4" xfId="16682" xr:uid="{00000000-0005-0000-0000-0000B12D0000}"/>
    <cellStyle name="Итог 3 47" xfId="3443" xr:uid="{00000000-0005-0000-0000-0000B22D0000}"/>
    <cellStyle name="Итог 3 47 2" xfId="8179" xr:uid="{00000000-0005-0000-0000-0000B32D0000}"/>
    <cellStyle name="Итог 3 47 3" xfId="12447" xr:uid="{00000000-0005-0000-0000-0000B42D0000}"/>
    <cellStyle name="Итог 3 47 4" xfId="16683" xr:uid="{00000000-0005-0000-0000-0000B52D0000}"/>
    <cellStyle name="Итог 3 48" xfId="3444" xr:uid="{00000000-0005-0000-0000-0000B62D0000}"/>
    <cellStyle name="Итог 3 48 2" xfId="8180" xr:uid="{00000000-0005-0000-0000-0000B72D0000}"/>
    <cellStyle name="Итог 3 48 3" xfId="12448" xr:uid="{00000000-0005-0000-0000-0000B82D0000}"/>
    <cellStyle name="Итог 3 48 4" xfId="16684" xr:uid="{00000000-0005-0000-0000-0000B92D0000}"/>
    <cellStyle name="Итог 3 49" xfId="3445" xr:uid="{00000000-0005-0000-0000-0000BA2D0000}"/>
    <cellStyle name="Итог 3 49 2" xfId="8181" xr:uid="{00000000-0005-0000-0000-0000BB2D0000}"/>
    <cellStyle name="Итог 3 49 3" xfId="12449" xr:uid="{00000000-0005-0000-0000-0000BC2D0000}"/>
    <cellStyle name="Итог 3 49 4" xfId="16685" xr:uid="{00000000-0005-0000-0000-0000BD2D0000}"/>
    <cellStyle name="Итог 3 5" xfId="3446" xr:uid="{00000000-0005-0000-0000-0000BE2D0000}"/>
    <cellStyle name="Итог 3 5 2" xfId="8182" xr:uid="{00000000-0005-0000-0000-0000BF2D0000}"/>
    <cellStyle name="Итог 3 5 3" xfId="12450" xr:uid="{00000000-0005-0000-0000-0000C02D0000}"/>
    <cellStyle name="Итог 3 5 4" xfId="16686" xr:uid="{00000000-0005-0000-0000-0000C12D0000}"/>
    <cellStyle name="Итог 3 50" xfId="3447" xr:uid="{00000000-0005-0000-0000-0000C22D0000}"/>
    <cellStyle name="Итог 3 50 2" xfId="8183" xr:uid="{00000000-0005-0000-0000-0000C32D0000}"/>
    <cellStyle name="Итог 3 50 3" xfId="12451" xr:uid="{00000000-0005-0000-0000-0000C42D0000}"/>
    <cellStyle name="Итог 3 50 4" xfId="16687" xr:uid="{00000000-0005-0000-0000-0000C52D0000}"/>
    <cellStyle name="Итог 3 51" xfId="3448" xr:uid="{00000000-0005-0000-0000-0000C62D0000}"/>
    <cellStyle name="Итог 3 51 2" xfId="8184" xr:uid="{00000000-0005-0000-0000-0000C72D0000}"/>
    <cellStyle name="Итог 3 51 3" xfId="12452" xr:uid="{00000000-0005-0000-0000-0000C82D0000}"/>
    <cellStyle name="Итог 3 51 4" xfId="16688" xr:uid="{00000000-0005-0000-0000-0000C92D0000}"/>
    <cellStyle name="Итог 3 52" xfId="3449" xr:uid="{00000000-0005-0000-0000-0000CA2D0000}"/>
    <cellStyle name="Итог 3 52 2" xfId="8185" xr:uid="{00000000-0005-0000-0000-0000CB2D0000}"/>
    <cellStyle name="Итог 3 52 3" xfId="12453" xr:uid="{00000000-0005-0000-0000-0000CC2D0000}"/>
    <cellStyle name="Итог 3 52 4" xfId="16689" xr:uid="{00000000-0005-0000-0000-0000CD2D0000}"/>
    <cellStyle name="Итог 3 53" xfId="3450" xr:uid="{00000000-0005-0000-0000-0000CE2D0000}"/>
    <cellStyle name="Итог 3 53 2" xfId="8186" xr:uid="{00000000-0005-0000-0000-0000CF2D0000}"/>
    <cellStyle name="Итог 3 53 3" xfId="12454" xr:uid="{00000000-0005-0000-0000-0000D02D0000}"/>
    <cellStyle name="Итог 3 53 4" xfId="16690" xr:uid="{00000000-0005-0000-0000-0000D12D0000}"/>
    <cellStyle name="Итог 3 54" xfId="3451" xr:uid="{00000000-0005-0000-0000-0000D22D0000}"/>
    <cellStyle name="Итог 3 54 2" xfId="8187" xr:uid="{00000000-0005-0000-0000-0000D32D0000}"/>
    <cellStyle name="Итог 3 54 3" xfId="12455" xr:uid="{00000000-0005-0000-0000-0000D42D0000}"/>
    <cellStyle name="Итог 3 54 4" xfId="16691" xr:uid="{00000000-0005-0000-0000-0000D52D0000}"/>
    <cellStyle name="Итог 3 55" xfId="3452" xr:uid="{00000000-0005-0000-0000-0000D62D0000}"/>
    <cellStyle name="Итог 3 55 2" xfId="8188" xr:uid="{00000000-0005-0000-0000-0000D72D0000}"/>
    <cellStyle name="Итог 3 55 3" xfId="12456" xr:uid="{00000000-0005-0000-0000-0000D82D0000}"/>
    <cellStyle name="Итог 3 55 4" xfId="16692" xr:uid="{00000000-0005-0000-0000-0000D92D0000}"/>
    <cellStyle name="Итог 3 56" xfId="3453" xr:uid="{00000000-0005-0000-0000-0000DA2D0000}"/>
    <cellStyle name="Итог 3 56 2" xfId="8189" xr:uid="{00000000-0005-0000-0000-0000DB2D0000}"/>
    <cellStyle name="Итог 3 56 3" xfId="12457" xr:uid="{00000000-0005-0000-0000-0000DC2D0000}"/>
    <cellStyle name="Итог 3 56 4" xfId="16693" xr:uid="{00000000-0005-0000-0000-0000DD2D0000}"/>
    <cellStyle name="Итог 3 57" xfId="3454" xr:uid="{00000000-0005-0000-0000-0000DE2D0000}"/>
    <cellStyle name="Итог 3 57 2" xfId="8190" xr:uid="{00000000-0005-0000-0000-0000DF2D0000}"/>
    <cellStyle name="Итог 3 57 3" xfId="12458" xr:uid="{00000000-0005-0000-0000-0000E02D0000}"/>
    <cellStyle name="Итог 3 57 4" xfId="16694" xr:uid="{00000000-0005-0000-0000-0000E12D0000}"/>
    <cellStyle name="Итог 3 58" xfId="3455" xr:uid="{00000000-0005-0000-0000-0000E22D0000}"/>
    <cellStyle name="Итог 3 58 2" xfId="8191" xr:uid="{00000000-0005-0000-0000-0000E32D0000}"/>
    <cellStyle name="Итог 3 58 3" xfId="12459" xr:uid="{00000000-0005-0000-0000-0000E42D0000}"/>
    <cellStyle name="Итог 3 58 4" xfId="16695" xr:uid="{00000000-0005-0000-0000-0000E52D0000}"/>
    <cellStyle name="Итог 3 59" xfId="3456" xr:uid="{00000000-0005-0000-0000-0000E62D0000}"/>
    <cellStyle name="Итог 3 59 2" xfId="8192" xr:uid="{00000000-0005-0000-0000-0000E72D0000}"/>
    <cellStyle name="Итог 3 59 3" xfId="12460" xr:uid="{00000000-0005-0000-0000-0000E82D0000}"/>
    <cellStyle name="Итог 3 59 4" xfId="16696" xr:uid="{00000000-0005-0000-0000-0000E92D0000}"/>
    <cellStyle name="Итог 3 6" xfId="3457" xr:uid="{00000000-0005-0000-0000-0000EA2D0000}"/>
    <cellStyle name="Итог 3 6 2" xfId="8193" xr:uid="{00000000-0005-0000-0000-0000EB2D0000}"/>
    <cellStyle name="Итог 3 6 3" xfId="12461" xr:uid="{00000000-0005-0000-0000-0000EC2D0000}"/>
    <cellStyle name="Итог 3 6 4" xfId="16697" xr:uid="{00000000-0005-0000-0000-0000ED2D0000}"/>
    <cellStyle name="Итог 3 60" xfId="3458" xr:uid="{00000000-0005-0000-0000-0000EE2D0000}"/>
    <cellStyle name="Итог 3 60 2" xfId="8194" xr:uid="{00000000-0005-0000-0000-0000EF2D0000}"/>
    <cellStyle name="Итог 3 60 3" xfId="12462" xr:uid="{00000000-0005-0000-0000-0000F02D0000}"/>
    <cellStyle name="Итог 3 60 4" xfId="16698" xr:uid="{00000000-0005-0000-0000-0000F12D0000}"/>
    <cellStyle name="Итог 3 61" xfId="3459" xr:uid="{00000000-0005-0000-0000-0000F22D0000}"/>
    <cellStyle name="Итог 3 61 2" xfId="8195" xr:uid="{00000000-0005-0000-0000-0000F32D0000}"/>
    <cellStyle name="Итог 3 61 3" xfId="12463" xr:uid="{00000000-0005-0000-0000-0000F42D0000}"/>
    <cellStyle name="Итог 3 61 4" xfId="16699" xr:uid="{00000000-0005-0000-0000-0000F52D0000}"/>
    <cellStyle name="Итог 3 62" xfId="3460" xr:uid="{00000000-0005-0000-0000-0000F62D0000}"/>
    <cellStyle name="Итог 3 62 2" xfId="8196" xr:uid="{00000000-0005-0000-0000-0000F72D0000}"/>
    <cellStyle name="Итог 3 62 3" xfId="12464" xr:uid="{00000000-0005-0000-0000-0000F82D0000}"/>
    <cellStyle name="Итог 3 62 4" xfId="16700" xr:uid="{00000000-0005-0000-0000-0000F92D0000}"/>
    <cellStyle name="Итог 3 63" xfId="3461" xr:uid="{00000000-0005-0000-0000-0000FA2D0000}"/>
    <cellStyle name="Итог 3 63 2" xfId="8197" xr:uid="{00000000-0005-0000-0000-0000FB2D0000}"/>
    <cellStyle name="Итог 3 63 3" xfId="12465" xr:uid="{00000000-0005-0000-0000-0000FC2D0000}"/>
    <cellStyle name="Итог 3 63 4" xfId="16701" xr:uid="{00000000-0005-0000-0000-0000FD2D0000}"/>
    <cellStyle name="Итог 3 64" xfId="3462" xr:uid="{00000000-0005-0000-0000-0000FE2D0000}"/>
    <cellStyle name="Итог 3 64 2" xfId="8198" xr:uid="{00000000-0005-0000-0000-0000FF2D0000}"/>
    <cellStyle name="Итог 3 64 3" xfId="12466" xr:uid="{00000000-0005-0000-0000-0000002E0000}"/>
    <cellStyle name="Итог 3 64 4" xfId="16702" xr:uid="{00000000-0005-0000-0000-0000012E0000}"/>
    <cellStyle name="Итог 3 65" xfId="3463" xr:uid="{00000000-0005-0000-0000-0000022E0000}"/>
    <cellStyle name="Итог 3 65 2" xfId="8199" xr:uid="{00000000-0005-0000-0000-0000032E0000}"/>
    <cellStyle name="Итог 3 65 3" xfId="12467" xr:uid="{00000000-0005-0000-0000-0000042E0000}"/>
    <cellStyle name="Итог 3 65 4" xfId="16703" xr:uid="{00000000-0005-0000-0000-0000052E0000}"/>
    <cellStyle name="Итог 3 66" xfId="3464" xr:uid="{00000000-0005-0000-0000-0000062E0000}"/>
    <cellStyle name="Итог 3 66 2" xfId="8200" xr:uid="{00000000-0005-0000-0000-0000072E0000}"/>
    <cellStyle name="Итог 3 66 3" xfId="12468" xr:uid="{00000000-0005-0000-0000-0000082E0000}"/>
    <cellStyle name="Итог 3 66 4" xfId="16704" xr:uid="{00000000-0005-0000-0000-0000092E0000}"/>
    <cellStyle name="Итог 3 67" xfId="3465" xr:uid="{00000000-0005-0000-0000-00000A2E0000}"/>
    <cellStyle name="Итог 3 67 2" xfId="8201" xr:uid="{00000000-0005-0000-0000-00000B2E0000}"/>
    <cellStyle name="Итог 3 67 3" xfId="12469" xr:uid="{00000000-0005-0000-0000-00000C2E0000}"/>
    <cellStyle name="Итог 3 67 4" xfId="16705" xr:uid="{00000000-0005-0000-0000-00000D2E0000}"/>
    <cellStyle name="Итог 3 68" xfId="3466" xr:uid="{00000000-0005-0000-0000-00000E2E0000}"/>
    <cellStyle name="Итог 3 68 2" xfId="8202" xr:uid="{00000000-0005-0000-0000-00000F2E0000}"/>
    <cellStyle name="Итог 3 68 3" xfId="12470" xr:uid="{00000000-0005-0000-0000-0000102E0000}"/>
    <cellStyle name="Итог 3 68 4" xfId="16706" xr:uid="{00000000-0005-0000-0000-0000112E0000}"/>
    <cellStyle name="Итог 3 69" xfId="3467" xr:uid="{00000000-0005-0000-0000-0000122E0000}"/>
    <cellStyle name="Итог 3 69 2" xfId="8203" xr:uid="{00000000-0005-0000-0000-0000132E0000}"/>
    <cellStyle name="Итог 3 69 3" xfId="12471" xr:uid="{00000000-0005-0000-0000-0000142E0000}"/>
    <cellStyle name="Итог 3 69 4" xfId="16707" xr:uid="{00000000-0005-0000-0000-0000152E0000}"/>
    <cellStyle name="Итог 3 7" xfId="3468" xr:uid="{00000000-0005-0000-0000-0000162E0000}"/>
    <cellStyle name="Итог 3 7 2" xfId="8204" xr:uid="{00000000-0005-0000-0000-0000172E0000}"/>
    <cellStyle name="Итог 3 7 3" xfId="12472" xr:uid="{00000000-0005-0000-0000-0000182E0000}"/>
    <cellStyle name="Итог 3 7 4" xfId="16708" xr:uid="{00000000-0005-0000-0000-0000192E0000}"/>
    <cellStyle name="Итог 3 70" xfId="3469" xr:uid="{00000000-0005-0000-0000-00001A2E0000}"/>
    <cellStyle name="Итог 3 70 2" xfId="8205" xr:uid="{00000000-0005-0000-0000-00001B2E0000}"/>
    <cellStyle name="Итог 3 70 3" xfId="12473" xr:uid="{00000000-0005-0000-0000-00001C2E0000}"/>
    <cellStyle name="Итог 3 70 4" xfId="16709" xr:uid="{00000000-0005-0000-0000-00001D2E0000}"/>
    <cellStyle name="Итог 3 71" xfId="3470" xr:uid="{00000000-0005-0000-0000-00001E2E0000}"/>
    <cellStyle name="Итог 3 71 2" xfId="8206" xr:uid="{00000000-0005-0000-0000-00001F2E0000}"/>
    <cellStyle name="Итог 3 71 3" xfId="12474" xr:uid="{00000000-0005-0000-0000-0000202E0000}"/>
    <cellStyle name="Итог 3 71 4" xfId="16710" xr:uid="{00000000-0005-0000-0000-0000212E0000}"/>
    <cellStyle name="Итог 3 72" xfId="3471" xr:uid="{00000000-0005-0000-0000-0000222E0000}"/>
    <cellStyle name="Итог 3 72 2" xfId="8207" xr:uid="{00000000-0005-0000-0000-0000232E0000}"/>
    <cellStyle name="Итог 3 72 3" xfId="12475" xr:uid="{00000000-0005-0000-0000-0000242E0000}"/>
    <cellStyle name="Итог 3 72 4" xfId="16711" xr:uid="{00000000-0005-0000-0000-0000252E0000}"/>
    <cellStyle name="Итог 3 73" xfId="3472" xr:uid="{00000000-0005-0000-0000-0000262E0000}"/>
    <cellStyle name="Итог 3 73 2" xfId="8208" xr:uid="{00000000-0005-0000-0000-0000272E0000}"/>
    <cellStyle name="Итог 3 73 3" xfId="12476" xr:uid="{00000000-0005-0000-0000-0000282E0000}"/>
    <cellStyle name="Итог 3 73 4" xfId="16712" xr:uid="{00000000-0005-0000-0000-0000292E0000}"/>
    <cellStyle name="Итог 3 74" xfId="3473" xr:uid="{00000000-0005-0000-0000-00002A2E0000}"/>
    <cellStyle name="Итог 3 74 2" xfId="8209" xr:uid="{00000000-0005-0000-0000-00002B2E0000}"/>
    <cellStyle name="Итог 3 74 3" xfId="12477" xr:uid="{00000000-0005-0000-0000-00002C2E0000}"/>
    <cellStyle name="Итог 3 74 4" xfId="16713" xr:uid="{00000000-0005-0000-0000-00002D2E0000}"/>
    <cellStyle name="Итог 3 75" xfId="3474" xr:uid="{00000000-0005-0000-0000-00002E2E0000}"/>
    <cellStyle name="Итог 3 75 2" xfId="8210" xr:uid="{00000000-0005-0000-0000-00002F2E0000}"/>
    <cellStyle name="Итог 3 75 3" xfId="12478" xr:uid="{00000000-0005-0000-0000-0000302E0000}"/>
    <cellStyle name="Итог 3 75 4" xfId="16714" xr:uid="{00000000-0005-0000-0000-0000312E0000}"/>
    <cellStyle name="Итог 3 76" xfId="3475" xr:uid="{00000000-0005-0000-0000-0000322E0000}"/>
    <cellStyle name="Итог 3 76 2" xfId="8211" xr:uid="{00000000-0005-0000-0000-0000332E0000}"/>
    <cellStyle name="Итог 3 76 3" xfId="12479" xr:uid="{00000000-0005-0000-0000-0000342E0000}"/>
    <cellStyle name="Итог 3 76 4" xfId="16715" xr:uid="{00000000-0005-0000-0000-0000352E0000}"/>
    <cellStyle name="Итог 3 77" xfId="3476" xr:uid="{00000000-0005-0000-0000-0000362E0000}"/>
    <cellStyle name="Итог 3 77 2" xfId="8212" xr:uid="{00000000-0005-0000-0000-0000372E0000}"/>
    <cellStyle name="Итог 3 77 3" xfId="12480" xr:uid="{00000000-0005-0000-0000-0000382E0000}"/>
    <cellStyle name="Итог 3 77 4" xfId="16716" xr:uid="{00000000-0005-0000-0000-0000392E0000}"/>
    <cellStyle name="Итог 3 78" xfId="3477" xr:uid="{00000000-0005-0000-0000-00003A2E0000}"/>
    <cellStyle name="Итог 3 78 2" xfId="8213" xr:uid="{00000000-0005-0000-0000-00003B2E0000}"/>
    <cellStyle name="Итог 3 78 3" xfId="12481" xr:uid="{00000000-0005-0000-0000-00003C2E0000}"/>
    <cellStyle name="Итог 3 78 4" xfId="16717" xr:uid="{00000000-0005-0000-0000-00003D2E0000}"/>
    <cellStyle name="Итог 3 79" xfId="3478" xr:uid="{00000000-0005-0000-0000-00003E2E0000}"/>
    <cellStyle name="Итог 3 79 2" xfId="8214" xr:uid="{00000000-0005-0000-0000-00003F2E0000}"/>
    <cellStyle name="Итог 3 79 3" xfId="12482" xr:uid="{00000000-0005-0000-0000-0000402E0000}"/>
    <cellStyle name="Итог 3 79 4" xfId="16718" xr:uid="{00000000-0005-0000-0000-0000412E0000}"/>
    <cellStyle name="Итог 3 8" xfId="3479" xr:uid="{00000000-0005-0000-0000-0000422E0000}"/>
    <cellStyle name="Итог 3 8 2" xfId="8215" xr:uid="{00000000-0005-0000-0000-0000432E0000}"/>
    <cellStyle name="Итог 3 8 3" xfId="12483" xr:uid="{00000000-0005-0000-0000-0000442E0000}"/>
    <cellStyle name="Итог 3 8 4" xfId="16719" xr:uid="{00000000-0005-0000-0000-0000452E0000}"/>
    <cellStyle name="Итог 3 80" xfId="3480" xr:uid="{00000000-0005-0000-0000-0000462E0000}"/>
    <cellStyle name="Итог 3 80 2" xfId="8216" xr:uid="{00000000-0005-0000-0000-0000472E0000}"/>
    <cellStyle name="Итог 3 80 3" xfId="12484" xr:uid="{00000000-0005-0000-0000-0000482E0000}"/>
    <cellStyle name="Итог 3 80 4" xfId="16720" xr:uid="{00000000-0005-0000-0000-0000492E0000}"/>
    <cellStyle name="Итог 3 81" xfId="3481" xr:uid="{00000000-0005-0000-0000-00004A2E0000}"/>
    <cellStyle name="Итог 3 81 2" xfId="8217" xr:uid="{00000000-0005-0000-0000-00004B2E0000}"/>
    <cellStyle name="Итог 3 81 3" xfId="12485" xr:uid="{00000000-0005-0000-0000-00004C2E0000}"/>
    <cellStyle name="Итог 3 81 4" xfId="16721" xr:uid="{00000000-0005-0000-0000-00004D2E0000}"/>
    <cellStyle name="Итог 3 82" xfId="3482" xr:uid="{00000000-0005-0000-0000-00004E2E0000}"/>
    <cellStyle name="Итог 3 82 2" xfId="8218" xr:uid="{00000000-0005-0000-0000-00004F2E0000}"/>
    <cellStyle name="Итог 3 82 3" xfId="12486" xr:uid="{00000000-0005-0000-0000-0000502E0000}"/>
    <cellStyle name="Итог 3 82 4" xfId="16722" xr:uid="{00000000-0005-0000-0000-0000512E0000}"/>
    <cellStyle name="Итог 3 83" xfId="3483" xr:uid="{00000000-0005-0000-0000-0000522E0000}"/>
    <cellStyle name="Итог 3 83 2" xfId="8219" xr:uid="{00000000-0005-0000-0000-0000532E0000}"/>
    <cellStyle name="Итог 3 83 3" xfId="12487" xr:uid="{00000000-0005-0000-0000-0000542E0000}"/>
    <cellStyle name="Итог 3 83 4" xfId="16723" xr:uid="{00000000-0005-0000-0000-0000552E0000}"/>
    <cellStyle name="Итог 3 84" xfId="3484" xr:uid="{00000000-0005-0000-0000-0000562E0000}"/>
    <cellStyle name="Итог 3 84 2" xfId="8220" xr:uid="{00000000-0005-0000-0000-0000572E0000}"/>
    <cellStyle name="Итог 3 84 3" xfId="12488" xr:uid="{00000000-0005-0000-0000-0000582E0000}"/>
    <cellStyle name="Итог 3 84 4" xfId="16724" xr:uid="{00000000-0005-0000-0000-0000592E0000}"/>
    <cellStyle name="Итог 3 85" xfId="3485" xr:uid="{00000000-0005-0000-0000-00005A2E0000}"/>
    <cellStyle name="Итог 3 85 2" xfId="8221" xr:uid="{00000000-0005-0000-0000-00005B2E0000}"/>
    <cellStyle name="Итог 3 85 3" xfId="12489" xr:uid="{00000000-0005-0000-0000-00005C2E0000}"/>
    <cellStyle name="Итог 3 85 4" xfId="16725" xr:uid="{00000000-0005-0000-0000-00005D2E0000}"/>
    <cellStyle name="Итог 3 86" xfId="3486" xr:uid="{00000000-0005-0000-0000-00005E2E0000}"/>
    <cellStyle name="Итог 3 86 2" xfId="8222" xr:uid="{00000000-0005-0000-0000-00005F2E0000}"/>
    <cellStyle name="Итог 3 86 3" xfId="12490" xr:uid="{00000000-0005-0000-0000-0000602E0000}"/>
    <cellStyle name="Итог 3 86 4" xfId="16726" xr:uid="{00000000-0005-0000-0000-0000612E0000}"/>
    <cellStyle name="Итог 3 87" xfId="3487" xr:uid="{00000000-0005-0000-0000-0000622E0000}"/>
    <cellStyle name="Итог 3 87 2" xfId="8223" xr:uid="{00000000-0005-0000-0000-0000632E0000}"/>
    <cellStyle name="Итог 3 87 3" xfId="12491" xr:uid="{00000000-0005-0000-0000-0000642E0000}"/>
    <cellStyle name="Итог 3 87 4" xfId="16727" xr:uid="{00000000-0005-0000-0000-0000652E0000}"/>
    <cellStyle name="Итог 3 88" xfId="3488" xr:uid="{00000000-0005-0000-0000-0000662E0000}"/>
    <cellStyle name="Итог 3 88 2" xfId="8224" xr:uid="{00000000-0005-0000-0000-0000672E0000}"/>
    <cellStyle name="Итог 3 88 3" xfId="12492" xr:uid="{00000000-0005-0000-0000-0000682E0000}"/>
    <cellStyle name="Итог 3 88 4" xfId="16728" xr:uid="{00000000-0005-0000-0000-0000692E0000}"/>
    <cellStyle name="Итог 3 89" xfId="3489" xr:uid="{00000000-0005-0000-0000-00006A2E0000}"/>
    <cellStyle name="Итог 3 89 2" xfId="8225" xr:uid="{00000000-0005-0000-0000-00006B2E0000}"/>
    <cellStyle name="Итог 3 89 3" xfId="12493" xr:uid="{00000000-0005-0000-0000-00006C2E0000}"/>
    <cellStyle name="Итог 3 89 4" xfId="16729" xr:uid="{00000000-0005-0000-0000-00006D2E0000}"/>
    <cellStyle name="Итог 3 9" xfId="3490" xr:uid="{00000000-0005-0000-0000-00006E2E0000}"/>
    <cellStyle name="Итог 3 9 2" xfId="8226" xr:uid="{00000000-0005-0000-0000-00006F2E0000}"/>
    <cellStyle name="Итог 3 9 3" xfId="12494" xr:uid="{00000000-0005-0000-0000-0000702E0000}"/>
    <cellStyle name="Итог 3 9 4" xfId="16730" xr:uid="{00000000-0005-0000-0000-0000712E0000}"/>
    <cellStyle name="Итог 3 90" xfId="3491" xr:uid="{00000000-0005-0000-0000-0000722E0000}"/>
    <cellStyle name="Итог 3 90 2" xfId="8227" xr:uid="{00000000-0005-0000-0000-0000732E0000}"/>
    <cellStyle name="Итог 3 90 3" xfId="12495" xr:uid="{00000000-0005-0000-0000-0000742E0000}"/>
    <cellStyle name="Итог 3 90 4" xfId="16731" xr:uid="{00000000-0005-0000-0000-0000752E0000}"/>
    <cellStyle name="Итог 3 91" xfId="3492" xr:uid="{00000000-0005-0000-0000-0000762E0000}"/>
    <cellStyle name="Итог 3 91 2" xfId="8228" xr:uid="{00000000-0005-0000-0000-0000772E0000}"/>
    <cellStyle name="Итог 3 91 3" xfId="12496" xr:uid="{00000000-0005-0000-0000-0000782E0000}"/>
    <cellStyle name="Итог 3 91 4" xfId="16732" xr:uid="{00000000-0005-0000-0000-0000792E0000}"/>
    <cellStyle name="Итог 3 92" xfId="5206" xr:uid="{00000000-0005-0000-0000-00007A2E0000}"/>
    <cellStyle name="Итог 3 93" xfId="8835" xr:uid="{00000000-0005-0000-0000-00007B2E0000}"/>
    <cellStyle name="Итог 3 94" xfId="13085" xr:uid="{00000000-0005-0000-0000-00007C2E0000}"/>
    <cellStyle name="Итог 4" xfId="292" xr:uid="{00000000-0005-0000-0000-00007D2E0000}"/>
    <cellStyle name="Итог 4 10" xfId="3493" xr:uid="{00000000-0005-0000-0000-00007E2E0000}"/>
    <cellStyle name="Итог 4 10 2" xfId="8229" xr:uid="{00000000-0005-0000-0000-00007F2E0000}"/>
    <cellStyle name="Итог 4 10 3" xfId="12497" xr:uid="{00000000-0005-0000-0000-0000802E0000}"/>
    <cellStyle name="Итог 4 10 4" xfId="16733" xr:uid="{00000000-0005-0000-0000-0000812E0000}"/>
    <cellStyle name="Итог 4 11" xfId="3494" xr:uid="{00000000-0005-0000-0000-0000822E0000}"/>
    <cellStyle name="Итог 4 11 2" xfId="8230" xr:uid="{00000000-0005-0000-0000-0000832E0000}"/>
    <cellStyle name="Итог 4 11 3" xfId="12498" xr:uid="{00000000-0005-0000-0000-0000842E0000}"/>
    <cellStyle name="Итог 4 11 4" xfId="16734" xr:uid="{00000000-0005-0000-0000-0000852E0000}"/>
    <cellStyle name="Итог 4 12" xfId="3495" xr:uid="{00000000-0005-0000-0000-0000862E0000}"/>
    <cellStyle name="Итог 4 12 2" xfId="8231" xr:uid="{00000000-0005-0000-0000-0000872E0000}"/>
    <cellStyle name="Итог 4 12 3" xfId="12499" xr:uid="{00000000-0005-0000-0000-0000882E0000}"/>
    <cellStyle name="Итог 4 12 4" xfId="16735" xr:uid="{00000000-0005-0000-0000-0000892E0000}"/>
    <cellStyle name="Итог 4 13" xfId="3496" xr:uid="{00000000-0005-0000-0000-00008A2E0000}"/>
    <cellStyle name="Итог 4 13 2" xfId="8232" xr:uid="{00000000-0005-0000-0000-00008B2E0000}"/>
    <cellStyle name="Итог 4 13 3" xfId="12500" xr:uid="{00000000-0005-0000-0000-00008C2E0000}"/>
    <cellStyle name="Итог 4 13 4" xfId="16736" xr:uid="{00000000-0005-0000-0000-00008D2E0000}"/>
    <cellStyle name="Итог 4 14" xfId="3497" xr:uid="{00000000-0005-0000-0000-00008E2E0000}"/>
    <cellStyle name="Итог 4 14 2" xfId="8233" xr:uid="{00000000-0005-0000-0000-00008F2E0000}"/>
    <cellStyle name="Итог 4 14 3" xfId="12501" xr:uid="{00000000-0005-0000-0000-0000902E0000}"/>
    <cellStyle name="Итог 4 14 4" xfId="16737" xr:uid="{00000000-0005-0000-0000-0000912E0000}"/>
    <cellStyle name="Итог 4 15" xfId="3498" xr:uid="{00000000-0005-0000-0000-0000922E0000}"/>
    <cellStyle name="Итог 4 15 2" xfId="8234" xr:uid="{00000000-0005-0000-0000-0000932E0000}"/>
    <cellStyle name="Итог 4 15 3" xfId="12502" xr:uid="{00000000-0005-0000-0000-0000942E0000}"/>
    <cellStyle name="Итог 4 15 4" xfId="16738" xr:uid="{00000000-0005-0000-0000-0000952E0000}"/>
    <cellStyle name="Итог 4 16" xfId="3499" xr:uid="{00000000-0005-0000-0000-0000962E0000}"/>
    <cellStyle name="Итог 4 16 2" xfId="8235" xr:uid="{00000000-0005-0000-0000-0000972E0000}"/>
    <cellStyle name="Итог 4 16 3" xfId="12503" xr:uid="{00000000-0005-0000-0000-0000982E0000}"/>
    <cellStyle name="Итог 4 16 4" xfId="16739" xr:uid="{00000000-0005-0000-0000-0000992E0000}"/>
    <cellStyle name="Итог 4 17" xfId="3500" xr:uid="{00000000-0005-0000-0000-00009A2E0000}"/>
    <cellStyle name="Итог 4 17 2" xfId="8236" xr:uid="{00000000-0005-0000-0000-00009B2E0000}"/>
    <cellStyle name="Итог 4 17 3" xfId="12504" xr:uid="{00000000-0005-0000-0000-00009C2E0000}"/>
    <cellStyle name="Итог 4 17 4" xfId="16740" xr:uid="{00000000-0005-0000-0000-00009D2E0000}"/>
    <cellStyle name="Итог 4 18" xfId="3501" xr:uid="{00000000-0005-0000-0000-00009E2E0000}"/>
    <cellStyle name="Итог 4 18 2" xfId="8237" xr:uid="{00000000-0005-0000-0000-00009F2E0000}"/>
    <cellStyle name="Итог 4 18 3" xfId="12505" xr:uid="{00000000-0005-0000-0000-0000A02E0000}"/>
    <cellStyle name="Итог 4 18 4" xfId="16741" xr:uid="{00000000-0005-0000-0000-0000A12E0000}"/>
    <cellStyle name="Итог 4 19" xfId="3502" xr:uid="{00000000-0005-0000-0000-0000A22E0000}"/>
    <cellStyle name="Итог 4 19 2" xfId="8238" xr:uid="{00000000-0005-0000-0000-0000A32E0000}"/>
    <cellStyle name="Итог 4 19 3" xfId="12506" xr:uid="{00000000-0005-0000-0000-0000A42E0000}"/>
    <cellStyle name="Итог 4 19 4" xfId="16742" xr:uid="{00000000-0005-0000-0000-0000A52E0000}"/>
    <cellStyle name="Итог 4 2" xfId="3503" xr:uid="{00000000-0005-0000-0000-0000A62E0000}"/>
    <cellStyle name="Итог 4 2 2" xfId="3504" xr:uid="{00000000-0005-0000-0000-0000A72E0000}"/>
    <cellStyle name="Итог 4 2 2 2" xfId="8240" xr:uid="{00000000-0005-0000-0000-0000A82E0000}"/>
    <cellStyle name="Итог 4 2 2 3" xfId="12508" xr:uid="{00000000-0005-0000-0000-0000A92E0000}"/>
    <cellStyle name="Итог 4 2 2 4" xfId="16744" xr:uid="{00000000-0005-0000-0000-0000AA2E0000}"/>
    <cellStyle name="Итог 4 2 3" xfId="3505" xr:uid="{00000000-0005-0000-0000-0000AB2E0000}"/>
    <cellStyle name="Итог 4 2 3 2" xfId="8241" xr:uid="{00000000-0005-0000-0000-0000AC2E0000}"/>
    <cellStyle name="Итог 4 2 3 3" xfId="12509" xr:uid="{00000000-0005-0000-0000-0000AD2E0000}"/>
    <cellStyle name="Итог 4 2 3 4" xfId="16745" xr:uid="{00000000-0005-0000-0000-0000AE2E0000}"/>
    <cellStyle name="Итог 4 2 4" xfId="8239" xr:uid="{00000000-0005-0000-0000-0000AF2E0000}"/>
    <cellStyle name="Итог 4 2 5" xfId="12507" xr:uid="{00000000-0005-0000-0000-0000B02E0000}"/>
    <cellStyle name="Итог 4 2 6" xfId="16743" xr:uid="{00000000-0005-0000-0000-0000B12E0000}"/>
    <cellStyle name="Итог 4 20" xfId="3506" xr:uid="{00000000-0005-0000-0000-0000B22E0000}"/>
    <cellStyle name="Итог 4 20 2" xfId="8242" xr:uid="{00000000-0005-0000-0000-0000B32E0000}"/>
    <cellStyle name="Итог 4 20 3" xfId="12510" xr:uid="{00000000-0005-0000-0000-0000B42E0000}"/>
    <cellStyle name="Итог 4 20 4" xfId="16746" xr:uid="{00000000-0005-0000-0000-0000B52E0000}"/>
    <cellStyle name="Итог 4 21" xfId="3507" xr:uid="{00000000-0005-0000-0000-0000B62E0000}"/>
    <cellStyle name="Итог 4 21 2" xfId="8243" xr:uid="{00000000-0005-0000-0000-0000B72E0000}"/>
    <cellStyle name="Итог 4 21 3" xfId="12511" xr:uid="{00000000-0005-0000-0000-0000B82E0000}"/>
    <cellStyle name="Итог 4 21 4" xfId="16747" xr:uid="{00000000-0005-0000-0000-0000B92E0000}"/>
    <cellStyle name="Итог 4 22" xfId="3508" xr:uid="{00000000-0005-0000-0000-0000BA2E0000}"/>
    <cellStyle name="Итог 4 22 2" xfId="8244" xr:uid="{00000000-0005-0000-0000-0000BB2E0000}"/>
    <cellStyle name="Итог 4 22 3" xfId="12512" xr:uid="{00000000-0005-0000-0000-0000BC2E0000}"/>
    <cellStyle name="Итог 4 22 4" xfId="16748" xr:uid="{00000000-0005-0000-0000-0000BD2E0000}"/>
    <cellStyle name="Итог 4 23" xfId="3509" xr:uid="{00000000-0005-0000-0000-0000BE2E0000}"/>
    <cellStyle name="Итог 4 23 2" xfId="8245" xr:uid="{00000000-0005-0000-0000-0000BF2E0000}"/>
    <cellStyle name="Итог 4 23 3" xfId="12513" xr:uid="{00000000-0005-0000-0000-0000C02E0000}"/>
    <cellStyle name="Итог 4 23 4" xfId="16749" xr:uid="{00000000-0005-0000-0000-0000C12E0000}"/>
    <cellStyle name="Итог 4 24" xfId="3510" xr:uid="{00000000-0005-0000-0000-0000C22E0000}"/>
    <cellStyle name="Итог 4 24 2" xfId="8246" xr:uid="{00000000-0005-0000-0000-0000C32E0000}"/>
    <cellStyle name="Итог 4 24 3" xfId="12514" xr:uid="{00000000-0005-0000-0000-0000C42E0000}"/>
    <cellStyle name="Итог 4 24 4" xfId="16750" xr:uid="{00000000-0005-0000-0000-0000C52E0000}"/>
    <cellStyle name="Итог 4 25" xfId="3511" xr:uid="{00000000-0005-0000-0000-0000C62E0000}"/>
    <cellStyle name="Итог 4 25 2" xfId="8247" xr:uid="{00000000-0005-0000-0000-0000C72E0000}"/>
    <cellStyle name="Итог 4 25 3" xfId="12515" xr:uid="{00000000-0005-0000-0000-0000C82E0000}"/>
    <cellStyle name="Итог 4 25 4" xfId="16751" xr:uid="{00000000-0005-0000-0000-0000C92E0000}"/>
    <cellStyle name="Итог 4 26" xfId="3512" xr:uid="{00000000-0005-0000-0000-0000CA2E0000}"/>
    <cellStyle name="Итог 4 26 2" xfId="8248" xr:uid="{00000000-0005-0000-0000-0000CB2E0000}"/>
    <cellStyle name="Итог 4 26 3" xfId="12516" xr:uid="{00000000-0005-0000-0000-0000CC2E0000}"/>
    <cellStyle name="Итог 4 26 4" xfId="16752" xr:uid="{00000000-0005-0000-0000-0000CD2E0000}"/>
    <cellStyle name="Итог 4 27" xfId="3513" xr:uid="{00000000-0005-0000-0000-0000CE2E0000}"/>
    <cellStyle name="Итог 4 27 2" xfId="8249" xr:uid="{00000000-0005-0000-0000-0000CF2E0000}"/>
    <cellStyle name="Итог 4 27 3" xfId="12517" xr:uid="{00000000-0005-0000-0000-0000D02E0000}"/>
    <cellStyle name="Итог 4 27 4" xfId="16753" xr:uid="{00000000-0005-0000-0000-0000D12E0000}"/>
    <cellStyle name="Итог 4 28" xfId="3514" xr:uid="{00000000-0005-0000-0000-0000D22E0000}"/>
    <cellStyle name="Итог 4 28 2" xfId="8250" xr:uid="{00000000-0005-0000-0000-0000D32E0000}"/>
    <cellStyle name="Итог 4 28 3" xfId="12518" xr:uid="{00000000-0005-0000-0000-0000D42E0000}"/>
    <cellStyle name="Итог 4 28 4" xfId="16754" xr:uid="{00000000-0005-0000-0000-0000D52E0000}"/>
    <cellStyle name="Итог 4 29" xfId="3515" xr:uid="{00000000-0005-0000-0000-0000D62E0000}"/>
    <cellStyle name="Итог 4 29 2" xfId="8251" xr:uid="{00000000-0005-0000-0000-0000D72E0000}"/>
    <cellStyle name="Итог 4 29 3" xfId="12519" xr:uid="{00000000-0005-0000-0000-0000D82E0000}"/>
    <cellStyle name="Итог 4 29 4" xfId="16755" xr:uid="{00000000-0005-0000-0000-0000D92E0000}"/>
    <cellStyle name="Итог 4 3" xfId="3516" xr:uid="{00000000-0005-0000-0000-0000DA2E0000}"/>
    <cellStyle name="Итог 4 3 2" xfId="3517" xr:uid="{00000000-0005-0000-0000-0000DB2E0000}"/>
    <cellStyle name="Итог 4 3 2 2" xfId="8253" xr:uid="{00000000-0005-0000-0000-0000DC2E0000}"/>
    <cellStyle name="Итог 4 3 2 3" xfId="12521" xr:uid="{00000000-0005-0000-0000-0000DD2E0000}"/>
    <cellStyle name="Итог 4 3 2 4" xfId="16757" xr:uid="{00000000-0005-0000-0000-0000DE2E0000}"/>
    <cellStyle name="Итог 4 3 3" xfId="3518" xr:uid="{00000000-0005-0000-0000-0000DF2E0000}"/>
    <cellStyle name="Итог 4 3 3 2" xfId="8254" xr:uid="{00000000-0005-0000-0000-0000E02E0000}"/>
    <cellStyle name="Итог 4 3 3 3" xfId="12522" xr:uid="{00000000-0005-0000-0000-0000E12E0000}"/>
    <cellStyle name="Итог 4 3 3 4" xfId="16758" xr:uid="{00000000-0005-0000-0000-0000E22E0000}"/>
    <cellStyle name="Итог 4 3 4" xfId="8252" xr:uid="{00000000-0005-0000-0000-0000E32E0000}"/>
    <cellStyle name="Итог 4 3 5" xfId="12520" xr:uid="{00000000-0005-0000-0000-0000E42E0000}"/>
    <cellStyle name="Итог 4 3 6" xfId="16756" xr:uid="{00000000-0005-0000-0000-0000E52E0000}"/>
    <cellStyle name="Итог 4 30" xfId="3519" xr:uid="{00000000-0005-0000-0000-0000E62E0000}"/>
    <cellStyle name="Итог 4 30 2" xfId="8255" xr:uid="{00000000-0005-0000-0000-0000E72E0000}"/>
    <cellStyle name="Итог 4 30 3" xfId="12523" xr:uid="{00000000-0005-0000-0000-0000E82E0000}"/>
    <cellStyle name="Итог 4 30 4" xfId="16759" xr:uid="{00000000-0005-0000-0000-0000E92E0000}"/>
    <cellStyle name="Итог 4 31" xfId="3520" xr:uid="{00000000-0005-0000-0000-0000EA2E0000}"/>
    <cellStyle name="Итог 4 31 2" xfId="8256" xr:uid="{00000000-0005-0000-0000-0000EB2E0000}"/>
    <cellStyle name="Итог 4 31 3" xfId="12524" xr:uid="{00000000-0005-0000-0000-0000EC2E0000}"/>
    <cellStyle name="Итог 4 31 4" xfId="16760" xr:uid="{00000000-0005-0000-0000-0000ED2E0000}"/>
    <cellStyle name="Итог 4 32" xfId="3521" xr:uid="{00000000-0005-0000-0000-0000EE2E0000}"/>
    <cellStyle name="Итог 4 32 2" xfId="8257" xr:uid="{00000000-0005-0000-0000-0000EF2E0000}"/>
    <cellStyle name="Итог 4 32 3" xfId="12525" xr:uid="{00000000-0005-0000-0000-0000F02E0000}"/>
    <cellStyle name="Итог 4 32 4" xfId="16761" xr:uid="{00000000-0005-0000-0000-0000F12E0000}"/>
    <cellStyle name="Итог 4 33" xfId="3522" xr:uid="{00000000-0005-0000-0000-0000F22E0000}"/>
    <cellStyle name="Итог 4 33 2" xfId="8258" xr:uid="{00000000-0005-0000-0000-0000F32E0000}"/>
    <cellStyle name="Итог 4 33 3" xfId="12526" xr:uid="{00000000-0005-0000-0000-0000F42E0000}"/>
    <cellStyle name="Итог 4 33 4" xfId="16762" xr:uid="{00000000-0005-0000-0000-0000F52E0000}"/>
    <cellStyle name="Итог 4 34" xfId="3523" xr:uid="{00000000-0005-0000-0000-0000F62E0000}"/>
    <cellStyle name="Итог 4 34 2" xfId="8259" xr:uid="{00000000-0005-0000-0000-0000F72E0000}"/>
    <cellStyle name="Итог 4 34 3" xfId="12527" xr:uid="{00000000-0005-0000-0000-0000F82E0000}"/>
    <cellStyle name="Итог 4 34 4" xfId="16763" xr:uid="{00000000-0005-0000-0000-0000F92E0000}"/>
    <cellStyle name="Итог 4 35" xfId="3524" xr:uid="{00000000-0005-0000-0000-0000FA2E0000}"/>
    <cellStyle name="Итог 4 35 2" xfId="8260" xr:uid="{00000000-0005-0000-0000-0000FB2E0000}"/>
    <cellStyle name="Итог 4 35 3" xfId="12528" xr:uid="{00000000-0005-0000-0000-0000FC2E0000}"/>
    <cellStyle name="Итог 4 35 4" xfId="16764" xr:uid="{00000000-0005-0000-0000-0000FD2E0000}"/>
    <cellStyle name="Итог 4 36" xfId="3525" xr:uid="{00000000-0005-0000-0000-0000FE2E0000}"/>
    <cellStyle name="Итог 4 36 2" xfId="8261" xr:uid="{00000000-0005-0000-0000-0000FF2E0000}"/>
    <cellStyle name="Итог 4 36 3" xfId="12529" xr:uid="{00000000-0005-0000-0000-0000002F0000}"/>
    <cellStyle name="Итог 4 36 4" xfId="16765" xr:uid="{00000000-0005-0000-0000-0000012F0000}"/>
    <cellStyle name="Итог 4 37" xfId="3526" xr:uid="{00000000-0005-0000-0000-0000022F0000}"/>
    <cellStyle name="Итог 4 37 2" xfId="8262" xr:uid="{00000000-0005-0000-0000-0000032F0000}"/>
    <cellStyle name="Итог 4 37 3" xfId="12530" xr:uid="{00000000-0005-0000-0000-0000042F0000}"/>
    <cellStyle name="Итог 4 37 4" xfId="16766" xr:uid="{00000000-0005-0000-0000-0000052F0000}"/>
    <cellStyle name="Итог 4 38" xfId="3527" xr:uid="{00000000-0005-0000-0000-0000062F0000}"/>
    <cellStyle name="Итог 4 38 2" xfId="8263" xr:uid="{00000000-0005-0000-0000-0000072F0000}"/>
    <cellStyle name="Итог 4 38 3" xfId="12531" xr:uid="{00000000-0005-0000-0000-0000082F0000}"/>
    <cellStyle name="Итог 4 38 4" xfId="16767" xr:uid="{00000000-0005-0000-0000-0000092F0000}"/>
    <cellStyle name="Итог 4 39" xfId="3528" xr:uid="{00000000-0005-0000-0000-00000A2F0000}"/>
    <cellStyle name="Итог 4 39 2" xfId="8264" xr:uid="{00000000-0005-0000-0000-00000B2F0000}"/>
    <cellStyle name="Итог 4 39 3" xfId="12532" xr:uid="{00000000-0005-0000-0000-00000C2F0000}"/>
    <cellStyle name="Итог 4 39 4" xfId="16768" xr:uid="{00000000-0005-0000-0000-00000D2F0000}"/>
    <cellStyle name="Итог 4 4" xfId="3529" xr:uid="{00000000-0005-0000-0000-00000E2F0000}"/>
    <cellStyle name="Итог 4 4 2" xfId="3530" xr:uid="{00000000-0005-0000-0000-00000F2F0000}"/>
    <cellStyle name="Итог 4 4 2 2" xfId="8266" xr:uid="{00000000-0005-0000-0000-0000102F0000}"/>
    <cellStyle name="Итог 4 4 2 3" xfId="12534" xr:uid="{00000000-0005-0000-0000-0000112F0000}"/>
    <cellStyle name="Итог 4 4 2 4" xfId="16770" xr:uid="{00000000-0005-0000-0000-0000122F0000}"/>
    <cellStyle name="Итог 4 4 3" xfId="3531" xr:uid="{00000000-0005-0000-0000-0000132F0000}"/>
    <cellStyle name="Итог 4 4 3 2" xfId="8267" xr:uid="{00000000-0005-0000-0000-0000142F0000}"/>
    <cellStyle name="Итог 4 4 3 3" xfId="12535" xr:uid="{00000000-0005-0000-0000-0000152F0000}"/>
    <cellStyle name="Итог 4 4 3 4" xfId="16771" xr:uid="{00000000-0005-0000-0000-0000162F0000}"/>
    <cellStyle name="Итог 4 4 4" xfId="8265" xr:uid="{00000000-0005-0000-0000-0000172F0000}"/>
    <cellStyle name="Итог 4 4 5" xfId="12533" xr:uid="{00000000-0005-0000-0000-0000182F0000}"/>
    <cellStyle name="Итог 4 4 6" xfId="16769" xr:uid="{00000000-0005-0000-0000-0000192F0000}"/>
    <cellStyle name="Итог 4 40" xfId="3532" xr:uid="{00000000-0005-0000-0000-00001A2F0000}"/>
    <cellStyle name="Итог 4 40 2" xfId="8268" xr:uid="{00000000-0005-0000-0000-00001B2F0000}"/>
    <cellStyle name="Итог 4 40 3" xfId="12536" xr:uid="{00000000-0005-0000-0000-00001C2F0000}"/>
    <cellStyle name="Итог 4 40 4" xfId="16772" xr:uid="{00000000-0005-0000-0000-00001D2F0000}"/>
    <cellStyle name="Итог 4 41" xfId="3533" xr:uid="{00000000-0005-0000-0000-00001E2F0000}"/>
    <cellStyle name="Итог 4 41 2" xfId="8269" xr:uid="{00000000-0005-0000-0000-00001F2F0000}"/>
    <cellStyle name="Итог 4 41 3" xfId="12537" xr:uid="{00000000-0005-0000-0000-0000202F0000}"/>
    <cellStyle name="Итог 4 41 4" xfId="16773" xr:uid="{00000000-0005-0000-0000-0000212F0000}"/>
    <cellStyle name="Итог 4 42" xfId="3534" xr:uid="{00000000-0005-0000-0000-0000222F0000}"/>
    <cellStyle name="Итог 4 42 2" xfId="8270" xr:uid="{00000000-0005-0000-0000-0000232F0000}"/>
    <cellStyle name="Итог 4 42 3" xfId="12538" xr:uid="{00000000-0005-0000-0000-0000242F0000}"/>
    <cellStyle name="Итог 4 42 4" xfId="16774" xr:uid="{00000000-0005-0000-0000-0000252F0000}"/>
    <cellStyle name="Итог 4 43" xfId="3535" xr:uid="{00000000-0005-0000-0000-0000262F0000}"/>
    <cellStyle name="Итог 4 43 2" xfId="8271" xr:uid="{00000000-0005-0000-0000-0000272F0000}"/>
    <cellStyle name="Итог 4 43 3" xfId="12539" xr:uid="{00000000-0005-0000-0000-0000282F0000}"/>
    <cellStyle name="Итог 4 43 4" xfId="16775" xr:uid="{00000000-0005-0000-0000-0000292F0000}"/>
    <cellStyle name="Итог 4 44" xfId="3536" xr:uid="{00000000-0005-0000-0000-00002A2F0000}"/>
    <cellStyle name="Итог 4 44 2" xfId="8272" xr:uid="{00000000-0005-0000-0000-00002B2F0000}"/>
    <cellStyle name="Итог 4 44 3" xfId="12540" xr:uid="{00000000-0005-0000-0000-00002C2F0000}"/>
    <cellStyle name="Итог 4 44 4" xfId="16776" xr:uid="{00000000-0005-0000-0000-00002D2F0000}"/>
    <cellStyle name="Итог 4 45" xfId="3537" xr:uid="{00000000-0005-0000-0000-00002E2F0000}"/>
    <cellStyle name="Итог 4 45 2" xfId="8273" xr:uid="{00000000-0005-0000-0000-00002F2F0000}"/>
    <cellStyle name="Итог 4 45 3" xfId="12541" xr:uid="{00000000-0005-0000-0000-0000302F0000}"/>
    <cellStyle name="Итог 4 45 4" xfId="16777" xr:uid="{00000000-0005-0000-0000-0000312F0000}"/>
    <cellStyle name="Итог 4 46" xfId="3538" xr:uid="{00000000-0005-0000-0000-0000322F0000}"/>
    <cellStyle name="Итог 4 46 2" xfId="8274" xr:uid="{00000000-0005-0000-0000-0000332F0000}"/>
    <cellStyle name="Итог 4 46 3" xfId="12542" xr:uid="{00000000-0005-0000-0000-0000342F0000}"/>
    <cellStyle name="Итог 4 46 4" xfId="16778" xr:uid="{00000000-0005-0000-0000-0000352F0000}"/>
    <cellStyle name="Итог 4 47" xfId="3539" xr:uid="{00000000-0005-0000-0000-0000362F0000}"/>
    <cellStyle name="Итог 4 47 2" xfId="8275" xr:uid="{00000000-0005-0000-0000-0000372F0000}"/>
    <cellStyle name="Итог 4 47 3" xfId="12543" xr:uid="{00000000-0005-0000-0000-0000382F0000}"/>
    <cellStyle name="Итог 4 47 4" xfId="16779" xr:uid="{00000000-0005-0000-0000-0000392F0000}"/>
    <cellStyle name="Итог 4 48" xfId="3540" xr:uid="{00000000-0005-0000-0000-00003A2F0000}"/>
    <cellStyle name="Итог 4 48 2" xfId="8276" xr:uid="{00000000-0005-0000-0000-00003B2F0000}"/>
    <cellStyle name="Итог 4 48 3" xfId="12544" xr:uid="{00000000-0005-0000-0000-00003C2F0000}"/>
    <cellStyle name="Итог 4 48 4" xfId="16780" xr:uid="{00000000-0005-0000-0000-00003D2F0000}"/>
    <cellStyle name="Итог 4 49" xfId="3541" xr:uid="{00000000-0005-0000-0000-00003E2F0000}"/>
    <cellStyle name="Итог 4 49 2" xfId="8277" xr:uid="{00000000-0005-0000-0000-00003F2F0000}"/>
    <cellStyle name="Итог 4 49 3" xfId="12545" xr:uid="{00000000-0005-0000-0000-0000402F0000}"/>
    <cellStyle name="Итог 4 49 4" xfId="16781" xr:uid="{00000000-0005-0000-0000-0000412F0000}"/>
    <cellStyle name="Итог 4 5" xfId="3542" xr:uid="{00000000-0005-0000-0000-0000422F0000}"/>
    <cellStyle name="Итог 4 5 2" xfId="8278" xr:uid="{00000000-0005-0000-0000-0000432F0000}"/>
    <cellStyle name="Итог 4 5 3" xfId="12546" xr:uid="{00000000-0005-0000-0000-0000442F0000}"/>
    <cellStyle name="Итог 4 5 4" xfId="16782" xr:uid="{00000000-0005-0000-0000-0000452F0000}"/>
    <cellStyle name="Итог 4 50" xfId="3543" xr:uid="{00000000-0005-0000-0000-0000462F0000}"/>
    <cellStyle name="Итог 4 50 2" xfId="8279" xr:uid="{00000000-0005-0000-0000-0000472F0000}"/>
    <cellStyle name="Итог 4 50 3" xfId="12547" xr:uid="{00000000-0005-0000-0000-0000482F0000}"/>
    <cellStyle name="Итог 4 50 4" xfId="16783" xr:uid="{00000000-0005-0000-0000-0000492F0000}"/>
    <cellStyle name="Итог 4 51" xfId="3544" xr:uid="{00000000-0005-0000-0000-00004A2F0000}"/>
    <cellStyle name="Итог 4 51 2" xfId="8280" xr:uid="{00000000-0005-0000-0000-00004B2F0000}"/>
    <cellStyle name="Итог 4 51 3" xfId="12548" xr:uid="{00000000-0005-0000-0000-00004C2F0000}"/>
    <cellStyle name="Итог 4 51 4" xfId="16784" xr:uid="{00000000-0005-0000-0000-00004D2F0000}"/>
    <cellStyle name="Итог 4 52" xfId="3545" xr:uid="{00000000-0005-0000-0000-00004E2F0000}"/>
    <cellStyle name="Итог 4 52 2" xfId="8281" xr:uid="{00000000-0005-0000-0000-00004F2F0000}"/>
    <cellStyle name="Итог 4 52 3" xfId="12549" xr:uid="{00000000-0005-0000-0000-0000502F0000}"/>
    <cellStyle name="Итог 4 52 4" xfId="16785" xr:uid="{00000000-0005-0000-0000-0000512F0000}"/>
    <cellStyle name="Итог 4 53" xfId="3546" xr:uid="{00000000-0005-0000-0000-0000522F0000}"/>
    <cellStyle name="Итог 4 53 2" xfId="8282" xr:uid="{00000000-0005-0000-0000-0000532F0000}"/>
    <cellStyle name="Итог 4 53 3" xfId="12550" xr:uid="{00000000-0005-0000-0000-0000542F0000}"/>
    <cellStyle name="Итог 4 53 4" xfId="16786" xr:uid="{00000000-0005-0000-0000-0000552F0000}"/>
    <cellStyle name="Итог 4 54" xfId="3547" xr:uid="{00000000-0005-0000-0000-0000562F0000}"/>
    <cellStyle name="Итог 4 54 2" xfId="8283" xr:uid="{00000000-0005-0000-0000-0000572F0000}"/>
    <cellStyle name="Итог 4 54 3" xfId="12551" xr:uid="{00000000-0005-0000-0000-0000582F0000}"/>
    <cellStyle name="Итог 4 54 4" xfId="16787" xr:uid="{00000000-0005-0000-0000-0000592F0000}"/>
    <cellStyle name="Итог 4 55" xfId="3548" xr:uid="{00000000-0005-0000-0000-00005A2F0000}"/>
    <cellStyle name="Итог 4 55 2" xfId="8284" xr:uid="{00000000-0005-0000-0000-00005B2F0000}"/>
    <cellStyle name="Итог 4 55 3" xfId="12552" xr:uid="{00000000-0005-0000-0000-00005C2F0000}"/>
    <cellStyle name="Итог 4 55 4" xfId="16788" xr:uid="{00000000-0005-0000-0000-00005D2F0000}"/>
    <cellStyle name="Итог 4 56" xfId="3549" xr:uid="{00000000-0005-0000-0000-00005E2F0000}"/>
    <cellStyle name="Итог 4 56 2" xfId="8285" xr:uid="{00000000-0005-0000-0000-00005F2F0000}"/>
    <cellStyle name="Итог 4 56 3" xfId="12553" xr:uid="{00000000-0005-0000-0000-0000602F0000}"/>
    <cellStyle name="Итог 4 56 4" xfId="16789" xr:uid="{00000000-0005-0000-0000-0000612F0000}"/>
    <cellStyle name="Итог 4 57" xfId="3550" xr:uid="{00000000-0005-0000-0000-0000622F0000}"/>
    <cellStyle name="Итог 4 57 2" xfId="8286" xr:uid="{00000000-0005-0000-0000-0000632F0000}"/>
    <cellStyle name="Итог 4 57 3" xfId="12554" xr:uid="{00000000-0005-0000-0000-0000642F0000}"/>
    <cellStyle name="Итог 4 57 4" xfId="16790" xr:uid="{00000000-0005-0000-0000-0000652F0000}"/>
    <cellStyle name="Итог 4 58" xfId="3551" xr:uid="{00000000-0005-0000-0000-0000662F0000}"/>
    <cellStyle name="Итог 4 58 2" xfId="8287" xr:uid="{00000000-0005-0000-0000-0000672F0000}"/>
    <cellStyle name="Итог 4 58 3" xfId="12555" xr:uid="{00000000-0005-0000-0000-0000682F0000}"/>
    <cellStyle name="Итог 4 58 4" xfId="16791" xr:uid="{00000000-0005-0000-0000-0000692F0000}"/>
    <cellStyle name="Итог 4 59" xfId="3552" xr:uid="{00000000-0005-0000-0000-00006A2F0000}"/>
    <cellStyle name="Итог 4 59 2" xfId="8288" xr:uid="{00000000-0005-0000-0000-00006B2F0000}"/>
    <cellStyle name="Итог 4 59 3" xfId="12556" xr:uid="{00000000-0005-0000-0000-00006C2F0000}"/>
    <cellStyle name="Итог 4 59 4" xfId="16792" xr:uid="{00000000-0005-0000-0000-00006D2F0000}"/>
    <cellStyle name="Итог 4 6" xfId="3553" xr:uid="{00000000-0005-0000-0000-00006E2F0000}"/>
    <cellStyle name="Итог 4 6 2" xfId="8289" xr:uid="{00000000-0005-0000-0000-00006F2F0000}"/>
    <cellStyle name="Итог 4 6 3" xfId="12557" xr:uid="{00000000-0005-0000-0000-0000702F0000}"/>
    <cellStyle name="Итог 4 6 4" xfId="16793" xr:uid="{00000000-0005-0000-0000-0000712F0000}"/>
    <cellStyle name="Итог 4 60" xfId="3554" xr:uid="{00000000-0005-0000-0000-0000722F0000}"/>
    <cellStyle name="Итог 4 60 2" xfId="8290" xr:uid="{00000000-0005-0000-0000-0000732F0000}"/>
    <cellStyle name="Итог 4 60 3" xfId="12558" xr:uid="{00000000-0005-0000-0000-0000742F0000}"/>
    <cellStyle name="Итог 4 60 4" xfId="16794" xr:uid="{00000000-0005-0000-0000-0000752F0000}"/>
    <cellStyle name="Итог 4 61" xfId="3555" xr:uid="{00000000-0005-0000-0000-0000762F0000}"/>
    <cellStyle name="Итог 4 61 2" xfId="8291" xr:uid="{00000000-0005-0000-0000-0000772F0000}"/>
    <cellStyle name="Итог 4 61 3" xfId="12559" xr:uid="{00000000-0005-0000-0000-0000782F0000}"/>
    <cellStyle name="Итог 4 61 4" xfId="16795" xr:uid="{00000000-0005-0000-0000-0000792F0000}"/>
    <cellStyle name="Итог 4 62" xfId="3556" xr:uid="{00000000-0005-0000-0000-00007A2F0000}"/>
    <cellStyle name="Итог 4 62 2" xfId="8292" xr:uid="{00000000-0005-0000-0000-00007B2F0000}"/>
    <cellStyle name="Итог 4 62 3" xfId="12560" xr:uid="{00000000-0005-0000-0000-00007C2F0000}"/>
    <cellStyle name="Итог 4 62 4" xfId="16796" xr:uid="{00000000-0005-0000-0000-00007D2F0000}"/>
    <cellStyle name="Итог 4 63" xfId="3557" xr:uid="{00000000-0005-0000-0000-00007E2F0000}"/>
    <cellStyle name="Итог 4 63 2" xfId="8293" xr:uid="{00000000-0005-0000-0000-00007F2F0000}"/>
    <cellStyle name="Итог 4 63 3" xfId="12561" xr:uid="{00000000-0005-0000-0000-0000802F0000}"/>
    <cellStyle name="Итог 4 63 4" xfId="16797" xr:uid="{00000000-0005-0000-0000-0000812F0000}"/>
    <cellStyle name="Итог 4 64" xfId="3558" xr:uid="{00000000-0005-0000-0000-0000822F0000}"/>
    <cellStyle name="Итог 4 64 2" xfId="8294" xr:uid="{00000000-0005-0000-0000-0000832F0000}"/>
    <cellStyle name="Итог 4 64 3" xfId="12562" xr:uid="{00000000-0005-0000-0000-0000842F0000}"/>
    <cellStyle name="Итог 4 64 4" xfId="16798" xr:uid="{00000000-0005-0000-0000-0000852F0000}"/>
    <cellStyle name="Итог 4 65" xfId="3559" xr:uid="{00000000-0005-0000-0000-0000862F0000}"/>
    <cellStyle name="Итог 4 65 2" xfId="8295" xr:uid="{00000000-0005-0000-0000-0000872F0000}"/>
    <cellStyle name="Итог 4 65 3" xfId="12563" xr:uid="{00000000-0005-0000-0000-0000882F0000}"/>
    <cellStyle name="Итог 4 65 4" xfId="16799" xr:uid="{00000000-0005-0000-0000-0000892F0000}"/>
    <cellStyle name="Итог 4 66" xfId="3560" xr:uid="{00000000-0005-0000-0000-00008A2F0000}"/>
    <cellStyle name="Итог 4 66 2" xfId="8296" xr:uid="{00000000-0005-0000-0000-00008B2F0000}"/>
    <cellStyle name="Итог 4 66 3" xfId="12564" xr:uid="{00000000-0005-0000-0000-00008C2F0000}"/>
    <cellStyle name="Итог 4 66 4" xfId="16800" xr:uid="{00000000-0005-0000-0000-00008D2F0000}"/>
    <cellStyle name="Итог 4 67" xfId="3561" xr:uid="{00000000-0005-0000-0000-00008E2F0000}"/>
    <cellStyle name="Итог 4 67 2" xfId="8297" xr:uid="{00000000-0005-0000-0000-00008F2F0000}"/>
    <cellStyle name="Итог 4 67 3" xfId="12565" xr:uid="{00000000-0005-0000-0000-0000902F0000}"/>
    <cellStyle name="Итог 4 67 4" xfId="16801" xr:uid="{00000000-0005-0000-0000-0000912F0000}"/>
    <cellStyle name="Итог 4 68" xfId="3562" xr:uid="{00000000-0005-0000-0000-0000922F0000}"/>
    <cellStyle name="Итог 4 68 2" xfId="8298" xr:uid="{00000000-0005-0000-0000-0000932F0000}"/>
    <cellStyle name="Итог 4 68 3" xfId="12566" xr:uid="{00000000-0005-0000-0000-0000942F0000}"/>
    <cellStyle name="Итог 4 68 4" xfId="16802" xr:uid="{00000000-0005-0000-0000-0000952F0000}"/>
    <cellStyle name="Итог 4 69" xfId="3563" xr:uid="{00000000-0005-0000-0000-0000962F0000}"/>
    <cellStyle name="Итог 4 69 2" xfId="8299" xr:uid="{00000000-0005-0000-0000-0000972F0000}"/>
    <cellStyle name="Итог 4 69 3" xfId="12567" xr:uid="{00000000-0005-0000-0000-0000982F0000}"/>
    <cellStyle name="Итог 4 69 4" xfId="16803" xr:uid="{00000000-0005-0000-0000-0000992F0000}"/>
    <cellStyle name="Итог 4 7" xfId="3564" xr:uid="{00000000-0005-0000-0000-00009A2F0000}"/>
    <cellStyle name="Итог 4 7 2" xfId="8300" xr:uid="{00000000-0005-0000-0000-00009B2F0000}"/>
    <cellStyle name="Итог 4 7 3" xfId="12568" xr:uid="{00000000-0005-0000-0000-00009C2F0000}"/>
    <cellStyle name="Итог 4 7 4" xfId="16804" xr:uid="{00000000-0005-0000-0000-00009D2F0000}"/>
    <cellStyle name="Итог 4 70" xfId="3565" xr:uid="{00000000-0005-0000-0000-00009E2F0000}"/>
    <cellStyle name="Итог 4 70 2" xfId="8301" xr:uid="{00000000-0005-0000-0000-00009F2F0000}"/>
    <cellStyle name="Итог 4 70 3" xfId="12569" xr:uid="{00000000-0005-0000-0000-0000A02F0000}"/>
    <cellStyle name="Итог 4 70 4" xfId="16805" xr:uid="{00000000-0005-0000-0000-0000A12F0000}"/>
    <cellStyle name="Итог 4 71" xfId="3566" xr:uid="{00000000-0005-0000-0000-0000A22F0000}"/>
    <cellStyle name="Итог 4 71 2" xfId="8302" xr:uid="{00000000-0005-0000-0000-0000A32F0000}"/>
    <cellStyle name="Итог 4 71 3" xfId="12570" xr:uid="{00000000-0005-0000-0000-0000A42F0000}"/>
    <cellStyle name="Итог 4 71 4" xfId="16806" xr:uid="{00000000-0005-0000-0000-0000A52F0000}"/>
    <cellStyle name="Итог 4 72" xfId="3567" xr:uid="{00000000-0005-0000-0000-0000A62F0000}"/>
    <cellStyle name="Итог 4 72 2" xfId="8303" xr:uid="{00000000-0005-0000-0000-0000A72F0000}"/>
    <cellStyle name="Итог 4 72 3" xfId="12571" xr:uid="{00000000-0005-0000-0000-0000A82F0000}"/>
    <cellStyle name="Итог 4 72 4" xfId="16807" xr:uid="{00000000-0005-0000-0000-0000A92F0000}"/>
    <cellStyle name="Итог 4 73" xfId="3568" xr:uid="{00000000-0005-0000-0000-0000AA2F0000}"/>
    <cellStyle name="Итог 4 73 2" xfId="8304" xr:uid="{00000000-0005-0000-0000-0000AB2F0000}"/>
    <cellStyle name="Итог 4 73 3" xfId="12572" xr:uid="{00000000-0005-0000-0000-0000AC2F0000}"/>
    <cellStyle name="Итог 4 73 4" xfId="16808" xr:uid="{00000000-0005-0000-0000-0000AD2F0000}"/>
    <cellStyle name="Итог 4 74" xfId="3569" xr:uid="{00000000-0005-0000-0000-0000AE2F0000}"/>
    <cellStyle name="Итог 4 74 2" xfId="8305" xr:uid="{00000000-0005-0000-0000-0000AF2F0000}"/>
    <cellStyle name="Итог 4 74 3" xfId="12573" xr:uid="{00000000-0005-0000-0000-0000B02F0000}"/>
    <cellStyle name="Итог 4 74 4" xfId="16809" xr:uid="{00000000-0005-0000-0000-0000B12F0000}"/>
    <cellStyle name="Итог 4 75" xfId="3570" xr:uid="{00000000-0005-0000-0000-0000B22F0000}"/>
    <cellStyle name="Итог 4 75 2" xfId="8306" xr:uid="{00000000-0005-0000-0000-0000B32F0000}"/>
    <cellStyle name="Итог 4 75 3" xfId="12574" xr:uid="{00000000-0005-0000-0000-0000B42F0000}"/>
    <cellStyle name="Итог 4 75 4" xfId="16810" xr:uid="{00000000-0005-0000-0000-0000B52F0000}"/>
    <cellStyle name="Итог 4 76" xfId="3571" xr:uid="{00000000-0005-0000-0000-0000B62F0000}"/>
    <cellStyle name="Итог 4 76 2" xfId="8307" xr:uid="{00000000-0005-0000-0000-0000B72F0000}"/>
    <cellStyle name="Итог 4 76 3" xfId="12575" xr:uid="{00000000-0005-0000-0000-0000B82F0000}"/>
    <cellStyle name="Итог 4 76 4" xfId="16811" xr:uid="{00000000-0005-0000-0000-0000B92F0000}"/>
    <cellStyle name="Итог 4 77" xfId="3572" xr:uid="{00000000-0005-0000-0000-0000BA2F0000}"/>
    <cellStyle name="Итог 4 77 2" xfId="8308" xr:uid="{00000000-0005-0000-0000-0000BB2F0000}"/>
    <cellStyle name="Итог 4 77 3" xfId="12576" xr:uid="{00000000-0005-0000-0000-0000BC2F0000}"/>
    <cellStyle name="Итог 4 77 4" xfId="16812" xr:uid="{00000000-0005-0000-0000-0000BD2F0000}"/>
    <cellStyle name="Итог 4 78" xfId="3573" xr:uid="{00000000-0005-0000-0000-0000BE2F0000}"/>
    <cellStyle name="Итог 4 78 2" xfId="8309" xr:uid="{00000000-0005-0000-0000-0000BF2F0000}"/>
    <cellStyle name="Итог 4 78 3" xfId="12577" xr:uid="{00000000-0005-0000-0000-0000C02F0000}"/>
    <cellStyle name="Итог 4 78 4" xfId="16813" xr:uid="{00000000-0005-0000-0000-0000C12F0000}"/>
    <cellStyle name="Итог 4 79" xfId="3574" xr:uid="{00000000-0005-0000-0000-0000C22F0000}"/>
    <cellStyle name="Итог 4 79 2" xfId="8310" xr:uid="{00000000-0005-0000-0000-0000C32F0000}"/>
    <cellStyle name="Итог 4 79 3" xfId="12578" xr:uid="{00000000-0005-0000-0000-0000C42F0000}"/>
    <cellStyle name="Итог 4 79 4" xfId="16814" xr:uid="{00000000-0005-0000-0000-0000C52F0000}"/>
    <cellStyle name="Итог 4 8" xfId="3575" xr:uid="{00000000-0005-0000-0000-0000C62F0000}"/>
    <cellStyle name="Итог 4 8 2" xfId="8311" xr:uid="{00000000-0005-0000-0000-0000C72F0000}"/>
    <cellStyle name="Итог 4 8 3" xfId="12579" xr:uid="{00000000-0005-0000-0000-0000C82F0000}"/>
    <cellStyle name="Итог 4 8 4" xfId="16815" xr:uid="{00000000-0005-0000-0000-0000C92F0000}"/>
    <cellStyle name="Итог 4 80" xfId="3576" xr:uid="{00000000-0005-0000-0000-0000CA2F0000}"/>
    <cellStyle name="Итог 4 80 2" xfId="8312" xr:uid="{00000000-0005-0000-0000-0000CB2F0000}"/>
    <cellStyle name="Итог 4 80 3" xfId="12580" xr:uid="{00000000-0005-0000-0000-0000CC2F0000}"/>
    <cellStyle name="Итог 4 80 4" xfId="16816" xr:uid="{00000000-0005-0000-0000-0000CD2F0000}"/>
    <cellStyle name="Итог 4 81" xfId="3577" xr:uid="{00000000-0005-0000-0000-0000CE2F0000}"/>
    <cellStyle name="Итог 4 81 2" xfId="8313" xr:uid="{00000000-0005-0000-0000-0000CF2F0000}"/>
    <cellStyle name="Итог 4 81 3" xfId="12581" xr:uid="{00000000-0005-0000-0000-0000D02F0000}"/>
    <cellStyle name="Итог 4 81 4" xfId="16817" xr:uid="{00000000-0005-0000-0000-0000D12F0000}"/>
    <cellStyle name="Итог 4 82" xfId="3578" xr:uid="{00000000-0005-0000-0000-0000D22F0000}"/>
    <cellStyle name="Итог 4 82 2" xfId="8314" xr:uid="{00000000-0005-0000-0000-0000D32F0000}"/>
    <cellStyle name="Итог 4 82 3" xfId="12582" xr:uid="{00000000-0005-0000-0000-0000D42F0000}"/>
    <cellStyle name="Итог 4 82 4" xfId="16818" xr:uid="{00000000-0005-0000-0000-0000D52F0000}"/>
    <cellStyle name="Итог 4 83" xfId="3579" xr:uid="{00000000-0005-0000-0000-0000D62F0000}"/>
    <cellStyle name="Итог 4 83 2" xfId="8315" xr:uid="{00000000-0005-0000-0000-0000D72F0000}"/>
    <cellStyle name="Итог 4 83 3" xfId="12583" xr:uid="{00000000-0005-0000-0000-0000D82F0000}"/>
    <cellStyle name="Итог 4 83 4" xfId="16819" xr:uid="{00000000-0005-0000-0000-0000D92F0000}"/>
    <cellStyle name="Итог 4 84" xfId="3580" xr:uid="{00000000-0005-0000-0000-0000DA2F0000}"/>
    <cellStyle name="Итог 4 84 2" xfId="8316" xr:uid="{00000000-0005-0000-0000-0000DB2F0000}"/>
    <cellStyle name="Итог 4 84 3" xfId="12584" xr:uid="{00000000-0005-0000-0000-0000DC2F0000}"/>
    <cellStyle name="Итог 4 84 4" xfId="16820" xr:uid="{00000000-0005-0000-0000-0000DD2F0000}"/>
    <cellStyle name="Итог 4 85" xfId="3581" xr:uid="{00000000-0005-0000-0000-0000DE2F0000}"/>
    <cellStyle name="Итог 4 85 2" xfId="8317" xr:uid="{00000000-0005-0000-0000-0000DF2F0000}"/>
    <cellStyle name="Итог 4 85 3" xfId="12585" xr:uid="{00000000-0005-0000-0000-0000E02F0000}"/>
    <cellStyle name="Итог 4 85 4" xfId="16821" xr:uid="{00000000-0005-0000-0000-0000E12F0000}"/>
    <cellStyle name="Итог 4 86" xfId="3582" xr:uid="{00000000-0005-0000-0000-0000E22F0000}"/>
    <cellStyle name="Итог 4 86 2" xfId="8318" xr:uid="{00000000-0005-0000-0000-0000E32F0000}"/>
    <cellStyle name="Итог 4 86 3" xfId="12586" xr:uid="{00000000-0005-0000-0000-0000E42F0000}"/>
    <cellStyle name="Итог 4 86 4" xfId="16822" xr:uid="{00000000-0005-0000-0000-0000E52F0000}"/>
    <cellStyle name="Итог 4 87" xfId="3583" xr:uid="{00000000-0005-0000-0000-0000E62F0000}"/>
    <cellStyle name="Итог 4 87 2" xfId="8319" xr:uid="{00000000-0005-0000-0000-0000E72F0000}"/>
    <cellStyle name="Итог 4 87 3" xfId="12587" xr:uid="{00000000-0005-0000-0000-0000E82F0000}"/>
    <cellStyle name="Итог 4 87 4" xfId="16823" xr:uid="{00000000-0005-0000-0000-0000E92F0000}"/>
    <cellStyle name="Итог 4 88" xfId="3584" xr:uid="{00000000-0005-0000-0000-0000EA2F0000}"/>
    <cellStyle name="Итог 4 88 2" xfId="8320" xr:uid="{00000000-0005-0000-0000-0000EB2F0000}"/>
    <cellStyle name="Итог 4 88 3" xfId="12588" xr:uid="{00000000-0005-0000-0000-0000EC2F0000}"/>
    <cellStyle name="Итог 4 88 4" xfId="16824" xr:uid="{00000000-0005-0000-0000-0000ED2F0000}"/>
    <cellStyle name="Итог 4 89" xfId="3585" xr:uid="{00000000-0005-0000-0000-0000EE2F0000}"/>
    <cellStyle name="Итог 4 89 2" xfId="8321" xr:uid="{00000000-0005-0000-0000-0000EF2F0000}"/>
    <cellStyle name="Итог 4 89 3" xfId="12589" xr:uid="{00000000-0005-0000-0000-0000F02F0000}"/>
    <cellStyle name="Итог 4 89 4" xfId="16825" xr:uid="{00000000-0005-0000-0000-0000F12F0000}"/>
    <cellStyle name="Итог 4 9" xfId="3586" xr:uid="{00000000-0005-0000-0000-0000F22F0000}"/>
    <cellStyle name="Итог 4 9 2" xfId="8322" xr:uid="{00000000-0005-0000-0000-0000F32F0000}"/>
    <cellStyle name="Итог 4 9 3" xfId="12590" xr:uid="{00000000-0005-0000-0000-0000F42F0000}"/>
    <cellStyle name="Итог 4 9 4" xfId="16826" xr:uid="{00000000-0005-0000-0000-0000F52F0000}"/>
    <cellStyle name="Итог 4 90" xfId="3587" xr:uid="{00000000-0005-0000-0000-0000F62F0000}"/>
    <cellStyle name="Итог 4 90 2" xfId="8323" xr:uid="{00000000-0005-0000-0000-0000F72F0000}"/>
    <cellStyle name="Итог 4 90 3" xfId="12591" xr:uid="{00000000-0005-0000-0000-0000F82F0000}"/>
    <cellStyle name="Итог 4 90 4" xfId="16827" xr:uid="{00000000-0005-0000-0000-0000F92F0000}"/>
    <cellStyle name="Итог 4 91" xfId="3588" xr:uid="{00000000-0005-0000-0000-0000FA2F0000}"/>
    <cellStyle name="Итог 4 91 2" xfId="8324" xr:uid="{00000000-0005-0000-0000-0000FB2F0000}"/>
    <cellStyle name="Итог 4 91 3" xfId="12592" xr:uid="{00000000-0005-0000-0000-0000FC2F0000}"/>
    <cellStyle name="Итог 4 91 4" xfId="16828" xr:uid="{00000000-0005-0000-0000-0000FD2F0000}"/>
    <cellStyle name="Итог 4 92" xfId="5207" xr:uid="{00000000-0005-0000-0000-0000FE2F0000}"/>
    <cellStyle name="Итог 4 93" xfId="8834" xr:uid="{00000000-0005-0000-0000-0000FF2F0000}"/>
    <cellStyle name="Итог 4 94" xfId="13084" xr:uid="{00000000-0005-0000-0000-000000300000}"/>
    <cellStyle name="Итог 5" xfId="293" xr:uid="{00000000-0005-0000-0000-000001300000}"/>
    <cellStyle name="Итог 5 10" xfId="3589" xr:uid="{00000000-0005-0000-0000-000002300000}"/>
    <cellStyle name="Итог 5 10 2" xfId="8325" xr:uid="{00000000-0005-0000-0000-000003300000}"/>
    <cellStyle name="Итог 5 10 3" xfId="12593" xr:uid="{00000000-0005-0000-0000-000004300000}"/>
    <cellStyle name="Итог 5 10 4" xfId="16829" xr:uid="{00000000-0005-0000-0000-000005300000}"/>
    <cellStyle name="Итог 5 11" xfId="3590" xr:uid="{00000000-0005-0000-0000-000006300000}"/>
    <cellStyle name="Итог 5 11 2" xfId="8326" xr:uid="{00000000-0005-0000-0000-000007300000}"/>
    <cellStyle name="Итог 5 11 3" xfId="12594" xr:uid="{00000000-0005-0000-0000-000008300000}"/>
    <cellStyle name="Итог 5 11 4" xfId="16830" xr:uid="{00000000-0005-0000-0000-000009300000}"/>
    <cellStyle name="Итог 5 12" xfId="3591" xr:uid="{00000000-0005-0000-0000-00000A300000}"/>
    <cellStyle name="Итог 5 12 2" xfId="8327" xr:uid="{00000000-0005-0000-0000-00000B300000}"/>
    <cellStyle name="Итог 5 12 3" xfId="12595" xr:uid="{00000000-0005-0000-0000-00000C300000}"/>
    <cellStyle name="Итог 5 12 4" xfId="16831" xr:uid="{00000000-0005-0000-0000-00000D300000}"/>
    <cellStyle name="Итог 5 13" xfId="3592" xr:uid="{00000000-0005-0000-0000-00000E300000}"/>
    <cellStyle name="Итог 5 13 2" xfId="8328" xr:uid="{00000000-0005-0000-0000-00000F300000}"/>
    <cellStyle name="Итог 5 13 3" xfId="12596" xr:uid="{00000000-0005-0000-0000-000010300000}"/>
    <cellStyle name="Итог 5 13 4" xfId="16832" xr:uid="{00000000-0005-0000-0000-000011300000}"/>
    <cellStyle name="Итог 5 14" xfId="3593" xr:uid="{00000000-0005-0000-0000-000012300000}"/>
    <cellStyle name="Итог 5 14 2" xfId="8329" xr:uid="{00000000-0005-0000-0000-000013300000}"/>
    <cellStyle name="Итог 5 14 3" xfId="12597" xr:uid="{00000000-0005-0000-0000-000014300000}"/>
    <cellStyle name="Итог 5 14 4" xfId="16833" xr:uid="{00000000-0005-0000-0000-000015300000}"/>
    <cellStyle name="Итог 5 15" xfId="3594" xr:uid="{00000000-0005-0000-0000-000016300000}"/>
    <cellStyle name="Итог 5 15 2" xfId="8330" xr:uid="{00000000-0005-0000-0000-000017300000}"/>
    <cellStyle name="Итог 5 15 3" xfId="12598" xr:uid="{00000000-0005-0000-0000-000018300000}"/>
    <cellStyle name="Итог 5 15 4" xfId="16834" xr:uid="{00000000-0005-0000-0000-000019300000}"/>
    <cellStyle name="Итог 5 16" xfId="3595" xr:uid="{00000000-0005-0000-0000-00001A300000}"/>
    <cellStyle name="Итог 5 16 2" xfId="8331" xr:uid="{00000000-0005-0000-0000-00001B300000}"/>
    <cellStyle name="Итог 5 16 3" xfId="12599" xr:uid="{00000000-0005-0000-0000-00001C300000}"/>
    <cellStyle name="Итог 5 16 4" xfId="16835" xr:uid="{00000000-0005-0000-0000-00001D300000}"/>
    <cellStyle name="Итог 5 17" xfId="3596" xr:uid="{00000000-0005-0000-0000-00001E300000}"/>
    <cellStyle name="Итог 5 17 2" xfId="8332" xr:uid="{00000000-0005-0000-0000-00001F300000}"/>
    <cellStyle name="Итог 5 17 3" xfId="12600" xr:uid="{00000000-0005-0000-0000-000020300000}"/>
    <cellStyle name="Итог 5 17 4" xfId="16836" xr:uid="{00000000-0005-0000-0000-000021300000}"/>
    <cellStyle name="Итог 5 18" xfId="3597" xr:uid="{00000000-0005-0000-0000-000022300000}"/>
    <cellStyle name="Итог 5 18 2" xfId="8333" xr:uid="{00000000-0005-0000-0000-000023300000}"/>
    <cellStyle name="Итог 5 18 3" xfId="12601" xr:uid="{00000000-0005-0000-0000-000024300000}"/>
    <cellStyle name="Итог 5 18 4" xfId="16837" xr:uid="{00000000-0005-0000-0000-000025300000}"/>
    <cellStyle name="Итог 5 19" xfId="3598" xr:uid="{00000000-0005-0000-0000-000026300000}"/>
    <cellStyle name="Итог 5 19 2" xfId="8334" xr:uid="{00000000-0005-0000-0000-000027300000}"/>
    <cellStyle name="Итог 5 19 3" xfId="12602" xr:uid="{00000000-0005-0000-0000-000028300000}"/>
    <cellStyle name="Итог 5 19 4" xfId="16838" xr:uid="{00000000-0005-0000-0000-000029300000}"/>
    <cellStyle name="Итог 5 2" xfId="3599" xr:uid="{00000000-0005-0000-0000-00002A300000}"/>
    <cellStyle name="Итог 5 2 2" xfId="3600" xr:uid="{00000000-0005-0000-0000-00002B300000}"/>
    <cellStyle name="Итог 5 2 2 2" xfId="8336" xr:uid="{00000000-0005-0000-0000-00002C300000}"/>
    <cellStyle name="Итог 5 2 2 3" xfId="12604" xr:uid="{00000000-0005-0000-0000-00002D300000}"/>
    <cellStyle name="Итог 5 2 2 4" xfId="16840" xr:uid="{00000000-0005-0000-0000-00002E300000}"/>
    <cellStyle name="Итог 5 2 3" xfId="3601" xr:uid="{00000000-0005-0000-0000-00002F300000}"/>
    <cellStyle name="Итог 5 2 3 2" xfId="8337" xr:uid="{00000000-0005-0000-0000-000030300000}"/>
    <cellStyle name="Итог 5 2 3 3" xfId="12605" xr:uid="{00000000-0005-0000-0000-000031300000}"/>
    <cellStyle name="Итог 5 2 3 4" xfId="16841" xr:uid="{00000000-0005-0000-0000-000032300000}"/>
    <cellStyle name="Итог 5 2 4" xfId="8335" xr:uid="{00000000-0005-0000-0000-000033300000}"/>
    <cellStyle name="Итог 5 2 5" xfId="12603" xr:uid="{00000000-0005-0000-0000-000034300000}"/>
    <cellStyle name="Итог 5 2 6" xfId="16839" xr:uid="{00000000-0005-0000-0000-000035300000}"/>
    <cellStyle name="Итог 5 20" xfId="3602" xr:uid="{00000000-0005-0000-0000-000036300000}"/>
    <cellStyle name="Итог 5 20 2" xfId="8338" xr:uid="{00000000-0005-0000-0000-000037300000}"/>
    <cellStyle name="Итог 5 20 3" xfId="12606" xr:uid="{00000000-0005-0000-0000-000038300000}"/>
    <cellStyle name="Итог 5 20 4" xfId="16842" xr:uid="{00000000-0005-0000-0000-000039300000}"/>
    <cellStyle name="Итог 5 21" xfId="3603" xr:uid="{00000000-0005-0000-0000-00003A300000}"/>
    <cellStyle name="Итог 5 21 2" xfId="8339" xr:uid="{00000000-0005-0000-0000-00003B300000}"/>
    <cellStyle name="Итог 5 21 3" xfId="12607" xr:uid="{00000000-0005-0000-0000-00003C300000}"/>
    <cellStyle name="Итог 5 21 4" xfId="16843" xr:uid="{00000000-0005-0000-0000-00003D300000}"/>
    <cellStyle name="Итог 5 22" xfId="3604" xr:uid="{00000000-0005-0000-0000-00003E300000}"/>
    <cellStyle name="Итог 5 22 2" xfId="8340" xr:uid="{00000000-0005-0000-0000-00003F300000}"/>
    <cellStyle name="Итог 5 22 3" xfId="12608" xr:uid="{00000000-0005-0000-0000-000040300000}"/>
    <cellStyle name="Итог 5 22 4" xfId="16844" xr:uid="{00000000-0005-0000-0000-000041300000}"/>
    <cellStyle name="Итог 5 23" xfId="3605" xr:uid="{00000000-0005-0000-0000-000042300000}"/>
    <cellStyle name="Итог 5 23 2" xfId="8341" xr:uid="{00000000-0005-0000-0000-000043300000}"/>
    <cellStyle name="Итог 5 23 3" xfId="12609" xr:uid="{00000000-0005-0000-0000-000044300000}"/>
    <cellStyle name="Итог 5 23 4" xfId="16845" xr:uid="{00000000-0005-0000-0000-000045300000}"/>
    <cellStyle name="Итог 5 24" xfId="3606" xr:uid="{00000000-0005-0000-0000-000046300000}"/>
    <cellStyle name="Итог 5 24 2" xfId="8342" xr:uid="{00000000-0005-0000-0000-000047300000}"/>
    <cellStyle name="Итог 5 24 3" xfId="12610" xr:uid="{00000000-0005-0000-0000-000048300000}"/>
    <cellStyle name="Итог 5 24 4" xfId="16846" xr:uid="{00000000-0005-0000-0000-000049300000}"/>
    <cellStyle name="Итог 5 25" xfId="3607" xr:uid="{00000000-0005-0000-0000-00004A300000}"/>
    <cellStyle name="Итог 5 25 2" xfId="8343" xr:uid="{00000000-0005-0000-0000-00004B300000}"/>
    <cellStyle name="Итог 5 25 3" xfId="12611" xr:uid="{00000000-0005-0000-0000-00004C300000}"/>
    <cellStyle name="Итог 5 25 4" xfId="16847" xr:uid="{00000000-0005-0000-0000-00004D300000}"/>
    <cellStyle name="Итог 5 26" xfId="3608" xr:uid="{00000000-0005-0000-0000-00004E300000}"/>
    <cellStyle name="Итог 5 26 2" xfId="8344" xr:uid="{00000000-0005-0000-0000-00004F300000}"/>
    <cellStyle name="Итог 5 26 3" xfId="12612" xr:uid="{00000000-0005-0000-0000-000050300000}"/>
    <cellStyle name="Итог 5 26 4" xfId="16848" xr:uid="{00000000-0005-0000-0000-000051300000}"/>
    <cellStyle name="Итог 5 27" xfId="3609" xr:uid="{00000000-0005-0000-0000-000052300000}"/>
    <cellStyle name="Итог 5 27 2" xfId="8345" xr:uid="{00000000-0005-0000-0000-000053300000}"/>
    <cellStyle name="Итог 5 27 3" xfId="12613" xr:uid="{00000000-0005-0000-0000-000054300000}"/>
    <cellStyle name="Итог 5 27 4" xfId="16849" xr:uid="{00000000-0005-0000-0000-000055300000}"/>
    <cellStyle name="Итог 5 28" xfId="3610" xr:uid="{00000000-0005-0000-0000-000056300000}"/>
    <cellStyle name="Итог 5 28 2" xfId="8346" xr:uid="{00000000-0005-0000-0000-000057300000}"/>
    <cellStyle name="Итог 5 28 3" xfId="12614" xr:uid="{00000000-0005-0000-0000-000058300000}"/>
    <cellStyle name="Итог 5 28 4" xfId="16850" xr:uid="{00000000-0005-0000-0000-000059300000}"/>
    <cellStyle name="Итог 5 29" xfId="3611" xr:uid="{00000000-0005-0000-0000-00005A300000}"/>
    <cellStyle name="Итог 5 29 2" xfId="8347" xr:uid="{00000000-0005-0000-0000-00005B300000}"/>
    <cellStyle name="Итог 5 29 3" xfId="12615" xr:uid="{00000000-0005-0000-0000-00005C300000}"/>
    <cellStyle name="Итог 5 29 4" xfId="16851" xr:uid="{00000000-0005-0000-0000-00005D300000}"/>
    <cellStyle name="Итог 5 3" xfId="3612" xr:uid="{00000000-0005-0000-0000-00005E300000}"/>
    <cellStyle name="Итог 5 3 2" xfId="3613" xr:uid="{00000000-0005-0000-0000-00005F300000}"/>
    <cellStyle name="Итог 5 3 2 2" xfId="8349" xr:uid="{00000000-0005-0000-0000-000060300000}"/>
    <cellStyle name="Итог 5 3 2 3" xfId="12617" xr:uid="{00000000-0005-0000-0000-000061300000}"/>
    <cellStyle name="Итог 5 3 2 4" xfId="16853" xr:uid="{00000000-0005-0000-0000-000062300000}"/>
    <cellStyle name="Итог 5 3 3" xfId="3614" xr:uid="{00000000-0005-0000-0000-000063300000}"/>
    <cellStyle name="Итог 5 3 3 2" xfId="8350" xr:uid="{00000000-0005-0000-0000-000064300000}"/>
    <cellStyle name="Итог 5 3 3 3" xfId="12618" xr:uid="{00000000-0005-0000-0000-000065300000}"/>
    <cellStyle name="Итог 5 3 3 4" xfId="16854" xr:uid="{00000000-0005-0000-0000-000066300000}"/>
    <cellStyle name="Итог 5 3 4" xfId="8348" xr:uid="{00000000-0005-0000-0000-000067300000}"/>
    <cellStyle name="Итог 5 3 5" xfId="12616" xr:uid="{00000000-0005-0000-0000-000068300000}"/>
    <cellStyle name="Итог 5 3 6" xfId="16852" xr:uid="{00000000-0005-0000-0000-000069300000}"/>
    <cellStyle name="Итог 5 30" xfId="3615" xr:uid="{00000000-0005-0000-0000-00006A300000}"/>
    <cellStyle name="Итог 5 30 2" xfId="8351" xr:uid="{00000000-0005-0000-0000-00006B300000}"/>
    <cellStyle name="Итог 5 30 3" xfId="12619" xr:uid="{00000000-0005-0000-0000-00006C300000}"/>
    <cellStyle name="Итог 5 30 4" xfId="16855" xr:uid="{00000000-0005-0000-0000-00006D300000}"/>
    <cellStyle name="Итог 5 31" xfId="3616" xr:uid="{00000000-0005-0000-0000-00006E300000}"/>
    <cellStyle name="Итог 5 31 2" xfId="8352" xr:uid="{00000000-0005-0000-0000-00006F300000}"/>
    <cellStyle name="Итог 5 31 3" xfId="12620" xr:uid="{00000000-0005-0000-0000-000070300000}"/>
    <cellStyle name="Итог 5 31 4" xfId="16856" xr:uid="{00000000-0005-0000-0000-000071300000}"/>
    <cellStyle name="Итог 5 32" xfId="3617" xr:uid="{00000000-0005-0000-0000-000072300000}"/>
    <cellStyle name="Итог 5 32 2" xfId="8353" xr:uid="{00000000-0005-0000-0000-000073300000}"/>
    <cellStyle name="Итог 5 32 3" xfId="12621" xr:uid="{00000000-0005-0000-0000-000074300000}"/>
    <cellStyle name="Итог 5 32 4" xfId="16857" xr:uid="{00000000-0005-0000-0000-000075300000}"/>
    <cellStyle name="Итог 5 33" xfId="3618" xr:uid="{00000000-0005-0000-0000-000076300000}"/>
    <cellStyle name="Итог 5 33 2" xfId="8354" xr:uid="{00000000-0005-0000-0000-000077300000}"/>
    <cellStyle name="Итог 5 33 3" xfId="12622" xr:uid="{00000000-0005-0000-0000-000078300000}"/>
    <cellStyle name="Итог 5 33 4" xfId="16858" xr:uid="{00000000-0005-0000-0000-000079300000}"/>
    <cellStyle name="Итог 5 34" xfId="3619" xr:uid="{00000000-0005-0000-0000-00007A300000}"/>
    <cellStyle name="Итог 5 34 2" xfId="8355" xr:uid="{00000000-0005-0000-0000-00007B300000}"/>
    <cellStyle name="Итог 5 34 3" xfId="12623" xr:uid="{00000000-0005-0000-0000-00007C300000}"/>
    <cellStyle name="Итог 5 34 4" xfId="16859" xr:uid="{00000000-0005-0000-0000-00007D300000}"/>
    <cellStyle name="Итог 5 35" xfId="3620" xr:uid="{00000000-0005-0000-0000-00007E300000}"/>
    <cellStyle name="Итог 5 35 2" xfId="8356" xr:uid="{00000000-0005-0000-0000-00007F300000}"/>
    <cellStyle name="Итог 5 35 3" xfId="12624" xr:uid="{00000000-0005-0000-0000-000080300000}"/>
    <cellStyle name="Итог 5 35 4" xfId="16860" xr:uid="{00000000-0005-0000-0000-000081300000}"/>
    <cellStyle name="Итог 5 36" xfId="3621" xr:uid="{00000000-0005-0000-0000-000082300000}"/>
    <cellStyle name="Итог 5 36 2" xfId="8357" xr:uid="{00000000-0005-0000-0000-000083300000}"/>
    <cellStyle name="Итог 5 36 3" xfId="12625" xr:uid="{00000000-0005-0000-0000-000084300000}"/>
    <cellStyle name="Итог 5 36 4" xfId="16861" xr:uid="{00000000-0005-0000-0000-000085300000}"/>
    <cellStyle name="Итог 5 37" xfId="3622" xr:uid="{00000000-0005-0000-0000-000086300000}"/>
    <cellStyle name="Итог 5 37 2" xfId="8358" xr:uid="{00000000-0005-0000-0000-000087300000}"/>
    <cellStyle name="Итог 5 37 3" xfId="12626" xr:uid="{00000000-0005-0000-0000-000088300000}"/>
    <cellStyle name="Итог 5 37 4" xfId="16862" xr:uid="{00000000-0005-0000-0000-000089300000}"/>
    <cellStyle name="Итог 5 38" xfId="3623" xr:uid="{00000000-0005-0000-0000-00008A300000}"/>
    <cellStyle name="Итог 5 38 2" xfId="8359" xr:uid="{00000000-0005-0000-0000-00008B300000}"/>
    <cellStyle name="Итог 5 38 3" xfId="12627" xr:uid="{00000000-0005-0000-0000-00008C300000}"/>
    <cellStyle name="Итог 5 38 4" xfId="16863" xr:uid="{00000000-0005-0000-0000-00008D300000}"/>
    <cellStyle name="Итог 5 39" xfId="3624" xr:uid="{00000000-0005-0000-0000-00008E300000}"/>
    <cellStyle name="Итог 5 39 2" xfId="8360" xr:uid="{00000000-0005-0000-0000-00008F300000}"/>
    <cellStyle name="Итог 5 39 3" xfId="12628" xr:uid="{00000000-0005-0000-0000-000090300000}"/>
    <cellStyle name="Итог 5 39 4" xfId="16864" xr:uid="{00000000-0005-0000-0000-000091300000}"/>
    <cellStyle name="Итог 5 4" xfId="3625" xr:uid="{00000000-0005-0000-0000-000092300000}"/>
    <cellStyle name="Итог 5 4 2" xfId="3626" xr:uid="{00000000-0005-0000-0000-000093300000}"/>
    <cellStyle name="Итог 5 4 2 2" xfId="8362" xr:uid="{00000000-0005-0000-0000-000094300000}"/>
    <cellStyle name="Итог 5 4 2 3" xfId="12630" xr:uid="{00000000-0005-0000-0000-000095300000}"/>
    <cellStyle name="Итог 5 4 2 4" xfId="16866" xr:uid="{00000000-0005-0000-0000-000096300000}"/>
    <cellStyle name="Итог 5 4 3" xfId="3627" xr:uid="{00000000-0005-0000-0000-000097300000}"/>
    <cellStyle name="Итог 5 4 3 2" xfId="8363" xr:uid="{00000000-0005-0000-0000-000098300000}"/>
    <cellStyle name="Итог 5 4 3 3" xfId="12631" xr:uid="{00000000-0005-0000-0000-000099300000}"/>
    <cellStyle name="Итог 5 4 3 4" xfId="16867" xr:uid="{00000000-0005-0000-0000-00009A300000}"/>
    <cellStyle name="Итог 5 4 4" xfId="8361" xr:uid="{00000000-0005-0000-0000-00009B300000}"/>
    <cellStyle name="Итог 5 4 5" xfId="12629" xr:uid="{00000000-0005-0000-0000-00009C300000}"/>
    <cellStyle name="Итог 5 4 6" xfId="16865" xr:uid="{00000000-0005-0000-0000-00009D300000}"/>
    <cellStyle name="Итог 5 40" xfId="3628" xr:uid="{00000000-0005-0000-0000-00009E300000}"/>
    <cellStyle name="Итог 5 40 2" xfId="8364" xr:uid="{00000000-0005-0000-0000-00009F300000}"/>
    <cellStyle name="Итог 5 40 3" xfId="12632" xr:uid="{00000000-0005-0000-0000-0000A0300000}"/>
    <cellStyle name="Итог 5 40 4" xfId="16868" xr:uid="{00000000-0005-0000-0000-0000A1300000}"/>
    <cellStyle name="Итог 5 41" xfId="3629" xr:uid="{00000000-0005-0000-0000-0000A2300000}"/>
    <cellStyle name="Итог 5 41 2" xfId="8365" xr:uid="{00000000-0005-0000-0000-0000A3300000}"/>
    <cellStyle name="Итог 5 41 3" xfId="12633" xr:uid="{00000000-0005-0000-0000-0000A4300000}"/>
    <cellStyle name="Итог 5 41 4" xfId="16869" xr:uid="{00000000-0005-0000-0000-0000A5300000}"/>
    <cellStyle name="Итог 5 42" xfId="3630" xr:uid="{00000000-0005-0000-0000-0000A6300000}"/>
    <cellStyle name="Итог 5 42 2" xfId="8366" xr:uid="{00000000-0005-0000-0000-0000A7300000}"/>
    <cellStyle name="Итог 5 42 3" xfId="12634" xr:uid="{00000000-0005-0000-0000-0000A8300000}"/>
    <cellStyle name="Итог 5 42 4" xfId="16870" xr:uid="{00000000-0005-0000-0000-0000A9300000}"/>
    <cellStyle name="Итог 5 43" xfId="3631" xr:uid="{00000000-0005-0000-0000-0000AA300000}"/>
    <cellStyle name="Итог 5 43 2" xfId="8367" xr:uid="{00000000-0005-0000-0000-0000AB300000}"/>
    <cellStyle name="Итог 5 43 3" xfId="12635" xr:uid="{00000000-0005-0000-0000-0000AC300000}"/>
    <cellStyle name="Итог 5 43 4" xfId="16871" xr:uid="{00000000-0005-0000-0000-0000AD300000}"/>
    <cellStyle name="Итог 5 44" xfId="3632" xr:uid="{00000000-0005-0000-0000-0000AE300000}"/>
    <cellStyle name="Итог 5 44 2" xfId="8368" xr:uid="{00000000-0005-0000-0000-0000AF300000}"/>
    <cellStyle name="Итог 5 44 3" xfId="12636" xr:uid="{00000000-0005-0000-0000-0000B0300000}"/>
    <cellStyle name="Итог 5 44 4" xfId="16872" xr:uid="{00000000-0005-0000-0000-0000B1300000}"/>
    <cellStyle name="Итог 5 45" xfId="3633" xr:uid="{00000000-0005-0000-0000-0000B2300000}"/>
    <cellStyle name="Итог 5 45 2" xfId="8369" xr:uid="{00000000-0005-0000-0000-0000B3300000}"/>
    <cellStyle name="Итог 5 45 3" xfId="12637" xr:uid="{00000000-0005-0000-0000-0000B4300000}"/>
    <cellStyle name="Итог 5 45 4" xfId="16873" xr:uid="{00000000-0005-0000-0000-0000B5300000}"/>
    <cellStyle name="Итог 5 46" xfId="3634" xr:uid="{00000000-0005-0000-0000-0000B6300000}"/>
    <cellStyle name="Итог 5 46 2" xfId="8370" xr:uid="{00000000-0005-0000-0000-0000B7300000}"/>
    <cellStyle name="Итог 5 46 3" xfId="12638" xr:uid="{00000000-0005-0000-0000-0000B8300000}"/>
    <cellStyle name="Итог 5 46 4" xfId="16874" xr:uid="{00000000-0005-0000-0000-0000B9300000}"/>
    <cellStyle name="Итог 5 47" xfId="3635" xr:uid="{00000000-0005-0000-0000-0000BA300000}"/>
    <cellStyle name="Итог 5 47 2" xfId="8371" xr:uid="{00000000-0005-0000-0000-0000BB300000}"/>
    <cellStyle name="Итог 5 47 3" xfId="12639" xr:uid="{00000000-0005-0000-0000-0000BC300000}"/>
    <cellStyle name="Итог 5 47 4" xfId="16875" xr:uid="{00000000-0005-0000-0000-0000BD300000}"/>
    <cellStyle name="Итог 5 48" xfId="3636" xr:uid="{00000000-0005-0000-0000-0000BE300000}"/>
    <cellStyle name="Итог 5 48 2" xfId="8372" xr:uid="{00000000-0005-0000-0000-0000BF300000}"/>
    <cellStyle name="Итог 5 48 3" xfId="12640" xr:uid="{00000000-0005-0000-0000-0000C0300000}"/>
    <cellStyle name="Итог 5 48 4" xfId="16876" xr:uid="{00000000-0005-0000-0000-0000C1300000}"/>
    <cellStyle name="Итог 5 49" xfId="3637" xr:uid="{00000000-0005-0000-0000-0000C2300000}"/>
    <cellStyle name="Итог 5 49 2" xfId="8373" xr:uid="{00000000-0005-0000-0000-0000C3300000}"/>
    <cellStyle name="Итог 5 49 3" xfId="12641" xr:uid="{00000000-0005-0000-0000-0000C4300000}"/>
    <cellStyle name="Итог 5 49 4" xfId="16877" xr:uid="{00000000-0005-0000-0000-0000C5300000}"/>
    <cellStyle name="Итог 5 5" xfId="3638" xr:uid="{00000000-0005-0000-0000-0000C6300000}"/>
    <cellStyle name="Итог 5 5 2" xfId="8374" xr:uid="{00000000-0005-0000-0000-0000C7300000}"/>
    <cellStyle name="Итог 5 5 3" xfId="12642" xr:uid="{00000000-0005-0000-0000-0000C8300000}"/>
    <cellStyle name="Итог 5 5 4" xfId="16878" xr:uid="{00000000-0005-0000-0000-0000C9300000}"/>
    <cellStyle name="Итог 5 50" xfId="3639" xr:uid="{00000000-0005-0000-0000-0000CA300000}"/>
    <cellStyle name="Итог 5 50 2" xfId="8375" xr:uid="{00000000-0005-0000-0000-0000CB300000}"/>
    <cellStyle name="Итог 5 50 3" xfId="12643" xr:uid="{00000000-0005-0000-0000-0000CC300000}"/>
    <cellStyle name="Итог 5 50 4" xfId="16879" xr:uid="{00000000-0005-0000-0000-0000CD300000}"/>
    <cellStyle name="Итог 5 51" xfId="3640" xr:uid="{00000000-0005-0000-0000-0000CE300000}"/>
    <cellStyle name="Итог 5 51 2" xfId="8376" xr:uid="{00000000-0005-0000-0000-0000CF300000}"/>
    <cellStyle name="Итог 5 51 3" xfId="12644" xr:uid="{00000000-0005-0000-0000-0000D0300000}"/>
    <cellStyle name="Итог 5 51 4" xfId="16880" xr:uid="{00000000-0005-0000-0000-0000D1300000}"/>
    <cellStyle name="Итог 5 52" xfId="3641" xr:uid="{00000000-0005-0000-0000-0000D2300000}"/>
    <cellStyle name="Итог 5 52 2" xfId="8377" xr:uid="{00000000-0005-0000-0000-0000D3300000}"/>
    <cellStyle name="Итог 5 52 3" xfId="12645" xr:uid="{00000000-0005-0000-0000-0000D4300000}"/>
    <cellStyle name="Итог 5 52 4" xfId="16881" xr:uid="{00000000-0005-0000-0000-0000D5300000}"/>
    <cellStyle name="Итог 5 53" xfId="3642" xr:uid="{00000000-0005-0000-0000-0000D6300000}"/>
    <cellStyle name="Итог 5 53 2" xfId="8378" xr:uid="{00000000-0005-0000-0000-0000D7300000}"/>
    <cellStyle name="Итог 5 53 3" xfId="12646" xr:uid="{00000000-0005-0000-0000-0000D8300000}"/>
    <cellStyle name="Итог 5 53 4" xfId="16882" xr:uid="{00000000-0005-0000-0000-0000D9300000}"/>
    <cellStyle name="Итог 5 54" xfId="3643" xr:uid="{00000000-0005-0000-0000-0000DA300000}"/>
    <cellStyle name="Итог 5 54 2" xfId="8379" xr:uid="{00000000-0005-0000-0000-0000DB300000}"/>
    <cellStyle name="Итог 5 54 3" xfId="12647" xr:uid="{00000000-0005-0000-0000-0000DC300000}"/>
    <cellStyle name="Итог 5 54 4" xfId="16883" xr:uid="{00000000-0005-0000-0000-0000DD300000}"/>
    <cellStyle name="Итог 5 55" xfId="3644" xr:uid="{00000000-0005-0000-0000-0000DE300000}"/>
    <cellStyle name="Итог 5 55 2" xfId="8380" xr:uid="{00000000-0005-0000-0000-0000DF300000}"/>
    <cellStyle name="Итог 5 55 3" xfId="12648" xr:uid="{00000000-0005-0000-0000-0000E0300000}"/>
    <cellStyle name="Итог 5 55 4" xfId="16884" xr:uid="{00000000-0005-0000-0000-0000E1300000}"/>
    <cellStyle name="Итог 5 56" xfId="3645" xr:uid="{00000000-0005-0000-0000-0000E2300000}"/>
    <cellStyle name="Итог 5 56 2" xfId="8381" xr:uid="{00000000-0005-0000-0000-0000E3300000}"/>
    <cellStyle name="Итог 5 56 3" xfId="12649" xr:uid="{00000000-0005-0000-0000-0000E4300000}"/>
    <cellStyle name="Итог 5 56 4" xfId="16885" xr:uid="{00000000-0005-0000-0000-0000E5300000}"/>
    <cellStyle name="Итог 5 57" xfId="3646" xr:uid="{00000000-0005-0000-0000-0000E6300000}"/>
    <cellStyle name="Итог 5 57 2" xfId="8382" xr:uid="{00000000-0005-0000-0000-0000E7300000}"/>
    <cellStyle name="Итог 5 57 3" xfId="12650" xr:uid="{00000000-0005-0000-0000-0000E8300000}"/>
    <cellStyle name="Итог 5 57 4" xfId="16886" xr:uid="{00000000-0005-0000-0000-0000E9300000}"/>
    <cellStyle name="Итог 5 58" xfId="3647" xr:uid="{00000000-0005-0000-0000-0000EA300000}"/>
    <cellStyle name="Итог 5 58 2" xfId="8383" xr:uid="{00000000-0005-0000-0000-0000EB300000}"/>
    <cellStyle name="Итог 5 58 3" xfId="12651" xr:uid="{00000000-0005-0000-0000-0000EC300000}"/>
    <cellStyle name="Итог 5 58 4" xfId="16887" xr:uid="{00000000-0005-0000-0000-0000ED300000}"/>
    <cellStyle name="Итог 5 59" xfId="3648" xr:uid="{00000000-0005-0000-0000-0000EE300000}"/>
    <cellStyle name="Итог 5 59 2" xfId="8384" xr:uid="{00000000-0005-0000-0000-0000EF300000}"/>
    <cellStyle name="Итог 5 59 3" xfId="12652" xr:uid="{00000000-0005-0000-0000-0000F0300000}"/>
    <cellStyle name="Итог 5 59 4" xfId="16888" xr:uid="{00000000-0005-0000-0000-0000F1300000}"/>
    <cellStyle name="Итог 5 6" xfId="3649" xr:uid="{00000000-0005-0000-0000-0000F2300000}"/>
    <cellStyle name="Итог 5 6 2" xfId="8385" xr:uid="{00000000-0005-0000-0000-0000F3300000}"/>
    <cellStyle name="Итог 5 6 3" xfId="12653" xr:uid="{00000000-0005-0000-0000-0000F4300000}"/>
    <cellStyle name="Итог 5 6 4" xfId="16889" xr:uid="{00000000-0005-0000-0000-0000F5300000}"/>
    <cellStyle name="Итог 5 60" xfId="3650" xr:uid="{00000000-0005-0000-0000-0000F6300000}"/>
    <cellStyle name="Итог 5 60 2" xfId="8386" xr:uid="{00000000-0005-0000-0000-0000F7300000}"/>
    <cellStyle name="Итог 5 60 3" xfId="12654" xr:uid="{00000000-0005-0000-0000-0000F8300000}"/>
    <cellStyle name="Итог 5 60 4" xfId="16890" xr:uid="{00000000-0005-0000-0000-0000F9300000}"/>
    <cellStyle name="Итог 5 61" xfId="3651" xr:uid="{00000000-0005-0000-0000-0000FA300000}"/>
    <cellStyle name="Итог 5 61 2" xfId="8387" xr:uid="{00000000-0005-0000-0000-0000FB300000}"/>
    <cellStyle name="Итог 5 61 3" xfId="12655" xr:uid="{00000000-0005-0000-0000-0000FC300000}"/>
    <cellStyle name="Итог 5 61 4" xfId="16891" xr:uid="{00000000-0005-0000-0000-0000FD300000}"/>
    <cellStyle name="Итог 5 62" xfId="3652" xr:uid="{00000000-0005-0000-0000-0000FE300000}"/>
    <cellStyle name="Итог 5 62 2" xfId="8388" xr:uid="{00000000-0005-0000-0000-0000FF300000}"/>
    <cellStyle name="Итог 5 62 3" xfId="12656" xr:uid="{00000000-0005-0000-0000-000000310000}"/>
    <cellStyle name="Итог 5 62 4" xfId="16892" xr:uid="{00000000-0005-0000-0000-000001310000}"/>
    <cellStyle name="Итог 5 63" xfId="3653" xr:uid="{00000000-0005-0000-0000-000002310000}"/>
    <cellStyle name="Итог 5 63 2" xfId="8389" xr:uid="{00000000-0005-0000-0000-000003310000}"/>
    <cellStyle name="Итог 5 63 3" xfId="12657" xr:uid="{00000000-0005-0000-0000-000004310000}"/>
    <cellStyle name="Итог 5 63 4" xfId="16893" xr:uid="{00000000-0005-0000-0000-000005310000}"/>
    <cellStyle name="Итог 5 64" xfId="3654" xr:uid="{00000000-0005-0000-0000-000006310000}"/>
    <cellStyle name="Итог 5 64 2" xfId="8390" xr:uid="{00000000-0005-0000-0000-000007310000}"/>
    <cellStyle name="Итог 5 64 3" xfId="12658" xr:uid="{00000000-0005-0000-0000-000008310000}"/>
    <cellStyle name="Итог 5 64 4" xfId="16894" xr:uid="{00000000-0005-0000-0000-000009310000}"/>
    <cellStyle name="Итог 5 65" xfId="3655" xr:uid="{00000000-0005-0000-0000-00000A310000}"/>
    <cellStyle name="Итог 5 65 2" xfId="8391" xr:uid="{00000000-0005-0000-0000-00000B310000}"/>
    <cellStyle name="Итог 5 65 3" xfId="12659" xr:uid="{00000000-0005-0000-0000-00000C310000}"/>
    <cellStyle name="Итог 5 65 4" xfId="16895" xr:uid="{00000000-0005-0000-0000-00000D310000}"/>
    <cellStyle name="Итог 5 66" xfId="3656" xr:uid="{00000000-0005-0000-0000-00000E310000}"/>
    <cellStyle name="Итог 5 66 2" xfId="8392" xr:uid="{00000000-0005-0000-0000-00000F310000}"/>
    <cellStyle name="Итог 5 66 3" xfId="12660" xr:uid="{00000000-0005-0000-0000-000010310000}"/>
    <cellStyle name="Итог 5 66 4" xfId="16896" xr:uid="{00000000-0005-0000-0000-000011310000}"/>
    <cellStyle name="Итог 5 67" xfId="3657" xr:uid="{00000000-0005-0000-0000-000012310000}"/>
    <cellStyle name="Итог 5 67 2" xfId="8393" xr:uid="{00000000-0005-0000-0000-000013310000}"/>
    <cellStyle name="Итог 5 67 3" xfId="12661" xr:uid="{00000000-0005-0000-0000-000014310000}"/>
    <cellStyle name="Итог 5 67 4" xfId="16897" xr:uid="{00000000-0005-0000-0000-000015310000}"/>
    <cellStyle name="Итог 5 68" xfId="3658" xr:uid="{00000000-0005-0000-0000-000016310000}"/>
    <cellStyle name="Итог 5 68 2" xfId="8394" xr:uid="{00000000-0005-0000-0000-000017310000}"/>
    <cellStyle name="Итог 5 68 3" xfId="12662" xr:uid="{00000000-0005-0000-0000-000018310000}"/>
    <cellStyle name="Итог 5 68 4" xfId="16898" xr:uid="{00000000-0005-0000-0000-000019310000}"/>
    <cellStyle name="Итог 5 69" xfId="3659" xr:uid="{00000000-0005-0000-0000-00001A310000}"/>
    <cellStyle name="Итог 5 69 2" xfId="8395" xr:uid="{00000000-0005-0000-0000-00001B310000}"/>
    <cellStyle name="Итог 5 69 3" xfId="12663" xr:uid="{00000000-0005-0000-0000-00001C310000}"/>
    <cellStyle name="Итог 5 69 4" xfId="16899" xr:uid="{00000000-0005-0000-0000-00001D310000}"/>
    <cellStyle name="Итог 5 7" xfId="3660" xr:uid="{00000000-0005-0000-0000-00001E310000}"/>
    <cellStyle name="Итог 5 7 2" xfId="8396" xr:uid="{00000000-0005-0000-0000-00001F310000}"/>
    <cellStyle name="Итог 5 7 3" xfId="12664" xr:uid="{00000000-0005-0000-0000-000020310000}"/>
    <cellStyle name="Итог 5 7 4" xfId="16900" xr:uid="{00000000-0005-0000-0000-000021310000}"/>
    <cellStyle name="Итог 5 70" xfId="3661" xr:uid="{00000000-0005-0000-0000-000022310000}"/>
    <cellStyle name="Итог 5 70 2" xfId="8397" xr:uid="{00000000-0005-0000-0000-000023310000}"/>
    <cellStyle name="Итог 5 70 3" xfId="12665" xr:uid="{00000000-0005-0000-0000-000024310000}"/>
    <cellStyle name="Итог 5 70 4" xfId="16901" xr:uid="{00000000-0005-0000-0000-000025310000}"/>
    <cellStyle name="Итог 5 71" xfId="3662" xr:uid="{00000000-0005-0000-0000-000026310000}"/>
    <cellStyle name="Итог 5 71 2" xfId="8398" xr:uid="{00000000-0005-0000-0000-000027310000}"/>
    <cellStyle name="Итог 5 71 3" xfId="12666" xr:uid="{00000000-0005-0000-0000-000028310000}"/>
    <cellStyle name="Итог 5 71 4" xfId="16902" xr:uid="{00000000-0005-0000-0000-000029310000}"/>
    <cellStyle name="Итог 5 72" xfId="3663" xr:uid="{00000000-0005-0000-0000-00002A310000}"/>
    <cellStyle name="Итог 5 72 2" xfId="8399" xr:uid="{00000000-0005-0000-0000-00002B310000}"/>
    <cellStyle name="Итог 5 72 3" xfId="12667" xr:uid="{00000000-0005-0000-0000-00002C310000}"/>
    <cellStyle name="Итог 5 72 4" xfId="16903" xr:uid="{00000000-0005-0000-0000-00002D310000}"/>
    <cellStyle name="Итог 5 73" xfId="3664" xr:uid="{00000000-0005-0000-0000-00002E310000}"/>
    <cellStyle name="Итог 5 73 2" xfId="8400" xr:uid="{00000000-0005-0000-0000-00002F310000}"/>
    <cellStyle name="Итог 5 73 3" xfId="12668" xr:uid="{00000000-0005-0000-0000-000030310000}"/>
    <cellStyle name="Итог 5 73 4" xfId="16904" xr:uid="{00000000-0005-0000-0000-000031310000}"/>
    <cellStyle name="Итог 5 74" xfId="3665" xr:uid="{00000000-0005-0000-0000-000032310000}"/>
    <cellStyle name="Итог 5 74 2" xfId="8401" xr:uid="{00000000-0005-0000-0000-000033310000}"/>
    <cellStyle name="Итог 5 74 3" xfId="12669" xr:uid="{00000000-0005-0000-0000-000034310000}"/>
    <cellStyle name="Итог 5 74 4" xfId="16905" xr:uid="{00000000-0005-0000-0000-000035310000}"/>
    <cellStyle name="Итог 5 75" xfId="3666" xr:uid="{00000000-0005-0000-0000-000036310000}"/>
    <cellStyle name="Итог 5 75 2" xfId="8402" xr:uid="{00000000-0005-0000-0000-000037310000}"/>
    <cellStyle name="Итог 5 75 3" xfId="12670" xr:uid="{00000000-0005-0000-0000-000038310000}"/>
    <cellStyle name="Итог 5 75 4" xfId="16906" xr:uid="{00000000-0005-0000-0000-000039310000}"/>
    <cellStyle name="Итог 5 76" xfId="3667" xr:uid="{00000000-0005-0000-0000-00003A310000}"/>
    <cellStyle name="Итог 5 76 2" xfId="8403" xr:uid="{00000000-0005-0000-0000-00003B310000}"/>
    <cellStyle name="Итог 5 76 3" xfId="12671" xr:uid="{00000000-0005-0000-0000-00003C310000}"/>
    <cellStyle name="Итог 5 76 4" xfId="16907" xr:uid="{00000000-0005-0000-0000-00003D310000}"/>
    <cellStyle name="Итог 5 77" xfId="3668" xr:uid="{00000000-0005-0000-0000-00003E310000}"/>
    <cellStyle name="Итог 5 77 2" xfId="8404" xr:uid="{00000000-0005-0000-0000-00003F310000}"/>
    <cellStyle name="Итог 5 77 3" xfId="12672" xr:uid="{00000000-0005-0000-0000-000040310000}"/>
    <cellStyle name="Итог 5 77 4" xfId="16908" xr:uid="{00000000-0005-0000-0000-000041310000}"/>
    <cellStyle name="Итог 5 78" xfId="3669" xr:uid="{00000000-0005-0000-0000-000042310000}"/>
    <cellStyle name="Итог 5 78 2" xfId="8405" xr:uid="{00000000-0005-0000-0000-000043310000}"/>
    <cellStyle name="Итог 5 78 3" xfId="12673" xr:uid="{00000000-0005-0000-0000-000044310000}"/>
    <cellStyle name="Итог 5 78 4" xfId="16909" xr:uid="{00000000-0005-0000-0000-000045310000}"/>
    <cellStyle name="Итог 5 79" xfId="3670" xr:uid="{00000000-0005-0000-0000-000046310000}"/>
    <cellStyle name="Итог 5 79 2" xfId="8406" xr:uid="{00000000-0005-0000-0000-000047310000}"/>
    <cellStyle name="Итог 5 79 3" xfId="12674" xr:uid="{00000000-0005-0000-0000-000048310000}"/>
    <cellStyle name="Итог 5 79 4" xfId="16910" xr:uid="{00000000-0005-0000-0000-000049310000}"/>
    <cellStyle name="Итог 5 8" xfId="3671" xr:uid="{00000000-0005-0000-0000-00004A310000}"/>
    <cellStyle name="Итог 5 8 2" xfId="8407" xr:uid="{00000000-0005-0000-0000-00004B310000}"/>
    <cellStyle name="Итог 5 8 3" xfId="12675" xr:uid="{00000000-0005-0000-0000-00004C310000}"/>
    <cellStyle name="Итог 5 8 4" xfId="16911" xr:uid="{00000000-0005-0000-0000-00004D310000}"/>
    <cellStyle name="Итог 5 80" xfId="3672" xr:uid="{00000000-0005-0000-0000-00004E310000}"/>
    <cellStyle name="Итог 5 80 2" xfId="8408" xr:uid="{00000000-0005-0000-0000-00004F310000}"/>
    <cellStyle name="Итог 5 80 3" xfId="12676" xr:uid="{00000000-0005-0000-0000-000050310000}"/>
    <cellStyle name="Итог 5 80 4" xfId="16912" xr:uid="{00000000-0005-0000-0000-000051310000}"/>
    <cellStyle name="Итог 5 81" xfId="3673" xr:uid="{00000000-0005-0000-0000-000052310000}"/>
    <cellStyle name="Итог 5 81 2" xfId="8409" xr:uid="{00000000-0005-0000-0000-000053310000}"/>
    <cellStyle name="Итог 5 81 3" xfId="12677" xr:uid="{00000000-0005-0000-0000-000054310000}"/>
    <cellStyle name="Итог 5 81 4" xfId="16913" xr:uid="{00000000-0005-0000-0000-000055310000}"/>
    <cellStyle name="Итог 5 82" xfId="3674" xr:uid="{00000000-0005-0000-0000-000056310000}"/>
    <cellStyle name="Итог 5 82 2" xfId="8410" xr:uid="{00000000-0005-0000-0000-000057310000}"/>
    <cellStyle name="Итог 5 82 3" xfId="12678" xr:uid="{00000000-0005-0000-0000-000058310000}"/>
    <cellStyle name="Итог 5 82 4" xfId="16914" xr:uid="{00000000-0005-0000-0000-000059310000}"/>
    <cellStyle name="Итог 5 83" xfId="3675" xr:uid="{00000000-0005-0000-0000-00005A310000}"/>
    <cellStyle name="Итог 5 83 2" xfId="8411" xr:uid="{00000000-0005-0000-0000-00005B310000}"/>
    <cellStyle name="Итог 5 83 3" xfId="12679" xr:uid="{00000000-0005-0000-0000-00005C310000}"/>
    <cellStyle name="Итог 5 83 4" xfId="16915" xr:uid="{00000000-0005-0000-0000-00005D310000}"/>
    <cellStyle name="Итог 5 84" xfId="3676" xr:uid="{00000000-0005-0000-0000-00005E310000}"/>
    <cellStyle name="Итог 5 84 2" xfId="8412" xr:uid="{00000000-0005-0000-0000-00005F310000}"/>
    <cellStyle name="Итог 5 84 3" xfId="12680" xr:uid="{00000000-0005-0000-0000-000060310000}"/>
    <cellStyle name="Итог 5 84 4" xfId="16916" xr:uid="{00000000-0005-0000-0000-000061310000}"/>
    <cellStyle name="Итог 5 85" xfId="3677" xr:uid="{00000000-0005-0000-0000-000062310000}"/>
    <cellStyle name="Итог 5 85 2" xfId="8413" xr:uid="{00000000-0005-0000-0000-000063310000}"/>
    <cellStyle name="Итог 5 85 3" xfId="12681" xr:uid="{00000000-0005-0000-0000-000064310000}"/>
    <cellStyle name="Итог 5 85 4" xfId="16917" xr:uid="{00000000-0005-0000-0000-000065310000}"/>
    <cellStyle name="Итог 5 86" xfId="3678" xr:uid="{00000000-0005-0000-0000-000066310000}"/>
    <cellStyle name="Итог 5 86 2" xfId="8414" xr:uid="{00000000-0005-0000-0000-000067310000}"/>
    <cellStyle name="Итог 5 86 3" xfId="12682" xr:uid="{00000000-0005-0000-0000-000068310000}"/>
    <cellStyle name="Итог 5 86 4" xfId="16918" xr:uid="{00000000-0005-0000-0000-000069310000}"/>
    <cellStyle name="Итог 5 87" xfId="3679" xr:uid="{00000000-0005-0000-0000-00006A310000}"/>
    <cellStyle name="Итог 5 87 2" xfId="8415" xr:uid="{00000000-0005-0000-0000-00006B310000}"/>
    <cellStyle name="Итог 5 87 3" xfId="12683" xr:uid="{00000000-0005-0000-0000-00006C310000}"/>
    <cellStyle name="Итог 5 87 4" xfId="16919" xr:uid="{00000000-0005-0000-0000-00006D310000}"/>
    <cellStyle name="Итог 5 88" xfId="3680" xr:uid="{00000000-0005-0000-0000-00006E310000}"/>
    <cellStyle name="Итог 5 88 2" xfId="8416" xr:uid="{00000000-0005-0000-0000-00006F310000}"/>
    <cellStyle name="Итог 5 88 3" xfId="12684" xr:uid="{00000000-0005-0000-0000-000070310000}"/>
    <cellStyle name="Итог 5 88 4" xfId="16920" xr:uid="{00000000-0005-0000-0000-000071310000}"/>
    <cellStyle name="Итог 5 89" xfId="3681" xr:uid="{00000000-0005-0000-0000-000072310000}"/>
    <cellStyle name="Итог 5 89 2" xfId="8417" xr:uid="{00000000-0005-0000-0000-000073310000}"/>
    <cellStyle name="Итог 5 89 3" xfId="12685" xr:uid="{00000000-0005-0000-0000-000074310000}"/>
    <cellStyle name="Итог 5 89 4" xfId="16921" xr:uid="{00000000-0005-0000-0000-000075310000}"/>
    <cellStyle name="Итог 5 9" xfId="3682" xr:uid="{00000000-0005-0000-0000-000076310000}"/>
    <cellStyle name="Итог 5 9 2" xfId="8418" xr:uid="{00000000-0005-0000-0000-000077310000}"/>
    <cellStyle name="Итог 5 9 3" xfId="12686" xr:uid="{00000000-0005-0000-0000-000078310000}"/>
    <cellStyle name="Итог 5 9 4" xfId="16922" xr:uid="{00000000-0005-0000-0000-000079310000}"/>
    <cellStyle name="Итог 5 90" xfId="3683" xr:uid="{00000000-0005-0000-0000-00007A310000}"/>
    <cellStyle name="Итог 5 90 2" xfId="8419" xr:uid="{00000000-0005-0000-0000-00007B310000}"/>
    <cellStyle name="Итог 5 90 3" xfId="12687" xr:uid="{00000000-0005-0000-0000-00007C310000}"/>
    <cellStyle name="Итог 5 90 4" xfId="16923" xr:uid="{00000000-0005-0000-0000-00007D310000}"/>
    <cellStyle name="Итог 5 91" xfId="3684" xr:uid="{00000000-0005-0000-0000-00007E310000}"/>
    <cellStyle name="Итог 5 91 2" xfId="8420" xr:uid="{00000000-0005-0000-0000-00007F310000}"/>
    <cellStyle name="Итог 5 91 3" xfId="12688" xr:uid="{00000000-0005-0000-0000-000080310000}"/>
    <cellStyle name="Итог 5 91 4" xfId="16924" xr:uid="{00000000-0005-0000-0000-000081310000}"/>
    <cellStyle name="Итог 5 92" xfId="5208" xr:uid="{00000000-0005-0000-0000-000082310000}"/>
    <cellStyle name="Итог 5 93" xfId="8833" xr:uid="{00000000-0005-0000-0000-000083310000}"/>
    <cellStyle name="Итог 5 94" xfId="13083" xr:uid="{00000000-0005-0000-0000-000084310000}"/>
    <cellStyle name="Итог 6" xfId="294" xr:uid="{00000000-0005-0000-0000-000085310000}"/>
    <cellStyle name="Итог 6 10" xfId="3685" xr:uid="{00000000-0005-0000-0000-000086310000}"/>
    <cellStyle name="Итог 6 10 2" xfId="8421" xr:uid="{00000000-0005-0000-0000-000087310000}"/>
    <cellStyle name="Итог 6 10 3" xfId="12689" xr:uid="{00000000-0005-0000-0000-000088310000}"/>
    <cellStyle name="Итог 6 10 4" xfId="16925" xr:uid="{00000000-0005-0000-0000-000089310000}"/>
    <cellStyle name="Итог 6 11" xfId="3686" xr:uid="{00000000-0005-0000-0000-00008A310000}"/>
    <cellStyle name="Итог 6 11 2" xfId="8422" xr:uid="{00000000-0005-0000-0000-00008B310000}"/>
    <cellStyle name="Итог 6 11 3" xfId="12690" xr:uid="{00000000-0005-0000-0000-00008C310000}"/>
    <cellStyle name="Итог 6 11 4" xfId="16926" xr:uid="{00000000-0005-0000-0000-00008D310000}"/>
    <cellStyle name="Итог 6 12" xfId="3687" xr:uid="{00000000-0005-0000-0000-00008E310000}"/>
    <cellStyle name="Итог 6 12 2" xfId="8423" xr:uid="{00000000-0005-0000-0000-00008F310000}"/>
    <cellStyle name="Итог 6 12 3" xfId="12691" xr:uid="{00000000-0005-0000-0000-000090310000}"/>
    <cellStyle name="Итог 6 12 4" xfId="16927" xr:uid="{00000000-0005-0000-0000-000091310000}"/>
    <cellStyle name="Итог 6 13" xfId="3688" xr:uid="{00000000-0005-0000-0000-000092310000}"/>
    <cellStyle name="Итог 6 13 2" xfId="8424" xr:uid="{00000000-0005-0000-0000-000093310000}"/>
    <cellStyle name="Итог 6 13 3" xfId="12692" xr:uid="{00000000-0005-0000-0000-000094310000}"/>
    <cellStyle name="Итог 6 13 4" xfId="16928" xr:uid="{00000000-0005-0000-0000-000095310000}"/>
    <cellStyle name="Итог 6 14" xfId="3689" xr:uid="{00000000-0005-0000-0000-000096310000}"/>
    <cellStyle name="Итог 6 14 2" xfId="8425" xr:uid="{00000000-0005-0000-0000-000097310000}"/>
    <cellStyle name="Итог 6 14 3" xfId="12693" xr:uid="{00000000-0005-0000-0000-000098310000}"/>
    <cellStyle name="Итог 6 14 4" xfId="16929" xr:uid="{00000000-0005-0000-0000-000099310000}"/>
    <cellStyle name="Итог 6 15" xfId="3690" xr:uid="{00000000-0005-0000-0000-00009A310000}"/>
    <cellStyle name="Итог 6 15 2" xfId="8426" xr:uid="{00000000-0005-0000-0000-00009B310000}"/>
    <cellStyle name="Итог 6 15 3" xfId="12694" xr:uid="{00000000-0005-0000-0000-00009C310000}"/>
    <cellStyle name="Итог 6 15 4" xfId="16930" xr:uid="{00000000-0005-0000-0000-00009D310000}"/>
    <cellStyle name="Итог 6 16" xfId="3691" xr:uid="{00000000-0005-0000-0000-00009E310000}"/>
    <cellStyle name="Итог 6 16 2" xfId="8427" xr:uid="{00000000-0005-0000-0000-00009F310000}"/>
    <cellStyle name="Итог 6 16 3" xfId="12695" xr:uid="{00000000-0005-0000-0000-0000A0310000}"/>
    <cellStyle name="Итог 6 16 4" xfId="16931" xr:uid="{00000000-0005-0000-0000-0000A1310000}"/>
    <cellStyle name="Итог 6 17" xfId="3692" xr:uid="{00000000-0005-0000-0000-0000A2310000}"/>
    <cellStyle name="Итог 6 17 2" xfId="8428" xr:uid="{00000000-0005-0000-0000-0000A3310000}"/>
    <cellStyle name="Итог 6 17 3" xfId="12696" xr:uid="{00000000-0005-0000-0000-0000A4310000}"/>
    <cellStyle name="Итог 6 17 4" xfId="16932" xr:uid="{00000000-0005-0000-0000-0000A5310000}"/>
    <cellStyle name="Итог 6 18" xfId="3693" xr:uid="{00000000-0005-0000-0000-0000A6310000}"/>
    <cellStyle name="Итог 6 18 2" xfId="8429" xr:uid="{00000000-0005-0000-0000-0000A7310000}"/>
    <cellStyle name="Итог 6 18 3" xfId="12697" xr:uid="{00000000-0005-0000-0000-0000A8310000}"/>
    <cellStyle name="Итог 6 18 4" xfId="16933" xr:uid="{00000000-0005-0000-0000-0000A9310000}"/>
    <cellStyle name="Итог 6 19" xfId="3694" xr:uid="{00000000-0005-0000-0000-0000AA310000}"/>
    <cellStyle name="Итог 6 19 2" xfId="8430" xr:uid="{00000000-0005-0000-0000-0000AB310000}"/>
    <cellStyle name="Итог 6 19 3" xfId="12698" xr:uid="{00000000-0005-0000-0000-0000AC310000}"/>
    <cellStyle name="Итог 6 19 4" xfId="16934" xr:uid="{00000000-0005-0000-0000-0000AD310000}"/>
    <cellStyle name="Итог 6 2" xfId="3695" xr:uid="{00000000-0005-0000-0000-0000AE310000}"/>
    <cellStyle name="Итог 6 2 2" xfId="3696" xr:uid="{00000000-0005-0000-0000-0000AF310000}"/>
    <cellStyle name="Итог 6 2 2 2" xfId="8432" xr:uid="{00000000-0005-0000-0000-0000B0310000}"/>
    <cellStyle name="Итог 6 2 2 3" xfId="12700" xr:uid="{00000000-0005-0000-0000-0000B1310000}"/>
    <cellStyle name="Итог 6 2 2 4" xfId="16936" xr:uid="{00000000-0005-0000-0000-0000B2310000}"/>
    <cellStyle name="Итог 6 2 3" xfId="3697" xr:uid="{00000000-0005-0000-0000-0000B3310000}"/>
    <cellStyle name="Итог 6 2 3 2" xfId="8433" xr:uid="{00000000-0005-0000-0000-0000B4310000}"/>
    <cellStyle name="Итог 6 2 3 3" xfId="12701" xr:uid="{00000000-0005-0000-0000-0000B5310000}"/>
    <cellStyle name="Итог 6 2 3 4" xfId="16937" xr:uid="{00000000-0005-0000-0000-0000B6310000}"/>
    <cellStyle name="Итог 6 2 4" xfId="8431" xr:uid="{00000000-0005-0000-0000-0000B7310000}"/>
    <cellStyle name="Итог 6 2 5" xfId="12699" xr:uid="{00000000-0005-0000-0000-0000B8310000}"/>
    <cellStyle name="Итог 6 2 6" xfId="16935" xr:uid="{00000000-0005-0000-0000-0000B9310000}"/>
    <cellStyle name="Итог 6 20" xfId="3698" xr:uid="{00000000-0005-0000-0000-0000BA310000}"/>
    <cellStyle name="Итог 6 20 2" xfId="8434" xr:uid="{00000000-0005-0000-0000-0000BB310000}"/>
    <cellStyle name="Итог 6 20 3" xfId="12702" xr:uid="{00000000-0005-0000-0000-0000BC310000}"/>
    <cellStyle name="Итог 6 20 4" xfId="16938" xr:uid="{00000000-0005-0000-0000-0000BD310000}"/>
    <cellStyle name="Итог 6 21" xfId="3699" xr:uid="{00000000-0005-0000-0000-0000BE310000}"/>
    <cellStyle name="Итог 6 21 2" xfId="8435" xr:uid="{00000000-0005-0000-0000-0000BF310000}"/>
    <cellStyle name="Итог 6 21 3" xfId="12703" xr:uid="{00000000-0005-0000-0000-0000C0310000}"/>
    <cellStyle name="Итог 6 21 4" xfId="16939" xr:uid="{00000000-0005-0000-0000-0000C1310000}"/>
    <cellStyle name="Итог 6 22" xfId="3700" xr:uid="{00000000-0005-0000-0000-0000C2310000}"/>
    <cellStyle name="Итог 6 22 2" xfId="8436" xr:uid="{00000000-0005-0000-0000-0000C3310000}"/>
    <cellStyle name="Итог 6 22 3" xfId="12704" xr:uid="{00000000-0005-0000-0000-0000C4310000}"/>
    <cellStyle name="Итог 6 22 4" xfId="16940" xr:uid="{00000000-0005-0000-0000-0000C5310000}"/>
    <cellStyle name="Итог 6 23" xfId="3701" xr:uid="{00000000-0005-0000-0000-0000C6310000}"/>
    <cellStyle name="Итог 6 23 2" xfId="8437" xr:uid="{00000000-0005-0000-0000-0000C7310000}"/>
    <cellStyle name="Итог 6 23 3" xfId="12705" xr:uid="{00000000-0005-0000-0000-0000C8310000}"/>
    <cellStyle name="Итог 6 23 4" xfId="16941" xr:uid="{00000000-0005-0000-0000-0000C9310000}"/>
    <cellStyle name="Итог 6 24" xfId="3702" xr:uid="{00000000-0005-0000-0000-0000CA310000}"/>
    <cellStyle name="Итог 6 24 2" xfId="8438" xr:uid="{00000000-0005-0000-0000-0000CB310000}"/>
    <cellStyle name="Итог 6 24 3" xfId="12706" xr:uid="{00000000-0005-0000-0000-0000CC310000}"/>
    <cellStyle name="Итог 6 24 4" xfId="16942" xr:uid="{00000000-0005-0000-0000-0000CD310000}"/>
    <cellStyle name="Итог 6 25" xfId="3703" xr:uid="{00000000-0005-0000-0000-0000CE310000}"/>
    <cellStyle name="Итог 6 25 2" xfId="8439" xr:uid="{00000000-0005-0000-0000-0000CF310000}"/>
    <cellStyle name="Итог 6 25 3" xfId="12707" xr:uid="{00000000-0005-0000-0000-0000D0310000}"/>
    <cellStyle name="Итог 6 25 4" xfId="16943" xr:uid="{00000000-0005-0000-0000-0000D1310000}"/>
    <cellStyle name="Итог 6 26" xfId="3704" xr:uid="{00000000-0005-0000-0000-0000D2310000}"/>
    <cellStyle name="Итог 6 26 2" xfId="8440" xr:uid="{00000000-0005-0000-0000-0000D3310000}"/>
    <cellStyle name="Итог 6 26 3" xfId="12708" xr:uid="{00000000-0005-0000-0000-0000D4310000}"/>
    <cellStyle name="Итог 6 26 4" xfId="16944" xr:uid="{00000000-0005-0000-0000-0000D5310000}"/>
    <cellStyle name="Итог 6 27" xfId="3705" xr:uid="{00000000-0005-0000-0000-0000D6310000}"/>
    <cellStyle name="Итог 6 27 2" xfId="8441" xr:uid="{00000000-0005-0000-0000-0000D7310000}"/>
    <cellStyle name="Итог 6 27 3" xfId="12709" xr:uid="{00000000-0005-0000-0000-0000D8310000}"/>
    <cellStyle name="Итог 6 27 4" xfId="16945" xr:uid="{00000000-0005-0000-0000-0000D9310000}"/>
    <cellStyle name="Итог 6 28" xfId="3706" xr:uid="{00000000-0005-0000-0000-0000DA310000}"/>
    <cellStyle name="Итог 6 28 2" xfId="8442" xr:uid="{00000000-0005-0000-0000-0000DB310000}"/>
    <cellStyle name="Итог 6 28 3" xfId="12710" xr:uid="{00000000-0005-0000-0000-0000DC310000}"/>
    <cellStyle name="Итог 6 28 4" xfId="16946" xr:uid="{00000000-0005-0000-0000-0000DD310000}"/>
    <cellStyle name="Итог 6 29" xfId="3707" xr:uid="{00000000-0005-0000-0000-0000DE310000}"/>
    <cellStyle name="Итог 6 29 2" xfId="8443" xr:uid="{00000000-0005-0000-0000-0000DF310000}"/>
    <cellStyle name="Итог 6 29 3" xfId="12711" xr:uid="{00000000-0005-0000-0000-0000E0310000}"/>
    <cellStyle name="Итог 6 29 4" xfId="16947" xr:uid="{00000000-0005-0000-0000-0000E1310000}"/>
    <cellStyle name="Итог 6 3" xfId="3708" xr:uid="{00000000-0005-0000-0000-0000E2310000}"/>
    <cellStyle name="Итог 6 3 2" xfId="3709" xr:uid="{00000000-0005-0000-0000-0000E3310000}"/>
    <cellStyle name="Итог 6 3 2 2" xfId="8445" xr:uid="{00000000-0005-0000-0000-0000E4310000}"/>
    <cellStyle name="Итог 6 3 2 3" xfId="12713" xr:uid="{00000000-0005-0000-0000-0000E5310000}"/>
    <cellStyle name="Итог 6 3 2 4" xfId="16949" xr:uid="{00000000-0005-0000-0000-0000E6310000}"/>
    <cellStyle name="Итог 6 3 3" xfId="3710" xr:uid="{00000000-0005-0000-0000-0000E7310000}"/>
    <cellStyle name="Итог 6 3 3 2" xfId="8446" xr:uid="{00000000-0005-0000-0000-0000E8310000}"/>
    <cellStyle name="Итог 6 3 3 3" xfId="12714" xr:uid="{00000000-0005-0000-0000-0000E9310000}"/>
    <cellStyle name="Итог 6 3 3 4" xfId="16950" xr:uid="{00000000-0005-0000-0000-0000EA310000}"/>
    <cellStyle name="Итог 6 3 4" xfId="8444" xr:uid="{00000000-0005-0000-0000-0000EB310000}"/>
    <cellStyle name="Итог 6 3 5" xfId="12712" xr:uid="{00000000-0005-0000-0000-0000EC310000}"/>
    <cellStyle name="Итог 6 3 6" xfId="16948" xr:uid="{00000000-0005-0000-0000-0000ED310000}"/>
    <cellStyle name="Итог 6 30" xfId="3711" xr:uid="{00000000-0005-0000-0000-0000EE310000}"/>
    <cellStyle name="Итог 6 30 2" xfId="8447" xr:uid="{00000000-0005-0000-0000-0000EF310000}"/>
    <cellStyle name="Итог 6 30 3" xfId="12715" xr:uid="{00000000-0005-0000-0000-0000F0310000}"/>
    <cellStyle name="Итог 6 30 4" xfId="16951" xr:uid="{00000000-0005-0000-0000-0000F1310000}"/>
    <cellStyle name="Итог 6 31" xfId="3712" xr:uid="{00000000-0005-0000-0000-0000F2310000}"/>
    <cellStyle name="Итог 6 31 2" xfId="8448" xr:uid="{00000000-0005-0000-0000-0000F3310000}"/>
    <cellStyle name="Итог 6 31 3" xfId="12716" xr:uid="{00000000-0005-0000-0000-0000F4310000}"/>
    <cellStyle name="Итог 6 31 4" xfId="16952" xr:uid="{00000000-0005-0000-0000-0000F5310000}"/>
    <cellStyle name="Итог 6 32" xfId="3713" xr:uid="{00000000-0005-0000-0000-0000F6310000}"/>
    <cellStyle name="Итог 6 32 2" xfId="8449" xr:uid="{00000000-0005-0000-0000-0000F7310000}"/>
    <cellStyle name="Итог 6 32 3" xfId="12717" xr:uid="{00000000-0005-0000-0000-0000F8310000}"/>
    <cellStyle name="Итог 6 32 4" xfId="16953" xr:uid="{00000000-0005-0000-0000-0000F9310000}"/>
    <cellStyle name="Итог 6 33" xfId="3714" xr:uid="{00000000-0005-0000-0000-0000FA310000}"/>
    <cellStyle name="Итог 6 33 2" xfId="8450" xr:uid="{00000000-0005-0000-0000-0000FB310000}"/>
    <cellStyle name="Итог 6 33 3" xfId="12718" xr:uid="{00000000-0005-0000-0000-0000FC310000}"/>
    <cellStyle name="Итог 6 33 4" xfId="16954" xr:uid="{00000000-0005-0000-0000-0000FD310000}"/>
    <cellStyle name="Итог 6 34" xfId="3715" xr:uid="{00000000-0005-0000-0000-0000FE310000}"/>
    <cellStyle name="Итог 6 34 2" xfId="8451" xr:uid="{00000000-0005-0000-0000-0000FF310000}"/>
    <cellStyle name="Итог 6 34 3" xfId="12719" xr:uid="{00000000-0005-0000-0000-000000320000}"/>
    <cellStyle name="Итог 6 34 4" xfId="16955" xr:uid="{00000000-0005-0000-0000-000001320000}"/>
    <cellStyle name="Итог 6 35" xfId="3716" xr:uid="{00000000-0005-0000-0000-000002320000}"/>
    <cellStyle name="Итог 6 35 2" xfId="8452" xr:uid="{00000000-0005-0000-0000-000003320000}"/>
    <cellStyle name="Итог 6 35 3" xfId="12720" xr:uid="{00000000-0005-0000-0000-000004320000}"/>
    <cellStyle name="Итог 6 35 4" xfId="16956" xr:uid="{00000000-0005-0000-0000-000005320000}"/>
    <cellStyle name="Итог 6 36" xfId="3717" xr:uid="{00000000-0005-0000-0000-000006320000}"/>
    <cellStyle name="Итог 6 36 2" xfId="8453" xr:uid="{00000000-0005-0000-0000-000007320000}"/>
    <cellStyle name="Итог 6 36 3" xfId="12721" xr:uid="{00000000-0005-0000-0000-000008320000}"/>
    <cellStyle name="Итог 6 36 4" xfId="16957" xr:uid="{00000000-0005-0000-0000-000009320000}"/>
    <cellStyle name="Итог 6 37" xfId="3718" xr:uid="{00000000-0005-0000-0000-00000A320000}"/>
    <cellStyle name="Итог 6 37 2" xfId="8454" xr:uid="{00000000-0005-0000-0000-00000B320000}"/>
    <cellStyle name="Итог 6 37 3" xfId="12722" xr:uid="{00000000-0005-0000-0000-00000C320000}"/>
    <cellStyle name="Итог 6 37 4" xfId="16958" xr:uid="{00000000-0005-0000-0000-00000D320000}"/>
    <cellStyle name="Итог 6 38" xfId="3719" xr:uid="{00000000-0005-0000-0000-00000E320000}"/>
    <cellStyle name="Итог 6 38 2" xfId="8455" xr:uid="{00000000-0005-0000-0000-00000F320000}"/>
    <cellStyle name="Итог 6 38 3" xfId="12723" xr:uid="{00000000-0005-0000-0000-000010320000}"/>
    <cellStyle name="Итог 6 38 4" xfId="16959" xr:uid="{00000000-0005-0000-0000-000011320000}"/>
    <cellStyle name="Итог 6 39" xfId="3720" xr:uid="{00000000-0005-0000-0000-000012320000}"/>
    <cellStyle name="Итог 6 39 2" xfId="8456" xr:uid="{00000000-0005-0000-0000-000013320000}"/>
    <cellStyle name="Итог 6 39 3" xfId="12724" xr:uid="{00000000-0005-0000-0000-000014320000}"/>
    <cellStyle name="Итог 6 39 4" xfId="16960" xr:uid="{00000000-0005-0000-0000-000015320000}"/>
    <cellStyle name="Итог 6 4" xfId="3721" xr:uid="{00000000-0005-0000-0000-000016320000}"/>
    <cellStyle name="Итог 6 4 2" xfId="3722" xr:uid="{00000000-0005-0000-0000-000017320000}"/>
    <cellStyle name="Итог 6 4 2 2" xfId="8458" xr:uid="{00000000-0005-0000-0000-000018320000}"/>
    <cellStyle name="Итог 6 4 2 3" xfId="12726" xr:uid="{00000000-0005-0000-0000-000019320000}"/>
    <cellStyle name="Итог 6 4 2 4" xfId="16962" xr:uid="{00000000-0005-0000-0000-00001A320000}"/>
    <cellStyle name="Итог 6 4 3" xfId="3723" xr:uid="{00000000-0005-0000-0000-00001B320000}"/>
    <cellStyle name="Итог 6 4 3 2" xfId="8459" xr:uid="{00000000-0005-0000-0000-00001C320000}"/>
    <cellStyle name="Итог 6 4 3 3" xfId="12727" xr:uid="{00000000-0005-0000-0000-00001D320000}"/>
    <cellStyle name="Итог 6 4 3 4" xfId="16963" xr:uid="{00000000-0005-0000-0000-00001E320000}"/>
    <cellStyle name="Итог 6 4 4" xfId="8457" xr:uid="{00000000-0005-0000-0000-00001F320000}"/>
    <cellStyle name="Итог 6 4 5" xfId="12725" xr:uid="{00000000-0005-0000-0000-000020320000}"/>
    <cellStyle name="Итог 6 4 6" xfId="16961" xr:uid="{00000000-0005-0000-0000-000021320000}"/>
    <cellStyle name="Итог 6 40" xfId="3724" xr:uid="{00000000-0005-0000-0000-000022320000}"/>
    <cellStyle name="Итог 6 40 2" xfId="8460" xr:uid="{00000000-0005-0000-0000-000023320000}"/>
    <cellStyle name="Итог 6 40 3" xfId="12728" xr:uid="{00000000-0005-0000-0000-000024320000}"/>
    <cellStyle name="Итог 6 40 4" xfId="16964" xr:uid="{00000000-0005-0000-0000-000025320000}"/>
    <cellStyle name="Итог 6 41" xfId="3725" xr:uid="{00000000-0005-0000-0000-000026320000}"/>
    <cellStyle name="Итог 6 41 2" xfId="8461" xr:uid="{00000000-0005-0000-0000-000027320000}"/>
    <cellStyle name="Итог 6 41 3" xfId="12729" xr:uid="{00000000-0005-0000-0000-000028320000}"/>
    <cellStyle name="Итог 6 41 4" xfId="16965" xr:uid="{00000000-0005-0000-0000-000029320000}"/>
    <cellStyle name="Итог 6 42" xfId="3726" xr:uid="{00000000-0005-0000-0000-00002A320000}"/>
    <cellStyle name="Итог 6 42 2" xfId="8462" xr:uid="{00000000-0005-0000-0000-00002B320000}"/>
    <cellStyle name="Итог 6 42 3" xfId="12730" xr:uid="{00000000-0005-0000-0000-00002C320000}"/>
    <cellStyle name="Итог 6 42 4" xfId="16966" xr:uid="{00000000-0005-0000-0000-00002D320000}"/>
    <cellStyle name="Итог 6 43" xfId="3727" xr:uid="{00000000-0005-0000-0000-00002E320000}"/>
    <cellStyle name="Итог 6 43 2" xfId="8463" xr:uid="{00000000-0005-0000-0000-00002F320000}"/>
    <cellStyle name="Итог 6 43 3" xfId="12731" xr:uid="{00000000-0005-0000-0000-000030320000}"/>
    <cellStyle name="Итог 6 43 4" xfId="16967" xr:uid="{00000000-0005-0000-0000-000031320000}"/>
    <cellStyle name="Итог 6 44" xfId="3728" xr:uid="{00000000-0005-0000-0000-000032320000}"/>
    <cellStyle name="Итог 6 44 2" xfId="8464" xr:uid="{00000000-0005-0000-0000-000033320000}"/>
    <cellStyle name="Итог 6 44 3" xfId="12732" xr:uid="{00000000-0005-0000-0000-000034320000}"/>
    <cellStyle name="Итог 6 44 4" xfId="16968" xr:uid="{00000000-0005-0000-0000-000035320000}"/>
    <cellStyle name="Итог 6 45" xfId="3729" xr:uid="{00000000-0005-0000-0000-000036320000}"/>
    <cellStyle name="Итог 6 45 2" xfId="8465" xr:uid="{00000000-0005-0000-0000-000037320000}"/>
    <cellStyle name="Итог 6 45 3" xfId="12733" xr:uid="{00000000-0005-0000-0000-000038320000}"/>
    <cellStyle name="Итог 6 45 4" xfId="16969" xr:uid="{00000000-0005-0000-0000-000039320000}"/>
    <cellStyle name="Итог 6 46" xfId="3730" xr:uid="{00000000-0005-0000-0000-00003A320000}"/>
    <cellStyle name="Итог 6 46 2" xfId="8466" xr:uid="{00000000-0005-0000-0000-00003B320000}"/>
    <cellStyle name="Итог 6 46 3" xfId="12734" xr:uid="{00000000-0005-0000-0000-00003C320000}"/>
    <cellStyle name="Итог 6 46 4" xfId="16970" xr:uid="{00000000-0005-0000-0000-00003D320000}"/>
    <cellStyle name="Итог 6 47" xfId="3731" xr:uid="{00000000-0005-0000-0000-00003E320000}"/>
    <cellStyle name="Итог 6 47 2" xfId="8467" xr:uid="{00000000-0005-0000-0000-00003F320000}"/>
    <cellStyle name="Итог 6 47 3" xfId="12735" xr:uid="{00000000-0005-0000-0000-000040320000}"/>
    <cellStyle name="Итог 6 47 4" xfId="16971" xr:uid="{00000000-0005-0000-0000-000041320000}"/>
    <cellStyle name="Итог 6 48" xfId="3732" xr:uid="{00000000-0005-0000-0000-000042320000}"/>
    <cellStyle name="Итог 6 48 2" xfId="8468" xr:uid="{00000000-0005-0000-0000-000043320000}"/>
    <cellStyle name="Итог 6 48 3" xfId="12736" xr:uid="{00000000-0005-0000-0000-000044320000}"/>
    <cellStyle name="Итог 6 48 4" xfId="16972" xr:uid="{00000000-0005-0000-0000-000045320000}"/>
    <cellStyle name="Итог 6 49" xfId="3733" xr:uid="{00000000-0005-0000-0000-000046320000}"/>
    <cellStyle name="Итог 6 49 2" xfId="8469" xr:uid="{00000000-0005-0000-0000-000047320000}"/>
    <cellStyle name="Итог 6 49 3" xfId="12737" xr:uid="{00000000-0005-0000-0000-000048320000}"/>
    <cellStyle name="Итог 6 49 4" xfId="16973" xr:uid="{00000000-0005-0000-0000-000049320000}"/>
    <cellStyle name="Итог 6 5" xfId="3734" xr:uid="{00000000-0005-0000-0000-00004A320000}"/>
    <cellStyle name="Итог 6 5 2" xfId="8470" xr:uid="{00000000-0005-0000-0000-00004B320000}"/>
    <cellStyle name="Итог 6 5 3" xfId="12738" xr:uid="{00000000-0005-0000-0000-00004C320000}"/>
    <cellStyle name="Итог 6 5 4" xfId="16974" xr:uid="{00000000-0005-0000-0000-00004D320000}"/>
    <cellStyle name="Итог 6 50" xfId="3735" xr:uid="{00000000-0005-0000-0000-00004E320000}"/>
    <cellStyle name="Итог 6 50 2" xfId="8471" xr:uid="{00000000-0005-0000-0000-00004F320000}"/>
    <cellStyle name="Итог 6 50 3" xfId="12739" xr:uid="{00000000-0005-0000-0000-000050320000}"/>
    <cellStyle name="Итог 6 50 4" xfId="16975" xr:uid="{00000000-0005-0000-0000-000051320000}"/>
    <cellStyle name="Итог 6 51" xfId="3736" xr:uid="{00000000-0005-0000-0000-000052320000}"/>
    <cellStyle name="Итог 6 51 2" xfId="8472" xr:uid="{00000000-0005-0000-0000-000053320000}"/>
    <cellStyle name="Итог 6 51 3" xfId="12740" xr:uid="{00000000-0005-0000-0000-000054320000}"/>
    <cellStyle name="Итог 6 51 4" xfId="16976" xr:uid="{00000000-0005-0000-0000-000055320000}"/>
    <cellStyle name="Итог 6 52" xfId="3737" xr:uid="{00000000-0005-0000-0000-000056320000}"/>
    <cellStyle name="Итог 6 52 2" xfId="8473" xr:uid="{00000000-0005-0000-0000-000057320000}"/>
    <cellStyle name="Итог 6 52 3" xfId="12741" xr:uid="{00000000-0005-0000-0000-000058320000}"/>
    <cellStyle name="Итог 6 52 4" xfId="16977" xr:uid="{00000000-0005-0000-0000-000059320000}"/>
    <cellStyle name="Итог 6 53" xfId="3738" xr:uid="{00000000-0005-0000-0000-00005A320000}"/>
    <cellStyle name="Итог 6 53 2" xfId="8474" xr:uid="{00000000-0005-0000-0000-00005B320000}"/>
    <cellStyle name="Итог 6 53 3" xfId="12742" xr:uid="{00000000-0005-0000-0000-00005C320000}"/>
    <cellStyle name="Итог 6 53 4" xfId="16978" xr:uid="{00000000-0005-0000-0000-00005D320000}"/>
    <cellStyle name="Итог 6 54" xfId="3739" xr:uid="{00000000-0005-0000-0000-00005E320000}"/>
    <cellStyle name="Итог 6 54 2" xfId="8475" xr:uid="{00000000-0005-0000-0000-00005F320000}"/>
    <cellStyle name="Итог 6 54 3" xfId="12743" xr:uid="{00000000-0005-0000-0000-000060320000}"/>
    <cellStyle name="Итог 6 54 4" xfId="16979" xr:uid="{00000000-0005-0000-0000-000061320000}"/>
    <cellStyle name="Итог 6 55" xfId="3740" xr:uid="{00000000-0005-0000-0000-000062320000}"/>
    <cellStyle name="Итог 6 55 2" xfId="8476" xr:uid="{00000000-0005-0000-0000-000063320000}"/>
    <cellStyle name="Итог 6 55 3" xfId="12744" xr:uid="{00000000-0005-0000-0000-000064320000}"/>
    <cellStyle name="Итог 6 55 4" xfId="16980" xr:uid="{00000000-0005-0000-0000-000065320000}"/>
    <cellStyle name="Итог 6 56" xfId="3741" xr:uid="{00000000-0005-0000-0000-000066320000}"/>
    <cellStyle name="Итог 6 56 2" xfId="8477" xr:uid="{00000000-0005-0000-0000-000067320000}"/>
    <cellStyle name="Итог 6 56 3" xfId="12745" xr:uid="{00000000-0005-0000-0000-000068320000}"/>
    <cellStyle name="Итог 6 56 4" xfId="16981" xr:uid="{00000000-0005-0000-0000-000069320000}"/>
    <cellStyle name="Итог 6 57" xfId="3742" xr:uid="{00000000-0005-0000-0000-00006A320000}"/>
    <cellStyle name="Итог 6 57 2" xfId="8478" xr:uid="{00000000-0005-0000-0000-00006B320000}"/>
    <cellStyle name="Итог 6 57 3" xfId="12746" xr:uid="{00000000-0005-0000-0000-00006C320000}"/>
    <cellStyle name="Итог 6 57 4" xfId="16982" xr:uid="{00000000-0005-0000-0000-00006D320000}"/>
    <cellStyle name="Итог 6 58" xfId="3743" xr:uid="{00000000-0005-0000-0000-00006E320000}"/>
    <cellStyle name="Итог 6 58 2" xfId="8479" xr:uid="{00000000-0005-0000-0000-00006F320000}"/>
    <cellStyle name="Итог 6 58 3" xfId="12747" xr:uid="{00000000-0005-0000-0000-000070320000}"/>
    <cellStyle name="Итог 6 58 4" xfId="16983" xr:uid="{00000000-0005-0000-0000-000071320000}"/>
    <cellStyle name="Итог 6 59" xfId="3744" xr:uid="{00000000-0005-0000-0000-000072320000}"/>
    <cellStyle name="Итог 6 59 2" xfId="8480" xr:uid="{00000000-0005-0000-0000-000073320000}"/>
    <cellStyle name="Итог 6 59 3" xfId="12748" xr:uid="{00000000-0005-0000-0000-000074320000}"/>
    <cellStyle name="Итог 6 59 4" xfId="16984" xr:uid="{00000000-0005-0000-0000-000075320000}"/>
    <cellStyle name="Итог 6 6" xfId="3745" xr:uid="{00000000-0005-0000-0000-000076320000}"/>
    <cellStyle name="Итог 6 6 2" xfId="8481" xr:uid="{00000000-0005-0000-0000-000077320000}"/>
    <cellStyle name="Итог 6 6 3" xfId="12749" xr:uid="{00000000-0005-0000-0000-000078320000}"/>
    <cellStyle name="Итог 6 6 4" xfId="16985" xr:uid="{00000000-0005-0000-0000-000079320000}"/>
    <cellStyle name="Итог 6 60" xfId="3746" xr:uid="{00000000-0005-0000-0000-00007A320000}"/>
    <cellStyle name="Итог 6 60 2" xfId="8482" xr:uid="{00000000-0005-0000-0000-00007B320000}"/>
    <cellStyle name="Итог 6 60 3" xfId="12750" xr:uid="{00000000-0005-0000-0000-00007C320000}"/>
    <cellStyle name="Итог 6 60 4" xfId="16986" xr:uid="{00000000-0005-0000-0000-00007D320000}"/>
    <cellStyle name="Итог 6 61" xfId="3747" xr:uid="{00000000-0005-0000-0000-00007E320000}"/>
    <cellStyle name="Итог 6 61 2" xfId="8483" xr:uid="{00000000-0005-0000-0000-00007F320000}"/>
    <cellStyle name="Итог 6 61 3" xfId="12751" xr:uid="{00000000-0005-0000-0000-000080320000}"/>
    <cellStyle name="Итог 6 61 4" xfId="16987" xr:uid="{00000000-0005-0000-0000-000081320000}"/>
    <cellStyle name="Итог 6 62" xfId="3748" xr:uid="{00000000-0005-0000-0000-000082320000}"/>
    <cellStyle name="Итог 6 62 2" xfId="8484" xr:uid="{00000000-0005-0000-0000-000083320000}"/>
    <cellStyle name="Итог 6 62 3" xfId="12752" xr:uid="{00000000-0005-0000-0000-000084320000}"/>
    <cellStyle name="Итог 6 62 4" xfId="16988" xr:uid="{00000000-0005-0000-0000-000085320000}"/>
    <cellStyle name="Итог 6 63" xfId="3749" xr:uid="{00000000-0005-0000-0000-000086320000}"/>
    <cellStyle name="Итог 6 63 2" xfId="8485" xr:uid="{00000000-0005-0000-0000-000087320000}"/>
    <cellStyle name="Итог 6 63 3" xfId="12753" xr:uid="{00000000-0005-0000-0000-000088320000}"/>
    <cellStyle name="Итог 6 63 4" xfId="16989" xr:uid="{00000000-0005-0000-0000-000089320000}"/>
    <cellStyle name="Итог 6 64" xfId="3750" xr:uid="{00000000-0005-0000-0000-00008A320000}"/>
    <cellStyle name="Итог 6 64 2" xfId="8486" xr:uid="{00000000-0005-0000-0000-00008B320000}"/>
    <cellStyle name="Итог 6 64 3" xfId="12754" xr:uid="{00000000-0005-0000-0000-00008C320000}"/>
    <cellStyle name="Итог 6 64 4" xfId="16990" xr:uid="{00000000-0005-0000-0000-00008D320000}"/>
    <cellStyle name="Итог 6 65" xfId="3751" xr:uid="{00000000-0005-0000-0000-00008E320000}"/>
    <cellStyle name="Итог 6 65 2" xfId="8487" xr:uid="{00000000-0005-0000-0000-00008F320000}"/>
    <cellStyle name="Итог 6 65 3" xfId="12755" xr:uid="{00000000-0005-0000-0000-000090320000}"/>
    <cellStyle name="Итог 6 65 4" xfId="16991" xr:uid="{00000000-0005-0000-0000-000091320000}"/>
    <cellStyle name="Итог 6 66" xfId="3752" xr:uid="{00000000-0005-0000-0000-000092320000}"/>
    <cellStyle name="Итог 6 66 2" xfId="8488" xr:uid="{00000000-0005-0000-0000-000093320000}"/>
    <cellStyle name="Итог 6 66 3" xfId="12756" xr:uid="{00000000-0005-0000-0000-000094320000}"/>
    <cellStyle name="Итог 6 66 4" xfId="16992" xr:uid="{00000000-0005-0000-0000-000095320000}"/>
    <cellStyle name="Итог 6 67" xfId="3753" xr:uid="{00000000-0005-0000-0000-000096320000}"/>
    <cellStyle name="Итог 6 67 2" xfId="8489" xr:uid="{00000000-0005-0000-0000-000097320000}"/>
    <cellStyle name="Итог 6 67 3" xfId="12757" xr:uid="{00000000-0005-0000-0000-000098320000}"/>
    <cellStyle name="Итог 6 67 4" xfId="16993" xr:uid="{00000000-0005-0000-0000-000099320000}"/>
    <cellStyle name="Итог 6 68" xfId="3754" xr:uid="{00000000-0005-0000-0000-00009A320000}"/>
    <cellStyle name="Итог 6 68 2" xfId="8490" xr:uid="{00000000-0005-0000-0000-00009B320000}"/>
    <cellStyle name="Итог 6 68 3" xfId="12758" xr:uid="{00000000-0005-0000-0000-00009C320000}"/>
    <cellStyle name="Итог 6 68 4" xfId="16994" xr:uid="{00000000-0005-0000-0000-00009D320000}"/>
    <cellStyle name="Итог 6 69" xfId="3755" xr:uid="{00000000-0005-0000-0000-00009E320000}"/>
    <cellStyle name="Итог 6 69 2" xfId="8491" xr:uid="{00000000-0005-0000-0000-00009F320000}"/>
    <cellStyle name="Итог 6 69 3" xfId="12759" xr:uid="{00000000-0005-0000-0000-0000A0320000}"/>
    <cellStyle name="Итог 6 69 4" xfId="16995" xr:uid="{00000000-0005-0000-0000-0000A1320000}"/>
    <cellStyle name="Итог 6 7" xfId="3756" xr:uid="{00000000-0005-0000-0000-0000A2320000}"/>
    <cellStyle name="Итог 6 7 2" xfId="8492" xr:uid="{00000000-0005-0000-0000-0000A3320000}"/>
    <cellStyle name="Итог 6 7 3" xfId="12760" xr:uid="{00000000-0005-0000-0000-0000A4320000}"/>
    <cellStyle name="Итог 6 7 4" xfId="16996" xr:uid="{00000000-0005-0000-0000-0000A5320000}"/>
    <cellStyle name="Итог 6 70" xfId="3757" xr:uid="{00000000-0005-0000-0000-0000A6320000}"/>
    <cellStyle name="Итог 6 70 2" xfId="8493" xr:uid="{00000000-0005-0000-0000-0000A7320000}"/>
    <cellStyle name="Итог 6 70 3" xfId="12761" xr:uid="{00000000-0005-0000-0000-0000A8320000}"/>
    <cellStyle name="Итог 6 70 4" xfId="16997" xr:uid="{00000000-0005-0000-0000-0000A9320000}"/>
    <cellStyle name="Итог 6 71" xfId="3758" xr:uid="{00000000-0005-0000-0000-0000AA320000}"/>
    <cellStyle name="Итог 6 71 2" xfId="8494" xr:uid="{00000000-0005-0000-0000-0000AB320000}"/>
    <cellStyle name="Итог 6 71 3" xfId="12762" xr:uid="{00000000-0005-0000-0000-0000AC320000}"/>
    <cellStyle name="Итог 6 71 4" xfId="16998" xr:uid="{00000000-0005-0000-0000-0000AD320000}"/>
    <cellStyle name="Итог 6 72" xfId="3759" xr:uid="{00000000-0005-0000-0000-0000AE320000}"/>
    <cellStyle name="Итог 6 72 2" xfId="8495" xr:uid="{00000000-0005-0000-0000-0000AF320000}"/>
    <cellStyle name="Итог 6 72 3" xfId="12763" xr:uid="{00000000-0005-0000-0000-0000B0320000}"/>
    <cellStyle name="Итог 6 72 4" xfId="16999" xr:uid="{00000000-0005-0000-0000-0000B1320000}"/>
    <cellStyle name="Итог 6 73" xfId="3760" xr:uid="{00000000-0005-0000-0000-0000B2320000}"/>
    <cellStyle name="Итог 6 73 2" xfId="8496" xr:uid="{00000000-0005-0000-0000-0000B3320000}"/>
    <cellStyle name="Итог 6 73 3" xfId="12764" xr:uid="{00000000-0005-0000-0000-0000B4320000}"/>
    <cellStyle name="Итог 6 73 4" xfId="17000" xr:uid="{00000000-0005-0000-0000-0000B5320000}"/>
    <cellStyle name="Итог 6 74" xfId="3761" xr:uid="{00000000-0005-0000-0000-0000B6320000}"/>
    <cellStyle name="Итог 6 74 2" xfId="8497" xr:uid="{00000000-0005-0000-0000-0000B7320000}"/>
    <cellStyle name="Итог 6 74 3" xfId="12765" xr:uid="{00000000-0005-0000-0000-0000B8320000}"/>
    <cellStyle name="Итог 6 74 4" xfId="17001" xr:uid="{00000000-0005-0000-0000-0000B9320000}"/>
    <cellStyle name="Итог 6 75" xfId="3762" xr:uid="{00000000-0005-0000-0000-0000BA320000}"/>
    <cellStyle name="Итог 6 75 2" xfId="8498" xr:uid="{00000000-0005-0000-0000-0000BB320000}"/>
    <cellStyle name="Итог 6 75 3" xfId="12766" xr:uid="{00000000-0005-0000-0000-0000BC320000}"/>
    <cellStyle name="Итог 6 75 4" xfId="17002" xr:uid="{00000000-0005-0000-0000-0000BD320000}"/>
    <cellStyle name="Итог 6 76" xfId="3763" xr:uid="{00000000-0005-0000-0000-0000BE320000}"/>
    <cellStyle name="Итог 6 76 2" xfId="8499" xr:uid="{00000000-0005-0000-0000-0000BF320000}"/>
    <cellStyle name="Итог 6 76 3" xfId="12767" xr:uid="{00000000-0005-0000-0000-0000C0320000}"/>
    <cellStyle name="Итог 6 76 4" xfId="17003" xr:uid="{00000000-0005-0000-0000-0000C1320000}"/>
    <cellStyle name="Итог 6 77" xfId="3764" xr:uid="{00000000-0005-0000-0000-0000C2320000}"/>
    <cellStyle name="Итог 6 77 2" xfId="8500" xr:uid="{00000000-0005-0000-0000-0000C3320000}"/>
    <cellStyle name="Итог 6 77 3" xfId="12768" xr:uid="{00000000-0005-0000-0000-0000C4320000}"/>
    <cellStyle name="Итог 6 77 4" xfId="17004" xr:uid="{00000000-0005-0000-0000-0000C5320000}"/>
    <cellStyle name="Итог 6 78" xfId="3765" xr:uid="{00000000-0005-0000-0000-0000C6320000}"/>
    <cellStyle name="Итог 6 78 2" xfId="8501" xr:uid="{00000000-0005-0000-0000-0000C7320000}"/>
    <cellStyle name="Итог 6 78 3" xfId="12769" xr:uid="{00000000-0005-0000-0000-0000C8320000}"/>
    <cellStyle name="Итог 6 78 4" xfId="17005" xr:uid="{00000000-0005-0000-0000-0000C9320000}"/>
    <cellStyle name="Итог 6 79" xfId="3766" xr:uid="{00000000-0005-0000-0000-0000CA320000}"/>
    <cellStyle name="Итог 6 79 2" xfId="8502" xr:uid="{00000000-0005-0000-0000-0000CB320000}"/>
    <cellStyle name="Итог 6 79 3" xfId="12770" xr:uid="{00000000-0005-0000-0000-0000CC320000}"/>
    <cellStyle name="Итог 6 79 4" xfId="17006" xr:uid="{00000000-0005-0000-0000-0000CD320000}"/>
    <cellStyle name="Итог 6 8" xfId="3767" xr:uid="{00000000-0005-0000-0000-0000CE320000}"/>
    <cellStyle name="Итог 6 8 2" xfId="8503" xr:uid="{00000000-0005-0000-0000-0000CF320000}"/>
    <cellStyle name="Итог 6 8 3" xfId="12771" xr:uid="{00000000-0005-0000-0000-0000D0320000}"/>
    <cellStyle name="Итог 6 8 4" xfId="17007" xr:uid="{00000000-0005-0000-0000-0000D1320000}"/>
    <cellStyle name="Итог 6 80" xfId="3768" xr:uid="{00000000-0005-0000-0000-0000D2320000}"/>
    <cellStyle name="Итог 6 80 2" xfId="8504" xr:uid="{00000000-0005-0000-0000-0000D3320000}"/>
    <cellStyle name="Итог 6 80 3" xfId="12772" xr:uid="{00000000-0005-0000-0000-0000D4320000}"/>
    <cellStyle name="Итог 6 80 4" xfId="17008" xr:uid="{00000000-0005-0000-0000-0000D5320000}"/>
    <cellStyle name="Итог 6 81" xfId="3769" xr:uid="{00000000-0005-0000-0000-0000D6320000}"/>
    <cellStyle name="Итог 6 81 2" xfId="8505" xr:uid="{00000000-0005-0000-0000-0000D7320000}"/>
    <cellStyle name="Итог 6 81 3" xfId="12773" xr:uid="{00000000-0005-0000-0000-0000D8320000}"/>
    <cellStyle name="Итог 6 81 4" xfId="17009" xr:uid="{00000000-0005-0000-0000-0000D9320000}"/>
    <cellStyle name="Итог 6 82" xfId="3770" xr:uid="{00000000-0005-0000-0000-0000DA320000}"/>
    <cellStyle name="Итог 6 82 2" xfId="8506" xr:uid="{00000000-0005-0000-0000-0000DB320000}"/>
    <cellStyle name="Итог 6 82 3" xfId="12774" xr:uid="{00000000-0005-0000-0000-0000DC320000}"/>
    <cellStyle name="Итог 6 82 4" xfId="17010" xr:uid="{00000000-0005-0000-0000-0000DD320000}"/>
    <cellStyle name="Итог 6 83" xfId="3771" xr:uid="{00000000-0005-0000-0000-0000DE320000}"/>
    <cellStyle name="Итог 6 83 2" xfId="8507" xr:uid="{00000000-0005-0000-0000-0000DF320000}"/>
    <cellStyle name="Итог 6 83 3" xfId="12775" xr:uid="{00000000-0005-0000-0000-0000E0320000}"/>
    <cellStyle name="Итог 6 83 4" xfId="17011" xr:uid="{00000000-0005-0000-0000-0000E1320000}"/>
    <cellStyle name="Итог 6 84" xfId="3772" xr:uid="{00000000-0005-0000-0000-0000E2320000}"/>
    <cellStyle name="Итог 6 84 2" xfId="8508" xr:uid="{00000000-0005-0000-0000-0000E3320000}"/>
    <cellStyle name="Итог 6 84 3" xfId="12776" xr:uid="{00000000-0005-0000-0000-0000E4320000}"/>
    <cellStyle name="Итог 6 84 4" xfId="17012" xr:uid="{00000000-0005-0000-0000-0000E5320000}"/>
    <cellStyle name="Итог 6 85" xfId="3773" xr:uid="{00000000-0005-0000-0000-0000E6320000}"/>
    <cellStyle name="Итог 6 85 2" xfId="8509" xr:uid="{00000000-0005-0000-0000-0000E7320000}"/>
    <cellStyle name="Итог 6 85 3" xfId="12777" xr:uid="{00000000-0005-0000-0000-0000E8320000}"/>
    <cellStyle name="Итог 6 85 4" xfId="17013" xr:uid="{00000000-0005-0000-0000-0000E9320000}"/>
    <cellStyle name="Итог 6 86" xfId="3774" xr:uid="{00000000-0005-0000-0000-0000EA320000}"/>
    <cellStyle name="Итог 6 86 2" xfId="8510" xr:uid="{00000000-0005-0000-0000-0000EB320000}"/>
    <cellStyle name="Итог 6 86 3" xfId="12778" xr:uid="{00000000-0005-0000-0000-0000EC320000}"/>
    <cellStyle name="Итог 6 86 4" xfId="17014" xr:uid="{00000000-0005-0000-0000-0000ED320000}"/>
    <cellStyle name="Итог 6 87" xfId="3775" xr:uid="{00000000-0005-0000-0000-0000EE320000}"/>
    <cellStyle name="Итог 6 87 2" xfId="8511" xr:uid="{00000000-0005-0000-0000-0000EF320000}"/>
    <cellStyle name="Итог 6 87 3" xfId="12779" xr:uid="{00000000-0005-0000-0000-0000F0320000}"/>
    <cellStyle name="Итог 6 87 4" xfId="17015" xr:uid="{00000000-0005-0000-0000-0000F1320000}"/>
    <cellStyle name="Итог 6 88" xfId="3776" xr:uid="{00000000-0005-0000-0000-0000F2320000}"/>
    <cellStyle name="Итог 6 88 2" xfId="8512" xr:uid="{00000000-0005-0000-0000-0000F3320000}"/>
    <cellStyle name="Итог 6 88 3" xfId="12780" xr:uid="{00000000-0005-0000-0000-0000F4320000}"/>
    <cellStyle name="Итог 6 88 4" xfId="17016" xr:uid="{00000000-0005-0000-0000-0000F5320000}"/>
    <cellStyle name="Итог 6 89" xfId="3777" xr:uid="{00000000-0005-0000-0000-0000F6320000}"/>
    <cellStyle name="Итог 6 89 2" xfId="8513" xr:uid="{00000000-0005-0000-0000-0000F7320000}"/>
    <cellStyle name="Итог 6 89 3" xfId="12781" xr:uid="{00000000-0005-0000-0000-0000F8320000}"/>
    <cellStyle name="Итог 6 89 4" xfId="17017" xr:uid="{00000000-0005-0000-0000-0000F9320000}"/>
    <cellStyle name="Итог 6 9" xfId="3778" xr:uid="{00000000-0005-0000-0000-0000FA320000}"/>
    <cellStyle name="Итог 6 9 2" xfId="8514" xr:uid="{00000000-0005-0000-0000-0000FB320000}"/>
    <cellStyle name="Итог 6 9 3" xfId="12782" xr:uid="{00000000-0005-0000-0000-0000FC320000}"/>
    <cellStyle name="Итог 6 9 4" xfId="17018" xr:uid="{00000000-0005-0000-0000-0000FD320000}"/>
    <cellStyle name="Итог 6 90" xfId="3779" xr:uid="{00000000-0005-0000-0000-0000FE320000}"/>
    <cellStyle name="Итог 6 90 2" xfId="8515" xr:uid="{00000000-0005-0000-0000-0000FF320000}"/>
    <cellStyle name="Итог 6 90 3" xfId="12783" xr:uid="{00000000-0005-0000-0000-000000330000}"/>
    <cellStyle name="Итог 6 90 4" xfId="17019" xr:uid="{00000000-0005-0000-0000-000001330000}"/>
    <cellStyle name="Итог 6 91" xfId="3780" xr:uid="{00000000-0005-0000-0000-000002330000}"/>
    <cellStyle name="Итог 6 91 2" xfId="8516" xr:uid="{00000000-0005-0000-0000-000003330000}"/>
    <cellStyle name="Итог 6 91 3" xfId="12784" xr:uid="{00000000-0005-0000-0000-000004330000}"/>
    <cellStyle name="Итог 6 91 4" xfId="17020" xr:uid="{00000000-0005-0000-0000-000005330000}"/>
    <cellStyle name="Итог 6 92" xfId="5209" xr:uid="{00000000-0005-0000-0000-000006330000}"/>
    <cellStyle name="Итог 6 93" xfId="8832" xr:uid="{00000000-0005-0000-0000-000007330000}"/>
    <cellStyle name="Итог 6 94" xfId="13082" xr:uid="{00000000-0005-0000-0000-000008330000}"/>
    <cellStyle name="Итог 7" xfId="295" xr:uid="{00000000-0005-0000-0000-000009330000}"/>
    <cellStyle name="Итог 7 10" xfId="3781" xr:uid="{00000000-0005-0000-0000-00000A330000}"/>
    <cellStyle name="Итог 7 10 2" xfId="8517" xr:uid="{00000000-0005-0000-0000-00000B330000}"/>
    <cellStyle name="Итог 7 10 3" xfId="12785" xr:uid="{00000000-0005-0000-0000-00000C330000}"/>
    <cellStyle name="Итог 7 10 4" xfId="17021" xr:uid="{00000000-0005-0000-0000-00000D330000}"/>
    <cellStyle name="Итог 7 11" xfId="3782" xr:uid="{00000000-0005-0000-0000-00000E330000}"/>
    <cellStyle name="Итог 7 11 2" xfId="8518" xr:uid="{00000000-0005-0000-0000-00000F330000}"/>
    <cellStyle name="Итог 7 11 3" xfId="12786" xr:uid="{00000000-0005-0000-0000-000010330000}"/>
    <cellStyle name="Итог 7 11 4" xfId="17022" xr:uid="{00000000-0005-0000-0000-000011330000}"/>
    <cellStyle name="Итог 7 12" xfId="3783" xr:uid="{00000000-0005-0000-0000-000012330000}"/>
    <cellStyle name="Итог 7 12 2" xfId="8519" xr:uid="{00000000-0005-0000-0000-000013330000}"/>
    <cellStyle name="Итог 7 12 3" xfId="12787" xr:uid="{00000000-0005-0000-0000-000014330000}"/>
    <cellStyle name="Итог 7 12 4" xfId="17023" xr:uid="{00000000-0005-0000-0000-000015330000}"/>
    <cellStyle name="Итог 7 13" xfId="3784" xr:uid="{00000000-0005-0000-0000-000016330000}"/>
    <cellStyle name="Итог 7 13 2" xfId="8520" xr:uid="{00000000-0005-0000-0000-000017330000}"/>
    <cellStyle name="Итог 7 13 3" xfId="12788" xr:uid="{00000000-0005-0000-0000-000018330000}"/>
    <cellStyle name="Итог 7 13 4" xfId="17024" xr:uid="{00000000-0005-0000-0000-000019330000}"/>
    <cellStyle name="Итог 7 14" xfId="3785" xr:uid="{00000000-0005-0000-0000-00001A330000}"/>
    <cellStyle name="Итог 7 14 2" xfId="8521" xr:uid="{00000000-0005-0000-0000-00001B330000}"/>
    <cellStyle name="Итог 7 14 3" xfId="12789" xr:uid="{00000000-0005-0000-0000-00001C330000}"/>
    <cellStyle name="Итог 7 14 4" xfId="17025" xr:uid="{00000000-0005-0000-0000-00001D330000}"/>
    <cellStyle name="Итог 7 15" xfId="3786" xr:uid="{00000000-0005-0000-0000-00001E330000}"/>
    <cellStyle name="Итог 7 15 2" xfId="8522" xr:uid="{00000000-0005-0000-0000-00001F330000}"/>
    <cellStyle name="Итог 7 15 3" xfId="12790" xr:uid="{00000000-0005-0000-0000-000020330000}"/>
    <cellStyle name="Итог 7 15 4" xfId="17026" xr:uid="{00000000-0005-0000-0000-000021330000}"/>
    <cellStyle name="Итог 7 16" xfId="3787" xr:uid="{00000000-0005-0000-0000-000022330000}"/>
    <cellStyle name="Итог 7 16 2" xfId="8523" xr:uid="{00000000-0005-0000-0000-000023330000}"/>
    <cellStyle name="Итог 7 16 3" xfId="12791" xr:uid="{00000000-0005-0000-0000-000024330000}"/>
    <cellStyle name="Итог 7 16 4" xfId="17027" xr:uid="{00000000-0005-0000-0000-000025330000}"/>
    <cellStyle name="Итог 7 17" xfId="3788" xr:uid="{00000000-0005-0000-0000-000026330000}"/>
    <cellStyle name="Итог 7 17 2" xfId="8524" xr:uid="{00000000-0005-0000-0000-000027330000}"/>
    <cellStyle name="Итог 7 17 3" xfId="12792" xr:uid="{00000000-0005-0000-0000-000028330000}"/>
    <cellStyle name="Итог 7 17 4" xfId="17028" xr:uid="{00000000-0005-0000-0000-000029330000}"/>
    <cellStyle name="Итог 7 18" xfId="3789" xr:uid="{00000000-0005-0000-0000-00002A330000}"/>
    <cellStyle name="Итог 7 18 2" xfId="8525" xr:uid="{00000000-0005-0000-0000-00002B330000}"/>
    <cellStyle name="Итог 7 18 3" xfId="12793" xr:uid="{00000000-0005-0000-0000-00002C330000}"/>
    <cellStyle name="Итог 7 18 4" xfId="17029" xr:uid="{00000000-0005-0000-0000-00002D330000}"/>
    <cellStyle name="Итог 7 19" xfId="3790" xr:uid="{00000000-0005-0000-0000-00002E330000}"/>
    <cellStyle name="Итог 7 19 2" xfId="8526" xr:uid="{00000000-0005-0000-0000-00002F330000}"/>
    <cellStyle name="Итог 7 19 3" xfId="12794" xr:uid="{00000000-0005-0000-0000-000030330000}"/>
    <cellStyle name="Итог 7 19 4" xfId="17030" xr:uid="{00000000-0005-0000-0000-000031330000}"/>
    <cellStyle name="Итог 7 2" xfId="3791" xr:uid="{00000000-0005-0000-0000-000032330000}"/>
    <cellStyle name="Итог 7 2 2" xfId="3792" xr:uid="{00000000-0005-0000-0000-000033330000}"/>
    <cellStyle name="Итог 7 2 2 2" xfId="8528" xr:uid="{00000000-0005-0000-0000-000034330000}"/>
    <cellStyle name="Итог 7 2 2 3" xfId="12796" xr:uid="{00000000-0005-0000-0000-000035330000}"/>
    <cellStyle name="Итог 7 2 2 4" xfId="17032" xr:uid="{00000000-0005-0000-0000-000036330000}"/>
    <cellStyle name="Итог 7 2 3" xfId="3793" xr:uid="{00000000-0005-0000-0000-000037330000}"/>
    <cellStyle name="Итог 7 2 3 2" xfId="8529" xr:uid="{00000000-0005-0000-0000-000038330000}"/>
    <cellStyle name="Итог 7 2 3 3" xfId="12797" xr:uid="{00000000-0005-0000-0000-000039330000}"/>
    <cellStyle name="Итог 7 2 3 4" xfId="17033" xr:uid="{00000000-0005-0000-0000-00003A330000}"/>
    <cellStyle name="Итог 7 2 4" xfId="8527" xr:uid="{00000000-0005-0000-0000-00003B330000}"/>
    <cellStyle name="Итог 7 2 5" xfId="12795" xr:uid="{00000000-0005-0000-0000-00003C330000}"/>
    <cellStyle name="Итог 7 2 6" xfId="17031" xr:uid="{00000000-0005-0000-0000-00003D330000}"/>
    <cellStyle name="Итог 7 20" xfId="3794" xr:uid="{00000000-0005-0000-0000-00003E330000}"/>
    <cellStyle name="Итог 7 20 2" xfId="8530" xr:uid="{00000000-0005-0000-0000-00003F330000}"/>
    <cellStyle name="Итог 7 20 3" xfId="12798" xr:uid="{00000000-0005-0000-0000-000040330000}"/>
    <cellStyle name="Итог 7 20 4" xfId="17034" xr:uid="{00000000-0005-0000-0000-000041330000}"/>
    <cellStyle name="Итог 7 21" xfId="3795" xr:uid="{00000000-0005-0000-0000-000042330000}"/>
    <cellStyle name="Итог 7 21 2" xfId="8531" xr:uid="{00000000-0005-0000-0000-000043330000}"/>
    <cellStyle name="Итог 7 21 3" xfId="12799" xr:uid="{00000000-0005-0000-0000-000044330000}"/>
    <cellStyle name="Итог 7 21 4" xfId="17035" xr:uid="{00000000-0005-0000-0000-000045330000}"/>
    <cellStyle name="Итог 7 22" xfId="3796" xr:uid="{00000000-0005-0000-0000-000046330000}"/>
    <cellStyle name="Итог 7 22 2" xfId="8532" xr:uid="{00000000-0005-0000-0000-000047330000}"/>
    <cellStyle name="Итог 7 22 3" xfId="12800" xr:uid="{00000000-0005-0000-0000-000048330000}"/>
    <cellStyle name="Итог 7 22 4" xfId="17036" xr:uid="{00000000-0005-0000-0000-000049330000}"/>
    <cellStyle name="Итог 7 23" xfId="3797" xr:uid="{00000000-0005-0000-0000-00004A330000}"/>
    <cellStyle name="Итог 7 23 2" xfId="8533" xr:uid="{00000000-0005-0000-0000-00004B330000}"/>
    <cellStyle name="Итог 7 23 3" xfId="12801" xr:uid="{00000000-0005-0000-0000-00004C330000}"/>
    <cellStyle name="Итог 7 23 4" xfId="17037" xr:uid="{00000000-0005-0000-0000-00004D330000}"/>
    <cellStyle name="Итог 7 24" xfId="3798" xr:uid="{00000000-0005-0000-0000-00004E330000}"/>
    <cellStyle name="Итог 7 24 2" xfId="8534" xr:uid="{00000000-0005-0000-0000-00004F330000}"/>
    <cellStyle name="Итог 7 24 3" xfId="12802" xr:uid="{00000000-0005-0000-0000-000050330000}"/>
    <cellStyle name="Итог 7 24 4" xfId="17038" xr:uid="{00000000-0005-0000-0000-000051330000}"/>
    <cellStyle name="Итог 7 25" xfId="3799" xr:uid="{00000000-0005-0000-0000-000052330000}"/>
    <cellStyle name="Итог 7 25 2" xfId="8535" xr:uid="{00000000-0005-0000-0000-000053330000}"/>
    <cellStyle name="Итог 7 25 3" xfId="12803" xr:uid="{00000000-0005-0000-0000-000054330000}"/>
    <cellStyle name="Итог 7 25 4" xfId="17039" xr:uid="{00000000-0005-0000-0000-000055330000}"/>
    <cellStyle name="Итог 7 26" xfId="3800" xr:uid="{00000000-0005-0000-0000-000056330000}"/>
    <cellStyle name="Итог 7 26 2" xfId="8536" xr:uid="{00000000-0005-0000-0000-000057330000}"/>
    <cellStyle name="Итог 7 26 3" xfId="12804" xr:uid="{00000000-0005-0000-0000-000058330000}"/>
    <cellStyle name="Итог 7 26 4" xfId="17040" xr:uid="{00000000-0005-0000-0000-000059330000}"/>
    <cellStyle name="Итог 7 27" xfId="3801" xr:uid="{00000000-0005-0000-0000-00005A330000}"/>
    <cellStyle name="Итог 7 27 2" xfId="8537" xr:uid="{00000000-0005-0000-0000-00005B330000}"/>
    <cellStyle name="Итог 7 27 3" xfId="12805" xr:uid="{00000000-0005-0000-0000-00005C330000}"/>
    <cellStyle name="Итог 7 27 4" xfId="17041" xr:uid="{00000000-0005-0000-0000-00005D330000}"/>
    <cellStyle name="Итог 7 28" xfId="3802" xr:uid="{00000000-0005-0000-0000-00005E330000}"/>
    <cellStyle name="Итог 7 28 2" xfId="8538" xr:uid="{00000000-0005-0000-0000-00005F330000}"/>
    <cellStyle name="Итог 7 28 3" xfId="12806" xr:uid="{00000000-0005-0000-0000-000060330000}"/>
    <cellStyle name="Итог 7 28 4" xfId="17042" xr:uid="{00000000-0005-0000-0000-000061330000}"/>
    <cellStyle name="Итог 7 29" xfId="3803" xr:uid="{00000000-0005-0000-0000-000062330000}"/>
    <cellStyle name="Итог 7 29 2" xfId="8539" xr:uid="{00000000-0005-0000-0000-000063330000}"/>
    <cellStyle name="Итог 7 29 3" xfId="12807" xr:uid="{00000000-0005-0000-0000-000064330000}"/>
    <cellStyle name="Итог 7 29 4" xfId="17043" xr:uid="{00000000-0005-0000-0000-000065330000}"/>
    <cellStyle name="Итог 7 3" xfId="3804" xr:uid="{00000000-0005-0000-0000-000066330000}"/>
    <cellStyle name="Итог 7 3 2" xfId="3805" xr:uid="{00000000-0005-0000-0000-000067330000}"/>
    <cellStyle name="Итог 7 3 2 2" xfId="8541" xr:uid="{00000000-0005-0000-0000-000068330000}"/>
    <cellStyle name="Итог 7 3 2 3" xfId="12809" xr:uid="{00000000-0005-0000-0000-000069330000}"/>
    <cellStyle name="Итог 7 3 2 4" xfId="17045" xr:uid="{00000000-0005-0000-0000-00006A330000}"/>
    <cellStyle name="Итог 7 3 3" xfId="3806" xr:uid="{00000000-0005-0000-0000-00006B330000}"/>
    <cellStyle name="Итог 7 3 3 2" xfId="8542" xr:uid="{00000000-0005-0000-0000-00006C330000}"/>
    <cellStyle name="Итог 7 3 3 3" xfId="12810" xr:uid="{00000000-0005-0000-0000-00006D330000}"/>
    <cellStyle name="Итог 7 3 3 4" xfId="17046" xr:uid="{00000000-0005-0000-0000-00006E330000}"/>
    <cellStyle name="Итог 7 3 4" xfId="8540" xr:uid="{00000000-0005-0000-0000-00006F330000}"/>
    <cellStyle name="Итог 7 3 5" xfId="12808" xr:uid="{00000000-0005-0000-0000-000070330000}"/>
    <cellStyle name="Итог 7 3 6" xfId="17044" xr:uid="{00000000-0005-0000-0000-000071330000}"/>
    <cellStyle name="Итог 7 30" xfId="3807" xr:uid="{00000000-0005-0000-0000-000072330000}"/>
    <cellStyle name="Итог 7 30 2" xfId="8543" xr:uid="{00000000-0005-0000-0000-000073330000}"/>
    <cellStyle name="Итог 7 30 3" xfId="12811" xr:uid="{00000000-0005-0000-0000-000074330000}"/>
    <cellStyle name="Итог 7 30 4" xfId="17047" xr:uid="{00000000-0005-0000-0000-000075330000}"/>
    <cellStyle name="Итог 7 31" xfId="3808" xr:uid="{00000000-0005-0000-0000-000076330000}"/>
    <cellStyle name="Итог 7 31 2" xfId="8544" xr:uid="{00000000-0005-0000-0000-000077330000}"/>
    <cellStyle name="Итог 7 31 3" xfId="12812" xr:uid="{00000000-0005-0000-0000-000078330000}"/>
    <cellStyle name="Итог 7 31 4" xfId="17048" xr:uid="{00000000-0005-0000-0000-000079330000}"/>
    <cellStyle name="Итог 7 32" xfId="3809" xr:uid="{00000000-0005-0000-0000-00007A330000}"/>
    <cellStyle name="Итог 7 32 2" xfId="8545" xr:uid="{00000000-0005-0000-0000-00007B330000}"/>
    <cellStyle name="Итог 7 32 3" xfId="12813" xr:uid="{00000000-0005-0000-0000-00007C330000}"/>
    <cellStyle name="Итог 7 32 4" xfId="17049" xr:uid="{00000000-0005-0000-0000-00007D330000}"/>
    <cellStyle name="Итог 7 33" xfId="3810" xr:uid="{00000000-0005-0000-0000-00007E330000}"/>
    <cellStyle name="Итог 7 33 2" xfId="8546" xr:uid="{00000000-0005-0000-0000-00007F330000}"/>
    <cellStyle name="Итог 7 33 3" xfId="12814" xr:uid="{00000000-0005-0000-0000-000080330000}"/>
    <cellStyle name="Итог 7 33 4" xfId="17050" xr:uid="{00000000-0005-0000-0000-000081330000}"/>
    <cellStyle name="Итог 7 34" xfId="3811" xr:uid="{00000000-0005-0000-0000-000082330000}"/>
    <cellStyle name="Итог 7 34 2" xfId="8547" xr:uid="{00000000-0005-0000-0000-000083330000}"/>
    <cellStyle name="Итог 7 34 3" xfId="12815" xr:uid="{00000000-0005-0000-0000-000084330000}"/>
    <cellStyle name="Итог 7 34 4" xfId="17051" xr:uid="{00000000-0005-0000-0000-000085330000}"/>
    <cellStyle name="Итог 7 35" xfId="3812" xr:uid="{00000000-0005-0000-0000-000086330000}"/>
    <cellStyle name="Итог 7 35 2" xfId="8548" xr:uid="{00000000-0005-0000-0000-000087330000}"/>
    <cellStyle name="Итог 7 35 3" xfId="12816" xr:uid="{00000000-0005-0000-0000-000088330000}"/>
    <cellStyle name="Итог 7 35 4" xfId="17052" xr:uid="{00000000-0005-0000-0000-000089330000}"/>
    <cellStyle name="Итог 7 36" xfId="3813" xr:uid="{00000000-0005-0000-0000-00008A330000}"/>
    <cellStyle name="Итог 7 36 2" xfId="8549" xr:uid="{00000000-0005-0000-0000-00008B330000}"/>
    <cellStyle name="Итог 7 36 3" xfId="12817" xr:uid="{00000000-0005-0000-0000-00008C330000}"/>
    <cellStyle name="Итог 7 36 4" xfId="17053" xr:uid="{00000000-0005-0000-0000-00008D330000}"/>
    <cellStyle name="Итог 7 37" xfId="3814" xr:uid="{00000000-0005-0000-0000-00008E330000}"/>
    <cellStyle name="Итог 7 37 2" xfId="8550" xr:uid="{00000000-0005-0000-0000-00008F330000}"/>
    <cellStyle name="Итог 7 37 3" xfId="12818" xr:uid="{00000000-0005-0000-0000-000090330000}"/>
    <cellStyle name="Итог 7 37 4" xfId="17054" xr:uid="{00000000-0005-0000-0000-000091330000}"/>
    <cellStyle name="Итог 7 38" xfId="3815" xr:uid="{00000000-0005-0000-0000-000092330000}"/>
    <cellStyle name="Итог 7 38 2" xfId="8551" xr:uid="{00000000-0005-0000-0000-000093330000}"/>
    <cellStyle name="Итог 7 38 3" xfId="12819" xr:uid="{00000000-0005-0000-0000-000094330000}"/>
    <cellStyle name="Итог 7 38 4" xfId="17055" xr:uid="{00000000-0005-0000-0000-000095330000}"/>
    <cellStyle name="Итог 7 39" xfId="3816" xr:uid="{00000000-0005-0000-0000-000096330000}"/>
    <cellStyle name="Итог 7 39 2" xfId="8552" xr:uid="{00000000-0005-0000-0000-000097330000}"/>
    <cellStyle name="Итог 7 39 3" xfId="12820" xr:uid="{00000000-0005-0000-0000-000098330000}"/>
    <cellStyle name="Итог 7 39 4" xfId="17056" xr:uid="{00000000-0005-0000-0000-000099330000}"/>
    <cellStyle name="Итог 7 4" xfId="3817" xr:uid="{00000000-0005-0000-0000-00009A330000}"/>
    <cellStyle name="Итог 7 4 2" xfId="3818" xr:uid="{00000000-0005-0000-0000-00009B330000}"/>
    <cellStyle name="Итог 7 4 2 2" xfId="8554" xr:uid="{00000000-0005-0000-0000-00009C330000}"/>
    <cellStyle name="Итог 7 4 2 3" xfId="12822" xr:uid="{00000000-0005-0000-0000-00009D330000}"/>
    <cellStyle name="Итог 7 4 2 4" xfId="17058" xr:uid="{00000000-0005-0000-0000-00009E330000}"/>
    <cellStyle name="Итог 7 4 3" xfId="3819" xr:uid="{00000000-0005-0000-0000-00009F330000}"/>
    <cellStyle name="Итог 7 4 3 2" xfId="8555" xr:uid="{00000000-0005-0000-0000-0000A0330000}"/>
    <cellStyle name="Итог 7 4 3 3" xfId="12823" xr:uid="{00000000-0005-0000-0000-0000A1330000}"/>
    <cellStyle name="Итог 7 4 3 4" xfId="17059" xr:uid="{00000000-0005-0000-0000-0000A2330000}"/>
    <cellStyle name="Итог 7 4 4" xfId="8553" xr:uid="{00000000-0005-0000-0000-0000A3330000}"/>
    <cellStyle name="Итог 7 4 5" xfId="12821" xr:uid="{00000000-0005-0000-0000-0000A4330000}"/>
    <cellStyle name="Итог 7 4 6" xfId="17057" xr:uid="{00000000-0005-0000-0000-0000A5330000}"/>
    <cellStyle name="Итог 7 40" xfId="3820" xr:uid="{00000000-0005-0000-0000-0000A6330000}"/>
    <cellStyle name="Итог 7 40 2" xfId="8556" xr:uid="{00000000-0005-0000-0000-0000A7330000}"/>
    <cellStyle name="Итог 7 40 3" xfId="12824" xr:uid="{00000000-0005-0000-0000-0000A8330000}"/>
    <cellStyle name="Итог 7 40 4" xfId="17060" xr:uid="{00000000-0005-0000-0000-0000A9330000}"/>
    <cellStyle name="Итог 7 41" xfId="3821" xr:uid="{00000000-0005-0000-0000-0000AA330000}"/>
    <cellStyle name="Итог 7 41 2" xfId="8557" xr:uid="{00000000-0005-0000-0000-0000AB330000}"/>
    <cellStyle name="Итог 7 41 3" xfId="12825" xr:uid="{00000000-0005-0000-0000-0000AC330000}"/>
    <cellStyle name="Итог 7 41 4" xfId="17061" xr:uid="{00000000-0005-0000-0000-0000AD330000}"/>
    <cellStyle name="Итог 7 42" xfId="3822" xr:uid="{00000000-0005-0000-0000-0000AE330000}"/>
    <cellStyle name="Итог 7 42 2" xfId="8558" xr:uid="{00000000-0005-0000-0000-0000AF330000}"/>
    <cellStyle name="Итог 7 42 3" xfId="12826" xr:uid="{00000000-0005-0000-0000-0000B0330000}"/>
    <cellStyle name="Итог 7 42 4" xfId="17062" xr:uid="{00000000-0005-0000-0000-0000B1330000}"/>
    <cellStyle name="Итог 7 43" xfId="3823" xr:uid="{00000000-0005-0000-0000-0000B2330000}"/>
    <cellStyle name="Итог 7 43 2" xfId="8559" xr:uid="{00000000-0005-0000-0000-0000B3330000}"/>
    <cellStyle name="Итог 7 43 3" xfId="12827" xr:uid="{00000000-0005-0000-0000-0000B4330000}"/>
    <cellStyle name="Итог 7 43 4" xfId="17063" xr:uid="{00000000-0005-0000-0000-0000B5330000}"/>
    <cellStyle name="Итог 7 44" xfId="3824" xr:uid="{00000000-0005-0000-0000-0000B6330000}"/>
    <cellStyle name="Итог 7 44 2" xfId="8560" xr:uid="{00000000-0005-0000-0000-0000B7330000}"/>
    <cellStyle name="Итог 7 44 3" xfId="12828" xr:uid="{00000000-0005-0000-0000-0000B8330000}"/>
    <cellStyle name="Итог 7 44 4" xfId="17064" xr:uid="{00000000-0005-0000-0000-0000B9330000}"/>
    <cellStyle name="Итог 7 45" xfId="3825" xr:uid="{00000000-0005-0000-0000-0000BA330000}"/>
    <cellStyle name="Итог 7 45 2" xfId="8561" xr:uid="{00000000-0005-0000-0000-0000BB330000}"/>
    <cellStyle name="Итог 7 45 3" xfId="12829" xr:uid="{00000000-0005-0000-0000-0000BC330000}"/>
    <cellStyle name="Итог 7 45 4" xfId="17065" xr:uid="{00000000-0005-0000-0000-0000BD330000}"/>
    <cellStyle name="Итог 7 46" xfId="3826" xr:uid="{00000000-0005-0000-0000-0000BE330000}"/>
    <cellStyle name="Итог 7 46 2" xfId="8562" xr:uid="{00000000-0005-0000-0000-0000BF330000}"/>
    <cellStyle name="Итог 7 46 3" xfId="12830" xr:uid="{00000000-0005-0000-0000-0000C0330000}"/>
    <cellStyle name="Итог 7 46 4" xfId="17066" xr:uid="{00000000-0005-0000-0000-0000C1330000}"/>
    <cellStyle name="Итог 7 47" xfId="3827" xr:uid="{00000000-0005-0000-0000-0000C2330000}"/>
    <cellStyle name="Итог 7 47 2" xfId="8563" xr:uid="{00000000-0005-0000-0000-0000C3330000}"/>
    <cellStyle name="Итог 7 47 3" xfId="12831" xr:uid="{00000000-0005-0000-0000-0000C4330000}"/>
    <cellStyle name="Итог 7 47 4" xfId="17067" xr:uid="{00000000-0005-0000-0000-0000C5330000}"/>
    <cellStyle name="Итог 7 48" xfId="3828" xr:uid="{00000000-0005-0000-0000-0000C6330000}"/>
    <cellStyle name="Итог 7 48 2" xfId="8564" xr:uid="{00000000-0005-0000-0000-0000C7330000}"/>
    <cellStyle name="Итог 7 48 3" xfId="12832" xr:uid="{00000000-0005-0000-0000-0000C8330000}"/>
    <cellStyle name="Итог 7 48 4" xfId="17068" xr:uid="{00000000-0005-0000-0000-0000C9330000}"/>
    <cellStyle name="Итог 7 49" xfId="3829" xr:uid="{00000000-0005-0000-0000-0000CA330000}"/>
    <cellStyle name="Итог 7 49 2" xfId="8565" xr:uid="{00000000-0005-0000-0000-0000CB330000}"/>
    <cellStyle name="Итог 7 49 3" xfId="12833" xr:uid="{00000000-0005-0000-0000-0000CC330000}"/>
    <cellStyle name="Итог 7 49 4" xfId="17069" xr:uid="{00000000-0005-0000-0000-0000CD330000}"/>
    <cellStyle name="Итог 7 5" xfId="3830" xr:uid="{00000000-0005-0000-0000-0000CE330000}"/>
    <cellStyle name="Итог 7 5 2" xfId="8566" xr:uid="{00000000-0005-0000-0000-0000CF330000}"/>
    <cellStyle name="Итог 7 5 3" xfId="12834" xr:uid="{00000000-0005-0000-0000-0000D0330000}"/>
    <cellStyle name="Итог 7 5 4" xfId="17070" xr:uid="{00000000-0005-0000-0000-0000D1330000}"/>
    <cellStyle name="Итог 7 50" xfId="3831" xr:uid="{00000000-0005-0000-0000-0000D2330000}"/>
    <cellStyle name="Итог 7 50 2" xfId="8567" xr:uid="{00000000-0005-0000-0000-0000D3330000}"/>
    <cellStyle name="Итог 7 50 3" xfId="12835" xr:uid="{00000000-0005-0000-0000-0000D4330000}"/>
    <cellStyle name="Итог 7 50 4" xfId="17071" xr:uid="{00000000-0005-0000-0000-0000D5330000}"/>
    <cellStyle name="Итог 7 51" xfId="3832" xr:uid="{00000000-0005-0000-0000-0000D6330000}"/>
    <cellStyle name="Итог 7 51 2" xfId="8568" xr:uid="{00000000-0005-0000-0000-0000D7330000}"/>
    <cellStyle name="Итог 7 51 3" xfId="12836" xr:uid="{00000000-0005-0000-0000-0000D8330000}"/>
    <cellStyle name="Итог 7 51 4" xfId="17072" xr:uid="{00000000-0005-0000-0000-0000D9330000}"/>
    <cellStyle name="Итог 7 52" xfId="3833" xr:uid="{00000000-0005-0000-0000-0000DA330000}"/>
    <cellStyle name="Итог 7 52 2" xfId="8569" xr:uid="{00000000-0005-0000-0000-0000DB330000}"/>
    <cellStyle name="Итог 7 52 3" xfId="12837" xr:uid="{00000000-0005-0000-0000-0000DC330000}"/>
    <cellStyle name="Итог 7 52 4" xfId="17073" xr:uid="{00000000-0005-0000-0000-0000DD330000}"/>
    <cellStyle name="Итог 7 53" xfId="3834" xr:uid="{00000000-0005-0000-0000-0000DE330000}"/>
    <cellStyle name="Итог 7 53 2" xfId="8570" xr:uid="{00000000-0005-0000-0000-0000DF330000}"/>
    <cellStyle name="Итог 7 53 3" xfId="12838" xr:uid="{00000000-0005-0000-0000-0000E0330000}"/>
    <cellStyle name="Итог 7 53 4" xfId="17074" xr:uid="{00000000-0005-0000-0000-0000E1330000}"/>
    <cellStyle name="Итог 7 54" xfId="3835" xr:uid="{00000000-0005-0000-0000-0000E2330000}"/>
    <cellStyle name="Итог 7 54 2" xfId="8571" xr:uid="{00000000-0005-0000-0000-0000E3330000}"/>
    <cellStyle name="Итог 7 54 3" xfId="12839" xr:uid="{00000000-0005-0000-0000-0000E4330000}"/>
    <cellStyle name="Итог 7 54 4" xfId="17075" xr:uid="{00000000-0005-0000-0000-0000E5330000}"/>
    <cellStyle name="Итог 7 55" xfId="3836" xr:uid="{00000000-0005-0000-0000-0000E6330000}"/>
    <cellStyle name="Итог 7 55 2" xfId="8572" xr:uid="{00000000-0005-0000-0000-0000E7330000}"/>
    <cellStyle name="Итог 7 55 3" xfId="12840" xr:uid="{00000000-0005-0000-0000-0000E8330000}"/>
    <cellStyle name="Итог 7 55 4" xfId="17076" xr:uid="{00000000-0005-0000-0000-0000E9330000}"/>
    <cellStyle name="Итог 7 56" xfId="3837" xr:uid="{00000000-0005-0000-0000-0000EA330000}"/>
    <cellStyle name="Итог 7 56 2" xfId="8573" xr:uid="{00000000-0005-0000-0000-0000EB330000}"/>
    <cellStyle name="Итог 7 56 3" xfId="12841" xr:uid="{00000000-0005-0000-0000-0000EC330000}"/>
    <cellStyle name="Итог 7 56 4" xfId="17077" xr:uid="{00000000-0005-0000-0000-0000ED330000}"/>
    <cellStyle name="Итог 7 57" xfId="3838" xr:uid="{00000000-0005-0000-0000-0000EE330000}"/>
    <cellStyle name="Итог 7 57 2" xfId="8574" xr:uid="{00000000-0005-0000-0000-0000EF330000}"/>
    <cellStyle name="Итог 7 57 3" xfId="12842" xr:uid="{00000000-0005-0000-0000-0000F0330000}"/>
    <cellStyle name="Итог 7 57 4" xfId="17078" xr:uid="{00000000-0005-0000-0000-0000F1330000}"/>
    <cellStyle name="Итог 7 58" xfId="3839" xr:uid="{00000000-0005-0000-0000-0000F2330000}"/>
    <cellStyle name="Итог 7 58 2" xfId="8575" xr:uid="{00000000-0005-0000-0000-0000F3330000}"/>
    <cellStyle name="Итог 7 58 3" xfId="12843" xr:uid="{00000000-0005-0000-0000-0000F4330000}"/>
    <cellStyle name="Итог 7 58 4" xfId="17079" xr:uid="{00000000-0005-0000-0000-0000F5330000}"/>
    <cellStyle name="Итог 7 59" xfId="3840" xr:uid="{00000000-0005-0000-0000-0000F6330000}"/>
    <cellStyle name="Итог 7 59 2" xfId="8576" xr:uid="{00000000-0005-0000-0000-0000F7330000}"/>
    <cellStyle name="Итог 7 59 3" xfId="12844" xr:uid="{00000000-0005-0000-0000-0000F8330000}"/>
    <cellStyle name="Итог 7 59 4" xfId="17080" xr:uid="{00000000-0005-0000-0000-0000F9330000}"/>
    <cellStyle name="Итог 7 6" xfId="3841" xr:uid="{00000000-0005-0000-0000-0000FA330000}"/>
    <cellStyle name="Итог 7 6 2" xfId="8577" xr:uid="{00000000-0005-0000-0000-0000FB330000}"/>
    <cellStyle name="Итог 7 6 3" xfId="12845" xr:uid="{00000000-0005-0000-0000-0000FC330000}"/>
    <cellStyle name="Итог 7 6 4" xfId="17081" xr:uid="{00000000-0005-0000-0000-0000FD330000}"/>
    <cellStyle name="Итог 7 60" xfId="3842" xr:uid="{00000000-0005-0000-0000-0000FE330000}"/>
    <cellStyle name="Итог 7 60 2" xfId="8578" xr:uid="{00000000-0005-0000-0000-0000FF330000}"/>
    <cellStyle name="Итог 7 60 3" xfId="12846" xr:uid="{00000000-0005-0000-0000-000000340000}"/>
    <cellStyle name="Итог 7 60 4" xfId="17082" xr:uid="{00000000-0005-0000-0000-000001340000}"/>
    <cellStyle name="Итог 7 61" xfId="3843" xr:uid="{00000000-0005-0000-0000-000002340000}"/>
    <cellStyle name="Итог 7 61 2" xfId="8579" xr:uid="{00000000-0005-0000-0000-000003340000}"/>
    <cellStyle name="Итог 7 61 3" xfId="12847" xr:uid="{00000000-0005-0000-0000-000004340000}"/>
    <cellStyle name="Итог 7 61 4" xfId="17083" xr:uid="{00000000-0005-0000-0000-000005340000}"/>
    <cellStyle name="Итог 7 62" xfId="3844" xr:uid="{00000000-0005-0000-0000-000006340000}"/>
    <cellStyle name="Итог 7 62 2" xfId="8580" xr:uid="{00000000-0005-0000-0000-000007340000}"/>
    <cellStyle name="Итог 7 62 3" xfId="12848" xr:uid="{00000000-0005-0000-0000-000008340000}"/>
    <cellStyle name="Итог 7 62 4" xfId="17084" xr:uid="{00000000-0005-0000-0000-000009340000}"/>
    <cellStyle name="Итог 7 63" xfId="3845" xr:uid="{00000000-0005-0000-0000-00000A340000}"/>
    <cellStyle name="Итог 7 63 2" xfId="8581" xr:uid="{00000000-0005-0000-0000-00000B340000}"/>
    <cellStyle name="Итог 7 63 3" xfId="12849" xr:uid="{00000000-0005-0000-0000-00000C340000}"/>
    <cellStyle name="Итог 7 63 4" xfId="17085" xr:uid="{00000000-0005-0000-0000-00000D340000}"/>
    <cellStyle name="Итог 7 64" xfId="3846" xr:uid="{00000000-0005-0000-0000-00000E340000}"/>
    <cellStyle name="Итог 7 64 2" xfId="8582" xr:uid="{00000000-0005-0000-0000-00000F340000}"/>
    <cellStyle name="Итог 7 64 3" xfId="12850" xr:uid="{00000000-0005-0000-0000-000010340000}"/>
    <cellStyle name="Итог 7 64 4" xfId="17086" xr:uid="{00000000-0005-0000-0000-000011340000}"/>
    <cellStyle name="Итог 7 65" xfId="3847" xr:uid="{00000000-0005-0000-0000-000012340000}"/>
    <cellStyle name="Итог 7 65 2" xfId="8583" xr:uid="{00000000-0005-0000-0000-000013340000}"/>
    <cellStyle name="Итог 7 65 3" xfId="12851" xr:uid="{00000000-0005-0000-0000-000014340000}"/>
    <cellStyle name="Итог 7 65 4" xfId="17087" xr:uid="{00000000-0005-0000-0000-000015340000}"/>
    <cellStyle name="Итог 7 66" xfId="3848" xr:uid="{00000000-0005-0000-0000-000016340000}"/>
    <cellStyle name="Итог 7 66 2" xfId="8584" xr:uid="{00000000-0005-0000-0000-000017340000}"/>
    <cellStyle name="Итог 7 66 3" xfId="12852" xr:uid="{00000000-0005-0000-0000-000018340000}"/>
    <cellStyle name="Итог 7 66 4" xfId="17088" xr:uid="{00000000-0005-0000-0000-000019340000}"/>
    <cellStyle name="Итог 7 67" xfId="3849" xr:uid="{00000000-0005-0000-0000-00001A340000}"/>
    <cellStyle name="Итог 7 67 2" xfId="8585" xr:uid="{00000000-0005-0000-0000-00001B340000}"/>
    <cellStyle name="Итог 7 67 3" xfId="12853" xr:uid="{00000000-0005-0000-0000-00001C340000}"/>
    <cellStyle name="Итог 7 67 4" xfId="17089" xr:uid="{00000000-0005-0000-0000-00001D340000}"/>
    <cellStyle name="Итог 7 68" xfId="3850" xr:uid="{00000000-0005-0000-0000-00001E340000}"/>
    <cellStyle name="Итог 7 68 2" xfId="8586" xr:uid="{00000000-0005-0000-0000-00001F340000}"/>
    <cellStyle name="Итог 7 68 3" xfId="12854" xr:uid="{00000000-0005-0000-0000-000020340000}"/>
    <cellStyle name="Итог 7 68 4" xfId="17090" xr:uid="{00000000-0005-0000-0000-000021340000}"/>
    <cellStyle name="Итог 7 69" xfId="3851" xr:uid="{00000000-0005-0000-0000-000022340000}"/>
    <cellStyle name="Итог 7 69 2" xfId="8587" xr:uid="{00000000-0005-0000-0000-000023340000}"/>
    <cellStyle name="Итог 7 69 3" xfId="12855" xr:uid="{00000000-0005-0000-0000-000024340000}"/>
    <cellStyle name="Итог 7 69 4" xfId="17091" xr:uid="{00000000-0005-0000-0000-000025340000}"/>
    <cellStyle name="Итог 7 7" xfId="3852" xr:uid="{00000000-0005-0000-0000-000026340000}"/>
    <cellStyle name="Итог 7 7 2" xfId="8588" xr:uid="{00000000-0005-0000-0000-000027340000}"/>
    <cellStyle name="Итог 7 7 3" xfId="12856" xr:uid="{00000000-0005-0000-0000-000028340000}"/>
    <cellStyle name="Итог 7 7 4" xfId="17092" xr:uid="{00000000-0005-0000-0000-000029340000}"/>
    <cellStyle name="Итог 7 70" xfId="3853" xr:uid="{00000000-0005-0000-0000-00002A340000}"/>
    <cellStyle name="Итог 7 70 2" xfId="8589" xr:uid="{00000000-0005-0000-0000-00002B340000}"/>
    <cellStyle name="Итог 7 70 3" xfId="12857" xr:uid="{00000000-0005-0000-0000-00002C340000}"/>
    <cellStyle name="Итог 7 70 4" xfId="17093" xr:uid="{00000000-0005-0000-0000-00002D340000}"/>
    <cellStyle name="Итог 7 71" xfId="3854" xr:uid="{00000000-0005-0000-0000-00002E340000}"/>
    <cellStyle name="Итог 7 71 2" xfId="8590" xr:uid="{00000000-0005-0000-0000-00002F340000}"/>
    <cellStyle name="Итог 7 71 3" xfId="12858" xr:uid="{00000000-0005-0000-0000-000030340000}"/>
    <cellStyle name="Итог 7 71 4" xfId="17094" xr:uid="{00000000-0005-0000-0000-000031340000}"/>
    <cellStyle name="Итог 7 72" xfId="3855" xr:uid="{00000000-0005-0000-0000-000032340000}"/>
    <cellStyle name="Итог 7 72 2" xfId="8591" xr:uid="{00000000-0005-0000-0000-000033340000}"/>
    <cellStyle name="Итог 7 72 3" xfId="12859" xr:uid="{00000000-0005-0000-0000-000034340000}"/>
    <cellStyle name="Итог 7 72 4" xfId="17095" xr:uid="{00000000-0005-0000-0000-000035340000}"/>
    <cellStyle name="Итог 7 73" xfId="3856" xr:uid="{00000000-0005-0000-0000-000036340000}"/>
    <cellStyle name="Итог 7 73 2" xfId="8592" xr:uid="{00000000-0005-0000-0000-000037340000}"/>
    <cellStyle name="Итог 7 73 3" xfId="12860" xr:uid="{00000000-0005-0000-0000-000038340000}"/>
    <cellStyle name="Итог 7 73 4" xfId="17096" xr:uid="{00000000-0005-0000-0000-000039340000}"/>
    <cellStyle name="Итог 7 74" xfId="3857" xr:uid="{00000000-0005-0000-0000-00003A340000}"/>
    <cellStyle name="Итог 7 74 2" xfId="8593" xr:uid="{00000000-0005-0000-0000-00003B340000}"/>
    <cellStyle name="Итог 7 74 3" xfId="12861" xr:uid="{00000000-0005-0000-0000-00003C340000}"/>
    <cellStyle name="Итог 7 74 4" xfId="17097" xr:uid="{00000000-0005-0000-0000-00003D340000}"/>
    <cellStyle name="Итог 7 75" xfId="3858" xr:uid="{00000000-0005-0000-0000-00003E340000}"/>
    <cellStyle name="Итог 7 75 2" xfId="8594" xr:uid="{00000000-0005-0000-0000-00003F340000}"/>
    <cellStyle name="Итог 7 75 3" xfId="12862" xr:uid="{00000000-0005-0000-0000-000040340000}"/>
    <cellStyle name="Итог 7 75 4" xfId="17098" xr:uid="{00000000-0005-0000-0000-000041340000}"/>
    <cellStyle name="Итог 7 76" xfId="3859" xr:uid="{00000000-0005-0000-0000-000042340000}"/>
    <cellStyle name="Итог 7 76 2" xfId="8595" xr:uid="{00000000-0005-0000-0000-000043340000}"/>
    <cellStyle name="Итог 7 76 3" xfId="12863" xr:uid="{00000000-0005-0000-0000-000044340000}"/>
    <cellStyle name="Итог 7 76 4" xfId="17099" xr:uid="{00000000-0005-0000-0000-000045340000}"/>
    <cellStyle name="Итог 7 77" xfId="3860" xr:uid="{00000000-0005-0000-0000-000046340000}"/>
    <cellStyle name="Итог 7 77 2" xfId="8596" xr:uid="{00000000-0005-0000-0000-000047340000}"/>
    <cellStyle name="Итог 7 77 3" xfId="12864" xr:uid="{00000000-0005-0000-0000-000048340000}"/>
    <cellStyle name="Итог 7 77 4" xfId="17100" xr:uid="{00000000-0005-0000-0000-000049340000}"/>
    <cellStyle name="Итог 7 78" xfId="3861" xr:uid="{00000000-0005-0000-0000-00004A340000}"/>
    <cellStyle name="Итог 7 78 2" xfId="8597" xr:uid="{00000000-0005-0000-0000-00004B340000}"/>
    <cellStyle name="Итог 7 78 3" xfId="12865" xr:uid="{00000000-0005-0000-0000-00004C340000}"/>
    <cellStyle name="Итог 7 78 4" xfId="17101" xr:uid="{00000000-0005-0000-0000-00004D340000}"/>
    <cellStyle name="Итог 7 79" xfId="3862" xr:uid="{00000000-0005-0000-0000-00004E340000}"/>
    <cellStyle name="Итог 7 79 2" xfId="8598" xr:uid="{00000000-0005-0000-0000-00004F340000}"/>
    <cellStyle name="Итог 7 79 3" xfId="12866" xr:uid="{00000000-0005-0000-0000-000050340000}"/>
    <cellStyle name="Итог 7 79 4" xfId="17102" xr:uid="{00000000-0005-0000-0000-000051340000}"/>
    <cellStyle name="Итог 7 8" xfId="3863" xr:uid="{00000000-0005-0000-0000-000052340000}"/>
    <cellStyle name="Итог 7 8 2" xfId="8599" xr:uid="{00000000-0005-0000-0000-000053340000}"/>
    <cellStyle name="Итог 7 8 3" xfId="12867" xr:uid="{00000000-0005-0000-0000-000054340000}"/>
    <cellStyle name="Итог 7 8 4" xfId="17103" xr:uid="{00000000-0005-0000-0000-000055340000}"/>
    <cellStyle name="Итог 7 80" xfId="3864" xr:uid="{00000000-0005-0000-0000-000056340000}"/>
    <cellStyle name="Итог 7 80 2" xfId="8600" xr:uid="{00000000-0005-0000-0000-000057340000}"/>
    <cellStyle name="Итог 7 80 3" xfId="12868" xr:uid="{00000000-0005-0000-0000-000058340000}"/>
    <cellStyle name="Итог 7 80 4" xfId="17104" xr:uid="{00000000-0005-0000-0000-000059340000}"/>
    <cellStyle name="Итог 7 81" xfId="3865" xr:uid="{00000000-0005-0000-0000-00005A340000}"/>
    <cellStyle name="Итог 7 81 2" xfId="8601" xr:uid="{00000000-0005-0000-0000-00005B340000}"/>
    <cellStyle name="Итог 7 81 3" xfId="12869" xr:uid="{00000000-0005-0000-0000-00005C340000}"/>
    <cellStyle name="Итог 7 81 4" xfId="17105" xr:uid="{00000000-0005-0000-0000-00005D340000}"/>
    <cellStyle name="Итог 7 82" xfId="3866" xr:uid="{00000000-0005-0000-0000-00005E340000}"/>
    <cellStyle name="Итог 7 82 2" xfId="8602" xr:uid="{00000000-0005-0000-0000-00005F340000}"/>
    <cellStyle name="Итог 7 82 3" xfId="12870" xr:uid="{00000000-0005-0000-0000-000060340000}"/>
    <cellStyle name="Итог 7 82 4" xfId="17106" xr:uid="{00000000-0005-0000-0000-000061340000}"/>
    <cellStyle name="Итог 7 83" xfId="3867" xr:uid="{00000000-0005-0000-0000-000062340000}"/>
    <cellStyle name="Итог 7 83 2" xfId="8603" xr:uid="{00000000-0005-0000-0000-000063340000}"/>
    <cellStyle name="Итог 7 83 3" xfId="12871" xr:uid="{00000000-0005-0000-0000-000064340000}"/>
    <cellStyle name="Итог 7 83 4" xfId="17107" xr:uid="{00000000-0005-0000-0000-000065340000}"/>
    <cellStyle name="Итог 7 84" xfId="3868" xr:uid="{00000000-0005-0000-0000-000066340000}"/>
    <cellStyle name="Итог 7 84 2" xfId="8604" xr:uid="{00000000-0005-0000-0000-000067340000}"/>
    <cellStyle name="Итог 7 84 3" xfId="12872" xr:uid="{00000000-0005-0000-0000-000068340000}"/>
    <cellStyle name="Итог 7 84 4" xfId="17108" xr:uid="{00000000-0005-0000-0000-000069340000}"/>
    <cellStyle name="Итог 7 85" xfId="3869" xr:uid="{00000000-0005-0000-0000-00006A340000}"/>
    <cellStyle name="Итог 7 85 2" xfId="8605" xr:uid="{00000000-0005-0000-0000-00006B340000}"/>
    <cellStyle name="Итог 7 85 3" xfId="12873" xr:uid="{00000000-0005-0000-0000-00006C340000}"/>
    <cellStyle name="Итог 7 85 4" xfId="17109" xr:uid="{00000000-0005-0000-0000-00006D340000}"/>
    <cellStyle name="Итог 7 86" xfId="3870" xr:uid="{00000000-0005-0000-0000-00006E340000}"/>
    <cellStyle name="Итог 7 86 2" xfId="8606" xr:uid="{00000000-0005-0000-0000-00006F340000}"/>
    <cellStyle name="Итог 7 86 3" xfId="12874" xr:uid="{00000000-0005-0000-0000-000070340000}"/>
    <cellStyle name="Итог 7 86 4" xfId="17110" xr:uid="{00000000-0005-0000-0000-000071340000}"/>
    <cellStyle name="Итог 7 87" xfId="3871" xr:uid="{00000000-0005-0000-0000-000072340000}"/>
    <cellStyle name="Итог 7 87 2" xfId="8607" xr:uid="{00000000-0005-0000-0000-000073340000}"/>
    <cellStyle name="Итог 7 87 3" xfId="12875" xr:uid="{00000000-0005-0000-0000-000074340000}"/>
    <cellStyle name="Итог 7 87 4" xfId="17111" xr:uid="{00000000-0005-0000-0000-000075340000}"/>
    <cellStyle name="Итог 7 88" xfId="3872" xr:uid="{00000000-0005-0000-0000-000076340000}"/>
    <cellStyle name="Итог 7 88 2" xfId="8608" xr:uid="{00000000-0005-0000-0000-000077340000}"/>
    <cellStyle name="Итог 7 88 3" xfId="12876" xr:uid="{00000000-0005-0000-0000-000078340000}"/>
    <cellStyle name="Итог 7 88 4" xfId="17112" xr:uid="{00000000-0005-0000-0000-000079340000}"/>
    <cellStyle name="Итог 7 89" xfId="3873" xr:uid="{00000000-0005-0000-0000-00007A340000}"/>
    <cellStyle name="Итог 7 89 2" xfId="8609" xr:uid="{00000000-0005-0000-0000-00007B340000}"/>
    <cellStyle name="Итог 7 89 3" xfId="12877" xr:uid="{00000000-0005-0000-0000-00007C340000}"/>
    <cellStyle name="Итог 7 89 4" xfId="17113" xr:uid="{00000000-0005-0000-0000-00007D340000}"/>
    <cellStyle name="Итог 7 9" xfId="3874" xr:uid="{00000000-0005-0000-0000-00007E340000}"/>
    <cellStyle name="Итог 7 9 2" xfId="8610" xr:uid="{00000000-0005-0000-0000-00007F340000}"/>
    <cellStyle name="Итог 7 9 3" xfId="12878" xr:uid="{00000000-0005-0000-0000-000080340000}"/>
    <cellStyle name="Итог 7 9 4" xfId="17114" xr:uid="{00000000-0005-0000-0000-000081340000}"/>
    <cellStyle name="Итог 7 90" xfId="3875" xr:uid="{00000000-0005-0000-0000-000082340000}"/>
    <cellStyle name="Итог 7 90 2" xfId="8611" xr:uid="{00000000-0005-0000-0000-000083340000}"/>
    <cellStyle name="Итог 7 90 3" xfId="12879" xr:uid="{00000000-0005-0000-0000-000084340000}"/>
    <cellStyle name="Итог 7 90 4" xfId="17115" xr:uid="{00000000-0005-0000-0000-000085340000}"/>
    <cellStyle name="Итог 7 91" xfId="3876" xr:uid="{00000000-0005-0000-0000-000086340000}"/>
    <cellStyle name="Итог 7 91 2" xfId="8612" xr:uid="{00000000-0005-0000-0000-000087340000}"/>
    <cellStyle name="Итог 7 91 3" xfId="12880" xr:uid="{00000000-0005-0000-0000-000088340000}"/>
    <cellStyle name="Итог 7 91 4" xfId="17116" xr:uid="{00000000-0005-0000-0000-000089340000}"/>
    <cellStyle name="Итог 7 92" xfId="5210" xr:uid="{00000000-0005-0000-0000-00008A340000}"/>
    <cellStyle name="Итог 7 93" xfId="5337" xr:uid="{00000000-0005-0000-0000-00008B340000}"/>
    <cellStyle name="Итог 7 94" xfId="5172" xr:uid="{00000000-0005-0000-0000-00008C340000}"/>
    <cellStyle name="Итог 8" xfId="296" xr:uid="{00000000-0005-0000-0000-00008D340000}"/>
    <cellStyle name="Итог 8 10" xfId="3877" xr:uid="{00000000-0005-0000-0000-00008E340000}"/>
    <cellStyle name="Итог 8 10 2" xfId="8613" xr:uid="{00000000-0005-0000-0000-00008F340000}"/>
    <cellStyle name="Итог 8 10 3" xfId="12881" xr:uid="{00000000-0005-0000-0000-000090340000}"/>
    <cellStyle name="Итог 8 10 4" xfId="17117" xr:uid="{00000000-0005-0000-0000-000091340000}"/>
    <cellStyle name="Итог 8 11" xfId="3878" xr:uid="{00000000-0005-0000-0000-000092340000}"/>
    <cellStyle name="Итог 8 11 2" xfId="8614" xr:uid="{00000000-0005-0000-0000-000093340000}"/>
    <cellStyle name="Итог 8 11 3" xfId="12882" xr:uid="{00000000-0005-0000-0000-000094340000}"/>
    <cellStyle name="Итог 8 11 4" xfId="17118" xr:uid="{00000000-0005-0000-0000-000095340000}"/>
    <cellStyle name="Итог 8 12" xfId="3879" xr:uid="{00000000-0005-0000-0000-000096340000}"/>
    <cellStyle name="Итог 8 12 2" xfId="8615" xr:uid="{00000000-0005-0000-0000-000097340000}"/>
    <cellStyle name="Итог 8 12 3" xfId="12883" xr:uid="{00000000-0005-0000-0000-000098340000}"/>
    <cellStyle name="Итог 8 12 4" xfId="17119" xr:uid="{00000000-0005-0000-0000-000099340000}"/>
    <cellStyle name="Итог 8 13" xfId="3880" xr:uid="{00000000-0005-0000-0000-00009A340000}"/>
    <cellStyle name="Итог 8 13 2" xfId="8616" xr:uid="{00000000-0005-0000-0000-00009B340000}"/>
    <cellStyle name="Итог 8 13 3" xfId="12884" xr:uid="{00000000-0005-0000-0000-00009C340000}"/>
    <cellStyle name="Итог 8 13 4" xfId="17120" xr:uid="{00000000-0005-0000-0000-00009D340000}"/>
    <cellStyle name="Итог 8 14" xfId="3881" xr:uid="{00000000-0005-0000-0000-00009E340000}"/>
    <cellStyle name="Итог 8 14 2" xfId="8617" xr:uid="{00000000-0005-0000-0000-00009F340000}"/>
    <cellStyle name="Итог 8 14 3" xfId="12885" xr:uid="{00000000-0005-0000-0000-0000A0340000}"/>
    <cellStyle name="Итог 8 14 4" xfId="17121" xr:uid="{00000000-0005-0000-0000-0000A1340000}"/>
    <cellStyle name="Итог 8 15" xfId="3882" xr:uid="{00000000-0005-0000-0000-0000A2340000}"/>
    <cellStyle name="Итог 8 15 2" xfId="8618" xr:uid="{00000000-0005-0000-0000-0000A3340000}"/>
    <cellStyle name="Итог 8 15 3" xfId="12886" xr:uid="{00000000-0005-0000-0000-0000A4340000}"/>
    <cellStyle name="Итог 8 15 4" xfId="17122" xr:uid="{00000000-0005-0000-0000-0000A5340000}"/>
    <cellStyle name="Итог 8 16" xfId="3883" xr:uid="{00000000-0005-0000-0000-0000A6340000}"/>
    <cellStyle name="Итог 8 16 2" xfId="8619" xr:uid="{00000000-0005-0000-0000-0000A7340000}"/>
    <cellStyle name="Итог 8 16 3" xfId="12887" xr:uid="{00000000-0005-0000-0000-0000A8340000}"/>
    <cellStyle name="Итог 8 16 4" xfId="17123" xr:uid="{00000000-0005-0000-0000-0000A9340000}"/>
    <cellStyle name="Итог 8 17" xfId="3884" xr:uid="{00000000-0005-0000-0000-0000AA340000}"/>
    <cellStyle name="Итог 8 17 2" xfId="8620" xr:uid="{00000000-0005-0000-0000-0000AB340000}"/>
    <cellStyle name="Итог 8 17 3" xfId="12888" xr:uid="{00000000-0005-0000-0000-0000AC340000}"/>
    <cellStyle name="Итог 8 17 4" xfId="17124" xr:uid="{00000000-0005-0000-0000-0000AD340000}"/>
    <cellStyle name="Итог 8 18" xfId="3885" xr:uid="{00000000-0005-0000-0000-0000AE340000}"/>
    <cellStyle name="Итог 8 18 2" xfId="8621" xr:uid="{00000000-0005-0000-0000-0000AF340000}"/>
    <cellStyle name="Итог 8 18 3" xfId="12889" xr:uid="{00000000-0005-0000-0000-0000B0340000}"/>
    <cellStyle name="Итог 8 18 4" xfId="17125" xr:uid="{00000000-0005-0000-0000-0000B1340000}"/>
    <cellStyle name="Итог 8 19" xfId="3886" xr:uid="{00000000-0005-0000-0000-0000B2340000}"/>
    <cellStyle name="Итог 8 19 2" xfId="8622" xr:uid="{00000000-0005-0000-0000-0000B3340000}"/>
    <cellStyle name="Итог 8 19 3" xfId="12890" xr:uid="{00000000-0005-0000-0000-0000B4340000}"/>
    <cellStyle name="Итог 8 19 4" xfId="17126" xr:uid="{00000000-0005-0000-0000-0000B5340000}"/>
    <cellStyle name="Итог 8 2" xfId="3887" xr:uid="{00000000-0005-0000-0000-0000B6340000}"/>
    <cellStyle name="Итог 8 2 2" xfId="3888" xr:uid="{00000000-0005-0000-0000-0000B7340000}"/>
    <cellStyle name="Итог 8 2 2 2" xfId="8624" xr:uid="{00000000-0005-0000-0000-0000B8340000}"/>
    <cellStyle name="Итог 8 2 2 3" xfId="12892" xr:uid="{00000000-0005-0000-0000-0000B9340000}"/>
    <cellStyle name="Итог 8 2 2 4" xfId="17128" xr:uid="{00000000-0005-0000-0000-0000BA340000}"/>
    <cellStyle name="Итог 8 2 3" xfId="3889" xr:uid="{00000000-0005-0000-0000-0000BB340000}"/>
    <cellStyle name="Итог 8 2 3 2" xfId="8625" xr:uid="{00000000-0005-0000-0000-0000BC340000}"/>
    <cellStyle name="Итог 8 2 3 3" xfId="12893" xr:uid="{00000000-0005-0000-0000-0000BD340000}"/>
    <cellStyle name="Итог 8 2 3 4" xfId="17129" xr:uid="{00000000-0005-0000-0000-0000BE340000}"/>
    <cellStyle name="Итог 8 2 4" xfId="8623" xr:uid="{00000000-0005-0000-0000-0000BF340000}"/>
    <cellStyle name="Итог 8 2 5" xfId="12891" xr:uid="{00000000-0005-0000-0000-0000C0340000}"/>
    <cellStyle name="Итог 8 2 6" xfId="17127" xr:uid="{00000000-0005-0000-0000-0000C1340000}"/>
    <cellStyle name="Итог 8 20" xfId="3890" xr:uid="{00000000-0005-0000-0000-0000C2340000}"/>
    <cellStyle name="Итог 8 20 2" xfId="8626" xr:uid="{00000000-0005-0000-0000-0000C3340000}"/>
    <cellStyle name="Итог 8 20 3" xfId="12894" xr:uid="{00000000-0005-0000-0000-0000C4340000}"/>
    <cellStyle name="Итог 8 20 4" xfId="17130" xr:uid="{00000000-0005-0000-0000-0000C5340000}"/>
    <cellStyle name="Итог 8 21" xfId="3891" xr:uid="{00000000-0005-0000-0000-0000C6340000}"/>
    <cellStyle name="Итог 8 21 2" xfId="8627" xr:uid="{00000000-0005-0000-0000-0000C7340000}"/>
    <cellStyle name="Итог 8 21 3" xfId="12895" xr:uid="{00000000-0005-0000-0000-0000C8340000}"/>
    <cellStyle name="Итог 8 21 4" xfId="17131" xr:uid="{00000000-0005-0000-0000-0000C9340000}"/>
    <cellStyle name="Итог 8 22" xfId="3892" xr:uid="{00000000-0005-0000-0000-0000CA340000}"/>
    <cellStyle name="Итог 8 22 2" xfId="8628" xr:uid="{00000000-0005-0000-0000-0000CB340000}"/>
    <cellStyle name="Итог 8 22 3" xfId="12896" xr:uid="{00000000-0005-0000-0000-0000CC340000}"/>
    <cellStyle name="Итог 8 22 4" xfId="17132" xr:uid="{00000000-0005-0000-0000-0000CD340000}"/>
    <cellStyle name="Итог 8 23" xfId="3893" xr:uid="{00000000-0005-0000-0000-0000CE340000}"/>
    <cellStyle name="Итог 8 23 2" xfId="8629" xr:uid="{00000000-0005-0000-0000-0000CF340000}"/>
    <cellStyle name="Итог 8 23 3" xfId="12897" xr:uid="{00000000-0005-0000-0000-0000D0340000}"/>
    <cellStyle name="Итог 8 23 4" xfId="17133" xr:uid="{00000000-0005-0000-0000-0000D1340000}"/>
    <cellStyle name="Итог 8 24" xfId="3894" xr:uid="{00000000-0005-0000-0000-0000D2340000}"/>
    <cellStyle name="Итог 8 24 2" xfId="8630" xr:uid="{00000000-0005-0000-0000-0000D3340000}"/>
    <cellStyle name="Итог 8 24 3" xfId="12898" xr:uid="{00000000-0005-0000-0000-0000D4340000}"/>
    <cellStyle name="Итог 8 24 4" xfId="17134" xr:uid="{00000000-0005-0000-0000-0000D5340000}"/>
    <cellStyle name="Итог 8 25" xfId="3895" xr:uid="{00000000-0005-0000-0000-0000D6340000}"/>
    <cellStyle name="Итог 8 25 2" xfId="8631" xr:uid="{00000000-0005-0000-0000-0000D7340000}"/>
    <cellStyle name="Итог 8 25 3" xfId="12899" xr:uid="{00000000-0005-0000-0000-0000D8340000}"/>
    <cellStyle name="Итог 8 25 4" xfId="17135" xr:uid="{00000000-0005-0000-0000-0000D9340000}"/>
    <cellStyle name="Итог 8 26" xfId="3896" xr:uid="{00000000-0005-0000-0000-0000DA340000}"/>
    <cellStyle name="Итог 8 26 2" xfId="8632" xr:uid="{00000000-0005-0000-0000-0000DB340000}"/>
    <cellStyle name="Итог 8 26 3" xfId="12900" xr:uid="{00000000-0005-0000-0000-0000DC340000}"/>
    <cellStyle name="Итог 8 26 4" xfId="17136" xr:uid="{00000000-0005-0000-0000-0000DD340000}"/>
    <cellStyle name="Итог 8 27" xfId="3897" xr:uid="{00000000-0005-0000-0000-0000DE340000}"/>
    <cellStyle name="Итог 8 27 2" xfId="8633" xr:uid="{00000000-0005-0000-0000-0000DF340000}"/>
    <cellStyle name="Итог 8 27 3" xfId="12901" xr:uid="{00000000-0005-0000-0000-0000E0340000}"/>
    <cellStyle name="Итог 8 27 4" xfId="17137" xr:uid="{00000000-0005-0000-0000-0000E1340000}"/>
    <cellStyle name="Итог 8 28" xfId="3898" xr:uid="{00000000-0005-0000-0000-0000E2340000}"/>
    <cellStyle name="Итог 8 28 2" xfId="8634" xr:uid="{00000000-0005-0000-0000-0000E3340000}"/>
    <cellStyle name="Итог 8 28 3" xfId="12902" xr:uid="{00000000-0005-0000-0000-0000E4340000}"/>
    <cellStyle name="Итог 8 28 4" xfId="17138" xr:uid="{00000000-0005-0000-0000-0000E5340000}"/>
    <cellStyle name="Итог 8 29" xfId="3899" xr:uid="{00000000-0005-0000-0000-0000E6340000}"/>
    <cellStyle name="Итог 8 29 2" xfId="8635" xr:uid="{00000000-0005-0000-0000-0000E7340000}"/>
    <cellStyle name="Итог 8 29 3" xfId="12903" xr:uid="{00000000-0005-0000-0000-0000E8340000}"/>
    <cellStyle name="Итог 8 29 4" xfId="17139" xr:uid="{00000000-0005-0000-0000-0000E9340000}"/>
    <cellStyle name="Итог 8 3" xfId="3900" xr:uid="{00000000-0005-0000-0000-0000EA340000}"/>
    <cellStyle name="Итог 8 3 2" xfId="3901" xr:uid="{00000000-0005-0000-0000-0000EB340000}"/>
    <cellStyle name="Итог 8 3 2 2" xfId="8637" xr:uid="{00000000-0005-0000-0000-0000EC340000}"/>
    <cellStyle name="Итог 8 3 2 3" xfId="12905" xr:uid="{00000000-0005-0000-0000-0000ED340000}"/>
    <cellStyle name="Итог 8 3 2 4" xfId="17141" xr:uid="{00000000-0005-0000-0000-0000EE340000}"/>
    <cellStyle name="Итог 8 3 3" xfId="3902" xr:uid="{00000000-0005-0000-0000-0000EF340000}"/>
    <cellStyle name="Итог 8 3 3 2" xfId="8638" xr:uid="{00000000-0005-0000-0000-0000F0340000}"/>
    <cellStyle name="Итог 8 3 3 3" xfId="12906" xr:uid="{00000000-0005-0000-0000-0000F1340000}"/>
    <cellStyle name="Итог 8 3 3 4" xfId="17142" xr:uid="{00000000-0005-0000-0000-0000F2340000}"/>
    <cellStyle name="Итог 8 3 4" xfId="8636" xr:uid="{00000000-0005-0000-0000-0000F3340000}"/>
    <cellStyle name="Итог 8 3 5" xfId="12904" xr:uid="{00000000-0005-0000-0000-0000F4340000}"/>
    <cellStyle name="Итог 8 3 6" xfId="17140" xr:uid="{00000000-0005-0000-0000-0000F5340000}"/>
    <cellStyle name="Итог 8 30" xfId="3903" xr:uid="{00000000-0005-0000-0000-0000F6340000}"/>
    <cellStyle name="Итог 8 30 2" xfId="8639" xr:uid="{00000000-0005-0000-0000-0000F7340000}"/>
    <cellStyle name="Итог 8 30 3" xfId="12907" xr:uid="{00000000-0005-0000-0000-0000F8340000}"/>
    <cellStyle name="Итог 8 30 4" xfId="17143" xr:uid="{00000000-0005-0000-0000-0000F9340000}"/>
    <cellStyle name="Итог 8 31" xfId="3904" xr:uid="{00000000-0005-0000-0000-0000FA340000}"/>
    <cellStyle name="Итог 8 31 2" xfId="8640" xr:uid="{00000000-0005-0000-0000-0000FB340000}"/>
    <cellStyle name="Итог 8 31 3" xfId="12908" xr:uid="{00000000-0005-0000-0000-0000FC340000}"/>
    <cellStyle name="Итог 8 31 4" xfId="17144" xr:uid="{00000000-0005-0000-0000-0000FD340000}"/>
    <cellStyle name="Итог 8 32" xfId="3905" xr:uid="{00000000-0005-0000-0000-0000FE340000}"/>
    <cellStyle name="Итог 8 32 2" xfId="8641" xr:uid="{00000000-0005-0000-0000-0000FF340000}"/>
    <cellStyle name="Итог 8 32 3" xfId="12909" xr:uid="{00000000-0005-0000-0000-000000350000}"/>
    <cellStyle name="Итог 8 32 4" xfId="17145" xr:uid="{00000000-0005-0000-0000-000001350000}"/>
    <cellStyle name="Итог 8 33" xfId="3906" xr:uid="{00000000-0005-0000-0000-000002350000}"/>
    <cellStyle name="Итог 8 33 2" xfId="8642" xr:uid="{00000000-0005-0000-0000-000003350000}"/>
    <cellStyle name="Итог 8 33 3" xfId="12910" xr:uid="{00000000-0005-0000-0000-000004350000}"/>
    <cellStyle name="Итог 8 33 4" xfId="17146" xr:uid="{00000000-0005-0000-0000-000005350000}"/>
    <cellStyle name="Итог 8 34" xfId="3907" xr:uid="{00000000-0005-0000-0000-000006350000}"/>
    <cellStyle name="Итог 8 34 2" xfId="8643" xr:uid="{00000000-0005-0000-0000-000007350000}"/>
    <cellStyle name="Итог 8 34 3" xfId="12911" xr:uid="{00000000-0005-0000-0000-000008350000}"/>
    <cellStyle name="Итог 8 34 4" xfId="17147" xr:uid="{00000000-0005-0000-0000-000009350000}"/>
    <cellStyle name="Итог 8 35" xfId="3908" xr:uid="{00000000-0005-0000-0000-00000A350000}"/>
    <cellStyle name="Итог 8 35 2" xfId="8644" xr:uid="{00000000-0005-0000-0000-00000B350000}"/>
    <cellStyle name="Итог 8 35 3" xfId="12912" xr:uid="{00000000-0005-0000-0000-00000C350000}"/>
    <cellStyle name="Итог 8 35 4" xfId="17148" xr:uid="{00000000-0005-0000-0000-00000D350000}"/>
    <cellStyle name="Итог 8 36" xfId="3909" xr:uid="{00000000-0005-0000-0000-00000E350000}"/>
    <cellStyle name="Итог 8 36 2" xfId="8645" xr:uid="{00000000-0005-0000-0000-00000F350000}"/>
    <cellStyle name="Итог 8 36 3" xfId="12913" xr:uid="{00000000-0005-0000-0000-000010350000}"/>
    <cellStyle name="Итог 8 36 4" xfId="17149" xr:uid="{00000000-0005-0000-0000-000011350000}"/>
    <cellStyle name="Итог 8 37" xfId="3910" xr:uid="{00000000-0005-0000-0000-000012350000}"/>
    <cellStyle name="Итог 8 37 2" xfId="8646" xr:uid="{00000000-0005-0000-0000-000013350000}"/>
    <cellStyle name="Итог 8 37 3" xfId="12914" xr:uid="{00000000-0005-0000-0000-000014350000}"/>
    <cellStyle name="Итог 8 37 4" xfId="17150" xr:uid="{00000000-0005-0000-0000-000015350000}"/>
    <cellStyle name="Итог 8 38" xfId="3911" xr:uid="{00000000-0005-0000-0000-000016350000}"/>
    <cellStyle name="Итог 8 38 2" xfId="8647" xr:uid="{00000000-0005-0000-0000-000017350000}"/>
    <cellStyle name="Итог 8 38 3" xfId="12915" xr:uid="{00000000-0005-0000-0000-000018350000}"/>
    <cellStyle name="Итог 8 38 4" xfId="17151" xr:uid="{00000000-0005-0000-0000-000019350000}"/>
    <cellStyle name="Итог 8 39" xfId="3912" xr:uid="{00000000-0005-0000-0000-00001A350000}"/>
    <cellStyle name="Итог 8 39 2" xfId="8648" xr:uid="{00000000-0005-0000-0000-00001B350000}"/>
    <cellStyle name="Итог 8 39 3" xfId="12916" xr:uid="{00000000-0005-0000-0000-00001C350000}"/>
    <cellStyle name="Итог 8 39 4" xfId="17152" xr:uid="{00000000-0005-0000-0000-00001D350000}"/>
    <cellStyle name="Итог 8 4" xfId="3913" xr:uid="{00000000-0005-0000-0000-00001E350000}"/>
    <cellStyle name="Итог 8 4 2" xfId="3914" xr:uid="{00000000-0005-0000-0000-00001F350000}"/>
    <cellStyle name="Итог 8 4 2 2" xfId="8650" xr:uid="{00000000-0005-0000-0000-000020350000}"/>
    <cellStyle name="Итог 8 4 2 3" xfId="12918" xr:uid="{00000000-0005-0000-0000-000021350000}"/>
    <cellStyle name="Итог 8 4 2 4" xfId="17154" xr:uid="{00000000-0005-0000-0000-000022350000}"/>
    <cellStyle name="Итог 8 4 3" xfId="3915" xr:uid="{00000000-0005-0000-0000-000023350000}"/>
    <cellStyle name="Итог 8 4 3 2" xfId="8651" xr:uid="{00000000-0005-0000-0000-000024350000}"/>
    <cellStyle name="Итог 8 4 3 3" xfId="12919" xr:uid="{00000000-0005-0000-0000-000025350000}"/>
    <cellStyle name="Итог 8 4 3 4" xfId="17155" xr:uid="{00000000-0005-0000-0000-000026350000}"/>
    <cellStyle name="Итог 8 4 4" xfId="8649" xr:uid="{00000000-0005-0000-0000-000027350000}"/>
    <cellStyle name="Итог 8 4 5" xfId="12917" xr:uid="{00000000-0005-0000-0000-000028350000}"/>
    <cellStyle name="Итог 8 4 6" xfId="17153" xr:uid="{00000000-0005-0000-0000-000029350000}"/>
    <cellStyle name="Итог 8 40" xfId="3916" xr:uid="{00000000-0005-0000-0000-00002A350000}"/>
    <cellStyle name="Итог 8 40 2" xfId="8652" xr:uid="{00000000-0005-0000-0000-00002B350000}"/>
    <cellStyle name="Итог 8 40 3" xfId="12920" xr:uid="{00000000-0005-0000-0000-00002C350000}"/>
    <cellStyle name="Итог 8 40 4" xfId="17156" xr:uid="{00000000-0005-0000-0000-00002D350000}"/>
    <cellStyle name="Итог 8 41" xfId="3917" xr:uid="{00000000-0005-0000-0000-00002E350000}"/>
    <cellStyle name="Итог 8 41 2" xfId="8653" xr:uid="{00000000-0005-0000-0000-00002F350000}"/>
    <cellStyle name="Итог 8 41 3" xfId="12921" xr:uid="{00000000-0005-0000-0000-000030350000}"/>
    <cellStyle name="Итог 8 41 4" xfId="17157" xr:uid="{00000000-0005-0000-0000-000031350000}"/>
    <cellStyle name="Итог 8 42" xfId="3918" xr:uid="{00000000-0005-0000-0000-000032350000}"/>
    <cellStyle name="Итог 8 42 2" xfId="8654" xr:uid="{00000000-0005-0000-0000-000033350000}"/>
    <cellStyle name="Итог 8 42 3" xfId="12922" xr:uid="{00000000-0005-0000-0000-000034350000}"/>
    <cellStyle name="Итог 8 42 4" xfId="17158" xr:uid="{00000000-0005-0000-0000-000035350000}"/>
    <cellStyle name="Итог 8 43" xfId="3919" xr:uid="{00000000-0005-0000-0000-000036350000}"/>
    <cellStyle name="Итог 8 43 2" xfId="8655" xr:uid="{00000000-0005-0000-0000-000037350000}"/>
    <cellStyle name="Итог 8 43 3" xfId="12923" xr:uid="{00000000-0005-0000-0000-000038350000}"/>
    <cellStyle name="Итог 8 43 4" xfId="17159" xr:uid="{00000000-0005-0000-0000-000039350000}"/>
    <cellStyle name="Итог 8 44" xfId="3920" xr:uid="{00000000-0005-0000-0000-00003A350000}"/>
    <cellStyle name="Итог 8 44 2" xfId="8656" xr:uid="{00000000-0005-0000-0000-00003B350000}"/>
    <cellStyle name="Итог 8 44 3" xfId="12924" xr:uid="{00000000-0005-0000-0000-00003C350000}"/>
    <cellStyle name="Итог 8 44 4" xfId="17160" xr:uid="{00000000-0005-0000-0000-00003D350000}"/>
    <cellStyle name="Итог 8 45" xfId="3921" xr:uid="{00000000-0005-0000-0000-00003E350000}"/>
    <cellStyle name="Итог 8 45 2" xfId="8657" xr:uid="{00000000-0005-0000-0000-00003F350000}"/>
    <cellStyle name="Итог 8 45 3" xfId="12925" xr:uid="{00000000-0005-0000-0000-000040350000}"/>
    <cellStyle name="Итог 8 45 4" xfId="17161" xr:uid="{00000000-0005-0000-0000-000041350000}"/>
    <cellStyle name="Итог 8 46" xfId="3922" xr:uid="{00000000-0005-0000-0000-000042350000}"/>
    <cellStyle name="Итог 8 46 2" xfId="8658" xr:uid="{00000000-0005-0000-0000-000043350000}"/>
    <cellStyle name="Итог 8 46 3" xfId="12926" xr:uid="{00000000-0005-0000-0000-000044350000}"/>
    <cellStyle name="Итог 8 46 4" xfId="17162" xr:uid="{00000000-0005-0000-0000-000045350000}"/>
    <cellStyle name="Итог 8 47" xfId="3923" xr:uid="{00000000-0005-0000-0000-000046350000}"/>
    <cellStyle name="Итог 8 47 2" xfId="8659" xr:uid="{00000000-0005-0000-0000-000047350000}"/>
    <cellStyle name="Итог 8 47 3" xfId="12927" xr:uid="{00000000-0005-0000-0000-000048350000}"/>
    <cellStyle name="Итог 8 47 4" xfId="17163" xr:uid="{00000000-0005-0000-0000-000049350000}"/>
    <cellStyle name="Итог 8 48" xfId="3924" xr:uid="{00000000-0005-0000-0000-00004A350000}"/>
    <cellStyle name="Итог 8 48 2" xfId="8660" xr:uid="{00000000-0005-0000-0000-00004B350000}"/>
    <cellStyle name="Итог 8 48 3" xfId="12928" xr:uid="{00000000-0005-0000-0000-00004C350000}"/>
    <cellStyle name="Итог 8 48 4" xfId="17164" xr:uid="{00000000-0005-0000-0000-00004D350000}"/>
    <cellStyle name="Итог 8 49" xfId="3925" xr:uid="{00000000-0005-0000-0000-00004E350000}"/>
    <cellStyle name="Итог 8 49 2" xfId="8661" xr:uid="{00000000-0005-0000-0000-00004F350000}"/>
    <cellStyle name="Итог 8 49 3" xfId="12929" xr:uid="{00000000-0005-0000-0000-000050350000}"/>
    <cellStyle name="Итог 8 49 4" xfId="17165" xr:uid="{00000000-0005-0000-0000-000051350000}"/>
    <cellStyle name="Итог 8 5" xfId="3926" xr:uid="{00000000-0005-0000-0000-000052350000}"/>
    <cellStyle name="Итог 8 5 2" xfId="8662" xr:uid="{00000000-0005-0000-0000-000053350000}"/>
    <cellStyle name="Итог 8 5 3" xfId="12930" xr:uid="{00000000-0005-0000-0000-000054350000}"/>
    <cellStyle name="Итог 8 5 4" xfId="17166" xr:uid="{00000000-0005-0000-0000-000055350000}"/>
    <cellStyle name="Итог 8 50" xfId="3927" xr:uid="{00000000-0005-0000-0000-000056350000}"/>
    <cellStyle name="Итог 8 50 2" xfId="8663" xr:uid="{00000000-0005-0000-0000-000057350000}"/>
    <cellStyle name="Итог 8 50 3" xfId="12931" xr:uid="{00000000-0005-0000-0000-000058350000}"/>
    <cellStyle name="Итог 8 50 4" xfId="17167" xr:uid="{00000000-0005-0000-0000-000059350000}"/>
    <cellStyle name="Итог 8 51" xfId="3928" xr:uid="{00000000-0005-0000-0000-00005A350000}"/>
    <cellStyle name="Итог 8 51 2" xfId="8664" xr:uid="{00000000-0005-0000-0000-00005B350000}"/>
    <cellStyle name="Итог 8 51 3" xfId="12932" xr:uid="{00000000-0005-0000-0000-00005C350000}"/>
    <cellStyle name="Итог 8 51 4" xfId="17168" xr:uid="{00000000-0005-0000-0000-00005D350000}"/>
    <cellStyle name="Итог 8 52" xfId="3929" xr:uid="{00000000-0005-0000-0000-00005E350000}"/>
    <cellStyle name="Итог 8 52 2" xfId="8665" xr:uid="{00000000-0005-0000-0000-00005F350000}"/>
    <cellStyle name="Итог 8 52 3" xfId="12933" xr:uid="{00000000-0005-0000-0000-000060350000}"/>
    <cellStyle name="Итог 8 52 4" xfId="17169" xr:uid="{00000000-0005-0000-0000-000061350000}"/>
    <cellStyle name="Итог 8 53" xfId="3930" xr:uid="{00000000-0005-0000-0000-000062350000}"/>
    <cellStyle name="Итог 8 53 2" xfId="8666" xr:uid="{00000000-0005-0000-0000-000063350000}"/>
    <cellStyle name="Итог 8 53 3" xfId="12934" xr:uid="{00000000-0005-0000-0000-000064350000}"/>
    <cellStyle name="Итог 8 53 4" xfId="17170" xr:uid="{00000000-0005-0000-0000-000065350000}"/>
    <cellStyle name="Итог 8 54" xfId="3931" xr:uid="{00000000-0005-0000-0000-000066350000}"/>
    <cellStyle name="Итог 8 54 2" xfId="8667" xr:uid="{00000000-0005-0000-0000-000067350000}"/>
    <cellStyle name="Итог 8 54 3" xfId="12935" xr:uid="{00000000-0005-0000-0000-000068350000}"/>
    <cellStyle name="Итог 8 54 4" xfId="17171" xr:uid="{00000000-0005-0000-0000-000069350000}"/>
    <cellStyle name="Итог 8 55" xfId="3932" xr:uid="{00000000-0005-0000-0000-00006A350000}"/>
    <cellStyle name="Итог 8 55 2" xfId="8668" xr:uid="{00000000-0005-0000-0000-00006B350000}"/>
    <cellStyle name="Итог 8 55 3" xfId="12936" xr:uid="{00000000-0005-0000-0000-00006C350000}"/>
    <cellStyle name="Итог 8 55 4" xfId="17172" xr:uid="{00000000-0005-0000-0000-00006D350000}"/>
    <cellStyle name="Итог 8 56" xfId="3933" xr:uid="{00000000-0005-0000-0000-00006E350000}"/>
    <cellStyle name="Итог 8 56 2" xfId="8669" xr:uid="{00000000-0005-0000-0000-00006F350000}"/>
    <cellStyle name="Итог 8 56 3" xfId="12937" xr:uid="{00000000-0005-0000-0000-000070350000}"/>
    <cellStyle name="Итог 8 56 4" xfId="17173" xr:uid="{00000000-0005-0000-0000-000071350000}"/>
    <cellStyle name="Итог 8 57" xfId="3934" xr:uid="{00000000-0005-0000-0000-000072350000}"/>
    <cellStyle name="Итог 8 57 2" xfId="8670" xr:uid="{00000000-0005-0000-0000-000073350000}"/>
    <cellStyle name="Итог 8 57 3" xfId="12938" xr:uid="{00000000-0005-0000-0000-000074350000}"/>
    <cellStyle name="Итог 8 57 4" xfId="17174" xr:uid="{00000000-0005-0000-0000-000075350000}"/>
    <cellStyle name="Итог 8 58" xfId="3935" xr:uid="{00000000-0005-0000-0000-000076350000}"/>
    <cellStyle name="Итог 8 58 2" xfId="8671" xr:uid="{00000000-0005-0000-0000-000077350000}"/>
    <cellStyle name="Итог 8 58 3" xfId="12939" xr:uid="{00000000-0005-0000-0000-000078350000}"/>
    <cellStyle name="Итог 8 58 4" xfId="17175" xr:uid="{00000000-0005-0000-0000-000079350000}"/>
    <cellStyle name="Итог 8 59" xfId="3936" xr:uid="{00000000-0005-0000-0000-00007A350000}"/>
    <cellStyle name="Итог 8 59 2" xfId="8672" xr:uid="{00000000-0005-0000-0000-00007B350000}"/>
    <cellStyle name="Итог 8 59 3" xfId="12940" xr:uid="{00000000-0005-0000-0000-00007C350000}"/>
    <cellStyle name="Итог 8 59 4" xfId="17176" xr:uid="{00000000-0005-0000-0000-00007D350000}"/>
    <cellStyle name="Итог 8 6" xfId="3937" xr:uid="{00000000-0005-0000-0000-00007E350000}"/>
    <cellStyle name="Итог 8 6 2" xfId="8673" xr:uid="{00000000-0005-0000-0000-00007F350000}"/>
    <cellStyle name="Итог 8 6 3" xfId="12941" xr:uid="{00000000-0005-0000-0000-000080350000}"/>
    <cellStyle name="Итог 8 6 4" xfId="17177" xr:uid="{00000000-0005-0000-0000-000081350000}"/>
    <cellStyle name="Итог 8 60" xfId="3938" xr:uid="{00000000-0005-0000-0000-000082350000}"/>
    <cellStyle name="Итог 8 60 2" xfId="8674" xr:uid="{00000000-0005-0000-0000-000083350000}"/>
    <cellStyle name="Итог 8 60 3" xfId="12942" xr:uid="{00000000-0005-0000-0000-000084350000}"/>
    <cellStyle name="Итог 8 60 4" xfId="17178" xr:uid="{00000000-0005-0000-0000-000085350000}"/>
    <cellStyle name="Итог 8 61" xfId="3939" xr:uid="{00000000-0005-0000-0000-000086350000}"/>
    <cellStyle name="Итог 8 61 2" xfId="8675" xr:uid="{00000000-0005-0000-0000-000087350000}"/>
    <cellStyle name="Итог 8 61 3" xfId="12943" xr:uid="{00000000-0005-0000-0000-000088350000}"/>
    <cellStyle name="Итог 8 61 4" xfId="17179" xr:uid="{00000000-0005-0000-0000-000089350000}"/>
    <cellStyle name="Итог 8 62" xfId="3940" xr:uid="{00000000-0005-0000-0000-00008A350000}"/>
    <cellStyle name="Итог 8 62 2" xfId="8676" xr:uid="{00000000-0005-0000-0000-00008B350000}"/>
    <cellStyle name="Итог 8 62 3" xfId="12944" xr:uid="{00000000-0005-0000-0000-00008C350000}"/>
    <cellStyle name="Итог 8 62 4" xfId="17180" xr:uid="{00000000-0005-0000-0000-00008D350000}"/>
    <cellStyle name="Итог 8 63" xfId="3941" xr:uid="{00000000-0005-0000-0000-00008E350000}"/>
    <cellStyle name="Итог 8 63 2" xfId="8677" xr:uid="{00000000-0005-0000-0000-00008F350000}"/>
    <cellStyle name="Итог 8 63 3" xfId="12945" xr:uid="{00000000-0005-0000-0000-000090350000}"/>
    <cellStyle name="Итог 8 63 4" xfId="17181" xr:uid="{00000000-0005-0000-0000-000091350000}"/>
    <cellStyle name="Итог 8 64" xfId="3942" xr:uid="{00000000-0005-0000-0000-000092350000}"/>
    <cellStyle name="Итог 8 64 2" xfId="8678" xr:uid="{00000000-0005-0000-0000-000093350000}"/>
    <cellStyle name="Итог 8 64 3" xfId="12946" xr:uid="{00000000-0005-0000-0000-000094350000}"/>
    <cellStyle name="Итог 8 64 4" xfId="17182" xr:uid="{00000000-0005-0000-0000-000095350000}"/>
    <cellStyle name="Итог 8 65" xfId="3943" xr:uid="{00000000-0005-0000-0000-000096350000}"/>
    <cellStyle name="Итог 8 65 2" xfId="8679" xr:uid="{00000000-0005-0000-0000-000097350000}"/>
    <cellStyle name="Итог 8 65 3" xfId="12947" xr:uid="{00000000-0005-0000-0000-000098350000}"/>
    <cellStyle name="Итог 8 65 4" xfId="17183" xr:uid="{00000000-0005-0000-0000-000099350000}"/>
    <cellStyle name="Итог 8 66" xfId="3944" xr:uid="{00000000-0005-0000-0000-00009A350000}"/>
    <cellStyle name="Итог 8 66 2" xfId="8680" xr:uid="{00000000-0005-0000-0000-00009B350000}"/>
    <cellStyle name="Итог 8 66 3" xfId="12948" xr:uid="{00000000-0005-0000-0000-00009C350000}"/>
    <cellStyle name="Итог 8 66 4" xfId="17184" xr:uid="{00000000-0005-0000-0000-00009D350000}"/>
    <cellStyle name="Итог 8 67" xfId="3945" xr:uid="{00000000-0005-0000-0000-00009E350000}"/>
    <cellStyle name="Итог 8 67 2" xfId="8681" xr:uid="{00000000-0005-0000-0000-00009F350000}"/>
    <cellStyle name="Итог 8 67 3" xfId="12949" xr:uid="{00000000-0005-0000-0000-0000A0350000}"/>
    <cellStyle name="Итог 8 67 4" xfId="17185" xr:uid="{00000000-0005-0000-0000-0000A1350000}"/>
    <cellStyle name="Итог 8 68" xfId="3946" xr:uid="{00000000-0005-0000-0000-0000A2350000}"/>
    <cellStyle name="Итог 8 68 2" xfId="8682" xr:uid="{00000000-0005-0000-0000-0000A3350000}"/>
    <cellStyle name="Итог 8 68 3" xfId="12950" xr:uid="{00000000-0005-0000-0000-0000A4350000}"/>
    <cellStyle name="Итог 8 68 4" xfId="17186" xr:uid="{00000000-0005-0000-0000-0000A5350000}"/>
    <cellStyle name="Итог 8 69" xfId="3947" xr:uid="{00000000-0005-0000-0000-0000A6350000}"/>
    <cellStyle name="Итог 8 69 2" xfId="8683" xr:uid="{00000000-0005-0000-0000-0000A7350000}"/>
    <cellStyle name="Итог 8 69 3" xfId="12951" xr:uid="{00000000-0005-0000-0000-0000A8350000}"/>
    <cellStyle name="Итог 8 69 4" xfId="17187" xr:uid="{00000000-0005-0000-0000-0000A9350000}"/>
    <cellStyle name="Итог 8 7" xfId="3948" xr:uid="{00000000-0005-0000-0000-0000AA350000}"/>
    <cellStyle name="Итог 8 7 2" xfId="8684" xr:uid="{00000000-0005-0000-0000-0000AB350000}"/>
    <cellStyle name="Итог 8 7 3" xfId="12952" xr:uid="{00000000-0005-0000-0000-0000AC350000}"/>
    <cellStyle name="Итог 8 7 4" xfId="17188" xr:uid="{00000000-0005-0000-0000-0000AD350000}"/>
    <cellStyle name="Итог 8 70" xfId="3949" xr:uid="{00000000-0005-0000-0000-0000AE350000}"/>
    <cellStyle name="Итог 8 70 2" xfId="8685" xr:uid="{00000000-0005-0000-0000-0000AF350000}"/>
    <cellStyle name="Итог 8 70 3" xfId="12953" xr:uid="{00000000-0005-0000-0000-0000B0350000}"/>
    <cellStyle name="Итог 8 70 4" xfId="17189" xr:uid="{00000000-0005-0000-0000-0000B1350000}"/>
    <cellStyle name="Итог 8 71" xfId="3950" xr:uid="{00000000-0005-0000-0000-0000B2350000}"/>
    <cellStyle name="Итог 8 71 2" xfId="8686" xr:uid="{00000000-0005-0000-0000-0000B3350000}"/>
    <cellStyle name="Итог 8 71 3" xfId="12954" xr:uid="{00000000-0005-0000-0000-0000B4350000}"/>
    <cellStyle name="Итог 8 71 4" xfId="17190" xr:uid="{00000000-0005-0000-0000-0000B5350000}"/>
    <cellStyle name="Итог 8 72" xfId="3951" xr:uid="{00000000-0005-0000-0000-0000B6350000}"/>
    <cellStyle name="Итог 8 72 2" xfId="8687" xr:uid="{00000000-0005-0000-0000-0000B7350000}"/>
    <cellStyle name="Итог 8 72 3" xfId="12955" xr:uid="{00000000-0005-0000-0000-0000B8350000}"/>
    <cellStyle name="Итог 8 72 4" xfId="17191" xr:uid="{00000000-0005-0000-0000-0000B9350000}"/>
    <cellStyle name="Итог 8 73" xfId="3952" xr:uid="{00000000-0005-0000-0000-0000BA350000}"/>
    <cellStyle name="Итог 8 73 2" xfId="8688" xr:uid="{00000000-0005-0000-0000-0000BB350000}"/>
    <cellStyle name="Итог 8 73 3" xfId="12956" xr:uid="{00000000-0005-0000-0000-0000BC350000}"/>
    <cellStyle name="Итог 8 73 4" xfId="17192" xr:uid="{00000000-0005-0000-0000-0000BD350000}"/>
    <cellStyle name="Итог 8 74" xfId="3953" xr:uid="{00000000-0005-0000-0000-0000BE350000}"/>
    <cellStyle name="Итог 8 74 2" xfId="8689" xr:uid="{00000000-0005-0000-0000-0000BF350000}"/>
    <cellStyle name="Итог 8 74 3" xfId="12957" xr:uid="{00000000-0005-0000-0000-0000C0350000}"/>
    <cellStyle name="Итог 8 74 4" xfId="17193" xr:uid="{00000000-0005-0000-0000-0000C1350000}"/>
    <cellStyle name="Итог 8 75" xfId="3954" xr:uid="{00000000-0005-0000-0000-0000C2350000}"/>
    <cellStyle name="Итог 8 75 2" xfId="8690" xr:uid="{00000000-0005-0000-0000-0000C3350000}"/>
    <cellStyle name="Итог 8 75 3" xfId="12958" xr:uid="{00000000-0005-0000-0000-0000C4350000}"/>
    <cellStyle name="Итог 8 75 4" xfId="17194" xr:uid="{00000000-0005-0000-0000-0000C5350000}"/>
    <cellStyle name="Итог 8 76" xfId="3955" xr:uid="{00000000-0005-0000-0000-0000C6350000}"/>
    <cellStyle name="Итог 8 76 2" xfId="8691" xr:uid="{00000000-0005-0000-0000-0000C7350000}"/>
    <cellStyle name="Итог 8 76 3" xfId="12959" xr:uid="{00000000-0005-0000-0000-0000C8350000}"/>
    <cellStyle name="Итог 8 76 4" xfId="17195" xr:uid="{00000000-0005-0000-0000-0000C9350000}"/>
    <cellStyle name="Итог 8 77" xfId="3956" xr:uid="{00000000-0005-0000-0000-0000CA350000}"/>
    <cellStyle name="Итог 8 77 2" xfId="8692" xr:uid="{00000000-0005-0000-0000-0000CB350000}"/>
    <cellStyle name="Итог 8 77 3" xfId="12960" xr:uid="{00000000-0005-0000-0000-0000CC350000}"/>
    <cellStyle name="Итог 8 77 4" xfId="17196" xr:uid="{00000000-0005-0000-0000-0000CD350000}"/>
    <cellStyle name="Итог 8 78" xfId="3957" xr:uid="{00000000-0005-0000-0000-0000CE350000}"/>
    <cellStyle name="Итог 8 78 2" xfId="8693" xr:uid="{00000000-0005-0000-0000-0000CF350000}"/>
    <cellStyle name="Итог 8 78 3" xfId="12961" xr:uid="{00000000-0005-0000-0000-0000D0350000}"/>
    <cellStyle name="Итог 8 78 4" xfId="17197" xr:uid="{00000000-0005-0000-0000-0000D1350000}"/>
    <cellStyle name="Итог 8 79" xfId="3958" xr:uid="{00000000-0005-0000-0000-0000D2350000}"/>
    <cellStyle name="Итог 8 79 2" xfId="8694" xr:uid="{00000000-0005-0000-0000-0000D3350000}"/>
    <cellStyle name="Итог 8 79 3" xfId="12962" xr:uid="{00000000-0005-0000-0000-0000D4350000}"/>
    <cellStyle name="Итог 8 79 4" xfId="17198" xr:uid="{00000000-0005-0000-0000-0000D5350000}"/>
    <cellStyle name="Итог 8 8" xfId="3959" xr:uid="{00000000-0005-0000-0000-0000D6350000}"/>
    <cellStyle name="Итог 8 8 2" xfId="8695" xr:uid="{00000000-0005-0000-0000-0000D7350000}"/>
    <cellStyle name="Итог 8 8 3" xfId="12963" xr:uid="{00000000-0005-0000-0000-0000D8350000}"/>
    <cellStyle name="Итог 8 8 4" xfId="17199" xr:uid="{00000000-0005-0000-0000-0000D9350000}"/>
    <cellStyle name="Итог 8 80" xfId="3960" xr:uid="{00000000-0005-0000-0000-0000DA350000}"/>
    <cellStyle name="Итог 8 80 2" xfId="8696" xr:uid="{00000000-0005-0000-0000-0000DB350000}"/>
    <cellStyle name="Итог 8 80 3" xfId="12964" xr:uid="{00000000-0005-0000-0000-0000DC350000}"/>
    <cellStyle name="Итог 8 80 4" xfId="17200" xr:uid="{00000000-0005-0000-0000-0000DD350000}"/>
    <cellStyle name="Итог 8 81" xfId="3961" xr:uid="{00000000-0005-0000-0000-0000DE350000}"/>
    <cellStyle name="Итог 8 81 2" xfId="8697" xr:uid="{00000000-0005-0000-0000-0000DF350000}"/>
    <cellStyle name="Итог 8 81 3" xfId="12965" xr:uid="{00000000-0005-0000-0000-0000E0350000}"/>
    <cellStyle name="Итог 8 81 4" xfId="17201" xr:uid="{00000000-0005-0000-0000-0000E1350000}"/>
    <cellStyle name="Итог 8 82" xfId="3962" xr:uid="{00000000-0005-0000-0000-0000E2350000}"/>
    <cellStyle name="Итог 8 82 2" xfId="8698" xr:uid="{00000000-0005-0000-0000-0000E3350000}"/>
    <cellStyle name="Итог 8 82 3" xfId="12966" xr:uid="{00000000-0005-0000-0000-0000E4350000}"/>
    <cellStyle name="Итог 8 82 4" xfId="17202" xr:uid="{00000000-0005-0000-0000-0000E5350000}"/>
    <cellStyle name="Итог 8 83" xfId="3963" xr:uid="{00000000-0005-0000-0000-0000E6350000}"/>
    <cellStyle name="Итог 8 83 2" xfId="8699" xr:uid="{00000000-0005-0000-0000-0000E7350000}"/>
    <cellStyle name="Итог 8 83 3" xfId="12967" xr:uid="{00000000-0005-0000-0000-0000E8350000}"/>
    <cellStyle name="Итог 8 83 4" xfId="17203" xr:uid="{00000000-0005-0000-0000-0000E9350000}"/>
    <cellStyle name="Итог 8 84" xfId="3964" xr:uid="{00000000-0005-0000-0000-0000EA350000}"/>
    <cellStyle name="Итог 8 84 2" xfId="8700" xr:uid="{00000000-0005-0000-0000-0000EB350000}"/>
    <cellStyle name="Итог 8 84 3" xfId="12968" xr:uid="{00000000-0005-0000-0000-0000EC350000}"/>
    <cellStyle name="Итог 8 84 4" xfId="17204" xr:uid="{00000000-0005-0000-0000-0000ED350000}"/>
    <cellStyle name="Итог 8 85" xfId="3965" xr:uid="{00000000-0005-0000-0000-0000EE350000}"/>
    <cellStyle name="Итог 8 85 2" xfId="8701" xr:uid="{00000000-0005-0000-0000-0000EF350000}"/>
    <cellStyle name="Итог 8 85 3" xfId="12969" xr:uid="{00000000-0005-0000-0000-0000F0350000}"/>
    <cellStyle name="Итог 8 85 4" xfId="17205" xr:uid="{00000000-0005-0000-0000-0000F1350000}"/>
    <cellStyle name="Итог 8 86" xfId="3966" xr:uid="{00000000-0005-0000-0000-0000F2350000}"/>
    <cellStyle name="Итог 8 86 2" xfId="8702" xr:uid="{00000000-0005-0000-0000-0000F3350000}"/>
    <cellStyle name="Итог 8 86 3" xfId="12970" xr:uid="{00000000-0005-0000-0000-0000F4350000}"/>
    <cellStyle name="Итог 8 86 4" xfId="17206" xr:uid="{00000000-0005-0000-0000-0000F5350000}"/>
    <cellStyle name="Итог 8 87" xfId="3967" xr:uid="{00000000-0005-0000-0000-0000F6350000}"/>
    <cellStyle name="Итог 8 87 2" xfId="8703" xr:uid="{00000000-0005-0000-0000-0000F7350000}"/>
    <cellStyle name="Итог 8 87 3" xfId="12971" xr:uid="{00000000-0005-0000-0000-0000F8350000}"/>
    <cellStyle name="Итог 8 87 4" xfId="17207" xr:uid="{00000000-0005-0000-0000-0000F9350000}"/>
    <cellStyle name="Итог 8 88" xfId="3968" xr:uid="{00000000-0005-0000-0000-0000FA350000}"/>
    <cellStyle name="Итог 8 88 2" xfId="8704" xr:uid="{00000000-0005-0000-0000-0000FB350000}"/>
    <cellStyle name="Итог 8 88 3" xfId="12972" xr:uid="{00000000-0005-0000-0000-0000FC350000}"/>
    <cellStyle name="Итог 8 88 4" xfId="17208" xr:uid="{00000000-0005-0000-0000-0000FD350000}"/>
    <cellStyle name="Итог 8 89" xfId="3969" xr:uid="{00000000-0005-0000-0000-0000FE350000}"/>
    <cellStyle name="Итог 8 89 2" xfId="8705" xr:uid="{00000000-0005-0000-0000-0000FF350000}"/>
    <cellStyle name="Итог 8 89 3" xfId="12973" xr:uid="{00000000-0005-0000-0000-000000360000}"/>
    <cellStyle name="Итог 8 89 4" xfId="17209" xr:uid="{00000000-0005-0000-0000-000001360000}"/>
    <cellStyle name="Итог 8 9" xfId="3970" xr:uid="{00000000-0005-0000-0000-000002360000}"/>
    <cellStyle name="Итог 8 9 2" xfId="8706" xr:uid="{00000000-0005-0000-0000-000003360000}"/>
    <cellStyle name="Итог 8 9 3" xfId="12974" xr:uid="{00000000-0005-0000-0000-000004360000}"/>
    <cellStyle name="Итог 8 9 4" xfId="17210" xr:uid="{00000000-0005-0000-0000-000005360000}"/>
    <cellStyle name="Итог 8 90" xfId="3971" xr:uid="{00000000-0005-0000-0000-000006360000}"/>
    <cellStyle name="Итог 8 90 2" xfId="8707" xr:uid="{00000000-0005-0000-0000-000007360000}"/>
    <cellStyle name="Итог 8 90 3" xfId="12975" xr:uid="{00000000-0005-0000-0000-000008360000}"/>
    <cellStyle name="Итог 8 90 4" xfId="17211" xr:uid="{00000000-0005-0000-0000-000009360000}"/>
    <cellStyle name="Итог 8 91" xfId="3972" xr:uid="{00000000-0005-0000-0000-00000A360000}"/>
    <cellStyle name="Итог 8 91 2" xfId="8708" xr:uid="{00000000-0005-0000-0000-00000B360000}"/>
    <cellStyle name="Итог 8 91 3" xfId="12976" xr:uid="{00000000-0005-0000-0000-00000C360000}"/>
    <cellStyle name="Итог 8 91 4" xfId="17212" xr:uid="{00000000-0005-0000-0000-00000D360000}"/>
    <cellStyle name="Итог 8 92" xfId="5211" xr:uid="{00000000-0005-0000-0000-00000E360000}"/>
    <cellStyle name="Итог 8 93" xfId="5336" xr:uid="{00000000-0005-0000-0000-00000F360000}"/>
    <cellStyle name="Итог 8 94" xfId="5173" xr:uid="{00000000-0005-0000-0000-000010360000}"/>
    <cellStyle name="Итог 9" xfId="297" xr:uid="{00000000-0005-0000-0000-000011360000}"/>
    <cellStyle name="Итог 9 10" xfId="3973" xr:uid="{00000000-0005-0000-0000-000012360000}"/>
    <cellStyle name="Итог 9 10 2" xfId="8709" xr:uid="{00000000-0005-0000-0000-000013360000}"/>
    <cellStyle name="Итог 9 10 3" xfId="12977" xr:uid="{00000000-0005-0000-0000-000014360000}"/>
    <cellStyle name="Итог 9 10 4" xfId="17213" xr:uid="{00000000-0005-0000-0000-000015360000}"/>
    <cellStyle name="Итог 9 11" xfId="3974" xr:uid="{00000000-0005-0000-0000-000016360000}"/>
    <cellStyle name="Итог 9 11 2" xfId="8710" xr:uid="{00000000-0005-0000-0000-000017360000}"/>
    <cellStyle name="Итог 9 11 3" xfId="12978" xr:uid="{00000000-0005-0000-0000-000018360000}"/>
    <cellStyle name="Итог 9 11 4" xfId="17214" xr:uid="{00000000-0005-0000-0000-000019360000}"/>
    <cellStyle name="Итог 9 12" xfId="3975" xr:uid="{00000000-0005-0000-0000-00001A360000}"/>
    <cellStyle name="Итог 9 12 2" xfId="8711" xr:uid="{00000000-0005-0000-0000-00001B360000}"/>
    <cellStyle name="Итог 9 12 3" xfId="12979" xr:uid="{00000000-0005-0000-0000-00001C360000}"/>
    <cellStyle name="Итог 9 12 4" xfId="17215" xr:uid="{00000000-0005-0000-0000-00001D360000}"/>
    <cellStyle name="Итог 9 13" xfId="3976" xr:uid="{00000000-0005-0000-0000-00001E360000}"/>
    <cellStyle name="Итог 9 13 2" xfId="8712" xr:uid="{00000000-0005-0000-0000-00001F360000}"/>
    <cellStyle name="Итог 9 13 3" xfId="12980" xr:uid="{00000000-0005-0000-0000-000020360000}"/>
    <cellStyle name="Итог 9 13 4" xfId="17216" xr:uid="{00000000-0005-0000-0000-000021360000}"/>
    <cellStyle name="Итог 9 14" xfId="3977" xr:uid="{00000000-0005-0000-0000-000022360000}"/>
    <cellStyle name="Итог 9 14 2" xfId="8713" xr:uid="{00000000-0005-0000-0000-000023360000}"/>
    <cellStyle name="Итог 9 14 3" xfId="12981" xr:uid="{00000000-0005-0000-0000-000024360000}"/>
    <cellStyle name="Итог 9 14 4" xfId="17217" xr:uid="{00000000-0005-0000-0000-000025360000}"/>
    <cellStyle name="Итог 9 15" xfId="3978" xr:uid="{00000000-0005-0000-0000-000026360000}"/>
    <cellStyle name="Итог 9 15 2" xfId="8714" xr:uid="{00000000-0005-0000-0000-000027360000}"/>
    <cellStyle name="Итог 9 15 3" xfId="12982" xr:uid="{00000000-0005-0000-0000-000028360000}"/>
    <cellStyle name="Итог 9 15 4" xfId="17218" xr:uid="{00000000-0005-0000-0000-000029360000}"/>
    <cellStyle name="Итог 9 16" xfId="3979" xr:uid="{00000000-0005-0000-0000-00002A360000}"/>
    <cellStyle name="Итог 9 16 2" xfId="8715" xr:uid="{00000000-0005-0000-0000-00002B360000}"/>
    <cellStyle name="Итог 9 16 3" xfId="12983" xr:uid="{00000000-0005-0000-0000-00002C360000}"/>
    <cellStyle name="Итог 9 16 4" xfId="17219" xr:uid="{00000000-0005-0000-0000-00002D360000}"/>
    <cellStyle name="Итог 9 17" xfId="3980" xr:uid="{00000000-0005-0000-0000-00002E360000}"/>
    <cellStyle name="Итог 9 17 2" xfId="8716" xr:uid="{00000000-0005-0000-0000-00002F360000}"/>
    <cellStyle name="Итог 9 17 3" xfId="12984" xr:uid="{00000000-0005-0000-0000-000030360000}"/>
    <cellStyle name="Итог 9 17 4" xfId="17220" xr:uid="{00000000-0005-0000-0000-000031360000}"/>
    <cellStyle name="Итог 9 18" xfId="3981" xr:uid="{00000000-0005-0000-0000-000032360000}"/>
    <cellStyle name="Итог 9 18 2" xfId="8717" xr:uid="{00000000-0005-0000-0000-000033360000}"/>
    <cellStyle name="Итог 9 18 3" xfId="12985" xr:uid="{00000000-0005-0000-0000-000034360000}"/>
    <cellStyle name="Итог 9 18 4" xfId="17221" xr:uid="{00000000-0005-0000-0000-000035360000}"/>
    <cellStyle name="Итог 9 19" xfId="3982" xr:uid="{00000000-0005-0000-0000-000036360000}"/>
    <cellStyle name="Итог 9 19 2" xfId="8718" xr:uid="{00000000-0005-0000-0000-000037360000}"/>
    <cellStyle name="Итог 9 19 3" xfId="12986" xr:uid="{00000000-0005-0000-0000-000038360000}"/>
    <cellStyle name="Итог 9 19 4" xfId="17222" xr:uid="{00000000-0005-0000-0000-000039360000}"/>
    <cellStyle name="Итог 9 2" xfId="3983" xr:uid="{00000000-0005-0000-0000-00003A360000}"/>
    <cellStyle name="Итог 9 2 2" xfId="3984" xr:uid="{00000000-0005-0000-0000-00003B360000}"/>
    <cellStyle name="Итог 9 2 2 2" xfId="8720" xr:uid="{00000000-0005-0000-0000-00003C360000}"/>
    <cellStyle name="Итог 9 2 2 3" xfId="12988" xr:uid="{00000000-0005-0000-0000-00003D360000}"/>
    <cellStyle name="Итог 9 2 2 4" xfId="17224" xr:uid="{00000000-0005-0000-0000-00003E360000}"/>
    <cellStyle name="Итог 9 2 3" xfId="3985" xr:uid="{00000000-0005-0000-0000-00003F360000}"/>
    <cellStyle name="Итог 9 2 3 2" xfId="8721" xr:uid="{00000000-0005-0000-0000-000040360000}"/>
    <cellStyle name="Итог 9 2 3 3" xfId="12989" xr:uid="{00000000-0005-0000-0000-000041360000}"/>
    <cellStyle name="Итог 9 2 3 4" xfId="17225" xr:uid="{00000000-0005-0000-0000-000042360000}"/>
    <cellStyle name="Итог 9 2 4" xfId="8719" xr:uid="{00000000-0005-0000-0000-000043360000}"/>
    <cellStyle name="Итог 9 2 5" xfId="12987" xr:uid="{00000000-0005-0000-0000-000044360000}"/>
    <cellStyle name="Итог 9 2 6" xfId="17223" xr:uid="{00000000-0005-0000-0000-000045360000}"/>
    <cellStyle name="Итог 9 20" xfId="3986" xr:uid="{00000000-0005-0000-0000-000046360000}"/>
    <cellStyle name="Итог 9 20 2" xfId="8722" xr:uid="{00000000-0005-0000-0000-000047360000}"/>
    <cellStyle name="Итог 9 20 3" xfId="12990" xr:uid="{00000000-0005-0000-0000-000048360000}"/>
    <cellStyle name="Итог 9 20 4" xfId="17226" xr:uid="{00000000-0005-0000-0000-000049360000}"/>
    <cellStyle name="Итог 9 21" xfId="3987" xr:uid="{00000000-0005-0000-0000-00004A360000}"/>
    <cellStyle name="Итог 9 21 2" xfId="8723" xr:uid="{00000000-0005-0000-0000-00004B360000}"/>
    <cellStyle name="Итог 9 21 3" xfId="12991" xr:uid="{00000000-0005-0000-0000-00004C360000}"/>
    <cellStyle name="Итог 9 21 4" xfId="17227" xr:uid="{00000000-0005-0000-0000-00004D360000}"/>
    <cellStyle name="Итог 9 22" xfId="3988" xr:uid="{00000000-0005-0000-0000-00004E360000}"/>
    <cellStyle name="Итог 9 22 2" xfId="8724" xr:uid="{00000000-0005-0000-0000-00004F360000}"/>
    <cellStyle name="Итог 9 22 3" xfId="12992" xr:uid="{00000000-0005-0000-0000-000050360000}"/>
    <cellStyle name="Итог 9 22 4" xfId="17228" xr:uid="{00000000-0005-0000-0000-000051360000}"/>
    <cellStyle name="Итог 9 23" xfId="3989" xr:uid="{00000000-0005-0000-0000-000052360000}"/>
    <cellStyle name="Итог 9 23 2" xfId="8725" xr:uid="{00000000-0005-0000-0000-000053360000}"/>
    <cellStyle name="Итог 9 23 3" xfId="12993" xr:uid="{00000000-0005-0000-0000-000054360000}"/>
    <cellStyle name="Итог 9 23 4" xfId="17229" xr:uid="{00000000-0005-0000-0000-000055360000}"/>
    <cellStyle name="Итог 9 24" xfId="3990" xr:uid="{00000000-0005-0000-0000-000056360000}"/>
    <cellStyle name="Итог 9 24 2" xfId="8726" xr:uid="{00000000-0005-0000-0000-000057360000}"/>
    <cellStyle name="Итог 9 24 3" xfId="12994" xr:uid="{00000000-0005-0000-0000-000058360000}"/>
    <cellStyle name="Итог 9 24 4" xfId="17230" xr:uid="{00000000-0005-0000-0000-000059360000}"/>
    <cellStyle name="Итог 9 25" xfId="3991" xr:uid="{00000000-0005-0000-0000-00005A360000}"/>
    <cellStyle name="Итог 9 25 2" xfId="8727" xr:uid="{00000000-0005-0000-0000-00005B360000}"/>
    <cellStyle name="Итог 9 25 3" xfId="12995" xr:uid="{00000000-0005-0000-0000-00005C360000}"/>
    <cellStyle name="Итог 9 25 4" xfId="17231" xr:uid="{00000000-0005-0000-0000-00005D360000}"/>
    <cellStyle name="Итог 9 26" xfId="3992" xr:uid="{00000000-0005-0000-0000-00005E360000}"/>
    <cellStyle name="Итог 9 26 2" xfId="8728" xr:uid="{00000000-0005-0000-0000-00005F360000}"/>
    <cellStyle name="Итог 9 26 3" xfId="12996" xr:uid="{00000000-0005-0000-0000-000060360000}"/>
    <cellStyle name="Итог 9 26 4" xfId="17232" xr:uid="{00000000-0005-0000-0000-000061360000}"/>
    <cellStyle name="Итог 9 27" xfId="3993" xr:uid="{00000000-0005-0000-0000-000062360000}"/>
    <cellStyle name="Итог 9 27 2" xfId="8729" xr:uid="{00000000-0005-0000-0000-000063360000}"/>
    <cellStyle name="Итог 9 27 3" xfId="12997" xr:uid="{00000000-0005-0000-0000-000064360000}"/>
    <cellStyle name="Итог 9 27 4" xfId="17233" xr:uid="{00000000-0005-0000-0000-000065360000}"/>
    <cellStyle name="Итог 9 28" xfId="3994" xr:uid="{00000000-0005-0000-0000-000066360000}"/>
    <cellStyle name="Итог 9 28 2" xfId="8730" xr:uid="{00000000-0005-0000-0000-000067360000}"/>
    <cellStyle name="Итог 9 28 3" xfId="12998" xr:uid="{00000000-0005-0000-0000-000068360000}"/>
    <cellStyle name="Итог 9 28 4" xfId="17234" xr:uid="{00000000-0005-0000-0000-000069360000}"/>
    <cellStyle name="Итог 9 29" xfId="3995" xr:uid="{00000000-0005-0000-0000-00006A360000}"/>
    <cellStyle name="Итог 9 29 2" xfId="8731" xr:uid="{00000000-0005-0000-0000-00006B360000}"/>
    <cellStyle name="Итог 9 29 3" xfId="12999" xr:uid="{00000000-0005-0000-0000-00006C360000}"/>
    <cellStyle name="Итог 9 29 4" xfId="17235" xr:uid="{00000000-0005-0000-0000-00006D360000}"/>
    <cellStyle name="Итог 9 3" xfId="3996" xr:uid="{00000000-0005-0000-0000-00006E360000}"/>
    <cellStyle name="Итог 9 3 2" xfId="3997" xr:uid="{00000000-0005-0000-0000-00006F360000}"/>
    <cellStyle name="Итог 9 3 2 2" xfId="8733" xr:uid="{00000000-0005-0000-0000-000070360000}"/>
    <cellStyle name="Итог 9 3 2 3" xfId="13001" xr:uid="{00000000-0005-0000-0000-000071360000}"/>
    <cellStyle name="Итог 9 3 2 4" xfId="17237" xr:uid="{00000000-0005-0000-0000-000072360000}"/>
    <cellStyle name="Итог 9 3 3" xfId="3998" xr:uid="{00000000-0005-0000-0000-000073360000}"/>
    <cellStyle name="Итог 9 3 3 2" xfId="8734" xr:uid="{00000000-0005-0000-0000-000074360000}"/>
    <cellStyle name="Итог 9 3 3 3" xfId="13002" xr:uid="{00000000-0005-0000-0000-000075360000}"/>
    <cellStyle name="Итог 9 3 3 4" xfId="17238" xr:uid="{00000000-0005-0000-0000-000076360000}"/>
    <cellStyle name="Итог 9 3 4" xfId="8732" xr:uid="{00000000-0005-0000-0000-000077360000}"/>
    <cellStyle name="Итог 9 3 5" xfId="13000" xr:uid="{00000000-0005-0000-0000-000078360000}"/>
    <cellStyle name="Итог 9 3 6" xfId="17236" xr:uid="{00000000-0005-0000-0000-000079360000}"/>
    <cellStyle name="Итог 9 30" xfId="3999" xr:uid="{00000000-0005-0000-0000-00007A360000}"/>
    <cellStyle name="Итог 9 30 2" xfId="8735" xr:uid="{00000000-0005-0000-0000-00007B360000}"/>
    <cellStyle name="Итог 9 30 3" xfId="13003" xr:uid="{00000000-0005-0000-0000-00007C360000}"/>
    <cellStyle name="Итог 9 30 4" xfId="17239" xr:uid="{00000000-0005-0000-0000-00007D360000}"/>
    <cellStyle name="Итог 9 31" xfId="4000" xr:uid="{00000000-0005-0000-0000-00007E360000}"/>
    <cellStyle name="Итог 9 31 2" xfId="8736" xr:uid="{00000000-0005-0000-0000-00007F360000}"/>
    <cellStyle name="Итог 9 31 3" xfId="13004" xr:uid="{00000000-0005-0000-0000-000080360000}"/>
    <cellStyle name="Итог 9 31 4" xfId="17240" xr:uid="{00000000-0005-0000-0000-000081360000}"/>
    <cellStyle name="Итог 9 32" xfId="4001" xr:uid="{00000000-0005-0000-0000-000082360000}"/>
    <cellStyle name="Итог 9 32 2" xfId="8737" xr:uid="{00000000-0005-0000-0000-000083360000}"/>
    <cellStyle name="Итог 9 32 3" xfId="13005" xr:uid="{00000000-0005-0000-0000-000084360000}"/>
    <cellStyle name="Итог 9 32 4" xfId="17241" xr:uid="{00000000-0005-0000-0000-000085360000}"/>
    <cellStyle name="Итог 9 33" xfId="4002" xr:uid="{00000000-0005-0000-0000-000086360000}"/>
    <cellStyle name="Итог 9 33 2" xfId="8738" xr:uid="{00000000-0005-0000-0000-000087360000}"/>
    <cellStyle name="Итог 9 33 3" xfId="13006" xr:uid="{00000000-0005-0000-0000-000088360000}"/>
    <cellStyle name="Итог 9 33 4" xfId="17242" xr:uid="{00000000-0005-0000-0000-000089360000}"/>
    <cellStyle name="Итог 9 34" xfId="4003" xr:uid="{00000000-0005-0000-0000-00008A360000}"/>
    <cellStyle name="Итог 9 34 2" xfId="8739" xr:uid="{00000000-0005-0000-0000-00008B360000}"/>
    <cellStyle name="Итог 9 34 3" xfId="13007" xr:uid="{00000000-0005-0000-0000-00008C360000}"/>
    <cellStyle name="Итог 9 34 4" xfId="17243" xr:uid="{00000000-0005-0000-0000-00008D360000}"/>
    <cellStyle name="Итог 9 35" xfId="4004" xr:uid="{00000000-0005-0000-0000-00008E360000}"/>
    <cellStyle name="Итог 9 35 2" xfId="8740" xr:uid="{00000000-0005-0000-0000-00008F360000}"/>
    <cellStyle name="Итог 9 35 3" xfId="13008" xr:uid="{00000000-0005-0000-0000-000090360000}"/>
    <cellStyle name="Итог 9 35 4" xfId="17244" xr:uid="{00000000-0005-0000-0000-000091360000}"/>
    <cellStyle name="Итог 9 36" xfId="4005" xr:uid="{00000000-0005-0000-0000-000092360000}"/>
    <cellStyle name="Итог 9 36 2" xfId="8741" xr:uid="{00000000-0005-0000-0000-000093360000}"/>
    <cellStyle name="Итог 9 36 3" xfId="13009" xr:uid="{00000000-0005-0000-0000-000094360000}"/>
    <cellStyle name="Итог 9 36 4" xfId="17245" xr:uid="{00000000-0005-0000-0000-000095360000}"/>
    <cellStyle name="Итог 9 37" xfId="4006" xr:uid="{00000000-0005-0000-0000-000096360000}"/>
    <cellStyle name="Итог 9 37 2" xfId="8742" xr:uid="{00000000-0005-0000-0000-000097360000}"/>
    <cellStyle name="Итог 9 37 3" xfId="13010" xr:uid="{00000000-0005-0000-0000-000098360000}"/>
    <cellStyle name="Итог 9 37 4" xfId="17246" xr:uid="{00000000-0005-0000-0000-000099360000}"/>
    <cellStyle name="Итог 9 38" xfId="4007" xr:uid="{00000000-0005-0000-0000-00009A360000}"/>
    <cellStyle name="Итог 9 38 2" xfId="8743" xr:uid="{00000000-0005-0000-0000-00009B360000}"/>
    <cellStyle name="Итог 9 38 3" xfId="13011" xr:uid="{00000000-0005-0000-0000-00009C360000}"/>
    <cellStyle name="Итог 9 38 4" xfId="17247" xr:uid="{00000000-0005-0000-0000-00009D360000}"/>
    <cellStyle name="Итог 9 39" xfId="4008" xr:uid="{00000000-0005-0000-0000-00009E360000}"/>
    <cellStyle name="Итог 9 39 2" xfId="8744" xr:uid="{00000000-0005-0000-0000-00009F360000}"/>
    <cellStyle name="Итог 9 39 3" xfId="13012" xr:uid="{00000000-0005-0000-0000-0000A0360000}"/>
    <cellStyle name="Итог 9 39 4" xfId="17248" xr:uid="{00000000-0005-0000-0000-0000A1360000}"/>
    <cellStyle name="Итог 9 4" xfId="4009" xr:uid="{00000000-0005-0000-0000-0000A2360000}"/>
    <cellStyle name="Итог 9 4 2" xfId="4010" xr:uid="{00000000-0005-0000-0000-0000A3360000}"/>
    <cellStyle name="Итог 9 4 2 2" xfId="8746" xr:uid="{00000000-0005-0000-0000-0000A4360000}"/>
    <cellStyle name="Итог 9 4 2 3" xfId="13014" xr:uid="{00000000-0005-0000-0000-0000A5360000}"/>
    <cellStyle name="Итог 9 4 2 4" xfId="17250" xr:uid="{00000000-0005-0000-0000-0000A6360000}"/>
    <cellStyle name="Итог 9 4 3" xfId="4011" xr:uid="{00000000-0005-0000-0000-0000A7360000}"/>
    <cellStyle name="Итог 9 4 3 2" xfId="8747" xr:uid="{00000000-0005-0000-0000-0000A8360000}"/>
    <cellStyle name="Итог 9 4 3 3" xfId="13015" xr:uid="{00000000-0005-0000-0000-0000A9360000}"/>
    <cellStyle name="Итог 9 4 3 4" xfId="17251" xr:uid="{00000000-0005-0000-0000-0000AA360000}"/>
    <cellStyle name="Итог 9 4 4" xfId="8745" xr:uid="{00000000-0005-0000-0000-0000AB360000}"/>
    <cellStyle name="Итог 9 4 5" xfId="13013" xr:uid="{00000000-0005-0000-0000-0000AC360000}"/>
    <cellStyle name="Итог 9 4 6" xfId="17249" xr:uid="{00000000-0005-0000-0000-0000AD360000}"/>
    <cellStyle name="Итог 9 40" xfId="4012" xr:uid="{00000000-0005-0000-0000-0000AE360000}"/>
    <cellStyle name="Итог 9 40 2" xfId="8748" xr:uid="{00000000-0005-0000-0000-0000AF360000}"/>
    <cellStyle name="Итог 9 40 3" xfId="13016" xr:uid="{00000000-0005-0000-0000-0000B0360000}"/>
    <cellStyle name="Итог 9 40 4" xfId="17252" xr:uid="{00000000-0005-0000-0000-0000B1360000}"/>
    <cellStyle name="Итог 9 41" xfId="4013" xr:uid="{00000000-0005-0000-0000-0000B2360000}"/>
    <cellStyle name="Итог 9 41 2" xfId="8749" xr:uid="{00000000-0005-0000-0000-0000B3360000}"/>
    <cellStyle name="Итог 9 41 3" xfId="13017" xr:uid="{00000000-0005-0000-0000-0000B4360000}"/>
    <cellStyle name="Итог 9 41 4" xfId="17253" xr:uid="{00000000-0005-0000-0000-0000B5360000}"/>
    <cellStyle name="Итог 9 42" xfId="4014" xr:uid="{00000000-0005-0000-0000-0000B6360000}"/>
    <cellStyle name="Итог 9 42 2" xfId="8750" xr:uid="{00000000-0005-0000-0000-0000B7360000}"/>
    <cellStyle name="Итог 9 42 3" xfId="13018" xr:uid="{00000000-0005-0000-0000-0000B8360000}"/>
    <cellStyle name="Итог 9 42 4" xfId="17254" xr:uid="{00000000-0005-0000-0000-0000B9360000}"/>
    <cellStyle name="Итог 9 43" xfId="4015" xr:uid="{00000000-0005-0000-0000-0000BA360000}"/>
    <cellStyle name="Итог 9 43 2" xfId="8751" xr:uid="{00000000-0005-0000-0000-0000BB360000}"/>
    <cellStyle name="Итог 9 43 3" xfId="13019" xr:uid="{00000000-0005-0000-0000-0000BC360000}"/>
    <cellStyle name="Итог 9 43 4" xfId="17255" xr:uid="{00000000-0005-0000-0000-0000BD360000}"/>
    <cellStyle name="Итог 9 44" xfId="4016" xr:uid="{00000000-0005-0000-0000-0000BE360000}"/>
    <cellStyle name="Итог 9 44 2" xfId="8752" xr:uid="{00000000-0005-0000-0000-0000BF360000}"/>
    <cellStyle name="Итог 9 44 3" xfId="13020" xr:uid="{00000000-0005-0000-0000-0000C0360000}"/>
    <cellStyle name="Итог 9 44 4" xfId="17256" xr:uid="{00000000-0005-0000-0000-0000C1360000}"/>
    <cellStyle name="Итог 9 45" xfId="4017" xr:uid="{00000000-0005-0000-0000-0000C2360000}"/>
    <cellStyle name="Итог 9 45 2" xfId="8753" xr:uid="{00000000-0005-0000-0000-0000C3360000}"/>
    <cellStyle name="Итог 9 45 3" xfId="13021" xr:uid="{00000000-0005-0000-0000-0000C4360000}"/>
    <cellStyle name="Итог 9 45 4" xfId="17257" xr:uid="{00000000-0005-0000-0000-0000C5360000}"/>
    <cellStyle name="Итог 9 46" xfId="4018" xr:uid="{00000000-0005-0000-0000-0000C6360000}"/>
    <cellStyle name="Итог 9 46 2" xfId="8754" xr:uid="{00000000-0005-0000-0000-0000C7360000}"/>
    <cellStyle name="Итог 9 46 3" xfId="13022" xr:uid="{00000000-0005-0000-0000-0000C8360000}"/>
    <cellStyle name="Итог 9 46 4" xfId="17258" xr:uid="{00000000-0005-0000-0000-0000C9360000}"/>
    <cellStyle name="Итог 9 47" xfId="4019" xr:uid="{00000000-0005-0000-0000-0000CA360000}"/>
    <cellStyle name="Итог 9 47 2" xfId="8755" xr:uid="{00000000-0005-0000-0000-0000CB360000}"/>
    <cellStyle name="Итог 9 47 3" xfId="13023" xr:uid="{00000000-0005-0000-0000-0000CC360000}"/>
    <cellStyle name="Итог 9 47 4" xfId="17259" xr:uid="{00000000-0005-0000-0000-0000CD360000}"/>
    <cellStyle name="Итог 9 48" xfId="4020" xr:uid="{00000000-0005-0000-0000-0000CE360000}"/>
    <cellStyle name="Итог 9 48 2" xfId="8756" xr:uid="{00000000-0005-0000-0000-0000CF360000}"/>
    <cellStyle name="Итог 9 48 3" xfId="13024" xr:uid="{00000000-0005-0000-0000-0000D0360000}"/>
    <cellStyle name="Итог 9 48 4" xfId="17260" xr:uid="{00000000-0005-0000-0000-0000D1360000}"/>
    <cellStyle name="Итог 9 49" xfId="4021" xr:uid="{00000000-0005-0000-0000-0000D2360000}"/>
    <cellStyle name="Итог 9 49 2" xfId="8757" xr:uid="{00000000-0005-0000-0000-0000D3360000}"/>
    <cellStyle name="Итог 9 49 3" xfId="13025" xr:uid="{00000000-0005-0000-0000-0000D4360000}"/>
    <cellStyle name="Итог 9 49 4" xfId="17261" xr:uid="{00000000-0005-0000-0000-0000D5360000}"/>
    <cellStyle name="Итог 9 5" xfId="4022" xr:uid="{00000000-0005-0000-0000-0000D6360000}"/>
    <cellStyle name="Итог 9 5 2" xfId="8758" xr:uid="{00000000-0005-0000-0000-0000D7360000}"/>
    <cellStyle name="Итог 9 5 3" xfId="13026" xr:uid="{00000000-0005-0000-0000-0000D8360000}"/>
    <cellStyle name="Итог 9 5 4" xfId="17262" xr:uid="{00000000-0005-0000-0000-0000D9360000}"/>
    <cellStyle name="Итог 9 50" xfId="4023" xr:uid="{00000000-0005-0000-0000-0000DA360000}"/>
    <cellStyle name="Итог 9 50 2" xfId="8759" xr:uid="{00000000-0005-0000-0000-0000DB360000}"/>
    <cellStyle name="Итог 9 50 3" xfId="13027" xr:uid="{00000000-0005-0000-0000-0000DC360000}"/>
    <cellStyle name="Итог 9 50 4" xfId="17263" xr:uid="{00000000-0005-0000-0000-0000DD360000}"/>
    <cellStyle name="Итог 9 51" xfId="4024" xr:uid="{00000000-0005-0000-0000-0000DE360000}"/>
    <cellStyle name="Итог 9 51 2" xfId="8760" xr:uid="{00000000-0005-0000-0000-0000DF360000}"/>
    <cellStyle name="Итог 9 51 3" xfId="13028" xr:uid="{00000000-0005-0000-0000-0000E0360000}"/>
    <cellStyle name="Итог 9 51 4" xfId="17264" xr:uid="{00000000-0005-0000-0000-0000E1360000}"/>
    <cellStyle name="Итог 9 52" xfId="4025" xr:uid="{00000000-0005-0000-0000-0000E2360000}"/>
    <cellStyle name="Итог 9 52 2" xfId="8761" xr:uid="{00000000-0005-0000-0000-0000E3360000}"/>
    <cellStyle name="Итог 9 52 3" xfId="13029" xr:uid="{00000000-0005-0000-0000-0000E4360000}"/>
    <cellStyle name="Итог 9 52 4" xfId="17265" xr:uid="{00000000-0005-0000-0000-0000E5360000}"/>
    <cellStyle name="Итог 9 53" xfId="4026" xr:uid="{00000000-0005-0000-0000-0000E6360000}"/>
    <cellStyle name="Итог 9 53 2" xfId="8762" xr:uid="{00000000-0005-0000-0000-0000E7360000}"/>
    <cellStyle name="Итог 9 53 3" xfId="13030" xr:uid="{00000000-0005-0000-0000-0000E8360000}"/>
    <cellStyle name="Итог 9 53 4" xfId="17266" xr:uid="{00000000-0005-0000-0000-0000E9360000}"/>
    <cellStyle name="Итог 9 54" xfId="4027" xr:uid="{00000000-0005-0000-0000-0000EA360000}"/>
    <cellStyle name="Итог 9 54 2" xfId="8763" xr:uid="{00000000-0005-0000-0000-0000EB360000}"/>
    <cellStyle name="Итог 9 54 3" xfId="13031" xr:uid="{00000000-0005-0000-0000-0000EC360000}"/>
    <cellStyle name="Итог 9 54 4" xfId="17267" xr:uid="{00000000-0005-0000-0000-0000ED360000}"/>
    <cellStyle name="Итог 9 55" xfId="4028" xr:uid="{00000000-0005-0000-0000-0000EE360000}"/>
    <cellStyle name="Итог 9 55 2" xfId="8764" xr:uid="{00000000-0005-0000-0000-0000EF360000}"/>
    <cellStyle name="Итог 9 55 3" xfId="13032" xr:uid="{00000000-0005-0000-0000-0000F0360000}"/>
    <cellStyle name="Итог 9 55 4" xfId="17268" xr:uid="{00000000-0005-0000-0000-0000F1360000}"/>
    <cellStyle name="Итог 9 56" xfId="4029" xr:uid="{00000000-0005-0000-0000-0000F2360000}"/>
    <cellStyle name="Итог 9 56 2" xfId="8765" xr:uid="{00000000-0005-0000-0000-0000F3360000}"/>
    <cellStyle name="Итог 9 56 3" xfId="13033" xr:uid="{00000000-0005-0000-0000-0000F4360000}"/>
    <cellStyle name="Итог 9 56 4" xfId="17269" xr:uid="{00000000-0005-0000-0000-0000F5360000}"/>
    <cellStyle name="Итог 9 57" xfId="4030" xr:uid="{00000000-0005-0000-0000-0000F6360000}"/>
    <cellStyle name="Итог 9 57 2" xfId="8766" xr:uid="{00000000-0005-0000-0000-0000F7360000}"/>
    <cellStyle name="Итог 9 57 3" xfId="13034" xr:uid="{00000000-0005-0000-0000-0000F8360000}"/>
    <cellStyle name="Итог 9 57 4" xfId="17270" xr:uid="{00000000-0005-0000-0000-0000F9360000}"/>
    <cellStyle name="Итог 9 58" xfId="4031" xr:uid="{00000000-0005-0000-0000-0000FA360000}"/>
    <cellStyle name="Итог 9 58 2" xfId="8767" xr:uid="{00000000-0005-0000-0000-0000FB360000}"/>
    <cellStyle name="Итог 9 58 3" xfId="13035" xr:uid="{00000000-0005-0000-0000-0000FC360000}"/>
    <cellStyle name="Итог 9 58 4" xfId="17271" xr:uid="{00000000-0005-0000-0000-0000FD360000}"/>
    <cellStyle name="Итог 9 59" xfId="4032" xr:uid="{00000000-0005-0000-0000-0000FE360000}"/>
    <cellStyle name="Итог 9 59 2" xfId="8768" xr:uid="{00000000-0005-0000-0000-0000FF360000}"/>
    <cellStyle name="Итог 9 59 3" xfId="13036" xr:uid="{00000000-0005-0000-0000-000000370000}"/>
    <cellStyle name="Итог 9 59 4" xfId="17272" xr:uid="{00000000-0005-0000-0000-000001370000}"/>
    <cellStyle name="Итог 9 6" xfId="4033" xr:uid="{00000000-0005-0000-0000-000002370000}"/>
    <cellStyle name="Итог 9 6 2" xfId="8769" xr:uid="{00000000-0005-0000-0000-000003370000}"/>
    <cellStyle name="Итог 9 6 3" xfId="13037" xr:uid="{00000000-0005-0000-0000-000004370000}"/>
    <cellStyle name="Итог 9 6 4" xfId="17273" xr:uid="{00000000-0005-0000-0000-000005370000}"/>
    <cellStyle name="Итог 9 60" xfId="4034" xr:uid="{00000000-0005-0000-0000-000006370000}"/>
    <cellStyle name="Итог 9 60 2" xfId="8770" xr:uid="{00000000-0005-0000-0000-000007370000}"/>
    <cellStyle name="Итог 9 60 3" xfId="13038" xr:uid="{00000000-0005-0000-0000-000008370000}"/>
    <cellStyle name="Итог 9 60 4" xfId="17274" xr:uid="{00000000-0005-0000-0000-000009370000}"/>
    <cellStyle name="Итог 9 61" xfId="4035" xr:uid="{00000000-0005-0000-0000-00000A370000}"/>
    <cellStyle name="Итог 9 61 2" xfId="8771" xr:uid="{00000000-0005-0000-0000-00000B370000}"/>
    <cellStyle name="Итог 9 61 3" xfId="13039" xr:uid="{00000000-0005-0000-0000-00000C370000}"/>
    <cellStyle name="Итог 9 61 4" xfId="17275" xr:uid="{00000000-0005-0000-0000-00000D370000}"/>
    <cellStyle name="Итог 9 62" xfId="4036" xr:uid="{00000000-0005-0000-0000-00000E370000}"/>
    <cellStyle name="Итог 9 62 2" xfId="8772" xr:uid="{00000000-0005-0000-0000-00000F370000}"/>
    <cellStyle name="Итог 9 62 3" xfId="13040" xr:uid="{00000000-0005-0000-0000-000010370000}"/>
    <cellStyle name="Итог 9 62 4" xfId="17276" xr:uid="{00000000-0005-0000-0000-000011370000}"/>
    <cellStyle name="Итог 9 63" xfId="4037" xr:uid="{00000000-0005-0000-0000-000012370000}"/>
    <cellStyle name="Итог 9 63 2" xfId="8773" xr:uid="{00000000-0005-0000-0000-000013370000}"/>
    <cellStyle name="Итог 9 63 3" xfId="13041" xr:uid="{00000000-0005-0000-0000-000014370000}"/>
    <cellStyle name="Итог 9 63 4" xfId="17277" xr:uid="{00000000-0005-0000-0000-000015370000}"/>
    <cellStyle name="Итог 9 64" xfId="4038" xr:uid="{00000000-0005-0000-0000-000016370000}"/>
    <cellStyle name="Итог 9 64 2" xfId="8774" xr:uid="{00000000-0005-0000-0000-000017370000}"/>
    <cellStyle name="Итог 9 64 3" xfId="13042" xr:uid="{00000000-0005-0000-0000-000018370000}"/>
    <cellStyle name="Итог 9 64 4" xfId="17278" xr:uid="{00000000-0005-0000-0000-000019370000}"/>
    <cellStyle name="Итог 9 65" xfId="4039" xr:uid="{00000000-0005-0000-0000-00001A370000}"/>
    <cellStyle name="Итог 9 65 2" xfId="8775" xr:uid="{00000000-0005-0000-0000-00001B370000}"/>
    <cellStyle name="Итог 9 65 3" xfId="13043" xr:uid="{00000000-0005-0000-0000-00001C370000}"/>
    <cellStyle name="Итог 9 65 4" xfId="17279" xr:uid="{00000000-0005-0000-0000-00001D370000}"/>
    <cellStyle name="Итог 9 66" xfId="4040" xr:uid="{00000000-0005-0000-0000-00001E370000}"/>
    <cellStyle name="Итог 9 66 2" xfId="8776" xr:uid="{00000000-0005-0000-0000-00001F370000}"/>
    <cellStyle name="Итог 9 66 3" xfId="13044" xr:uid="{00000000-0005-0000-0000-000020370000}"/>
    <cellStyle name="Итог 9 66 4" xfId="17280" xr:uid="{00000000-0005-0000-0000-000021370000}"/>
    <cellStyle name="Итог 9 67" xfId="4041" xr:uid="{00000000-0005-0000-0000-000022370000}"/>
    <cellStyle name="Итог 9 67 2" xfId="8777" xr:uid="{00000000-0005-0000-0000-000023370000}"/>
    <cellStyle name="Итог 9 67 3" xfId="13045" xr:uid="{00000000-0005-0000-0000-000024370000}"/>
    <cellStyle name="Итог 9 67 4" xfId="17281" xr:uid="{00000000-0005-0000-0000-000025370000}"/>
    <cellStyle name="Итог 9 68" xfId="4042" xr:uid="{00000000-0005-0000-0000-000026370000}"/>
    <cellStyle name="Итог 9 68 2" xfId="8778" xr:uid="{00000000-0005-0000-0000-000027370000}"/>
    <cellStyle name="Итог 9 68 3" xfId="13046" xr:uid="{00000000-0005-0000-0000-000028370000}"/>
    <cellStyle name="Итог 9 68 4" xfId="17282" xr:uid="{00000000-0005-0000-0000-000029370000}"/>
    <cellStyle name="Итог 9 69" xfId="4043" xr:uid="{00000000-0005-0000-0000-00002A370000}"/>
    <cellStyle name="Итог 9 69 2" xfId="8779" xr:uid="{00000000-0005-0000-0000-00002B370000}"/>
    <cellStyle name="Итог 9 69 3" xfId="13047" xr:uid="{00000000-0005-0000-0000-00002C370000}"/>
    <cellStyle name="Итог 9 69 4" xfId="17283" xr:uid="{00000000-0005-0000-0000-00002D370000}"/>
    <cellStyle name="Итог 9 7" xfId="4044" xr:uid="{00000000-0005-0000-0000-00002E370000}"/>
    <cellStyle name="Итог 9 7 2" xfId="8780" xr:uid="{00000000-0005-0000-0000-00002F370000}"/>
    <cellStyle name="Итог 9 7 3" xfId="13048" xr:uid="{00000000-0005-0000-0000-000030370000}"/>
    <cellStyle name="Итог 9 7 4" xfId="17284" xr:uid="{00000000-0005-0000-0000-000031370000}"/>
    <cellStyle name="Итог 9 70" xfId="4045" xr:uid="{00000000-0005-0000-0000-000032370000}"/>
    <cellStyle name="Итог 9 70 2" xfId="8781" xr:uid="{00000000-0005-0000-0000-000033370000}"/>
    <cellStyle name="Итог 9 70 3" xfId="13049" xr:uid="{00000000-0005-0000-0000-000034370000}"/>
    <cellStyle name="Итог 9 70 4" xfId="17285" xr:uid="{00000000-0005-0000-0000-000035370000}"/>
    <cellStyle name="Итог 9 71" xfId="4046" xr:uid="{00000000-0005-0000-0000-000036370000}"/>
    <cellStyle name="Итог 9 71 2" xfId="8782" xr:uid="{00000000-0005-0000-0000-000037370000}"/>
    <cellStyle name="Итог 9 71 3" xfId="13050" xr:uid="{00000000-0005-0000-0000-000038370000}"/>
    <cellStyle name="Итог 9 71 4" xfId="17286" xr:uid="{00000000-0005-0000-0000-000039370000}"/>
    <cellStyle name="Итог 9 72" xfId="4047" xr:uid="{00000000-0005-0000-0000-00003A370000}"/>
    <cellStyle name="Итог 9 72 2" xfId="8783" xr:uid="{00000000-0005-0000-0000-00003B370000}"/>
    <cellStyle name="Итог 9 72 3" xfId="13051" xr:uid="{00000000-0005-0000-0000-00003C370000}"/>
    <cellStyle name="Итог 9 72 4" xfId="17287" xr:uid="{00000000-0005-0000-0000-00003D370000}"/>
    <cellStyle name="Итог 9 73" xfId="4048" xr:uid="{00000000-0005-0000-0000-00003E370000}"/>
    <cellStyle name="Итог 9 73 2" xfId="8784" xr:uid="{00000000-0005-0000-0000-00003F370000}"/>
    <cellStyle name="Итог 9 73 3" xfId="13052" xr:uid="{00000000-0005-0000-0000-000040370000}"/>
    <cellStyle name="Итог 9 73 4" xfId="17288" xr:uid="{00000000-0005-0000-0000-000041370000}"/>
    <cellStyle name="Итог 9 74" xfId="4049" xr:uid="{00000000-0005-0000-0000-000042370000}"/>
    <cellStyle name="Итог 9 74 2" xfId="8785" xr:uid="{00000000-0005-0000-0000-000043370000}"/>
    <cellStyle name="Итог 9 74 3" xfId="13053" xr:uid="{00000000-0005-0000-0000-000044370000}"/>
    <cellStyle name="Итог 9 74 4" xfId="17289" xr:uid="{00000000-0005-0000-0000-000045370000}"/>
    <cellStyle name="Итог 9 75" xfId="4050" xr:uid="{00000000-0005-0000-0000-000046370000}"/>
    <cellStyle name="Итог 9 75 2" xfId="8786" xr:uid="{00000000-0005-0000-0000-000047370000}"/>
    <cellStyle name="Итог 9 75 3" xfId="13054" xr:uid="{00000000-0005-0000-0000-000048370000}"/>
    <cellStyle name="Итог 9 75 4" xfId="17290" xr:uid="{00000000-0005-0000-0000-000049370000}"/>
    <cellStyle name="Итог 9 76" xfId="4051" xr:uid="{00000000-0005-0000-0000-00004A370000}"/>
    <cellStyle name="Итог 9 76 2" xfId="8787" xr:uid="{00000000-0005-0000-0000-00004B370000}"/>
    <cellStyle name="Итог 9 76 3" xfId="13055" xr:uid="{00000000-0005-0000-0000-00004C370000}"/>
    <cellStyle name="Итог 9 76 4" xfId="17291" xr:uid="{00000000-0005-0000-0000-00004D370000}"/>
    <cellStyle name="Итог 9 77" xfId="4052" xr:uid="{00000000-0005-0000-0000-00004E370000}"/>
    <cellStyle name="Итог 9 77 2" xfId="8788" xr:uid="{00000000-0005-0000-0000-00004F370000}"/>
    <cellStyle name="Итог 9 77 3" xfId="13056" xr:uid="{00000000-0005-0000-0000-000050370000}"/>
    <cellStyle name="Итог 9 77 4" xfId="17292" xr:uid="{00000000-0005-0000-0000-000051370000}"/>
    <cellStyle name="Итог 9 78" xfId="4053" xr:uid="{00000000-0005-0000-0000-000052370000}"/>
    <cellStyle name="Итог 9 78 2" xfId="8789" xr:uid="{00000000-0005-0000-0000-000053370000}"/>
    <cellStyle name="Итог 9 78 3" xfId="13057" xr:uid="{00000000-0005-0000-0000-000054370000}"/>
    <cellStyle name="Итог 9 78 4" xfId="17293" xr:uid="{00000000-0005-0000-0000-000055370000}"/>
    <cellStyle name="Итог 9 79" xfId="4054" xr:uid="{00000000-0005-0000-0000-000056370000}"/>
    <cellStyle name="Итог 9 79 2" xfId="8790" xr:uid="{00000000-0005-0000-0000-000057370000}"/>
    <cellStyle name="Итог 9 79 3" xfId="13058" xr:uid="{00000000-0005-0000-0000-000058370000}"/>
    <cellStyle name="Итог 9 79 4" xfId="17294" xr:uid="{00000000-0005-0000-0000-000059370000}"/>
    <cellStyle name="Итог 9 8" xfId="4055" xr:uid="{00000000-0005-0000-0000-00005A370000}"/>
    <cellStyle name="Итог 9 8 2" xfId="8791" xr:uid="{00000000-0005-0000-0000-00005B370000}"/>
    <cellStyle name="Итог 9 8 3" xfId="13059" xr:uid="{00000000-0005-0000-0000-00005C370000}"/>
    <cellStyle name="Итог 9 8 4" xfId="17295" xr:uid="{00000000-0005-0000-0000-00005D370000}"/>
    <cellStyle name="Итог 9 80" xfId="4056" xr:uid="{00000000-0005-0000-0000-00005E370000}"/>
    <cellStyle name="Итог 9 80 2" xfId="8792" xr:uid="{00000000-0005-0000-0000-00005F370000}"/>
    <cellStyle name="Итог 9 80 3" xfId="13060" xr:uid="{00000000-0005-0000-0000-000060370000}"/>
    <cellStyle name="Итог 9 80 4" xfId="17296" xr:uid="{00000000-0005-0000-0000-000061370000}"/>
    <cellStyle name="Итог 9 81" xfId="4057" xr:uid="{00000000-0005-0000-0000-000062370000}"/>
    <cellStyle name="Итог 9 81 2" xfId="8793" xr:uid="{00000000-0005-0000-0000-000063370000}"/>
    <cellStyle name="Итог 9 81 3" xfId="13061" xr:uid="{00000000-0005-0000-0000-000064370000}"/>
    <cellStyle name="Итог 9 81 4" xfId="17297" xr:uid="{00000000-0005-0000-0000-000065370000}"/>
    <cellStyle name="Итог 9 82" xfId="4058" xr:uid="{00000000-0005-0000-0000-000066370000}"/>
    <cellStyle name="Итог 9 82 2" xfId="8794" xr:uid="{00000000-0005-0000-0000-000067370000}"/>
    <cellStyle name="Итог 9 82 3" xfId="13062" xr:uid="{00000000-0005-0000-0000-000068370000}"/>
    <cellStyle name="Итог 9 82 4" xfId="17298" xr:uid="{00000000-0005-0000-0000-000069370000}"/>
    <cellStyle name="Итог 9 83" xfId="4059" xr:uid="{00000000-0005-0000-0000-00006A370000}"/>
    <cellStyle name="Итог 9 83 2" xfId="8795" xr:uid="{00000000-0005-0000-0000-00006B370000}"/>
    <cellStyle name="Итог 9 83 3" xfId="13063" xr:uid="{00000000-0005-0000-0000-00006C370000}"/>
    <cellStyle name="Итог 9 83 4" xfId="17299" xr:uid="{00000000-0005-0000-0000-00006D370000}"/>
    <cellStyle name="Итог 9 84" xfId="4060" xr:uid="{00000000-0005-0000-0000-00006E370000}"/>
    <cellStyle name="Итог 9 84 2" xfId="8796" xr:uid="{00000000-0005-0000-0000-00006F370000}"/>
    <cellStyle name="Итог 9 84 3" xfId="13064" xr:uid="{00000000-0005-0000-0000-000070370000}"/>
    <cellStyle name="Итог 9 84 4" xfId="17300" xr:uid="{00000000-0005-0000-0000-000071370000}"/>
    <cellStyle name="Итог 9 85" xfId="4061" xr:uid="{00000000-0005-0000-0000-000072370000}"/>
    <cellStyle name="Итог 9 85 2" xfId="8797" xr:uid="{00000000-0005-0000-0000-000073370000}"/>
    <cellStyle name="Итог 9 85 3" xfId="13065" xr:uid="{00000000-0005-0000-0000-000074370000}"/>
    <cellStyle name="Итог 9 85 4" xfId="17301" xr:uid="{00000000-0005-0000-0000-000075370000}"/>
    <cellStyle name="Итог 9 86" xfId="4062" xr:uid="{00000000-0005-0000-0000-000076370000}"/>
    <cellStyle name="Итог 9 86 2" xfId="8798" xr:uid="{00000000-0005-0000-0000-000077370000}"/>
    <cellStyle name="Итог 9 86 3" xfId="13066" xr:uid="{00000000-0005-0000-0000-000078370000}"/>
    <cellStyle name="Итог 9 86 4" xfId="17302" xr:uid="{00000000-0005-0000-0000-000079370000}"/>
    <cellStyle name="Итог 9 87" xfId="4063" xr:uid="{00000000-0005-0000-0000-00007A370000}"/>
    <cellStyle name="Итог 9 87 2" xfId="8799" xr:uid="{00000000-0005-0000-0000-00007B370000}"/>
    <cellStyle name="Итог 9 87 3" xfId="13067" xr:uid="{00000000-0005-0000-0000-00007C370000}"/>
    <cellStyle name="Итог 9 87 4" xfId="17303" xr:uid="{00000000-0005-0000-0000-00007D370000}"/>
    <cellStyle name="Итог 9 88" xfId="4064" xr:uid="{00000000-0005-0000-0000-00007E370000}"/>
    <cellStyle name="Итог 9 88 2" xfId="8800" xr:uid="{00000000-0005-0000-0000-00007F370000}"/>
    <cellStyle name="Итог 9 88 3" xfId="13068" xr:uid="{00000000-0005-0000-0000-000080370000}"/>
    <cellStyle name="Итог 9 88 4" xfId="17304" xr:uid="{00000000-0005-0000-0000-000081370000}"/>
    <cellStyle name="Итог 9 89" xfId="4065" xr:uid="{00000000-0005-0000-0000-000082370000}"/>
    <cellStyle name="Итог 9 89 2" xfId="8801" xr:uid="{00000000-0005-0000-0000-000083370000}"/>
    <cellStyle name="Итог 9 89 3" xfId="13069" xr:uid="{00000000-0005-0000-0000-000084370000}"/>
    <cellStyle name="Итог 9 89 4" xfId="17305" xr:uid="{00000000-0005-0000-0000-000085370000}"/>
    <cellStyle name="Итог 9 9" xfId="4066" xr:uid="{00000000-0005-0000-0000-000086370000}"/>
    <cellStyle name="Итог 9 9 2" xfId="8802" xr:uid="{00000000-0005-0000-0000-000087370000}"/>
    <cellStyle name="Итог 9 9 3" xfId="13070" xr:uid="{00000000-0005-0000-0000-000088370000}"/>
    <cellStyle name="Итог 9 9 4" xfId="17306" xr:uid="{00000000-0005-0000-0000-000089370000}"/>
    <cellStyle name="Итог 9 90" xfId="4067" xr:uid="{00000000-0005-0000-0000-00008A370000}"/>
    <cellStyle name="Итог 9 90 2" xfId="8803" xr:uid="{00000000-0005-0000-0000-00008B370000}"/>
    <cellStyle name="Итог 9 90 3" xfId="13071" xr:uid="{00000000-0005-0000-0000-00008C370000}"/>
    <cellStyle name="Итог 9 90 4" xfId="17307" xr:uid="{00000000-0005-0000-0000-00008D370000}"/>
    <cellStyle name="Итог 9 91" xfId="4068" xr:uid="{00000000-0005-0000-0000-00008E370000}"/>
    <cellStyle name="Итог 9 91 2" xfId="8804" xr:uid="{00000000-0005-0000-0000-00008F370000}"/>
    <cellStyle name="Итог 9 91 3" xfId="13072" xr:uid="{00000000-0005-0000-0000-000090370000}"/>
    <cellStyle name="Итог 9 91 4" xfId="17308" xr:uid="{00000000-0005-0000-0000-000091370000}"/>
    <cellStyle name="Итог 9 92" xfId="5212" xr:uid="{00000000-0005-0000-0000-000092370000}"/>
    <cellStyle name="Итог 9 93" xfId="5335" xr:uid="{00000000-0005-0000-0000-000093370000}"/>
    <cellStyle name="Итог 9 94" xfId="5174" xr:uid="{00000000-0005-0000-0000-000094370000}"/>
    <cellStyle name="Контрольная ячейка 10" xfId="298" xr:uid="{00000000-0005-0000-0000-000095370000}"/>
    <cellStyle name="Контрольная ячейка 2" xfId="299" xr:uid="{00000000-0005-0000-0000-000096370000}"/>
    <cellStyle name="Контрольная ячейка 3" xfId="300" xr:uid="{00000000-0005-0000-0000-000097370000}"/>
    <cellStyle name="Контрольная ячейка 4" xfId="301" xr:uid="{00000000-0005-0000-0000-000098370000}"/>
    <cellStyle name="Контрольная ячейка 5" xfId="302" xr:uid="{00000000-0005-0000-0000-000099370000}"/>
    <cellStyle name="Контрольная ячейка 6" xfId="303" xr:uid="{00000000-0005-0000-0000-00009A370000}"/>
    <cellStyle name="Контрольная ячейка 7" xfId="304" xr:uid="{00000000-0005-0000-0000-00009B370000}"/>
    <cellStyle name="Контрольная ячейка 8" xfId="305" xr:uid="{00000000-0005-0000-0000-00009C370000}"/>
    <cellStyle name="Контрольная ячейка 9" xfId="306" xr:uid="{00000000-0005-0000-0000-00009D370000}"/>
    <cellStyle name="Название 10" xfId="307" xr:uid="{00000000-0005-0000-0000-00009E370000}"/>
    <cellStyle name="Название 2" xfId="308" xr:uid="{00000000-0005-0000-0000-00009F370000}"/>
    <cellStyle name="Название 3" xfId="309" xr:uid="{00000000-0005-0000-0000-0000A0370000}"/>
    <cellStyle name="Название 4" xfId="310" xr:uid="{00000000-0005-0000-0000-0000A1370000}"/>
    <cellStyle name="Название 5" xfId="311" xr:uid="{00000000-0005-0000-0000-0000A2370000}"/>
    <cellStyle name="Название 6" xfId="312" xr:uid="{00000000-0005-0000-0000-0000A3370000}"/>
    <cellStyle name="Название 7" xfId="313" xr:uid="{00000000-0005-0000-0000-0000A4370000}"/>
    <cellStyle name="Название 8" xfId="314" xr:uid="{00000000-0005-0000-0000-0000A5370000}"/>
    <cellStyle name="Название 9" xfId="315" xr:uid="{00000000-0005-0000-0000-0000A6370000}"/>
    <cellStyle name="Нейтральный 10" xfId="316" xr:uid="{00000000-0005-0000-0000-0000A7370000}"/>
    <cellStyle name="Нейтральный 2" xfId="317" xr:uid="{00000000-0005-0000-0000-0000A8370000}"/>
    <cellStyle name="Нейтральный 3" xfId="318" xr:uid="{00000000-0005-0000-0000-0000A9370000}"/>
    <cellStyle name="Нейтральный 4" xfId="319" xr:uid="{00000000-0005-0000-0000-0000AA370000}"/>
    <cellStyle name="Нейтральный 5" xfId="320" xr:uid="{00000000-0005-0000-0000-0000AB370000}"/>
    <cellStyle name="Нейтральный 6" xfId="321" xr:uid="{00000000-0005-0000-0000-0000AC370000}"/>
    <cellStyle name="Нейтральный 7" xfId="322" xr:uid="{00000000-0005-0000-0000-0000AD370000}"/>
    <cellStyle name="Нейтральный 8" xfId="323" xr:uid="{00000000-0005-0000-0000-0000AE370000}"/>
    <cellStyle name="Нейтральный 9" xfId="324" xr:uid="{00000000-0005-0000-0000-0000AF370000}"/>
    <cellStyle name="Обычный" xfId="0" builtinId="0"/>
    <cellStyle name="Обычный 10" xfId="325" xr:uid="{00000000-0005-0000-0000-0000B1370000}"/>
    <cellStyle name="Обычный 10 2" xfId="326" xr:uid="{00000000-0005-0000-0000-0000B2370000}"/>
    <cellStyle name="Обычный 11" xfId="327" xr:uid="{00000000-0005-0000-0000-0000B3370000}"/>
    <cellStyle name="Обычный 12" xfId="328" xr:uid="{00000000-0005-0000-0000-0000B4370000}"/>
    <cellStyle name="Обычный 12 2" xfId="5342" xr:uid="{00000000-0005-0000-0000-0000B5370000}"/>
    <cellStyle name="Обычный 12 3" xfId="18531" xr:uid="{00000000-0005-0000-0000-0000B6370000}"/>
    <cellStyle name="Обычный 13" xfId="329" xr:uid="{00000000-0005-0000-0000-0000B7370000}"/>
    <cellStyle name="Обычный 14" xfId="330" xr:uid="{00000000-0005-0000-0000-0000B8370000}"/>
    <cellStyle name="Обычный 15" xfId="331" xr:uid="{00000000-0005-0000-0000-0000B9370000}"/>
    <cellStyle name="Обычный 16" xfId="332" xr:uid="{00000000-0005-0000-0000-0000BA370000}"/>
    <cellStyle name="Обычный 17" xfId="333" xr:uid="{00000000-0005-0000-0000-0000BB370000}"/>
    <cellStyle name="Обычный 18" xfId="334" xr:uid="{00000000-0005-0000-0000-0000BC370000}"/>
    <cellStyle name="Обычный 18 2" xfId="4069" xr:uid="{00000000-0005-0000-0000-0000BD370000}"/>
    <cellStyle name="Обычный 18 2 2" xfId="4070" xr:uid="{00000000-0005-0000-0000-0000BE370000}"/>
    <cellStyle name="Обычный 18 2 2 2" xfId="18175" xr:uid="{00000000-0005-0000-0000-0000BF370000}"/>
    <cellStyle name="Обычный 18 2 2 2 2" xfId="18537" xr:uid="{DA91A815-6840-4208-82EC-B0C1722F51BE}"/>
    <cellStyle name="Обычный 18 2 2 3" xfId="18176" xr:uid="{00000000-0005-0000-0000-0000C0370000}"/>
    <cellStyle name="Обычный 18 2 3" xfId="5348" xr:uid="{00000000-0005-0000-0000-0000C1370000}"/>
    <cellStyle name="Обычный 18 2 4" xfId="5167" xr:uid="{00000000-0005-0000-0000-0000C2370000}"/>
    <cellStyle name="Обычный 18 2 5" xfId="5271" xr:uid="{00000000-0005-0000-0000-0000C3370000}"/>
    <cellStyle name="Обычный 18 3" xfId="4071" xr:uid="{00000000-0005-0000-0000-0000C4370000}"/>
    <cellStyle name="Обычный 18 3 2" xfId="18177" xr:uid="{00000000-0005-0000-0000-0000C5370000}"/>
    <cellStyle name="Обычный 18 3 3" xfId="18178" xr:uid="{00000000-0005-0000-0000-0000C6370000}"/>
    <cellStyle name="Обычный 18 4" xfId="4072" xr:uid="{00000000-0005-0000-0000-0000C7370000}"/>
    <cellStyle name="Обычный 18 4 2" xfId="18179" xr:uid="{00000000-0005-0000-0000-0000C8370000}"/>
    <cellStyle name="Обычный 18 4 3" xfId="18180" xr:uid="{00000000-0005-0000-0000-0000C9370000}"/>
    <cellStyle name="Обычный 18 5" xfId="4073" xr:uid="{00000000-0005-0000-0000-0000CA370000}"/>
    <cellStyle name="Обычный 18 5 2" xfId="18181" xr:uid="{00000000-0005-0000-0000-0000CB370000}"/>
    <cellStyle name="Обычный 18 5 3" xfId="18182" xr:uid="{00000000-0005-0000-0000-0000CC370000}"/>
    <cellStyle name="Обычный 18 6" xfId="4074" xr:uid="{00000000-0005-0000-0000-0000CD370000}"/>
    <cellStyle name="Обычный 18 6 2" xfId="18183" xr:uid="{00000000-0005-0000-0000-0000CE370000}"/>
    <cellStyle name="Обычный 18 6 3" xfId="18184" xr:uid="{00000000-0005-0000-0000-0000CF370000}"/>
    <cellStyle name="Обычный 18 7" xfId="5328" xr:uid="{00000000-0005-0000-0000-0000D0370000}"/>
    <cellStyle name="Обычный 18 8" xfId="5175" xr:uid="{00000000-0005-0000-0000-0000D1370000}"/>
    <cellStyle name="Обычный 18 9" xfId="5267" xr:uid="{00000000-0005-0000-0000-0000D2370000}"/>
    <cellStyle name="Обычный 19" xfId="4075" xr:uid="{00000000-0005-0000-0000-0000D3370000}"/>
    <cellStyle name="Обычный 19 10" xfId="18185" xr:uid="{00000000-0005-0000-0000-0000D4370000}"/>
    <cellStyle name="Обычный 19 2" xfId="4076" xr:uid="{00000000-0005-0000-0000-0000D5370000}"/>
    <cellStyle name="Обычный 19 2 2" xfId="4077" xr:uid="{00000000-0005-0000-0000-0000D6370000}"/>
    <cellStyle name="Обычный 19 2 2 2" xfId="4078" xr:uid="{00000000-0005-0000-0000-0000D7370000}"/>
    <cellStyle name="Обычный 19 2 2 2 2" xfId="18186" xr:uid="{00000000-0005-0000-0000-0000D8370000}"/>
    <cellStyle name="Обычный 19 2 2 2 3" xfId="18187" xr:uid="{00000000-0005-0000-0000-0000D9370000}"/>
    <cellStyle name="Обычный 19 2 2 23" xfId="4079" xr:uid="{00000000-0005-0000-0000-0000DA370000}"/>
    <cellStyle name="Обычный 19 2 2 23 2" xfId="18188" xr:uid="{00000000-0005-0000-0000-0000DB370000}"/>
    <cellStyle name="Обычный 19 2 2 23 3" xfId="18189" xr:uid="{00000000-0005-0000-0000-0000DC370000}"/>
    <cellStyle name="Обычный 19 2 2 3" xfId="4080" xr:uid="{00000000-0005-0000-0000-0000DD370000}"/>
    <cellStyle name="Обычный 19 2 2 3 2" xfId="4081" xr:uid="{00000000-0005-0000-0000-0000DE370000}"/>
    <cellStyle name="Обычный 19 2 2 3 2 2" xfId="18157" xr:uid="{00000000-0005-0000-0000-0000DF370000}"/>
    <cellStyle name="Обычный 19 2 2 3 2 2 2" xfId="18190" xr:uid="{00000000-0005-0000-0000-0000E0370000}"/>
    <cellStyle name="Обычный 19 2 2 3 2 2 3" xfId="18191" xr:uid="{00000000-0005-0000-0000-0000E1370000}"/>
    <cellStyle name="Обычный 19 2 2 3 2 3" xfId="18192" xr:uid="{00000000-0005-0000-0000-0000E2370000}"/>
    <cellStyle name="Обычный 19 2 2 3 2 4" xfId="18193" xr:uid="{00000000-0005-0000-0000-0000E3370000}"/>
    <cellStyle name="Обычный 19 2 2 3 3" xfId="18194" xr:uid="{00000000-0005-0000-0000-0000E4370000}"/>
    <cellStyle name="Обычный 19 2 2 3 4" xfId="18195" xr:uid="{00000000-0005-0000-0000-0000E5370000}"/>
    <cellStyle name="Обычный 19 2 2 4" xfId="4082" xr:uid="{00000000-0005-0000-0000-0000E6370000}"/>
    <cellStyle name="Обычный 19 2 2 4 2" xfId="4083" xr:uid="{00000000-0005-0000-0000-0000E7370000}"/>
    <cellStyle name="Обычный 19 2 2 4 2 2" xfId="18158" xr:uid="{00000000-0005-0000-0000-0000E8370000}"/>
    <cellStyle name="Обычный 19 2 2 4 2 2 2" xfId="18196" xr:uid="{00000000-0005-0000-0000-0000E9370000}"/>
    <cellStyle name="Обычный 19 2 2 4 2 2 3" xfId="18197" xr:uid="{00000000-0005-0000-0000-0000EA370000}"/>
    <cellStyle name="Обычный 19 2 2 4 2 3" xfId="18198" xr:uid="{00000000-0005-0000-0000-0000EB370000}"/>
    <cellStyle name="Обычный 19 2 2 4 2 4" xfId="18199" xr:uid="{00000000-0005-0000-0000-0000EC370000}"/>
    <cellStyle name="Обычный 19 2 2 4 3" xfId="18200" xr:uid="{00000000-0005-0000-0000-0000ED370000}"/>
    <cellStyle name="Обычный 19 2 2 4 4" xfId="18201" xr:uid="{00000000-0005-0000-0000-0000EE370000}"/>
    <cellStyle name="Обычный 19 2 2 5" xfId="4084" xr:uid="{00000000-0005-0000-0000-0000EF370000}"/>
    <cellStyle name="Обычный 19 2 2 5 2" xfId="4085" xr:uid="{00000000-0005-0000-0000-0000F0370000}"/>
    <cellStyle name="Обычный 19 2 2 5 2 2" xfId="18159" xr:uid="{00000000-0005-0000-0000-0000F1370000}"/>
    <cellStyle name="Обычный 19 2 2 5 2 2 2" xfId="18202" xr:uid="{00000000-0005-0000-0000-0000F2370000}"/>
    <cellStyle name="Обычный 19 2 2 5 2 2 3" xfId="18203" xr:uid="{00000000-0005-0000-0000-0000F3370000}"/>
    <cellStyle name="Обычный 19 2 2 5 2 3" xfId="18204" xr:uid="{00000000-0005-0000-0000-0000F4370000}"/>
    <cellStyle name="Обычный 19 2 2 5 2 4" xfId="18205" xr:uid="{00000000-0005-0000-0000-0000F5370000}"/>
    <cellStyle name="Обычный 19 2 2 5 3" xfId="18206" xr:uid="{00000000-0005-0000-0000-0000F6370000}"/>
    <cellStyle name="Обычный 19 2 2 5 4" xfId="18207" xr:uid="{00000000-0005-0000-0000-0000F7370000}"/>
    <cellStyle name="Обычный 19 2 2 6" xfId="4086" xr:uid="{00000000-0005-0000-0000-0000F8370000}"/>
    <cellStyle name="Обычный 19 2 2 6 2" xfId="18208" xr:uid="{00000000-0005-0000-0000-0000F9370000}"/>
    <cellStyle name="Обычный 19 2 2 6 3" xfId="18209" xr:uid="{00000000-0005-0000-0000-0000FA370000}"/>
    <cellStyle name="Обычный 19 2 2 7" xfId="18210" xr:uid="{00000000-0005-0000-0000-0000FB370000}"/>
    <cellStyle name="Обычный 19 2 2 8" xfId="18211" xr:uid="{00000000-0005-0000-0000-0000FC370000}"/>
    <cellStyle name="Обычный 19 2 3" xfId="4087" xr:uid="{00000000-0005-0000-0000-0000FD370000}"/>
    <cellStyle name="Обычный 19 2 3 2" xfId="18212" xr:uid="{00000000-0005-0000-0000-0000FE370000}"/>
    <cellStyle name="Обычный 19 2 3 3" xfId="18213" xr:uid="{00000000-0005-0000-0000-0000FF370000}"/>
    <cellStyle name="Обычный 19 2 4" xfId="4088" xr:uid="{00000000-0005-0000-0000-000000380000}"/>
    <cellStyle name="Обычный 19 2 4 2" xfId="18214" xr:uid="{00000000-0005-0000-0000-000001380000}"/>
    <cellStyle name="Обычный 19 2 4 3" xfId="18215" xr:uid="{00000000-0005-0000-0000-000002380000}"/>
    <cellStyle name="Обычный 19 2 5" xfId="4089" xr:uid="{00000000-0005-0000-0000-000003380000}"/>
    <cellStyle name="Обычный 19 2 5 2" xfId="18216" xr:uid="{00000000-0005-0000-0000-000004380000}"/>
    <cellStyle name="Обычный 19 2 5 3" xfId="18217" xr:uid="{00000000-0005-0000-0000-000005380000}"/>
    <cellStyle name="Обычный 19 2 6" xfId="4090" xr:uid="{00000000-0005-0000-0000-000006380000}"/>
    <cellStyle name="Обычный 19 2 6 2" xfId="18218" xr:uid="{00000000-0005-0000-0000-000007380000}"/>
    <cellStyle name="Обычный 19 2 6 3" xfId="18219" xr:uid="{00000000-0005-0000-0000-000008380000}"/>
    <cellStyle name="Обычный 19 2 7" xfId="4091" xr:uid="{00000000-0005-0000-0000-000009380000}"/>
    <cellStyle name="Обычный 19 2 7 2" xfId="18160" xr:uid="{00000000-0005-0000-0000-00000A380000}"/>
    <cellStyle name="Обычный 19 2 7 2 2" xfId="18220" xr:uid="{00000000-0005-0000-0000-00000B380000}"/>
    <cellStyle name="Обычный 19 2 7 2 3" xfId="18221" xr:uid="{00000000-0005-0000-0000-00000C380000}"/>
    <cellStyle name="Обычный 19 2 7 3" xfId="18222" xr:uid="{00000000-0005-0000-0000-00000D380000}"/>
    <cellStyle name="Обычный 19 2 7 4" xfId="18223" xr:uid="{00000000-0005-0000-0000-00000E380000}"/>
    <cellStyle name="Обычный 19 2 8" xfId="18224" xr:uid="{00000000-0005-0000-0000-00000F380000}"/>
    <cellStyle name="Обычный 19 2 9" xfId="18225" xr:uid="{00000000-0005-0000-0000-000010380000}"/>
    <cellStyle name="Обычный 19 3" xfId="4092" xr:uid="{00000000-0005-0000-0000-000011380000}"/>
    <cellStyle name="Обычный 19 3 2" xfId="4093" xr:uid="{00000000-0005-0000-0000-000012380000}"/>
    <cellStyle name="Обычный 19 3 2 2" xfId="18226" xr:uid="{00000000-0005-0000-0000-000013380000}"/>
    <cellStyle name="Обычный 19 3 2 3" xfId="18227" xr:uid="{00000000-0005-0000-0000-000014380000}"/>
    <cellStyle name="Обычный 19 3 3" xfId="4094" xr:uid="{00000000-0005-0000-0000-000015380000}"/>
    <cellStyle name="Обычный 19 3 3 2" xfId="18228" xr:uid="{00000000-0005-0000-0000-000016380000}"/>
    <cellStyle name="Обычный 19 3 3 3" xfId="18229" xr:uid="{00000000-0005-0000-0000-000017380000}"/>
    <cellStyle name="Обычный 19 3 4" xfId="4095" xr:uid="{00000000-0005-0000-0000-000018380000}"/>
    <cellStyle name="Обычный 19 3 4 2" xfId="18230" xr:uid="{00000000-0005-0000-0000-000019380000}"/>
    <cellStyle name="Обычный 19 3 4 3" xfId="18231" xr:uid="{00000000-0005-0000-0000-00001A380000}"/>
    <cellStyle name="Обычный 19 3 5" xfId="4096" xr:uid="{00000000-0005-0000-0000-00001B380000}"/>
    <cellStyle name="Обычный 19 3 5 2" xfId="18232" xr:uid="{00000000-0005-0000-0000-00001C380000}"/>
    <cellStyle name="Обычный 19 3 5 3" xfId="18233" xr:uid="{00000000-0005-0000-0000-00001D380000}"/>
    <cellStyle name="Обычный 19 3 6" xfId="4097" xr:uid="{00000000-0005-0000-0000-00001E380000}"/>
    <cellStyle name="Обычный 19 3 6 2" xfId="18234" xr:uid="{00000000-0005-0000-0000-00001F380000}"/>
    <cellStyle name="Обычный 19 3 6 3" xfId="18235" xr:uid="{00000000-0005-0000-0000-000020380000}"/>
    <cellStyle name="Обычный 19 3 7" xfId="18236" xr:uid="{00000000-0005-0000-0000-000021380000}"/>
    <cellStyle name="Обычный 19 3 8" xfId="18237" xr:uid="{00000000-0005-0000-0000-000022380000}"/>
    <cellStyle name="Обычный 19 4" xfId="4098" xr:uid="{00000000-0005-0000-0000-000023380000}"/>
    <cellStyle name="Обычный 19 4 2" xfId="4099" xr:uid="{00000000-0005-0000-0000-000024380000}"/>
    <cellStyle name="Обычный 19 4 2 2" xfId="18238" xr:uid="{00000000-0005-0000-0000-000025380000}"/>
    <cellStyle name="Обычный 19 4 2 3" xfId="18239" xr:uid="{00000000-0005-0000-0000-000026380000}"/>
    <cellStyle name="Обычный 19 4 3" xfId="18240" xr:uid="{00000000-0005-0000-0000-000027380000}"/>
    <cellStyle name="Обычный 19 4 4" xfId="18241" xr:uid="{00000000-0005-0000-0000-000028380000}"/>
    <cellStyle name="Обычный 19 5" xfId="4100" xr:uid="{00000000-0005-0000-0000-000029380000}"/>
    <cellStyle name="Обычный 19 5 2" xfId="18242" xr:uid="{00000000-0005-0000-0000-00002A380000}"/>
    <cellStyle name="Обычный 19 5 3" xfId="18243" xr:uid="{00000000-0005-0000-0000-00002B380000}"/>
    <cellStyle name="Обычный 19 6" xfId="4101" xr:uid="{00000000-0005-0000-0000-00002C380000}"/>
    <cellStyle name="Обычный 19 6 2" xfId="18244" xr:uid="{00000000-0005-0000-0000-00002D380000}"/>
    <cellStyle name="Обычный 19 6 3" xfId="18245" xr:uid="{00000000-0005-0000-0000-00002E380000}"/>
    <cellStyle name="Обычный 19 7" xfId="4102" xr:uid="{00000000-0005-0000-0000-00002F380000}"/>
    <cellStyle name="Обычный 19 7 2" xfId="18246" xr:uid="{00000000-0005-0000-0000-000030380000}"/>
    <cellStyle name="Обычный 19 7 3" xfId="18247" xr:uid="{00000000-0005-0000-0000-000031380000}"/>
    <cellStyle name="Обычный 19 8" xfId="4103" xr:uid="{00000000-0005-0000-0000-000032380000}"/>
    <cellStyle name="Обычный 19 8 2" xfId="18248" xr:uid="{00000000-0005-0000-0000-000033380000}"/>
    <cellStyle name="Обычный 19 8 3" xfId="18249" xr:uid="{00000000-0005-0000-0000-000034380000}"/>
    <cellStyle name="Обычный 19 9" xfId="18250" xr:uid="{00000000-0005-0000-0000-000035380000}"/>
    <cellStyle name="Обычный 2" xfId="335" xr:uid="{00000000-0005-0000-0000-000036380000}"/>
    <cellStyle name="Обычный 2 10" xfId="336" xr:uid="{00000000-0005-0000-0000-000037380000}"/>
    <cellStyle name="Обычный 2 11" xfId="337" xr:uid="{00000000-0005-0000-0000-000038380000}"/>
    <cellStyle name="Обычный 2 11 2" xfId="4104" xr:uid="{00000000-0005-0000-0000-000039380000}"/>
    <cellStyle name="Обычный 2 12" xfId="338" xr:uid="{00000000-0005-0000-0000-00003A380000}"/>
    <cellStyle name="Обычный 2 13" xfId="5331" xr:uid="{00000000-0005-0000-0000-00003B380000}"/>
    <cellStyle name="Обычный 2 14" xfId="5347" xr:uid="{00000000-0005-0000-0000-00003C380000}"/>
    <cellStyle name="Обычный 2 2" xfId="339" xr:uid="{00000000-0005-0000-0000-00003D380000}"/>
    <cellStyle name="Обычный 2 2 2" xfId="340" xr:uid="{00000000-0005-0000-0000-00003E380000}"/>
    <cellStyle name="Обычный 2 2 2 2" xfId="4105" xr:uid="{00000000-0005-0000-0000-00003F380000}"/>
    <cellStyle name="Обычный 2 2 3" xfId="341" xr:uid="{00000000-0005-0000-0000-000040380000}"/>
    <cellStyle name="Обычный 2 2 4" xfId="342" xr:uid="{00000000-0005-0000-0000-000041380000}"/>
    <cellStyle name="Обычный 2 2 5" xfId="343" xr:uid="{00000000-0005-0000-0000-000042380000}"/>
    <cellStyle name="Обычный 2 2 6" xfId="344" xr:uid="{00000000-0005-0000-0000-000043380000}"/>
    <cellStyle name="Обычный 2 2 7" xfId="4106" xr:uid="{00000000-0005-0000-0000-000044380000}"/>
    <cellStyle name="Обычный 2 2 8" xfId="5344" xr:uid="{00000000-0005-0000-0000-000045380000}"/>
    <cellStyle name="Обычный 2 3" xfId="345" xr:uid="{00000000-0005-0000-0000-000046380000}"/>
    <cellStyle name="Обычный 2 3 2" xfId="346" xr:uid="{00000000-0005-0000-0000-000047380000}"/>
    <cellStyle name="Обычный 2 3 3" xfId="4107" xr:uid="{00000000-0005-0000-0000-000048380000}"/>
    <cellStyle name="Обычный 2 3 3 2" xfId="4108" xr:uid="{00000000-0005-0000-0000-000049380000}"/>
    <cellStyle name="Обычный 2 3 3 2 10" xfId="18251" xr:uid="{00000000-0005-0000-0000-00004A380000}"/>
    <cellStyle name="Обычный 2 3 3 2 2" xfId="4109" xr:uid="{00000000-0005-0000-0000-00004B380000}"/>
    <cellStyle name="Обычный 2 3 3 2 2 10" xfId="18252" xr:uid="{00000000-0005-0000-0000-00004C380000}"/>
    <cellStyle name="Обычный 2 3 3 2 2 2" xfId="347" xr:uid="{00000000-0005-0000-0000-00004D380000}"/>
    <cellStyle name="Обычный 2 3 3 2 2 2 2" xfId="4110" xr:uid="{00000000-0005-0000-0000-00004E380000}"/>
    <cellStyle name="Обычный 2 3 3 2 2 2 2 2" xfId="18253" xr:uid="{00000000-0005-0000-0000-00004F380000}"/>
    <cellStyle name="Обычный 2 3 3 2 2 2 2 3" xfId="18254" xr:uid="{00000000-0005-0000-0000-000050380000}"/>
    <cellStyle name="Обычный 2 3 3 2 2 2 3" xfId="4111" xr:uid="{00000000-0005-0000-0000-000051380000}"/>
    <cellStyle name="Обычный 2 3 3 2 2 2 3 2" xfId="18255" xr:uid="{00000000-0005-0000-0000-000052380000}"/>
    <cellStyle name="Обычный 2 3 3 2 2 2 3 3" xfId="18256" xr:uid="{00000000-0005-0000-0000-000053380000}"/>
    <cellStyle name="Обычный 2 3 3 2 2 2 4" xfId="4112" xr:uid="{00000000-0005-0000-0000-000054380000}"/>
    <cellStyle name="Обычный 2 3 3 2 2 2 4 2" xfId="18257" xr:uid="{00000000-0005-0000-0000-000055380000}"/>
    <cellStyle name="Обычный 2 3 3 2 2 2 4 3" xfId="18258" xr:uid="{00000000-0005-0000-0000-000056380000}"/>
    <cellStyle name="Обычный 2 3 3 2 2 2 5" xfId="4113" xr:uid="{00000000-0005-0000-0000-000057380000}"/>
    <cellStyle name="Обычный 2 3 3 2 2 2 5 2" xfId="18259" xr:uid="{00000000-0005-0000-0000-000058380000}"/>
    <cellStyle name="Обычный 2 3 3 2 2 2 5 3" xfId="18260" xr:uid="{00000000-0005-0000-0000-000059380000}"/>
    <cellStyle name="Обычный 2 3 3 2 2 2 6" xfId="4114" xr:uid="{00000000-0005-0000-0000-00005A380000}"/>
    <cellStyle name="Обычный 2 3 3 2 2 2 6 2" xfId="18261" xr:uid="{00000000-0005-0000-0000-00005B380000}"/>
    <cellStyle name="Обычный 2 3 3 2 2 2 6 2 2" xfId="18262" xr:uid="{00000000-0005-0000-0000-00005C380000}"/>
    <cellStyle name="Обычный 2 3 3 2 2 2 6 2 3" xfId="18263" xr:uid="{00000000-0005-0000-0000-00005D380000}"/>
    <cellStyle name="Обычный 2 3 3 2 2 2 6 3" xfId="18264" xr:uid="{00000000-0005-0000-0000-00005E380000}"/>
    <cellStyle name="Обычный 2 3 3 2 2 2 6 4" xfId="18265" xr:uid="{00000000-0005-0000-0000-00005F380000}"/>
    <cellStyle name="Обычный 2 3 3 2 2 2 6 5" xfId="18543" xr:uid="{4962C284-D179-4D7F-B850-D5CB037D838B}"/>
    <cellStyle name="Обычный 2 3 3 2 2 2 7" xfId="18266" xr:uid="{00000000-0005-0000-0000-000060380000}"/>
    <cellStyle name="Обычный 2 3 3 2 2 2 7 2" xfId="18267" xr:uid="{00000000-0005-0000-0000-000061380000}"/>
    <cellStyle name="Обычный 2 3 3 2 2 2 7 3" xfId="18268" xr:uid="{00000000-0005-0000-0000-000062380000}"/>
    <cellStyle name="Обычный 2 3 3 2 2 2 8" xfId="18269" xr:uid="{00000000-0005-0000-0000-000063380000}"/>
    <cellStyle name="Обычный 2 3 3 2 2 2 9" xfId="18270" xr:uid="{00000000-0005-0000-0000-000064380000}"/>
    <cellStyle name="Обычный 2 3 3 2 2 3" xfId="4115" xr:uid="{00000000-0005-0000-0000-000065380000}"/>
    <cellStyle name="Обычный 2 3 3 2 2 3 2" xfId="18271" xr:uid="{00000000-0005-0000-0000-000066380000}"/>
    <cellStyle name="Обычный 2 3 3 2 2 3 3" xfId="18272" xr:uid="{00000000-0005-0000-0000-000067380000}"/>
    <cellStyle name="Обычный 2 3 3 2 2 4" xfId="4116" xr:uid="{00000000-0005-0000-0000-000068380000}"/>
    <cellStyle name="Обычный 2 3 3 2 2 4 2" xfId="18273" xr:uid="{00000000-0005-0000-0000-000069380000}"/>
    <cellStyle name="Обычный 2 3 3 2 2 4 3" xfId="18274" xr:uid="{00000000-0005-0000-0000-00006A380000}"/>
    <cellStyle name="Обычный 2 3 3 2 2 5" xfId="4117" xr:uid="{00000000-0005-0000-0000-00006B380000}"/>
    <cellStyle name="Обычный 2 3 3 2 2 5 2" xfId="18275" xr:uid="{00000000-0005-0000-0000-00006C380000}"/>
    <cellStyle name="Обычный 2 3 3 2 2 5 3" xfId="18276" xr:uid="{00000000-0005-0000-0000-00006D380000}"/>
    <cellStyle name="Обычный 2 3 3 2 2 6" xfId="4118" xr:uid="{00000000-0005-0000-0000-00006E380000}"/>
    <cellStyle name="Обычный 2 3 3 2 2 6 2" xfId="18277" xr:uid="{00000000-0005-0000-0000-00006F380000}"/>
    <cellStyle name="Обычный 2 3 3 2 2 6 3" xfId="18278" xr:uid="{00000000-0005-0000-0000-000070380000}"/>
    <cellStyle name="Обычный 2 3 3 2 2 7" xfId="4119" xr:uid="{00000000-0005-0000-0000-000071380000}"/>
    <cellStyle name="Обычный 2 3 3 2 2 7 2" xfId="18279" xr:uid="{00000000-0005-0000-0000-000072380000}"/>
    <cellStyle name="Обычный 2 3 3 2 2 7 3" xfId="18280" xr:uid="{00000000-0005-0000-0000-000073380000}"/>
    <cellStyle name="Обычный 2 3 3 2 2 8" xfId="18161" xr:uid="{00000000-0005-0000-0000-000074380000}"/>
    <cellStyle name="Обычный 2 3 3 2 2 8 2" xfId="18281" xr:uid="{00000000-0005-0000-0000-000075380000}"/>
    <cellStyle name="Обычный 2 3 3 2 2 8 3" xfId="18282" xr:uid="{00000000-0005-0000-0000-000076380000}"/>
    <cellStyle name="Обычный 2 3 3 2 2 9" xfId="18283" xr:uid="{00000000-0005-0000-0000-000077380000}"/>
    <cellStyle name="Обычный 2 3 3 2 3" xfId="4120" xr:uid="{00000000-0005-0000-0000-000078380000}"/>
    <cellStyle name="Обычный 2 3 3 2 3 2" xfId="4121" xr:uid="{00000000-0005-0000-0000-000079380000}"/>
    <cellStyle name="Обычный 2 3 3 2 3 2 2" xfId="18284" xr:uid="{00000000-0005-0000-0000-00007A380000}"/>
    <cellStyle name="Обычный 2 3 3 2 3 2 3" xfId="18285" xr:uid="{00000000-0005-0000-0000-00007B380000}"/>
    <cellStyle name="Обычный 2 3 3 2 3 3" xfId="4122" xr:uid="{00000000-0005-0000-0000-00007C380000}"/>
    <cellStyle name="Обычный 2 3 3 2 3 3 2" xfId="18286" xr:uid="{00000000-0005-0000-0000-00007D380000}"/>
    <cellStyle name="Обычный 2 3 3 2 3 3 3" xfId="18287" xr:uid="{00000000-0005-0000-0000-00007E380000}"/>
    <cellStyle name="Обычный 2 3 3 2 3 4" xfId="4123" xr:uid="{00000000-0005-0000-0000-00007F380000}"/>
    <cellStyle name="Обычный 2 3 3 2 3 4 2" xfId="18288" xr:uid="{00000000-0005-0000-0000-000080380000}"/>
    <cellStyle name="Обычный 2 3 3 2 3 4 3" xfId="18289" xr:uid="{00000000-0005-0000-0000-000081380000}"/>
    <cellStyle name="Обычный 2 3 3 2 3 5" xfId="4124" xr:uid="{00000000-0005-0000-0000-000082380000}"/>
    <cellStyle name="Обычный 2 3 3 2 3 5 2" xfId="18290" xr:uid="{00000000-0005-0000-0000-000083380000}"/>
    <cellStyle name="Обычный 2 3 3 2 3 5 3" xfId="18291" xr:uid="{00000000-0005-0000-0000-000084380000}"/>
    <cellStyle name="Обычный 2 3 3 2 3 6" xfId="4125" xr:uid="{00000000-0005-0000-0000-000085380000}"/>
    <cellStyle name="Обычный 2 3 3 2 3 6 2" xfId="18292" xr:uid="{00000000-0005-0000-0000-000086380000}"/>
    <cellStyle name="Обычный 2 3 3 2 3 6 3" xfId="18293" xr:uid="{00000000-0005-0000-0000-000087380000}"/>
    <cellStyle name="Обычный 2 3 3 2 3 7" xfId="18294" xr:uid="{00000000-0005-0000-0000-000088380000}"/>
    <cellStyle name="Обычный 2 3 3 2 3 8" xfId="18295" xr:uid="{00000000-0005-0000-0000-000089380000}"/>
    <cellStyle name="Обычный 2 3 3 2 4" xfId="4126" xr:uid="{00000000-0005-0000-0000-00008A380000}"/>
    <cellStyle name="Обычный 2 3 3 2 4 2" xfId="4127" xr:uid="{00000000-0005-0000-0000-00008B380000}"/>
    <cellStyle name="Обычный 2 3 3 2 4 2 2" xfId="18296" xr:uid="{00000000-0005-0000-0000-00008C380000}"/>
    <cellStyle name="Обычный 2 3 3 2 4 2 3" xfId="18297" xr:uid="{00000000-0005-0000-0000-00008D380000}"/>
    <cellStyle name="Обычный 2 3 3 2 4 3" xfId="18298" xr:uid="{00000000-0005-0000-0000-00008E380000}"/>
    <cellStyle name="Обычный 2 3 3 2 4 4" xfId="18299" xr:uid="{00000000-0005-0000-0000-00008F380000}"/>
    <cellStyle name="Обычный 2 3 3 2 5" xfId="4128" xr:uid="{00000000-0005-0000-0000-000090380000}"/>
    <cellStyle name="Обычный 2 3 3 2 5 2" xfId="18300" xr:uid="{00000000-0005-0000-0000-000091380000}"/>
    <cellStyle name="Обычный 2 3 3 2 5 3" xfId="18301" xr:uid="{00000000-0005-0000-0000-000092380000}"/>
    <cellStyle name="Обычный 2 3 3 2 6" xfId="4129" xr:uid="{00000000-0005-0000-0000-000093380000}"/>
    <cellStyle name="Обычный 2 3 3 2 6 2" xfId="18302" xr:uid="{00000000-0005-0000-0000-000094380000}"/>
    <cellStyle name="Обычный 2 3 3 2 6 3" xfId="18303" xr:uid="{00000000-0005-0000-0000-000095380000}"/>
    <cellStyle name="Обычный 2 3 3 2 7" xfId="4130" xr:uid="{00000000-0005-0000-0000-000096380000}"/>
    <cellStyle name="Обычный 2 3 3 2 7 2" xfId="18304" xr:uid="{00000000-0005-0000-0000-000097380000}"/>
    <cellStyle name="Обычный 2 3 3 2 7 3" xfId="18305" xr:uid="{00000000-0005-0000-0000-000098380000}"/>
    <cellStyle name="Обычный 2 3 3 2 8" xfId="4131" xr:uid="{00000000-0005-0000-0000-000099380000}"/>
    <cellStyle name="Обычный 2 3 3 2 8 2" xfId="18306" xr:uid="{00000000-0005-0000-0000-00009A380000}"/>
    <cellStyle name="Обычный 2 3 3 2 8 3" xfId="18307" xr:uid="{00000000-0005-0000-0000-00009B380000}"/>
    <cellStyle name="Обычный 2 3 3 2 9" xfId="18308" xr:uid="{00000000-0005-0000-0000-00009C380000}"/>
    <cellStyle name="Обычный 2 3 3 3" xfId="4132" xr:uid="{00000000-0005-0000-0000-00009D380000}"/>
    <cellStyle name="Обычный 2 3 3 3 2" xfId="4133" xr:uid="{00000000-0005-0000-0000-00009E380000}"/>
    <cellStyle name="Обычный 2 3 3 3 2 2" xfId="18309" xr:uid="{00000000-0005-0000-0000-00009F380000}"/>
    <cellStyle name="Обычный 2 3 3 3 2 3" xfId="18310" xr:uid="{00000000-0005-0000-0000-0000A0380000}"/>
    <cellStyle name="Обычный 2 3 3 3 3" xfId="18311" xr:uid="{00000000-0005-0000-0000-0000A1380000}"/>
    <cellStyle name="Обычный 2 3 3 3 4" xfId="18312" xr:uid="{00000000-0005-0000-0000-0000A2380000}"/>
    <cellStyle name="Обычный 2 3 3 4" xfId="4134" xr:uid="{00000000-0005-0000-0000-0000A3380000}"/>
    <cellStyle name="Обычный 2 3 3 4 2" xfId="18313" xr:uid="{00000000-0005-0000-0000-0000A4380000}"/>
    <cellStyle name="Обычный 2 3 3 4 3" xfId="18314" xr:uid="{00000000-0005-0000-0000-0000A5380000}"/>
    <cellStyle name="Обычный 2 3 3 5" xfId="4135" xr:uid="{00000000-0005-0000-0000-0000A6380000}"/>
    <cellStyle name="Обычный 2 3 3 5 2" xfId="18315" xr:uid="{00000000-0005-0000-0000-0000A7380000}"/>
    <cellStyle name="Обычный 2 3 3 5 3" xfId="18316" xr:uid="{00000000-0005-0000-0000-0000A8380000}"/>
    <cellStyle name="Обычный 2 3 3 6" xfId="4136" xr:uid="{00000000-0005-0000-0000-0000A9380000}"/>
    <cellStyle name="Обычный 2 3 3 6 2" xfId="18317" xr:uid="{00000000-0005-0000-0000-0000AA380000}"/>
    <cellStyle name="Обычный 2 3 3 6 3" xfId="18318" xr:uid="{00000000-0005-0000-0000-0000AB380000}"/>
    <cellStyle name="Обычный 2 3 3 7" xfId="4137" xr:uid="{00000000-0005-0000-0000-0000AC380000}"/>
    <cellStyle name="Обычный 2 3 3 7 2" xfId="18319" xr:uid="{00000000-0005-0000-0000-0000AD380000}"/>
    <cellStyle name="Обычный 2 3 3 7 3" xfId="18320" xr:uid="{00000000-0005-0000-0000-0000AE380000}"/>
    <cellStyle name="Обычный 2 3 3 8" xfId="18321" xr:uid="{00000000-0005-0000-0000-0000AF380000}"/>
    <cellStyle name="Обычный 2 3 3 9" xfId="18322" xr:uid="{00000000-0005-0000-0000-0000B0380000}"/>
    <cellStyle name="Обычный 2 4" xfId="348" xr:uid="{00000000-0005-0000-0000-0000B1380000}"/>
    <cellStyle name="Обычный 2 4 2" xfId="18323" xr:uid="{00000000-0005-0000-0000-0000B2380000}"/>
    <cellStyle name="Обычный 2 4 3" xfId="18324" xr:uid="{00000000-0005-0000-0000-0000B3380000}"/>
    <cellStyle name="Обычный 2 5" xfId="349" xr:uid="{00000000-0005-0000-0000-0000B4380000}"/>
    <cellStyle name="Обычный 2 5 2" xfId="18325" xr:uid="{00000000-0005-0000-0000-0000B5380000}"/>
    <cellStyle name="Обычный 2 5 3" xfId="18326" xr:uid="{00000000-0005-0000-0000-0000B6380000}"/>
    <cellStyle name="Обычный 2 6" xfId="350" xr:uid="{00000000-0005-0000-0000-0000B7380000}"/>
    <cellStyle name="Обычный 2 7" xfId="351" xr:uid="{00000000-0005-0000-0000-0000B8380000}"/>
    <cellStyle name="Обычный 2 8" xfId="352" xr:uid="{00000000-0005-0000-0000-0000B9380000}"/>
    <cellStyle name="Обычный 2 9" xfId="353" xr:uid="{00000000-0005-0000-0000-0000BA380000}"/>
    <cellStyle name="Обычный 20" xfId="4138" xr:uid="{00000000-0005-0000-0000-0000BB380000}"/>
    <cellStyle name="Обычный 20 2" xfId="4139" xr:uid="{00000000-0005-0000-0000-0000BC380000}"/>
    <cellStyle name="Обычный 20 2 2" xfId="4140" xr:uid="{00000000-0005-0000-0000-0000BD380000}"/>
    <cellStyle name="Обычный 20 2 2 2" xfId="18327" xr:uid="{00000000-0005-0000-0000-0000BE380000}"/>
    <cellStyle name="Обычный 20 2 2 3" xfId="18328" xr:uid="{00000000-0005-0000-0000-0000BF380000}"/>
    <cellStyle name="Обычный 20 2 3" xfId="18329" xr:uid="{00000000-0005-0000-0000-0000C0380000}"/>
    <cellStyle name="Обычный 20 2 4" xfId="18330" xr:uid="{00000000-0005-0000-0000-0000C1380000}"/>
    <cellStyle name="Обычный 20 3" xfId="4141" xr:uid="{00000000-0005-0000-0000-0000C2380000}"/>
    <cellStyle name="Обычный 20 3 2" xfId="18331" xr:uid="{00000000-0005-0000-0000-0000C3380000}"/>
    <cellStyle name="Обычный 20 3 3" xfId="18332" xr:uid="{00000000-0005-0000-0000-0000C4380000}"/>
    <cellStyle name="Обычный 20 4" xfId="4142" xr:uid="{00000000-0005-0000-0000-0000C5380000}"/>
    <cellStyle name="Обычный 20 4 2" xfId="18333" xr:uid="{00000000-0005-0000-0000-0000C6380000}"/>
    <cellStyle name="Обычный 20 4 3" xfId="18334" xr:uid="{00000000-0005-0000-0000-0000C7380000}"/>
    <cellStyle name="Обычный 20 5" xfId="4143" xr:uid="{00000000-0005-0000-0000-0000C8380000}"/>
    <cellStyle name="Обычный 20 5 2" xfId="18335" xr:uid="{00000000-0005-0000-0000-0000C9380000}"/>
    <cellStyle name="Обычный 20 5 3" xfId="18336" xr:uid="{00000000-0005-0000-0000-0000CA380000}"/>
    <cellStyle name="Обычный 20 6" xfId="4144" xr:uid="{00000000-0005-0000-0000-0000CB380000}"/>
    <cellStyle name="Обычный 20 6 2" xfId="18337" xr:uid="{00000000-0005-0000-0000-0000CC380000}"/>
    <cellStyle name="Обычный 20 6 3" xfId="18338" xr:uid="{00000000-0005-0000-0000-0000CD380000}"/>
    <cellStyle name="Обычный 20 7" xfId="18339" xr:uid="{00000000-0005-0000-0000-0000CE380000}"/>
    <cellStyle name="Обычный 20 8" xfId="18340" xr:uid="{00000000-0005-0000-0000-0000CF380000}"/>
    <cellStyle name="Обычный 21" xfId="354" xr:uid="{00000000-0005-0000-0000-0000D0380000}"/>
    <cellStyle name="Обычный 21 2" xfId="4145" xr:uid="{00000000-0005-0000-0000-0000D1380000}"/>
    <cellStyle name="Обычный 21 2 2" xfId="4146" xr:uid="{00000000-0005-0000-0000-0000D2380000}"/>
    <cellStyle name="Обычный 21 2 2 2" xfId="18341" xr:uid="{00000000-0005-0000-0000-0000D3380000}"/>
    <cellStyle name="Обычный 21 2 2 3" xfId="18342" xr:uid="{00000000-0005-0000-0000-0000D4380000}"/>
    <cellStyle name="Обычный 21 2 3" xfId="18343" xr:uid="{00000000-0005-0000-0000-0000D5380000}"/>
    <cellStyle name="Обычный 21 2 4" xfId="18344" xr:uid="{00000000-0005-0000-0000-0000D6380000}"/>
    <cellStyle name="Обычный 21 3" xfId="4147" xr:uid="{00000000-0005-0000-0000-0000D7380000}"/>
    <cellStyle name="Обычный 21 3 2" xfId="18345" xr:uid="{00000000-0005-0000-0000-0000D8380000}"/>
    <cellStyle name="Обычный 21 3 3" xfId="18346" xr:uid="{00000000-0005-0000-0000-0000D9380000}"/>
    <cellStyle name="Обычный 21 4" xfId="4148" xr:uid="{00000000-0005-0000-0000-0000DA380000}"/>
    <cellStyle name="Обычный 21 4 2" xfId="18347" xr:uid="{00000000-0005-0000-0000-0000DB380000}"/>
    <cellStyle name="Обычный 21 4 3" xfId="18348" xr:uid="{00000000-0005-0000-0000-0000DC380000}"/>
    <cellStyle name="Обычный 21 5" xfId="4149" xr:uid="{00000000-0005-0000-0000-0000DD380000}"/>
    <cellStyle name="Обычный 21 5 2" xfId="18349" xr:uid="{00000000-0005-0000-0000-0000DE380000}"/>
    <cellStyle name="Обычный 21 5 3" xfId="18350" xr:uid="{00000000-0005-0000-0000-0000DF380000}"/>
    <cellStyle name="Обычный 21 6" xfId="4150" xr:uid="{00000000-0005-0000-0000-0000E0380000}"/>
    <cellStyle name="Обычный 21 6 2" xfId="18162" xr:uid="{00000000-0005-0000-0000-0000E1380000}"/>
    <cellStyle name="Обычный 21 6 2 2" xfId="18351" xr:uid="{00000000-0005-0000-0000-0000E2380000}"/>
    <cellStyle name="Обычный 21 6 2 3" xfId="18352" xr:uid="{00000000-0005-0000-0000-0000E3380000}"/>
    <cellStyle name="Обычный 21 6 3" xfId="18353" xr:uid="{00000000-0005-0000-0000-0000E4380000}"/>
    <cellStyle name="Обычный 21 6 4" xfId="18354" xr:uid="{00000000-0005-0000-0000-0000E5380000}"/>
    <cellStyle name="Обычный 21 7" xfId="18163" xr:uid="{00000000-0005-0000-0000-0000E6380000}"/>
    <cellStyle name="Обычный 21 7 2" xfId="18355" xr:uid="{00000000-0005-0000-0000-0000E7380000}"/>
    <cellStyle name="Обычный 21 7 3" xfId="18356" xr:uid="{00000000-0005-0000-0000-0000E8380000}"/>
    <cellStyle name="Обычный 21 8" xfId="18357" xr:uid="{00000000-0005-0000-0000-0000E9380000}"/>
    <cellStyle name="Обычный 21 9" xfId="18358" xr:uid="{00000000-0005-0000-0000-0000EA380000}"/>
    <cellStyle name="Обычный 22" xfId="355" xr:uid="{00000000-0005-0000-0000-0000EB380000}"/>
    <cellStyle name="Обычный 222" xfId="4151" xr:uid="{00000000-0005-0000-0000-0000EC380000}"/>
    <cellStyle name="Обычный 222 2" xfId="4152" xr:uid="{00000000-0005-0000-0000-0000ED380000}"/>
    <cellStyle name="Обычный 222 2 2" xfId="4153" xr:uid="{00000000-0005-0000-0000-0000EE380000}"/>
    <cellStyle name="Обычный 222 2 2 2" xfId="18359" xr:uid="{00000000-0005-0000-0000-0000EF380000}"/>
    <cellStyle name="Обычный 222 2 2 3" xfId="18360" xr:uid="{00000000-0005-0000-0000-0000F0380000}"/>
    <cellStyle name="Обычный 222 2 3" xfId="18361" xr:uid="{00000000-0005-0000-0000-0000F1380000}"/>
    <cellStyle name="Обычный 222 2 4" xfId="18362" xr:uid="{00000000-0005-0000-0000-0000F2380000}"/>
    <cellStyle name="Обычный 222 3" xfId="4154" xr:uid="{00000000-0005-0000-0000-0000F3380000}"/>
    <cellStyle name="Обычный 222 3 2" xfId="18363" xr:uid="{00000000-0005-0000-0000-0000F4380000}"/>
    <cellStyle name="Обычный 222 3 3" xfId="18364" xr:uid="{00000000-0005-0000-0000-0000F5380000}"/>
    <cellStyle name="Обычный 222 4" xfId="4155" xr:uid="{00000000-0005-0000-0000-0000F6380000}"/>
    <cellStyle name="Обычный 222 4 2" xfId="18365" xr:uid="{00000000-0005-0000-0000-0000F7380000}"/>
    <cellStyle name="Обычный 222 4 3" xfId="18366" xr:uid="{00000000-0005-0000-0000-0000F8380000}"/>
    <cellStyle name="Обычный 222 5" xfId="4156" xr:uid="{00000000-0005-0000-0000-0000F9380000}"/>
    <cellStyle name="Обычный 222 5 2" xfId="18367" xr:uid="{00000000-0005-0000-0000-0000FA380000}"/>
    <cellStyle name="Обычный 222 5 3" xfId="18368" xr:uid="{00000000-0005-0000-0000-0000FB380000}"/>
    <cellStyle name="Обычный 222 6" xfId="4157" xr:uid="{00000000-0005-0000-0000-0000FC380000}"/>
    <cellStyle name="Обычный 222 6 2" xfId="18369" xr:uid="{00000000-0005-0000-0000-0000FD380000}"/>
    <cellStyle name="Обычный 222 6 3" xfId="18370" xr:uid="{00000000-0005-0000-0000-0000FE380000}"/>
    <cellStyle name="Обычный 222 7" xfId="18371" xr:uid="{00000000-0005-0000-0000-0000FF380000}"/>
    <cellStyle name="Обычный 222 8" xfId="18372" xr:uid="{00000000-0005-0000-0000-000000390000}"/>
    <cellStyle name="Обычный 223" xfId="4158" xr:uid="{00000000-0005-0000-0000-000001390000}"/>
    <cellStyle name="Обычный 223 2" xfId="4159" xr:uid="{00000000-0005-0000-0000-000002390000}"/>
    <cellStyle name="Обычный 223 2 2" xfId="4160" xr:uid="{00000000-0005-0000-0000-000003390000}"/>
    <cellStyle name="Обычный 223 2 2 2" xfId="18373" xr:uid="{00000000-0005-0000-0000-000004390000}"/>
    <cellStyle name="Обычный 223 2 2 3" xfId="18374" xr:uid="{00000000-0005-0000-0000-000005390000}"/>
    <cellStyle name="Обычный 223 2 3" xfId="18375" xr:uid="{00000000-0005-0000-0000-000006390000}"/>
    <cellStyle name="Обычный 223 2 4" xfId="18376" xr:uid="{00000000-0005-0000-0000-000007390000}"/>
    <cellStyle name="Обычный 223 3" xfId="4161" xr:uid="{00000000-0005-0000-0000-000008390000}"/>
    <cellStyle name="Обычный 223 3 2" xfId="18377" xr:uid="{00000000-0005-0000-0000-000009390000}"/>
    <cellStyle name="Обычный 223 3 3" xfId="18378" xr:uid="{00000000-0005-0000-0000-00000A390000}"/>
    <cellStyle name="Обычный 223 4" xfId="4162" xr:uid="{00000000-0005-0000-0000-00000B390000}"/>
    <cellStyle name="Обычный 223 4 2" xfId="18379" xr:uid="{00000000-0005-0000-0000-00000C390000}"/>
    <cellStyle name="Обычный 223 4 3" xfId="18380" xr:uid="{00000000-0005-0000-0000-00000D390000}"/>
    <cellStyle name="Обычный 223 5" xfId="4163" xr:uid="{00000000-0005-0000-0000-00000E390000}"/>
    <cellStyle name="Обычный 223 5 2" xfId="18381" xr:uid="{00000000-0005-0000-0000-00000F390000}"/>
    <cellStyle name="Обычный 223 5 3" xfId="18382" xr:uid="{00000000-0005-0000-0000-000010390000}"/>
    <cellStyle name="Обычный 223 6" xfId="4164" xr:uid="{00000000-0005-0000-0000-000011390000}"/>
    <cellStyle name="Обычный 223 6 2" xfId="18383" xr:uid="{00000000-0005-0000-0000-000012390000}"/>
    <cellStyle name="Обычный 223 6 3" xfId="18384" xr:uid="{00000000-0005-0000-0000-000013390000}"/>
    <cellStyle name="Обычный 223 7" xfId="18385" xr:uid="{00000000-0005-0000-0000-000014390000}"/>
    <cellStyle name="Обычный 223 8" xfId="18386" xr:uid="{00000000-0005-0000-0000-000015390000}"/>
    <cellStyle name="Обычный 23" xfId="4165" xr:uid="{00000000-0005-0000-0000-000016390000}"/>
    <cellStyle name="Обычный 23 2" xfId="4166" xr:uid="{00000000-0005-0000-0000-000017390000}"/>
    <cellStyle name="Обычный 23 2 2" xfId="4167" xr:uid="{00000000-0005-0000-0000-000018390000}"/>
    <cellStyle name="Обычный 23 2 2 2" xfId="18387" xr:uid="{00000000-0005-0000-0000-000019390000}"/>
    <cellStyle name="Обычный 23 2 2 3" xfId="18388" xr:uid="{00000000-0005-0000-0000-00001A390000}"/>
    <cellStyle name="Обычный 23 2 3" xfId="18389" xr:uid="{00000000-0005-0000-0000-00001B390000}"/>
    <cellStyle name="Обычный 23 2 4" xfId="18390" xr:uid="{00000000-0005-0000-0000-00001C390000}"/>
    <cellStyle name="Обычный 23 3" xfId="4168" xr:uid="{00000000-0005-0000-0000-00001D390000}"/>
    <cellStyle name="Обычный 23 3 2" xfId="18391" xr:uid="{00000000-0005-0000-0000-00001E390000}"/>
    <cellStyle name="Обычный 23 3 3" xfId="18392" xr:uid="{00000000-0005-0000-0000-00001F390000}"/>
    <cellStyle name="Обычный 23 4" xfId="4169" xr:uid="{00000000-0005-0000-0000-000020390000}"/>
    <cellStyle name="Обычный 23 4 2" xfId="18393" xr:uid="{00000000-0005-0000-0000-000021390000}"/>
    <cellStyle name="Обычный 23 4 3" xfId="18394" xr:uid="{00000000-0005-0000-0000-000022390000}"/>
    <cellStyle name="Обычный 23 5" xfId="4170" xr:uid="{00000000-0005-0000-0000-000023390000}"/>
    <cellStyle name="Обычный 23 5 2" xfId="18395" xr:uid="{00000000-0005-0000-0000-000024390000}"/>
    <cellStyle name="Обычный 23 5 3" xfId="18396" xr:uid="{00000000-0005-0000-0000-000025390000}"/>
    <cellStyle name="Обычный 23 6" xfId="4171" xr:uid="{00000000-0005-0000-0000-000026390000}"/>
    <cellStyle name="Обычный 23 6 2" xfId="18397" xr:uid="{00000000-0005-0000-0000-000027390000}"/>
    <cellStyle name="Обычный 23 6 3" xfId="18398" xr:uid="{00000000-0005-0000-0000-000028390000}"/>
    <cellStyle name="Обычный 23 7" xfId="18399" xr:uid="{00000000-0005-0000-0000-000029390000}"/>
    <cellStyle name="Обычный 23 8" xfId="18400" xr:uid="{00000000-0005-0000-0000-00002A390000}"/>
    <cellStyle name="Обычный 24" xfId="356" xr:uid="{00000000-0005-0000-0000-00002B390000}"/>
    <cellStyle name="Обычный 24 2" xfId="4172" xr:uid="{00000000-0005-0000-0000-00002C390000}"/>
    <cellStyle name="Обычный 24 2 2" xfId="4173" xr:uid="{00000000-0005-0000-0000-00002D390000}"/>
    <cellStyle name="Обычный 24 2 2 2" xfId="18401" xr:uid="{00000000-0005-0000-0000-00002E390000}"/>
    <cellStyle name="Обычный 24 2 2 3" xfId="18402" xr:uid="{00000000-0005-0000-0000-00002F390000}"/>
    <cellStyle name="Обычный 24 2 3" xfId="18403" xr:uid="{00000000-0005-0000-0000-000030390000}"/>
    <cellStyle name="Обычный 24 2 4" xfId="18404" xr:uid="{00000000-0005-0000-0000-000031390000}"/>
    <cellStyle name="Обычный 24 3" xfId="4174" xr:uid="{00000000-0005-0000-0000-000032390000}"/>
    <cellStyle name="Обычный 24 3 2" xfId="18405" xr:uid="{00000000-0005-0000-0000-000033390000}"/>
    <cellStyle name="Обычный 24 3 3" xfId="18406" xr:uid="{00000000-0005-0000-0000-000034390000}"/>
    <cellStyle name="Обычный 24 4" xfId="4175" xr:uid="{00000000-0005-0000-0000-000035390000}"/>
    <cellStyle name="Обычный 24 4 2" xfId="18407" xr:uid="{00000000-0005-0000-0000-000036390000}"/>
    <cellStyle name="Обычный 24 4 3" xfId="18408" xr:uid="{00000000-0005-0000-0000-000037390000}"/>
    <cellStyle name="Обычный 24 5" xfId="4176" xr:uid="{00000000-0005-0000-0000-000038390000}"/>
    <cellStyle name="Обычный 24 5 2" xfId="18409" xr:uid="{00000000-0005-0000-0000-000039390000}"/>
    <cellStyle name="Обычный 24 5 3" xfId="18410" xr:uid="{00000000-0005-0000-0000-00003A390000}"/>
    <cellStyle name="Обычный 24 6" xfId="4177" xr:uid="{00000000-0005-0000-0000-00003B390000}"/>
    <cellStyle name="Обычный 24 6 2" xfId="18411" xr:uid="{00000000-0005-0000-0000-00003C390000}"/>
    <cellStyle name="Обычный 24 6 3" xfId="18412" xr:uid="{00000000-0005-0000-0000-00003D390000}"/>
    <cellStyle name="Обычный 24 7" xfId="18413" xr:uid="{00000000-0005-0000-0000-00003E390000}"/>
    <cellStyle name="Обычный 24 8" xfId="18414" xr:uid="{00000000-0005-0000-0000-00003F390000}"/>
    <cellStyle name="Обычный 25" xfId="4178" xr:uid="{00000000-0005-0000-0000-000040390000}"/>
    <cellStyle name="Обычный 25 10" xfId="18415" xr:uid="{00000000-0005-0000-0000-000041390000}"/>
    <cellStyle name="Обычный 25 11" xfId="18416" xr:uid="{00000000-0005-0000-0000-000042390000}"/>
    <cellStyle name="Обычный 25 2" xfId="4179" xr:uid="{00000000-0005-0000-0000-000043390000}"/>
    <cellStyle name="Обычный 25 2 2" xfId="18417" xr:uid="{00000000-0005-0000-0000-000044390000}"/>
    <cellStyle name="Обычный 25 2 3" xfId="18418" xr:uid="{00000000-0005-0000-0000-000045390000}"/>
    <cellStyle name="Обычный 25 3" xfId="357" xr:uid="{00000000-0005-0000-0000-000046390000}"/>
    <cellStyle name="Обычный 25 3 2" xfId="4180" xr:uid="{00000000-0005-0000-0000-000047390000}"/>
    <cellStyle name="Обычный 25 3 2 2" xfId="18419" xr:uid="{00000000-0005-0000-0000-000048390000}"/>
    <cellStyle name="Обычный 25 3 2 3" xfId="18420" xr:uid="{00000000-0005-0000-0000-000049390000}"/>
    <cellStyle name="Обычный 25 3 3" xfId="4181" xr:uid="{00000000-0005-0000-0000-00004A390000}"/>
    <cellStyle name="Обычный 25 3 3 2" xfId="18421" xr:uid="{00000000-0005-0000-0000-00004B390000}"/>
    <cellStyle name="Обычный 25 3 3 3" xfId="18422" xr:uid="{00000000-0005-0000-0000-00004C390000}"/>
    <cellStyle name="Обычный 25 3 4" xfId="4182" xr:uid="{00000000-0005-0000-0000-00004D390000}"/>
    <cellStyle name="Обычный 25 3 4 2" xfId="18423" xr:uid="{00000000-0005-0000-0000-00004E390000}"/>
    <cellStyle name="Обычный 25 3 4 3" xfId="18424" xr:uid="{00000000-0005-0000-0000-00004F390000}"/>
    <cellStyle name="Обычный 25 3 5" xfId="4183" xr:uid="{00000000-0005-0000-0000-000050390000}"/>
    <cellStyle name="Обычный 25 3 5 2" xfId="18425" xr:uid="{00000000-0005-0000-0000-000051390000}"/>
    <cellStyle name="Обычный 25 3 5 3" xfId="18426" xr:uid="{00000000-0005-0000-0000-000052390000}"/>
    <cellStyle name="Обычный 25 3 6" xfId="4184" xr:uid="{00000000-0005-0000-0000-000053390000}"/>
    <cellStyle name="Обычный 25 3 6 2" xfId="18427" xr:uid="{00000000-0005-0000-0000-000054390000}"/>
    <cellStyle name="Обычный 25 3 6 3" xfId="18428" xr:uid="{00000000-0005-0000-0000-000055390000}"/>
    <cellStyle name="Обычный 25 3 7" xfId="4185" xr:uid="{00000000-0005-0000-0000-000056390000}"/>
    <cellStyle name="Обычный 25 3 8" xfId="612" xr:uid="{00000000-0005-0000-0000-000057390000}"/>
    <cellStyle name="Обычный 25 3 8 2" xfId="18164" xr:uid="{00000000-0005-0000-0000-000058390000}"/>
    <cellStyle name="Обычный 25 3 8 2 2" xfId="18429" xr:uid="{00000000-0005-0000-0000-000059390000}"/>
    <cellStyle name="Обычный 25 3 8 2 3" xfId="18430" xr:uid="{00000000-0005-0000-0000-00005A390000}"/>
    <cellStyle name="Обычный 25 3 8 3" xfId="18431" xr:uid="{00000000-0005-0000-0000-00005B390000}"/>
    <cellStyle name="Обычный 25 3 8 4" xfId="18432" xr:uid="{00000000-0005-0000-0000-00005C390000}"/>
    <cellStyle name="Обычный 25 3 9" xfId="18433" xr:uid="{00000000-0005-0000-0000-00005D390000}"/>
    <cellStyle name="Обычный 25 4" xfId="4186" xr:uid="{00000000-0005-0000-0000-00005E390000}"/>
    <cellStyle name="Обычный 25 4 2" xfId="18434" xr:uid="{00000000-0005-0000-0000-00005F390000}"/>
    <cellStyle name="Обычный 25 4 3" xfId="18435" xr:uid="{00000000-0005-0000-0000-000060390000}"/>
    <cellStyle name="Обычный 25 5" xfId="4187" xr:uid="{00000000-0005-0000-0000-000061390000}"/>
    <cellStyle name="Обычный 25 5 2" xfId="18436" xr:uid="{00000000-0005-0000-0000-000062390000}"/>
    <cellStyle name="Обычный 25 5 3" xfId="18437" xr:uid="{00000000-0005-0000-0000-000063390000}"/>
    <cellStyle name="Обычный 25 6" xfId="4188" xr:uid="{00000000-0005-0000-0000-000064390000}"/>
    <cellStyle name="Обычный 25 6 2" xfId="18438" xr:uid="{00000000-0005-0000-0000-000065390000}"/>
    <cellStyle name="Обычный 25 6 3" xfId="18439" xr:uid="{00000000-0005-0000-0000-000066390000}"/>
    <cellStyle name="Обычный 25 7" xfId="4189" xr:uid="{00000000-0005-0000-0000-000067390000}"/>
    <cellStyle name="Обычный 25 7 2" xfId="4190" xr:uid="{00000000-0005-0000-0000-000068390000}"/>
    <cellStyle name="Обычный 25 7 3" xfId="4191" xr:uid="{00000000-0005-0000-0000-000069390000}"/>
    <cellStyle name="Обычный 25 8" xfId="4192" xr:uid="{00000000-0005-0000-0000-00006A390000}"/>
    <cellStyle name="Обычный 25 8 2" xfId="18440" xr:uid="{00000000-0005-0000-0000-00006B390000}"/>
    <cellStyle name="Обычный 25 8 3" xfId="18441" xr:uid="{00000000-0005-0000-0000-00006C390000}"/>
    <cellStyle name="Обычный 25 9" xfId="4193" xr:uid="{00000000-0005-0000-0000-00006D390000}"/>
    <cellStyle name="Обычный 25 9 2" xfId="18165" xr:uid="{00000000-0005-0000-0000-00006E390000}"/>
    <cellStyle name="Обычный 25 9 2 2" xfId="18442" xr:uid="{00000000-0005-0000-0000-00006F390000}"/>
    <cellStyle name="Обычный 25 9 2 3" xfId="18443" xr:uid="{00000000-0005-0000-0000-000070390000}"/>
    <cellStyle name="Обычный 25 9 2 3 6 2 2" xfId="18542" xr:uid="{6EFD6A81-AF33-4D85-ACD3-3FFC34442A10}"/>
    <cellStyle name="Обычный 25 9 3" xfId="18444" xr:uid="{00000000-0005-0000-0000-000071390000}"/>
    <cellStyle name="Обычный 25 9 4" xfId="18445" xr:uid="{00000000-0005-0000-0000-000072390000}"/>
    <cellStyle name="Обычный 25 9 4 2" xfId="18532" xr:uid="{00000000-0005-0000-0000-000073390000}"/>
    <cellStyle name="Обычный 25 9 4 3" xfId="18533" xr:uid="{00000000-0005-0000-0000-000074390000}"/>
    <cellStyle name="Обычный 25 9 4 4 6 2 2" xfId="18541" xr:uid="{AB8165CB-286E-4C9F-9665-7017B07FA0DE}"/>
    <cellStyle name="Обычный 26" xfId="4194" xr:uid="{00000000-0005-0000-0000-000075390000}"/>
    <cellStyle name="Обычный 26 2" xfId="4195" xr:uid="{00000000-0005-0000-0000-000076390000}"/>
    <cellStyle name="Обычный 26 2 2" xfId="18446" xr:uid="{00000000-0005-0000-0000-000077390000}"/>
    <cellStyle name="Обычный 26 2 3" xfId="18447" xr:uid="{00000000-0005-0000-0000-000078390000}"/>
    <cellStyle name="Обычный 26 3" xfId="4196" xr:uid="{00000000-0005-0000-0000-000079390000}"/>
    <cellStyle name="Обычный 26 3 2" xfId="18448" xr:uid="{00000000-0005-0000-0000-00007A390000}"/>
    <cellStyle name="Обычный 26 3 3" xfId="18449" xr:uid="{00000000-0005-0000-0000-00007B390000}"/>
    <cellStyle name="Обычный 26 4" xfId="4197" xr:uid="{00000000-0005-0000-0000-00007C390000}"/>
    <cellStyle name="Обычный 26 4 2" xfId="18450" xr:uid="{00000000-0005-0000-0000-00007D390000}"/>
    <cellStyle name="Обычный 26 4 3" xfId="18451" xr:uid="{00000000-0005-0000-0000-00007E390000}"/>
    <cellStyle name="Обычный 26 5" xfId="4198" xr:uid="{00000000-0005-0000-0000-00007F390000}"/>
    <cellStyle name="Обычный 26 5 2" xfId="18452" xr:uid="{00000000-0005-0000-0000-000080390000}"/>
    <cellStyle name="Обычный 26 5 3" xfId="18453" xr:uid="{00000000-0005-0000-0000-000081390000}"/>
    <cellStyle name="Обычный 26 6" xfId="4199" xr:uid="{00000000-0005-0000-0000-000082390000}"/>
    <cellStyle name="Обычный 26 6 2" xfId="18454" xr:uid="{00000000-0005-0000-0000-000083390000}"/>
    <cellStyle name="Обычный 26 6 3" xfId="18455" xr:uid="{00000000-0005-0000-0000-000084390000}"/>
    <cellStyle name="Обычный 26 7" xfId="5340" xr:uid="{00000000-0005-0000-0000-000085390000}"/>
    <cellStyle name="Обычный 26 8" xfId="5170" xr:uid="{00000000-0005-0000-0000-000086390000}"/>
    <cellStyle name="Обычный 26 9" xfId="5268" xr:uid="{00000000-0005-0000-0000-000087390000}"/>
    <cellStyle name="Обычный 27" xfId="4200" xr:uid="{00000000-0005-0000-0000-000088390000}"/>
    <cellStyle name="Обычный 27 2" xfId="4201" xr:uid="{00000000-0005-0000-0000-000089390000}"/>
    <cellStyle name="Обычный 27 2 2" xfId="18456" xr:uid="{00000000-0005-0000-0000-00008A390000}"/>
    <cellStyle name="Обычный 27 2 3" xfId="18457" xr:uid="{00000000-0005-0000-0000-00008B390000}"/>
    <cellStyle name="Обычный 27 3" xfId="4202" xr:uid="{00000000-0005-0000-0000-00008C390000}"/>
    <cellStyle name="Обычный 27 3 2" xfId="18458" xr:uid="{00000000-0005-0000-0000-00008D390000}"/>
    <cellStyle name="Обычный 27 3 3" xfId="18459" xr:uid="{00000000-0005-0000-0000-00008E390000}"/>
    <cellStyle name="Обычный 27 4" xfId="4203" xr:uid="{00000000-0005-0000-0000-00008F390000}"/>
    <cellStyle name="Обычный 27 4 2" xfId="18460" xr:uid="{00000000-0005-0000-0000-000090390000}"/>
    <cellStyle name="Обычный 27 4 3" xfId="18461" xr:uid="{00000000-0005-0000-0000-000091390000}"/>
    <cellStyle name="Обычный 27 5" xfId="4204" xr:uid="{00000000-0005-0000-0000-000092390000}"/>
    <cellStyle name="Обычный 27 5 2" xfId="18462" xr:uid="{00000000-0005-0000-0000-000093390000}"/>
    <cellStyle name="Обычный 27 5 3" xfId="18463" xr:uid="{00000000-0005-0000-0000-000094390000}"/>
    <cellStyle name="Обычный 27 6" xfId="4205" xr:uid="{00000000-0005-0000-0000-000095390000}"/>
    <cellStyle name="Обычный 27 6 2" xfId="18464" xr:uid="{00000000-0005-0000-0000-000096390000}"/>
    <cellStyle name="Обычный 27 6 3" xfId="18465" xr:uid="{00000000-0005-0000-0000-000097390000}"/>
    <cellStyle name="Обычный 27 7" xfId="5341" xr:uid="{00000000-0005-0000-0000-000098390000}"/>
    <cellStyle name="Обычный 27 8" xfId="5169" xr:uid="{00000000-0005-0000-0000-000099390000}"/>
    <cellStyle name="Обычный 27 9" xfId="5269" xr:uid="{00000000-0005-0000-0000-00009A390000}"/>
    <cellStyle name="Обычный 28" xfId="4206" xr:uid="{00000000-0005-0000-0000-00009B390000}"/>
    <cellStyle name="Обычный 28 2" xfId="4207" xr:uid="{00000000-0005-0000-0000-00009C390000}"/>
    <cellStyle name="Обычный 28 2 2" xfId="18466" xr:uid="{00000000-0005-0000-0000-00009D390000}"/>
    <cellStyle name="Обычный 28 2 3" xfId="18467" xr:uid="{00000000-0005-0000-0000-00009E390000}"/>
    <cellStyle name="Обычный 28 3" xfId="4208" xr:uid="{00000000-0005-0000-0000-00009F390000}"/>
    <cellStyle name="Обычный 28 3 2" xfId="18468" xr:uid="{00000000-0005-0000-0000-0000A0390000}"/>
    <cellStyle name="Обычный 28 3 3" xfId="18469" xr:uid="{00000000-0005-0000-0000-0000A1390000}"/>
    <cellStyle name="Обычный 28 4" xfId="4209" xr:uid="{00000000-0005-0000-0000-0000A2390000}"/>
    <cellStyle name="Обычный 28 4 2" xfId="18470" xr:uid="{00000000-0005-0000-0000-0000A3390000}"/>
    <cellStyle name="Обычный 28 4 3" xfId="18471" xr:uid="{00000000-0005-0000-0000-0000A4390000}"/>
    <cellStyle name="Обычный 28 5" xfId="4210" xr:uid="{00000000-0005-0000-0000-0000A5390000}"/>
    <cellStyle name="Обычный 28 5 2" xfId="18472" xr:uid="{00000000-0005-0000-0000-0000A6390000}"/>
    <cellStyle name="Обычный 28 5 3" xfId="18473" xr:uid="{00000000-0005-0000-0000-0000A7390000}"/>
    <cellStyle name="Обычный 28 6" xfId="4211" xr:uid="{00000000-0005-0000-0000-0000A8390000}"/>
    <cellStyle name="Обычный 28 6 2" xfId="18474" xr:uid="{00000000-0005-0000-0000-0000A9390000}"/>
    <cellStyle name="Обычный 28 6 3" xfId="18475" xr:uid="{00000000-0005-0000-0000-0000AA390000}"/>
    <cellStyle name="Обычный 28 7" xfId="18476" xr:uid="{00000000-0005-0000-0000-0000AB390000}"/>
    <cellStyle name="Обычный 28 8" xfId="18477" xr:uid="{00000000-0005-0000-0000-0000AC390000}"/>
    <cellStyle name="Обычный 29" xfId="4212" xr:uid="{00000000-0005-0000-0000-0000AD390000}"/>
    <cellStyle name="Обычный 29 2" xfId="4213" xr:uid="{00000000-0005-0000-0000-0000AE390000}"/>
    <cellStyle name="Обычный 29 2 2" xfId="18478" xr:uid="{00000000-0005-0000-0000-0000AF390000}"/>
    <cellStyle name="Обычный 29 2 3" xfId="18479" xr:uid="{00000000-0005-0000-0000-0000B0390000}"/>
    <cellStyle name="Обычный 29 3" xfId="18166" xr:uid="{00000000-0005-0000-0000-0000B1390000}"/>
    <cellStyle name="Обычный 29 3 2" xfId="18167" xr:uid="{00000000-0005-0000-0000-0000B2390000}"/>
    <cellStyle name="Обычный 29 3 3" xfId="18480" xr:uid="{00000000-0005-0000-0000-0000B3390000}"/>
    <cellStyle name="Обычный 3" xfId="358" xr:uid="{00000000-0005-0000-0000-0000B4390000}"/>
    <cellStyle name="Обычный 3 10" xfId="359" xr:uid="{00000000-0005-0000-0000-0000B5390000}"/>
    <cellStyle name="Обычный 3 11" xfId="360" xr:uid="{00000000-0005-0000-0000-0000B6390000}"/>
    <cellStyle name="Обычный 3 12" xfId="361" xr:uid="{00000000-0005-0000-0000-0000B7390000}"/>
    <cellStyle name="Обычный 3 13" xfId="362" xr:uid="{00000000-0005-0000-0000-0000B8390000}"/>
    <cellStyle name="Обычный 3 14" xfId="363" xr:uid="{00000000-0005-0000-0000-0000B9390000}"/>
    <cellStyle name="Обычный 3 15" xfId="364" xr:uid="{00000000-0005-0000-0000-0000BA390000}"/>
    <cellStyle name="Обычный 3 16" xfId="365" xr:uid="{00000000-0005-0000-0000-0000BB390000}"/>
    <cellStyle name="Обычный 3 17" xfId="366" xr:uid="{00000000-0005-0000-0000-0000BC390000}"/>
    <cellStyle name="Обычный 3 18" xfId="367" xr:uid="{00000000-0005-0000-0000-0000BD390000}"/>
    <cellStyle name="Обычный 3 19" xfId="368" xr:uid="{00000000-0005-0000-0000-0000BE390000}"/>
    <cellStyle name="Обычный 3 2" xfId="369" xr:uid="{00000000-0005-0000-0000-0000BF390000}"/>
    <cellStyle name="Обычный 3 2 2" xfId="4214" xr:uid="{00000000-0005-0000-0000-0000C0390000}"/>
    <cellStyle name="Обычный 3 2 3" xfId="18481" xr:uid="{00000000-0005-0000-0000-0000C1390000}"/>
    <cellStyle name="Обычный 3 20" xfId="370" xr:uid="{00000000-0005-0000-0000-0000C2390000}"/>
    <cellStyle name="Обычный 3 21" xfId="371" xr:uid="{00000000-0005-0000-0000-0000C3390000}"/>
    <cellStyle name="Обычный 3 22" xfId="372" xr:uid="{00000000-0005-0000-0000-0000C4390000}"/>
    <cellStyle name="Обычный 3 23" xfId="4215" xr:uid="{00000000-0005-0000-0000-0000C5390000}"/>
    <cellStyle name="Обычный 3 3" xfId="373" xr:uid="{00000000-0005-0000-0000-0000C6390000}"/>
    <cellStyle name="Обычный 3 3 2" xfId="18482" xr:uid="{00000000-0005-0000-0000-0000C7390000}"/>
    <cellStyle name="Обычный 3 3 3" xfId="18483" xr:uid="{00000000-0005-0000-0000-0000C8390000}"/>
    <cellStyle name="Обычный 3 4" xfId="374" xr:uid="{00000000-0005-0000-0000-0000C9390000}"/>
    <cellStyle name="Обычный 3 5" xfId="375" xr:uid="{00000000-0005-0000-0000-0000CA390000}"/>
    <cellStyle name="Обычный 3 6" xfId="376" xr:uid="{00000000-0005-0000-0000-0000CB390000}"/>
    <cellStyle name="Обычный 3 7" xfId="377" xr:uid="{00000000-0005-0000-0000-0000CC390000}"/>
    <cellStyle name="Обычный 3 8" xfId="378" xr:uid="{00000000-0005-0000-0000-0000CD390000}"/>
    <cellStyle name="Обычный 3 9" xfId="379" xr:uid="{00000000-0005-0000-0000-0000CE390000}"/>
    <cellStyle name="Обычный 30" xfId="4216" xr:uid="{00000000-0005-0000-0000-0000CF390000}"/>
    <cellStyle name="Обычный 30 2" xfId="5346" xr:uid="{00000000-0005-0000-0000-0000D0390000}"/>
    <cellStyle name="Обычный 30 3" xfId="5168" xr:uid="{00000000-0005-0000-0000-0000D1390000}"/>
    <cellStyle name="Обычный 30 4" xfId="5270" xr:uid="{00000000-0005-0000-0000-0000D2390000}"/>
    <cellStyle name="Обычный 31" xfId="4217" xr:uid="{00000000-0005-0000-0000-0000D3390000}"/>
    <cellStyle name="Обычный 31 2" xfId="9695" xr:uid="{00000000-0005-0000-0000-0000D4390000}"/>
    <cellStyle name="Обычный 31 2 2" xfId="18484" xr:uid="{00000000-0005-0000-0000-0000D5390000}"/>
    <cellStyle name="Обычный 31 2 3" xfId="18485" xr:uid="{00000000-0005-0000-0000-0000D6390000}"/>
    <cellStyle name="Обычный 31 3" xfId="13935" xr:uid="{00000000-0005-0000-0000-0000D7390000}"/>
    <cellStyle name="Обычный 31 3 2" xfId="18486" xr:uid="{00000000-0005-0000-0000-0000D8390000}"/>
    <cellStyle name="Обычный 31 3 3" xfId="18487" xr:uid="{00000000-0005-0000-0000-0000D9390000}"/>
    <cellStyle name="Обычный 31 4" xfId="18156" xr:uid="{00000000-0005-0000-0000-0000DA390000}"/>
    <cellStyle name="Обычный 31 4 2" xfId="18488" xr:uid="{00000000-0005-0000-0000-0000DB390000}"/>
    <cellStyle name="Обычный 31 4 3" xfId="18489" xr:uid="{00000000-0005-0000-0000-0000DC390000}"/>
    <cellStyle name="Обычный 31 4 3 2" xfId="18534" xr:uid="{00000000-0005-0000-0000-0000DD390000}"/>
    <cellStyle name="Обычный 31 4 3 3" xfId="18535" xr:uid="{00000000-0005-0000-0000-0000DE390000}"/>
    <cellStyle name="Обычный 31 4 4" xfId="18536" xr:uid="{00000000-0005-0000-0000-0000DF390000}"/>
    <cellStyle name="Обычный 31 5" xfId="18490" xr:uid="{00000000-0005-0000-0000-0000E0390000}"/>
    <cellStyle name="Обычный 31 6" xfId="18491" xr:uid="{00000000-0005-0000-0000-0000E1390000}"/>
    <cellStyle name="Обычный 32" xfId="18492" xr:uid="{00000000-0005-0000-0000-0000E2390000}"/>
    <cellStyle name="Обычный 32 2" xfId="18493" xr:uid="{00000000-0005-0000-0000-0000E3390000}"/>
    <cellStyle name="Обычный 32 3" xfId="18494" xr:uid="{00000000-0005-0000-0000-0000E4390000}"/>
    <cellStyle name="Обычный 33" xfId="18540" xr:uid="{403539CB-CB42-4FB0-BFAE-E9B4B91EFA5B}"/>
    <cellStyle name="Обычный 4" xfId="380" xr:uid="{00000000-0005-0000-0000-0000E5390000}"/>
    <cellStyle name="Обычный 4 2" xfId="381" xr:uid="{00000000-0005-0000-0000-0000E6390000}"/>
    <cellStyle name="Обычный 4 2 2" xfId="18495" xr:uid="{00000000-0005-0000-0000-0000E7390000}"/>
    <cellStyle name="Обычный 4 2 3" xfId="18496" xr:uid="{00000000-0005-0000-0000-0000E8390000}"/>
    <cellStyle name="Обычный 4 3" xfId="382" xr:uid="{00000000-0005-0000-0000-0000E9390000}"/>
    <cellStyle name="Обычный 4 3 2" xfId="18497" xr:uid="{00000000-0005-0000-0000-0000EA390000}"/>
    <cellStyle name="Обычный 4 3 3" xfId="18498" xr:uid="{00000000-0005-0000-0000-0000EB390000}"/>
    <cellStyle name="Обычный 5" xfId="383" xr:uid="{00000000-0005-0000-0000-0000EC390000}"/>
    <cellStyle name="Обычный 5 10" xfId="384" xr:uid="{00000000-0005-0000-0000-0000ED390000}"/>
    <cellStyle name="Обычный 5 11" xfId="385" xr:uid="{00000000-0005-0000-0000-0000EE390000}"/>
    <cellStyle name="Обычный 5 12" xfId="386" xr:uid="{00000000-0005-0000-0000-0000EF390000}"/>
    <cellStyle name="Обычный 5 13" xfId="387" xr:uid="{00000000-0005-0000-0000-0000F0390000}"/>
    <cellStyle name="Обычный 5 14" xfId="388" xr:uid="{00000000-0005-0000-0000-0000F1390000}"/>
    <cellStyle name="Обычный 5 15" xfId="389" xr:uid="{00000000-0005-0000-0000-0000F2390000}"/>
    <cellStyle name="Обычный 5 16" xfId="390" xr:uid="{00000000-0005-0000-0000-0000F3390000}"/>
    <cellStyle name="Обычный 5 17" xfId="391" xr:uid="{00000000-0005-0000-0000-0000F4390000}"/>
    <cellStyle name="Обычный 5 18" xfId="392" xr:uid="{00000000-0005-0000-0000-0000F5390000}"/>
    <cellStyle name="Обычный 5 19" xfId="393" xr:uid="{00000000-0005-0000-0000-0000F6390000}"/>
    <cellStyle name="Обычный 5 2" xfId="394" xr:uid="{00000000-0005-0000-0000-0000F7390000}"/>
    <cellStyle name="Обычный 5 2 2" xfId="18499" xr:uid="{00000000-0005-0000-0000-0000F8390000}"/>
    <cellStyle name="Обычный 5 2 3" xfId="18500" xr:uid="{00000000-0005-0000-0000-0000F9390000}"/>
    <cellStyle name="Обычный 5 20" xfId="395" xr:uid="{00000000-0005-0000-0000-0000FA390000}"/>
    <cellStyle name="Обычный 5 21" xfId="396" xr:uid="{00000000-0005-0000-0000-0000FB390000}"/>
    <cellStyle name="Обычный 5 22" xfId="5343" xr:uid="{00000000-0005-0000-0000-0000FC390000}"/>
    <cellStyle name="Обычный 5 3" xfId="397" xr:uid="{00000000-0005-0000-0000-0000FD390000}"/>
    <cellStyle name="Обычный 5 4" xfId="398" xr:uid="{00000000-0005-0000-0000-0000FE390000}"/>
    <cellStyle name="Обычный 5 5" xfId="399" xr:uid="{00000000-0005-0000-0000-0000FF390000}"/>
    <cellStyle name="Обычный 5 6" xfId="400" xr:uid="{00000000-0005-0000-0000-0000003A0000}"/>
    <cellStyle name="Обычный 5 7" xfId="401" xr:uid="{00000000-0005-0000-0000-0000013A0000}"/>
    <cellStyle name="Обычный 5 8" xfId="402" xr:uid="{00000000-0005-0000-0000-0000023A0000}"/>
    <cellStyle name="Обычный 5 9" xfId="403" xr:uid="{00000000-0005-0000-0000-0000033A0000}"/>
    <cellStyle name="Обычный 6" xfId="404" xr:uid="{00000000-0005-0000-0000-0000043A0000}"/>
    <cellStyle name="Обычный 7" xfId="405" xr:uid="{00000000-0005-0000-0000-0000053A0000}"/>
    <cellStyle name="Обычный 72" xfId="4218" xr:uid="{00000000-0005-0000-0000-0000063A0000}"/>
    <cellStyle name="Обычный 72 2" xfId="4219" xr:uid="{00000000-0005-0000-0000-0000073A0000}"/>
    <cellStyle name="Обычный 72 2 2" xfId="4220" xr:uid="{00000000-0005-0000-0000-0000083A0000}"/>
    <cellStyle name="Обычный 72 2 2 2" xfId="18501" xr:uid="{00000000-0005-0000-0000-0000093A0000}"/>
    <cellStyle name="Обычный 72 2 2 3" xfId="18502" xr:uid="{00000000-0005-0000-0000-00000A3A0000}"/>
    <cellStyle name="Обычный 72 2 3" xfId="18503" xr:uid="{00000000-0005-0000-0000-00000B3A0000}"/>
    <cellStyle name="Обычный 72 2 4" xfId="18504" xr:uid="{00000000-0005-0000-0000-00000C3A0000}"/>
    <cellStyle name="Обычный 72 3" xfId="4221" xr:uid="{00000000-0005-0000-0000-00000D3A0000}"/>
    <cellStyle name="Обычный 72 3 2" xfId="18505" xr:uid="{00000000-0005-0000-0000-00000E3A0000}"/>
    <cellStyle name="Обычный 72 3 3" xfId="18506" xr:uid="{00000000-0005-0000-0000-00000F3A0000}"/>
    <cellStyle name="Обычный 72 4" xfId="4222" xr:uid="{00000000-0005-0000-0000-0000103A0000}"/>
    <cellStyle name="Обычный 72 4 2" xfId="18507" xr:uid="{00000000-0005-0000-0000-0000113A0000}"/>
    <cellStyle name="Обычный 72 4 3" xfId="18508" xr:uid="{00000000-0005-0000-0000-0000123A0000}"/>
    <cellStyle name="Обычный 72 5" xfId="4223" xr:uid="{00000000-0005-0000-0000-0000133A0000}"/>
    <cellStyle name="Обычный 72 5 2" xfId="18509" xr:uid="{00000000-0005-0000-0000-0000143A0000}"/>
    <cellStyle name="Обычный 72 5 3" xfId="18510" xr:uid="{00000000-0005-0000-0000-0000153A0000}"/>
    <cellStyle name="Обычный 72 6" xfId="4224" xr:uid="{00000000-0005-0000-0000-0000163A0000}"/>
    <cellStyle name="Обычный 72 6 2" xfId="18511" xr:uid="{00000000-0005-0000-0000-0000173A0000}"/>
    <cellStyle name="Обычный 72 6 3" xfId="18512" xr:uid="{00000000-0005-0000-0000-0000183A0000}"/>
    <cellStyle name="Обычный 72 7" xfId="18513" xr:uid="{00000000-0005-0000-0000-0000193A0000}"/>
    <cellStyle name="Обычный 72 8" xfId="18514" xr:uid="{00000000-0005-0000-0000-00001A3A0000}"/>
    <cellStyle name="Обычный 8" xfId="406" xr:uid="{00000000-0005-0000-0000-00001B3A0000}"/>
    <cellStyle name="Обычный 9" xfId="407" xr:uid="{00000000-0005-0000-0000-00001C3A0000}"/>
    <cellStyle name="Обычный_291 земля" xfId="18539" xr:uid="{89DF389D-D608-4CA2-AD7E-82494E2CE0CD}"/>
    <cellStyle name="Обычный_291 имущ" xfId="18538" xr:uid="{2757C095-8311-402F-8AF2-F42E63C322E1}"/>
    <cellStyle name="Плохой 10" xfId="408" xr:uid="{00000000-0005-0000-0000-00001D3A0000}"/>
    <cellStyle name="Плохой 2" xfId="409" xr:uid="{00000000-0005-0000-0000-00001E3A0000}"/>
    <cellStyle name="Плохой 3" xfId="410" xr:uid="{00000000-0005-0000-0000-00001F3A0000}"/>
    <cellStyle name="Плохой 4" xfId="411" xr:uid="{00000000-0005-0000-0000-0000203A0000}"/>
    <cellStyle name="Плохой 5" xfId="412" xr:uid="{00000000-0005-0000-0000-0000213A0000}"/>
    <cellStyle name="Плохой 6" xfId="413" xr:uid="{00000000-0005-0000-0000-0000223A0000}"/>
    <cellStyle name="Плохой 7" xfId="414" xr:uid="{00000000-0005-0000-0000-0000233A0000}"/>
    <cellStyle name="Плохой 8" xfId="415" xr:uid="{00000000-0005-0000-0000-0000243A0000}"/>
    <cellStyle name="Плохой 9" xfId="416" xr:uid="{00000000-0005-0000-0000-0000253A0000}"/>
    <cellStyle name="Пояснение" xfId="417" builtinId="53"/>
    <cellStyle name="Пояснение 10" xfId="418" xr:uid="{00000000-0005-0000-0000-0000273A0000}"/>
    <cellStyle name="Пояснение 11" xfId="5327" xr:uid="{00000000-0005-0000-0000-0000283A0000}"/>
    <cellStyle name="Пояснение 2" xfId="419" xr:uid="{00000000-0005-0000-0000-0000293A0000}"/>
    <cellStyle name="Пояснение 3" xfId="420" xr:uid="{00000000-0005-0000-0000-00002A3A0000}"/>
    <cellStyle name="Пояснение 4" xfId="421" xr:uid="{00000000-0005-0000-0000-00002B3A0000}"/>
    <cellStyle name="Пояснение 5" xfId="422" xr:uid="{00000000-0005-0000-0000-00002C3A0000}"/>
    <cellStyle name="Пояснение 6" xfId="423" xr:uid="{00000000-0005-0000-0000-00002D3A0000}"/>
    <cellStyle name="Пояснение 7" xfId="424" xr:uid="{00000000-0005-0000-0000-00002E3A0000}"/>
    <cellStyle name="Пояснение 8" xfId="425" xr:uid="{00000000-0005-0000-0000-00002F3A0000}"/>
    <cellStyle name="Пояснение 9" xfId="426" xr:uid="{00000000-0005-0000-0000-0000303A0000}"/>
    <cellStyle name="Примечание 10" xfId="427" xr:uid="{00000000-0005-0000-0000-0000313A0000}"/>
    <cellStyle name="Примечание 10 10" xfId="4225" xr:uid="{00000000-0005-0000-0000-0000323A0000}"/>
    <cellStyle name="Примечание 10 10 2" xfId="8838" xr:uid="{00000000-0005-0000-0000-0000333A0000}"/>
    <cellStyle name="Примечание 10 10 3" xfId="13088" xr:uid="{00000000-0005-0000-0000-0000343A0000}"/>
    <cellStyle name="Примечание 10 10 4" xfId="17309" xr:uid="{00000000-0005-0000-0000-0000353A0000}"/>
    <cellStyle name="Примечание 10 11" xfId="4226" xr:uid="{00000000-0005-0000-0000-0000363A0000}"/>
    <cellStyle name="Примечание 10 11 2" xfId="8839" xr:uid="{00000000-0005-0000-0000-0000373A0000}"/>
    <cellStyle name="Примечание 10 11 3" xfId="13089" xr:uid="{00000000-0005-0000-0000-0000383A0000}"/>
    <cellStyle name="Примечание 10 11 4" xfId="17310" xr:uid="{00000000-0005-0000-0000-0000393A0000}"/>
    <cellStyle name="Примечание 10 12" xfId="4227" xr:uid="{00000000-0005-0000-0000-00003A3A0000}"/>
    <cellStyle name="Примечание 10 12 2" xfId="8840" xr:uid="{00000000-0005-0000-0000-00003B3A0000}"/>
    <cellStyle name="Примечание 10 12 3" xfId="13090" xr:uid="{00000000-0005-0000-0000-00003C3A0000}"/>
    <cellStyle name="Примечание 10 12 4" xfId="17311" xr:uid="{00000000-0005-0000-0000-00003D3A0000}"/>
    <cellStyle name="Примечание 10 13" xfId="4228" xr:uid="{00000000-0005-0000-0000-00003E3A0000}"/>
    <cellStyle name="Примечание 10 13 2" xfId="8841" xr:uid="{00000000-0005-0000-0000-00003F3A0000}"/>
    <cellStyle name="Примечание 10 13 3" xfId="13091" xr:uid="{00000000-0005-0000-0000-0000403A0000}"/>
    <cellStyle name="Примечание 10 13 4" xfId="17312" xr:uid="{00000000-0005-0000-0000-0000413A0000}"/>
    <cellStyle name="Примечание 10 14" xfId="4229" xr:uid="{00000000-0005-0000-0000-0000423A0000}"/>
    <cellStyle name="Примечание 10 14 2" xfId="8842" xr:uid="{00000000-0005-0000-0000-0000433A0000}"/>
    <cellStyle name="Примечание 10 14 3" xfId="13092" xr:uid="{00000000-0005-0000-0000-0000443A0000}"/>
    <cellStyle name="Примечание 10 14 4" xfId="17313" xr:uid="{00000000-0005-0000-0000-0000453A0000}"/>
    <cellStyle name="Примечание 10 15" xfId="4230" xr:uid="{00000000-0005-0000-0000-0000463A0000}"/>
    <cellStyle name="Примечание 10 15 2" xfId="8843" xr:uid="{00000000-0005-0000-0000-0000473A0000}"/>
    <cellStyle name="Примечание 10 15 3" xfId="13093" xr:uid="{00000000-0005-0000-0000-0000483A0000}"/>
    <cellStyle name="Примечание 10 15 4" xfId="17314" xr:uid="{00000000-0005-0000-0000-0000493A0000}"/>
    <cellStyle name="Примечание 10 16" xfId="4231" xr:uid="{00000000-0005-0000-0000-00004A3A0000}"/>
    <cellStyle name="Примечание 10 16 2" xfId="8844" xr:uid="{00000000-0005-0000-0000-00004B3A0000}"/>
    <cellStyle name="Примечание 10 16 3" xfId="13094" xr:uid="{00000000-0005-0000-0000-00004C3A0000}"/>
    <cellStyle name="Примечание 10 16 4" xfId="17315" xr:uid="{00000000-0005-0000-0000-00004D3A0000}"/>
    <cellStyle name="Примечание 10 17" xfId="4232" xr:uid="{00000000-0005-0000-0000-00004E3A0000}"/>
    <cellStyle name="Примечание 10 17 2" xfId="8845" xr:uid="{00000000-0005-0000-0000-00004F3A0000}"/>
    <cellStyle name="Примечание 10 17 3" xfId="13095" xr:uid="{00000000-0005-0000-0000-0000503A0000}"/>
    <cellStyle name="Примечание 10 17 4" xfId="17316" xr:uid="{00000000-0005-0000-0000-0000513A0000}"/>
    <cellStyle name="Примечание 10 18" xfId="4233" xr:uid="{00000000-0005-0000-0000-0000523A0000}"/>
    <cellStyle name="Примечание 10 18 2" xfId="8846" xr:uid="{00000000-0005-0000-0000-0000533A0000}"/>
    <cellStyle name="Примечание 10 18 3" xfId="13096" xr:uid="{00000000-0005-0000-0000-0000543A0000}"/>
    <cellStyle name="Примечание 10 18 4" xfId="17317" xr:uid="{00000000-0005-0000-0000-0000553A0000}"/>
    <cellStyle name="Примечание 10 19" xfId="4234" xr:uid="{00000000-0005-0000-0000-0000563A0000}"/>
    <cellStyle name="Примечание 10 19 2" xfId="8847" xr:uid="{00000000-0005-0000-0000-0000573A0000}"/>
    <cellStyle name="Примечание 10 19 3" xfId="13097" xr:uid="{00000000-0005-0000-0000-0000583A0000}"/>
    <cellStyle name="Примечание 10 19 4" xfId="17318" xr:uid="{00000000-0005-0000-0000-0000593A0000}"/>
    <cellStyle name="Примечание 10 2" xfId="4235" xr:uid="{00000000-0005-0000-0000-00005A3A0000}"/>
    <cellStyle name="Примечание 10 2 2" xfId="4236" xr:uid="{00000000-0005-0000-0000-00005B3A0000}"/>
    <cellStyle name="Примечание 10 2 2 2" xfId="8849" xr:uid="{00000000-0005-0000-0000-00005C3A0000}"/>
    <cellStyle name="Примечание 10 2 2 3" xfId="13099" xr:uid="{00000000-0005-0000-0000-00005D3A0000}"/>
    <cellStyle name="Примечание 10 2 2 4" xfId="17320" xr:uid="{00000000-0005-0000-0000-00005E3A0000}"/>
    <cellStyle name="Примечание 10 2 3" xfId="4237" xr:uid="{00000000-0005-0000-0000-00005F3A0000}"/>
    <cellStyle name="Примечание 10 2 3 2" xfId="8850" xr:uid="{00000000-0005-0000-0000-0000603A0000}"/>
    <cellStyle name="Примечание 10 2 3 3" xfId="13100" xr:uid="{00000000-0005-0000-0000-0000613A0000}"/>
    <cellStyle name="Примечание 10 2 3 4" xfId="17321" xr:uid="{00000000-0005-0000-0000-0000623A0000}"/>
    <cellStyle name="Примечание 10 2 4" xfId="8848" xr:uid="{00000000-0005-0000-0000-0000633A0000}"/>
    <cellStyle name="Примечание 10 2 5" xfId="13098" xr:uid="{00000000-0005-0000-0000-0000643A0000}"/>
    <cellStyle name="Примечание 10 2 6" xfId="17319" xr:uid="{00000000-0005-0000-0000-0000653A0000}"/>
    <cellStyle name="Примечание 10 20" xfId="4238" xr:uid="{00000000-0005-0000-0000-0000663A0000}"/>
    <cellStyle name="Примечание 10 20 2" xfId="8851" xr:uid="{00000000-0005-0000-0000-0000673A0000}"/>
    <cellStyle name="Примечание 10 20 3" xfId="13101" xr:uid="{00000000-0005-0000-0000-0000683A0000}"/>
    <cellStyle name="Примечание 10 20 4" xfId="17322" xr:uid="{00000000-0005-0000-0000-0000693A0000}"/>
    <cellStyle name="Примечание 10 21" xfId="4239" xr:uid="{00000000-0005-0000-0000-00006A3A0000}"/>
    <cellStyle name="Примечание 10 21 2" xfId="8852" xr:uid="{00000000-0005-0000-0000-00006B3A0000}"/>
    <cellStyle name="Примечание 10 21 3" xfId="13102" xr:uid="{00000000-0005-0000-0000-00006C3A0000}"/>
    <cellStyle name="Примечание 10 21 4" xfId="17323" xr:uid="{00000000-0005-0000-0000-00006D3A0000}"/>
    <cellStyle name="Примечание 10 22" xfId="4240" xr:uid="{00000000-0005-0000-0000-00006E3A0000}"/>
    <cellStyle name="Примечание 10 22 2" xfId="8853" xr:uid="{00000000-0005-0000-0000-00006F3A0000}"/>
    <cellStyle name="Примечание 10 22 3" xfId="13103" xr:uid="{00000000-0005-0000-0000-0000703A0000}"/>
    <cellStyle name="Примечание 10 22 4" xfId="17324" xr:uid="{00000000-0005-0000-0000-0000713A0000}"/>
    <cellStyle name="Примечание 10 23" xfId="4241" xr:uid="{00000000-0005-0000-0000-0000723A0000}"/>
    <cellStyle name="Примечание 10 23 2" xfId="8854" xr:uid="{00000000-0005-0000-0000-0000733A0000}"/>
    <cellStyle name="Примечание 10 23 3" xfId="13104" xr:uid="{00000000-0005-0000-0000-0000743A0000}"/>
    <cellStyle name="Примечание 10 23 4" xfId="17325" xr:uid="{00000000-0005-0000-0000-0000753A0000}"/>
    <cellStyle name="Примечание 10 24" xfId="4242" xr:uid="{00000000-0005-0000-0000-0000763A0000}"/>
    <cellStyle name="Примечание 10 24 2" xfId="8855" xr:uid="{00000000-0005-0000-0000-0000773A0000}"/>
    <cellStyle name="Примечание 10 24 3" xfId="13105" xr:uid="{00000000-0005-0000-0000-0000783A0000}"/>
    <cellStyle name="Примечание 10 24 4" xfId="17326" xr:uid="{00000000-0005-0000-0000-0000793A0000}"/>
    <cellStyle name="Примечание 10 25" xfId="4243" xr:uid="{00000000-0005-0000-0000-00007A3A0000}"/>
    <cellStyle name="Примечание 10 25 2" xfId="8856" xr:uid="{00000000-0005-0000-0000-00007B3A0000}"/>
    <cellStyle name="Примечание 10 25 3" xfId="13106" xr:uid="{00000000-0005-0000-0000-00007C3A0000}"/>
    <cellStyle name="Примечание 10 25 4" xfId="17327" xr:uid="{00000000-0005-0000-0000-00007D3A0000}"/>
    <cellStyle name="Примечание 10 26" xfId="4244" xr:uid="{00000000-0005-0000-0000-00007E3A0000}"/>
    <cellStyle name="Примечание 10 26 2" xfId="8857" xr:uid="{00000000-0005-0000-0000-00007F3A0000}"/>
    <cellStyle name="Примечание 10 26 3" xfId="13107" xr:uid="{00000000-0005-0000-0000-0000803A0000}"/>
    <cellStyle name="Примечание 10 26 4" xfId="17328" xr:uid="{00000000-0005-0000-0000-0000813A0000}"/>
    <cellStyle name="Примечание 10 27" xfId="4245" xr:uid="{00000000-0005-0000-0000-0000823A0000}"/>
    <cellStyle name="Примечание 10 27 2" xfId="8858" xr:uid="{00000000-0005-0000-0000-0000833A0000}"/>
    <cellStyle name="Примечание 10 27 3" xfId="13108" xr:uid="{00000000-0005-0000-0000-0000843A0000}"/>
    <cellStyle name="Примечание 10 27 4" xfId="17329" xr:uid="{00000000-0005-0000-0000-0000853A0000}"/>
    <cellStyle name="Примечание 10 28" xfId="4246" xr:uid="{00000000-0005-0000-0000-0000863A0000}"/>
    <cellStyle name="Примечание 10 28 2" xfId="8859" xr:uid="{00000000-0005-0000-0000-0000873A0000}"/>
    <cellStyle name="Примечание 10 28 3" xfId="13109" xr:uid="{00000000-0005-0000-0000-0000883A0000}"/>
    <cellStyle name="Примечание 10 28 4" xfId="17330" xr:uid="{00000000-0005-0000-0000-0000893A0000}"/>
    <cellStyle name="Примечание 10 29" xfId="4247" xr:uid="{00000000-0005-0000-0000-00008A3A0000}"/>
    <cellStyle name="Примечание 10 29 2" xfId="8860" xr:uid="{00000000-0005-0000-0000-00008B3A0000}"/>
    <cellStyle name="Примечание 10 29 3" xfId="13110" xr:uid="{00000000-0005-0000-0000-00008C3A0000}"/>
    <cellStyle name="Примечание 10 29 4" xfId="17331" xr:uid="{00000000-0005-0000-0000-00008D3A0000}"/>
    <cellStyle name="Примечание 10 3" xfId="4248" xr:uid="{00000000-0005-0000-0000-00008E3A0000}"/>
    <cellStyle name="Примечание 10 3 2" xfId="4249" xr:uid="{00000000-0005-0000-0000-00008F3A0000}"/>
    <cellStyle name="Примечание 10 3 2 2" xfId="8862" xr:uid="{00000000-0005-0000-0000-0000903A0000}"/>
    <cellStyle name="Примечание 10 3 2 3" xfId="13112" xr:uid="{00000000-0005-0000-0000-0000913A0000}"/>
    <cellStyle name="Примечание 10 3 2 4" xfId="17333" xr:uid="{00000000-0005-0000-0000-0000923A0000}"/>
    <cellStyle name="Примечание 10 3 3" xfId="4250" xr:uid="{00000000-0005-0000-0000-0000933A0000}"/>
    <cellStyle name="Примечание 10 3 3 2" xfId="8863" xr:uid="{00000000-0005-0000-0000-0000943A0000}"/>
    <cellStyle name="Примечание 10 3 3 3" xfId="13113" xr:uid="{00000000-0005-0000-0000-0000953A0000}"/>
    <cellStyle name="Примечание 10 3 3 4" xfId="17334" xr:uid="{00000000-0005-0000-0000-0000963A0000}"/>
    <cellStyle name="Примечание 10 3 4" xfId="8861" xr:uid="{00000000-0005-0000-0000-0000973A0000}"/>
    <cellStyle name="Примечание 10 3 5" xfId="13111" xr:uid="{00000000-0005-0000-0000-0000983A0000}"/>
    <cellStyle name="Примечание 10 3 6" xfId="17332" xr:uid="{00000000-0005-0000-0000-0000993A0000}"/>
    <cellStyle name="Примечание 10 30" xfId="4251" xr:uid="{00000000-0005-0000-0000-00009A3A0000}"/>
    <cellStyle name="Примечание 10 30 2" xfId="8864" xr:uid="{00000000-0005-0000-0000-00009B3A0000}"/>
    <cellStyle name="Примечание 10 30 3" xfId="13114" xr:uid="{00000000-0005-0000-0000-00009C3A0000}"/>
    <cellStyle name="Примечание 10 30 4" xfId="17335" xr:uid="{00000000-0005-0000-0000-00009D3A0000}"/>
    <cellStyle name="Примечание 10 31" xfId="4252" xr:uid="{00000000-0005-0000-0000-00009E3A0000}"/>
    <cellStyle name="Примечание 10 31 2" xfId="8865" xr:uid="{00000000-0005-0000-0000-00009F3A0000}"/>
    <cellStyle name="Примечание 10 31 3" xfId="13115" xr:uid="{00000000-0005-0000-0000-0000A03A0000}"/>
    <cellStyle name="Примечание 10 31 4" xfId="17336" xr:uid="{00000000-0005-0000-0000-0000A13A0000}"/>
    <cellStyle name="Примечание 10 32" xfId="4253" xr:uid="{00000000-0005-0000-0000-0000A23A0000}"/>
    <cellStyle name="Примечание 10 32 2" xfId="8866" xr:uid="{00000000-0005-0000-0000-0000A33A0000}"/>
    <cellStyle name="Примечание 10 32 3" xfId="13116" xr:uid="{00000000-0005-0000-0000-0000A43A0000}"/>
    <cellStyle name="Примечание 10 32 4" xfId="17337" xr:uid="{00000000-0005-0000-0000-0000A53A0000}"/>
    <cellStyle name="Примечание 10 33" xfId="4254" xr:uid="{00000000-0005-0000-0000-0000A63A0000}"/>
    <cellStyle name="Примечание 10 33 2" xfId="8867" xr:uid="{00000000-0005-0000-0000-0000A73A0000}"/>
    <cellStyle name="Примечание 10 33 3" xfId="13117" xr:uid="{00000000-0005-0000-0000-0000A83A0000}"/>
    <cellStyle name="Примечание 10 33 4" xfId="17338" xr:uid="{00000000-0005-0000-0000-0000A93A0000}"/>
    <cellStyle name="Примечание 10 34" xfId="4255" xr:uid="{00000000-0005-0000-0000-0000AA3A0000}"/>
    <cellStyle name="Примечание 10 34 2" xfId="8868" xr:uid="{00000000-0005-0000-0000-0000AB3A0000}"/>
    <cellStyle name="Примечание 10 34 3" xfId="13118" xr:uid="{00000000-0005-0000-0000-0000AC3A0000}"/>
    <cellStyle name="Примечание 10 34 4" xfId="17339" xr:uid="{00000000-0005-0000-0000-0000AD3A0000}"/>
    <cellStyle name="Примечание 10 35" xfId="4256" xr:uid="{00000000-0005-0000-0000-0000AE3A0000}"/>
    <cellStyle name="Примечание 10 35 2" xfId="8869" xr:uid="{00000000-0005-0000-0000-0000AF3A0000}"/>
    <cellStyle name="Примечание 10 35 3" xfId="13119" xr:uid="{00000000-0005-0000-0000-0000B03A0000}"/>
    <cellStyle name="Примечание 10 35 4" xfId="17340" xr:uid="{00000000-0005-0000-0000-0000B13A0000}"/>
    <cellStyle name="Примечание 10 36" xfId="4257" xr:uid="{00000000-0005-0000-0000-0000B23A0000}"/>
    <cellStyle name="Примечание 10 36 2" xfId="8870" xr:uid="{00000000-0005-0000-0000-0000B33A0000}"/>
    <cellStyle name="Примечание 10 36 3" xfId="13120" xr:uid="{00000000-0005-0000-0000-0000B43A0000}"/>
    <cellStyle name="Примечание 10 36 4" xfId="17341" xr:uid="{00000000-0005-0000-0000-0000B53A0000}"/>
    <cellStyle name="Примечание 10 37" xfId="4258" xr:uid="{00000000-0005-0000-0000-0000B63A0000}"/>
    <cellStyle name="Примечание 10 37 2" xfId="8871" xr:uid="{00000000-0005-0000-0000-0000B73A0000}"/>
    <cellStyle name="Примечание 10 37 3" xfId="13121" xr:uid="{00000000-0005-0000-0000-0000B83A0000}"/>
    <cellStyle name="Примечание 10 37 4" xfId="17342" xr:uid="{00000000-0005-0000-0000-0000B93A0000}"/>
    <cellStyle name="Примечание 10 38" xfId="4259" xr:uid="{00000000-0005-0000-0000-0000BA3A0000}"/>
    <cellStyle name="Примечание 10 38 2" xfId="8872" xr:uid="{00000000-0005-0000-0000-0000BB3A0000}"/>
    <cellStyle name="Примечание 10 38 3" xfId="13122" xr:uid="{00000000-0005-0000-0000-0000BC3A0000}"/>
    <cellStyle name="Примечание 10 38 4" xfId="17343" xr:uid="{00000000-0005-0000-0000-0000BD3A0000}"/>
    <cellStyle name="Примечание 10 39" xfId="4260" xr:uid="{00000000-0005-0000-0000-0000BE3A0000}"/>
    <cellStyle name="Примечание 10 39 2" xfId="8873" xr:uid="{00000000-0005-0000-0000-0000BF3A0000}"/>
    <cellStyle name="Примечание 10 39 3" xfId="13123" xr:uid="{00000000-0005-0000-0000-0000C03A0000}"/>
    <cellStyle name="Примечание 10 39 4" xfId="17344" xr:uid="{00000000-0005-0000-0000-0000C13A0000}"/>
    <cellStyle name="Примечание 10 4" xfId="4261" xr:uid="{00000000-0005-0000-0000-0000C23A0000}"/>
    <cellStyle name="Примечание 10 4 2" xfId="4262" xr:uid="{00000000-0005-0000-0000-0000C33A0000}"/>
    <cellStyle name="Примечание 10 4 2 2" xfId="8875" xr:uid="{00000000-0005-0000-0000-0000C43A0000}"/>
    <cellStyle name="Примечание 10 4 2 3" xfId="13125" xr:uid="{00000000-0005-0000-0000-0000C53A0000}"/>
    <cellStyle name="Примечание 10 4 2 4" xfId="17346" xr:uid="{00000000-0005-0000-0000-0000C63A0000}"/>
    <cellStyle name="Примечание 10 4 3" xfId="4263" xr:uid="{00000000-0005-0000-0000-0000C73A0000}"/>
    <cellStyle name="Примечание 10 4 3 2" xfId="8876" xr:uid="{00000000-0005-0000-0000-0000C83A0000}"/>
    <cellStyle name="Примечание 10 4 3 3" xfId="13126" xr:uid="{00000000-0005-0000-0000-0000C93A0000}"/>
    <cellStyle name="Примечание 10 4 3 4" xfId="17347" xr:uid="{00000000-0005-0000-0000-0000CA3A0000}"/>
    <cellStyle name="Примечание 10 4 4" xfId="8874" xr:uid="{00000000-0005-0000-0000-0000CB3A0000}"/>
    <cellStyle name="Примечание 10 4 5" xfId="13124" xr:uid="{00000000-0005-0000-0000-0000CC3A0000}"/>
    <cellStyle name="Примечание 10 4 6" xfId="17345" xr:uid="{00000000-0005-0000-0000-0000CD3A0000}"/>
    <cellStyle name="Примечание 10 40" xfId="4264" xr:uid="{00000000-0005-0000-0000-0000CE3A0000}"/>
    <cellStyle name="Примечание 10 40 2" xfId="8877" xr:uid="{00000000-0005-0000-0000-0000CF3A0000}"/>
    <cellStyle name="Примечание 10 40 3" xfId="13127" xr:uid="{00000000-0005-0000-0000-0000D03A0000}"/>
    <cellStyle name="Примечание 10 40 4" xfId="17348" xr:uid="{00000000-0005-0000-0000-0000D13A0000}"/>
    <cellStyle name="Примечание 10 41" xfId="4265" xr:uid="{00000000-0005-0000-0000-0000D23A0000}"/>
    <cellStyle name="Примечание 10 41 2" xfId="8878" xr:uid="{00000000-0005-0000-0000-0000D33A0000}"/>
    <cellStyle name="Примечание 10 41 3" xfId="13128" xr:uid="{00000000-0005-0000-0000-0000D43A0000}"/>
    <cellStyle name="Примечание 10 41 4" xfId="17349" xr:uid="{00000000-0005-0000-0000-0000D53A0000}"/>
    <cellStyle name="Примечание 10 42" xfId="4266" xr:uid="{00000000-0005-0000-0000-0000D63A0000}"/>
    <cellStyle name="Примечание 10 42 2" xfId="8879" xr:uid="{00000000-0005-0000-0000-0000D73A0000}"/>
    <cellStyle name="Примечание 10 42 3" xfId="13129" xr:uid="{00000000-0005-0000-0000-0000D83A0000}"/>
    <cellStyle name="Примечание 10 42 4" xfId="17350" xr:uid="{00000000-0005-0000-0000-0000D93A0000}"/>
    <cellStyle name="Примечание 10 43" xfId="4267" xr:uid="{00000000-0005-0000-0000-0000DA3A0000}"/>
    <cellStyle name="Примечание 10 43 2" xfId="8880" xr:uid="{00000000-0005-0000-0000-0000DB3A0000}"/>
    <cellStyle name="Примечание 10 43 3" xfId="13130" xr:uid="{00000000-0005-0000-0000-0000DC3A0000}"/>
    <cellStyle name="Примечание 10 43 4" xfId="17351" xr:uid="{00000000-0005-0000-0000-0000DD3A0000}"/>
    <cellStyle name="Примечание 10 44" xfId="4268" xr:uid="{00000000-0005-0000-0000-0000DE3A0000}"/>
    <cellStyle name="Примечание 10 44 2" xfId="8881" xr:uid="{00000000-0005-0000-0000-0000DF3A0000}"/>
    <cellStyle name="Примечание 10 44 3" xfId="13131" xr:uid="{00000000-0005-0000-0000-0000E03A0000}"/>
    <cellStyle name="Примечание 10 44 4" xfId="17352" xr:uid="{00000000-0005-0000-0000-0000E13A0000}"/>
    <cellStyle name="Примечание 10 45" xfId="4269" xr:uid="{00000000-0005-0000-0000-0000E23A0000}"/>
    <cellStyle name="Примечание 10 45 2" xfId="8882" xr:uid="{00000000-0005-0000-0000-0000E33A0000}"/>
    <cellStyle name="Примечание 10 45 3" xfId="13132" xr:uid="{00000000-0005-0000-0000-0000E43A0000}"/>
    <cellStyle name="Примечание 10 45 4" xfId="17353" xr:uid="{00000000-0005-0000-0000-0000E53A0000}"/>
    <cellStyle name="Примечание 10 46" xfId="4270" xr:uid="{00000000-0005-0000-0000-0000E63A0000}"/>
    <cellStyle name="Примечание 10 46 2" xfId="8883" xr:uid="{00000000-0005-0000-0000-0000E73A0000}"/>
    <cellStyle name="Примечание 10 46 3" xfId="13133" xr:uid="{00000000-0005-0000-0000-0000E83A0000}"/>
    <cellStyle name="Примечание 10 46 4" xfId="17354" xr:uid="{00000000-0005-0000-0000-0000E93A0000}"/>
    <cellStyle name="Примечание 10 47" xfId="4271" xr:uid="{00000000-0005-0000-0000-0000EA3A0000}"/>
    <cellStyle name="Примечание 10 47 2" xfId="8884" xr:uid="{00000000-0005-0000-0000-0000EB3A0000}"/>
    <cellStyle name="Примечание 10 47 3" xfId="13134" xr:uid="{00000000-0005-0000-0000-0000EC3A0000}"/>
    <cellStyle name="Примечание 10 47 4" xfId="17355" xr:uid="{00000000-0005-0000-0000-0000ED3A0000}"/>
    <cellStyle name="Примечание 10 48" xfId="4272" xr:uid="{00000000-0005-0000-0000-0000EE3A0000}"/>
    <cellStyle name="Примечание 10 48 2" xfId="8885" xr:uid="{00000000-0005-0000-0000-0000EF3A0000}"/>
    <cellStyle name="Примечание 10 48 3" xfId="13135" xr:uid="{00000000-0005-0000-0000-0000F03A0000}"/>
    <cellStyle name="Примечание 10 48 4" xfId="17356" xr:uid="{00000000-0005-0000-0000-0000F13A0000}"/>
    <cellStyle name="Примечание 10 49" xfId="4273" xr:uid="{00000000-0005-0000-0000-0000F23A0000}"/>
    <cellStyle name="Примечание 10 49 2" xfId="8886" xr:uid="{00000000-0005-0000-0000-0000F33A0000}"/>
    <cellStyle name="Примечание 10 49 3" xfId="13136" xr:uid="{00000000-0005-0000-0000-0000F43A0000}"/>
    <cellStyle name="Примечание 10 49 4" xfId="17357" xr:uid="{00000000-0005-0000-0000-0000F53A0000}"/>
    <cellStyle name="Примечание 10 5" xfId="4274" xr:uid="{00000000-0005-0000-0000-0000F63A0000}"/>
    <cellStyle name="Примечание 10 5 2" xfId="8887" xr:uid="{00000000-0005-0000-0000-0000F73A0000}"/>
    <cellStyle name="Примечание 10 5 3" xfId="13137" xr:uid="{00000000-0005-0000-0000-0000F83A0000}"/>
    <cellStyle name="Примечание 10 5 4" xfId="17358" xr:uid="{00000000-0005-0000-0000-0000F93A0000}"/>
    <cellStyle name="Примечание 10 50" xfId="4275" xr:uid="{00000000-0005-0000-0000-0000FA3A0000}"/>
    <cellStyle name="Примечание 10 50 2" xfId="8888" xr:uid="{00000000-0005-0000-0000-0000FB3A0000}"/>
    <cellStyle name="Примечание 10 50 3" xfId="13138" xr:uid="{00000000-0005-0000-0000-0000FC3A0000}"/>
    <cellStyle name="Примечание 10 50 4" xfId="17359" xr:uid="{00000000-0005-0000-0000-0000FD3A0000}"/>
    <cellStyle name="Примечание 10 51" xfId="4276" xr:uid="{00000000-0005-0000-0000-0000FE3A0000}"/>
    <cellStyle name="Примечание 10 51 2" xfId="8889" xr:uid="{00000000-0005-0000-0000-0000FF3A0000}"/>
    <cellStyle name="Примечание 10 51 3" xfId="13139" xr:uid="{00000000-0005-0000-0000-0000003B0000}"/>
    <cellStyle name="Примечание 10 51 4" xfId="17360" xr:uid="{00000000-0005-0000-0000-0000013B0000}"/>
    <cellStyle name="Примечание 10 52" xfId="4277" xr:uid="{00000000-0005-0000-0000-0000023B0000}"/>
    <cellStyle name="Примечание 10 52 2" xfId="8890" xr:uid="{00000000-0005-0000-0000-0000033B0000}"/>
    <cellStyle name="Примечание 10 52 3" xfId="13140" xr:uid="{00000000-0005-0000-0000-0000043B0000}"/>
    <cellStyle name="Примечание 10 52 4" xfId="17361" xr:uid="{00000000-0005-0000-0000-0000053B0000}"/>
    <cellStyle name="Примечание 10 53" xfId="4278" xr:uid="{00000000-0005-0000-0000-0000063B0000}"/>
    <cellStyle name="Примечание 10 53 2" xfId="8891" xr:uid="{00000000-0005-0000-0000-0000073B0000}"/>
    <cellStyle name="Примечание 10 53 3" xfId="13141" xr:uid="{00000000-0005-0000-0000-0000083B0000}"/>
    <cellStyle name="Примечание 10 53 4" xfId="17362" xr:uid="{00000000-0005-0000-0000-0000093B0000}"/>
    <cellStyle name="Примечание 10 54" xfId="4279" xr:uid="{00000000-0005-0000-0000-00000A3B0000}"/>
    <cellStyle name="Примечание 10 54 2" xfId="8892" xr:uid="{00000000-0005-0000-0000-00000B3B0000}"/>
    <cellStyle name="Примечание 10 54 3" xfId="13142" xr:uid="{00000000-0005-0000-0000-00000C3B0000}"/>
    <cellStyle name="Примечание 10 54 4" xfId="17363" xr:uid="{00000000-0005-0000-0000-00000D3B0000}"/>
    <cellStyle name="Примечание 10 55" xfId="4280" xr:uid="{00000000-0005-0000-0000-00000E3B0000}"/>
    <cellStyle name="Примечание 10 55 2" xfId="8893" xr:uid="{00000000-0005-0000-0000-00000F3B0000}"/>
    <cellStyle name="Примечание 10 55 3" xfId="13143" xr:uid="{00000000-0005-0000-0000-0000103B0000}"/>
    <cellStyle name="Примечание 10 55 4" xfId="17364" xr:uid="{00000000-0005-0000-0000-0000113B0000}"/>
    <cellStyle name="Примечание 10 56" xfId="4281" xr:uid="{00000000-0005-0000-0000-0000123B0000}"/>
    <cellStyle name="Примечание 10 56 2" xfId="8894" xr:uid="{00000000-0005-0000-0000-0000133B0000}"/>
    <cellStyle name="Примечание 10 56 3" xfId="13144" xr:uid="{00000000-0005-0000-0000-0000143B0000}"/>
    <cellStyle name="Примечание 10 56 4" xfId="17365" xr:uid="{00000000-0005-0000-0000-0000153B0000}"/>
    <cellStyle name="Примечание 10 57" xfId="4282" xr:uid="{00000000-0005-0000-0000-0000163B0000}"/>
    <cellStyle name="Примечание 10 57 2" xfId="8895" xr:uid="{00000000-0005-0000-0000-0000173B0000}"/>
    <cellStyle name="Примечание 10 57 3" xfId="13145" xr:uid="{00000000-0005-0000-0000-0000183B0000}"/>
    <cellStyle name="Примечание 10 57 4" xfId="17366" xr:uid="{00000000-0005-0000-0000-0000193B0000}"/>
    <cellStyle name="Примечание 10 58" xfId="4283" xr:uid="{00000000-0005-0000-0000-00001A3B0000}"/>
    <cellStyle name="Примечание 10 58 2" xfId="8896" xr:uid="{00000000-0005-0000-0000-00001B3B0000}"/>
    <cellStyle name="Примечание 10 58 3" xfId="13146" xr:uid="{00000000-0005-0000-0000-00001C3B0000}"/>
    <cellStyle name="Примечание 10 58 4" xfId="17367" xr:uid="{00000000-0005-0000-0000-00001D3B0000}"/>
    <cellStyle name="Примечание 10 59" xfId="4284" xr:uid="{00000000-0005-0000-0000-00001E3B0000}"/>
    <cellStyle name="Примечание 10 59 2" xfId="8897" xr:uid="{00000000-0005-0000-0000-00001F3B0000}"/>
    <cellStyle name="Примечание 10 59 3" xfId="13147" xr:uid="{00000000-0005-0000-0000-0000203B0000}"/>
    <cellStyle name="Примечание 10 59 4" xfId="17368" xr:uid="{00000000-0005-0000-0000-0000213B0000}"/>
    <cellStyle name="Примечание 10 6" xfId="4285" xr:uid="{00000000-0005-0000-0000-0000223B0000}"/>
    <cellStyle name="Примечание 10 6 2" xfId="8898" xr:uid="{00000000-0005-0000-0000-0000233B0000}"/>
    <cellStyle name="Примечание 10 6 3" xfId="13148" xr:uid="{00000000-0005-0000-0000-0000243B0000}"/>
    <cellStyle name="Примечание 10 6 4" xfId="17369" xr:uid="{00000000-0005-0000-0000-0000253B0000}"/>
    <cellStyle name="Примечание 10 60" xfId="4286" xr:uid="{00000000-0005-0000-0000-0000263B0000}"/>
    <cellStyle name="Примечание 10 60 2" xfId="8899" xr:uid="{00000000-0005-0000-0000-0000273B0000}"/>
    <cellStyle name="Примечание 10 60 3" xfId="13149" xr:uid="{00000000-0005-0000-0000-0000283B0000}"/>
    <cellStyle name="Примечание 10 60 4" xfId="17370" xr:uid="{00000000-0005-0000-0000-0000293B0000}"/>
    <cellStyle name="Примечание 10 61" xfId="4287" xr:uid="{00000000-0005-0000-0000-00002A3B0000}"/>
    <cellStyle name="Примечание 10 61 2" xfId="8900" xr:uid="{00000000-0005-0000-0000-00002B3B0000}"/>
    <cellStyle name="Примечание 10 61 3" xfId="13150" xr:uid="{00000000-0005-0000-0000-00002C3B0000}"/>
    <cellStyle name="Примечание 10 61 4" xfId="17371" xr:uid="{00000000-0005-0000-0000-00002D3B0000}"/>
    <cellStyle name="Примечание 10 62" xfId="4288" xr:uid="{00000000-0005-0000-0000-00002E3B0000}"/>
    <cellStyle name="Примечание 10 62 2" xfId="8901" xr:uid="{00000000-0005-0000-0000-00002F3B0000}"/>
    <cellStyle name="Примечание 10 62 3" xfId="13151" xr:uid="{00000000-0005-0000-0000-0000303B0000}"/>
    <cellStyle name="Примечание 10 62 4" xfId="17372" xr:uid="{00000000-0005-0000-0000-0000313B0000}"/>
    <cellStyle name="Примечание 10 63" xfId="4289" xr:uid="{00000000-0005-0000-0000-0000323B0000}"/>
    <cellStyle name="Примечание 10 63 2" xfId="8902" xr:uid="{00000000-0005-0000-0000-0000333B0000}"/>
    <cellStyle name="Примечание 10 63 3" xfId="13152" xr:uid="{00000000-0005-0000-0000-0000343B0000}"/>
    <cellStyle name="Примечание 10 63 4" xfId="17373" xr:uid="{00000000-0005-0000-0000-0000353B0000}"/>
    <cellStyle name="Примечание 10 64" xfId="4290" xr:uid="{00000000-0005-0000-0000-0000363B0000}"/>
    <cellStyle name="Примечание 10 64 2" xfId="8903" xr:uid="{00000000-0005-0000-0000-0000373B0000}"/>
    <cellStyle name="Примечание 10 64 3" xfId="13153" xr:uid="{00000000-0005-0000-0000-0000383B0000}"/>
    <cellStyle name="Примечание 10 64 4" xfId="17374" xr:uid="{00000000-0005-0000-0000-0000393B0000}"/>
    <cellStyle name="Примечание 10 65" xfId="4291" xr:uid="{00000000-0005-0000-0000-00003A3B0000}"/>
    <cellStyle name="Примечание 10 65 2" xfId="8904" xr:uid="{00000000-0005-0000-0000-00003B3B0000}"/>
    <cellStyle name="Примечание 10 65 3" xfId="13154" xr:uid="{00000000-0005-0000-0000-00003C3B0000}"/>
    <cellStyle name="Примечание 10 65 4" xfId="17375" xr:uid="{00000000-0005-0000-0000-00003D3B0000}"/>
    <cellStyle name="Примечание 10 66" xfId="4292" xr:uid="{00000000-0005-0000-0000-00003E3B0000}"/>
    <cellStyle name="Примечание 10 66 2" xfId="8905" xr:uid="{00000000-0005-0000-0000-00003F3B0000}"/>
    <cellStyle name="Примечание 10 66 3" xfId="13155" xr:uid="{00000000-0005-0000-0000-0000403B0000}"/>
    <cellStyle name="Примечание 10 66 4" xfId="17376" xr:uid="{00000000-0005-0000-0000-0000413B0000}"/>
    <cellStyle name="Примечание 10 67" xfId="4293" xr:uid="{00000000-0005-0000-0000-0000423B0000}"/>
    <cellStyle name="Примечание 10 67 2" xfId="8906" xr:uid="{00000000-0005-0000-0000-0000433B0000}"/>
    <cellStyle name="Примечание 10 67 3" xfId="13156" xr:uid="{00000000-0005-0000-0000-0000443B0000}"/>
    <cellStyle name="Примечание 10 67 4" xfId="17377" xr:uid="{00000000-0005-0000-0000-0000453B0000}"/>
    <cellStyle name="Примечание 10 68" xfId="4294" xr:uid="{00000000-0005-0000-0000-0000463B0000}"/>
    <cellStyle name="Примечание 10 68 2" xfId="8907" xr:uid="{00000000-0005-0000-0000-0000473B0000}"/>
    <cellStyle name="Примечание 10 68 3" xfId="13157" xr:uid="{00000000-0005-0000-0000-0000483B0000}"/>
    <cellStyle name="Примечание 10 68 4" xfId="17378" xr:uid="{00000000-0005-0000-0000-0000493B0000}"/>
    <cellStyle name="Примечание 10 69" xfId="4295" xr:uid="{00000000-0005-0000-0000-00004A3B0000}"/>
    <cellStyle name="Примечание 10 69 2" xfId="8908" xr:uid="{00000000-0005-0000-0000-00004B3B0000}"/>
    <cellStyle name="Примечание 10 69 3" xfId="13158" xr:uid="{00000000-0005-0000-0000-00004C3B0000}"/>
    <cellStyle name="Примечание 10 69 4" xfId="17379" xr:uid="{00000000-0005-0000-0000-00004D3B0000}"/>
    <cellStyle name="Примечание 10 7" xfId="4296" xr:uid="{00000000-0005-0000-0000-00004E3B0000}"/>
    <cellStyle name="Примечание 10 7 2" xfId="8909" xr:uid="{00000000-0005-0000-0000-00004F3B0000}"/>
    <cellStyle name="Примечание 10 7 3" xfId="13159" xr:uid="{00000000-0005-0000-0000-0000503B0000}"/>
    <cellStyle name="Примечание 10 7 4" xfId="17380" xr:uid="{00000000-0005-0000-0000-0000513B0000}"/>
    <cellStyle name="Примечание 10 70" xfId="4297" xr:uid="{00000000-0005-0000-0000-0000523B0000}"/>
    <cellStyle name="Примечание 10 70 2" xfId="8910" xr:uid="{00000000-0005-0000-0000-0000533B0000}"/>
    <cellStyle name="Примечание 10 70 3" xfId="13160" xr:uid="{00000000-0005-0000-0000-0000543B0000}"/>
    <cellStyle name="Примечание 10 70 4" xfId="17381" xr:uid="{00000000-0005-0000-0000-0000553B0000}"/>
    <cellStyle name="Примечание 10 71" xfId="4298" xr:uid="{00000000-0005-0000-0000-0000563B0000}"/>
    <cellStyle name="Примечание 10 71 2" xfId="8911" xr:uid="{00000000-0005-0000-0000-0000573B0000}"/>
    <cellStyle name="Примечание 10 71 3" xfId="13161" xr:uid="{00000000-0005-0000-0000-0000583B0000}"/>
    <cellStyle name="Примечание 10 71 4" xfId="17382" xr:uid="{00000000-0005-0000-0000-0000593B0000}"/>
    <cellStyle name="Примечание 10 72" xfId="4299" xr:uid="{00000000-0005-0000-0000-00005A3B0000}"/>
    <cellStyle name="Примечание 10 72 2" xfId="8912" xr:uid="{00000000-0005-0000-0000-00005B3B0000}"/>
    <cellStyle name="Примечание 10 72 3" xfId="13162" xr:uid="{00000000-0005-0000-0000-00005C3B0000}"/>
    <cellStyle name="Примечание 10 72 4" xfId="17383" xr:uid="{00000000-0005-0000-0000-00005D3B0000}"/>
    <cellStyle name="Примечание 10 73" xfId="4300" xr:uid="{00000000-0005-0000-0000-00005E3B0000}"/>
    <cellStyle name="Примечание 10 73 2" xfId="8913" xr:uid="{00000000-0005-0000-0000-00005F3B0000}"/>
    <cellStyle name="Примечание 10 73 3" xfId="13163" xr:uid="{00000000-0005-0000-0000-0000603B0000}"/>
    <cellStyle name="Примечание 10 73 4" xfId="17384" xr:uid="{00000000-0005-0000-0000-0000613B0000}"/>
    <cellStyle name="Примечание 10 74" xfId="4301" xr:uid="{00000000-0005-0000-0000-0000623B0000}"/>
    <cellStyle name="Примечание 10 74 2" xfId="8914" xr:uid="{00000000-0005-0000-0000-0000633B0000}"/>
    <cellStyle name="Примечание 10 74 3" xfId="13164" xr:uid="{00000000-0005-0000-0000-0000643B0000}"/>
    <cellStyle name="Примечание 10 74 4" xfId="17385" xr:uid="{00000000-0005-0000-0000-0000653B0000}"/>
    <cellStyle name="Примечание 10 75" xfId="4302" xr:uid="{00000000-0005-0000-0000-0000663B0000}"/>
    <cellStyle name="Примечание 10 75 2" xfId="8915" xr:uid="{00000000-0005-0000-0000-0000673B0000}"/>
    <cellStyle name="Примечание 10 75 3" xfId="13165" xr:uid="{00000000-0005-0000-0000-0000683B0000}"/>
    <cellStyle name="Примечание 10 75 4" xfId="17386" xr:uid="{00000000-0005-0000-0000-0000693B0000}"/>
    <cellStyle name="Примечание 10 76" xfId="4303" xr:uid="{00000000-0005-0000-0000-00006A3B0000}"/>
    <cellStyle name="Примечание 10 76 2" xfId="8916" xr:uid="{00000000-0005-0000-0000-00006B3B0000}"/>
    <cellStyle name="Примечание 10 76 3" xfId="13166" xr:uid="{00000000-0005-0000-0000-00006C3B0000}"/>
    <cellStyle name="Примечание 10 76 4" xfId="17387" xr:uid="{00000000-0005-0000-0000-00006D3B0000}"/>
    <cellStyle name="Примечание 10 77" xfId="4304" xr:uid="{00000000-0005-0000-0000-00006E3B0000}"/>
    <cellStyle name="Примечание 10 77 2" xfId="8917" xr:uid="{00000000-0005-0000-0000-00006F3B0000}"/>
    <cellStyle name="Примечание 10 77 3" xfId="13167" xr:uid="{00000000-0005-0000-0000-0000703B0000}"/>
    <cellStyle name="Примечание 10 77 4" xfId="17388" xr:uid="{00000000-0005-0000-0000-0000713B0000}"/>
    <cellStyle name="Примечание 10 78" xfId="4305" xr:uid="{00000000-0005-0000-0000-0000723B0000}"/>
    <cellStyle name="Примечание 10 78 2" xfId="8918" xr:uid="{00000000-0005-0000-0000-0000733B0000}"/>
    <cellStyle name="Примечание 10 78 3" xfId="13168" xr:uid="{00000000-0005-0000-0000-0000743B0000}"/>
    <cellStyle name="Примечание 10 78 4" xfId="17389" xr:uid="{00000000-0005-0000-0000-0000753B0000}"/>
    <cellStyle name="Примечание 10 79" xfId="4306" xr:uid="{00000000-0005-0000-0000-0000763B0000}"/>
    <cellStyle name="Примечание 10 79 2" xfId="8919" xr:uid="{00000000-0005-0000-0000-0000773B0000}"/>
    <cellStyle name="Примечание 10 79 3" xfId="13169" xr:uid="{00000000-0005-0000-0000-0000783B0000}"/>
    <cellStyle name="Примечание 10 79 4" xfId="17390" xr:uid="{00000000-0005-0000-0000-0000793B0000}"/>
    <cellStyle name="Примечание 10 8" xfId="4307" xr:uid="{00000000-0005-0000-0000-00007A3B0000}"/>
    <cellStyle name="Примечание 10 8 2" xfId="8920" xr:uid="{00000000-0005-0000-0000-00007B3B0000}"/>
    <cellStyle name="Примечание 10 8 3" xfId="13170" xr:uid="{00000000-0005-0000-0000-00007C3B0000}"/>
    <cellStyle name="Примечание 10 8 4" xfId="17391" xr:uid="{00000000-0005-0000-0000-00007D3B0000}"/>
    <cellStyle name="Примечание 10 80" xfId="4308" xr:uid="{00000000-0005-0000-0000-00007E3B0000}"/>
    <cellStyle name="Примечание 10 80 2" xfId="8921" xr:uid="{00000000-0005-0000-0000-00007F3B0000}"/>
    <cellStyle name="Примечание 10 80 3" xfId="13171" xr:uid="{00000000-0005-0000-0000-0000803B0000}"/>
    <cellStyle name="Примечание 10 80 4" xfId="17392" xr:uid="{00000000-0005-0000-0000-0000813B0000}"/>
    <cellStyle name="Примечание 10 81" xfId="4309" xr:uid="{00000000-0005-0000-0000-0000823B0000}"/>
    <cellStyle name="Примечание 10 81 2" xfId="8922" xr:uid="{00000000-0005-0000-0000-0000833B0000}"/>
    <cellStyle name="Примечание 10 81 3" xfId="13172" xr:uid="{00000000-0005-0000-0000-0000843B0000}"/>
    <cellStyle name="Примечание 10 81 4" xfId="17393" xr:uid="{00000000-0005-0000-0000-0000853B0000}"/>
    <cellStyle name="Примечание 10 82" xfId="4310" xr:uid="{00000000-0005-0000-0000-0000863B0000}"/>
    <cellStyle name="Примечание 10 82 2" xfId="8923" xr:uid="{00000000-0005-0000-0000-0000873B0000}"/>
    <cellStyle name="Примечание 10 82 3" xfId="13173" xr:uid="{00000000-0005-0000-0000-0000883B0000}"/>
    <cellStyle name="Примечание 10 82 4" xfId="17394" xr:uid="{00000000-0005-0000-0000-0000893B0000}"/>
    <cellStyle name="Примечание 10 83" xfId="4311" xr:uid="{00000000-0005-0000-0000-00008A3B0000}"/>
    <cellStyle name="Примечание 10 83 2" xfId="8924" xr:uid="{00000000-0005-0000-0000-00008B3B0000}"/>
    <cellStyle name="Примечание 10 83 3" xfId="13174" xr:uid="{00000000-0005-0000-0000-00008C3B0000}"/>
    <cellStyle name="Примечание 10 83 4" xfId="17395" xr:uid="{00000000-0005-0000-0000-00008D3B0000}"/>
    <cellStyle name="Примечание 10 84" xfId="4312" xr:uid="{00000000-0005-0000-0000-00008E3B0000}"/>
    <cellStyle name="Примечание 10 84 2" xfId="8925" xr:uid="{00000000-0005-0000-0000-00008F3B0000}"/>
    <cellStyle name="Примечание 10 84 3" xfId="13175" xr:uid="{00000000-0005-0000-0000-0000903B0000}"/>
    <cellStyle name="Примечание 10 84 4" xfId="17396" xr:uid="{00000000-0005-0000-0000-0000913B0000}"/>
    <cellStyle name="Примечание 10 85" xfId="4313" xr:uid="{00000000-0005-0000-0000-0000923B0000}"/>
    <cellStyle name="Примечание 10 85 2" xfId="8926" xr:uid="{00000000-0005-0000-0000-0000933B0000}"/>
    <cellStyle name="Примечание 10 85 3" xfId="13176" xr:uid="{00000000-0005-0000-0000-0000943B0000}"/>
    <cellStyle name="Примечание 10 85 4" xfId="17397" xr:uid="{00000000-0005-0000-0000-0000953B0000}"/>
    <cellStyle name="Примечание 10 86" xfId="4314" xr:uid="{00000000-0005-0000-0000-0000963B0000}"/>
    <cellStyle name="Примечание 10 86 2" xfId="8927" xr:uid="{00000000-0005-0000-0000-0000973B0000}"/>
    <cellStyle name="Примечание 10 86 3" xfId="13177" xr:uid="{00000000-0005-0000-0000-0000983B0000}"/>
    <cellStyle name="Примечание 10 86 4" xfId="17398" xr:uid="{00000000-0005-0000-0000-0000993B0000}"/>
    <cellStyle name="Примечание 10 87" xfId="4315" xr:uid="{00000000-0005-0000-0000-00009A3B0000}"/>
    <cellStyle name="Примечание 10 87 2" xfId="8928" xr:uid="{00000000-0005-0000-0000-00009B3B0000}"/>
    <cellStyle name="Примечание 10 87 3" xfId="13178" xr:uid="{00000000-0005-0000-0000-00009C3B0000}"/>
    <cellStyle name="Примечание 10 87 4" xfId="17399" xr:uid="{00000000-0005-0000-0000-00009D3B0000}"/>
    <cellStyle name="Примечание 10 88" xfId="4316" xr:uid="{00000000-0005-0000-0000-00009E3B0000}"/>
    <cellStyle name="Примечание 10 88 2" xfId="8929" xr:uid="{00000000-0005-0000-0000-00009F3B0000}"/>
    <cellStyle name="Примечание 10 88 3" xfId="13179" xr:uid="{00000000-0005-0000-0000-0000A03B0000}"/>
    <cellStyle name="Примечание 10 88 4" xfId="17400" xr:uid="{00000000-0005-0000-0000-0000A13B0000}"/>
    <cellStyle name="Примечание 10 89" xfId="4317" xr:uid="{00000000-0005-0000-0000-0000A23B0000}"/>
    <cellStyle name="Примечание 10 89 2" xfId="8930" xr:uid="{00000000-0005-0000-0000-0000A33B0000}"/>
    <cellStyle name="Примечание 10 89 3" xfId="13180" xr:uid="{00000000-0005-0000-0000-0000A43B0000}"/>
    <cellStyle name="Примечание 10 89 4" xfId="17401" xr:uid="{00000000-0005-0000-0000-0000A53B0000}"/>
    <cellStyle name="Примечание 10 9" xfId="4318" xr:uid="{00000000-0005-0000-0000-0000A63B0000}"/>
    <cellStyle name="Примечание 10 9 2" xfId="8931" xr:uid="{00000000-0005-0000-0000-0000A73B0000}"/>
    <cellStyle name="Примечание 10 9 3" xfId="13181" xr:uid="{00000000-0005-0000-0000-0000A83B0000}"/>
    <cellStyle name="Примечание 10 9 4" xfId="17402" xr:uid="{00000000-0005-0000-0000-0000A93B0000}"/>
    <cellStyle name="Примечание 10 90" xfId="5214" xr:uid="{00000000-0005-0000-0000-0000AA3B0000}"/>
    <cellStyle name="Примечание 10 91" xfId="8831" xr:uid="{00000000-0005-0000-0000-0000AB3B0000}"/>
    <cellStyle name="Примечание 10 92" xfId="13081" xr:uid="{00000000-0005-0000-0000-0000AC3B0000}"/>
    <cellStyle name="Примечание 2" xfId="428" xr:uid="{00000000-0005-0000-0000-0000AD3B0000}"/>
    <cellStyle name="Примечание 2 10" xfId="4319" xr:uid="{00000000-0005-0000-0000-0000AE3B0000}"/>
    <cellStyle name="Примечание 2 10 2" xfId="8932" xr:uid="{00000000-0005-0000-0000-0000AF3B0000}"/>
    <cellStyle name="Примечание 2 10 3" xfId="13182" xr:uid="{00000000-0005-0000-0000-0000B03B0000}"/>
    <cellStyle name="Примечание 2 10 4" xfId="17403" xr:uid="{00000000-0005-0000-0000-0000B13B0000}"/>
    <cellStyle name="Примечание 2 11" xfId="4320" xr:uid="{00000000-0005-0000-0000-0000B23B0000}"/>
    <cellStyle name="Примечание 2 11 2" xfId="8933" xr:uid="{00000000-0005-0000-0000-0000B33B0000}"/>
    <cellStyle name="Примечание 2 11 3" xfId="13183" xr:uid="{00000000-0005-0000-0000-0000B43B0000}"/>
    <cellStyle name="Примечание 2 11 4" xfId="17404" xr:uid="{00000000-0005-0000-0000-0000B53B0000}"/>
    <cellStyle name="Примечание 2 12" xfId="4321" xr:uid="{00000000-0005-0000-0000-0000B63B0000}"/>
    <cellStyle name="Примечание 2 12 2" xfId="8934" xr:uid="{00000000-0005-0000-0000-0000B73B0000}"/>
    <cellStyle name="Примечание 2 12 3" xfId="13184" xr:uid="{00000000-0005-0000-0000-0000B83B0000}"/>
    <cellStyle name="Примечание 2 12 4" xfId="17405" xr:uid="{00000000-0005-0000-0000-0000B93B0000}"/>
    <cellStyle name="Примечание 2 13" xfId="4322" xr:uid="{00000000-0005-0000-0000-0000BA3B0000}"/>
    <cellStyle name="Примечание 2 13 2" xfId="8935" xr:uid="{00000000-0005-0000-0000-0000BB3B0000}"/>
    <cellStyle name="Примечание 2 13 3" xfId="13185" xr:uid="{00000000-0005-0000-0000-0000BC3B0000}"/>
    <cellStyle name="Примечание 2 13 4" xfId="17406" xr:uid="{00000000-0005-0000-0000-0000BD3B0000}"/>
    <cellStyle name="Примечание 2 14" xfId="4323" xr:uid="{00000000-0005-0000-0000-0000BE3B0000}"/>
    <cellStyle name="Примечание 2 14 2" xfId="8936" xr:uid="{00000000-0005-0000-0000-0000BF3B0000}"/>
    <cellStyle name="Примечание 2 14 3" xfId="13186" xr:uid="{00000000-0005-0000-0000-0000C03B0000}"/>
    <cellStyle name="Примечание 2 14 4" xfId="17407" xr:uid="{00000000-0005-0000-0000-0000C13B0000}"/>
    <cellStyle name="Примечание 2 15" xfId="4324" xr:uid="{00000000-0005-0000-0000-0000C23B0000}"/>
    <cellStyle name="Примечание 2 15 2" xfId="8937" xr:uid="{00000000-0005-0000-0000-0000C33B0000}"/>
    <cellStyle name="Примечание 2 15 3" xfId="13187" xr:uid="{00000000-0005-0000-0000-0000C43B0000}"/>
    <cellStyle name="Примечание 2 15 4" xfId="17408" xr:uid="{00000000-0005-0000-0000-0000C53B0000}"/>
    <cellStyle name="Примечание 2 16" xfId="4325" xr:uid="{00000000-0005-0000-0000-0000C63B0000}"/>
    <cellStyle name="Примечание 2 16 2" xfId="8938" xr:uid="{00000000-0005-0000-0000-0000C73B0000}"/>
    <cellStyle name="Примечание 2 16 3" xfId="13188" xr:uid="{00000000-0005-0000-0000-0000C83B0000}"/>
    <cellStyle name="Примечание 2 16 4" xfId="17409" xr:uid="{00000000-0005-0000-0000-0000C93B0000}"/>
    <cellStyle name="Примечание 2 17" xfId="4326" xr:uid="{00000000-0005-0000-0000-0000CA3B0000}"/>
    <cellStyle name="Примечание 2 17 2" xfId="8939" xr:uid="{00000000-0005-0000-0000-0000CB3B0000}"/>
    <cellStyle name="Примечание 2 17 3" xfId="13189" xr:uid="{00000000-0005-0000-0000-0000CC3B0000}"/>
    <cellStyle name="Примечание 2 17 4" xfId="17410" xr:uid="{00000000-0005-0000-0000-0000CD3B0000}"/>
    <cellStyle name="Примечание 2 18" xfId="4327" xr:uid="{00000000-0005-0000-0000-0000CE3B0000}"/>
    <cellStyle name="Примечание 2 18 2" xfId="8940" xr:uid="{00000000-0005-0000-0000-0000CF3B0000}"/>
    <cellStyle name="Примечание 2 18 3" xfId="13190" xr:uid="{00000000-0005-0000-0000-0000D03B0000}"/>
    <cellStyle name="Примечание 2 18 4" xfId="17411" xr:uid="{00000000-0005-0000-0000-0000D13B0000}"/>
    <cellStyle name="Примечание 2 19" xfId="4328" xr:uid="{00000000-0005-0000-0000-0000D23B0000}"/>
    <cellStyle name="Примечание 2 19 2" xfId="8941" xr:uid="{00000000-0005-0000-0000-0000D33B0000}"/>
    <cellStyle name="Примечание 2 19 3" xfId="13191" xr:uid="{00000000-0005-0000-0000-0000D43B0000}"/>
    <cellStyle name="Примечание 2 19 4" xfId="17412" xr:uid="{00000000-0005-0000-0000-0000D53B0000}"/>
    <cellStyle name="Примечание 2 2" xfId="4329" xr:uid="{00000000-0005-0000-0000-0000D63B0000}"/>
    <cellStyle name="Примечание 2 2 2" xfId="4330" xr:uid="{00000000-0005-0000-0000-0000D73B0000}"/>
    <cellStyle name="Примечание 2 2 2 2" xfId="8943" xr:uid="{00000000-0005-0000-0000-0000D83B0000}"/>
    <cellStyle name="Примечание 2 2 2 3" xfId="13193" xr:uid="{00000000-0005-0000-0000-0000D93B0000}"/>
    <cellStyle name="Примечание 2 2 2 4" xfId="17414" xr:uid="{00000000-0005-0000-0000-0000DA3B0000}"/>
    <cellStyle name="Примечание 2 2 3" xfId="4331" xr:uid="{00000000-0005-0000-0000-0000DB3B0000}"/>
    <cellStyle name="Примечание 2 2 3 2" xfId="8944" xr:uid="{00000000-0005-0000-0000-0000DC3B0000}"/>
    <cellStyle name="Примечание 2 2 3 3" xfId="13194" xr:uid="{00000000-0005-0000-0000-0000DD3B0000}"/>
    <cellStyle name="Примечание 2 2 3 4" xfId="17415" xr:uid="{00000000-0005-0000-0000-0000DE3B0000}"/>
    <cellStyle name="Примечание 2 2 4" xfId="8942" xr:uid="{00000000-0005-0000-0000-0000DF3B0000}"/>
    <cellStyle name="Примечание 2 2 5" xfId="13192" xr:uid="{00000000-0005-0000-0000-0000E03B0000}"/>
    <cellStyle name="Примечание 2 2 6" xfId="17413" xr:uid="{00000000-0005-0000-0000-0000E13B0000}"/>
    <cellStyle name="Примечание 2 20" xfId="4332" xr:uid="{00000000-0005-0000-0000-0000E23B0000}"/>
    <cellStyle name="Примечание 2 20 2" xfId="8945" xr:uid="{00000000-0005-0000-0000-0000E33B0000}"/>
    <cellStyle name="Примечание 2 20 3" xfId="13195" xr:uid="{00000000-0005-0000-0000-0000E43B0000}"/>
    <cellStyle name="Примечание 2 20 4" xfId="17416" xr:uid="{00000000-0005-0000-0000-0000E53B0000}"/>
    <cellStyle name="Примечание 2 21" xfId="4333" xr:uid="{00000000-0005-0000-0000-0000E63B0000}"/>
    <cellStyle name="Примечание 2 21 2" xfId="8946" xr:uid="{00000000-0005-0000-0000-0000E73B0000}"/>
    <cellStyle name="Примечание 2 21 3" xfId="13196" xr:uid="{00000000-0005-0000-0000-0000E83B0000}"/>
    <cellStyle name="Примечание 2 21 4" xfId="17417" xr:uid="{00000000-0005-0000-0000-0000E93B0000}"/>
    <cellStyle name="Примечание 2 22" xfId="4334" xr:uid="{00000000-0005-0000-0000-0000EA3B0000}"/>
    <cellStyle name="Примечание 2 22 2" xfId="8947" xr:uid="{00000000-0005-0000-0000-0000EB3B0000}"/>
    <cellStyle name="Примечание 2 22 3" xfId="13197" xr:uid="{00000000-0005-0000-0000-0000EC3B0000}"/>
    <cellStyle name="Примечание 2 22 4" xfId="17418" xr:uid="{00000000-0005-0000-0000-0000ED3B0000}"/>
    <cellStyle name="Примечание 2 23" xfId="4335" xr:uid="{00000000-0005-0000-0000-0000EE3B0000}"/>
    <cellStyle name="Примечание 2 23 2" xfId="8948" xr:uid="{00000000-0005-0000-0000-0000EF3B0000}"/>
    <cellStyle name="Примечание 2 23 3" xfId="13198" xr:uid="{00000000-0005-0000-0000-0000F03B0000}"/>
    <cellStyle name="Примечание 2 23 4" xfId="17419" xr:uid="{00000000-0005-0000-0000-0000F13B0000}"/>
    <cellStyle name="Примечание 2 24" xfId="4336" xr:uid="{00000000-0005-0000-0000-0000F23B0000}"/>
    <cellStyle name="Примечание 2 24 2" xfId="8949" xr:uid="{00000000-0005-0000-0000-0000F33B0000}"/>
    <cellStyle name="Примечание 2 24 3" xfId="13199" xr:uid="{00000000-0005-0000-0000-0000F43B0000}"/>
    <cellStyle name="Примечание 2 24 4" xfId="17420" xr:uid="{00000000-0005-0000-0000-0000F53B0000}"/>
    <cellStyle name="Примечание 2 25" xfId="4337" xr:uid="{00000000-0005-0000-0000-0000F63B0000}"/>
    <cellStyle name="Примечание 2 25 2" xfId="8950" xr:uid="{00000000-0005-0000-0000-0000F73B0000}"/>
    <cellStyle name="Примечание 2 25 3" xfId="13200" xr:uid="{00000000-0005-0000-0000-0000F83B0000}"/>
    <cellStyle name="Примечание 2 25 4" xfId="17421" xr:uid="{00000000-0005-0000-0000-0000F93B0000}"/>
    <cellStyle name="Примечание 2 26" xfId="4338" xr:uid="{00000000-0005-0000-0000-0000FA3B0000}"/>
    <cellStyle name="Примечание 2 26 2" xfId="8951" xr:uid="{00000000-0005-0000-0000-0000FB3B0000}"/>
    <cellStyle name="Примечание 2 26 3" xfId="13201" xr:uid="{00000000-0005-0000-0000-0000FC3B0000}"/>
    <cellStyle name="Примечание 2 26 4" xfId="17422" xr:uid="{00000000-0005-0000-0000-0000FD3B0000}"/>
    <cellStyle name="Примечание 2 27" xfId="4339" xr:uid="{00000000-0005-0000-0000-0000FE3B0000}"/>
    <cellStyle name="Примечание 2 27 2" xfId="8952" xr:uid="{00000000-0005-0000-0000-0000FF3B0000}"/>
    <cellStyle name="Примечание 2 27 3" xfId="13202" xr:uid="{00000000-0005-0000-0000-0000003C0000}"/>
    <cellStyle name="Примечание 2 27 4" xfId="17423" xr:uid="{00000000-0005-0000-0000-0000013C0000}"/>
    <cellStyle name="Примечание 2 28" xfId="4340" xr:uid="{00000000-0005-0000-0000-0000023C0000}"/>
    <cellStyle name="Примечание 2 28 2" xfId="8953" xr:uid="{00000000-0005-0000-0000-0000033C0000}"/>
    <cellStyle name="Примечание 2 28 3" xfId="13203" xr:uid="{00000000-0005-0000-0000-0000043C0000}"/>
    <cellStyle name="Примечание 2 28 4" xfId="17424" xr:uid="{00000000-0005-0000-0000-0000053C0000}"/>
    <cellStyle name="Примечание 2 29" xfId="4341" xr:uid="{00000000-0005-0000-0000-0000063C0000}"/>
    <cellStyle name="Примечание 2 29 2" xfId="8954" xr:uid="{00000000-0005-0000-0000-0000073C0000}"/>
    <cellStyle name="Примечание 2 29 3" xfId="13204" xr:uid="{00000000-0005-0000-0000-0000083C0000}"/>
    <cellStyle name="Примечание 2 29 4" xfId="17425" xr:uid="{00000000-0005-0000-0000-0000093C0000}"/>
    <cellStyle name="Примечание 2 3" xfId="4342" xr:uid="{00000000-0005-0000-0000-00000A3C0000}"/>
    <cellStyle name="Примечание 2 3 2" xfId="4343" xr:uid="{00000000-0005-0000-0000-00000B3C0000}"/>
    <cellStyle name="Примечание 2 3 2 2" xfId="8956" xr:uid="{00000000-0005-0000-0000-00000C3C0000}"/>
    <cellStyle name="Примечание 2 3 2 3" xfId="13206" xr:uid="{00000000-0005-0000-0000-00000D3C0000}"/>
    <cellStyle name="Примечание 2 3 2 4" xfId="17427" xr:uid="{00000000-0005-0000-0000-00000E3C0000}"/>
    <cellStyle name="Примечание 2 3 3" xfId="4344" xr:uid="{00000000-0005-0000-0000-00000F3C0000}"/>
    <cellStyle name="Примечание 2 3 3 2" xfId="8957" xr:uid="{00000000-0005-0000-0000-0000103C0000}"/>
    <cellStyle name="Примечание 2 3 3 3" xfId="13207" xr:uid="{00000000-0005-0000-0000-0000113C0000}"/>
    <cellStyle name="Примечание 2 3 3 4" xfId="17428" xr:uid="{00000000-0005-0000-0000-0000123C0000}"/>
    <cellStyle name="Примечание 2 3 4" xfId="8955" xr:uid="{00000000-0005-0000-0000-0000133C0000}"/>
    <cellStyle name="Примечание 2 3 5" xfId="13205" xr:uid="{00000000-0005-0000-0000-0000143C0000}"/>
    <cellStyle name="Примечание 2 3 6" xfId="17426" xr:uid="{00000000-0005-0000-0000-0000153C0000}"/>
    <cellStyle name="Примечание 2 30" xfId="4345" xr:uid="{00000000-0005-0000-0000-0000163C0000}"/>
    <cellStyle name="Примечание 2 30 2" xfId="8958" xr:uid="{00000000-0005-0000-0000-0000173C0000}"/>
    <cellStyle name="Примечание 2 30 3" xfId="13208" xr:uid="{00000000-0005-0000-0000-0000183C0000}"/>
    <cellStyle name="Примечание 2 30 4" xfId="17429" xr:uid="{00000000-0005-0000-0000-0000193C0000}"/>
    <cellStyle name="Примечание 2 31" xfId="4346" xr:uid="{00000000-0005-0000-0000-00001A3C0000}"/>
    <cellStyle name="Примечание 2 31 2" xfId="8959" xr:uid="{00000000-0005-0000-0000-00001B3C0000}"/>
    <cellStyle name="Примечание 2 31 3" xfId="13209" xr:uid="{00000000-0005-0000-0000-00001C3C0000}"/>
    <cellStyle name="Примечание 2 31 4" xfId="17430" xr:uid="{00000000-0005-0000-0000-00001D3C0000}"/>
    <cellStyle name="Примечание 2 32" xfId="4347" xr:uid="{00000000-0005-0000-0000-00001E3C0000}"/>
    <cellStyle name="Примечание 2 32 2" xfId="8960" xr:uid="{00000000-0005-0000-0000-00001F3C0000}"/>
    <cellStyle name="Примечание 2 32 3" xfId="13210" xr:uid="{00000000-0005-0000-0000-0000203C0000}"/>
    <cellStyle name="Примечание 2 32 4" xfId="17431" xr:uid="{00000000-0005-0000-0000-0000213C0000}"/>
    <cellStyle name="Примечание 2 33" xfId="4348" xr:uid="{00000000-0005-0000-0000-0000223C0000}"/>
    <cellStyle name="Примечание 2 33 2" xfId="8961" xr:uid="{00000000-0005-0000-0000-0000233C0000}"/>
    <cellStyle name="Примечание 2 33 3" xfId="13211" xr:uid="{00000000-0005-0000-0000-0000243C0000}"/>
    <cellStyle name="Примечание 2 33 4" xfId="17432" xr:uid="{00000000-0005-0000-0000-0000253C0000}"/>
    <cellStyle name="Примечание 2 34" xfId="4349" xr:uid="{00000000-0005-0000-0000-0000263C0000}"/>
    <cellStyle name="Примечание 2 34 2" xfId="8962" xr:uid="{00000000-0005-0000-0000-0000273C0000}"/>
    <cellStyle name="Примечание 2 34 3" xfId="13212" xr:uid="{00000000-0005-0000-0000-0000283C0000}"/>
    <cellStyle name="Примечание 2 34 4" xfId="17433" xr:uid="{00000000-0005-0000-0000-0000293C0000}"/>
    <cellStyle name="Примечание 2 35" xfId="4350" xr:uid="{00000000-0005-0000-0000-00002A3C0000}"/>
    <cellStyle name="Примечание 2 35 2" xfId="8963" xr:uid="{00000000-0005-0000-0000-00002B3C0000}"/>
    <cellStyle name="Примечание 2 35 3" xfId="13213" xr:uid="{00000000-0005-0000-0000-00002C3C0000}"/>
    <cellStyle name="Примечание 2 35 4" xfId="17434" xr:uid="{00000000-0005-0000-0000-00002D3C0000}"/>
    <cellStyle name="Примечание 2 36" xfId="4351" xr:uid="{00000000-0005-0000-0000-00002E3C0000}"/>
    <cellStyle name="Примечание 2 36 2" xfId="8964" xr:uid="{00000000-0005-0000-0000-00002F3C0000}"/>
    <cellStyle name="Примечание 2 36 3" xfId="13214" xr:uid="{00000000-0005-0000-0000-0000303C0000}"/>
    <cellStyle name="Примечание 2 36 4" xfId="17435" xr:uid="{00000000-0005-0000-0000-0000313C0000}"/>
    <cellStyle name="Примечание 2 37" xfId="4352" xr:uid="{00000000-0005-0000-0000-0000323C0000}"/>
    <cellStyle name="Примечание 2 37 2" xfId="8965" xr:uid="{00000000-0005-0000-0000-0000333C0000}"/>
    <cellStyle name="Примечание 2 37 3" xfId="13215" xr:uid="{00000000-0005-0000-0000-0000343C0000}"/>
    <cellStyle name="Примечание 2 37 4" xfId="17436" xr:uid="{00000000-0005-0000-0000-0000353C0000}"/>
    <cellStyle name="Примечание 2 38" xfId="4353" xr:uid="{00000000-0005-0000-0000-0000363C0000}"/>
    <cellStyle name="Примечание 2 38 2" xfId="8966" xr:uid="{00000000-0005-0000-0000-0000373C0000}"/>
    <cellStyle name="Примечание 2 38 3" xfId="13216" xr:uid="{00000000-0005-0000-0000-0000383C0000}"/>
    <cellStyle name="Примечание 2 38 4" xfId="17437" xr:uid="{00000000-0005-0000-0000-0000393C0000}"/>
    <cellStyle name="Примечание 2 39" xfId="4354" xr:uid="{00000000-0005-0000-0000-00003A3C0000}"/>
    <cellStyle name="Примечание 2 39 2" xfId="8967" xr:uid="{00000000-0005-0000-0000-00003B3C0000}"/>
    <cellStyle name="Примечание 2 39 3" xfId="13217" xr:uid="{00000000-0005-0000-0000-00003C3C0000}"/>
    <cellStyle name="Примечание 2 39 4" xfId="17438" xr:uid="{00000000-0005-0000-0000-00003D3C0000}"/>
    <cellStyle name="Примечание 2 4" xfId="4355" xr:uid="{00000000-0005-0000-0000-00003E3C0000}"/>
    <cellStyle name="Примечание 2 4 2" xfId="4356" xr:uid="{00000000-0005-0000-0000-00003F3C0000}"/>
    <cellStyle name="Примечание 2 4 2 2" xfId="8969" xr:uid="{00000000-0005-0000-0000-0000403C0000}"/>
    <cellStyle name="Примечание 2 4 2 3" xfId="13219" xr:uid="{00000000-0005-0000-0000-0000413C0000}"/>
    <cellStyle name="Примечание 2 4 2 4" xfId="17440" xr:uid="{00000000-0005-0000-0000-0000423C0000}"/>
    <cellStyle name="Примечание 2 4 3" xfId="4357" xr:uid="{00000000-0005-0000-0000-0000433C0000}"/>
    <cellStyle name="Примечание 2 4 3 2" xfId="8970" xr:uid="{00000000-0005-0000-0000-0000443C0000}"/>
    <cellStyle name="Примечание 2 4 3 3" xfId="13220" xr:uid="{00000000-0005-0000-0000-0000453C0000}"/>
    <cellStyle name="Примечание 2 4 3 4" xfId="17441" xr:uid="{00000000-0005-0000-0000-0000463C0000}"/>
    <cellStyle name="Примечание 2 4 4" xfId="8968" xr:uid="{00000000-0005-0000-0000-0000473C0000}"/>
    <cellStyle name="Примечание 2 4 5" xfId="13218" xr:uid="{00000000-0005-0000-0000-0000483C0000}"/>
    <cellStyle name="Примечание 2 4 6" xfId="17439" xr:uid="{00000000-0005-0000-0000-0000493C0000}"/>
    <cellStyle name="Примечание 2 40" xfId="4358" xr:uid="{00000000-0005-0000-0000-00004A3C0000}"/>
    <cellStyle name="Примечание 2 40 2" xfId="8971" xr:uid="{00000000-0005-0000-0000-00004B3C0000}"/>
    <cellStyle name="Примечание 2 40 3" xfId="13221" xr:uid="{00000000-0005-0000-0000-00004C3C0000}"/>
    <cellStyle name="Примечание 2 40 4" xfId="17442" xr:uid="{00000000-0005-0000-0000-00004D3C0000}"/>
    <cellStyle name="Примечание 2 41" xfId="4359" xr:uid="{00000000-0005-0000-0000-00004E3C0000}"/>
    <cellStyle name="Примечание 2 41 2" xfId="8972" xr:uid="{00000000-0005-0000-0000-00004F3C0000}"/>
    <cellStyle name="Примечание 2 41 3" xfId="13222" xr:uid="{00000000-0005-0000-0000-0000503C0000}"/>
    <cellStyle name="Примечание 2 41 4" xfId="17443" xr:uid="{00000000-0005-0000-0000-0000513C0000}"/>
    <cellStyle name="Примечание 2 42" xfId="4360" xr:uid="{00000000-0005-0000-0000-0000523C0000}"/>
    <cellStyle name="Примечание 2 42 2" xfId="8973" xr:uid="{00000000-0005-0000-0000-0000533C0000}"/>
    <cellStyle name="Примечание 2 42 3" xfId="13223" xr:uid="{00000000-0005-0000-0000-0000543C0000}"/>
    <cellStyle name="Примечание 2 42 4" xfId="17444" xr:uid="{00000000-0005-0000-0000-0000553C0000}"/>
    <cellStyle name="Примечание 2 43" xfId="4361" xr:uid="{00000000-0005-0000-0000-0000563C0000}"/>
    <cellStyle name="Примечание 2 43 2" xfId="8974" xr:uid="{00000000-0005-0000-0000-0000573C0000}"/>
    <cellStyle name="Примечание 2 43 3" xfId="13224" xr:uid="{00000000-0005-0000-0000-0000583C0000}"/>
    <cellStyle name="Примечание 2 43 4" xfId="17445" xr:uid="{00000000-0005-0000-0000-0000593C0000}"/>
    <cellStyle name="Примечание 2 44" xfId="4362" xr:uid="{00000000-0005-0000-0000-00005A3C0000}"/>
    <cellStyle name="Примечание 2 44 2" xfId="8975" xr:uid="{00000000-0005-0000-0000-00005B3C0000}"/>
    <cellStyle name="Примечание 2 44 3" xfId="13225" xr:uid="{00000000-0005-0000-0000-00005C3C0000}"/>
    <cellStyle name="Примечание 2 44 4" xfId="17446" xr:uid="{00000000-0005-0000-0000-00005D3C0000}"/>
    <cellStyle name="Примечание 2 45" xfId="4363" xr:uid="{00000000-0005-0000-0000-00005E3C0000}"/>
    <cellStyle name="Примечание 2 45 2" xfId="8976" xr:uid="{00000000-0005-0000-0000-00005F3C0000}"/>
    <cellStyle name="Примечание 2 45 3" xfId="13226" xr:uid="{00000000-0005-0000-0000-0000603C0000}"/>
    <cellStyle name="Примечание 2 45 4" xfId="17447" xr:uid="{00000000-0005-0000-0000-0000613C0000}"/>
    <cellStyle name="Примечание 2 46" xfId="4364" xr:uid="{00000000-0005-0000-0000-0000623C0000}"/>
    <cellStyle name="Примечание 2 46 2" xfId="8977" xr:uid="{00000000-0005-0000-0000-0000633C0000}"/>
    <cellStyle name="Примечание 2 46 3" xfId="13227" xr:uid="{00000000-0005-0000-0000-0000643C0000}"/>
    <cellStyle name="Примечание 2 46 4" xfId="17448" xr:uid="{00000000-0005-0000-0000-0000653C0000}"/>
    <cellStyle name="Примечание 2 47" xfId="4365" xr:uid="{00000000-0005-0000-0000-0000663C0000}"/>
    <cellStyle name="Примечание 2 47 2" xfId="8978" xr:uid="{00000000-0005-0000-0000-0000673C0000}"/>
    <cellStyle name="Примечание 2 47 3" xfId="13228" xr:uid="{00000000-0005-0000-0000-0000683C0000}"/>
    <cellStyle name="Примечание 2 47 4" xfId="17449" xr:uid="{00000000-0005-0000-0000-0000693C0000}"/>
    <cellStyle name="Примечание 2 48" xfId="4366" xr:uid="{00000000-0005-0000-0000-00006A3C0000}"/>
    <cellStyle name="Примечание 2 48 2" xfId="8979" xr:uid="{00000000-0005-0000-0000-00006B3C0000}"/>
    <cellStyle name="Примечание 2 48 3" xfId="13229" xr:uid="{00000000-0005-0000-0000-00006C3C0000}"/>
    <cellStyle name="Примечание 2 48 4" xfId="17450" xr:uid="{00000000-0005-0000-0000-00006D3C0000}"/>
    <cellStyle name="Примечание 2 49" xfId="4367" xr:uid="{00000000-0005-0000-0000-00006E3C0000}"/>
    <cellStyle name="Примечание 2 49 2" xfId="8980" xr:uid="{00000000-0005-0000-0000-00006F3C0000}"/>
    <cellStyle name="Примечание 2 49 3" xfId="13230" xr:uid="{00000000-0005-0000-0000-0000703C0000}"/>
    <cellStyle name="Примечание 2 49 4" xfId="17451" xr:uid="{00000000-0005-0000-0000-0000713C0000}"/>
    <cellStyle name="Примечание 2 5" xfId="4368" xr:uid="{00000000-0005-0000-0000-0000723C0000}"/>
    <cellStyle name="Примечание 2 5 2" xfId="8981" xr:uid="{00000000-0005-0000-0000-0000733C0000}"/>
    <cellStyle name="Примечание 2 5 3" xfId="13231" xr:uid="{00000000-0005-0000-0000-0000743C0000}"/>
    <cellStyle name="Примечание 2 5 4" xfId="17452" xr:uid="{00000000-0005-0000-0000-0000753C0000}"/>
    <cellStyle name="Примечание 2 50" xfId="4369" xr:uid="{00000000-0005-0000-0000-0000763C0000}"/>
    <cellStyle name="Примечание 2 50 2" xfId="8982" xr:uid="{00000000-0005-0000-0000-0000773C0000}"/>
    <cellStyle name="Примечание 2 50 3" xfId="13232" xr:uid="{00000000-0005-0000-0000-0000783C0000}"/>
    <cellStyle name="Примечание 2 50 4" xfId="17453" xr:uid="{00000000-0005-0000-0000-0000793C0000}"/>
    <cellStyle name="Примечание 2 51" xfId="4370" xr:uid="{00000000-0005-0000-0000-00007A3C0000}"/>
    <cellStyle name="Примечание 2 51 2" xfId="8983" xr:uid="{00000000-0005-0000-0000-00007B3C0000}"/>
    <cellStyle name="Примечание 2 51 3" xfId="13233" xr:uid="{00000000-0005-0000-0000-00007C3C0000}"/>
    <cellStyle name="Примечание 2 51 4" xfId="17454" xr:uid="{00000000-0005-0000-0000-00007D3C0000}"/>
    <cellStyle name="Примечание 2 52" xfId="4371" xr:uid="{00000000-0005-0000-0000-00007E3C0000}"/>
    <cellStyle name="Примечание 2 52 2" xfId="8984" xr:uid="{00000000-0005-0000-0000-00007F3C0000}"/>
    <cellStyle name="Примечание 2 52 3" xfId="13234" xr:uid="{00000000-0005-0000-0000-0000803C0000}"/>
    <cellStyle name="Примечание 2 52 4" xfId="17455" xr:uid="{00000000-0005-0000-0000-0000813C0000}"/>
    <cellStyle name="Примечание 2 53" xfId="4372" xr:uid="{00000000-0005-0000-0000-0000823C0000}"/>
    <cellStyle name="Примечание 2 53 2" xfId="8985" xr:uid="{00000000-0005-0000-0000-0000833C0000}"/>
    <cellStyle name="Примечание 2 53 3" xfId="13235" xr:uid="{00000000-0005-0000-0000-0000843C0000}"/>
    <cellStyle name="Примечание 2 53 4" xfId="17456" xr:uid="{00000000-0005-0000-0000-0000853C0000}"/>
    <cellStyle name="Примечание 2 54" xfId="4373" xr:uid="{00000000-0005-0000-0000-0000863C0000}"/>
    <cellStyle name="Примечание 2 54 2" xfId="8986" xr:uid="{00000000-0005-0000-0000-0000873C0000}"/>
    <cellStyle name="Примечание 2 54 3" xfId="13236" xr:uid="{00000000-0005-0000-0000-0000883C0000}"/>
    <cellStyle name="Примечание 2 54 4" xfId="17457" xr:uid="{00000000-0005-0000-0000-0000893C0000}"/>
    <cellStyle name="Примечание 2 55" xfId="4374" xr:uid="{00000000-0005-0000-0000-00008A3C0000}"/>
    <cellStyle name="Примечание 2 55 2" xfId="8987" xr:uid="{00000000-0005-0000-0000-00008B3C0000}"/>
    <cellStyle name="Примечание 2 55 3" xfId="13237" xr:uid="{00000000-0005-0000-0000-00008C3C0000}"/>
    <cellStyle name="Примечание 2 55 4" xfId="17458" xr:uid="{00000000-0005-0000-0000-00008D3C0000}"/>
    <cellStyle name="Примечание 2 56" xfId="4375" xr:uid="{00000000-0005-0000-0000-00008E3C0000}"/>
    <cellStyle name="Примечание 2 56 2" xfId="8988" xr:uid="{00000000-0005-0000-0000-00008F3C0000}"/>
    <cellStyle name="Примечание 2 56 3" xfId="13238" xr:uid="{00000000-0005-0000-0000-0000903C0000}"/>
    <cellStyle name="Примечание 2 56 4" xfId="17459" xr:uid="{00000000-0005-0000-0000-0000913C0000}"/>
    <cellStyle name="Примечание 2 57" xfId="4376" xr:uid="{00000000-0005-0000-0000-0000923C0000}"/>
    <cellStyle name="Примечание 2 57 2" xfId="8989" xr:uid="{00000000-0005-0000-0000-0000933C0000}"/>
    <cellStyle name="Примечание 2 57 3" xfId="13239" xr:uid="{00000000-0005-0000-0000-0000943C0000}"/>
    <cellStyle name="Примечание 2 57 4" xfId="17460" xr:uid="{00000000-0005-0000-0000-0000953C0000}"/>
    <cellStyle name="Примечание 2 58" xfId="4377" xr:uid="{00000000-0005-0000-0000-0000963C0000}"/>
    <cellStyle name="Примечание 2 58 2" xfId="8990" xr:uid="{00000000-0005-0000-0000-0000973C0000}"/>
    <cellStyle name="Примечание 2 58 3" xfId="13240" xr:uid="{00000000-0005-0000-0000-0000983C0000}"/>
    <cellStyle name="Примечание 2 58 4" xfId="17461" xr:uid="{00000000-0005-0000-0000-0000993C0000}"/>
    <cellStyle name="Примечание 2 59" xfId="4378" xr:uid="{00000000-0005-0000-0000-00009A3C0000}"/>
    <cellStyle name="Примечание 2 59 2" xfId="8991" xr:uid="{00000000-0005-0000-0000-00009B3C0000}"/>
    <cellStyle name="Примечание 2 59 3" xfId="13241" xr:uid="{00000000-0005-0000-0000-00009C3C0000}"/>
    <cellStyle name="Примечание 2 59 4" xfId="17462" xr:uid="{00000000-0005-0000-0000-00009D3C0000}"/>
    <cellStyle name="Примечание 2 6" xfId="4379" xr:uid="{00000000-0005-0000-0000-00009E3C0000}"/>
    <cellStyle name="Примечание 2 6 2" xfId="8992" xr:uid="{00000000-0005-0000-0000-00009F3C0000}"/>
    <cellStyle name="Примечание 2 6 3" xfId="13242" xr:uid="{00000000-0005-0000-0000-0000A03C0000}"/>
    <cellStyle name="Примечание 2 6 4" xfId="17463" xr:uid="{00000000-0005-0000-0000-0000A13C0000}"/>
    <cellStyle name="Примечание 2 60" xfId="4380" xr:uid="{00000000-0005-0000-0000-0000A23C0000}"/>
    <cellStyle name="Примечание 2 60 2" xfId="8993" xr:uid="{00000000-0005-0000-0000-0000A33C0000}"/>
    <cellStyle name="Примечание 2 60 3" xfId="13243" xr:uid="{00000000-0005-0000-0000-0000A43C0000}"/>
    <cellStyle name="Примечание 2 60 4" xfId="17464" xr:uid="{00000000-0005-0000-0000-0000A53C0000}"/>
    <cellStyle name="Примечание 2 61" xfId="4381" xr:uid="{00000000-0005-0000-0000-0000A63C0000}"/>
    <cellStyle name="Примечание 2 61 2" xfId="8994" xr:uid="{00000000-0005-0000-0000-0000A73C0000}"/>
    <cellStyle name="Примечание 2 61 3" xfId="13244" xr:uid="{00000000-0005-0000-0000-0000A83C0000}"/>
    <cellStyle name="Примечание 2 61 4" xfId="17465" xr:uid="{00000000-0005-0000-0000-0000A93C0000}"/>
    <cellStyle name="Примечание 2 62" xfId="4382" xr:uid="{00000000-0005-0000-0000-0000AA3C0000}"/>
    <cellStyle name="Примечание 2 62 2" xfId="8995" xr:uid="{00000000-0005-0000-0000-0000AB3C0000}"/>
    <cellStyle name="Примечание 2 62 3" xfId="13245" xr:uid="{00000000-0005-0000-0000-0000AC3C0000}"/>
    <cellStyle name="Примечание 2 62 4" xfId="17466" xr:uid="{00000000-0005-0000-0000-0000AD3C0000}"/>
    <cellStyle name="Примечание 2 63" xfId="4383" xr:uid="{00000000-0005-0000-0000-0000AE3C0000}"/>
    <cellStyle name="Примечание 2 63 2" xfId="8996" xr:uid="{00000000-0005-0000-0000-0000AF3C0000}"/>
    <cellStyle name="Примечание 2 63 3" xfId="13246" xr:uid="{00000000-0005-0000-0000-0000B03C0000}"/>
    <cellStyle name="Примечание 2 63 4" xfId="17467" xr:uid="{00000000-0005-0000-0000-0000B13C0000}"/>
    <cellStyle name="Примечание 2 64" xfId="4384" xr:uid="{00000000-0005-0000-0000-0000B23C0000}"/>
    <cellStyle name="Примечание 2 64 2" xfId="8997" xr:uid="{00000000-0005-0000-0000-0000B33C0000}"/>
    <cellStyle name="Примечание 2 64 3" xfId="13247" xr:uid="{00000000-0005-0000-0000-0000B43C0000}"/>
    <cellStyle name="Примечание 2 64 4" xfId="17468" xr:uid="{00000000-0005-0000-0000-0000B53C0000}"/>
    <cellStyle name="Примечание 2 65" xfId="4385" xr:uid="{00000000-0005-0000-0000-0000B63C0000}"/>
    <cellStyle name="Примечание 2 65 2" xfId="8998" xr:uid="{00000000-0005-0000-0000-0000B73C0000}"/>
    <cellStyle name="Примечание 2 65 3" xfId="13248" xr:uid="{00000000-0005-0000-0000-0000B83C0000}"/>
    <cellStyle name="Примечание 2 65 4" xfId="17469" xr:uid="{00000000-0005-0000-0000-0000B93C0000}"/>
    <cellStyle name="Примечание 2 66" xfId="4386" xr:uid="{00000000-0005-0000-0000-0000BA3C0000}"/>
    <cellStyle name="Примечание 2 66 2" xfId="8999" xr:uid="{00000000-0005-0000-0000-0000BB3C0000}"/>
    <cellStyle name="Примечание 2 66 3" xfId="13249" xr:uid="{00000000-0005-0000-0000-0000BC3C0000}"/>
    <cellStyle name="Примечание 2 66 4" xfId="17470" xr:uid="{00000000-0005-0000-0000-0000BD3C0000}"/>
    <cellStyle name="Примечание 2 67" xfId="4387" xr:uid="{00000000-0005-0000-0000-0000BE3C0000}"/>
    <cellStyle name="Примечание 2 67 2" xfId="9000" xr:uid="{00000000-0005-0000-0000-0000BF3C0000}"/>
    <cellStyle name="Примечание 2 67 3" xfId="13250" xr:uid="{00000000-0005-0000-0000-0000C03C0000}"/>
    <cellStyle name="Примечание 2 67 4" xfId="17471" xr:uid="{00000000-0005-0000-0000-0000C13C0000}"/>
    <cellStyle name="Примечание 2 68" xfId="4388" xr:uid="{00000000-0005-0000-0000-0000C23C0000}"/>
    <cellStyle name="Примечание 2 68 2" xfId="9001" xr:uid="{00000000-0005-0000-0000-0000C33C0000}"/>
    <cellStyle name="Примечание 2 68 3" xfId="13251" xr:uid="{00000000-0005-0000-0000-0000C43C0000}"/>
    <cellStyle name="Примечание 2 68 4" xfId="17472" xr:uid="{00000000-0005-0000-0000-0000C53C0000}"/>
    <cellStyle name="Примечание 2 69" xfId="4389" xr:uid="{00000000-0005-0000-0000-0000C63C0000}"/>
    <cellStyle name="Примечание 2 69 2" xfId="9002" xr:uid="{00000000-0005-0000-0000-0000C73C0000}"/>
    <cellStyle name="Примечание 2 69 3" xfId="13252" xr:uid="{00000000-0005-0000-0000-0000C83C0000}"/>
    <cellStyle name="Примечание 2 69 4" xfId="17473" xr:uid="{00000000-0005-0000-0000-0000C93C0000}"/>
    <cellStyle name="Примечание 2 7" xfId="4390" xr:uid="{00000000-0005-0000-0000-0000CA3C0000}"/>
    <cellStyle name="Примечание 2 7 2" xfId="9003" xr:uid="{00000000-0005-0000-0000-0000CB3C0000}"/>
    <cellStyle name="Примечание 2 7 3" xfId="13253" xr:uid="{00000000-0005-0000-0000-0000CC3C0000}"/>
    <cellStyle name="Примечание 2 7 4" xfId="17474" xr:uid="{00000000-0005-0000-0000-0000CD3C0000}"/>
    <cellStyle name="Примечание 2 70" xfId="4391" xr:uid="{00000000-0005-0000-0000-0000CE3C0000}"/>
    <cellStyle name="Примечание 2 70 2" xfId="9004" xr:uid="{00000000-0005-0000-0000-0000CF3C0000}"/>
    <cellStyle name="Примечание 2 70 3" xfId="13254" xr:uid="{00000000-0005-0000-0000-0000D03C0000}"/>
    <cellStyle name="Примечание 2 70 4" xfId="17475" xr:uid="{00000000-0005-0000-0000-0000D13C0000}"/>
    <cellStyle name="Примечание 2 71" xfId="4392" xr:uid="{00000000-0005-0000-0000-0000D23C0000}"/>
    <cellStyle name="Примечание 2 71 2" xfId="9005" xr:uid="{00000000-0005-0000-0000-0000D33C0000}"/>
    <cellStyle name="Примечание 2 71 3" xfId="13255" xr:uid="{00000000-0005-0000-0000-0000D43C0000}"/>
    <cellStyle name="Примечание 2 71 4" xfId="17476" xr:uid="{00000000-0005-0000-0000-0000D53C0000}"/>
    <cellStyle name="Примечание 2 72" xfId="4393" xr:uid="{00000000-0005-0000-0000-0000D63C0000}"/>
    <cellStyle name="Примечание 2 72 2" xfId="9006" xr:uid="{00000000-0005-0000-0000-0000D73C0000}"/>
    <cellStyle name="Примечание 2 72 3" xfId="13256" xr:uid="{00000000-0005-0000-0000-0000D83C0000}"/>
    <cellStyle name="Примечание 2 72 4" xfId="17477" xr:uid="{00000000-0005-0000-0000-0000D93C0000}"/>
    <cellStyle name="Примечание 2 73" xfId="4394" xr:uid="{00000000-0005-0000-0000-0000DA3C0000}"/>
    <cellStyle name="Примечание 2 73 2" xfId="9007" xr:uid="{00000000-0005-0000-0000-0000DB3C0000}"/>
    <cellStyle name="Примечание 2 73 3" xfId="13257" xr:uid="{00000000-0005-0000-0000-0000DC3C0000}"/>
    <cellStyle name="Примечание 2 73 4" xfId="17478" xr:uid="{00000000-0005-0000-0000-0000DD3C0000}"/>
    <cellStyle name="Примечание 2 74" xfId="4395" xr:uid="{00000000-0005-0000-0000-0000DE3C0000}"/>
    <cellStyle name="Примечание 2 74 2" xfId="9008" xr:uid="{00000000-0005-0000-0000-0000DF3C0000}"/>
    <cellStyle name="Примечание 2 74 3" xfId="13258" xr:uid="{00000000-0005-0000-0000-0000E03C0000}"/>
    <cellStyle name="Примечание 2 74 4" xfId="17479" xr:uid="{00000000-0005-0000-0000-0000E13C0000}"/>
    <cellStyle name="Примечание 2 75" xfId="4396" xr:uid="{00000000-0005-0000-0000-0000E23C0000}"/>
    <cellStyle name="Примечание 2 75 2" xfId="9009" xr:uid="{00000000-0005-0000-0000-0000E33C0000}"/>
    <cellStyle name="Примечание 2 75 3" xfId="13259" xr:uid="{00000000-0005-0000-0000-0000E43C0000}"/>
    <cellStyle name="Примечание 2 75 4" xfId="17480" xr:uid="{00000000-0005-0000-0000-0000E53C0000}"/>
    <cellStyle name="Примечание 2 76" xfId="4397" xr:uid="{00000000-0005-0000-0000-0000E63C0000}"/>
    <cellStyle name="Примечание 2 76 2" xfId="9010" xr:uid="{00000000-0005-0000-0000-0000E73C0000}"/>
    <cellStyle name="Примечание 2 76 3" xfId="13260" xr:uid="{00000000-0005-0000-0000-0000E83C0000}"/>
    <cellStyle name="Примечание 2 76 4" xfId="17481" xr:uid="{00000000-0005-0000-0000-0000E93C0000}"/>
    <cellStyle name="Примечание 2 77" xfId="4398" xr:uid="{00000000-0005-0000-0000-0000EA3C0000}"/>
    <cellStyle name="Примечание 2 77 2" xfId="9011" xr:uid="{00000000-0005-0000-0000-0000EB3C0000}"/>
    <cellStyle name="Примечание 2 77 3" xfId="13261" xr:uid="{00000000-0005-0000-0000-0000EC3C0000}"/>
    <cellStyle name="Примечание 2 77 4" xfId="17482" xr:uid="{00000000-0005-0000-0000-0000ED3C0000}"/>
    <cellStyle name="Примечание 2 78" xfId="4399" xr:uid="{00000000-0005-0000-0000-0000EE3C0000}"/>
    <cellStyle name="Примечание 2 78 2" xfId="9012" xr:uid="{00000000-0005-0000-0000-0000EF3C0000}"/>
    <cellStyle name="Примечание 2 78 3" xfId="13262" xr:uid="{00000000-0005-0000-0000-0000F03C0000}"/>
    <cellStyle name="Примечание 2 78 4" xfId="17483" xr:uid="{00000000-0005-0000-0000-0000F13C0000}"/>
    <cellStyle name="Примечание 2 79" xfId="4400" xr:uid="{00000000-0005-0000-0000-0000F23C0000}"/>
    <cellStyle name="Примечание 2 79 2" xfId="9013" xr:uid="{00000000-0005-0000-0000-0000F33C0000}"/>
    <cellStyle name="Примечание 2 79 3" xfId="13263" xr:uid="{00000000-0005-0000-0000-0000F43C0000}"/>
    <cellStyle name="Примечание 2 79 4" xfId="17484" xr:uid="{00000000-0005-0000-0000-0000F53C0000}"/>
    <cellStyle name="Примечание 2 8" xfId="4401" xr:uid="{00000000-0005-0000-0000-0000F63C0000}"/>
    <cellStyle name="Примечание 2 8 2" xfId="9014" xr:uid="{00000000-0005-0000-0000-0000F73C0000}"/>
    <cellStyle name="Примечание 2 8 3" xfId="13264" xr:uid="{00000000-0005-0000-0000-0000F83C0000}"/>
    <cellStyle name="Примечание 2 8 4" xfId="17485" xr:uid="{00000000-0005-0000-0000-0000F93C0000}"/>
    <cellStyle name="Примечание 2 80" xfId="4402" xr:uid="{00000000-0005-0000-0000-0000FA3C0000}"/>
    <cellStyle name="Примечание 2 80 2" xfId="9015" xr:uid="{00000000-0005-0000-0000-0000FB3C0000}"/>
    <cellStyle name="Примечание 2 80 3" xfId="13265" xr:uid="{00000000-0005-0000-0000-0000FC3C0000}"/>
    <cellStyle name="Примечание 2 80 4" xfId="17486" xr:uid="{00000000-0005-0000-0000-0000FD3C0000}"/>
    <cellStyle name="Примечание 2 81" xfId="4403" xr:uid="{00000000-0005-0000-0000-0000FE3C0000}"/>
    <cellStyle name="Примечание 2 81 2" xfId="9016" xr:uid="{00000000-0005-0000-0000-0000FF3C0000}"/>
    <cellStyle name="Примечание 2 81 3" xfId="13266" xr:uid="{00000000-0005-0000-0000-0000003D0000}"/>
    <cellStyle name="Примечание 2 81 4" xfId="17487" xr:uid="{00000000-0005-0000-0000-0000013D0000}"/>
    <cellStyle name="Примечание 2 82" xfId="4404" xr:uid="{00000000-0005-0000-0000-0000023D0000}"/>
    <cellStyle name="Примечание 2 82 2" xfId="9017" xr:uid="{00000000-0005-0000-0000-0000033D0000}"/>
    <cellStyle name="Примечание 2 82 3" xfId="13267" xr:uid="{00000000-0005-0000-0000-0000043D0000}"/>
    <cellStyle name="Примечание 2 82 4" xfId="17488" xr:uid="{00000000-0005-0000-0000-0000053D0000}"/>
    <cellStyle name="Примечание 2 83" xfId="4405" xr:uid="{00000000-0005-0000-0000-0000063D0000}"/>
    <cellStyle name="Примечание 2 83 2" xfId="9018" xr:uid="{00000000-0005-0000-0000-0000073D0000}"/>
    <cellStyle name="Примечание 2 83 3" xfId="13268" xr:uid="{00000000-0005-0000-0000-0000083D0000}"/>
    <cellStyle name="Примечание 2 83 4" xfId="17489" xr:uid="{00000000-0005-0000-0000-0000093D0000}"/>
    <cellStyle name="Примечание 2 84" xfId="4406" xr:uid="{00000000-0005-0000-0000-00000A3D0000}"/>
    <cellStyle name="Примечание 2 84 2" xfId="9019" xr:uid="{00000000-0005-0000-0000-00000B3D0000}"/>
    <cellStyle name="Примечание 2 84 3" xfId="13269" xr:uid="{00000000-0005-0000-0000-00000C3D0000}"/>
    <cellStyle name="Примечание 2 84 4" xfId="17490" xr:uid="{00000000-0005-0000-0000-00000D3D0000}"/>
    <cellStyle name="Примечание 2 85" xfId="4407" xr:uid="{00000000-0005-0000-0000-00000E3D0000}"/>
    <cellStyle name="Примечание 2 85 2" xfId="9020" xr:uid="{00000000-0005-0000-0000-00000F3D0000}"/>
    <cellStyle name="Примечание 2 85 3" xfId="13270" xr:uid="{00000000-0005-0000-0000-0000103D0000}"/>
    <cellStyle name="Примечание 2 85 4" xfId="17491" xr:uid="{00000000-0005-0000-0000-0000113D0000}"/>
    <cellStyle name="Примечание 2 86" xfId="4408" xr:uid="{00000000-0005-0000-0000-0000123D0000}"/>
    <cellStyle name="Примечание 2 86 2" xfId="9021" xr:uid="{00000000-0005-0000-0000-0000133D0000}"/>
    <cellStyle name="Примечание 2 86 3" xfId="13271" xr:uid="{00000000-0005-0000-0000-0000143D0000}"/>
    <cellStyle name="Примечание 2 86 4" xfId="17492" xr:uid="{00000000-0005-0000-0000-0000153D0000}"/>
    <cellStyle name="Примечание 2 87" xfId="4409" xr:uid="{00000000-0005-0000-0000-0000163D0000}"/>
    <cellStyle name="Примечание 2 87 2" xfId="9022" xr:uid="{00000000-0005-0000-0000-0000173D0000}"/>
    <cellStyle name="Примечание 2 87 3" xfId="13272" xr:uid="{00000000-0005-0000-0000-0000183D0000}"/>
    <cellStyle name="Примечание 2 87 4" xfId="17493" xr:uid="{00000000-0005-0000-0000-0000193D0000}"/>
    <cellStyle name="Примечание 2 88" xfId="4410" xr:uid="{00000000-0005-0000-0000-00001A3D0000}"/>
    <cellStyle name="Примечание 2 88 2" xfId="9023" xr:uid="{00000000-0005-0000-0000-00001B3D0000}"/>
    <cellStyle name="Примечание 2 88 3" xfId="13273" xr:uid="{00000000-0005-0000-0000-00001C3D0000}"/>
    <cellStyle name="Примечание 2 88 4" xfId="17494" xr:uid="{00000000-0005-0000-0000-00001D3D0000}"/>
    <cellStyle name="Примечание 2 89" xfId="4411" xr:uid="{00000000-0005-0000-0000-00001E3D0000}"/>
    <cellStyle name="Примечание 2 89 2" xfId="9024" xr:uid="{00000000-0005-0000-0000-00001F3D0000}"/>
    <cellStyle name="Примечание 2 89 3" xfId="13274" xr:uid="{00000000-0005-0000-0000-0000203D0000}"/>
    <cellStyle name="Примечание 2 89 4" xfId="17495" xr:uid="{00000000-0005-0000-0000-0000213D0000}"/>
    <cellStyle name="Примечание 2 9" xfId="4412" xr:uid="{00000000-0005-0000-0000-0000223D0000}"/>
    <cellStyle name="Примечание 2 9 2" xfId="9025" xr:uid="{00000000-0005-0000-0000-0000233D0000}"/>
    <cellStyle name="Примечание 2 9 3" xfId="13275" xr:uid="{00000000-0005-0000-0000-0000243D0000}"/>
    <cellStyle name="Примечание 2 9 4" xfId="17496" xr:uid="{00000000-0005-0000-0000-0000253D0000}"/>
    <cellStyle name="Примечание 2 90" xfId="5215" xr:uid="{00000000-0005-0000-0000-0000263D0000}"/>
    <cellStyle name="Примечание 2 91" xfId="8830" xr:uid="{00000000-0005-0000-0000-0000273D0000}"/>
    <cellStyle name="Примечание 2 92" xfId="13080" xr:uid="{00000000-0005-0000-0000-0000283D0000}"/>
    <cellStyle name="Примечание 3" xfId="429" xr:uid="{00000000-0005-0000-0000-0000293D0000}"/>
    <cellStyle name="Примечание 3 10" xfId="4413" xr:uid="{00000000-0005-0000-0000-00002A3D0000}"/>
    <cellStyle name="Примечание 3 10 2" xfId="9026" xr:uid="{00000000-0005-0000-0000-00002B3D0000}"/>
    <cellStyle name="Примечание 3 10 3" xfId="13276" xr:uid="{00000000-0005-0000-0000-00002C3D0000}"/>
    <cellStyle name="Примечание 3 10 4" xfId="17497" xr:uid="{00000000-0005-0000-0000-00002D3D0000}"/>
    <cellStyle name="Примечание 3 11" xfId="4414" xr:uid="{00000000-0005-0000-0000-00002E3D0000}"/>
    <cellStyle name="Примечание 3 11 2" xfId="9027" xr:uid="{00000000-0005-0000-0000-00002F3D0000}"/>
    <cellStyle name="Примечание 3 11 3" xfId="13277" xr:uid="{00000000-0005-0000-0000-0000303D0000}"/>
    <cellStyle name="Примечание 3 11 4" xfId="17498" xr:uid="{00000000-0005-0000-0000-0000313D0000}"/>
    <cellStyle name="Примечание 3 12" xfId="4415" xr:uid="{00000000-0005-0000-0000-0000323D0000}"/>
    <cellStyle name="Примечание 3 12 2" xfId="9028" xr:uid="{00000000-0005-0000-0000-0000333D0000}"/>
    <cellStyle name="Примечание 3 12 3" xfId="13278" xr:uid="{00000000-0005-0000-0000-0000343D0000}"/>
    <cellStyle name="Примечание 3 12 4" xfId="17499" xr:uid="{00000000-0005-0000-0000-0000353D0000}"/>
    <cellStyle name="Примечание 3 13" xfId="4416" xr:uid="{00000000-0005-0000-0000-0000363D0000}"/>
    <cellStyle name="Примечание 3 13 2" xfId="9029" xr:uid="{00000000-0005-0000-0000-0000373D0000}"/>
    <cellStyle name="Примечание 3 13 3" xfId="13279" xr:uid="{00000000-0005-0000-0000-0000383D0000}"/>
    <cellStyle name="Примечание 3 13 4" xfId="17500" xr:uid="{00000000-0005-0000-0000-0000393D0000}"/>
    <cellStyle name="Примечание 3 14" xfId="4417" xr:uid="{00000000-0005-0000-0000-00003A3D0000}"/>
    <cellStyle name="Примечание 3 14 2" xfId="9030" xr:uid="{00000000-0005-0000-0000-00003B3D0000}"/>
    <cellStyle name="Примечание 3 14 3" xfId="13280" xr:uid="{00000000-0005-0000-0000-00003C3D0000}"/>
    <cellStyle name="Примечание 3 14 4" xfId="17501" xr:uid="{00000000-0005-0000-0000-00003D3D0000}"/>
    <cellStyle name="Примечание 3 15" xfId="4418" xr:uid="{00000000-0005-0000-0000-00003E3D0000}"/>
    <cellStyle name="Примечание 3 15 2" xfId="9031" xr:uid="{00000000-0005-0000-0000-00003F3D0000}"/>
    <cellStyle name="Примечание 3 15 3" xfId="13281" xr:uid="{00000000-0005-0000-0000-0000403D0000}"/>
    <cellStyle name="Примечание 3 15 4" xfId="17502" xr:uid="{00000000-0005-0000-0000-0000413D0000}"/>
    <cellStyle name="Примечание 3 16" xfId="4419" xr:uid="{00000000-0005-0000-0000-0000423D0000}"/>
    <cellStyle name="Примечание 3 16 2" xfId="9032" xr:uid="{00000000-0005-0000-0000-0000433D0000}"/>
    <cellStyle name="Примечание 3 16 3" xfId="13282" xr:uid="{00000000-0005-0000-0000-0000443D0000}"/>
    <cellStyle name="Примечание 3 16 4" xfId="17503" xr:uid="{00000000-0005-0000-0000-0000453D0000}"/>
    <cellStyle name="Примечание 3 17" xfId="4420" xr:uid="{00000000-0005-0000-0000-0000463D0000}"/>
    <cellStyle name="Примечание 3 17 2" xfId="9033" xr:uid="{00000000-0005-0000-0000-0000473D0000}"/>
    <cellStyle name="Примечание 3 17 3" xfId="13283" xr:uid="{00000000-0005-0000-0000-0000483D0000}"/>
    <cellStyle name="Примечание 3 17 4" xfId="17504" xr:uid="{00000000-0005-0000-0000-0000493D0000}"/>
    <cellStyle name="Примечание 3 18" xfId="4421" xr:uid="{00000000-0005-0000-0000-00004A3D0000}"/>
    <cellStyle name="Примечание 3 18 2" xfId="9034" xr:uid="{00000000-0005-0000-0000-00004B3D0000}"/>
    <cellStyle name="Примечание 3 18 3" xfId="13284" xr:uid="{00000000-0005-0000-0000-00004C3D0000}"/>
    <cellStyle name="Примечание 3 18 4" xfId="17505" xr:uid="{00000000-0005-0000-0000-00004D3D0000}"/>
    <cellStyle name="Примечание 3 19" xfId="4422" xr:uid="{00000000-0005-0000-0000-00004E3D0000}"/>
    <cellStyle name="Примечание 3 19 2" xfId="9035" xr:uid="{00000000-0005-0000-0000-00004F3D0000}"/>
    <cellStyle name="Примечание 3 19 3" xfId="13285" xr:uid="{00000000-0005-0000-0000-0000503D0000}"/>
    <cellStyle name="Примечание 3 19 4" xfId="17506" xr:uid="{00000000-0005-0000-0000-0000513D0000}"/>
    <cellStyle name="Примечание 3 2" xfId="4423" xr:uid="{00000000-0005-0000-0000-0000523D0000}"/>
    <cellStyle name="Примечание 3 2 2" xfId="4424" xr:uid="{00000000-0005-0000-0000-0000533D0000}"/>
    <cellStyle name="Примечание 3 2 2 2" xfId="9037" xr:uid="{00000000-0005-0000-0000-0000543D0000}"/>
    <cellStyle name="Примечание 3 2 2 3" xfId="13287" xr:uid="{00000000-0005-0000-0000-0000553D0000}"/>
    <cellStyle name="Примечание 3 2 2 4" xfId="17508" xr:uid="{00000000-0005-0000-0000-0000563D0000}"/>
    <cellStyle name="Примечание 3 2 3" xfId="4425" xr:uid="{00000000-0005-0000-0000-0000573D0000}"/>
    <cellStyle name="Примечание 3 2 3 2" xfId="9038" xr:uid="{00000000-0005-0000-0000-0000583D0000}"/>
    <cellStyle name="Примечание 3 2 3 3" xfId="13288" xr:uid="{00000000-0005-0000-0000-0000593D0000}"/>
    <cellStyle name="Примечание 3 2 3 4" xfId="17509" xr:uid="{00000000-0005-0000-0000-00005A3D0000}"/>
    <cellStyle name="Примечание 3 2 4" xfId="9036" xr:uid="{00000000-0005-0000-0000-00005B3D0000}"/>
    <cellStyle name="Примечание 3 2 5" xfId="13286" xr:uid="{00000000-0005-0000-0000-00005C3D0000}"/>
    <cellStyle name="Примечание 3 2 6" xfId="17507" xr:uid="{00000000-0005-0000-0000-00005D3D0000}"/>
    <cellStyle name="Примечание 3 20" xfId="4426" xr:uid="{00000000-0005-0000-0000-00005E3D0000}"/>
    <cellStyle name="Примечание 3 20 2" xfId="9039" xr:uid="{00000000-0005-0000-0000-00005F3D0000}"/>
    <cellStyle name="Примечание 3 20 3" xfId="13289" xr:uid="{00000000-0005-0000-0000-0000603D0000}"/>
    <cellStyle name="Примечание 3 20 4" xfId="17510" xr:uid="{00000000-0005-0000-0000-0000613D0000}"/>
    <cellStyle name="Примечание 3 21" xfId="4427" xr:uid="{00000000-0005-0000-0000-0000623D0000}"/>
    <cellStyle name="Примечание 3 21 2" xfId="9040" xr:uid="{00000000-0005-0000-0000-0000633D0000}"/>
    <cellStyle name="Примечание 3 21 3" xfId="13290" xr:uid="{00000000-0005-0000-0000-0000643D0000}"/>
    <cellStyle name="Примечание 3 21 4" xfId="17511" xr:uid="{00000000-0005-0000-0000-0000653D0000}"/>
    <cellStyle name="Примечание 3 22" xfId="4428" xr:uid="{00000000-0005-0000-0000-0000663D0000}"/>
    <cellStyle name="Примечание 3 22 2" xfId="9041" xr:uid="{00000000-0005-0000-0000-0000673D0000}"/>
    <cellStyle name="Примечание 3 22 3" xfId="13291" xr:uid="{00000000-0005-0000-0000-0000683D0000}"/>
    <cellStyle name="Примечание 3 22 4" xfId="17512" xr:uid="{00000000-0005-0000-0000-0000693D0000}"/>
    <cellStyle name="Примечание 3 23" xfId="4429" xr:uid="{00000000-0005-0000-0000-00006A3D0000}"/>
    <cellStyle name="Примечание 3 23 2" xfId="9042" xr:uid="{00000000-0005-0000-0000-00006B3D0000}"/>
    <cellStyle name="Примечание 3 23 3" xfId="13292" xr:uid="{00000000-0005-0000-0000-00006C3D0000}"/>
    <cellStyle name="Примечание 3 23 4" xfId="17513" xr:uid="{00000000-0005-0000-0000-00006D3D0000}"/>
    <cellStyle name="Примечание 3 24" xfId="4430" xr:uid="{00000000-0005-0000-0000-00006E3D0000}"/>
    <cellStyle name="Примечание 3 24 2" xfId="9043" xr:uid="{00000000-0005-0000-0000-00006F3D0000}"/>
    <cellStyle name="Примечание 3 24 3" xfId="13293" xr:uid="{00000000-0005-0000-0000-0000703D0000}"/>
    <cellStyle name="Примечание 3 24 4" xfId="17514" xr:uid="{00000000-0005-0000-0000-0000713D0000}"/>
    <cellStyle name="Примечание 3 25" xfId="4431" xr:uid="{00000000-0005-0000-0000-0000723D0000}"/>
    <cellStyle name="Примечание 3 25 2" xfId="9044" xr:uid="{00000000-0005-0000-0000-0000733D0000}"/>
    <cellStyle name="Примечание 3 25 3" xfId="13294" xr:uid="{00000000-0005-0000-0000-0000743D0000}"/>
    <cellStyle name="Примечание 3 25 4" xfId="17515" xr:uid="{00000000-0005-0000-0000-0000753D0000}"/>
    <cellStyle name="Примечание 3 26" xfId="4432" xr:uid="{00000000-0005-0000-0000-0000763D0000}"/>
    <cellStyle name="Примечание 3 26 2" xfId="9045" xr:uid="{00000000-0005-0000-0000-0000773D0000}"/>
    <cellStyle name="Примечание 3 26 3" xfId="13295" xr:uid="{00000000-0005-0000-0000-0000783D0000}"/>
    <cellStyle name="Примечание 3 26 4" xfId="17516" xr:uid="{00000000-0005-0000-0000-0000793D0000}"/>
    <cellStyle name="Примечание 3 27" xfId="4433" xr:uid="{00000000-0005-0000-0000-00007A3D0000}"/>
    <cellStyle name="Примечание 3 27 2" xfId="9046" xr:uid="{00000000-0005-0000-0000-00007B3D0000}"/>
    <cellStyle name="Примечание 3 27 3" xfId="13296" xr:uid="{00000000-0005-0000-0000-00007C3D0000}"/>
    <cellStyle name="Примечание 3 27 4" xfId="17517" xr:uid="{00000000-0005-0000-0000-00007D3D0000}"/>
    <cellStyle name="Примечание 3 28" xfId="4434" xr:uid="{00000000-0005-0000-0000-00007E3D0000}"/>
    <cellStyle name="Примечание 3 28 2" xfId="9047" xr:uid="{00000000-0005-0000-0000-00007F3D0000}"/>
    <cellStyle name="Примечание 3 28 3" xfId="13297" xr:uid="{00000000-0005-0000-0000-0000803D0000}"/>
    <cellStyle name="Примечание 3 28 4" xfId="17518" xr:uid="{00000000-0005-0000-0000-0000813D0000}"/>
    <cellStyle name="Примечание 3 29" xfId="4435" xr:uid="{00000000-0005-0000-0000-0000823D0000}"/>
    <cellStyle name="Примечание 3 29 2" xfId="9048" xr:uid="{00000000-0005-0000-0000-0000833D0000}"/>
    <cellStyle name="Примечание 3 29 3" xfId="13298" xr:uid="{00000000-0005-0000-0000-0000843D0000}"/>
    <cellStyle name="Примечание 3 29 4" xfId="17519" xr:uid="{00000000-0005-0000-0000-0000853D0000}"/>
    <cellStyle name="Примечание 3 3" xfId="4436" xr:uid="{00000000-0005-0000-0000-0000863D0000}"/>
    <cellStyle name="Примечание 3 3 2" xfId="4437" xr:uid="{00000000-0005-0000-0000-0000873D0000}"/>
    <cellStyle name="Примечание 3 3 2 2" xfId="9050" xr:uid="{00000000-0005-0000-0000-0000883D0000}"/>
    <cellStyle name="Примечание 3 3 2 3" xfId="13300" xr:uid="{00000000-0005-0000-0000-0000893D0000}"/>
    <cellStyle name="Примечание 3 3 2 4" xfId="17521" xr:uid="{00000000-0005-0000-0000-00008A3D0000}"/>
    <cellStyle name="Примечание 3 3 3" xfId="4438" xr:uid="{00000000-0005-0000-0000-00008B3D0000}"/>
    <cellStyle name="Примечание 3 3 3 2" xfId="9051" xr:uid="{00000000-0005-0000-0000-00008C3D0000}"/>
    <cellStyle name="Примечание 3 3 3 3" xfId="13301" xr:uid="{00000000-0005-0000-0000-00008D3D0000}"/>
    <cellStyle name="Примечание 3 3 3 4" xfId="17522" xr:uid="{00000000-0005-0000-0000-00008E3D0000}"/>
    <cellStyle name="Примечание 3 3 4" xfId="9049" xr:uid="{00000000-0005-0000-0000-00008F3D0000}"/>
    <cellStyle name="Примечание 3 3 5" xfId="13299" xr:uid="{00000000-0005-0000-0000-0000903D0000}"/>
    <cellStyle name="Примечание 3 3 6" xfId="17520" xr:uid="{00000000-0005-0000-0000-0000913D0000}"/>
    <cellStyle name="Примечание 3 30" xfId="4439" xr:uid="{00000000-0005-0000-0000-0000923D0000}"/>
    <cellStyle name="Примечание 3 30 2" xfId="9052" xr:uid="{00000000-0005-0000-0000-0000933D0000}"/>
    <cellStyle name="Примечание 3 30 3" xfId="13302" xr:uid="{00000000-0005-0000-0000-0000943D0000}"/>
    <cellStyle name="Примечание 3 30 4" xfId="17523" xr:uid="{00000000-0005-0000-0000-0000953D0000}"/>
    <cellStyle name="Примечание 3 31" xfId="4440" xr:uid="{00000000-0005-0000-0000-0000963D0000}"/>
    <cellStyle name="Примечание 3 31 2" xfId="9053" xr:uid="{00000000-0005-0000-0000-0000973D0000}"/>
    <cellStyle name="Примечание 3 31 3" xfId="13303" xr:uid="{00000000-0005-0000-0000-0000983D0000}"/>
    <cellStyle name="Примечание 3 31 4" xfId="17524" xr:uid="{00000000-0005-0000-0000-0000993D0000}"/>
    <cellStyle name="Примечание 3 32" xfId="4441" xr:uid="{00000000-0005-0000-0000-00009A3D0000}"/>
    <cellStyle name="Примечание 3 32 2" xfId="9054" xr:uid="{00000000-0005-0000-0000-00009B3D0000}"/>
    <cellStyle name="Примечание 3 32 3" xfId="13304" xr:uid="{00000000-0005-0000-0000-00009C3D0000}"/>
    <cellStyle name="Примечание 3 32 4" xfId="17525" xr:uid="{00000000-0005-0000-0000-00009D3D0000}"/>
    <cellStyle name="Примечание 3 33" xfId="4442" xr:uid="{00000000-0005-0000-0000-00009E3D0000}"/>
    <cellStyle name="Примечание 3 33 2" xfId="9055" xr:uid="{00000000-0005-0000-0000-00009F3D0000}"/>
    <cellStyle name="Примечание 3 33 3" xfId="13305" xr:uid="{00000000-0005-0000-0000-0000A03D0000}"/>
    <cellStyle name="Примечание 3 33 4" xfId="17526" xr:uid="{00000000-0005-0000-0000-0000A13D0000}"/>
    <cellStyle name="Примечание 3 34" xfId="4443" xr:uid="{00000000-0005-0000-0000-0000A23D0000}"/>
    <cellStyle name="Примечание 3 34 2" xfId="9056" xr:uid="{00000000-0005-0000-0000-0000A33D0000}"/>
    <cellStyle name="Примечание 3 34 3" xfId="13306" xr:uid="{00000000-0005-0000-0000-0000A43D0000}"/>
    <cellStyle name="Примечание 3 34 4" xfId="17527" xr:uid="{00000000-0005-0000-0000-0000A53D0000}"/>
    <cellStyle name="Примечание 3 35" xfId="4444" xr:uid="{00000000-0005-0000-0000-0000A63D0000}"/>
    <cellStyle name="Примечание 3 35 2" xfId="9057" xr:uid="{00000000-0005-0000-0000-0000A73D0000}"/>
    <cellStyle name="Примечание 3 35 3" xfId="13307" xr:uid="{00000000-0005-0000-0000-0000A83D0000}"/>
    <cellStyle name="Примечание 3 35 4" xfId="17528" xr:uid="{00000000-0005-0000-0000-0000A93D0000}"/>
    <cellStyle name="Примечание 3 36" xfId="4445" xr:uid="{00000000-0005-0000-0000-0000AA3D0000}"/>
    <cellStyle name="Примечание 3 36 2" xfId="9058" xr:uid="{00000000-0005-0000-0000-0000AB3D0000}"/>
    <cellStyle name="Примечание 3 36 3" xfId="13308" xr:uid="{00000000-0005-0000-0000-0000AC3D0000}"/>
    <cellStyle name="Примечание 3 36 4" xfId="17529" xr:uid="{00000000-0005-0000-0000-0000AD3D0000}"/>
    <cellStyle name="Примечание 3 37" xfId="4446" xr:uid="{00000000-0005-0000-0000-0000AE3D0000}"/>
    <cellStyle name="Примечание 3 37 2" xfId="9059" xr:uid="{00000000-0005-0000-0000-0000AF3D0000}"/>
    <cellStyle name="Примечание 3 37 3" xfId="13309" xr:uid="{00000000-0005-0000-0000-0000B03D0000}"/>
    <cellStyle name="Примечание 3 37 4" xfId="17530" xr:uid="{00000000-0005-0000-0000-0000B13D0000}"/>
    <cellStyle name="Примечание 3 38" xfId="4447" xr:uid="{00000000-0005-0000-0000-0000B23D0000}"/>
    <cellStyle name="Примечание 3 38 2" xfId="9060" xr:uid="{00000000-0005-0000-0000-0000B33D0000}"/>
    <cellStyle name="Примечание 3 38 3" xfId="13310" xr:uid="{00000000-0005-0000-0000-0000B43D0000}"/>
    <cellStyle name="Примечание 3 38 4" xfId="17531" xr:uid="{00000000-0005-0000-0000-0000B53D0000}"/>
    <cellStyle name="Примечание 3 39" xfId="4448" xr:uid="{00000000-0005-0000-0000-0000B63D0000}"/>
    <cellStyle name="Примечание 3 39 2" xfId="9061" xr:uid="{00000000-0005-0000-0000-0000B73D0000}"/>
    <cellStyle name="Примечание 3 39 3" xfId="13311" xr:uid="{00000000-0005-0000-0000-0000B83D0000}"/>
    <cellStyle name="Примечание 3 39 4" xfId="17532" xr:uid="{00000000-0005-0000-0000-0000B93D0000}"/>
    <cellStyle name="Примечание 3 4" xfId="4449" xr:uid="{00000000-0005-0000-0000-0000BA3D0000}"/>
    <cellStyle name="Примечание 3 4 2" xfId="4450" xr:uid="{00000000-0005-0000-0000-0000BB3D0000}"/>
    <cellStyle name="Примечание 3 4 2 2" xfId="9063" xr:uid="{00000000-0005-0000-0000-0000BC3D0000}"/>
    <cellStyle name="Примечание 3 4 2 3" xfId="13313" xr:uid="{00000000-0005-0000-0000-0000BD3D0000}"/>
    <cellStyle name="Примечание 3 4 2 4" xfId="17534" xr:uid="{00000000-0005-0000-0000-0000BE3D0000}"/>
    <cellStyle name="Примечание 3 4 3" xfId="4451" xr:uid="{00000000-0005-0000-0000-0000BF3D0000}"/>
    <cellStyle name="Примечание 3 4 3 2" xfId="9064" xr:uid="{00000000-0005-0000-0000-0000C03D0000}"/>
    <cellStyle name="Примечание 3 4 3 3" xfId="13314" xr:uid="{00000000-0005-0000-0000-0000C13D0000}"/>
    <cellStyle name="Примечание 3 4 3 4" xfId="17535" xr:uid="{00000000-0005-0000-0000-0000C23D0000}"/>
    <cellStyle name="Примечание 3 4 4" xfId="9062" xr:uid="{00000000-0005-0000-0000-0000C33D0000}"/>
    <cellStyle name="Примечание 3 4 5" xfId="13312" xr:uid="{00000000-0005-0000-0000-0000C43D0000}"/>
    <cellStyle name="Примечание 3 4 6" xfId="17533" xr:uid="{00000000-0005-0000-0000-0000C53D0000}"/>
    <cellStyle name="Примечание 3 40" xfId="4452" xr:uid="{00000000-0005-0000-0000-0000C63D0000}"/>
    <cellStyle name="Примечание 3 40 2" xfId="9065" xr:uid="{00000000-0005-0000-0000-0000C73D0000}"/>
    <cellStyle name="Примечание 3 40 3" xfId="13315" xr:uid="{00000000-0005-0000-0000-0000C83D0000}"/>
    <cellStyle name="Примечание 3 40 4" xfId="17536" xr:uid="{00000000-0005-0000-0000-0000C93D0000}"/>
    <cellStyle name="Примечание 3 41" xfId="4453" xr:uid="{00000000-0005-0000-0000-0000CA3D0000}"/>
    <cellStyle name="Примечание 3 41 2" xfId="9066" xr:uid="{00000000-0005-0000-0000-0000CB3D0000}"/>
    <cellStyle name="Примечание 3 41 3" xfId="13316" xr:uid="{00000000-0005-0000-0000-0000CC3D0000}"/>
    <cellStyle name="Примечание 3 41 4" xfId="17537" xr:uid="{00000000-0005-0000-0000-0000CD3D0000}"/>
    <cellStyle name="Примечание 3 42" xfId="4454" xr:uid="{00000000-0005-0000-0000-0000CE3D0000}"/>
    <cellStyle name="Примечание 3 42 2" xfId="9067" xr:uid="{00000000-0005-0000-0000-0000CF3D0000}"/>
    <cellStyle name="Примечание 3 42 3" xfId="13317" xr:uid="{00000000-0005-0000-0000-0000D03D0000}"/>
    <cellStyle name="Примечание 3 42 4" xfId="17538" xr:uid="{00000000-0005-0000-0000-0000D13D0000}"/>
    <cellStyle name="Примечание 3 43" xfId="4455" xr:uid="{00000000-0005-0000-0000-0000D23D0000}"/>
    <cellStyle name="Примечание 3 43 2" xfId="9068" xr:uid="{00000000-0005-0000-0000-0000D33D0000}"/>
    <cellStyle name="Примечание 3 43 3" xfId="13318" xr:uid="{00000000-0005-0000-0000-0000D43D0000}"/>
    <cellStyle name="Примечание 3 43 4" xfId="17539" xr:uid="{00000000-0005-0000-0000-0000D53D0000}"/>
    <cellStyle name="Примечание 3 44" xfId="4456" xr:uid="{00000000-0005-0000-0000-0000D63D0000}"/>
    <cellStyle name="Примечание 3 44 2" xfId="9069" xr:uid="{00000000-0005-0000-0000-0000D73D0000}"/>
    <cellStyle name="Примечание 3 44 3" xfId="13319" xr:uid="{00000000-0005-0000-0000-0000D83D0000}"/>
    <cellStyle name="Примечание 3 44 4" xfId="17540" xr:uid="{00000000-0005-0000-0000-0000D93D0000}"/>
    <cellStyle name="Примечание 3 45" xfId="4457" xr:uid="{00000000-0005-0000-0000-0000DA3D0000}"/>
    <cellStyle name="Примечание 3 45 2" xfId="9070" xr:uid="{00000000-0005-0000-0000-0000DB3D0000}"/>
    <cellStyle name="Примечание 3 45 3" xfId="13320" xr:uid="{00000000-0005-0000-0000-0000DC3D0000}"/>
    <cellStyle name="Примечание 3 45 4" xfId="17541" xr:uid="{00000000-0005-0000-0000-0000DD3D0000}"/>
    <cellStyle name="Примечание 3 46" xfId="4458" xr:uid="{00000000-0005-0000-0000-0000DE3D0000}"/>
    <cellStyle name="Примечание 3 46 2" xfId="9071" xr:uid="{00000000-0005-0000-0000-0000DF3D0000}"/>
    <cellStyle name="Примечание 3 46 3" xfId="13321" xr:uid="{00000000-0005-0000-0000-0000E03D0000}"/>
    <cellStyle name="Примечание 3 46 4" xfId="17542" xr:uid="{00000000-0005-0000-0000-0000E13D0000}"/>
    <cellStyle name="Примечание 3 47" xfId="4459" xr:uid="{00000000-0005-0000-0000-0000E23D0000}"/>
    <cellStyle name="Примечание 3 47 2" xfId="9072" xr:uid="{00000000-0005-0000-0000-0000E33D0000}"/>
    <cellStyle name="Примечание 3 47 3" xfId="13322" xr:uid="{00000000-0005-0000-0000-0000E43D0000}"/>
    <cellStyle name="Примечание 3 47 4" xfId="17543" xr:uid="{00000000-0005-0000-0000-0000E53D0000}"/>
    <cellStyle name="Примечание 3 48" xfId="4460" xr:uid="{00000000-0005-0000-0000-0000E63D0000}"/>
    <cellStyle name="Примечание 3 48 2" xfId="9073" xr:uid="{00000000-0005-0000-0000-0000E73D0000}"/>
    <cellStyle name="Примечание 3 48 3" xfId="13323" xr:uid="{00000000-0005-0000-0000-0000E83D0000}"/>
    <cellStyle name="Примечание 3 48 4" xfId="17544" xr:uid="{00000000-0005-0000-0000-0000E93D0000}"/>
    <cellStyle name="Примечание 3 49" xfId="4461" xr:uid="{00000000-0005-0000-0000-0000EA3D0000}"/>
    <cellStyle name="Примечание 3 49 2" xfId="9074" xr:uid="{00000000-0005-0000-0000-0000EB3D0000}"/>
    <cellStyle name="Примечание 3 49 3" xfId="13324" xr:uid="{00000000-0005-0000-0000-0000EC3D0000}"/>
    <cellStyle name="Примечание 3 49 4" xfId="17545" xr:uid="{00000000-0005-0000-0000-0000ED3D0000}"/>
    <cellStyle name="Примечание 3 5" xfId="4462" xr:uid="{00000000-0005-0000-0000-0000EE3D0000}"/>
    <cellStyle name="Примечание 3 5 2" xfId="9075" xr:uid="{00000000-0005-0000-0000-0000EF3D0000}"/>
    <cellStyle name="Примечание 3 5 3" xfId="13325" xr:uid="{00000000-0005-0000-0000-0000F03D0000}"/>
    <cellStyle name="Примечание 3 5 4" xfId="17546" xr:uid="{00000000-0005-0000-0000-0000F13D0000}"/>
    <cellStyle name="Примечание 3 50" xfId="4463" xr:uid="{00000000-0005-0000-0000-0000F23D0000}"/>
    <cellStyle name="Примечание 3 50 2" xfId="9076" xr:uid="{00000000-0005-0000-0000-0000F33D0000}"/>
    <cellStyle name="Примечание 3 50 3" xfId="13326" xr:uid="{00000000-0005-0000-0000-0000F43D0000}"/>
    <cellStyle name="Примечание 3 50 4" xfId="17547" xr:uid="{00000000-0005-0000-0000-0000F53D0000}"/>
    <cellStyle name="Примечание 3 51" xfId="4464" xr:uid="{00000000-0005-0000-0000-0000F63D0000}"/>
    <cellStyle name="Примечание 3 51 2" xfId="9077" xr:uid="{00000000-0005-0000-0000-0000F73D0000}"/>
    <cellStyle name="Примечание 3 51 3" xfId="13327" xr:uid="{00000000-0005-0000-0000-0000F83D0000}"/>
    <cellStyle name="Примечание 3 51 4" xfId="17548" xr:uid="{00000000-0005-0000-0000-0000F93D0000}"/>
    <cellStyle name="Примечание 3 52" xfId="4465" xr:uid="{00000000-0005-0000-0000-0000FA3D0000}"/>
    <cellStyle name="Примечание 3 52 2" xfId="9078" xr:uid="{00000000-0005-0000-0000-0000FB3D0000}"/>
    <cellStyle name="Примечание 3 52 3" xfId="13328" xr:uid="{00000000-0005-0000-0000-0000FC3D0000}"/>
    <cellStyle name="Примечание 3 52 4" xfId="17549" xr:uid="{00000000-0005-0000-0000-0000FD3D0000}"/>
    <cellStyle name="Примечание 3 53" xfId="4466" xr:uid="{00000000-0005-0000-0000-0000FE3D0000}"/>
    <cellStyle name="Примечание 3 53 2" xfId="9079" xr:uid="{00000000-0005-0000-0000-0000FF3D0000}"/>
    <cellStyle name="Примечание 3 53 3" xfId="13329" xr:uid="{00000000-0005-0000-0000-0000003E0000}"/>
    <cellStyle name="Примечание 3 53 4" xfId="17550" xr:uid="{00000000-0005-0000-0000-0000013E0000}"/>
    <cellStyle name="Примечание 3 54" xfId="4467" xr:uid="{00000000-0005-0000-0000-0000023E0000}"/>
    <cellStyle name="Примечание 3 54 2" xfId="9080" xr:uid="{00000000-0005-0000-0000-0000033E0000}"/>
    <cellStyle name="Примечание 3 54 3" xfId="13330" xr:uid="{00000000-0005-0000-0000-0000043E0000}"/>
    <cellStyle name="Примечание 3 54 4" xfId="17551" xr:uid="{00000000-0005-0000-0000-0000053E0000}"/>
    <cellStyle name="Примечание 3 55" xfId="4468" xr:uid="{00000000-0005-0000-0000-0000063E0000}"/>
    <cellStyle name="Примечание 3 55 2" xfId="9081" xr:uid="{00000000-0005-0000-0000-0000073E0000}"/>
    <cellStyle name="Примечание 3 55 3" xfId="13331" xr:uid="{00000000-0005-0000-0000-0000083E0000}"/>
    <cellStyle name="Примечание 3 55 4" xfId="17552" xr:uid="{00000000-0005-0000-0000-0000093E0000}"/>
    <cellStyle name="Примечание 3 56" xfId="4469" xr:uid="{00000000-0005-0000-0000-00000A3E0000}"/>
    <cellStyle name="Примечание 3 56 2" xfId="9082" xr:uid="{00000000-0005-0000-0000-00000B3E0000}"/>
    <cellStyle name="Примечание 3 56 3" xfId="13332" xr:uid="{00000000-0005-0000-0000-00000C3E0000}"/>
    <cellStyle name="Примечание 3 56 4" xfId="17553" xr:uid="{00000000-0005-0000-0000-00000D3E0000}"/>
    <cellStyle name="Примечание 3 57" xfId="4470" xr:uid="{00000000-0005-0000-0000-00000E3E0000}"/>
    <cellStyle name="Примечание 3 57 2" xfId="9083" xr:uid="{00000000-0005-0000-0000-00000F3E0000}"/>
    <cellStyle name="Примечание 3 57 3" xfId="13333" xr:uid="{00000000-0005-0000-0000-0000103E0000}"/>
    <cellStyle name="Примечание 3 57 4" xfId="17554" xr:uid="{00000000-0005-0000-0000-0000113E0000}"/>
    <cellStyle name="Примечание 3 58" xfId="4471" xr:uid="{00000000-0005-0000-0000-0000123E0000}"/>
    <cellStyle name="Примечание 3 58 2" xfId="9084" xr:uid="{00000000-0005-0000-0000-0000133E0000}"/>
    <cellStyle name="Примечание 3 58 3" xfId="13334" xr:uid="{00000000-0005-0000-0000-0000143E0000}"/>
    <cellStyle name="Примечание 3 58 4" xfId="17555" xr:uid="{00000000-0005-0000-0000-0000153E0000}"/>
    <cellStyle name="Примечание 3 59" xfId="4472" xr:uid="{00000000-0005-0000-0000-0000163E0000}"/>
    <cellStyle name="Примечание 3 59 2" xfId="9085" xr:uid="{00000000-0005-0000-0000-0000173E0000}"/>
    <cellStyle name="Примечание 3 59 3" xfId="13335" xr:uid="{00000000-0005-0000-0000-0000183E0000}"/>
    <cellStyle name="Примечание 3 59 4" xfId="17556" xr:uid="{00000000-0005-0000-0000-0000193E0000}"/>
    <cellStyle name="Примечание 3 6" xfId="4473" xr:uid="{00000000-0005-0000-0000-00001A3E0000}"/>
    <cellStyle name="Примечание 3 6 2" xfId="9086" xr:uid="{00000000-0005-0000-0000-00001B3E0000}"/>
    <cellStyle name="Примечание 3 6 3" xfId="13336" xr:uid="{00000000-0005-0000-0000-00001C3E0000}"/>
    <cellStyle name="Примечание 3 6 4" xfId="17557" xr:uid="{00000000-0005-0000-0000-00001D3E0000}"/>
    <cellStyle name="Примечание 3 60" xfId="4474" xr:uid="{00000000-0005-0000-0000-00001E3E0000}"/>
    <cellStyle name="Примечание 3 60 2" xfId="9087" xr:uid="{00000000-0005-0000-0000-00001F3E0000}"/>
    <cellStyle name="Примечание 3 60 3" xfId="13337" xr:uid="{00000000-0005-0000-0000-0000203E0000}"/>
    <cellStyle name="Примечание 3 60 4" xfId="17558" xr:uid="{00000000-0005-0000-0000-0000213E0000}"/>
    <cellStyle name="Примечание 3 61" xfId="4475" xr:uid="{00000000-0005-0000-0000-0000223E0000}"/>
    <cellStyle name="Примечание 3 61 2" xfId="9088" xr:uid="{00000000-0005-0000-0000-0000233E0000}"/>
    <cellStyle name="Примечание 3 61 3" xfId="13338" xr:uid="{00000000-0005-0000-0000-0000243E0000}"/>
    <cellStyle name="Примечание 3 61 4" xfId="17559" xr:uid="{00000000-0005-0000-0000-0000253E0000}"/>
    <cellStyle name="Примечание 3 62" xfId="4476" xr:uid="{00000000-0005-0000-0000-0000263E0000}"/>
    <cellStyle name="Примечание 3 62 2" xfId="9089" xr:uid="{00000000-0005-0000-0000-0000273E0000}"/>
    <cellStyle name="Примечание 3 62 3" xfId="13339" xr:uid="{00000000-0005-0000-0000-0000283E0000}"/>
    <cellStyle name="Примечание 3 62 4" xfId="17560" xr:uid="{00000000-0005-0000-0000-0000293E0000}"/>
    <cellStyle name="Примечание 3 63" xfId="4477" xr:uid="{00000000-0005-0000-0000-00002A3E0000}"/>
    <cellStyle name="Примечание 3 63 2" xfId="9090" xr:uid="{00000000-0005-0000-0000-00002B3E0000}"/>
    <cellStyle name="Примечание 3 63 3" xfId="13340" xr:uid="{00000000-0005-0000-0000-00002C3E0000}"/>
    <cellStyle name="Примечание 3 63 4" xfId="17561" xr:uid="{00000000-0005-0000-0000-00002D3E0000}"/>
    <cellStyle name="Примечание 3 64" xfId="4478" xr:uid="{00000000-0005-0000-0000-00002E3E0000}"/>
    <cellStyle name="Примечание 3 64 2" xfId="9091" xr:uid="{00000000-0005-0000-0000-00002F3E0000}"/>
    <cellStyle name="Примечание 3 64 3" xfId="13341" xr:uid="{00000000-0005-0000-0000-0000303E0000}"/>
    <cellStyle name="Примечание 3 64 4" xfId="17562" xr:uid="{00000000-0005-0000-0000-0000313E0000}"/>
    <cellStyle name="Примечание 3 65" xfId="4479" xr:uid="{00000000-0005-0000-0000-0000323E0000}"/>
    <cellStyle name="Примечание 3 65 2" xfId="9092" xr:uid="{00000000-0005-0000-0000-0000333E0000}"/>
    <cellStyle name="Примечание 3 65 3" xfId="13342" xr:uid="{00000000-0005-0000-0000-0000343E0000}"/>
    <cellStyle name="Примечание 3 65 4" xfId="17563" xr:uid="{00000000-0005-0000-0000-0000353E0000}"/>
    <cellStyle name="Примечание 3 66" xfId="4480" xr:uid="{00000000-0005-0000-0000-0000363E0000}"/>
    <cellStyle name="Примечание 3 66 2" xfId="9093" xr:uid="{00000000-0005-0000-0000-0000373E0000}"/>
    <cellStyle name="Примечание 3 66 3" xfId="13343" xr:uid="{00000000-0005-0000-0000-0000383E0000}"/>
    <cellStyle name="Примечание 3 66 4" xfId="17564" xr:uid="{00000000-0005-0000-0000-0000393E0000}"/>
    <cellStyle name="Примечание 3 67" xfId="4481" xr:uid="{00000000-0005-0000-0000-00003A3E0000}"/>
    <cellStyle name="Примечание 3 67 2" xfId="9094" xr:uid="{00000000-0005-0000-0000-00003B3E0000}"/>
    <cellStyle name="Примечание 3 67 3" xfId="13344" xr:uid="{00000000-0005-0000-0000-00003C3E0000}"/>
    <cellStyle name="Примечание 3 67 4" xfId="17565" xr:uid="{00000000-0005-0000-0000-00003D3E0000}"/>
    <cellStyle name="Примечание 3 68" xfId="4482" xr:uid="{00000000-0005-0000-0000-00003E3E0000}"/>
    <cellStyle name="Примечание 3 68 2" xfId="9095" xr:uid="{00000000-0005-0000-0000-00003F3E0000}"/>
    <cellStyle name="Примечание 3 68 3" xfId="13345" xr:uid="{00000000-0005-0000-0000-0000403E0000}"/>
    <cellStyle name="Примечание 3 68 4" xfId="17566" xr:uid="{00000000-0005-0000-0000-0000413E0000}"/>
    <cellStyle name="Примечание 3 69" xfId="4483" xr:uid="{00000000-0005-0000-0000-0000423E0000}"/>
    <cellStyle name="Примечание 3 69 2" xfId="9096" xr:uid="{00000000-0005-0000-0000-0000433E0000}"/>
    <cellStyle name="Примечание 3 69 3" xfId="13346" xr:uid="{00000000-0005-0000-0000-0000443E0000}"/>
    <cellStyle name="Примечание 3 69 4" xfId="17567" xr:uid="{00000000-0005-0000-0000-0000453E0000}"/>
    <cellStyle name="Примечание 3 7" xfId="4484" xr:uid="{00000000-0005-0000-0000-0000463E0000}"/>
    <cellStyle name="Примечание 3 7 2" xfId="9097" xr:uid="{00000000-0005-0000-0000-0000473E0000}"/>
    <cellStyle name="Примечание 3 7 3" xfId="13347" xr:uid="{00000000-0005-0000-0000-0000483E0000}"/>
    <cellStyle name="Примечание 3 7 4" xfId="17568" xr:uid="{00000000-0005-0000-0000-0000493E0000}"/>
    <cellStyle name="Примечание 3 70" xfId="4485" xr:uid="{00000000-0005-0000-0000-00004A3E0000}"/>
    <cellStyle name="Примечание 3 70 2" xfId="9098" xr:uid="{00000000-0005-0000-0000-00004B3E0000}"/>
    <cellStyle name="Примечание 3 70 3" xfId="13348" xr:uid="{00000000-0005-0000-0000-00004C3E0000}"/>
    <cellStyle name="Примечание 3 70 4" xfId="17569" xr:uid="{00000000-0005-0000-0000-00004D3E0000}"/>
    <cellStyle name="Примечание 3 71" xfId="4486" xr:uid="{00000000-0005-0000-0000-00004E3E0000}"/>
    <cellStyle name="Примечание 3 71 2" xfId="9099" xr:uid="{00000000-0005-0000-0000-00004F3E0000}"/>
    <cellStyle name="Примечание 3 71 3" xfId="13349" xr:uid="{00000000-0005-0000-0000-0000503E0000}"/>
    <cellStyle name="Примечание 3 71 4" xfId="17570" xr:uid="{00000000-0005-0000-0000-0000513E0000}"/>
    <cellStyle name="Примечание 3 72" xfId="4487" xr:uid="{00000000-0005-0000-0000-0000523E0000}"/>
    <cellStyle name="Примечание 3 72 2" xfId="9100" xr:uid="{00000000-0005-0000-0000-0000533E0000}"/>
    <cellStyle name="Примечание 3 72 3" xfId="13350" xr:uid="{00000000-0005-0000-0000-0000543E0000}"/>
    <cellStyle name="Примечание 3 72 4" xfId="17571" xr:uid="{00000000-0005-0000-0000-0000553E0000}"/>
    <cellStyle name="Примечание 3 73" xfId="4488" xr:uid="{00000000-0005-0000-0000-0000563E0000}"/>
    <cellStyle name="Примечание 3 73 2" xfId="9101" xr:uid="{00000000-0005-0000-0000-0000573E0000}"/>
    <cellStyle name="Примечание 3 73 3" xfId="13351" xr:uid="{00000000-0005-0000-0000-0000583E0000}"/>
    <cellStyle name="Примечание 3 73 4" xfId="17572" xr:uid="{00000000-0005-0000-0000-0000593E0000}"/>
    <cellStyle name="Примечание 3 74" xfId="4489" xr:uid="{00000000-0005-0000-0000-00005A3E0000}"/>
    <cellStyle name="Примечание 3 74 2" xfId="9102" xr:uid="{00000000-0005-0000-0000-00005B3E0000}"/>
    <cellStyle name="Примечание 3 74 3" xfId="13352" xr:uid="{00000000-0005-0000-0000-00005C3E0000}"/>
    <cellStyle name="Примечание 3 74 4" xfId="17573" xr:uid="{00000000-0005-0000-0000-00005D3E0000}"/>
    <cellStyle name="Примечание 3 75" xfId="4490" xr:uid="{00000000-0005-0000-0000-00005E3E0000}"/>
    <cellStyle name="Примечание 3 75 2" xfId="9103" xr:uid="{00000000-0005-0000-0000-00005F3E0000}"/>
    <cellStyle name="Примечание 3 75 3" xfId="13353" xr:uid="{00000000-0005-0000-0000-0000603E0000}"/>
    <cellStyle name="Примечание 3 75 4" xfId="17574" xr:uid="{00000000-0005-0000-0000-0000613E0000}"/>
    <cellStyle name="Примечание 3 76" xfId="4491" xr:uid="{00000000-0005-0000-0000-0000623E0000}"/>
    <cellStyle name="Примечание 3 76 2" xfId="9104" xr:uid="{00000000-0005-0000-0000-0000633E0000}"/>
    <cellStyle name="Примечание 3 76 3" xfId="13354" xr:uid="{00000000-0005-0000-0000-0000643E0000}"/>
    <cellStyle name="Примечание 3 76 4" xfId="17575" xr:uid="{00000000-0005-0000-0000-0000653E0000}"/>
    <cellStyle name="Примечание 3 77" xfId="4492" xr:uid="{00000000-0005-0000-0000-0000663E0000}"/>
    <cellStyle name="Примечание 3 77 2" xfId="9105" xr:uid="{00000000-0005-0000-0000-0000673E0000}"/>
    <cellStyle name="Примечание 3 77 3" xfId="13355" xr:uid="{00000000-0005-0000-0000-0000683E0000}"/>
    <cellStyle name="Примечание 3 77 4" xfId="17576" xr:uid="{00000000-0005-0000-0000-0000693E0000}"/>
    <cellStyle name="Примечание 3 78" xfId="4493" xr:uid="{00000000-0005-0000-0000-00006A3E0000}"/>
    <cellStyle name="Примечание 3 78 2" xfId="9106" xr:uid="{00000000-0005-0000-0000-00006B3E0000}"/>
    <cellStyle name="Примечание 3 78 3" xfId="13356" xr:uid="{00000000-0005-0000-0000-00006C3E0000}"/>
    <cellStyle name="Примечание 3 78 4" xfId="17577" xr:uid="{00000000-0005-0000-0000-00006D3E0000}"/>
    <cellStyle name="Примечание 3 79" xfId="4494" xr:uid="{00000000-0005-0000-0000-00006E3E0000}"/>
    <cellStyle name="Примечание 3 79 2" xfId="9107" xr:uid="{00000000-0005-0000-0000-00006F3E0000}"/>
    <cellStyle name="Примечание 3 79 3" xfId="13357" xr:uid="{00000000-0005-0000-0000-0000703E0000}"/>
    <cellStyle name="Примечание 3 79 4" xfId="17578" xr:uid="{00000000-0005-0000-0000-0000713E0000}"/>
    <cellStyle name="Примечание 3 8" xfId="4495" xr:uid="{00000000-0005-0000-0000-0000723E0000}"/>
    <cellStyle name="Примечание 3 8 2" xfId="9108" xr:uid="{00000000-0005-0000-0000-0000733E0000}"/>
    <cellStyle name="Примечание 3 8 3" xfId="13358" xr:uid="{00000000-0005-0000-0000-0000743E0000}"/>
    <cellStyle name="Примечание 3 8 4" xfId="17579" xr:uid="{00000000-0005-0000-0000-0000753E0000}"/>
    <cellStyle name="Примечание 3 80" xfId="4496" xr:uid="{00000000-0005-0000-0000-0000763E0000}"/>
    <cellStyle name="Примечание 3 80 2" xfId="9109" xr:uid="{00000000-0005-0000-0000-0000773E0000}"/>
    <cellStyle name="Примечание 3 80 3" xfId="13359" xr:uid="{00000000-0005-0000-0000-0000783E0000}"/>
    <cellStyle name="Примечание 3 80 4" xfId="17580" xr:uid="{00000000-0005-0000-0000-0000793E0000}"/>
    <cellStyle name="Примечание 3 81" xfId="4497" xr:uid="{00000000-0005-0000-0000-00007A3E0000}"/>
    <cellStyle name="Примечание 3 81 2" xfId="9110" xr:uid="{00000000-0005-0000-0000-00007B3E0000}"/>
    <cellStyle name="Примечание 3 81 3" xfId="13360" xr:uid="{00000000-0005-0000-0000-00007C3E0000}"/>
    <cellStyle name="Примечание 3 81 4" xfId="17581" xr:uid="{00000000-0005-0000-0000-00007D3E0000}"/>
    <cellStyle name="Примечание 3 82" xfId="4498" xr:uid="{00000000-0005-0000-0000-00007E3E0000}"/>
    <cellStyle name="Примечание 3 82 2" xfId="9111" xr:uid="{00000000-0005-0000-0000-00007F3E0000}"/>
    <cellStyle name="Примечание 3 82 3" xfId="13361" xr:uid="{00000000-0005-0000-0000-0000803E0000}"/>
    <cellStyle name="Примечание 3 82 4" xfId="17582" xr:uid="{00000000-0005-0000-0000-0000813E0000}"/>
    <cellStyle name="Примечание 3 83" xfId="4499" xr:uid="{00000000-0005-0000-0000-0000823E0000}"/>
    <cellStyle name="Примечание 3 83 2" xfId="9112" xr:uid="{00000000-0005-0000-0000-0000833E0000}"/>
    <cellStyle name="Примечание 3 83 3" xfId="13362" xr:uid="{00000000-0005-0000-0000-0000843E0000}"/>
    <cellStyle name="Примечание 3 83 4" xfId="17583" xr:uid="{00000000-0005-0000-0000-0000853E0000}"/>
    <cellStyle name="Примечание 3 84" xfId="4500" xr:uid="{00000000-0005-0000-0000-0000863E0000}"/>
    <cellStyle name="Примечание 3 84 2" xfId="9113" xr:uid="{00000000-0005-0000-0000-0000873E0000}"/>
    <cellStyle name="Примечание 3 84 3" xfId="13363" xr:uid="{00000000-0005-0000-0000-0000883E0000}"/>
    <cellStyle name="Примечание 3 84 4" xfId="17584" xr:uid="{00000000-0005-0000-0000-0000893E0000}"/>
    <cellStyle name="Примечание 3 85" xfId="4501" xr:uid="{00000000-0005-0000-0000-00008A3E0000}"/>
    <cellStyle name="Примечание 3 85 2" xfId="9114" xr:uid="{00000000-0005-0000-0000-00008B3E0000}"/>
    <cellStyle name="Примечание 3 85 3" xfId="13364" xr:uid="{00000000-0005-0000-0000-00008C3E0000}"/>
    <cellStyle name="Примечание 3 85 4" xfId="17585" xr:uid="{00000000-0005-0000-0000-00008D3E0000}"/>
    <cellStyle name="Примечание 3 86" xfId="4502" xr:uid="{00000000-0005-0000-0000-00008E3E0000}"/>
    <cellStyle name="Примечание 3 86 2" xfId="9115" xr:uid="{00000000-0005-0000-0000-00008F3E0000}"/>
    <cellStyle name="Примечание 3 86 3" xfId="13365" xr:uid="{00000000-0005-0000-0000-0000903E0000}"/>
    <cellStyle name="Примечание 3 86 4" xfId="17586" xr:uid="{00000000-0005-0000-0000-0000913E0000}"/>
    <cellStyle name="Примечание 3 87" xfId="4503" xr:uid="{00000000-0005-0000-0000-0000923E0000}"/>
    <cellStyle name="Примечание 3 87 2" xfId="9116" xr:uid="{00000000-0005-0000-0000-0000933E0000}"/>
    <cellStyle name="Примечание 3 87 3" xfId="13366" xr:uid="{00000000-0005-0000-0000-0000943E0000}"/>
    <cellStyle name="Примечание 3 87 4" xfId="17587" xr:uid="{00000000-0005-0000-0000-0000953E0000}"/>
    <cellStyle name="Примечание 3 88" xfId="4504" xr:uid="{00000000-0005-0000-0000-0000963E0000}"/>
    <cellStyle name="Примечание 3 88 2" xfId="9117" xr:uid="{00000000-0005-0000-0000-0000973E0000}"/>
    <cellStyle name="Примечание 3 88 3" xfId="13367" xr:uid="{00000000-0005-0000-0000-0000983E0000}"/>
    <cellStyle name="Примечание 3 88 4" xfId="17588" xr:uid="{00000000-0005-0000-0000-0000993E0000}"/>
    <cellStyle name="Примечание 3 89" xfId="4505" xr:uid="{00000000-0005-0000-0000-00009A3E0000}"/>
    <cellStyle name="Примечание 3 89 2" xfId="9118" xr:uid="{00000000-0005-0000-0000-00009B3E0000}"/>
    <cellStyle name="Примечание 3 89 3" xfId="13368" xr:uid="{00000000-0005-0000-0000-00009C3E0000}"/>
    <cellStyle name="Примечание 3 89 4" xfId="17589" xr:uid="{00000000-0005-0000-0000-00009D3E0000}"/>
    <cellStyle name="Примечание 3 9" xfId="4506" xr:uid="{00000000-0005-0000-0000-00009E3E0000}"/>
    <cellStyle name="Примечание 3 9 2" xfId="9119" xr:uid="{00000000-0005-0000-0000-00009F3E0000}"/>
    <cellStyle name="Примечание 3 9 3" xfId="13369" xr:uid="{00000000-0005-0000-0000-0000A03E0000}"/>
    <cellStyle name="Примечание 3 9 4" xfId="17590" xr:uid="{00000000-0005-0000-0000-0000A13E0000}"/>
    <cellStyle name="Примечание 3 90" xfId="5216" xr:uid="{00000000-0005-0000-0000-0000A23E0000}"/>
    <cellStyle name="Примечание 3 91" xfId="8829" xr:uid="{00000000-0005-0000-0000-0000A33E0000}"/>
    <cellStyle name="Примечание 3 92" xfId="13079" xr:uid="{00000000-0005-0000-0000-0000A43E0000}"/>
    <cellStyle name="Примечание 4" xfId="430" xr:uid="{00000000-0005-0000-0000-0000A53E0000}"/>
    <cellStyle name="Примечание 4 10" xfId="4507" xr:uid="{00000000-0005-0000-0000-0000A63E0000}"/>
    <cellStyle name="Примечание 4 10 2" xfId="9120" xr:uid="{00000000-0005-0000-0000-0000A73E0000}"/>
    <cellStyle name="Примечание 4 10 3" xfId="13370" xr:uid="{00000000-0005-0000-0000-0000A83E0000}"/>
    <cellStyle name="Примечание 4 10 4" xfId="17591" xr:uid="{00000000-0005-0000-0000-0000A93E0000}"/>
    <cellStyle name="Примечание 4 11" xfId="4508" xr:uid="{00000000-0005-0000-0000-0000AA3E0000}"/>
    <cellStyle name="Примечание 4 11 2" xfId="9121" xr:uid="{00000000-0005-0000-0000-0000AB3E0000}"/>
    <cellStyle name="Примечание 4 11 3" xfId="13371" xr:uid="{00000000-0005-0000-0000-0000AC3E0000}"/>
    <cellStyle name="Примечание 4 11 4" xfId="17592" xr:uid="{00000000-0005-0000-0000-0000AD3E0000}"/>
    <cellStyle name="Примечание 4 12" xfId="4509" xr:uid="{00000000-0005-0000-0000-0000AE3E0000}"/>
    <cellStyle name="Примечание 4 12 2" xfId="9122" xr:uid="{00000000-0005-0000-0000-0000AF3E0000}"/>
    <cellStyle name="Примечание 4 12 3" xfId="13372" xr:uid="{00000000-0005-0000-0000-0000B03E0000}"/>
    <cellStyle name="Примечание 4 12 4" xfId="17593" xr:uid="{00000000-0005-0000-0000-0000B13E0000}"/>
    <cellStyle name="Примечание 4 13" xfId="4510" xr:uid="{00000000-0005-0000-0000-0000B23E0000}"/>
    <cellStyle name="Примечание 4 13 2" xfId="9123" xr:uid="{00000000-0005-0000-0000-0000B33E0000}"/>
    <cellStyle name="Примечание 4 13 3" xfId="13373" xr:uid="{00000000-0005-0000-0000-0000B43E0000}"/>
    <cellStyle name="Примечание 4 13 4" xfId="17594" xr:uid="{00000000-0005-0000-0000-0000B53E0000}"/>
    <cellStyle name="Примечание 4 14" xfId="4511" xr:uid="{00000000-0005-0000-0000-0000B63E0000}"/>
    <cellStyle name="Примечание 4 14 2" xfId="9124" xr:uid="{00000000-0005-0000-0000-0000B73E0000}"/>
    <cellStyle name="Примечание 4 14 3" xfId="13374" xr:uid="{00000000-0005-0000-0000-0000B83E0000}"/>
    <cellStyle name="Примечание 4 14 4" xfId="17595" xr:uid="{00000000-0005-0000-0000-0000B93E0000}"/>
    <cellStyle name="Примечание 4 15" xfId="4512" xr:uid="{00000000-0005-0000-0000-0000BA3E0000}"/>
    <cellStyle name="Примечание 4 15 2" xfId="9125" xr:uid="{00000000-0005-0000-0000-0000BB3E0000}"/>
    <cellStyle name="Примечание 4 15 3" xfId="13375" xr:uid="{00000000-0005-0000-0000-0000BC3E0000}"/>
    <cellStyle name="Примечание 4 15 4" xfId="17596" xr:uid="{00000000-0005-0000-0000-0000BD3E0000}"/>
    <cellStyle name="Примечание 4 16" xfId="4513" xr:uid="{00000000-0005-0000-0000-0000BE3E0000}"/>
    <cellStyle name="Примечание 4 16 2" xfId="9126" xr:uid="{00000000-0005-0000-0000-0000BF3E0000}"/>
    <cellStyle name="Примечание 4 16 3" xfId="13376" xr:uid="{00000000-0005-0000-0000-0000C03E0000}"/>
    <cellStyle name="Примечание 4 16 4" xfId="17597" xr:uid="{00000000-0005-0000-0000-0000C13E0000}"/>
    <cellStyle name="Примечание 4 17" xfId="4514" xr:uid="{00000000-0005-0000-0000-0000C23E0000}"/>
    <cellStyle name="Примечание 4 17 2" xfId="9127" xr:uid="{00000000-0005-0000-0000-0000C33E0000}"/>
    <cellStyle name="Примечание 4 17 3" xfId="13377" xr:uid="{00000000-0005-0000-0000-0000C43E0000}"/>
    <cellStyle name="Примечание 4 17 4" xfId="17598" xr:uid="{00000000-0005-0000-0000-0000C53E0000}"/>
    <cellStyle name="Примечание 4 18" xfId="4515" xr:uid="{00000000-0005-0000-0000-0000C63E0000}"/>
    <cellStyle name="Примечание 4 18 2" xfId="9128" xr:uid="{00000000-0005-0000-0000-0000C73E0000}"/>
    <cellStyle name="Примечание 4 18 3" xfId="13378" xr:uid="{00000000-0005-0000-0000-0000C83E0000}"/>
    <cellStyle name="Примечание 4 18 4" xfId="17599" xr:uid="{00000000-0005-0000-0000-0000C93E0000}"/>
    <cellStyle name="Примечание 4 19" xfId="4516" xr:uid="{00000000-0005-0000-0000-0000CA3E0000}"/>
    <cellStyle name="Примечание 4 19 2" xfId="9129" xr:uid="{00000000-0005-0000-0000-0000CB3E0000}"/>
    <cellStyle name="Примечание 4 19 3" xfId="13379" xr:uid="{00000000-0005-0000-0000-0000CC3E0000}"/>
    <cellStyle name="Примечание 4 19 4" xfId="17600" xr:uid="{00000000-0005-0000-0000-0000CD3E0000}"/>
    <cellStyle name="Примечание 4 2" xfId="4517" xr:uid="{00000000-0005-0000-0000-0000CE3E0000}"/>
    <cellStyle name="Примечание 4 2 2" xfId="4518" xr:uid="{00000000-0005-0000-0000-0000CF3E0000}"/>
    <cellStyle name="Примечание 4 2 2 2" xfId="9131" xr:uid="{00000000-0005-0000-0000-0000D03E0000}"/>
    <cellStyle name="Примечание 4 2 2 3" xfId="13381" xr:uid="{00000000-0005-0000-0000-0000D13E0000}"/>
    <cellStyle name="Примечание 4 2 2 4" xfId="17602" xr:uid="{00000000-0005-0000-0000-0000D23E0000}"/>
    <cellStyle name="Примечание 4 2 3" xfId="4519" xr:uid="{00000000-0005-0000-0000-0000D33E0000}"/>
    <cellStyle name="Примечание 4 2 3 2" xfId="9132" xr:uid="{00000000-0005-0000-0000-0000D43E0000}"/>
    <cellStyle name="Примечание 4 2 3 3" xfId="13382" xr:uid="{00000000-0005-0000-0000-0000D53E0000}"/>
    <cellStyle name="Примечание 4 2 3 4" xfId="17603" xr:uid="{00000000-0005-0000-0000-0000D63E0000}"/>
    <cellStyle name="Примечание 4 2 4" xfId="9130" xr:uid="{00000000-0005-0000-0000-0000D73E0000}"/>
    <cellStyle name="Примечание 4 2 5" xfId="13380" xr:uid="{00000000-0005-0000-0000-0000D83E0000}"/>
    <cellStyle name="Примечание 4 2 6" xfId="17601" xr:uid="{00000000-0005-0000-0000-0000D93E0000}"/>
    <cellStyle name="Примечание 4 20" xfId="4520" xr:uid="{00000000-0005-0000-0000-0000DA3E0000}"/>
    <cellStyle name="Примечание 4 20 2" xfId="9133" xr:uid="{00000000-0005-0000-0000-0000DB3E0000}"/>
    <cellStyle name="Примечание 4 20 3" xfId="13383" xr:uid="{00000000-0005-0000-0000-0000DC3E0000}"/>
    <cellStyle name="Примечание 4 20 4" xfId="17604" xr:uid="{00000000-0005-0000-0000-0000DD3E0000}"/>
    <cellStyle name="Примечание 4 21" xfId="4521" xr:uid="{00000000-0005-0000-0000-0000DE3E0000}"/>
    <cellStyle name="Примечание 4 21 2" xfId="9134" xr:uid="{00000000-0005-0000-0000-0000DF3E0000}"/>
    <cellStyle name="Примечание 4 21 3" xfId="13384" xr:uid="{00000000-0005-0000-0000-0000E03E0000}"/>
    <cellStyle name="Примечание 4 21 4" xfId="17605" xr:uid="{00000000-0005-0000-0000-0000E13E0000}"/>
    <cellStyle name="Примечание 4 22" xfId="4522" xr:uid="{00000000-0005-0000-0000-0000E23E0000}"/>
    <cellStyle name="Примечание 4 22 2" xfId="9135" xr:uid="{00000000-0005-0000-0000-0000E33E0000}"/>
    <cellStyle name="Примечание 4 22 3" xfId="13385" xr:uid="{00000000-0005-0000-0000-0000E43E0000}"/>
    <cellStyle name="Примечание 4 22 4" xfId="17606" xr:uid="{00000000-0005-0000-0000-0000E53E0000}"/>
    <cellStyle name="Примечание 4 23" xfId="4523" xr:uid="{00000000-0005-0000-0000-0000E63E0000}"/>
    <cellStyle name="Примечание 4 23 2" xfId="9136" xr:uid="{00000000-0005-0000-0000-0000E73E0000}"/>
    <cellStyle name="Примечание 4 23 3" xfId="13386" xr:uid="{00000000-0005-0000-0000-0000E83E0000}"/>
    <cellStyle name="Примечание 4 23 4" xfId="17607" xr:uid="{00000000-0005-0000-0000-0000E93E0000}"/>
    <cellStyle name="Примечание 4 24" xfId="4524" xr:uid="{00000000-0005-0000-0000-0000EA3E0000}"/>
    <cellStyle name="Примечание 4 24 2" xfId="9137" xr:uid="{00000000-0005-0000-0000-0000EB3E0000}"/>
    <cellStyle name="Примечание 4 24 3" xfId="13387" xr:uid="{00000000-0005-0000-0000-0000EC3E0000}"/>
    <cellStyle name="Примечание 4 24 4" xfId="17608" xr:uid="{00000000-0005-0000-0000-0000ED3E0000}"/>
    <cellStyle name="Примечание 4 25" xfId="4525" xr:uid="{00000000-0005-0000-0000-0000EE3E0000}"/>
    <cellStyle name="Примечание 4 25 2" xfId="9138" xr:uid="{00000000-0005-0000-0000-0000EF3E0000}"/>
    <cellStyle name="Примечание 4 25 3" xfId="13388" xr:uid="{00000000-0005-0000-0000-0000F03E0000}"/>
    <cellStyle name="Примечание 4 25 4" xfId="17609" xr:uid="{00000000-0005-0000-0000-0000F13E0000}"/>
    <cellStyle name="Примечание 4 26" xfId="4526" xr:uid="{00000000-0005-0000-0000-0000F23E0000}"/>
    <cellStyle name="Примечание 4 26 2" xfId="9139" xr:uid="{00000000-0005-0000-0000-0000F33E0000}"/>
    <cellStyle name="Примечание 4 26 3" xfId="13389" xr:uid="{00000000-0005-0000-0000-0000F43E0000}"/>
    <cellStyle name="Примечание 4 26 4" xfId="17610" xr:uid="{00000000-0005-0000-0000-0000F53E0000}"/>
    <cellStyle name="Примечание 4 27" xfId="4527" xr:uid="{00000000-0005-0000-0000-0000F63E0000}"/>
    <cellStyle name="Примечание 4 27 2" xfId="9140" xr:uid="{00000000-0005-0000-0000-0000F73E0000}"/>
    <cellStyle name="Примечание 4 27 3" xfId="13390" xr:uid="{00000000-0005-0000-0000-0000F83E0000}"/>
    <cellStyle name="Примечание 4 27 4" xfId="17611" xr:uid="{00000000-0005-0000-0000-0000F93E0000}"/>
    <cellStyle name="Примечание 4 28" xfId="4528" xr:uid="{00000000-0005-0000-0000-0000FA3E0000}"/>
    <cellStyle name="Примечание 4 28 2" xfId="9141" xr:uid="{00000000-0005-0000-0000-0000FB3E0000}"/>
    <cellStyle name="Примечание 4 28 3" xfId="13391" xr:uid="{00000000-0005-0000-0000-0000FC3E0000}"/>
    <cellStyle name="Примечание 4 28 4" xfId="17612" xr:uid="{00000000-0005-0000-0000-0000FD3E0000}"/>
    <cellStyle name="Примечание 4 29" xfId="4529" xr:uid="{00000000-0005-0000-0000-0000FE3E0000}"/>
    <cellStyle name="Примечание 4 29 2" xfId="9142" xr:uid="{00000000-0005-0000-0000-0000FF3E0000}"/>
    <cellStyle name="Примечание 4 29 3" xfId="13392" xr:uid="{00000000-0005-0000-0000-0000003F0000}"/>
    <cellStyle name="Примечание 4 29 4" xfId="17613" xr:uid="{00000000-0005-0000-0000-0000013F0000}"/>
    <cellStyle name="Примечание 4 3" xfId="4530" xr:uid="{00000000-0005-0000-0000-0000023F0000}"/>
    <cellStyle name="Примечание 4 3 2" xfId="4531" xr:uid="{00000000-0005-0000-0000-0000033F0000}"/>
    <cellStyle name="Примечание 4 3 2 2" xfId="9144" xr:uid="{00000000-0005-0000-0000-0000043F0000}"/>
    <cellStyle name="Примечание 4 3 2 3" xfId="13394" xr:uid="{00000000-0005-0000-0000-0000053F0000}"/>
    <cellStyle name="Примечание 4 3 2 4" xfId="17615" xr:uid="{00000000-0005-0000-0000-0000063F0000}"/>
    <cellStyle name="Примечание 4 3 3" xfId="4532" xr:uid="{00000000-0005-0000-0000-0000073F0000}"/>
    <cellStyle name="Примечание 4 3 3 2" xfId="9145" xr:uid="{00000000-0005-0000-0000-0000083F0000}"/>
    <cellStyle name="Примечание 4 3 3 3" xfId="13395" xr:uid="{00000000-0005-0000-0000-0000093F0000}"/>
    <cellStyle name="Примечание 4 3 3 4" xfId="17616" xr:uid="{00000000-0005-0000-0000-00000A3F0000}"/>
    <cellStyle name="Примечание 4 3 4" xfId="9143" xr:uid="{00000000-0005-0000-0000-00000B3F0000}"/>
    <cellStyle name="Примечание 4 3 5" xfId="13393" xr:uid="{00000000-0005-0000-0000-00000C3F0000}"/>
    <cellStyle name="Примечание 4 3 6" xfId="17614" xr:uid="{00000000-0005-0000-0000-00000D3F0000}"/>
    <cellStyle name="Примечание 4 30" xfId="4533" xr:uid="{00000000-0005-0000-0000-00000E3F0000}"/>
    <cellStyle name="Примечание 4 30 2" xfId="9146" xr:uid="{00000000-0005-0000-0000-00000F3F0000}"/>
    <cellStyle name="Примечание 4 30 3" xfId="13396" xr:uid="{00000000-0005-0000-0000-0000103F0000}"/>
    <cellStyle name="Примечание 4 30 4" xfId="17617" xr:uid="{00000000-0005-0000-0000-0000113F0000}"/>
    <cellStyle name="Примечание 4 31" xfId="4534" xr:uid="{00000000-0005-0000-0000-0000123F0000}"/>
    <cellStyle name="Примечание 4 31 2" xfId="9147" xr:uid="{00000000-0005-0000-0000-0000133F0000}"/>
    <cellStyle name="Примечание 4 31 3" xfId="13397" xr:uid="{00000000-0005-0000-0000-0000143F0000}"/>
    <cellStyle name="Примечание 4 31 4" xfId="17618" xr:uid="{00000000-0005-0000-0000-0000153F0000}"/>
    <cellStyle name="Примечание 4 32" xfId="4535" xr:uid="{00000000-0005-0000-0000-0000163F0000}"/>
    <cellStyle name="Примечание 4 32 2" xfId="9148" xr:uid="{00000000-0005-0000-0000-0000173F0000}"/>
    <cellStyle name="Примечание 4 32 3" xfId="13398" xr:uid="{00000000-0005-0000-0000-0000183F0000}"/>
    <cellStyle name="Примечание 4 32 4" xfId="17619" xr:uid="{00000000-0005-0000-0000-0000193F0000}"/>
    <cellStyle name="Примечание 4 33" xfId="4536" xr:uid="{00000000-0005-0000-0000-00001A3F0000}"/>
    <cellStyle name="Примечание 4 33 2" xfId="9149" xr:uid="{00000000-0005-0000-0000-00001B3F0000}"/>
    <cellStyle name="Примечание 4 33 3" xfId="13399" xr:uid="{00000000-0005-0000-0000-00001C3F0000}"/>
    <cellStyle name="Примечание 4 33 4" xfId="17620" xr:uid="{00000000-0005-0000-0000-00001D3F0000}"/>
    <cellStyle name="Примечание 4 34" xfId="4537" xr:uid="{00000000-0005-0000-0000-00001E3F0000}"/>
    <cellStyle name="Примечание 4 34 2" xfId="9150" xr:uid="{00000000-0005-0000-0000-00001F3F0000}"/>
    <cellStyle name="Примечание 4 34 3" xfId="13400" xr:uid="{00000000-0005-0000-0000-0000203F0000}"/>
    <cellStyle name="Примечание 4 34 4" xfId="17621" xr:uid="{00000000-0005-0000-0000-0000213F0000}"/>
    <cellStyle name="Примечание 4 35" xfId="4538" xr:uid="{00000000-0005-0000-0000-0000223F0000}"/>
    <cellStyle name="Примечание 4 35 2" xfId="9151" xr:uid="{00000000-0005-0000-0000-0000233F0000}"/>
    <cellStyle name="Примечание 4 35 3" xfId="13401" xr:uid="{00000000-0005-0000-0000-0000243F0000}"/>
    <cellStyle name="Примечание 4 35 4" xfId="17622" xr:uid="{00000000-0005-0000-0000-0000253F0000}"/>
    <cellStyle name="Примечание 4 36" xfId="4539" xr:uid="{00000000-0005-0000-0000-0000263F0000}"/>
    <cellStyle name="Примечание 4 36 2" xfId="9152" xr:uid="{00000000-0005-0000-0000-0000273F0000}"/>
    <cellStyle name="Примечание 4 36 3" xfId="13402" xr:uid="{00000000-0005-0000-0000-0000283F0000}"/>
    <cellStyle name="Примечание 4 36 4" xfId="17623" xr:uid="{00000000-0005-0000-0000-0000293F0000}"/>
    <cellStyle name="Примечание 4 37" xfId="4540" xr:uid="{00000000-0005-0000-0000-00002A3F0000}"/>
    <cellStyle name="Примечание 4 37 2" xfId="9153" xr:uid="{00000000-0005-0000-0000-00002B3F0000}"/>
    <cellStyle name="Примечание 4 37 3" xfId="13403" xr:uid="{00000000-0005-0000-0000-00002C3F0000}"/>
    <cellStyle name="Примечание 4 37 4" xfId="17624" xr:uid="{00000000-0005-0000-0000-00002D3F0000}"/>
    <cellStyle name="Примечание 4 38" xfId="4541" xr:uid="{00000000-0005-0000-0000-00002E3F0000}"/>
    <cellStyle name="Примечание 4 38 2" xfId="9154" xr:uid="{00000000-0005-0000-0000-00002F3F0000}"/>
    <cellStyle name="Примечание 4 38 3" xfId="13404" xr:uid="{00000000-0005-0000-0000-0000303F0000}"/>
    <cellStyle name="Примечание 4 38 4" xfId="17625" xr:uid="{00000000-0005-0000-0000-0000313F0000}"/>
    <cellStyle name="Примечание 4 39" xfId="4542" xr:uid="{00000000-0005-0000-0000-0000323F0000}"/>
    <cellStyle name="Примечание 4 39 2" xfId="9155" xr:uid="{00000000-0005-0000-0000-0000333F0000}"/>
    <cellStyle name="Примечание 4 39 3" xfId="13405" xr:uid="{00000000-0005-0000-0000-0000343F0000}"/>
    <cellStyle name="Примечание 4 39 4" xfId="17626" xr:uid="{00000000-0005-0000-0000-0000353F0000}"/>
    <cellStyle name="Примечание 4 4" xfId="4543" xr:uid="{00000000-0005-0000-0000-0000363F0000}"/>
    <cellStyle name="Примечание 4 4 2" xfId="4544" xr:uid="{00000000-0005-0000-0000-0000373F0000}"/>
    <cellStyle name="Примечание 4 4 2 2" xfId="9157" xr:uid="{00000000-0005-0000-0000-0000383F0000}"/>
    <cellStyle name="Примечание 4 4 2 3" xfId="13407" xr:uid="{00000000-0005-0000-0000-0000393F0000}"/>
    <cellStyle name="Примечание 4 4 2 4" xfId="17628" xr:uid="{00000000-0005-0000-0000-00003A3F0000}"/>
    <cellStyle name="Примечание 4 4 3" xfId="4545" xr:uid="{00000000-0005-0000-0000-00003B3F0000}"/>
    <cellStyle name="Примечание 4 4 3 2" xfId="9158" xr:uid="{00000000-0005-0000-0000-00003C3F0000}"/>
    <cellStyle name="Примечание 4 4 3 3" xfId="13408" xr:uid="{00000000-0005-0000-0000-00003D3F0000}"/>
    <cellStyle name="Примечание 4 4 3 4" xfId="17629" xr:uid="{00000000-0005-0000-0000-00003E3F0000}"/>
    <cellStyle name="Примечание 4 4 4" xfId="9156" xr:uid="{00000000-0005-0000-0000-00003F3F0000}"/>
    <cellStyle name="Примечание 4 4 5" xfId="13406" xr:uid="{00000000-0005-0000-0000-0000403F0000}"/>
    <cellStyle name="Примечание 4 4 6" xfId="17627" xr:uid="{00000000-0005-0000-0000-0000413F0000}"/>
    <cellStyle name="Примечание 4 40" xfId="4546" xr:uid="{00000000-0005-0000-0000-0000423F0000}"/>
    <cellStyle name="Примечание 4 40 2" xfId="9159" xr:uid="{00000000-0005-0000-0000-0000433F0000}"/>
    <cellStyle name="Примечание 4 40 3" xfId="13409" xr:uid="{00000000-0005-0000-0000-0000443F0000}"/>
    <cellStyle name="Примечание 4 40 4" xfId="17630" xr:uid="{00000000-0005-0000-0000-0000453F0000}"/>
    <cellStyle name="Примечание 4 41" xfId="4547" xr:uid="{00000000-0005-0000-0000-0000463F0000}"/>
    <cellStyle name="Примечание 4 41 2" xfId="9160" xr:uid="{00000000-0005-0000-0000-0000473F0000}"/>
    <cellStyle name="Примечание 4 41 3" xfId="13410" xr:uid="{00000000-0005-0000-0000-0000483F0000}"/>
    <cellStyle name="Примечание 4 41 4" xfId="17631" xr:uid="{00000000-0005-0000-0000-0000493F0000}"/>
    <cellStyle name="Примечание 4 42" xfId="4548" xr:uid="{00000000-0005-0000-0000-00004A3F0000}"/>
    <cellStyle name="Примечание 4 42 2" xfId="9161" xr:uid="{00000000-0005-0000-0000-00004B3F0000}"/>
    <cellStyle name="Примечание 4 42 3" xfId="13411" xr:uid="{00000000-0005-0000-0000-00004C3F0000}"/>
    <cellStyle name="Примечание 4 42 4" xfId="17632" xr:uid="{00000000-0005-0000-0000-00004D3F0000}"/>
    <cellStyle name="Примечание 4 43" xfId="4549" xr:uid="{00000000-0005-0000-0000-00004E3F0000}"/>
    <cellStyle name="Примечание 4 43 2" xfId="9162" xr:uid="{00000000-0005-0000-0000-00004F3F0000}"/>
    <cellStyle name="Примечание 4 43 3" xfId="13412" xr:uid="{00000000-0005-0000-0000-0000503F0000}"/>
    <cellStyle name="Примечание 4 43 4" xfId="17633" xr:uid="{00000000-0005-0000-0000-0000513F0000}"/>
    <cellStyle name="Примечание 4 44" xfId="4550" xr:uid="{00000000-0005-0000-0000-0000523F0000}"/>
    <cellStyle name="Примечание 4 44 2" xfId="9163" xr:uid="{00000000-0005-0000-0000-0000533F0000}"/>
    <cellStyle name="Примечание 4 44 3" xfId="13413" xr:uid="{00000000-0005-0000-0000-0000543F0000}"/>
    <cellStyle name="Примечание 4 44 4" xfId="17634" xr:uid="{00000000-0005-0000-0000-0000553F0000}"/>
    <cellStyle name="Примечание 4 45" xfId="4551" xr:uid="{00000000-0005-0000-0000-0000563F0000}"/>
    <cellStyle name="Примечание 4 45 2" xfId="9164" xr:uid="{00000000-0005-0000-0000-0000573F0000}"/>
    <cellStyle name="Примечание 4 45 3" xfId="13414" xr:uid="{00000000-0005-0000-0000-0000583F0000}"/>
    <cellStyle name="Примечание 4 45 4" xfId="17635" xr:uid="{00000000-0005-0000-0000-0000593F0000}"/>
    <cellStyle name="Примечание 4 46" xfId="4552" xr:uid="{00000000-0005-0000-0000-00005A3F0000}"/>
    <cellStyle name="Примечание 4 46 2" xfId="9165" xr:uid="{00000000-0005-0000-0000-00005B3F0000}"/>
    <cellStyle name="Примечание 4 46 3" xfId="13415" xr:uid="{00000000-0005-0000-0000-00005C3F0000}"/>
    <cellStyle name="Примечание 4 46 4" xfId="17636" xr:uid="{00000000-0005-0000-0000-00005D3F0000}"/>
    <cellStyle name="Примечание 4 47" xfId="4553" xr:uid="{00000000-0005-0000-0000-00005E3F0000}"/>
    <cellStyle name="Примечание 4 47 2" xfId="9166" xr:uid="{00000000-0005-0000-0000-00005F3F0000}"/>
    <cellStyle name="Примечание 4 47 3" xfId="13416" xr:uid="{00000000-0005-0000-0000-0000603F0000}"/>
    <cellStyle name="Примечание 4 47 4" xfId="17637" xr:uid="{00000000-0005-0000-0000-0000613F0000}"/>
    <cellStyle name="Примечание 4 48" xfId="4554" xr:uid="{00000000-0005-0000-0000-0000623F0000}"/>
    <cellStyle name="Примечание 4 48 2" xfId="9167" xr:uid="{00000000-0005-0000-0000-0000633F0000}"/>
    <cellStyle name="Примечание 4 48 3" xfId="13417" xr:uid="{00000000-0005-0000-0000-0000643F0000}"/>
    <cellStyle name="Примечание 4 48 4" xfId="17638" xr:uid="{00000000-0005-0000-0000-0000653F0000}"/>
    <cellStyle name="Примечание 4 49" xfId="4555" xr:uid="{00000000-0005-0000-0000-0000663F0000}"/>
    <cellStyle name="Примечание 4 49 2" xfId="9168" xr:uid="{00000000-0005-0000-0000-0000673F0000}"/>
    <cellStyle name="Примечание 4 49 3" xfId="13418" xr:uid="{00000000-0005-0000-0000-0000683F0000}"/>
    <cellStyle name="Примечание 4 49 4" xfId="17639" xr:uid="{00000000-0005-0000-0000-0000693F0000}"/>
    <cellStyle name="Примечание 4 5" xfId="4556" xr:uid="{00000000-0005-0000-0000-00006A3F0000}"/>
    <cellStyle name="Примечание 4 5 2" xfId="9169" xr:uid="{00000000-0005-0000-0000-00006B3F0000}"/>
    <cellStyle name="Примечание 4 5 3" xfId="13419" xr:uid="{00000000-0005-0000-0000-00006C3F0000}"/>
    <cellStyle name="Примечание 4 5 4" xfId="17640" xr:uid="{00000000-0005-0000-0000-00006D3F0000}"/>
    <cellStyle name="Примечание 4 50" xfId="4557" xr:uid="{00000000-0005-0000-0000-00006E3F0000}"/>
    <cellStyle name="Примечание 4 50 2" xfId="9170" xr:uid="{00000000-0005-0000-0000-00006F3F0000}"/>
    <cellStyle name="Примечание 4 50 3" xfId="13420" xr:uid="{00000000-0005-0000-0000-0000703F0000}"/>
    <cellStyle name="Примечание 4 50 4" xfId="17641" xr:uid="{00000000-0005-0000-0000-0000713F0000}"/>
    <cellStyle name="Примечание 4 51" xfId="4558" xr:uid="{00000000-0005-0000-0000-0000723F0000}"/>
    <cellStyle name="Примечание 4 51 2" xfId="9171" xr:uid="{00000000-0005-0000-0000-0000733F0000}"/>
    <cellStyle name="Примечание 4 51 3" xfId="13421" xr:uid="{00000000-0005-0000-0000-0000743F0000}"/>
    <cellStyle name="Примечание 4 51 4" xfId="17642" xr:uid="{00000000-0005-0000-0000-0000753F0000}"/>
    <cellStyle name="Примечание 4 52" xfId="4559" xr:uid="{00000000-0005-0000-0000-0000763F0000}"/>
    <cellStyle name="Примечание 4 52 2" xfId="9172" xr:uid="{00000000-0005-0000-0000-0000773F0000}"/>
    <cellStyle name="Примечание 4 52 3" xfId="13422" xr:uid="{00000000-0005-0000-0000-0000783F0000}"/>
    <cellStyle name="Примечание 4 52 4" xfId="17643" xr:uid="{00000000-0005-0000-0000-0000793F0000}"/>
    <cellStyle name="Примечание 4 53" xfId="4560" xr:uid="{00000000-0005-0000-0000-00007A3F0000}"/>
    <cellStyle name="Примечание 4 53 2" xfId="9173" xr:uid="{00000000-0005-0000-0000-00007B3F0000}"/>
    <cellStyle name="Примечание 4 53 3" xfId="13423" xr:uid="{00000000-0005-0000-0000-00007C3F0000}"/>
    <cellStyle name="Примечание 4 53 4" xfId="17644" xr:uid="{00000000-0005-0000-0000-00007D3F0000}"/>
    <cellStyle name="Примечание 4 54" xfId="4561" xr:uid="{00000000-0005-0000-0000-00007E3F0000}"/>
    <cellStyle name="Примечание 4 54 2" xfId="9174" xr:uid="{00000000-0005-0000-0000-00007F3F0000}"/>
    <cellStyle name="Примечание 4 54 3" xfId="13424" xr:uid="{00000000-0005-0000-0000-0000803F0000}"/>
    <cellStyle name="Примечание 4 54 4" xfId="17645" xr:uid="{00000000-0005-0000-0000-0000813F0000}"/>
    <cellStyle name="Примечание 4 55" xfId="4562" xr:uid="{00000000-0005-0000-0000-0000823F0000}"/>
    <cellStyle name="Примечание 4 55 2" xfId="9175" xr:uid="{00000000-0005-0000-0000-0000833F0000}"/>
    <cellStyle name="Примечание 4 55 3" xfId="13425" xr:uid="{00000000-0005-0000-0000-0000843F0000}"/>
    <cellStyle name="Примечание 4 55 4" xfId="17646" xr:uid="{00000000-0005-0000-0000-0000853F0000}"/>
    <cellStyle name="Примечание 4 56" xfId="4563" xr:uid="{00000000-0005-0000-0000-0000863F0000}"/>
    <cellStyle name="Примечание 4 56 2" xfId="9176" xr:uid="{00000000-0005-0000-0000-0000873F0000}"/>
    <cellStyle name="Примечание 4 56 3" xfId="13426" xr:uid="{00000000-0005-0000-0000-0000883F0000}"/>
    <cellStyle name="Примечание 4 56 4" xfId="17647" xr:uid="{00000000-0005-0000-0000-0000893F0000}"/>
    <cellStyle name="Примечание 4 57" xfId="4564" xr:uid="{00000000-0005-0000-0000-00008A3F0000}"/>
    <cellStyle name="Примечание 4 57 2" xfId="9177" xr:uid="{00000000-0005-0000-0000-00008B3F0000}"/>
    <cellStyle name="Примечание 4 57 3" xfId="13427" xr:uid="{00000000-0005-0000-0000-00008C3F0000}"/>
    <cellStyle name="Примечание 4 57 4" xfId="17648" xr:uid="{00000000-0005-0000-0000-00008D3F0000}"/>
    <cellStyle name="Примечание 4 58" xfId="4565" xr:uid="{00000000-0005-0000-0000-00008E3F0000}"/>
    <cellStyle name="Примечание 4 58 2" xfId="9178" xr:uid="{00000000-0005-0000-0000-00008F3F0000}"/>
    <cellStyle name="Примечание 4 58 3" xfId="13428" xr:uid="{00000000-0005-0000-0000-0000903F0000}"/>
    <cellStyle name="Примечание 4 58 4" xfId="17649" xr:uid="{00000000-0005-0000-0000-0000913F0000}"/>
    <cellStyle name="Примечание 4 59" xfId="4566" xr:uid="{00000000-0005-0000-0000-0000923F0000}"/>
    <cellStyle name="Примечание 4 59 2" xfId="9179" xr:uid="{00000000-0005-0000-0000-0000933F0000}"/>
    <cellStyle name="Примечание 4 59 3" xfId="13429" xr:uid="{00000000-0005-0000-0000-0000943F0000}"/>
    <cellStyle name="Примечание 4 59 4" xfId="17650" xr:uid="{00000000-0005-0000-0000-0000953F0000}"/>
    <cellStyle name="Примечание 4 6" xfId="4567" xr:uid="{00000000-0005-0000-0000-0000963F0000}"/>
    <cellStyle name="Примечание 4 6 2" xfId="9180" xr:uid="{00000000-0005-0000-0000-0000973F0000}"/>
    <cellStyle name="Примечание 4 6 3" xfId="13430" xr:uid="{00000000-0005-0000-0000-0000983F0000}"/>
    <cellStyle name="Примечание 4 6 4" xfId="17651" xr:uid="{00000000-0005-0000-0000-0000993F0000}"/>
    <cellStyle name="Примечание 4 60" xfId="4568" xr:uid="{00000000-0005-0000-0000-00009A3F0000}"/>
    <cellStyle name="Примечание 4 60 2" xfId="9181" xr:uid="{00000000-0005-0000-0000-00009B3F0000}"/>
    <cellStyle name="Примечание 4 60 3" xfId="13431" xr:uid="{00000000-0005-0000-0000-00009C3F0000}"/>
    <cellStyle name="Примечание 4 60 4" xfId="17652" xr:uid="{00000000-0005-0000-0000-00009D3F0000}"/>
    <cellStyle name="Примечание 4 61" xfId="4569" xr:uid="{00000000-0005-0000-0000-00009E3F0000}"/>
    <cellStyle name="Примечание 4 61 2" xfId="9182" xr:uid="{00000000-0005-0000-0000-00009F3F0000}"/>
    <cellStyle name="Примечание 4 61 3" xfId="13432" xr:uid="{00000000-0005-0000-0000-0000A03F0000}"/>
    <cellStyle name="Примечание 4 61 4" xfId="17653" xr:uid="{00000000-0005-0000-0000-0000A13F0000}"/>
    <cellStyle name="Примечание 4 62" xfId="4570" xr:uid="{00000000-0005-0000-0000-0000A23F0000}"/>
    <cellStyle name="Примечание 4 62 2" xfId="9183" xr:uid="{00000000-0005-0000-0000-0000A33F0000}"/>
    <cellStyle name="Примечание 4 62 3" xfId="13433" xr:uid="{00000000-0005-0000-0000-0000A43F0000}"/>
    <cellStyle name="Примечание 4 62 4" xfId="17654" xr:uid="{00000000-0005-0000-0000-0000A53F0000}"/>
    <cellStyle name="Примечание 4 63" xfId="4571" xr:uid="{00000000-0005-0000-0000-0000A63F0000}"/>
    <cellStyle name="Примечание 4 63 2" xfId="9184" xr:uid="{00000000-0005-0000-0000-0000A73F0000}"/>
    <cellStyle name="Примечание 4 63 3" xfId="13434" xr:uid="{00000000-0005-0000-0000-0000A83F0000}"/>
    <cellStyle name="Примечание 4 63 4" xfId="17655" xr:uid="{00000000-0005-0000-0000-0000A93F0000}"/>
    <cellStyle name="Примечание 4 64" xfId="4572" xr:uid="{00000000-0005-0000-0000-0000AA3F0000}"/>
    <cellStyle name="Примечание 4 64 2" xfId="9185" xr:uid="{00000000-0005-0000-0000-0000AB3F0000}"/>
    <cellStyle name="Примечание 4 64 3" xfId="13435" xr:uid="{00000000-0005-0000-0000-0000AC3F0000}"/>
    <cellStyle name="Примечание 4 64 4" xfId="17656" xr:uid="{00000000-0005-0000-0000-0000AD3F0000}"/>
    <cellStyle name="Примечание 4 65" xfId="4573" xr:uid="{00000000-0005-0000-0000-0000AE3F0000}"/>
    <cellStyle name="Примечание 4 65 2" xfId="9186" xr:uid="{00000000-0005-0000-0000-0000AF3F0000}"/>
    <cellStyle name="Примечание 4 65 3" xfId="13436" xr:uid="{00000000-0005-0000-0000-0000B03F0000}"/>
    <cellStyle name="Примечание 4 65 4" xfId="17657" xr:uid="{00000000-0005-0000-0000-0000B13F0000}"/>
    <cellStyle name="Примечание 4 66" xfId="4574" xr:uid="{00000000-0005-0000-0000-0000B23F0000}"/>
    <cellStyle name="Примечание 4 66 2" xfId="9187" xr:uid="{00000000-0005-0000-0000-0000B33F0000}"/>
    <cellStyle name="Примечание 4 66 3" xfId="13437" xr:uid="{00000000-0005-0000-0000-0000B43F0000}"/>
    <cellStyle name="Примечание 4 66 4" xfId="17658" xr:uid="{00000000-0005-0000-0000-0000B53F0000}"/>
    <cellStyle name="Примечание 4 67" xfId="4575" xr:uid="{00000000-0005-0000-0000-0000B63F0000}"/>
    <cellStyle name="Примечание 4 67 2" xfId="9188" xr:uid="{00000000-0005-0000-0000-0000B73F0000}"/>
    <cellStyle name="Примечание 4 67 3" xfId="13438" xr:uid="{00000000-0005-0000-0000-0000B83F0000}"/>
    <cellStyle name="Примечание 4 67 4" xfId="17659" xr:uid="{00000000-0005-0000-0000-0000B93F0000}"/>
    <cellStyle name="Примечание 4 68" xfId="4576" xr:uid="{00000000-0005-0000-0000-0000BA3F0000}"/>
    <cellStyle name="Примечание 4 68 2" xfId="9189" xr:uid="{00000000-0005-0000-0000-0000BB3F0000}"/>
    <cellStyle name="Примечание 4 68 3" xfId="13439" xr:uid="{00000000-0005-0000-0000-0000BC3F0000}"/>
    <cellStyle name="Примечание 4 68 4" xfId="17660" xr:uid="{00000000-0005-0000-0000-0000BD3F0000}"/>
    <cellStyle name="Примечание 4 69" xfId="4577" xr:uid="{00000000-0005-0000-0000-0000BE3F0000}"/>
    <cellStyle name="Примечание 4 69 2" xfId="9190" xr:uid="{00000000-0005-0000-0000-0000BF3F0000}"/>
    <cellStyle name="Примечание 4 69 3" xfId="13440" xr:uid="{00000000-0005-0000-0000-0000C03F0000}"/>
    <cellStyle name="Примечание 4 69 4" xfId="17661" xr:uid="{00000000-0005-0000-0000-0000C13F0000}"/>
    <cellStyle name="Примечание 4 7" xfId="4578" xr:uid="{00000000-0005-0000-0000-0000C23F0000}"/>
    <cellStyle name="Примечание 4 7 2" xfId="9191" xr:uid="{00000000-0005-0000-0000-0000C33F0000}"/>
    <cellStyle name="Примечание 4 7 3" xfId="13441" xr:uid="{00000000-0005-0000-0000-0000C43F0000}"/>
    <cellStyle name="Примечание 4 7 4" xfId="17662" xr:uid="{00000000-0005-0000-0000-0000C53F0000}"/>
    <cellStyle name="Примечание 4 70" xfId="4579" xr:uid="{00000000-0005-0000-0000-0000C63F0000}"/>
    <cellStyle name="Примечание 4 70 2" xfId="9192" xr:uid="{00000000-0005-0000-0000-0000C73F0000}"/>
    <cellStyle name="Примечание 4 70 3" xfId="13442" xr:uid="{00000000-0005-0000-0000-0000C83F0000}"/>
    <cellStyle name="Примечание 4 70 4" xfId="17663" xr:uid="{00000000-0005-0000-0000-0000C93F0000}"/>
    <cellStyle name="Примечание 4 71" xfId="4580" xr:uid="{00000000-0005-0000-0000-0000CA3F0000}"/>
    <cellStyle name="Примечание 4 71 2" xfId="9193" xr:uid="{00000000-0005-0000-0000-0000CB3F0000}"/>
    <cellStyle name="Примечание 4 71 3" xfId="13443" xr:uid="{00000000-0005-0000-0000-0000CC3F0000}"/>
    <cellStyle name="Примечание 4 71 4" xfId="17664" xr:uid="{00000000-0005-0000-0000-0000CD3F0000}"/>
    <cellStyle name="Примечание 4 72" xfId="4581" xr:uid="{00000000-0005-0000-0000-0000CE3F0000}"/>
    <cellStyle name="Примечание 4 72 2" xfId="9194" xr:uid="{00000000-0005-0000-0000-0000CF3F0000}"/>
    <cellStyle name="Примечание 4 72 3" xfId="13444" xr:uid="{00000000-0005-0000-0000-0000D03F0000}"/>
    <cellStyle name="Примечание 4 72 4" xfId="17665" xr:uid="{00000000-0005-0000-0000-0000D13F0000}"/>
    <cellStyle name="Примечание 4 73" xfId="4582" xr:uid="{00000000-0005-0000-0000-0000D23F0000}"/>
    <cellStyle name="Примечание 4 73 2" xfId="9195" xr:uid="{00000000-0005-0000-0000-0000D33F0000}"/>
    <cellStyle name="Примечание 4 73 3" xfId="13445" xr:uid="{00000000-0005-0000-0000-0000D43F0000}"/>
    <cellStyle name="Примечание 4 73 4" xfId="17666" xr:uid="{00000000-0005-0000-0000-0000D53F0000}"/>
    <cellStyle name="Примечание 4 74" xfId="4583" xr:uid="{00000000-0005-0000-0000-0000D63F0000}"/>
    <cellStyle name="Примечание 4 74 2" xfId="9196" xr:uid="{00000000-0005-0000-0000-0000D73F0000}"/>
    <cellStyle name="Примечание 4 74 3" xfId="13446" xr:uid="{00000000-0005-0000-0000-0000D83F0000}"/>
    <cellStyle name="Примечание 4 74 4" xfId="17667" xr:uid="{00000000-0005-0000-0000-0000D93F0000}"/>
    <cellStyle name="Примечание 4 75" xfId="4584" xr:uid="{00000000-0005-0000-0000-0000DA3F0000}"/>
    <cellStyle name="Примечание 4 75 2" xfId="9197" xr:uid="{00000000-0005-0000-0000-0000DB3F0000}"/>
    <cellStyle name="Примечание 4 75 3" xfId="13447" xr:uid="{00000000-0005-0000-0000-0000DC3F0000}"/>
    <cellStyle name="Примечание 4 75 4" xfId="17668" xr:uid="{00000000-0005-0000-0000-0000DD3F0000}"/>
    <cellStyle name="Примечание 4 76" xfId="4585" xr:uid="{00000000-0005-0000-0000-0000DE3F0000}"/>
    <cellStyle name="Примечание 4 76 2" xfId="9198" xr:uid="{00000000-0005-0000-0000-0000DF3F0000}"/>
    <cellStyle name="Примечание 4 76 3" xfId="13448" xr:uid="{00000000-0005-0000-0000-0000E03F0000}"/>
    <cellStyle name="Примечание 4 76 4" xfId="17669" xr:uid="{00000000-0005-0000-0000-0000E13F0000}"/>
    <cellStyle name="Примечание 4 77" xfId="4586" xr:uid="{00000000-0005-0000-0000-0000E23F0000}"/>
    <cellStyle name="Примечание 4 77 2" xfId="9199" xr:uid="{00000000-0005-0000-0000-0000E33F0000}"/>
    <cellStyle name="Примечание 4 77 3" xfId="13449" xr:uid="{00000000-0005-0000-0000-0000E43F0000}"/>
    <cellStyle name="Примечание 4 77 4" xfId="17670" xr:uid="{00000000-0005-0000-0000-0000E53F0000}"/>
    <cellStyle name="Примечание 4 78" xfId="4587" xr:uid="{00000000-0005-0000-0000-0000E63F0000}"/>
    <cellStyle name="Примечание 4 78 2" xfId="9200" xr:uid="{00000000-0005-0000-0000-0000E73F0000}"/>
    <cellStyle name="Примечание 4 78 3" xfId="13450" xr:uid="{00000000-0005-0000-0000-0000E83F0000}"/>
    <cellStyle name="Примечание 4 78 4" xfId="17671" xr:uid="{00000000-0005-0000-0000-0000E93F0000}"/>
    <cellStyle name="Примечание 4 79" xfId="4588" xr:uid="{00000000-0005-0000-0000-0000EA3F0000}"/>
    <cellStyle name="Примечание 4 79 2" xfId="9201" xr:uid="{00000000-0005-0000-0000-0000EB3F0000}"/>
    <cellStyle name="Примечание 4 79 3" xfId="13451" xr:uid="{00000000-0005-0000-0000-0000EC3F0000}"/>
    <cellStyle name="Примечание 4 79 4" xfId="17672" xr:uid="{00000000-0005-0000-0000-0000ED3F0000}"/>
    <cellStyle name="Примечание 4 8" xfId="4589" xr:uid="{00000000-0005-0000-0000-0000EE3F0000}"/>
    <cellStyle name="Примечание 4 8 2" xfId="9202" xr:uid="{00000000-0005-0000-0000-0000EF3F0000}"/>
    <cellStyle name="Примечание 4 8 3" xfId="13452" xr:uid="{00000000-0005-0000-0000-0000F03F0000}"/>
    <cellStyle name="Примечание 4 8 4" xfId="17673" xr:uid="{00000000-0005-0000-0000-0000F13F0000}"/>
    <cellStyle name="Примечание 4 80" xfId="4590" xr:uid="{00000000-0005-0000-0000-0000F23F0000}"/>
    <cellStyle name="Примечание 4 80 2" xfId="9203" xr:uid="{00000000-0005-0000-0000-0000F33F0000}"/>
    <cellStyle name="Примечание 4 80 3" xfId="13453" xr:uid="{00000000-0005-0000-0000-0000F43F0000}"/>
    <cellStyle name="Примечание 4 80 4" xfId="17674" xr:uid="{00000000-0005-0000-0000-0000F53F0000}"/>
    <cellStyle name="Примечание 4 81" xfId="4591" xr:uid="{00000000-0005-0000-0000-0000F63F0000}"/>
    <cellStyle name="Примечание 4 81 2" xfId="9204" xr:uid="{00000000-0005-0000-0000-0000F73F0000}"/>
    <cellStyle name="Примечание 4 81 3" xfId="13454" xr:uid="{00000000-0005-0000-0000-0000F83F0000}"/>
    <cellStyle name="Примечание 4 81 4" xfId="17675" xr:uid="{00000000-0005-0000-0000-0000F93F0000}"/>
    <cellStyle name="Примечание 4 82" xfId="4592" xr:uid="{00000000-0005-0000-0000-0000FA3F0000}"/>
    <cellStyle name="Примечание 4 82 2" xfId="9205" xr:uid="{00000000-0005-0000-0000-0000FB3F0000}"/>
    <cellStyle name="Примечание 4 82 3" xfId="13455" xr:uid="{00000000-0005-0000-0000-0000FC3F0000}"/>
    <cellStyle name="Примечание 4 82 4" xfId="17676" xr:uid="{00000000-0005-0000-0000-0000FD3F0000}"/>
    <cellStyle name="Примечание 4 83" xfId="4593" xr:uid="{00000000-0005-0000-0000-0000FE3F0000}"/>
    <cellStyle name="Примечание 4 83 2" xfId="9206" xr:uid="{00000000-0005-0000-0000-0000FF3F0000}"/>
    <cellStyle name="Примечание 4 83 3" xfId="13456" xr:uid="{00000000-0005-0000-0000-000000400000}"/>
    <cellStyle name="Примечание 4 83 4" xfId="17677" xr:uid="{00000000-0005-0000-0000-000001400000}"/>
    <cellStyle name="Примечание 4 84" xfId="4594" xr:uid="{00000000-0005-0000-0000-000002400000}"/>
    <cellStyle name="Примечание 4 84 2" xfId="9207" xr:uid="{00000000-0005-0000-0000-000003400000}"/>
    <cellStyle name="Примечание 4 84 3" xfId="13457" xr:uid="{00000000-0005-0000-0000-000004400000}"/>
    <cellStyle name="Примечание 4 84 4" xfId="17678" xr:uid="{00000000-0005-0000-0000-000005400000}"/>
    <cellStyle name="Примечание 4 85" xfId="4595" xr:uid="{00000000-0005-0000-0000-000006400000}"/>
    <cellStyle name="Примечание 4 85 2" xfId="9208" xr:uid="{00000000-0005-0000-0000-000007400000}"/>
    <cellStyle name="Примечание 4 85 3" xfId="13458" xr:uid="{00000000-0005-0000-0000-000008400000}"/>
    <cellStyle name="Примечание 4 85 4" xfId="17679" xr:uid="{00000000-0005-0000-0000-000009400000}"/>
    <cellStyle name="Примечание 4 86" xfId="4596" xr:uid="{00000000-0005-0000-0000-00000A400000}"/>
    <cellStyle name="Примечание 4 86 2" xfId="9209" xr:uid="{00000000-0005-0000-0000-00000B400000}"/>
    <cellStyle name="Примечание 4 86 3" xfId="13459" xr:uid="{00000000-0005-0000-0000-00000C400000}"/>
    <cellStyle name="Примечание 4 86 4" xfId="17680" xr:uid="{00000000-0005-0000-0000-00000D400000}"/>
    <cellStyle name="Примечание 4 87" xfId="4597" xr:uid="{00000000-0005-0000-0000-00000E400000}"/>
    <cellStyle name="Примечание 4 87 2" xfId="9210" xr:uid="{00000000-0005-0000-0000-00000F400000}"/>
    <cellStyle name="Примечание 4 87 3" xfId="13460" xr:uid="{00000000-0005-0000-0000-000010400000}"/>
    <cellStyle name="Примечание 4 87 4" xfId="17681" xr:uid="{00000000-0005-0000-0000-000011400000}"/>
    <cellStyle name="Примечание 4 88" xfId="4598" xr:uid="{00000000-0005-0000-0000-000012400000}"/>
    <cellStyle name="Примечание 4 88 2" xfId="9211" xr:uid="{00000000-0005-0000-0000-000013400000}"/>
    <cellStyle name="Примечание 4 88 3" xfId="13461" xr:uid="{00000000-0005-0000-0000-000014400000}"/>
    <cellStyle name="Примечание 4 88 4" xfId="17682" xr:uid="{00000000-0005-0000-0000-000015400000}"/>
    <cellStyle name="Примечание 4 89" xfId="4599" xr:uid="{00000000-0005-0000-0000-000016400000}"/>
    <cellStyle name="Примечание 4 89 2" xfId="9212" xr:uid="{00000000-0005-0000-0000-000017400000}"/>
    <cellStyle name="Примечание 4 89 3" xfId="13462" xr:uid="{00000000-0005-0000-0000-000018400000}"/>
    <cellStyle name="Примечание 4 89 4" xfId="17683" xr:uid="{00000000-0005-0000-0000-000019400000}"/>
    <cellStyle name="Примечание 4 9" xfId="4600" xr:uid="{00000000-0005-0000-0000-00001A400000}"/>
    <cellStyle name="Примечание 4 9 2" xfId="9213" xr:uid="{00000000-0005-0000-0000-00001B400000}"/>
    <cellStyle name="Примечание 4 9 3" xfId="13463" xr:uid="{00000000-0005-0000-0000-00001C400000}"/>
    <cellStyle name="Примечание 4 9 4" xfId="17684" xr:uid="{00000000-0005-0000-0000-00001D400000}"/>
    <cellStyle name="Примечание 4 90" xfId="5217" xr:uid="{00000000-0005-0000-0000-00001E400000}"/>
    <cellStyle name="Примечание 4 91" xfId="8828" xr:uid="{00000000-0005-0000-0000-00001F400000}"/>
    <cellStyle name="Примечание 4 92" xfId="13078" xr:uid="{00000000-0005-0000-0000-000020400000}"/>
    <cellStyle name="Примечание 5" xfId="431" xr:uid="{00000000-0005-0000-0000-000021400000}"/>
    <cellStyle name="Примечание 5 10" xfId="4601" xr:uid="{00000000-0005-0000-0000-000022400000}"/>
    <cellStyle name="Примечание 5 10 2" xfId="9214" xr:uid="{00000000-0005-0000-0000-000023400000}"/>
    <cellStyle name="Примечание 5 10 3" xfId="13464" xr:uid="{00000000-0005-0000-0000-000024400000}"/>
    <cellStyle name="Примечание 5 10 4" xfId="17685" xr:uid="{00000000-0005-0000-0000-000025400000}"/>
    <cellStyle name="Примечание 5 11" xfId="4602" xr:uid="{00000000-0005-0000-0000-000026400000}"/>
    <cellStyle name="Примечание 5 11 2" xfId="9215" xr:uid="{00000000-0005-0000-0000-000027400000}"/>
    <cellStyle name="Примечание 5 11 3" xfId="13465" xr:uid="{00000000-0005-0000-0000-000028400000}"/>
    <cellStyle name="Примечание 5 11 4" xfId="17686" xr:uid="{00000000-0005-0000-0000-000029400000}"/>
    <cellStyle name="Примечание 5 12" xfId="4603" xr:uid="{00000000-0005-0000-0000-00002A400000}"/>
    <cellStyle name="Примечание 5 12 2" xfId="9216" xr:uid="{00000000-0005-0000-0000-00002B400000}"/>
    <cellStyle name="Примечание 5 12 3" xfId="13466" xr:uid="{00000000-0005-0000-0000-00002C400000}"/>
    <cellStyle name="Примечание 5 12 4" xfId="17687" xr:uid="{00000000-0005-0000-0000-00002D400000}"/>
    <cellStyle name="Примечание 5 13" xfId="4604" xr:uid="{00000000-0005-0000-0000-00002E400000}"/>
    <cellStyle name="Примечание 5 13 2" xfId="9217" xr:uid="{00000000-0005-0000-0000-00002F400000}"/>
    <cellStyle name="Примечание 5 13 3" xfId="13467" xr:uid="{00000000-0005-0000-0000-000030400000}"/>
    <cellStyle name="Примечание 5 13 4" xfId="17688" xr:uid="{00000000-0005-0000-0000-000031400000}"/>
    <cellStyle name="Примечание 5 14" xfId="4605" xr:uid="{00000000-0005-0000-0000-000032400000}"/>
    <cellStyle name="Примечание 5 14 2" xfId="9218" xr:uid="{00000000-0005-0000-0000-000033400000}"/>
    <cellStyle name="Примечание 5 14 3" xfId="13468" xr:uid="{00000000-0005-0000-0000-000034400000}"/>
    <cellStyle name="Примечание 5 14 4" xfId="17689" xr:uid="{00000000-0005-0000-0000-000035400000}"/>
    <cellStyle name="Примечание 5 15" xfId="4606" xr:uid="{00000000-0005-0000-0000-000036400000}"/>
    <cellStyle name="Примечание 5 15 2" xfId="9219" xr:uid="{00000000-0005-0000-0000-000037400000}"/>
    <cellStyle name="Примечание 5 15 3" xfId="13469" xr:uid="{00000000-0005-0000-0000-000038400000}"/>
    <cellStyle name="Примечание 5 15 4" xfId="17690" xr:uid="{00000000-0005-0000-0000-000039400000}"/>
    <cellStyle name="Примечание 5 16" xfId="4607" xr:uid="{00000000-0005-0000-0000-00003A400000}"/>
    <cellStyle name="Примечание 5 16 2" xfId="9220" xr:uid="{00000000-0005-0000-0000-00003B400000}"/>
    <cellStyle name="Примечание 5 16 3" xfId="13470" xr:uid="{00000000-0005-0000-0000-00003C400000}"/>
    <cellStyle name="Примечание 5 16 4" xfId="17691" xr:uid="{00000000-0005-0000-0000-00003D400000}"/>
    <cellStyle name="Примечание 5 17" xfId="4608" xr:uid="{00000000-0005-0000-0000-00003E400000}"/>
    <cellStyle name="Примечание 5 17 2" xfId="9221" xr:uid="{00000000-0005-0000-0000-00003F400000}"/>
    <cellStyle name="Примечание 5 17 3" xfId="13471" xr:uid="{00000000-0005-0000-0000-000040400000}"/>
    <cellStyle name="Примечание 5 17 4" xfId="17692" xr:uid="{00000000-0005-0000-0000-000041400000}"/>
    <cellStyle name="Примечание 5 18" xfId="4609" xr:uid="{00000000-0005-0000-0000-000042400000}"/>
    <cellStyle name="Примечание 5 18 2" xfId="9222" xr:uid="{00000000-0005-0000-0000-000043400000}"/>
    <cellStyle name="Примечание 5 18 3" xfId="13472" xr:uid="{00000000-0005-0000-0000-000044400000}"/>
    <cellStyle name="Примечание 5 18 4" xfId="17693" xr:uid="{00000000-0005-0000-0000-000045400000}"/>
    <cellStyle name="Примечание 5 19" xfId="4610" xr:uid="{00000000-0005-0000-0000-000046400000}"/>
    <cellStyle name="Примечание 5 19 2" xfId="9223" xr:uid="{00000000-0005-0000-0000-000047400000}"/>
    <cellStyle name="Примечание 5 19 3" xfId="13473" xr:uid="{00000000-0005-0000-0000-000048400000}"/>
    <cellStyle name="Примечание 5 19 4" xfId="17694" xr:uid="{00000000-0005-0000-0000-000049400000}"/>
    <cellStyle name="Примечание 5 2" xfId="4611" xr:uid="{00000000-0005-0000-0000-00004A400000}"/>
    <cellStyle name="Примечание 5 2 2" xfId="4612" xr:uid="{00000000-0005-0000-0000-00004B400000}"/>
    <cellStyle name="Примечание 5 2 2 2" xfId="9225" xr:uid="{00000000-0005-0000-0000-00004C400000}"/>
    <cellStyle name="Примечание 5 2 2 3" xfId="13475" xr:uid="{00000000-0005-0000-0000-00004D400000}"/>
    <cellStyle name="Примечание 5 2 2 4" xfId="17696" xr:uid="{00000000-0005-0000-0000-00004E400000}"/>
    <cellStyle name="Примечание 5 2 3" xfId="4613" xr:uid="{00000000-0005-0000-0000-00004F400000}"/>
    <cellStyle name="Примечание 5 2 3 2" xfId="9226" xr:uid="{00000000-0005-0000-0000-000050400000}"/>
    <cellStyle name="Примечание 5 2 3 3" xfId="13476" xr:uid="{00000000-0005-0000-0000-000051400000}"/>
    <cellStyle name="Примечание 5 2 3 4" xfId="17697" xr:uid="{00000000-0005-0000-0000-000052400000}"/>
    <cellStyle name="Примечание 5 2 4" xfId="9224" xr:uid="{00000000-0005-0000-0000-000053400000}"/>
    <cellStyle name="Примечание 5 2 5" xfId="13474" xr:uid="{00000000-0005-0000-0000-000054400000}"/>
    <cellStyle name="Примечание 5 2 6" xfId="17695" xr:uid="{00000000-0005-0000-0000-000055400000}"/>
    <cellStyle name="Примечание 5 20" xfId="4614" xr:uid="{00000000-0005-0000-0000-000056400000}"/>
    <cellStyle name="Примечание 5 20 2" xfId="9227" xr:uid="{00000000-0005-0000-0000-000057400000}"/>
    <cellStyle name="Примечание 5 20 3" xfId="13477" xr:uid="{00000000-0005-0000-0000-000058400000}"/>
    <cellStyle name="Примечание 5 20 4" xfId="17698" xr:uid="{00000000-0005-0000-0000-000059400000}"/>
    <cellStyle name="Примечание 5 21" xfId="4615" xr:uid="{00000000-0005-0000-0000-00005A400000}"/>
    <cellStyle name="Примечание 5 21 2" xfId="9228" xr:uid="{00000000-0005-0000-0000-00005B400000}"/>
    <cellStyle name="Примечание 5 21 3" xfId="13478" xr:uid="{00000000-0005-0000-0000-00005C400000}"/>
    <cellStyle name="Примечание 5 21 4" xfId="17699" xr:uid="{00000000-0005-0000-0000-00005D400000}"/>
    <cellStyle name="Примечание 5 22" xfId="4616" xr:uid="{00000000-0005-0000-0000-00005E400000}"/>
    <cellStyle name="Примечание 5 22 2" xfId="9229" xr:uid="{00000000-0005-0000-0000-00005F400000}"/>
    <cellStyle name="Примечание 5 22 3" xfId="13479" xr:uid="{00000000-0005-0000-0000-000060400000}"/>
    <cellStyle name="Примечание 5 22 4" xfId="17700" xr:uid="{00000000-0005-0000-0000-000061400000}"/>
    <cellStyle name="Примечание 5 23" xfId="4617" xr:uid="{00000000-0005-0000-0000-000062400000}"/>
    <cellStyle name="Примечание 5 23 2" xfId="9230" xr:uid="{00000000-0005-0000-0000-000063400000}"/>
    <cellStyle name="Примечание 5 23 3" xfId="13480" xr:uid="{00000000-0005-0000-0000-000064400000}"/>
    <cellStyle name="Примечание 5 23 4" xfId="17701" xr:uid="{00000000-0005-0000-0000-000065400000}"/>
    <cellStyle name="Примечание 5 24" xfId="4618" xr:uid="{00000000-0005-0000-0000-000066400000}"/>
    <cellStyle name="Примечание 5 24 2" xfId="9231" xr:uid="{00000000-0005-0000-0000-000067400000}"/>
    <cellStyle name="Примечание 5 24 3" xfId="13481" xr:uid="{00000000-0005-0000-0000-000068400000}"/>
    <cellStyle name="Примечание 5 24 4" xfId="17702" xr:uid="{00000000-0005-0000-0000-000069400000}"/>
    <cellStyle name="Примечание 5 25" xfId="4619" xr:uid="{00000000-0005-0000-0000-00006A400000}"/>
    <cellStyle name="Примечание 5 25 2" xfId="9232" xr:uid="{00000000-0005-0000-0000-00006B400000}"/>
    <cellStyle name="Примечание 5 25 3" xfId="13482" xr:uid="{00000000-0005-0000-0000-00006C400000}"/>
    <cellStyle name="Примечание 5 25 4" xfId="17703" xr:uid="{00000000-0005-0000-0000-00006D400000}"/>
    <cellStyle name="Примечание 5 26" xfId="4620" xr:uid="{00000000-0005-0000-0000-00006E400000}"/>
    <cellStyle name="Примечание 5 26 2" xfId="9233" xr:uid="{00000000-0005-0000-0000-00006F400000}"/>
    <cellStyle name="Примечание 5 26 3" xfId="13483" xr:uid="{00000000-0005-0000-0000-000070400000}"/>
    <cellStyle name="Примечание 5 26 4" xfId="17704" xr:uid="{00000000-0005-0000-0000-000071400000}"/>
    <cellStyle name="Примечание 5 27" xfId="4621" xr:uid="{00000000-0005-0000-0000-000072400000}"/>
    <cellStyle name="Примечание 5 27 2" xfId="9234" xr:uid="{00000000-0005-0000-0000-000073400000}"/>
    <cellStyle name="Примечание 5 27 3" xfId="13484" xr:uid="{00000000-0005-0000-0000-000074400000}"/>
    <cellStyle name="Примечание 5 27 4" xfId="17705" xr:uid="{00000000-0005-0000-0000-000075400000}"/>
    <cellStyle name="Примечание 5 28" xfId="4622" xr:uid="{00000000-0005-0000-0000-000076400000}"/>
    <cellStyle name="Примечание 5 28 2" xfId="9235" xr:uid="{00000000-0005-0000-0000-000077400000}"/>
    <cellStyle name="Примечание 5 28 3" xfId="13485" xr:uid="{00000000-0005-0000-0000-000078400000}"/>
    <cellStyle name="Примечание 5 28 4" xfId="17706" xr:uid="{00000000-0005-0000-0000-000079400000}"/>
    <cellStyle name="Примечание 5 29" xfId="4623" xr:uid="{00000000-0005-0000-0000-00007A400000}"/>
    <cellStyle name="Примечание 5 29 2" xfId="9236" xr:uid="{00000000-0005-0000-0000-00007B400000}"/>
    <cellStyle name="Примечание 5 29 3" xfId="13486" xr:uid="{00000000-0005-0000-0000-00007C400000}"/>
    <cellStyle name="Примечание 5 29 4" xfId="17707" xr:uid="{00000000-0005-0000-0000-00007D400000}"/>
    <cellStyle name="Примечание 5 3" xfId="4624" xr:uid="{00000000-0005-0000-0000-00007E400000}"/>
    <cellStyle name="Примечание 5 3 2" xfId="4625" xr:uid="{00000000-0005-0000-0000-00007F400000}"/>
    <cellStyle name="Примечание 5 3 2 2" xfId="9238" xr:uid="{00000000-0005-0000-0000-000080400000}"/>
    <cellStyle name="Примечание 5 3 2 3" xfId="13488" xr:uid="{00000000-0005-0000-0000-000081400000}"/>
    <cellStyle name="Примечание 5 3 2 4" xfId="17709" xr:uid="{00000000-0005-0000-0000-000082400000}"/>
    <cellStyle name="Примечание 5 3 3" xfId="4626" xr:uid="{00000000-0005-0000-0000-000083400000}"/>
    <cellStyle name="Примечание 5 3 3 2" xfId="9239" xr:uid="{00000000-0005-0000-0000-000084400000}"/>
    <cellStyle name="Примечание 5 3 3 3" xfId="13489" xr:uid="{00000000-0005-0000-0000-000085400000}"/>
    <cellStyle name="Примечание 5 3 3 4" xfId="17710" xr:uid="{00000000-0005-0000-0000-000086400000}"/>
    <cellStyle name="Примечание 5 3 4" xfId="9237" xr:uid="{00000000-0005-0000-0000-000087400000}"/>
    <cellStyle name="Примечание 5 3 5" xfId="13487" xr:uid="{00000000-0005-0000-0000-000088400000}"/>
    <cellStyle name="Примечание 5 3 6" xfId="17708" xr:uid="{00000000-0005-0000-0000-000089400000}"/>
    <cellStyle name="Примечание 5 30" xfId="4627" xr:uid="{00000000-0005-0000-0000-00008A400000}"/>
    <cellStyle name="Примечание 5 30 2" xfId="9240" xr:uid="{00000000-0005-0000-0000-00008B400000}"/>
    <cellStyle name="Примечание 5 30 3" xfId="13490" xr:uid="{00000000-0005-0000-0000-00008C400000}"/>
    <cellStyle name="Примечание 5 30 4" xfId="17711" xr:uid="{00000000-0005-0000-0000-00008D400000}"/>
    <cellStyle name="Примечание 5 31" xfId="4628" xr:uid="{00000000-0005-0000-0000-00008E400000}"/>
    <cellStyle name="Примечание 5 31 2" xfId="9241" xr:uid="{00000000-0005-0000-0000-00008F400000}"/>
    <cellStyle name="Примечание 5 31 3" xfId="13491" xr:uid="{00000000-0005-0000-0000-000090400000}"/>
    <cellStyle name="Примечание 5 31 4" xfId="17712" xr:uid="{00000000-0005-0000-0000-000091400000}"/>
    <cellStyle name="Примечание 5 32" xfId="4629" xr:uid="{00000000-0005-0000-0000-000092400000}"/>
    <cellStyle name="Примечание 5 32 2" xfId="9242" xr:uid="{00000000-0005-0000-0000-000093400000}"/>
    <cellStyle name="Примечание 5 32 3" xfId="13492" xr:uid="{00000000-0005-0000-0000-000094400000}"/>
    <cellStyle name="Примечание 5 32 4" xfId="17713" xr:uid="{00000000-0005-0000-0000-000095400000}"/>
    <cellStyle name="Примечание 5 33" xfId="4630" xr:uid="{00000000-0005-0000-0000-000096400000}"/>
    <cellStyle name="Примечание 5 33 2" xfId="9243" xr:uid="{00000000-0005-0000-0000-000097400000}"/>
    <cellStyle name="Примечание 5 33 3" xfId="13493" xr:uid="{00000000-0005-0000-0000-000098400000}"/>
    <cellStyle name="Примечание 5 33 4" xfId="17714" xr:uid="{00000000-0005-0000-0000-000099400000}"/>
    <cellStyle name="Примечание 5 34" xfId="4631" xr:uid="{00000000-0005-0000-0000-00009A400000}"/>
    <cellStyle name="Примечание 5 34 2" xfId="9244" xr:uid="{00000000-0005-0000-0000-00009B400000}"/>
    <cellStyle name="Примечание 5 34 3" xfId="13494" xr:uid="{00000000-0005-0000-0000-00009C400000}"/>
    <cellStyle name="Примечание 5 34 4" xfId="17715" xr:uid="{00000000-0005-0000-0000-00009D400000}"/>
    <cellStyle name="Примечание 5 35" xfId="4632" xr:uid="{00000000-0005-0000-0000-00009E400000}"/>
    <cellStyle name="Примечание 5 35 2" xfId="9245" xr:uid="{00000000-0005-0000-0000-00009F400000}"/>
    <cellStyle name="Примечание 5 35 3" xfId="13495" xr:uid="{00000000-0005-0000-0000-0000A0400000}"/>
    <cellStyle name="Примечание 5 35 4" xfId="17716" xr:uid="{00000000-0005-0000-0000-0000A1400000}"/>
    <cellStyle name="Примечание 5 36" xfId="4633" xr:uid="{00000000-0005-0000-0000-0000A2400000}"/>
    <cellStyle name="Примечание 5 36 2" xfId="9246" xr:uid="{00000000-0005-0000-0000-0000A3400000}"/>
    <cellStyle name="Примечание 5 36 3" xfId="13496" xr:uid="{00000000-0005-0000-0000-0000A4400000}"/>
    <cellStyle name="Примечание 5 36 4" xfId="17717" xr:uid="{00000000-0005-0000-0000-0000A5400000}"/>
    <cellStyle name="Примечание 5 37" xfId="4634" xr:uid="{00000000-0005-0000-0000-0000A6400000}"/>
    <cellStyle name="Примечание 5 37 2" xfId="9247" xr:uid="{00000000-0005-0000-0000-0000A7400000}"/>
    <cellStyle name="Примечание 5 37 3" xfId="13497" xr:uid="{00000000-0005-0000-0000-0000A8400000}"/>
    <cellStyle name="Примечание 5 37 4" xfId="17718" xr:uid="{00000000-0005-0000-0000-0000A9400000}"/>
    <cellStyle name="Примечание 5 38" xfId="4635" xr:uid="{00000000-0005-0000-0000-0000AA400000}"/>
    <cellStyle name="Примечание 5 38 2" xfId="9248" xr:uid="{00000000-0005-0000-0000-0000AB400000}"/>
    <cellStyle name="Примечание 5 38 3" xfId="13498" xr:uid="{00000000-0005-0000-0000-0000AC400000}"/>
    <cellStyle name="Примечание 5 38 4" xfId="17719" xr:uid="{00000000-0005-0000-0000-0000AD400000}"/>
    <cellStyle name="Примечание 5 39" xfId="4636" xr:uid="{00000000-0005-0000-0000-0000AE400000}"/>
    <cellStyle name="Примечание 5 39 2" xfId="9249" xr:uid="{00000000-0005-0000-0000-0000AF400000}"/>
    <cellStyle name="Примечание 5 39 3" xfId="13499" xr:uid="{00000000-0005-0000-0000-0000B0400000}"/>
    <cellStyle name="Примечание 5 39 4" xfId="17720" xr:uid="{00000000-0005-0000-0000-0000B1400000}"/>
    <cellStyle name="Примечание 5 4" xfId="4637" xr:uid="{00000000-0005-0000-0000-0000B2400000}"/>
    <cellStyle name="Примечание 5 4 2" xfId="4638" xr:uid="{00000000-0005-0000-0000-0000B3400000}"/>
    <cellStyle name="Примечание 5 4 2 2" xfId="9251" xr:uid="{00000000-0005-0000-0000-0000B4400000}"/>
    <cellStyle name="Примечание 5 4 2 3" xfId="13501" xr:uid="{00000000-0005-0000-0000-0000B5400000}"/>
    <cellStyle name="Примечание 5 4 2 4" xfId="17722" xr:uid="{00000000-0005-0000-0000-0000B6400000}"/>
    <cellStyle name="Примечание 5 4 3" xfId="4639" xr:uid="{00000000-0005-0000-0000-0000B7400000}"/>
    <cellStyle name="Примечание 5 4 3 2" xfId="9252" xr:uid="{00000000-0005-0000-0000-0000B8400000}"/>
    <cellStyle name="Примечание 5 4 3 3" xfId="13502" xr:uid="{00000000-0005-0000-0000-0000B9400000}"/>
    <cellStyle name="Примечание 5 4 3 4" xfId="17723" xr:uid="{00000000-0005-0000-0000-0000BA400000}"/>
    <cellStyle name="Примечание 5 4 4" xfId="9250" xr:uid="{00000000-0005-0000-0000-0000BB400000}"/>
    <cellStyle name="Примечание 5 4 5" xfId="13500" xr:uid="{00000000-0005-0000-0000-0000BC400000}"/>
    <cellStyle name="Примечание 5 4 6" xfId="17721" xr:uid="{00000000-0005-0000-0000-0000BD400000}"/>
    <cellStyle name="Примечание 5 40" xfId="4640" xr:uid="{00000000-0005-0000-0000-0000BE400000}"/>
    <cellStyle name="Примечание 5 40 2" xfId="9253" xr:uid="{00000000-0005-0000-0000-0000BF400000}"/>
    <cellStyle name="Примечание 5 40 3" xfId="13503" xr:uid="{00000000-0005-0000-0000-0000C0400000}"/>
    <cellStyle name="Примечание 5 40 4" xfId="17724" xr:uid="{00000000-0005-0000-0000-0000C1400000}"/>
    <cellStyle name="Примечание 5 41" xfId="4641" xr:uid="{00000000-0005-0000-0000-0000C2400000}"/>
    <cellStyle name="Примечание 5 41 2" xfId="9254" xr:uid="{00000000-0005-0000-0000-0000C3400000}"/>
    <cellStyle name="Примечание 5 41 3" xfId="13504" xr:uid="{00000000-0005-0000-0000-0000C4400000}"/>
    <cellStyle name="Примечание 5 41 4" xfId="17725" xr:uid="{00000000-0005-0000-0000-0000C5400000}"/>
    <cellStyle name="Примечание 5 42" xfId="4642" xr:uid="{00000000-0005-0000-0000-0000C6400000}"/>
    <cellStyle name="Примечание 5 42 2" xfId="9255" xr:uid="{00000000-0005-0000-0000-0000C7400000}"/>
    <cellStyle name="Примечание 5 42 3" xfId="13505" xr:uid="{00000000-0005-0000-0000-0000C8400000}"/>
    <cellStyle name="Примечание 5 42 4" xfId="17726" xr:uid="{00000000-0005-0000-0000-0000C9400000}"/>
    <cellStyle name="Примечание 5 43" xfId="4643" xr:uid="{00000000-0005-0000-0000-0000CA400000}"/>
    <cellStyle name="Примечание 5 43 2" xfId="9256" xr:uid="{00000000-0005-0000-0000-0000CB400000}"/>
    <cellStyle name="Примечание 5 43 3" xfId="13506" xr:uid="{00000000-0005-0000-0000-0000CC400000}"/>
    <cellStyle name="Примечание 5 43 4" xfId="17727" xr:uid="{00000000-0005-0000-0000-0000CD400000}"/>
    <cellStyle name="Примечание 5 44" xfId="4644" xr:uid="{00000000-0005-0000-0000-0000CE400000}"/>
    <cellStyle name="Примечание 5 44 2" xfId="9257" xr:uid="{00000000-0005-0000-0000-0000CF400000}"/>
    <cellStyle name="Примечание 5 44 3" xfId="13507" xr:uid="{00000000-0005-0000-0000-0000D0400000}"/>
    <cellStyle name="Примечание 5 44 4" xfId="17728" xr:uid="{00000000-0005-0000-0000-0000D1400000}"/>
    <cellStyle name="Примечание 5 45" xfId="4645" xr:uid="{00000000-0005-0000-0000-0000D2400000}"/>
    <cellStyle name="Примечание 5 45 2" xfId="9258" xr:uid="{00000000-0005-0000-0000-0000D3400000}"/>
    <cellStyle name="Примечание 5 45 3" xfId="13508" xr:uid="{00000000-0005-0000-0000-0000D4400000}"/>
    <cellStyle name="Примечание 5 45 4" xfId="17729" xr:uid="{00000000-0005-0000-0000-0000D5400000}"/>
    <cellStyle name="Примечание 5 46" xfId="4646" xr:uid="{00000000-0005-0000-0000-0000D6400000}"/>
    <cellStyle name="Примечание 5 46 2" xfId="9259" xr:uid="{00000000-0005-0000-0000-0000D7400000}"/>
    <cellStyle name="Примечание 5 46 3" xfId="13509" xr:uid="{00000000-0005-0000-0000-0000D8400000}"/>
    <cellStyle name="Примечание 5 46 4" xfId="17730" xr:uid="{00000000-0005-0000-0000-0000D9400000}"/>
    <cellStyle name="Примечание 5 47" xfId="4647" xr:uid="{00000000-0005-0000-0000-0000DA400000}"/>
    <cellStyle name="Примечание 5 47 2" xfId="9260" xr:uid="{00000000-0005-0000-0000-0000DB400000}"/>
    <cellStyle name="Примечание 5 47 3" xfId="13510" xr:uid="{00000000-0005-0000-0000-0000DC400000}"/>
    <cellStyle name="Примечание 5 47 4" xfId="17731" xr:uid="{00000000-0005-0000-0000-0000DD400000}"/>
    <cellStyle name="Примечание 5 48" xfId="4648" xr:uid="{00000000-0005-0000-0000-0000DE400000}"/>
    <cellStyle name="Примечание 5 48 2" xfId="9261" xr:uid="{00000000-0005-0000-0000-0000DF400000}"/>
    <cellStyle name="Примечание 5 48 3" xfId="13511" xr:uid="{00000000-0005-0000-0000-0000E0400000}"/>
    <cellStyle name="Примечание 5 48 4" xfId="17732" xr:uid="{00000000-0005-0000-0000-0000E1400000}"/>
    <cellStyle name="Примечание 5 49" xfId="4649" xr:uid="{00000000-0005-0000-0000-0000E2400000}"/>
    <cellStyle name="Примечание 5 49 2" xfId="9262" xr:uid="{00000000-0005-0000-0000-0000E3400000}"/>
    <cellStyle name="Примечание 5 49 3" xfId="13512" xr:uid="{00000000-0005-0000-0000-0000E4400000}"/>
    <cellStyle name="Примечание 5 49 4" xfId="17733" xr:uid="{00000000-0005-0000-0000-0000E5400000}"/>
    <cellStyle name="Примечание 5 5" xfId="4650" xr:uid="{00000000-0005-0000-0000-0000E6400000}"/>
    <cellStyle name="Примечание 5 5 2" xfId="9263" xr:uid="{00000000-0005-0000-0000-0000E7400000}"/>
    <cellStyle name="Примечание 5 5 3" xfId="13513" xr:uid="{00000000-0005-0000-0000-0000E8400000}"/>
    <cellStyle name="Примечание 5 5 4" xfId="17734" xr:uid="{00000000-0005-0000-0000-0000E9400000}"/>
    <cellStyle name="Примечание 5 50" xfId="4651" xr:uid="{00000000-0005-0000-0000-0000EA400000}"/>
    <cellStyle name="Примечание 5 50 2" xfId="9264" xr:uid="{00000000-0005-0000-0000-0000EB400000}"/>
    <cellStyle name="Примечание 5 50 3" xfId="13514" xr:uid="{00000000-0005-0000-0000-0000EC400000}"/>
    <cellStyle name="Примечание 5 50 4" xfId="17735" xr:uid="{00000000-0005-0000-0000-0000ED400000}"/>
    <cellStyle name="Примечание 5 51" xfId="4652" xr:uid="{00000000-0005-0000-0000-0000EE400000}"/>
    <cellStyle name="Примечание 5 51 2" xfId="9265" xr:uid="{00000000-0005-0000-0000-0000EF400000}"/>
    <cellStyle name="Примечание 5 51 3" xfId="13515" xr:uid="{00000000-0005-0000-0000-0000F0400000}"/>
    <cellStyle name="Примечание 5 51 4" xfId="17736" xr:uid="{00000000-0005-0000-0000-0000F1400000}"/>
    <cellStyle name="Примечание 5 52" xfId="4653" xr:uid="{00000000-0005-0000-0000-0000F2400000}"/>
    <cellStyle name="Примечание 5 52 2" xfId="9266" xr:uid="{00000000-0005-0000-0000-0000F3400000}"/>
    <cellStyle name="Примечание 5 52 3" xfId="13516" xr:uid="{00000000-0005-0000-0000-0000F4400000}"/>
    <cellStyle name="Примечание 5 52 4" xfId="17737" xr:uid="{00000000-0005-0000-0000-0000F5400000}"/>
    <cellStyle name="Примечание 5 53" xfId="4654" xr:uid="{00000000-0005-0000-0000-0000F6400000}"/>
    <cellStyle name="Примечание 5 53 2" xfId="9267" xr:uid="{00000000-0005-0000-0000-0000F7400000}"/>
    <cellStyle name="Примечание 5 53 3" xfId="13517" xr:uid="{00000000-0005-0000-0000-0000F8400000}"/>
    <cellStyle name="Примечание 5 53 4" xfId="17738" xr:uid="{00000000-0005-0000-0000-0000F9400000}"/>
    <cellStyle name="Примечание 5 54" xfId="4655" xr:uid="{00000000-0005-0000-0000-0000FA400000}"/>
    <cellStyle name="Примечание 5 54 2" xfId="9268" xr:uid="{00000000-0005-0000-0000-0000FB400000}"/>
    <cellStyle name="Примечание 5 54 3" xfId="13518" xr:uid="{00000000-0005-0000-0000-0000FC400000}"/>
    <cellStyle name="Примечание 5 54 4" xfId="17739" xr:uid="{00000000-0005-0000-0000-0000FD400000}"/>
    <cellStyle name="Примечание 5 55" xfId="4656" xr:uid="{00000000-0005-0000-0000-0000FE400000}"/>
    <cellStyle name="Примечание 5 55 2" xfId="9269" xr:uid="{00000000-0005-0000-0000-0000FF400000}"/>
    <cellStyle name="Примечание 5 55 3" xfId="13519" xr:uid="{00000000-0005-0000-0000-000000410000}"/>
    <cellStyle name="Примечание 5 55 4" xfId="17740" xr:uid="{00000000-0005-0000-0000-000001410000}"/>
    <cellStyle name="Примечание 5 56" xfId="4657" xr:uid="{00000000-0005-0000-0000-000002410000}"/>
    <cellStyle name="Примечание 5 56 2" xfId="9270" xr:uid="{00000000-0005-0000-0000-000003410000}"/>
    <cellStyle name="Примечание 5 56 3" xfId="13520" xr:uid="{00000000-0005-0000-0000-000004410000}"/>
    <cellStyle name="Примечание 5 56 4" xfId="17741" xr:uid="{00000000-0005-0000-0000-000005410000}"/>
    <cellStyle name="Примечание 5 57" xfId="4658" xr:uid="{00000000-0005-0000-0000-000006410000}"/>
    <cellStyle name="Примечание 5 57 2" xfId="9271" xr:uid="{00000000-0005-0000-0000-000007410000}"/>
    <cellStyle name="Примечание 5 57 3" xfId="13521" xr:uid="{00000000-0005-0000-0000-000008410000}"/>
    <cellStyle name="Примечание 5 57 4" xfId="17742" xr:uid="{00000000-0005-0000-0000-000009410000}"/>
    <cellStyle name="Примечание 5 58" xfId="4659" xr:uid="{00000000-0005-0000-0000-00000A410000}"/>
    <cellStyle name="Примечание 5 58 2" xfId="9272" xr:uid="{00000000-0005-0000-0000-00000B410000}"/>
    <cellStyle name="Примечание 5 58 3" xfId="13522" xr:uid="{00000000-0005-0000-0000-00000C410000}"/>
    <cellStyle name="Примечание 5 58 4" xfId="17743" xr:uid="{00000000-0005-0000-0000-00000D410000}"/>
    <cellStyle name="Примечание 5 59" xfId="4660" xr:uid="{00000000-0005-0000-0000-00000E410000}"/>
    <cellStyle name="Примечание 5 59 2" xfId="9273" xr:uid="{00000000-0005-0000-0000-00000F410000}"/>
    <cellStyle name="Примечание 5 59 3" xfId="13523" xr:uid="{00000000-0005-0000-0000-000010410000}"/>
    <cellStyle name="Примечание 5 59 4" xfId="17744" xr:uid="{00000000-0005-0000-0000-000011410000}"/>
    <cellStyle name="Примечание 5 6" xfId="4661" xr:uid="{00000000-0005-0000-0000-000012410000}"/>
    <cellStyle name="Примечание 5 6 2" xfId="9274" xr:uid="{00000000-0005-0000-0000-000013410000}"/>
    <cellStyle name="Примечание 5 6 3" xfId="13524" xr:uid="{00000000-0005-0000-0000-000014410000}"/>
    <cellStyle name="Примечание 5 6 4" xfId="17745" xr:uid="{00000000-0005-0000-0000-000015410000}"/>
    <cellStyle name="Примечание 5 60" xfId="4662" xr:uid="{00000000-0005-0000-0000-000016410000}"/>
    <cellStyle name="Примечание 5 60 2" xfId="9275" xr:uid="{00000000-0005-0000-0000-000017410000}"/>
    <cellStyle name="Примечание 5 60 3" xfId="13525" xr:uid="{00000000-0005-0000-0000-000018410000}"/>
    <cellStyle name="Примечание 5 60 4" xfId="17746" xr:uid="{00000000-0005-0000-0000-000019410000}"/>
    <cellStyle name="Примечание 5 61" xfId="4663" xr:uid="{00000000-0005-0000-0000-00001A410000}"/>
    <cellStyle name="Примечание 5 61 2" xfId="9276" xr:uid="{00000000-0005-0000-0000-00001B410000}"/>
    <cellStyle name="Примечание 5 61 3" xfId="13526" xr:uid="{00000000-0005-0000-0000-00001C410000}"/>
    <cellStyle name="Примечание 5 61 4" xfId="17747" xr:uid="{00000000-0005-0000-0000-00001D410000}"/>
    <cellStyle name="Примечание 5 62" xfId="4664" xr:uid="{00000000-0005-0000-0000-00001E410000}"/>
    <cellStyle name="Примечание 5 62 2" xfId="9277" xr:uid="{00000000-0005-0000-0000-00001F410000}"/>
    <cellStyle name="Примечание 5 62 3" xfId="13527" xr:uid="{00000000-0005-0000-0000-000020410000}"/>
    <cellStyle name="Примечание 5 62 4" xfId="17748" xr:uid="{00000000-0005-0000-0000-000021410000}"/>
    <cellStyle name="Примечание 5 63" xfId="4665" xr:uid="{00000000-0005-0000-0000-000022410000}"/>
    <cellStyle name="Примечание 5 63 2" xfId="9278" xr:uid="{00000000-0005-0000-0000-000023410000}"/>
    <cellStyle name="Примечание 5 63 3" xfId="13528" xr:uid="{00000000-0005-0000-0000-000024410000}"/>
    <cellStyle name="Примечание 5 63 4" xfId="17749" xr:uid="{00000000-0005-0000-0000-000025410000}"/>
    <cellStyle name="Примечание 5 64" xfId="4666" xr:uid="{00000000-0005-0000-0000-000026410000}"/>
    <cellStyle name="Примечание 5 64 2" xfId="9279" xr:uid="{00000000-0005-0000-0000-000027410000}"/>
    <cellStyle name="Примечание 5 64 3" xfId="13529" xr:uid="{00000000-0005-0000-0000-000028410000}"/>
    <cellStyle name="Примечание 5 64 4" xfId="17750" xr:uid="{00000000-0005-0000-0000-000029410000}"/>
    <cellStyle name="Примечание 5 65" xfId="4667" xr:uid="{00000000-0005-0000-0000-00002A410000}"/>
    <cellStyle name="Примечание 5 65 2" xfId="9280" xr:uid="{00000000-0005-0000-0000-00002B410000}"/>
    <cellStyle name="Примечание 5 65 3" xfId="13530" xr:uid="{00000000-0005-0000-0000-00002C410000}"/>
    <cellStyle name="Примечание 5 65 4" xfId="17751" xr:uid="{00000000-0005-0000-0000-00002D410000}"/>
    <cellStyle name="Примечание 5 66" xfId="4668" xr:uid="{00000000-0005-0000-0000-00002E410000}"/>
    <cellStyle name="Примечание 5 66 2" xfId="9281" xr:uid="{00000000-0005-0000-0000-00002F410000}"/>
    <cellStyle name="Примечание 5 66 3" xfId="13531" xr:uid="{00000000-0005-0000-0000-000030410000}"/>
    <cellStyle name="Примечание 5 66 4" xfId="17752" xr:uid="{00000000-0005-0000-0000-000031410000}"/>
    <cellStyle name="Примечание 5 67" xfId="4669" xr:uid="{00000000-0005-0000-0000-000032410000}"/>
    <cellStyle name="Примечание 5 67 2" xfId="9282" xr:uid="{00000000-0005-0000-0000-000033410000}"/>
    <cellStyle name="Примечание 5 67 3" xfId="13532" xr:uid="{00000000-0005-0000-0000-000034410000}"/>
    <cellStyle name="Примечание 5 67 4" xfId="17753" xr:uid="{00000000-0005-0000-0000-000035410000}"/>
    <cellStyle name="Примечание 5 68" xfId="4670" xr:uid="{00000000-0005-0000-0000-000036410000}"/>
    <cellStyle name="Примечание 5 68 2" xfId="9283" xr:uid="{00000000-0005-0000-0000-000037410000}"/>
    <cellStyle name="Примечание 5 68 3" xfId="13533" xr:uid="{00000000-0005-0000-0000-000038410000}"/>
    <cellStyle name="Примечание 5 68 4" xfId="17754" xr:uid="{00000000-0005-0000-0000-000039410000}"/>
    <cellStyle name="Примечание 5 69" xfId="4671" xr:uid="{00000000-0005-0000-0000-00003A410000}"/>
    <cellStyle name="Примечание 5 69 2" xfId="9284" xr:uid="{00000000-0005-0000-0000-00003B410000}"/>
    <cellStyle name="Примечание 5 69 3" xfId="13534" xr:uid="{00000000-0005-0000-0000-00003C410000}"/>
    <cellStyle name="Примечание 5 69 4" xfId="17755" xr:uid="{00000000-0005-0000-0000-00003D410000}"/>
    <cellStyle name="Примечание 5 7" xfId="4672" xr:uid="{00000000-0005-0000-0000-00003E410000}"/>
    <cellStyle name="Примечание 5 7 2" xfId="9285" xr:uid="{00000000-0005-0000-0000-00003F410000}"/>
    <cellStyle name="Примечание 5 7 3" xfId="13535" xr:uid="{00000000-0005-0000-0000-000040410000}"/>
    <cellStyle name="Примечание 5 7 4" xfId="17756" xr:uid="{00000000-0005-0000-0000-000041410000}"/>
    <cellStyle name="Примечание 5 70" xfId="4673" xr:uid="{00000000-0005-0000-0000-000042410000}"/>
    <cellStyle name="Примечание 5 70 2" xfId="9286" xr:uid="{00000000-0005-0000-0000-000043410000}"/>
    <cellStyle name="Примечание 5 70 3" xfId="13536" xr:uid="{00000000-0005-0000-0000-000044410000}"/>
    <cellStyle name="Примечание 5 70 4" xfId="17757" xr:uid="{00000000-0005-0000-0000-000045410000}"/>
    <cellStyle name="Примечание 5 71" xfId="4674" xr:uid="{00000000-0005-0000-0000-000046410000}"/>
    <cellStyle name="Примечание 5 71 2" xfId="9287" xr:uid="{00000000-0005-0000-0000-000047410000}"/>
    <cellStyle name="Примечание 5 71 3" xfId="13537" xr:uid="{00000000-0005-0000-0000-000048410000}"/>
    <cellStyle name="Примечание 5 71 4" xfId="17758" xr:uid="{00000000-0005-0000-0000-000049410000}"/>
    <cellStyle name="Примечание 5 72" xfId="4675" xr:uid="{00000000-0005-0000-0000-00004A410000}"/>
    <cellStyle name="Примечание 5 72 2" xfId="9288" xr:uid="{00000000-0005-0000-0000-00004B410000}"/>
    <cellStyle name="Примечание 5 72 3" xfId="13538" xr:uid="{00000000-0005-0000-0000-00004C410000}"/>
    <cellStyle name="Примечание 5 72 4" xfId="17759" xr:uid="{00000000-0005-0000-0000-00004D410000}"/>
    <cellStyle name="Примечание 5 73" xfId="4676" xr:uid="{00000000-0005-0000-0000-00004E410000}"/>
    <cellStyle name="Примечание 5 73 2" xfId="9289" xr:uid="{00000000-0005-0000-0000-00004F410000}"/>
    <cellStyle name="Примечание 5 73 3" xfId="13539" xr:uid="{00000000-0005-0000-0000-000050410000}"/>
    <cellStyle name="Примечание 5 73 4" xfId="17760" xr:uid="{00000000-0005-0000-0000-000051410000}"/>
    <cellStyle name="Примечание 5 74" xfId="4677" xr:uid="{00000000-0005-0000-0000-000052410000}"/>
    <cellStyle name="Примечание 5 74 2" xfId="9290" xr:uid="{00000000-0005-0000-0000-000053410000}"/>
    <cellStyle name="Примечание 5 74 3" xfId="13540" xr:uid="{00000000-0005-0000-0000-000054410000}"/>
    <cellStyle name="Примечание 5 74 4" xfId="17761" xr:uid="{00000000-0005-0000-0000-000055410000}"/>
    <cellStyle name="Примечание 5 75" xfId="4678" xr:uid="{00000000-0005-0000-0000-000056410000}"/>
    <cellStyle name="Примечание 5 75 2" xfId="9291" xr:uid="{00000000-0005-0000-0000-000057410000}"/>
    <cellStyle name="Примечание 5 75 3" xfId="13541" xr:uid="{00000000-0005-0000-0000-000058410000}"/>
    <cellStyle name="Примечание 5 75 4" xfId="17762" xr:uid="{00000000-0005-0000-0000-000059410000}"/>
    <cellStyle name="Примечание 5 76" xfId="4679" xr:uid="{00000000-0005-0000-0000-00005A410000}"/>
    <cellStyle name="Примечание 5 76 2" xfId="9292" xr:uid="{00000000-0005-0000-0000-00005B410000}"/>
    <cellStyle name="Примечание 5 76 3" xfId="13542" xr:uid="{00000000-0005-0000-0000-00005C410000}"/>
    <cellStyle name="Примечание 5 76 4" xfId="17763" xr:uid="{00000000-0005-0000-0000-00005D410000}"/>
    <cellStyle name="Примечание 5 77" xfId="4680" xr:uid="{00000000-0005-0000-0000-00005E410000}"/>
    <cellStyle name="Примечание 5 77 2" xfId="9293" xr:uid="{00000000-0005-0000-0000-00005F410000}"/>
    <cellStyle name="Примечание 5 77 3" xfId="13543" xr:uid="{00000000-0005-0000-0000-000060410000}"/>
    <cellStyle name="Примечание 5 77 4" xfId="17764" xr:uid="{00000000-0005-0000-0000-000061410000}"/>
    <cellStyle name="Примечание 5 78" xfId="4681" xr:uid="{00000000-0005-0000-0000-000062410000}"/>
    <cellStyle name="Примечание 5 78 2" xfId="9294" xr:uid="{00000000-0005-0000-0000-000063410000}"/>
    <cellStyle name="Примечание 5 78 3" xfId="13544" xr:uid="{00000000-0005-0000-0000-000064410000}"/>
    <cellStyle name="Примечание 5 78 4" xfId="17765" xr:uid="{00000000-0005-0000-0000-000065410000}"/>
    <cellStyle name="Примечание 5 79" xfId="4682" xr:uid="{00000000-0005-0000-0000-000066410000}"/>
    <cellStyle name="Примечание 5 79 2" xfId="9295" xr:uid="{00000000-0005-0000-0000-000067410000}"/>
    <cellStyle name="Примечание 5 79 3" xfId="13545" xr:uid="{00000000-0005-0000-0000-000068410000}"/>
    <cellStyle name="Примечание 5 79 4" xfId="17766" xr:uid="{00000000-0005-0000-0000-000069410000}"/>
    <cellStyle name="Примечание 5 8" xfId="4683" xr:uid="{00000000-0005-0000-0000-00006A410000}"/>
    <cellStyle name="Примечание 5 8 2" xfId="9296" xr:uid="{00000000-0005-0000-0000-00006B410000}"/>
    <cellStyle name="Примечание 5 8 3" xfId="13546" xr:uid="{00000000-0005-0000-0000-00006C410000}"/>
    <cellStyle name="Примечание 5 8 4" xfId="17767" xr:uid="{00000000-0005-0000-0000-00006D410000}"/>
    <cellStyle name="Примечание 5 80" xfId="4684" xr:uid="{00000000-0005-0000-0000-00006E410000}"/>
    <cellStyle name="Примечание 5 80 2" xfId="9297" xr:uid="{00000000-0005-0000-0000-00006F410000}"/>
    <cellStyle name="Примечание 5 80 3" xfId="13547" xr:uid="{00000000-0005-0000-0000-000070410000}"/>
    <cellStyle name="Примечание 5 80 4" xfId="17768" xr:uid="{00000000-0005-0000-0000-000071410000}"/>
    <cellStyle name="Примечание 5 81" xfId="4685" xr:uid="{00000000-0005-0000-0000-000072410000}"/>
    <cellStyle name="Примечание 5 81 2" xfId="9298" xr:uid="{00000000-0005-0000-0000-000073410000}"/>
    <cellStyle name="Примечание 5 81 3" xfId="13548" xr:uid="{00000000-0005-0000-0000-000074410000}"/>
    <cellStyle name="Примечание 5 81 4" xfId="17769" xr:uid="{00000000-0005-0000-0000-000075410000}"/>
    <cellStyle name="Примечание 5 82" xfId="4686" xr:uid="{00000000-0005-0000-0000-000076410000}"/>
    <cellStyle name="Примечание 5 82 2" xfId="9299" xr:uid="{00000000-0005-0000-0000-000077410000}"/>
    <cellStyle name="Примечание 5 82 3" xfId="13549" xr:uid="{00000000-0005-0000-0000-000078410000}"/>
    <cellStyle name="Примечание 5 82 4" xfId="17770" xr:uid="{00000000-0005-0000-0000-000079410000}"/>
    <cellStyle name="Примечание 5 83" xfId="4687" xr:uid="{00000000-0005-0000-0000-00007A410000}"/>
    <cellStyle name="Примечание 5 83 2" xfId="9300" xr:uid="{00000000-0005-0000-0000-00007B410000}"/>
    <cellStyle name="Примечание 5 83 3" xfId="13550" xr:uid="{00000000-0005-0000-0000-00007C410000}"/>
    <cellStyle name="Примечание 5 83 4" xfId="17771" xr:uid="{00000000-0005-0000-0000-00007D410000}"/>
    <cellStyle name="Примечание 5 84" xfId="4688" xr:uid="{00000000-0005-0000-0000-00007E410000}"/>
    <cellStyle name="Примечание 5 84 2" xfId="9301" xr:uid="{00000000-0005-0000-0000-00007F410000}"/>
    <cellStyle name="Примечание 5 84 3" xfId="13551" xr:uid="{00000000-0005-0000-0000-000080410000}"/>
    <cellStyle name="Примечание 5 84 4" xfId="17772" xr:uid="{00000000-0005-0000-0000-000081410000}"/>
    <cellStyle name="Примечание 5 85" xfId="4689" xr:uid="{00000000-0005-0000-0000-000082410000}"/>
    <cellStyle name="Примечание 5 85 2" xfId="9302" xr:uid="{00000000-0005-0000-0000-000083410000}"/>
    <cellStyle name="Примечание 5 85 3" xfId="13552" xr:uid="{00000000-0005-0000-0000-000084410000}"/>
    <cellStyle name="Примечание 5 85 4" xfId="17773" xr:uid="{00000000-0005-0000-0000-000085410000}"/>
    <cellStyle name="Примечание 5 86" xfId="4690" xr:uid="{00000000-0005-0000-0000-000086410000}"/>
    <cellStyle name="Примечание 5 86 2" xfId="9303" xr:uid="{00000000-0005-0000-0000-000087410000}"/>
    <cellStyle name="Примечание 5 86 3" xfId="13553" xr:uid="{00000000-0005-0000-0000-000088410000}"/>
    <cellStyle name="Примечание 5 86 4" xfId="17774" xr:uid="{00000000-0005-0000-0000-000089410000}"/>
    <cellStyle name="Примечание 5 87" xfId="4691" xr:uid="{00000000-0005-0000-0000-00008A410000}"/>
    <cellStyle name="Примечание 5 87 2" xfId="9304" xr:uid="{00000000-0005-0000-0000-00008B410000}"/>
    <cellStyle name="Примечание 5 87 3" xfId="13554" xr:uid="{00000000-0005-0000-0000-00008C410000}"/>
    <cellStyle name="Примечание 5 87 4" xfId="17775" xr:uid="{00000000-0005-0000-0000-00008D410000}"/>
    <cellStyle name="Примечание 5 88" xfId="4692" xr:uid="{00000000-0005-0000-0000-00008E410000}"/>
    <cellStyle name="Примечание 5 88 2" xfId="9305" xr:uid="{00000000-0005-0000-0000-00008F410000}"/>
    <cellStyle name="Примечание 5 88 3" xfId="13555" xr:uid="{00000000-0005-0000-0000-000090410000}"/>
    <cellStyle name="Примечание 5 88 4" xfId="17776" xr:uid="{00000000-0005-0000-0000-000091410000}"/>
    <cellStyle name="Примечание 5 89" xfId="4693" xr:uid="{00000000-0005-0000-0000-000092410000}"/>
    <cellStyle name="Примечание 5 89 2" xfId="9306" xr:uid="{00000000-0005-0000-0000-000093410000}"/>
    <cellStyle name="Примечание 5 89 3" xfId="13556" xr:uid="{00000000-0005-0000-0000-000094410000}"/>
    <cellStyle name="Примечание 5 89 4" xfId="17777" xr:uid="{00000000-0005-0000-0000-000095410000}"/>
    <cellStyle name="Примечание 5 9" xfId="4694" xr:uid="{00000000-0005-0000-0000-000096410000}"/>
    <cellStyle name="Примечание 5 9 2" xfId="9307" xr:uid="{00000000-0005-0000-0000-000097410000}"/>
    <cellStyle name="Примечание 5 9 3" xfId="13557" xr:uid="{00000000-0005-0000-0000-000098410000}"/>
    <cellStyle name="Примечание 5 9 4" xfId="17778" xr:uid="{00000000-0005-0000-0000-000099410000}"/>
    <cellStyle name="Примечание 5 90" xfId="5218" xr:uid="{00000000-0005-0000-0000-00009A410000}"/>
    <cellStyle name="Примечание 5 91" xfId="8827" xr:uid="{00000000-0005-0000-0000-00009B410000}"/>
    <cellStyle name="Примечание 5 92" xfId="13077" xr:uid="{00000000-0005-0000-0000-00009C410000}"/>
    <cellStyle name="Примечание 6" xfId="432" xr:uid="{00000000-0005-0000-0000-00009D410000}"/>
    <cellStyle name="Примечание 6 10" xfId="4695" xr:uid="{00000000-0005-0000-0000-00009E410000}"/>
    <cellStyle name="Примечание 6 10 2" xfId="9308" xr:uid="{00000000-0005-0000-0000-00009F410000}"/>
    <cellStyle name="Примечание 6 10 3" xfId="13558" xr:uid="{00000000-0005-0000-0000-0000A0410000}"/>
    <cellStyle name="Примечание 6 10 4" xfId="17779" xr:uid="{00000000-0005-0000-0000-0000A1410000}"/>
    <cellStyle name="Примечание 6 11" xfId="4696" xr:uid="{00000000-0005-0000-0000-0000A2410000}"/>
    <cellStyle name="Примечание 6 11 2" xfId="9309" xr:uid="{00000000-0005-0000-0000-0000A3410000}"/>
    <cellStyle name="Примечание 6 11 3" xfId="13559" xr:uid="{00000000-0005-0000-0000-0000A4410000}"/>
    <cellStyle name="Примечание 6 11 4" xfId="17780" xr:uid="{00000000-0005-0000-0000-0000A5410000}"/>
    <cellStyle name="Примечание 6 12" xfId="4697" xr:uid="{00000000-0005-0000-0000-0000A6410000}"/>
    <cellStyle name="Примечание 6 12 2" xfId="9310" xr:uid="{00000000-0005-0000-0000-0000A7410000}"/>
    <cellStyle name="Примечание 6 12 3" xfId="13560" xr:uid="{00000000-0005-0000-0000-0000A8410000}"/>
    <cellStyle name="Примечание 6 12 4" xfId="17781" xr:uid="{00000000-0005-0000-0000-0000A9410000}"/>
    <cellStyle name="Примечание 6 13" xfId="4698" xr:uid="{00000000-0005-0000-0000-0000AA410000}"/>
    <cellStyle name="Примечание 6 13 2" xfId="9311" xr:uid="{00000000-0005-0000-0000-0000AB410000}"/>
    <cellStyle name="Примечание 6 13 3" xfId="13561" xr:uid="{00000000-0005-0000-0000-0000AC410000}"/>
    <cellStyle name="Примечание 6 13 4" xfId="17782" xr:uid="{00000000-0005-0000-0000-0000AD410000}"/>
    <cellStyle name="Примечание 6 14" xfId="4699" xr:uid="{00000000-0005-0000-0000-0000AE410000}"/>
    <cellStyle name="Примечание 6 14 2" xfId="9312" xr:uid="{00000000-0005-0000-0000-0000AF410000}"/>
    <cellStyle name="Примечание 6 14 3" xfId="13562" xr:uid="{00000000-0005-0000-0000-0000B0410000}"/>
    <cellStyle name="Примечание 6 14 4" xfId="17783" xr:uid="{00000000-0005-0000-0000-0000B1410000}"/>
    <cellStyle name="Примечание 6 15" xfId="4700" xr:uid="{00000000-0005-0000-0000-0000B2410000}"/>
    <cellStyle name="Примечание 6 15 2" xfId="9313" xr:uid="{00000000-0005-0000-0000-0000B3410000}"/>
    <cellStyle name="Примечание 6 15 3" xfId="13563" xr:uid="{00000000-0005-0000-0000-0000B4410000}"/>
    <cellStyle name="Примечание 6 15 4" xfId="17784" xr:uid="{00000000-0005-0000-0000-0000B5410000}"/>
    <cellStyle name="Примечание 6 16" xfId="4701" xr:uid="{00000000-0005-0000-0000-0000B6410000}"/>
    <cellStyle name="Примечание 6 16 2" xfId="9314" xr:uid="{00000000-0005-0000-0000-0000B7410000}"/>
    <cellStyle name="Примечание 6 16 3" xfId="13564" xr:uid="{00000000-0005-0000-0000-0000B8410000}"/>
    <cellStyle name="Примечание 6 16 4" xfId="17785" xr:uid="{00000000-0005-0000-0000-0000B9410000}"/>
    <cellStyle name="Примечание 6 17" xfId="4702" xr:uid="{00000000-0005-0000-0000-0000BA410000}"/>
    <cellStyle name="Примечание 6 17 2" xfId="9315" xr:uid="{00000000-0005-0000-0000-0000BB410000}"/>
    <cellStyle name="Примечание 6 17 3" xfId="13565" xr:uid="{00000000-0005-0000-0000-0000BC410000}"/>
    <cellStyle name="Примечание 6 17 4" xfId="17786" xr:uid="{00000000-0005-0000-0000-0000BD410000}"/>
    <cellStyle name="Примечание 6 18" xfId="4703" xr:uid="{00000000-0005-0000-0000-0000BE410000}"/>
    <cellStyle name="Примечание 6 18 2" xfId="9316" xr:uid="{00000000-0005-0000-0000-0000BF410000}"/>
    <cellStyle name="Примечание 6 18 3" xfId="13566" xr:uid="{00000000-0005-0000-0000-0000C0410000}"/>
    <cellStyle name="Примечание 6 18 4" xfId="17787" xr:uid="{00000000-0005-0000-0000-0000C1410000}"/>
    <cellStyle name="Примечание 6 19" xfId="4704" xr:uid="{00000000-0005-0000-0000-0000C2410000}"/>
    <cellStyle name="Примечание 6 19 2" xfId="9317" xr:uid="{00000000-0005-0000-0000-0000C3410000}"/>
    <cellStyle name="Примечание 6 19 3" xfId="13567" xr:uid="{00000000-0005-0000-0000-0000C4410000}"/>
    <cellStyle name="Примечание 6 19 4" xfId="17788" xr:uid="{00000000-0005-0000-0000-0000C5410000}"/>
    <cellStyle name="Примечание 6 2" xfId="4705" xr:uid="{00000000-0005-0000-0000-0000C6410000}"/>
    <cellStyle name="Примечание 6 2 2" xfId="4706" xr:uid="{00000000-0005-0000-0000-0000C7410000}"/>
    <cellStyle name="Примечание 6 2 2 2" xfId="9319" xr:uid="{00000000-0005-0000-0000-0000C8410000}"/>
    <cellStyle name="Примечание 6 2 2 3" xfId="13569" xr:uid="{00000000-0005-0000-0000-0000C9410000}"/>
    <cellStyle name="Примечание 6 2 2 4" xfId="17790" xr:uid="{00000000-0005-0000-0000-0000CA410000}"/>
    <cellStyle name="Примечание 6 2 3" xfId="4707" xr:uid="{00000000-0005-0000-0000-0000CB410000}"/>
    <cellStyle name="Примечание 6 2 3 2" xfId="9320" xr:uid="{00000000-0005-0000-0000-0000CC410000}"/>
    <cellStyle name="Примечание 6 2 3 3" xfId="13570" xr:uid="{00000000-0005-0000-0000-0000CD410000}"/>
    <cellStyle name="Примечание 6 2 3 4" xfId="17791" xr:uid="{00000000-0005-0000-0000-0000CE410000}"/>
    <cellStyle name="Примечание 6 2 4" xfId="9318" xr:uid="{00000000-0005-0000-0000-0000CF410000}"/>
    <cellStyle name="Примечание 6 2 5" xfId="13568" xr:uid="{00000000-0005-0000-0000-0000D0410000}"/>
    <cellStyle name="Примечание 6 2 6" xfId="17789" xr:uid="{00000000-0005-0000-0000-0000D1410000}"/>
    <cellStyle name="Примечание 6 20" xfId="4708" xr:uid="{00000000-0005-0000-0000-0000D2410000}"/>
    <cellStyle name="Примечание 6 20 2" xfId="9321" xr:uid="{00000000-0005-0000-0000-0000D3410000}"/>
    <cellStyle name="Примечание 6 20 3" xfId="13571" xr:uid="{00000000-0005-0000-0000-0000D4410000}"/>
    <cellStyle name="Примечание 6 20 4" xfId="17792" xr:uid="{00000000-0005-0000-0000-0000D5410000}"/>
    <cellStyle name="Примечание 6 21" xfId="4709" xr:uid="{00000000-0005-0000-0000-0000D6410000}"/>
    <cellStyle name="Примечание 6 21 2" xfId="9322" xr:uid="{00000000-0005-0000-0000-0000D7410000}"/>
    <cellStyle name="Примечание 6 21 3" xfId="13572" xr:uid="{00000000-0005-0000-0000-0000D8410000}"/>
    <cellStyle name="Примечание 6 21 4" xfId="17793" xr:uid="{00000000-0005-0000-0000-0000D9410000}"/>
    <cellStyle name="Примечание 6 22" xfId="4710" xr:uid="{00000000-0005-0000-0000-0000DA410000}"/>
    <cellStyle name="Примечание 6 22 2" xfId="9323" xr:uid="{00000000-0005-0000-0000-0000DB410000}"/>
    <cellStyle name="Примечание 6 22 3" xfId="13573" xr:uid="{00000000-0005-0000-0000-0000DC410000}"/>
    <cellStyle name="Примечание 6 22 4" xfId="17794" xr:uid="{00000000-0005-0000-0000-0000DD410000}"/>
    <cellStyle name="Примечание 6 23" xfId="4711" xr:uid="{00000000-0005-0000-0000-0000DE410000}"/>
    <cellStyle name="Примечание 6 23 2" xfId="9324" xr:uid="{00000000-0005-0000-0000-0000DF410000}"/>
    <cellStyle name="Примечание 6 23 3" xfId="13574" xr:uid="{00000000-0005-0000-0000-0000E0410000}"/>
    <cellStyle name="Примечание 6 23 4" xfId="17795" xr:uid="{00000000-0005-0000-0000-0000E1410000}"/>
    <cellStyle name="Примечание 6 24" xfId="4712" xr:uid="{00000000-0005-0000-0000-0000E2410000}"/>
    <cellStyle name="Примечание 6 24 2" xfId="9325" xr:uid="{00000000-0005-0000-0000-0000E3410000}"/>
    <cellStyle name="Примечание 6 24 3" xfId="13575" xr:uid="{00000000-0005-0000-0000-0000E4410000}"/>
    <cellStyle name="Примечание 6 24 4" xfId="17796" xr:uid="{00000000-0005-0000-0000-0000E5410000}"/>
    <cellStyle name="Примечание 6 25" xfId="4713" xr:uid="{00000000-0005-0000-0000-0000E6410000}"/>
    <cellStyle name="Примечание 6 25 2" xfId="9326" xr:uid="{00000000-0005-0000-0000-0000E7410000}"/>
    <cellStyle name="Примечание 6 25 3" xfId="13576" xr:uid="{00000000-0005-0000-0000-0000E8410000}"/>
    <cellStyle name="Примечание 6 25 4" xfId="17797" xr:uid="{00000000-0005-0000-0000-0000E9410000}"/>
    <cellStyle name="Примечание 6 26" xfId="4714" xr:uid="{00000000-0005-0000-0000-0000EA410000}"/>
    <cellStyle name="Примечание 6 26 2" xfId="9327" xr:uid="{00000000-0005-0000-0000-0000EB410000}"/>
    <cellStyle name="Примечание 6 26 3" xfId="13577" xr:uid="{00000000-0005-0000-0000-0000EC410000}"/>
    <cellStyle name="Примечание 6 26 4" xfId="17798" xr:uid="{00000000-0005-0000-0000-0000ED410000}"/>
    <cellStyle name="Примечание 6 27" xfId="4715" xr:uid="{00000000-0005-0000-0000-0000EE410000}"/>
    <cellStyle name="Примечание 6 27 2" xfId="9328" xr:uid="{00000000-0005-0000-0000-0000EF410000}"/>
    <cellStyle name="Примечание 6 27 3" xfId="13578" xr:uid="{00000000-0005-0000-0000-0000F0410000}"/>
    <cellStyle name="Примечание 6 27 4" xfId="17799" xr:uid="{00000000-0005-0000-0000-0000F1410000}"/>
    <cellStyle name="Примечание 6 28" xfId="4716" xr:uid="{00000000-0005-0000-0000-0000F2410000}"/>
    <cellStyle name="Примечание 6 28 2" xfId="9329" xr:uid="{00000000-0005-0000-0000-0000F3410000}"/>
    <cellStyle name="Примечание 6 28 3" xfId="13579" xr:uid="{00000000-0005-0000-0000-0000F4410000}"/>
    <cellStyle name="Примечание 6 28 4" xfId="17800" xr:uid="{00000000-0005-0000-0000-0000F5410000}"/>
    <cellStyle name="Примечание 6 29" xfId="4717" xr:uid="{00000000-0005-0000-0000-0000F6410000}"/>
    <cellStyle name="Примечание 6 29 2" xfId="9330" xr:uid="{00000000-0005-0000-0000-0000F7410000}"/>
    <cellStyle name="Примечание 6 29 3" xfId="13580" xr:uid="{00000000-0005-0000-0000-0000F8410000}"/>
    <cellStyle name="Примечание 6 29 4" xfId="17801" xr:uid="{00000000-0005-0000-0000-0000F9410000}"/>
    <cellStyle name="Примечание 6 3" xfId="4718" xr:uid="{00000000-0005-0000-0000-0000FA410000}"/>
    <cellStyle name="Примечание 6 3 2" xfId="4719" xr:uid="{00000000-0005-0000-0000-0000FB410000}"/>
    <cellStyle name="Примечание 6 3 2 2" xfId="9332" xr:uid="{00000000-0005-0000-0000-0000FC410000}"/>
    <cellStyle name="Примечание 6 3 2 3" xfId="13582" xr:uid="{00000000-0005-0000-0000-0000FD410000}"/>
    <cellStyle name="Примечание 6 3 2 4" xfId="17803" xr:uid="{00000000-0005-0000-0000-0000FE410000}"/>
    <cellStyle name="Примечание 6 3 3" xfId="4720" xr:uid="{00000000-0005-0000-0000-0000FF410000}"/>
    <cellStyle name="Примечание 6 3 3 2" xfId="9333" xr:uid="{00000000-0005-0000-0000-000000420000}"/>
    <cellStyle name="Примечание 6 3 3 3" xfId="13583" xr:uid="{00000000-0005-0000-0000-000001420000}"/>
    <cellStyle name="Примечание 6 3 3 4" xfId="17804" xr:uid="{00000000-0005-0000-0000-000002420000}"/>
    <cellStyle name="Примечание 6 3 4" xfId="9331" xr:uid="{00000000-0005-0000-0000-000003420000}"/>
    <cellStyle name="Примечание 6 3 5" xfId="13581" xr:uid="{00000000-0005-0000-0000-000004420000}"/>
    <cellStyle name="Примечание 6 3 6" xfId="17802" xr:uid="{00000000-0005-0000-0000-000005420000}"/>
    <cellStyle name="Примечание 6 30" xfId="4721" xr:uid="{00000000-0005-0000-0000-000006420000}"/>
    <cellStyle name="Примечание 6 30 2" xfId="9334" xr:uid="{00000000-0005-0000-0000-000007420000}"/>
    <cellStyle name="Примечание 6 30 3" xfId="13584" xr:uid="{00000000-0005-0000-0000-000008420000}"/>
    <cellStyle name="Примечание 6 30 4" xfId="17805" xr:uid="{00000000-0005-0000-0000-000009420000}"/>
    <cellStyle name="Примечание 6 31" xfId="4722" xr:uid="{00000000-0005-0000-0000-00000A420000}"/>
    <cellStyle name="Примечание 6 31 2" xfId="9335" xr:uid="{00000000-0005-0000-0000-00000B420000}"/>
    <cellStyle name="Примечание 6 31 3" xfId="13585" xr:uid="{00000000-0005-0000-0000-00000C420000}"/>
    <cellStyle name="Примечание 6 31 4" xfId="17806" xr:uid="{00000000-0005-0000-0000-00000D420000}"/>
    <cellStyle name="Примечание 6 32" xfId="4723" xr:uid="{00000000-0005-0000-0000-00000E420000}"/>
    <cellStyle name="Примечание 6 32 2" xfId="9336" xr:uid="{00000000-0005-0000-0000-00000F420000}"/>
    <cellStyle name="Примечание 6 32 3" xfId="13586" xr:uid="{00000000-0005-0000-0000-000010420000}"/>
    <cellStyle name="Примечание 6 32 4" xfId="17807" xr:uid="{00000000-0005-0000-0000-000011420000}"/>
    <cellStyle name="Примечание 6 33" xfId="4724" xr:uid="{00000000-0005-0000-0000-000012420000}"/>
    <cellStyle name="Примечание 6 33 2" xfId="9337" xr:uid="{00000000-0005-0000-0000-000013420000}"/>
    <cellStyle name="Примечание 6 33 3" xfId="13587" xr:uid="{00000000-0005-0000-0000-000014420000}"/>
    <cellStyle name="Примечание 6 33 4" xfId="17808" xr:uid="{00000000-0005-0000-0000-000015420000}"/>
    <cellStyle name="Примечание 6 34" xfId="4725" xr:uid="{00000000-0005-0000-0000-000016420000}"/>
    <cellStyle name="Примечание 6 34 2" xfId="9338" xr:uid="{00000000-0005-0000-0000-000017420000}"/>
    <cellStyle name="Примечание 6 34 3" xfId="13588" xr:uid="{00000000-0005-0000-0000-000018420000}"/>
    <cellStyle name="Примечание 6 34 4" xfId="17809" xr:uid="{00000000-0005-0000-0000-000019420000}"/>
    <cellStyle name="Примечание 6 35" xfId="4726" xr:uid="{00000000-0005-0000-0000-00001A420000}"/>
    <cellStyle name="Примечание 6 35 2" xfId="9339" xr:uid="{00000000-0005-0000-0000-00001B420000}"/>
    <cellStyle name="Примечание 6 35 3" xfId="13589" xr:uid="{00000000-0005-0000-0000-00001C420000}"/>
    <cellStyle name="Примечание 6 35 4" xfId="17810" xr:uid="{00000000-0005-0000-0000-00001D420000}"/>
    <cellStyle name="Примечание 6 36" xfId="4727" xr:uid="{00000000-0005-0000-0000-00001E420000}"/>
    <cellStyle name="Примечание 6 36 2" xfId="9340" xr:uid="{00000000-0005-0000-0000-00001F420000}"/>
    <cellStyle name="Примечание 6 36 3" xfId="13590" xr:uid="{00000000-0005-0000-0000-000020420000}"/>
    <cellStyle name="Примечание 6 36 4" xfId="17811" xr:uid="{00000000-0005-0000-0000-000021420000}"/>
    <cellStyle name="Примечание 6 37" xfId="4728" xr:uid="{00000000-0005-0000-0000-000022420000}"/>
    <cellStyle name="Примечание 6 37 2" xfId="9341" xr:uid="{00000000-0005-0000-0000-000023420000}"/>
    <cellStyle name="Примечание 6 37 3" xfId="13591" xr:uid="{00000000-0005-0000-0000-000024420000}"/>
    <cellStyle name="Примечание 6 37 4" xfId="17812" xr:uid="{00000000-0005-0000-0000-000025420000}"/>
    <cellStyle name="Примечание 6 38" xfId="4729" xr:uid="{00000000-0005-0000-0000-000026420000}"/>
    <cellStyle name="Примечание 6 38 2" xfId="9342" xr:uid="{00000000-0005-0000-0000-000027420000}"/>
    <cellStyle name="Примечание 6 38 3" xfId="13592" xr:uid="{00000000-0005-0000-0000-000028420000}"/>
    <cellStyle name="Примечание 6 38 4" xfId="17813" xr:uid="{00000000-0005-0000-0000-000029420000}"/>
    <cellStyle name="Примечание 6 39" xfId="4730" xr:uid="{00000000-0005-0000-0000-00002A420000}"/>
    <cellStyle name="Примечание 6 39 2" xfId="9343" xr:uid="{00000000-0005-0000-0000-00002B420000}"/>
    <cellStyle name="Примечание 6 39 3" xfId="13593" xr:uid="{00000000-0005-0000-0000-00002C420000}"/>
    <cellStyle name="Примечание 6 39 4" xfId="17814" xr:uid="{00000000-0005-0000-0000-00002D420000}"/>
    <cellStyle name="Примечание 6 4" xfId="4731" xr:uid="{00000000-0005-0000-0000-00002E420000}"/>
    <cellStyle name="Примечание 6 4 2" xfId="4732" xr:uid="{00000000-0005-0000-0000-00002F420000}"/>
    <cellStyle name="Примечание 6 4 2 2" xfId="9345" xr:uid="{00000000-0005-0000-0000-000030420000}"/>
    <cellStyle name="Примечание 6 4 2 3" xfId="13595" xr:uid="{00000000-0005-0000-0000-000031420000}"/>
    <cellStyle name="Примечание 6 4 2 4" xfId="17816" xr:uid="{00000000-0005-0000-0000-000032420000}"/>
    <cellStyle name="Примечание 6 4 3" xfId="4733" xr:uid="{00000000-0005-0000-0000-000033420000}"/>
    <cellStyle name="Примечание 6 4 3 2" xfId="9346" xr:uid="{00000000-0005-0000-0000-000034420000}"/>
    <cellStyle name="Примечание 6 4 3 3" xfId="13596" xr:uid="{00000000-0005-0000-0000-000035420000}"/>
    <cellStyle name="Примечание 6 4 3 4" xfId="17817" xr:uid="{00000000-0005-0000-0000-000036420000}"/>
    <cellStyle name="Примечание 6 4 4" xfId="9344" xr:uid="{00000000-0005-0000-0000-000037420000}"/>
    <cellStyle name="Примечание 6 4 5" xfId="13594" xr:uid="{00000000-0005-0000-0000-000038420000}"/>
    <cellStyle name="Примечание 6 4 6" xfId="17815" xr:uid="{00000000-0005-0000-0000-000039420000}"/>
    <cellStyle name="Примечание 6 40" xfId="4734" xr:uid="{00000000-0005-0000-0000-00003A420000}"/>
    <cellStyle name="Примечание 6 40 2" xfId="9347" xr:uid="{00000000-0005-0000-0000-00003B420000}"/>
    <cellStyle name="Примечание 6 40 3" xfId="13597" xr:uid="{00000000-0005-0000-0000-00003C420000}"/>
    <cellStyle name="Примечание 6 40 4" xfId="17818" xr:uid="{00000000-0005-0000-0000-00003D420000}"/>
    <cellStyle name="Примечание 6 41" xfId="4735" xr:uid="{00000000-0005-0000-0000-00003E420000}"/>
    <cellStyle name="Примечание 6 41 2" xfId="9348" xr:uid="{00000000-0005-0000-0000-00003F420000}"/>
    <cellStyle name="Примечание 6 41 3" xfId="13598" xr:uid="{00000000-0005-0000-0000-000040420000}"/>
    <cellStyle name="Примечание 6 41 4" xfId="17819" xr:uid="{00000000-0005-0000-0000-000041420000}"/>
    <cellStyle name="Примечание 6 42" xfId="4736" xr:uid="{00000000-0005-0000-0000-000042420000}"/>
    <cellStyle name="Примечание 6 42 2" xfId="9349" xr:uid="{00000000-0005-0000-0000-000043420000}"/>
    <cellStyle name="Примечание 6 42 3" xfId="13599" xr:uid="{00000000-0005-0000-0000-000044420000}"/>
    <cellStyle name="Примечание 6 42 4" xfId="17820" xr:uid="{00000000-0005-0000-0000-000045420000}"/>
    <cellStyle name="Примечание 6 43" xfId="4737" xr:uid="{00000000-0005-0000-0000-000046420000}"/>
    <cellStyle name="Примечание 6 43 2" xfId="9350" xr:uid="{00000000-0005-0000-0000-000047420000}"/>
    <cellStyle name="Примечание 6 43 3" xfId="13600" xr:uid="{00000000-0005-0000-0000-000048420000}"/>
    <cellStyle name="Примечание 6 43 4" xfId="17821" xr:uid="{00000000-0005-0000-0000-000049420000}"/>
    <cellStyle name="Примечание 6 44" xfId="4738" xr:uid="{00000000-0005-0000-0000-00004A420000}"/>
    <cellStyle name="Примечание 6 44 2" xfId="9351" xr:uid="{00000000-0005-0000-0000-00004B420000}"/>
    <cellStyle name="Примечание 6 44 3" xfId="13601" xr:uid="{00000000-0005-0000-0000-00004C420000}"/>
    <cellStyle name="Примечание 6 44 4" xfId="17822" xr:uid="{00000000-0005-0000-0000-00004D420000}"/>
    <cellStyle name="Примечание 6 45" xfId="4739" xr:uid="{00000000-0005-0000-0000-00004E420000}"/>
    <cellStyle name="Примечание 6 45 2" xfId="9352" xr:uid="{00000000-0005-0000-0000-00004F420000}"/>
    <cellStyle name="Примечание 6 45 3" xfId="13602" xr:uid="{00000000-0005-0000-0000-000050420000}"/>
    <cellStyle name="Примечание 6 45 4" xfId="17823" xr:uid="{00000000-0005-0000-0000-000051420000}"/>
    <cellStyle name="Примечание 6 46" xfId="4740" xr:uid="{00000000-0005-0000-0000-000052420000}"/>
    <cellStyle name="Примечание 6 46 2" xfId="9353" xr:uid="{00000000-0005-0000-0000-000053420000}"/>
    <cellStyle name="Примечание 6 46 3" xfId="13603" xr:uid="{00000000-0005-0000-0000-000054420000}"/>
    <cellStyle name="Примечание 6 46 4" xfId="17824" xr:uid="{00000000-0005-0000-0000-000055420000}"/>
    <cellStyle name="Примечание 6 47" xfId="4741" xr:uid="{00000000-0005-0000-0000-000056420000}"/>
    <cellStyle name="Примечание 6 47 2" xfId="9354" xr:uid="{00000000-0005-0000-0000-000057420000}"/>
    <cellStyle name="Примечание 6 47 3" xfId="13604" xr:uid="{00000000-0005-0000-0000-000058420000}"/>
    <cellStyle name="Примечание 6 47 4" xfId="17825" xr:uid="{00000000-0005-0000-0000-000059420000}"/>
    <cellStyle name="Примечание 6 48" xfId="4742" xr:uid="{00000000-0005-0000-0000-00005A420000}"/>
    <cellStyle name="Примечание 6 48 2" xfId="9355" xr:uid="{00000000-0005-0000-0000-00005B420000}"/>
    <cellStyle name="Примечание 6 48 3" xfId="13605" xr:uid="{00000000-0005-0000-0000-00005C420000}"/>
    <cellStyle name="Примечание 6 48 4" xfId="17826" xr:uid="{00000000-0005-0000-0000-00005D420000}"/>
    <cellStyle name="Примечание 6 49" xfId="4743" xr:uid="{00000000-0005-0000-0000-00005E420000}"/>
    <cellStyle name="Примечание 6 49 2" xfId="9356" xr:uid="{00000000-0005-0000-0000-00005F420000}"/>
    <cellStyle name="Примечание 6 49 3" xfId="13606" xr:uid="{00000000-0005-0000-0000-000060420000}"/>
    <cellStyle name="Примечание 6 49 4" xfId="17827" xr:uid="{00000000-0005-0000-0000-000061420000}"/>
    <cellStyle name="Примечание 6 5" xfId="4744" xr:uid="{00000000-0005-0000-0000-000062420000}"/>
    <cellStyle name="Примечание 6 5 2" xfId="9357" xr:uid="{00000000-0005-0000-0000-000063420000}"/>
    <cellStyle name="Примечание 6 5 3" xfId="13607" xr:uid="{00000000-0005-0000-0000-000064420000}"/>
    <cellStyle name="Примечание 6 5 4" xfId="17828" xr:uid="{00000000-0005-0000-0000-000065420000}"/>
    <cellStyle name="Примечание 6 50" xfId="4745" xr:uid="{00000000-0005-0000-0000-000066420000}"/>
    <cellStyle name="Примечание 6 50 2" xfId="9358" xr:uid="{00000000-0005-0000-0000-000067420000}"/>
    <cellStyle name="Примечание 6 50 3" xfId="13608" xr:uid="{00000000-0005-0000-0000-000068420000}"/>
    <cellStyle name="Примечание 6 50 4" xfId="17829" xr:uid="{00000000-0005-0000-0000-000069420000}"/>
    <cellStyle name="Примечание 6 51" xfId="4746" xr:uid="{00000000-0005-0000-0000-00006A420000}"/>
    <cellStyle name="Примечание 6 51 2" xfId="9359" xr:uid="{00000000-0005-0000-0000-00006B420000}"/>
    <cellStyle name="Примечание 6 51 3" xfId="13609" xr:uid="{00000000-0005-0000-0000-00006C420000}"/>
    <cellStyle name="Примечание 6 51 4" xfId="17830" xr:uid="{00000000-0005-0000-0000-00006D420000}"/>
    <cellStyle name="Примечание 6 52" xfId="4747" xr:uid="{00000000-0005-0000-0000-00006E420000}"/>
    <cellStyle name="Примечание 6 52 2" xfId="9360" xr:uid="{00000000-0005-0000-0000-00006F420000}"/>
    <cellStyle name="Примечание 6 52 3" xfId="13610" xr:uid="{00000000-0005-0000-0000-000070420000}"/>
    <cellStyle name="Примечание 6 52 4" xfId="17831" xr:uid="{00000000-0005-0000-0000-000071420000}"/>
    <cellStyle name="Примечание 6 53" xfId="4748" xr:uid="{00000000-0005-0000-0000-000072420000}"/>
    <cellStyle name="Примечание 6 53 2" xfId="9361" xr:uid="{00000000-0005-0000-0000-000073420000}"/>
    <cellStyle name="Примечание 6 53 3" xfId="13611" xr:uid="{00000000-0005-0000-0000-000074420000}"/>
    <cellStyle name="Примечание 6 53 4" xfId="17832" xr:uid="{00000000-0005-0000-0000-000075420000}"/>
    <cellStyle name="Примечание 6 54" xfId="4749" xr:uid="{00000000-0005-0000-0000-000076420000}"/>
    <cellStyle name="Примечание 6 54 2" xfId="9362" xr:uid="{00000000-0005-0000-0000-000077420000}"/>
    <cellStyle name="Примечание 6 54 3" xfId="13612" xr:uid="{00000000-0005-0000-0000-000078420000}"/>
    <cellStyle name="Примечание 6 54 4" xfId="17833" xr:uid="{00000000-0005-0000-0000-000079420000}"/>
    <cellStyle name="Примечание 6 55" xfId="4750" xr:uid="{00000000-0005-0000-0000-00007A420000}"/>
    <cellStyle name="Примечание 6 55 2" xfId="9363" xr:uid="{00000000-0005-0000-0000-00007B420000}"/>
    <cellStyle name="Примечание 6 55 3" xfId="13613" xr:uid="{00000000-0005-0000-0000-00007C420000}"/>
    <cellStyle name="Примечание 6 55 4" xfId="17834" xr:uid="{00000000-0005-0000-0000-00007D420000}"/>
    <cellStyle name="Примечание 6 56" xfId="4751" xr:uid="{00000000-0005-0000-0000-00007E420000}"/>
    <cellStyle name="Примечание 6 56 2" xfId="9364" xr:uid="{00000000-0005-0000-0000-00007F420000}"/>
    <cellStyle name="Примечание 6 56 3" xfId="13614" xr:uid="{00000000-0005-0000-0000-000080420000}"/>
    <cellStyle name="Примечание 6 56 4" xfId="17835" xr:uid="{00000000-0005-0000-0000-000081420000}"/>
    <cellStyle name="Примечание 6 57" xfId="4752" xr:uid="{00000000-0005-0000-0000-000082420000}"/>
    <cellStyle name="Примечание 6 57 2" xfId="9365" xr:uid="{00000000-0005-0000-0000-000083420000}"/>
    <cellStyle name="Примечание 6 57 3" xfId="13615" xr:uid="{00000000-0005-0000-0000-000084420000}"/>
    <cellStyle name="Примечание 6 57 4" xfId="17836" xr:uid="{00000000-0005-0000-0000-000085420000}"/>
    <cellStyle name="Примечание 6 58" xfId="4753" xr:uid="{00000000-0005-0000-0000-000086420000}"/>
    <cellStyle name="Примечание 6 58 2" xfId="9366" xr:uid="{00000000-0005-0000-0000-000087420000}"/>
    <cellStyle name="Примечание 6 58 3" xfId="13616" xr:uid="{00000000-0005-0000-0000-000088420000}"/>
    <cellStyle name="Примечание 6 58 4" xfId="17837" xr:uid="{00000000-0005-0000-0000-000089420000}"/>
    <cellStyle name="Примечание 6 59" xfId="4754" xr:uid="{00000000-0005-0000-0000-00008A420000}"/>
    <cellStyle name="Примечание 6 59 2" xfId="9367" xr:uid="{00000000-0005-0000-0000-00008B420000}"/>
    <cellStyle name="Примечание 6 59 3" xfId="13617" xr:uid="{00000000-0005-0000-0000-00008C420000}"/>
    <cellStyle name="Примечание 6 59 4" xfId="17838" xr:uid="{00000000-0005-0000-0000-00008D420000}"/>
    <cellStyle name="Примечание 6 6" xfId="4755" xr:uid="{00000000-0005-0000-0000-00008E420000}"/>
    <cellStyle name="Примечание 6 6 2" xfId="9368" xr:uid="{00000000-0005-0000-0000-00008F420000}"/>
    <cellStyle name="Примечание 6 6 3" xfId="13618" xr:uid="{00000000-0005-0000-0000-000090420000}"/>
    <cellStyle name="Примечание 6 6 4" xfId="17839" xr:uid="{00000000-0005-0000-0000-000091420000}"/>
    <cellStyle name="Примечание 6 60" xfId="4756" xr:uid="{00000000-0005-0000-0000-000092420000}"/>
    <cellStyle name="Примечание 6 60 2" xfId="9369" xr:uid="{00000000-0005-0000-0000-000093420000}"/>
    <cellStyle name="Примечание 6 60 3" xfId="13619" xr:uid="{00000000-0005-0000-0000-000094420000}"/>
    <cellStyle name="Примечание 6 60 4" xfId="17840" xr:uid="{00000000-0005-0000-0000-000095420000}"/>
    <cellStyle name="Примечание 6 61" xfId="4757" xr:uid="{00000000-0005-0000-0000-000096420000}"/>
    <cellStyle name="Примечание 6 61 2" xfId="9370" xr:uid="{00000000-0005-0000-0000-000097420000}"/>
    <cellStyle name="Примечание 6 61 3" xfId="13620" xr:uid="{00000000-0005-0000-0000-000098420000}"/>
    <cellStyle name="Примечание 6 61 4" xfId="17841" xr:uid="{00000000-0005-0000-0000-000099420000}"/>
    <cellStyle name="Примечание 6 62" xfId="4758" xr:uid="{00000000-0005-0000-0000-00009A420000}"/>
    <cellStyle name="Примечание 6 62 2" xfId="9371" xr:uid="{00000000-0005-0000-0000-00009B420000}"/>
    <cellStyle name="Примечание 6 62 3" xfId="13621" xr:uid="{00000000-0005-0000-0000-00009C420000}"/>
    <cellStyle name="Примечание 6 62 4" xfId="17842" xr:uid="{00000000-0005-0000-0000-00009D420000}"/>
    <cellStyle name="Примечание 6 63" xfId="4759" xr:uid="{00000000-0005-0000-0000-00009E420000}"/>
    <cellStyle name="Примечание 6 63 2" xfId="9372" xr:uid="{00000000-0005-0000-0000-00009F420000}"/>
    <cellStyle name="Примечание 6 63 3" xfId="13622" xr:uid="{00000000-0005-0000-0000-0000A0420000}"/>
    <cellStyle name="Примечание 6 63 4" xfId="17843" xr:uid="{00000000-0005-0000-0000-0000A1420000}"/>
    <cellStyle name="Примечание 6 64" xfId="4760" xr:uid="{00000000-0005-0000-0000-0000A2420000}"/>
    <cellStyle name="Примечание 6 64 2" xfId="9373" xr:uid="{00000000-0005-0000-0000-0000A3420000}"/>
    <cellStyle name="Примечание 6 64 3" xfId="13623" xr:uid="{00000000-0005-0000-0000-0000A4420000}"/>
    <cellStyle name="Примечание 6 64 4" xfId="17844" xr:uid="{00000000-0005-0000-0000-0000A5420000}"/>
    <cellStyle name="Примечание 6 65" xfId="4761" xr:uid="{00000000-0005-0000-0000-0000A6420000}"/>
    <cellStyle name="Примечание 6 65 2" xfId="9374" xr:uid="{00000000-0005-0000-0000-0000A7420000}"/>
    <cellStyle name="Примечание 6 65 3" xfId="13624" xr:uid="{00000000-0005-0000-0000-0000A8420000}"/>
    <cellStyle name="Примечание 6 65 4" xfId="17845" xr:uid="{00000000-0005-0000-0000-0000A9420000}"/>
    <cellStyle name="Примечание 6 66" xfId="4762" xr:uid="{00000000-0005-0000-0000-0000AA420000}"/>
    <cellStyle name="Примечание 6 66 2" xfId="9375" xr:uid="{00000000-0005-0000-0000-0000AB420000}"/>
    <cellStyle name="Примечание 6 66 3" xfId="13625" xr:uid="{00000000-0005-0000-0000-0000AC420000}"/>
    <cellStyle name="Примечание 6 66 4" xfId="17846" xr:uid="{00000000-0005-0000-0000-0000AD420000}"/>
    <cellStyle name="Примечание 6 67" xfId="4763" xr:uid="{00000000-0005-0000-0000-0000AE420000}"/>
    <cellStyle name="Примечание 6 67 2" xfId="9376" xr:uid="{00000000-0005-0000-0000-0000AF420000}"/>
    <cellStyle name="Примечание 6 67 3" xfId="13626" xr:uid="{00000000-0005-0000-0000-0000B0420000}"/>
    <cellStyle name="Примечание 6 67 4" xfId="17847" xr:uid="{00000000-0005-0000-0000-0000B1420000}"/>
    <cellStyle name="Примечание 6 68" xfId="4764" xr:uid="{00000000-0005-0000-0000-0000B2420000}"/>
    <cellStyle name="Примечание 6 68 2" xfId="9377" xr:uid="{00000000-0005-0000-0000-0000B3420000}"/>
    <cellStyle name="Примечание 6 68 3" xfId="13627" xr:uid="{00000000-0005-0000-0000-0000B4420000}"/>
    <cellStyle name="Примечание 6 68 4" xfId="17848" xr:uid="{00000000-0005-0000-0000-0000B5420000}"/>
    <cellStyle name="Примечание 6 69" xfId="4765" xr:uid="{00000000-0005-0000-0000-0000B6420000}"/>
    <cellStyle name="Примечание 6 69 2" xfId="9378" xr:uid="{00000000-0005-0000-0000-0000B7420000}"/>
    <cellStyle name="Примечание 6 69 3" xfId="13628" xr:uid="{00000000-0005-0000-0000-0000B8420000}"/>
    <cellStyle name="Примечание 6 69 4" xfId="17849" xr:uid="{00000000-0005-0000-0000-0000B9420000}"/>
    <cellStyle name="Примечание 6 7" xfId="4766" xr:uid="{00000000-0005-0000-0000-0000BA420000}"/>
    <cellStyle name="Примечание 6 7 2" xfId="9379" xr:uid="{00000000-0005-0000-0000-0000BB420000}"/>
    <cellStyle name="Примечание 6 7 3" xfId="13629" xr:uid="{00000000-0005-0000-0000-0000BC420000}"/>
    <cellStyle name="Примечание 6 7 4" xfId="17850" xr:uid="{00000000-0005-0000-0000-0000BD420000}"/>
    <cellStyle name="Примечание 6 70" xfId="4767" xr:uid="{00000000-0005-0000-0000-0000BE420000}"/>
    <cellStyle name="Примечание 6 70 2" xfId="9380" xr:uid="{00000000-0005-0000-0000-0000BF420000}"/>
    <cellStyle name="Примечание 6 70 3" xfId="13630" xr:uid="{00000000-0005-0000-0000-0000C0420000}"/>
    <cellStyle name="Примечание 6 70 4" xfId="17851" xr:uid="{00000000-0005-0000-0000-0000C1420000}"/>
    <cellStyle name="Примечание 6 71" xfId="4768" xr:uid="{00000000-0005-0000-0000-0000C2420000}"/>
    <cellStyle name="Примечание 6 71 2" xfId="9381" xr:uid="{00000000-0005-0000-0000-0000C3420000}"/>
    <cellStyle name="Примечание 6 71 3" xfId="13631" xr:uid="{00000000-0005-0000-0000-0000C4420000}"/>
    <cellStyle name="Примечание 6 71 4" xfId="17852" xr:uid="{00000000-0005-0000-0000-0000C5420000}"/>
    <cellStyle name="Примечание 6 72" xfId="4769" xr:uid="{00000000-0005-0000-0000-0000C6420000}"/>
    <cellStyle name="Примечание 6 72 2" xfId="9382" xr:uid="{00000000-0005-0000-0000-0000C7420000}"/>
    <cellStyle name="Примечание 6 72 3" xfId="13632" xr:uid="{00000000-0005-0000-0000-0000C8420000}"/>
    <cellStyle name="Примечание 6 72 4" xfId="17853" xr:uid="{00000000-0005-0000-0000-0000C9420000}"/>
    <cellStyle name="Примечание 6 73" xfId="4770" xr:uid="{00000000-0005-0000-0000-0000CA420000}"/>
    <cellStyle name="Примечание 6 73 2" xfId="9383" xr:uid="{00000000-0005-0000-0000-0000CB420000}"/>
    <cellStyle name="Примечание 6 73 3" xfId="13633" xr:uid="{00000000-0005-0000-0000-0000CC420000}"/>
    <cellStyle name="Примечание 6 73 4" xfId="17854" xr:uid="{00000000-0005-0000-0000-0000CD420000}"/>
    <cellStyle name="Примечание 6 74" xfId="4771" xr:uid="{00000000-0005-0000-0000-0000CE420000}"/>
    <cellStyle name="Примечание 6 74 2" xfId="9384" xr:uid="{00000000-0005-0000-0000-0000CF420000}"/>
    <cellStyle name="Примечание 6 74 3" xfId="13634" xr:uid="{00000000-0005-0000-0000-0000D0420000}"/>
    <cellStyle name="Примечание 6 74 4" xfId="17855" xr:uid="{00000000-0005-0000-0000-0000D1420000}"/>
    <cellStyle name="Примечание 6 75" xfId="4772" xr:uid="{00000000-0005-0000-0000-0000D2420000}"/>
    <cellStyle name="Примечание 6 75 2" xfId="9385" xr:uid="{00000000-0005-0000-0000-0000D3420000}"/>
    <cellStyle name="Примечание 6 75 3" xfId="13635" xr:uid="{00000000-0005-0000-0000-0000D4420000}"/>
    <cellStyle name="Примечание 6 75 4" xfId="17856" xr:uid="{00000000-0005-0000-0000-0000D5420000}"/>
    <cellStyle name="Примечание 6 76" xfId="4773" xr:uid="{00000000-0005-0000-0000-0000D6420000}"/>
    <cellStyle name="Примечание 6 76 2" xfId="9386" xr:uid="{00000000-0005-0000-0000-0000D7420000}"/>
    <cellStyle name="Примечание 6 76 3" xfId="13636" xr:uid="{00000000-0005-0000-0000-0000D8420000}"/>
    <cellStyle name="Примечание 6 76 4" xfId="17857" xr:uid="{00000000-0005-0000-0000-0000D9420000}"/>
    <cellStyle name="Примечание 6 77" xfId="4774" xr:uid="{00000000-0005-0000-0000-0000DA420000}"/>
    <cellStyle name="Примечание 6 77 2" xfId="9387" xr:uid="{00000000-0005-0000-0000-0000DB420000}"/>
    <cellStyle name="Примечание 6 77 3" xfId="13637" xr:uid="{00000000-0005-0000-0000-0000DC420000}"/>
    <cellStyle name="Примечание 6 77 4" xfId="17858" xr:uid="{00000000-0005-0000-0000-0000DD420000}"/>
    <cellStyle name="Примечание 6 78" xfId="4775" xr:uid="{00000000-0005-0000-0000-0000DE420000}"/>
    <cellStyle name="Примечание 6 78 2" xfId="9388" xr:uid="{00000000-0005-0000-0000-0000DF420000}"/>
    <cellStyle name="Примечание 6 78 3" xfId="13638" xr:uid="{00000000-0005-0000-0000-0000E0420000}"/>
    <cellStyle name="Примечание 6 78 4" xfId="17859" xr:uid="{00000000-0005-0000-0000-0000E1420000}"/>
    <cellStyle name="Примечание 6 79" xfId="4776" xr:uid="{00000000-0005-0000-0000-0000E2420000}"/>
    <cellStyle name="Примечание 6 79 2" xfId="9389" xr:uid="{00000000-0005-0000-0000-0000E3420000}"/>
    <cellStyle name="Примечание 6 79 3" xfId="13639" xr:uid="{00000000-0005-0000-0000-0000E4420000}"/>
    <cellStyle name="Примечание 6 79 4" xfId="17860" xr:uid="{00000000-0005-0000-0000-0000E5420000}"/>
    <cellStyle name="Примечание 6 8" xfId="4777" xr:uid="{00000000-0005-0000-0000-0000E6420000}"/>
    <cellStyle name="Примечание 6 8 2" xfId="9390" xr:uid="{00000000-0005-0000-0000-0000E7420000}"/>
    <cellStyle name="Примечание 6 8 3" xfId="13640" xr:uid="{00000000-0005-0000-0000-0000E8420000}"/>
    <cellStyle name="Примечание 6 8 4" xfId="17861" xr:uid="{00000000-0005-0000-0000-0000E9420000}"/>
    <cellStyle name="Примечание 6 80" xfId="4778" xr:uid="{00000000-0005-0000-0000-0000EA420000}"/>
    <cellStyle name="Примечание 6 80 2" xfId="9391" xr:uid="{00000000-0005-0000-0000-0000EB420000}"/>
    <cellStyle name="Примечание 6 80 3" xfId="13641" xr:uid="{00000000-0005-0000-0000-0000EC420000}"/>
    <cellStyle name="Примечание 6 80 4" xfId="17862" xr:uid="{00000000-0005-0000-0000-0000ED420000}"/>
    <cellStyle name="Примечание 6 81" xfId="4779" xr:uid="{00000000-0005-0000-0000-0000EE420000}"/>
    <cellStyle name="Примечание 6 81 2" xfId="9392" xr:uid="{00000000-0005-0000-0000-0000EF420000}"/>
    <cellStyle name="Примечание 6 81 3" xfId="13642" xr:uid="{00000000-0005-0000-0000-0000F0420000}"/>
    <cellStyle name="Примечание 6 81 4" xfId="17863" xr:uid="{00000000-0005-0000-0000-0000F1420000}"/>
    <cellStyle name="Примечание 6 82" xfId="4780" xr:uid="{00000000-0005-0000-0000-0000F2420000}"/>
    <cellStyle name="Примечание 6 82 2" xfId="9393" xr:uid="{00000000-0005-0000-0000-0000F3420000}"/>
    <cellStyle name="Примечание 6 82 3" xfId="13643" xr:uid="{00000000-0005-0000-0000-0000F4420000}"/>
    <cellStyle name="Примечание 6 82 4" xfId="17864" xr:uid="{00000000-0005-0000-0000-0000F5420000}"/>
    <cellStyle name="Примечание 6 83" xfId="4781" xr:uid="{00000000-0005-0000-0000-0000F6420000}"/>
    <cellStyle name="Примечание 6 83 2" xfId="9394" xr:uid="{00000000-0005-0000-0000-0000F7420000}"/>
    <cellStyle name="Примечание 6 83 3" xfId="13644" xr:uid="{00000000-0005-0000-0000-0000F8420000}"/>
    <cellStyle name="Примечание 6 83 4" xfId="17865" xr:uid="{00000000-0005-0000-0000-0000F9420000}"/>
    <cellStyle name="Примечание 6 84" xfId="4782" xr:uid="{00000000-0005-0000-0000-0000FA420000}"/>
    <cellStyle name="Примечание 6 84 2" xfId="9395" xr:uid="{00000000-0005-0000-0000-0000FB420000}"/>
    <cellStyle name="Примечание 6 84 3" xfId="13645" xr:uid="{00000000-0005-0000-0000-0000FC420000}"/>
    <cellStyle name="Примечание 6 84 4" xfId="17866" xr:uid="{00000000-0005-0000-0000-0000FD420000}"/>
    <cellStyle name="Примечание 6 85" xfId="4783" xr:uid="{00000000-0005-0000-0000-0000FE420000}"/>
    <cellStyle name="Примечание 6 85 2" xfId="9396" xr:uid="{00000000-0005-0000-0000-0000FF420000}"/>
    <cellStyle name="Примечание 6 85 3" xfId="13646" xr:uid="{00000000-0005-0000-0000-000000430000}"/>
    <cellStyle name="Примечание 6 85 4" xfId="17867" xr:uid="{00000000-0005-0000-0000-000001430000}"/>
    <cellStyle name="Примечание 6 86" xfId="4784" xr:uid="{00000000-0005-0000-0000-000002430000}"/>
    <cellStyle name="Примечание 6 86 2" xfId="9397" xr:uid="{00000000-0005-0000-0000-000003430000}"/>
    <cellStyle name="Примечание 6 86 3" xfId="13647" xr:uid="{00000000-0005-0000-0000-000004430000}"/>
    <cellStyle name="Примечание 6 86 4" xfId="17868" xr:uid="{00000000-0005-0000-0000-000005430000}"/>
    <cellStyle name="Примечание 6 87" xfId="4785" xr:uid="{00000000-0005-0000-0000-000006430000}"/>
    <cellStyle name="Примечание 6 87 2" xfId="9398" xr:uid="{00000000-0005-0000-0000-000007430000}"/>
    <cellStyle name="Примечание 6 87 3" xfId="13648" xr:uid="{00000000-0005-0000-0000-000008430000}"/>
    <cellStyle name="Примечание 6 87 4" xfId="17869" xr:uid="{00000000-0005-0000-0000-000009430000}"/>
    <cellStyle name="Примечание 6 88" xfId="4786" xr:uid="{00000000-0005-0000-0000-00000A430000}"/>
    <cellStyle name="Примечание 6 88 2" xfId="9399" xr:uid="{00000000-0005-0000-0000-00000B430000}"/>
    <cellStyle name="Примечание 6 88 3" xfId="13649" xr:uid="{00000000-0005-0000-0000-00000C430000}"/>
    <cellStyle name="Примечание 6 88 4" xfId="17870" xr:uid="{00000000-0005-0000-0000-00000D430000}"/>
    <cellStyle name="Примечание 6 89" xfId="4787" xr:uid="{00000000-0005-0000-0000-00000E430000}"/>
    <cellStyle name="Примечание 6 89 2" xfId="9400" xr:uid="{00000000-0005-0000-0000-00000F430000}"/>
    <cellStyle name="Примечание 6 89 3" xfId="13650" xr:uid="{00000000-0005-0000-0000-000010430000}"/>
    <cellStyle name="Примечание 6 89 4" xfId="17871" xr:uid="{00000000-0005-0000-0000-000011430000}"/>
    <cellStyle name="Примечание 6 9" xfId="4788" xr:uid="{00000000-0005-0000-0000-000012430000}"/>
    <cellStyle name="Примечание 6 9 2" xfId="9401" xr:uid="{00000000-0005-0000-0000-000013430000}"/>
    <cellStyle name="Примечание 6 9 3" xfId="13651" xr:uid="{00000000-0005-0000-0000-000014430000}"/>
    <cellStyle name="Примечание 6 9 4" xfId="17872" xr:uid="{00000000-0005-0000-0000-000015430000}"/>
    <cellStyle name="Примечание 6 90" xfId="5219" xr:uid="{00000000-0005-0000-0000-000016430000}"/>
    <cellStyle name="Примечание 6 91" xfId="8826" xr:uid="{00000000-0005-0000-0000-000017430000}"/>
    <cellStyle name="Примечание 6 92" xfId="13076" xr:uid="{00000000-0005-0000-0000-000018430000}"/>
    <cellStyle name="Примечание 7" xfId="433" xr:uid="{00000000-0005-0000-0000-000019430000}"/>
    <cellStyle name="Примечание 7 10" xfId="4789" xr:uid="{00000000-0005-0000-0000-00001A430000}"/>
    <cellStyle name="Примечание 7 10 2" xfId="9402" xr:uid="{00000000-0005-0000-0000-00001B430000}"/>
    <cellStyle name="Примечание 7 10 3" xfId="13652" xr:uid="{00000000-0005-0000-0000-00001C430000}"/>
    <cellStyle name="Примечание 7 10 4" xfId="17873" xr:uid="{00000000-0005-0000-0000-00001D430000}"/>
    <cellStyle name="Примечание 7 11" xfId="4790" xr:uid="{00000000-0005-0000-0000-00001E430000}"/>
    <cellStyle name="Примечание 7 11 2" xfId="9403" xr:uid="{00000000-0005-0000-0000-00001F430000}"/>
    <cellStyle name="Примечание 7 11 3" xfId="13653" xr:uid="{00000000-0005-0000-0000-000020430000}"/>
    <cellStyle name="Примечание 7 11 4" xfId="17874" xr:uid="{00000000-0005-0000-0000-000021430000}"/>
    <cellStyle name="Примечание 7 12" xfId="4791" xr:uid="{00000000-0005-0000-0000-000022430000}"/>
    <cellStyle name="Примечание 7 12 2" xfId="9404" xr:uid="{00000000-0005-0000-0000-000023430000}"/>
    <cellStyle name="Примечание 7 12 3" xfId="13654" xr:uid="{00000000-0005-0000-0000-000024430000}"/>
    <cellStyle name="Примечание 7 12 4" xfId="17875" xr:uid="{00000000-0005-0000-0000-000025430000}"/>
    <cellStyle name="Примечание 7 13" xfId="4792" xr:uid="{00000000-0005-0000-0000-000026430000}"/>
    <cellStyle name="Примечание 7 13 2" xfId="9405" xr:uid="{00000000-0005-0000-0000-000027430000}"/>
    <cellStyle name="Примечание 7 13 3" xfId="13655" xr:uid="{00000000-0005-0000-0000-000028430000}"/>
    <cellStyle name="Примечание 7 13 4" xfId="17876" xr:uid="{00000000-0005-0000-0000-000029430000}"/>
    <cellStyle name="Примечание 7 14" xfId="4793" xr:uid="{00000000-0005-0000-0000-00002A430000}"/>
    <cellStyle name="Примечание 7 14 2" xfId="9406" xr:uid="{00000000-0005-0000-0000-00002B430000}"/>
    <cellStyle name="Примечание 7 14 3" xfId="13656" xr:uid="{00000000-0005-0000-0000-00002C430000}"/>
    <cellStyle name="Примечание 7 14 4" xfId="17877" xr:uid="{00000000-0005-0000-0000-00002D430000}"/>
    <cellStyle name="Примечание 7 15" xfId="4794" xr:uid="{00000000-0005-0000-0000-00002E430000}"/>
    <cellStyle name="Примечание 7 15 2" xfId="9407" xr:uid="{00000000-0005-0000-0000-00002F430000}"/>
    <cellStyle name="Примечание 7 15 3" xfId="13657" xr:uid="{00000000-0005-0000-0000-000030430000}"/>
    <cellStyle name="Примечание 7 15 4" xfId="17878" xr:uid="{00000000-0005-0000-0000-000031430000}"/>
    <cellStyle name="Примечание 7 16" xfId="4795" xr:uid="{00000000-0005-0000-0000-000032430000}"/>
    <cellStyle name="Примечание 7 16 2" xfId="9408" xr:uid="{00000000-0005-0000-0000-000033430000}"/>
    <cellStyle name="Примечание 7 16 3" xfId="13658" xr:uid="{00000000-0005-0000-0000-000034430000}"/>
    <cellStyle name="Примечание 7 16 4" xfId="17879" xr:uid="{00000000-0005-0000-0000-000035430000}"/>
    <cellStyle name="Примечание 7 17" xfId="4796" xr:uid="{00000000-0005-0000-0000-000036430000}"/>
    <cellStyle name="Примечание 7 17 2" xfId="9409" xr:uid="{00000000-0005-0000-0000-000037430000}"/>
    <cellStyle name="Примечание 7 17 3" xfId="13659" xr:uid="{00000000-0005-0000-0000-000038430000}"/>
    <cellStyle name="Примечание 7 17 4" xfId="17880" xr:uid="{00000000-0005-0000-0000-000039430000}"/>
    <cellStyle name="Примечание 7 18" xfId="4797" xr:uid="{00000000-0005-0000-0000-00003A430000}"/>
    <cellStyle name="Примечание 7 18 2" xfId="9410" xr:uid="{00000000-0005-0000-0000-00003B430000}"/>
    <cellStyle name="Примечание 7 18 3" xfId="13660" xr:uid="{00000000-0005-0000-0000-00003C430000}"/>
    <cellStyle name="Примечание 7 18 4" xfId="17881" xr:uid="{00000000-0005-0000-0000-00003D430000}"/>
    <cellStyle name="Примечание 7 19" xfId="4798" xr:uid="{00000000-0005-0000-0000-00003E430000}"/>
    <cellStyle name="Примечание 7 19 2" xfId="9411" xr:uid="{00000000-0005-0000-0000-00003F430000}"/>
    <cellStyle name="Примечание 7 19 3" xfId="13661" xr:uid="{00000000-0005-0000-0000-000040430000}"/>
    <cellStyle name="Примечание 7 19 4" xfId="17882" xr:uid="{00000000-0005-0000-0000-000041430000}"/>
    <cellStyle name="Примечание 7 2" xfId="4799" xr:uid="{00000000-0005-0000-0000-000042430000}"/>
    <cellStyle name="Примечание 7 2 2" xfId="4800" xr:uid="{00000000-0005-0000-0000-000043430000}"/>
    <cellStyle name="Примечание 7 2 2 2" xfId="9413" xr:uid="{00000000-0005-0000-0000-000044430000}"/>
    <cellStyle name="Примечание 7 2 2 3" xfId="13663" xr:uid="{00000000-0005-0000-0000-000045430000}"/>
    <cellStyle name="Примечание 7 2 2 4" xfId="17884" xr:uid="{00000000-0005-0000-0000-000046430000}"/>
    <cellStyle name="Примечание 7 2 3" xfId="4801" xr:uid="{00000000-0005-0000-0000-000047430000}"/>
    <cellStyle name="Примечание 7 2 3 2" xfId="9414" xr:uid="{00000000-0005-0000-0000-000048430000}"/>
    <cellStyle name="Примечание 7 2 3 3" xfId="13664" xr:uid="{00000000-0005-0000-0000-000049430000}"/>
    <cellStyle name="Примечание 7 2 3 4" xfId="17885" xr:uid="{00000000-0005-0000-0000-00004A430000}"/>
    <cellStyle name="Примечание 7 2 4" xfId="9412" xr:uid="{00000000-0005-0000-0000-00004B430000}"/>
    <cellStyle name="Примечание 7 2 5" xfId="13662" xr:uid="{00000000-0005-0000-0000-00004C430000}"/>
    <cellStyle name="Примечание 7 2 6" xfId="17883" xr:uid="{00000000-0005-0000-0000-00004D430000}"/>
    <cellStyle name="Примечание 7 20" xfId="4802" xr:uid="{00000000-0005-0000-0000-00004E430000}"/>
    <cellStyle name="Примечание 7 20 2" xfId="9415" xr:uid="{00000000-0005-0000-0000-00004F430000}"/>
    <cellStyle name="Примечание 7 20 3" xfId="13665" xr:uid="{00000000-0005-0000-0000-000050430000}"/>
    <cellStyle name="Примечание 7 20 4" xfId="17886" xr:uid="{00000000-0005-0000-0000-000051430000}"/>
    <cellStyle name="Примечание 7 21" xfId="4803" xr:uid="{00000000-0005-0000-0000-000052430000}"/>
    <cellStyle name="Примечание 7 21 2" xfId="9416" xr:uid="{00000000-0005-0000-0000-000053430000}"/>
    <cellStyle name="Примечание 7 21 3" xfId="13666" xr:uid="{00000000-0005-0000-0000-000054430000}"/>
    <cellStyle name="Примечание 7 21 4" xfId="17887" xr:uid="{00000000-0005-0000-0000-000055430000}"/>
    <cellStyle name="Примечание 7 22" xfId="4804" xr:uid="{00000000-0005-0000-0000-000056430000}"/>
    <cellStyle name="Примечание 7 22 2" xfId="9417" xr:uid="{00000000-0005-0000-0000-000057430000}"/>
    <cellStyle name="Примечание 7 22 3" xfId="13667" xr:uid="{00000000-0005-0000-0000-000058430000}"/>
    <cellStyle name="Примечание 7 22 4" xfId="17888" xr:uid="{00000000-0005-0000-0000-000059430000}"/>
    <cellStyle name="Примечание 7 23" xfId="4805" xr:uid="{00000000-0005-0000-0000-00005A430000}"/>
    <cellStyle name="Примечание 7 23 2" xfId="9418" xr:uid="{00000000-0005-0000-0000-00005B430000}"/>
    <cellStyle name="Примечание 7 23 3" xfId="13668" xr:uid="{00000000-0005-0000-0000-00005C430000}"/>
    <cellStyle name="Примечание 7 23 4" xfId="17889" xr:uid="{00000000-0005-0000-0000-00005D430000}"/>
    <cellStyle name="Примечание 7 24" xfId="4806" xr:uid="{00000000-0005-0000-0000-00005E430000}"/>
    <cellStyle name="Примечание 7 24 2" xfId="9419" xr:uid="{00000000-0005-0000-0000-00005F430000}"/>
    <cellStyle name="Примечание 7 24 3" xfId="13669" xr:uid="{00000000-0005-0000-0000-000060430000}"/>
    <cellStyle name="Примечание 7 24 4" xfId="17890" xr:uid="{00000000-0005-0000-0000-000061430000}"/>
    <cellStyle name="Примечание 7 25" xfId="4807" xr:uid="{00000000-0005-0000-0000-000062430000}"/>
    <cellStyle name="Примечание 7 25 2" xfId="9420" xr:uid="{00000000-0005-0000-0000-000063430000}"/>
    <cellStyle name="Примечание 7 25 3" xfId="13670" xr:uid="{00000000-0005-0000-0000-000064430000}"/>
    <cellStyle name="Примечание 7 25 4" xfId="17891" xr:uid="{00000000-0005-0000-0000-000065430000}"/>
    <cellStyle name="Примечание 7 26" xfId="4808" xr:uid="{00000000-0005-0000-0000-000066430000}"/>
    <cellStyle name="Примечание 7 26 2" xfId="9421" xr:uid="{00000000-0005-0000-0000-000067430000}"/>
    <cellStyle name="Примечание 7 26 3" xfId="13671" xr:uid="{00000000-0005-0000-0000-000068430000}"/>
    <cellStyle name="Примечание 7 26 4" xfId="17892" xr:uid="{00000000-0005-0000-0000-000069430000}"/>
    <cellStyle name="Примечание 7 27" xfId="4809" xr:uid="{00000000-0005-0000-0000-00006A430000}"/>
    <cellStyle name="Примечание 7 27 2" xfId="9422" xr:uid="{00000000-0005-0000-0000-00006B430000}"/>
    <cellStyle name="Примечание 7 27 3" xfId="13672" xr:uid="{00000000-0005-0000-0000-00006C430000}"/>
    <cellStyle name="Примечание 7 27 4" xfId="17893" xr:uid="{00000000-0005-0000-0000-00006D430000}"/>
    <cellStyle name="Примечание 7 28" xfId="4810" xr:uid="{00000000-0005-0000-0000-00006E430000}"/>
    <cellStyle name="Примечание 7 28 2" xfId="9423" xr:uid="{00000000-0005-0000-0000-00006F430000}"/>
    <cellStyle name="Примечание 7 28 3" xfId="13673" xr:uid="{00000000-0005-0000-0000-000070430000}"/>
    <cellStyle name="Примечание 7 28 4" xfId="17894" xr:uid="{00000000-0005-0000-0000-000071430000}"/>
    <cellStyle name="Примечание 7 29" xfId="4811" xr:uid="{00000000-0005-0000-0000-000072430000}"/>
    <cellStyle name="Примечание 7 29 2" xfId="9424" xr:uid="{00000000-0005-0000-0000-000073430000}"/>
    <cellStyle name="Примечание 7 29 3" xfId="13674" xr:uid="{00000000-0005-0000-0000-000074430000}"/>
    <cellStyle name="Примечание 7 29 4" xfId="17895" xr:uid="{00000000-0005-0000-0000-000075430000}"/>
    <cellStyle name="Примечание 7 3" xfId="4812" xr:uid="{00000000-0005-0000-0000-000076430000}"/>
    <cellStyle name="Примечание 7 3 2" xfId="4813" xr:uid="{00000000-0005-0000-0000-000077430000}"/>
    <cellStyle name="Примечание 7 3 2 2" xfId="9426" xr:uid="{00000000-0005-0000-0000-000078430000}"/>
    <cellStyle name="Примечание 7 3 2 3" xfId="13676" xr:uid="{00000000-0005-0000-0000-000079430000}"/>
    <cellStyle name="Примечание 7 3 2 4" xfId="17897" xr:uid="{00000000-0005-0000-0000-00007A430000}"/>
    <cellStyle name="Примечание 7 3 3" xfId="4814" xr:uid="{00000000-0005-0000-0000-00007B430000}"/>
    <cellStyle name="Примечание 7 3 3 2" xfId="9427" xr:uid="{00000000-0005-0000-0000-00007C430000}"/>
    <cellStyle name="Примечание 7 3 3 3" xfId="13677" xr:uid="{00000000-0005-0000-0000-00007D430000}"/>
    <cellStyle name="Примечание 7 3 3 4" xfId="17898" xr:uid="{00000000-0005-0000-0000-00007E430000}"/>
    <cellStyle name="Примечание 7 3 4" xfId="9425" xr:uid="{00000000-0005-0000-0000-00007F430000}"/>
    <cellStyle name="Примечание 7 3 5" xfId="13675" xr:uid="{00000000-0005-0000-0000-000080430000}"/>
    <cellStyle name="Примечание 7 3 6" xfId="17896" xr:uid="{00000000-0005-0000-0000-000081430000}"/>
    <cellStyle name="Примечание 7 30" xfId="4815" xr:uid="{00000000-0005-0000-0000-000082430000}"/>
    <cellStyle name="Примечание 7 30 2" xfId="9428" xr:uid="{00000000-0005-0000-0000-000083430000}"/>
    <cellStyle name="Примечание 7 30 3" xfId="13678" xr:uid="{00000000-0005-0000-0000-000084430000}"/>
    <cellStyle name="Примечание 7 30 4" xfId="17899" xr:uid="{00000000-0005-0000-0000-000085430000}"/>
    <cellStyle name="Примечание 7 31" xfId="4816" xr:uid="{00000000-0005-0000-0000-000086430000}"/>
    <cellStyle name="Примечание 7 31 2" xfId="9429" xr:uid="{00000000-0005-0000-0000-000087430000}"/>
    <cellStyle name="Примечание 7 31 3" xfId="13679" xr:uid="{00000000-0005-0000-0000-000088430000}"/>
    <cellStyle name="Примечание 7 31 4" xfId="17900" xr:uid="{00000000-0005-0000-0000-000089430000}"/>
    <cellStyle name="Примечание 7 32" xfId="4817" xr:uid="{00000000-0005-0000-0000-00008A430000}"/>
    <cellStyle name="Примечание 7 32 2" xfId="9430" xr:uid="{00000000-0005-0000-0000-00008B430000}"/>
    <cellStyle name="Примечание 7 32 3" xfId="13680" xr:uid="{00000000-0005-0000-0000-00008C430000}"/>
    <cellStyle name="Примечание 7 32 4" xfId="17901" xr:uid="{00000000-0005-0000-0000-00008D430000}"/>
    <cellStyle name="Примечание 7 33" xfId="4818" xr:uid="{00000000-0005-0000-0000-00008E430000}"/>
    <cellStyle name="Примечание 7 33 2" xfId="9431" xr:uid="{00000000-0005-0000-0000-00008F430000}"/>
    <cellStyle name="Примечание 7 33 3" xfId="13681" xr:uid="{00000000-0005-0000-0000-000090430000}"/>
    <cellStyle name="Примечание 7 33 4" xfId="17902" xr:uid="{00000000-0005-0000-0000-000091430000}"/>
    <cellStyle name="Примечание 7 34" xfId="4819" xr:uid="{00000000-0005-0000-0000-000092430000}"/>
    <cellStyle name="Примечание 7 34 2" xfId="9432" xr:uid="{00000000-0005-0000-0000-000093430000}"/>
    <cellStyle name="Примечание 7 34 3" xfId="13682" xr:uid="{00000000-0005-0000-0000-000094430000}"/>
    <cellStyle name="Примечание 7 34 4" xfId="17903" xr:uid="{00000000-0005-0000-0000-000095430000}"/>
    <cellStyle name="Примечание 7 35" xfId="4820" xr:uid="{00000000-0005-0000-0000-000096430000}"/>
    <cellStyle name="Примечание 7 35 2" xfId="9433" xr:uid="{00000000-0005-0000-0000-000097430000}"/>
    <cellStyle name="Примечание 7 35 3" xfId="13683" xr:uid="{00000000-0005-0000-0000-000098430000}"/>
    <cellStyle name="Примечание 7 35 4" xfId="17904" xr:uid="{00000000-0005-0000-0000-000099430000}"/>
    <cellStyle name="Примечание 7 36" xfId="4821" xr:uid="{00000000-0005-0000-0000-00009A430000}"/>
    <cellStyle name="Примечание 7 36 2" xfId="9434" xr:uid="{00000000-0005-0000-0000-00009B430000}"/>
    <cellStyle name="Примечание 7 36 3" xfId="13684" xr:uid="{00000000-0005-0000-0000-00009C430000}"/>
    <cellStyle name="Примечание 7 36 4" xfId="17905" xr:uid="{00000000-0005-0000-0000-00009D430000}"/>
    <cellStyle name="Примечание 7 37" xfId="4822" xr:uid="{00000000-0005-0000-0000-00009E430000}"/>
    <cellStyle name="Примечание 7 37 2" xfId="9435" xr:uid="{00000000-0005-0000-0000-00009F430000}"/>
    <cellStyle name="Примечание 7 37 3" xfId="13685" xr:uid="{00000000-0005-0000-0000-0000A0430000}"/>
    <cellStyle name="Примечание 7 37 4" xfId="17906" xr:uid="{00000000-0005-0000-0000-0000A1430000}"/>
    <cellStyle name="Примечание 7 38" xfId="4823" xr:uid="{00000000-0005-0000-0000-0000A2430000}"/>
    <cellStyle name="Примечание 7 38 2" xfId="9436" xr:uid="{00000000-0005-0000-0000-0000A3430000}"/>
    <cellStyle name="Примечание 7 38 3" xfId="13686" xr:uid="{00000000-0005-0000-0000-0000A4430000}"/>
    <cellStyle name="Примечание 7 38 4" xfId="17907" xr:uid="{00000000-0005-0000-0000-0000A5430000}"/>
    <cellStyle name="Примечание 7 39" xfId="4824" xr:uid="{00000000-0005-0000-0000-0000A6430000}"/>
    <cellStyle name="Примечание 7 39 2" xfId="9437" xr:uid="{00000000-0005-0000-0000-0000A7430000}"/>
    <cellStyle name="Примечание 7 39 3" xfId="13687" xr:uid="{00000000-0005-0000-0000-0000A8430000}"/>
    <cellStyle name="Примечание 7 39 4" xfId="17908" xr:uid="{00000000-0005-0000-0000-0000A9430000}"/>
    <cellStyle name="Примечание 7 4" xfId="4825" xr:uid="{00000000-0005-0000-0000-0000AA430000}"/>
    <cellStyle name="Примечание 7 4 2" xfId="4826" xr:uid="{00000000-0005-0000-0000-0000AB430000}"/>
    <cellStyle name="Примечание 7 4 2 2" xfId="9439" xr:uid="{00000000-0005-0000-0000-0000AC430000}"/>
    <cellStyle name="Примечание 7 4 2 3" xfId="13689" xr:uid="{00000000-0005-0000-0000-0000AD430000}"/>
    <cellStyle name="Примечание 7 4 2 4" xfId="17910" xr:uid="{00000000-0005-0000-0000-0000AE430000}"/>
    <cellStyle name="Примечание 7 4 3" xfId="4827" xr:uid="{00000000-0005-0000-0000-0000AF430000}"/>
    <cellStyle name="Примечание 7 4 3 2" xfId="9440" xr:uid="{00000000-0005-0000-0000-0000B0430000}"/>
    <cellStyle name="Примечание 7 4 3 3" xfId="13690" xr:uid="{00000000-0005-0000-0000-0000B1430000}"/>
    <cellStyle name="Примечание 7 4 3 4" xfId="17911" xr:uid="{00000000-0005-0000-0000-0000B2430000}"/>
    <cellStyle name="Примечание 7 4 4" xfId="9438" xr:uid="{00000000-0005-0000-0000-0000B3430000}"/>
    <cellStyle name="Примечание 7 4 5" xfId="13688" xr:uid="{00000000-0005-0000-0000-0000B4430000}"/>
    <cellStyle name="Примечание 7 4 6" xfId="17909" xr:uid="{00000000-0005-0000-0000-0000B5430000}"/>
    <cellStyle name="Примечание 7 40" xfId="4828" xr:uid="{00000000-0005-0000-0000-0000B6430000}"/>
    <cellStyle name="Примечание 7 40 2" xfId="9441" xr:uid="{00000000-0005-0000-0000-0000B7430000}"/>
    <cellStyle name="Примечание 7 40 3" xfId="13691" xr:uid="{00000000-0005-0000-0000-0000B8430000}"/>
    <cellStyle name="Примечание 7 40 4" xfId="17912" xr:uid="{00000000-0005-0000-0000-0000B9430000}"/>
    <cellStyle name="Примечание 7 41" xfId="4829" xr:uid="{00000000-0005-0000-0000-0000BA430000}"/>
    <cellStyle name="Примечание 7 41 2" xfId="9442" xr:uid="{00000000-0005-0000-0000-0000BB430000}"/>
    <cellStyle name="Примечание 7 41 3" xfId="13692" xr:uid="{00000000-0005-0000-0000-0000BC430000}"/>
    <cellStyle name="Примечание 7 41 4" xfId="17913" xr:uid="{00000000-0005-0000-0000-0000BD430000}"/>
    <cellStyle name="Примечание 7 42" xfId="4830" xr:uid="{00000000-0005-0000-0000-0000BE430000}"/>
    <cellStyle name="Примечание 7 42 2" xfId="9443" xr:uid="{00000000-0005-0000-0000-0000BF430000}"/>
    <cellStyle name="Примечание 7 42 3" xfId="13693" xr:uid="{00000000-0005-0000-0000-0000C0430000}"/>
    <cellStyle name="Примечание 7 42 4" xfId="17914" xr:uid="{00000000-0005-0000-0000-0000C1430000}"/>
    <cellStyle name="Примечание 7 43" xfId="4831" xr:uid="{00000000-0005-0000-0000-0000C2430000}"/>
    <cellStyle name="Примечание 7 43 2" xfId="9444" xr:uid="{00000000-0005-0000-0000-0000C3430000}"/>
    <cellStyle name="Примечание 7 43 3" xfId="13694" xr:uid="{00000000-0005-0000-0000-0000C4430000}"/>
    <cellStyle name="Примечание 7 43 4" xfId="17915" xr:uid="{00000000-0005-0000-0000-0000C5430000}"/>
    <cellStyle name="Примечание 7 44" xfId="4832" xr:uid="{00000000-0005-0000-0000-0000C6430000}"/>
    <cellStyle name="Примечание 7 44 2" xfId="9445" xr:uid="{00000000-0005-0000-0000-0000C7430000}"/>
    <cellStyle name="Примечание 7 44 3" xfId="13695" xr:uid="{00000000-0005-0000-0000-0000C8430000}"/>
    <cellStyle name="Примечание 7 44 4" xfId="17916" xr:uid="{00000000-0005-0000-0000-0000C9430000}"/>
    <cellStyle name="Примечание 7 45" xfId="4833" xr:uid="{00000000-0005-0000-0000-0000CA430000}"/>
    <cellStyle name="Примечание 7 45 2" xfId="9446" xr:uid="{00000000-0005-0000-0000-0000CB430000}"/>
    <cellStyle name="Примечание 7 45 3" xfId="13696" xr:uid="{00000000-0005-0000-0000-0000CC430000}"/>
    <cellStyle name="Примечание 7 45 4" xfId="17917" xr:uid="{00000000-0005-0000-0000-0000CD430000}"/>
    <cellStyle name="Примечание 7 46" xfId="4834" xr:uid="{00000000-0005-0000-0000-0000CE430000}"/>
    <cellStyle name="Примечание 7 46 2" xfId="9447" xr:uid="{00000000-0005-0000-0000-0000CF430000}"/>
    <cellStyle name="Примечание 7 46 3" xfId="13697" xr:uid="{00000000-0005-0000-0000-0000D0430000}"/>
    <cellStyle name="Примечание 7 46 4" xfId="17918" xr:uid="{00000000-0005-0000-0000-0000D1430000}"/>
    <cellStyle name="Примечание 7 47" xfId="4835" xr:uid="{00000000-0005-0000-0000-0000D2430000}"/>
    <cellStyle name="Примечание 7 47 2" xfId="9448" xr:uid="{00000000-0005-0000-0000-0000D3430000}"/>
    <cellStyle name="Примечание 7 47 3" xfId="13698" xr:uid="{00000000-0005-0000-0000-0000D4430000}"/>
    <cellStyle name="Примечание 7 47 4" xfId="17919" xr:uid="{00000000-0005-0000-0000-0000D5430000}"/>
    <cellStyle name="Примечание 7 48" xfId="4836" xr:uid="{00000000-0005-0000-0000-0000D6430000}"/>
    <cellStyle name="Примечание 7 48 2" xfId="9449" xr:uid="{00000000-0005-0000-0000-0000D7430000}"/>
    <cellStyle name="Примечание 7 48 3" xfId="13699" xr:uid="{00000000-0005-0000-0000-0000D8430000}"/>
    <cellStyle name="Примечание 7 48 4" xfId="17920" xr:uid="{00000000-0005-0000-0000-0000D9430000}"/>
    <cellStyle name="Примечание 7 49" xfId="4837" xr:uid="{00000000-0005-0000-0000-0000DA430000}"/>
    <cellStyle name="Примечание 7 49 2" xfId="9450" xr:uid="{00000000-0005-0000-0000-0000DB430000}"/>
    <cellStyle name="Примечание 7 49 3" xfId="13700" xr:uid="{00000000-0005-0000-0000-0000DC430000}"/>
    <cellStyle name="Примечание 7 49 4" xfId="17921" xr:uid="{00000000-0005-0000-0000-0000DD430000}"/>
    <cellStyle name="Примечание 7 5" xfId="4838" xr:uid="{00000000-0005-0000-0000-0000DE430000}"/>
    <cellStyle name="Примечание 7 5 2" xfId="9451" xr:uid="{00000000-0005-0000-0000-0000DF430000}"/>
    <cellStyle name="Примечание 7 5 3" xfId="13701" xr:uid="{00000000-0005-0000-0000-0000E0430000}"/>
    <cellStyle name="Примечание 7 5 4" xfId="17922" xr:uid="{00000000-0005-0000-0000-0000E1430000}"/>
    <cellStyle name="Примечание 7 50" xfId="4839" xr:uid="{00000000-0005-0000-0000-0000E2430000}"/>
    <cellStyle name="Примечание 7 50 2" xfId="9452" xr:uid="{00000000-0005-0000-0000-0000E3430000}"/>
    <cellStyle name="Примечание 7 50 3" xfId="13702" xr:uid="{00000000-0005-0000-0000-0000E4430000}"/>
    <cellStyle name="Примечание 7 50 4" xfId="17923" xr:uid="{00000000-0005-0000-0000-0000E5430000}"/>
    <cellStyle name="Примечание 7 51" xfId="4840" xr:uid="{00000000-0005-0000-0000-0000E6430000}"/>
    <cellStyle name="Примечание 7 51 2" xfId="9453" xr:uid="{00000000-0005-0000-0000-0000E7430000}"/>
    <cellStyle name="Примечание 7 51 3" xfId="13703" xr:uid="{00000000-0005-0000-0000-0000E8430000}"/>
    <cellStyle name="Примечание 7 51 4" xfId="17924" xr:uid="{00000000-0005-0000-0000-0000E9430000}"/>
    <cellStyle name="Примечание 7 52" xfId="4841" xr:uid="{00000000-0005-0000-0000-0000EA430000}"/>
    <cellStyle name="Примечание 7 52 2" xfId="9454" xr:uid="{00000000-0005-0000-0000-0000EB430000}"/>
    <cellStyle name="Примечание 7 52 3" xfId="13704" xr:uid="{00000000-0005-0000-0000-0000EC430000}"/>
    <cellStyle name="Примечание 7 52 4" xfId="17925" xr:uid="{00000000-0005-0000-0000-0000ED430000}"/>
    <cellStyle name="Примечание 7 53" xfId="4842" xr:uid="{00000000-0005-0000-0000-0000EE430000}"/>
    <cellStyle name="Примечание 7 53 2" xfId="9455" xr:uid="{00000000-0005-0000-0000-0000EF430000}"/>
    <cellStyle name="Примечание 7 53 3" xfId="13705" xr:uid="{00000000-0005-0000-0000-0000F0430000}"/>
    <cellStyle name="Примечание 7 53 4" xfId="17926" xr:uid="{00000000-0005-0000-0000-0000F1430000}"/>
    <cellStyle name="Примечание 7 54" xfId="4843" xr:uid="{00000000-0005-0000-0000-0000F2430000}"/>
    <cellStyle name="Примечание 7 54 2" xfId="9456" xr:uid="{00000000-0005-0000-0000-0000F3430000}"/>
    <cellStyle name="Примечание 7 54 3" xfId="13706" xr:uid="{00000000-0005-0000-0000-0000F4430000}"/>
    <cellStyle name="Примечание 7 54 4" xfId="17927" xr:uid="{00000000-0005-0000-0000-0000F5430000}"/>
    <cellStyle name="Примечание 7 55" xfId="4844" xr:uid="{00000000-0005-0000-0000-0000F6430000}"/>
    <cellStyle name="Примечание 7 55 2" xfId="9457" xr:uid="{00000000-0005-0000-0000-0000F7430000}"/>
    <cellStyle name="Примечание 7 55 3" xfId="13707" xr:uid="{00000000-0005-0000-0000-0000F8430000}"/>
    <cellStyle name="Примечание 7 55 4" xfId="17928" xr:uid="{00000000-0005-0000-0000-0000F9430000}"/>
    <cellStyle name="Примечание 7 56" xfId="4845" xr:uid="{00000000-0005-0000-0000-0000FA430000}"/>
    <cellStyle name="Примечание 7 56 2" xfId="9458" xr:uid="{00000000-0005-0000-0000-0000FB430000}"/>
    <cellStyle name="Примечание 7 56 3" xfId="13708" xr:uid="{00000000-0005-0000-0000-0000FC430000}"/>
    <cellStyle name="Примечание 7 56 4" xfId="17929" xr:uid="{00000000-0005-0000-0000-0000FD430000}"/>
    <cellStyle name="Примечание 7 57" xfId="4846" xr:uid="{00000000-0005-0000-0000-0000FE430000}"/>
    <cellStyle name="Примечание 7 57 2" xfId="9459" xr:uid="{00000000-0005-0000-0000-0000FF430000}"/>
    <cellStyle name="Примечание 7 57 3" xfId="13709" xr:uid="{00000000-0005-0000-0000-000000440000}"/>
    <cellStyle name="Примечание 7 57 4" xfId="17930" xr:uid="{00000000-0005-0000-0000-000001440000}"/>
    <cellStyle name="Примечание 7 58" xfId="4847" xr:uid="{00000000-0005-0000-0000-000002440000}"/>
    <cellStyle name="Примечание 7 58 2" xfId="9460" xr:uid="{00000000-0005-0000-0000-000003440000}"/>
    <cellStyle name="Примечание 7 58 3" xfId="13710" xr:uid="{00000000-0005-0000-0000-000004440000}"/>
    <cellStyle name="Примечание 7 58 4" xfId="17931" xr:uid="{00000000-0005-0000-0000-000005440000}"/>
    <cellStyle name="Примечание 7 59" xfId="4848" xr:uid="{00000000-0005-0000-0000-000006440000}"/>
    <cellStyle name="Примечание 7 59 2" xfId="9461" xr:uid="{00000000-0005-0000-0000-000007440000}"/>
    <cellStyle name="Примечание 7 59 3" xfId="13711" xr:uid="{00000000-0005-0000-0000-000008440000}"/>
    <cellStyle name="Примечание 7 59 4" xfId="17932" xr:uid="{00000000-0005-0000-0000-000009440000}"/>
    <cellStyle name="Примечание 7 6" xfId="4849" xr:uid="{00000000-0005-0000-0000-00000A440000}"/>
    <cellStyle name="Примечание 7 6 2" xfId="9462" xr:uid="{00000000-0005-0000-0000-00000B440000}"/>
    <cellStyle name="Примечание 7 6 3" xfId="13712" xr:uid="{00000000-0005-0000-0000-00000C440000}"/>
    <cellStyle name="Примечание 7 6 4" xfId="17933" xr:uid="{00000000-0005-0000-0000-00000D440000}"/>
    <cellStyle name="Примечание 7 60" xfId="4850" xr:uid="{00000000-0005-0000-0000-00000E440000}"/>
    <cellStyle name="Примечание 7 60 2" xfId="9463" xr:uid="{00000000-0005-0000-0000-00000F440000}"/>
    <cellStyle name="Примечание 7 60 3" xfId="13713" xr:uid="{00000000-0005-0000-0000-000010440000}"/>
    <cellStyle name="Примечание 7 60 4" xfId="17934" xr:uid="{00000000-0005-0000-0000-000011440000}"/>
    <cellStyle name="Примечание 7 61" xfId="4851" xr:uid="{00000000-0005-0000-0000-000012440000}"/>
    <cellStyle name="Примечание 7 61 2" xfId="9464" xr:uid="{00000000-0005-0000-0000-000013440000}"/>
    <cellStyle name="Примечание 7 61 3" xfId="13714" xr:uid="{00000000-0005-0000-0000-000014440000}"/>
    <cellStyle name="Примечание 7 61 4" xfId="17935" xr:uid="{00000000-0005-0000-0000-000015440000}"/>
    <cellStyle name="Примечание 7 62" xfId="4852" xr:uid="{00000000-0005-0000-0000-000016440000}"/>
    <cellStyle name="Примечание 7 62 2" xfId="9465" xr:uid="{00000000-0005-0000-0000-000017440000}"/>
    <cellStyle name="Примечание 7 62 3" xfId="13715" xr:uid="{00000000-0005-0000-0000-000018440000}"/>
    <cellStyle name="Примечание 7 62 4" xfId="17936" xr:uid="{00000000-0005-0000-0000-000019440000}"/>
    <cellStyle name="Примечание 7 63" xfId="4853" xr:uid="{00000000-0005-0000-0000-00001A440000}"/>
    <cellStyle name="Примечание 7 63 2" xfId="9466" xr:uid="{00000000-0005-0000-0000-00001B440000}"/>
    <cellStyle name="Примечание 7 63 3" xfId="13716" xr:uid="{00000000-0005-0000-0000-00001C440000}"/>
    <cellStyle name="Примечание 7 63 4" xfId="17937" xr:uid="{00000000-0005-0000-0000-00001D440000}"/>
    <cellStyle name="Примечание 7 64" xfId="4854" xr:uid="{00000000-0005-0000-0000-00001E440000}"/>
    <cellStyle name="Примечание 7 64 2" xfId="9467" xr:uid="{00000000-0005-0000-0000-00001F440000}"/>
    <cellStyle name="Примечание 7 64 3" xfId="13717" xr:uid="{00000000-0005-0000-0000-000020440000}"/>
    <cellStyle name="Примечание 7 64 4" xfId="17938" xr:uid="{00000000-0005-0000-0000-000021440000}"/>
    <cellStyle name="Примечание 7 65" xfId="4855" xr:uid="{00000000-0005-0000-0000-000022440000}"/>
    <cellStyle name="Примечание 7 65 2" xfId="9468" xr:uid="{00000000-0005-0000-0000-000023440000}"/>
    <cellStyle name="Примечание 7 65 3" xfId="13718" xr:uid="{00000000-0005-0000-0000-000024440000}"/>
    <cellStyle name="Примечание 7 65 4" xfId="17939" xr:uid="{00000000-0005-0000-0000-000025440000}"/>
    <cellStyle name="Примечание 7 66" xfId="4856" xr:uid="{00000000-0005-0000-0000-000026440000}"/>
    <cellStyle name="Примечание 7 66 2" xfId="9469" xr:uid="{00000000-0005-0000-0000-000027440000}"/>
    <cellStyle name="Примечание 7 66 3" xfId="13719" xr:uid="{00000000-0005-0000-0000-000028440000}"/>
    <cellStyle name="Примечание 7 66 4" xfId="17940" xr:uid="{00000000-0005-0000-0000-000029440000}"/>
    <cellStyle name="Примечание 7 67" xfId="4857" xr:uid="{00000000-0005-0000-0000-00002A440000}"/>
    <cellStyle name="Примечание 7 67 2" xfId="9470" xr:uid="{00000000-0005-0000-0000-00002B440000}"/>
    <cellStyle name="Примечание 7 67 3" xfId="13720" xr:uid="{00000000-0005-0000-0000-00002C440000}"/>
    <cellStyle name="Примечание 7 67 4" xfId="17941" xr:uid="{00000000-0005-0000-0000-00002D440000}"/>
    <cellStyle name="Примечание 7 68" xfId="4858" xr:uid="{00000000-0005-0000-0000-00002E440000}"/>
    <cellStyle name="Примечание 7 68 2" xfId="9471" xr:uid="{00000000-0005-0000-0000-00002F440000}"/>
    <cellStyle name="Примечание 7 68 3" xfId="13721" xr:uid="{00000000-0005-0000-0000-000030440000}"/>
    <cellStyle name="Примечание 7 68 4" xfId="17942" xr:uid="{00000000-0005-0000-0000-000031440000}"/>
    <cellStyle name="Примечание 7 69" xfId="4859" xr:uid="{00000000-0005-0000-0000-000032440000}"/>
    <cellStyle name="Примечание 7 69 2" xfId="9472" xr:uid="{00000000-0005-0000-0000-000033440000}"/>
    <cellStyle name="Примечание 7 69 3" xfId="13722" xr:uid="{00000000-0005-0000-0000-000034440000}"/>
    <cellStyle name="Примечание 7 69 4" xfId="17943" xr:uid="{00000000-0005-0000-0000-000035440000}"/>
    <cellStyle name="Примечание 7 7" xfId="4860" xr:uid="{00000000-0005-0000-0000-000036440000}"/>
    <cellStyle name="Примечание 7 7 2" xfId="9473" xr:uid="{00000000-0005-0000-0000-000037440000}"/>
    <cellStyle name="Примечание 7 7 3" xfId="13723" xr:uid="{00000000-0005-0000-0000-000038440000}"/>
    <cellStyle name="Примечание 7 7 4" xfId="17944" xr:uid="{00000000-0005-0000-0000-000039440000}"/>
    <cellStyle name="Примечание 7 70" xfId="4861" xr:uid="{00000000-0005-0000-0000-00003A440000}"/>
    <cellStyle name="Примечание 7 70 2" xfId="9474" xr:uid="{00000000-0005-0000-0000-00003B440000}"/>
    <cellStyle name="Примечание 7 70 3" xfId="13724" xr:uid="{00000000-0005-0000-0000-00003C440000}"/>
    <cellStyle name="Примечание 7 70 4" xfId="17945" xr:uid="{00000000-0005-0000-0000-00003D440000}"/>
    <cellStyle name="Примечание 7 71" xfId="4862" xr:uid="{00000000-0005-0000-0000-00003E440000}"/>
    <cellStyle name="Примечание 7 71 2" xfId="9475" xr:uid="{00000000-0005-0000-0000-00003F440000}"/>
    <cellStyle name="Примечание 7 71 3" xfId="13725" xr:uid="{00000000-0005-0000-0000-000040440000}"/>
    <cellStyle name="Примечание 7 71 4" xfId="17946" xr:uid="{00000000-0005-0000-0000-000041440000}"/>
    <cellStyle name="Примечание 7 72" xfId="4863" xr:uid="{00000000-0005-0000-0000-000042440000}"/>
    <cellStyle name="Примечание 7 72 2" xfId="9476" xr:uid="{00000000-0005-0000-0000-000043440000}"/>
    <cellStyle name="Примечание 7 72 3" xfId="13726" xr:uid="{00000000-0005-0000-0000-000044440000}"/>
    <cellStyle name="Примечание 7 72 4" xfId="17947" xr:uid="{00000000-0005-0000-0000-000045440000}"/>
    <cellStyle name="Примечание 7 73" xfId="4864" xr:uid="{00000000-0005-0000-0000-000046440000}"/>
    <cellStyle name="Примечание 7 73 2" xfId="9477" xr:uid="{00000000-0005-0000-0000-000047440000}"/>
    <cellStyle name="Примечание 7 73 3" xfId="13727" xr:uid="{00000000-0005-0000-0000-000048440000}"/>
    <cellStyle name="Примечание 7 73 4" xfId="17948" xr:uid="{00000000-0005-0000-0000-000049440000}"/>
    <cellStyle name="Примечание 7 74" xfId="4865" xr:uid="{00000000-0005-0000-0000-00004A440000}"/>
    <cellStyle name="Примечание 7 74 2" xfId="9478" xr:uid="{00000000-0005-0000-0000-00004B440000}"/>
    <cellStyle name="Примечание 7 74 3" xfId="13728" xr:uid="{00000000-0005-0000-0000-00004C440000}"/>
    <cellStyle name="Примечание 7 74 4" xfId="17949" xr:uid="{00000000-0005-0000-0000-00004D440000}"/>
    <cellStyle name="Примечание 7 75" xfId="4866" xr:uid="{00000000-0005-0000-0000-00004E440000}"/>
    <cellStyle name="Примечание 7 75 2" xfId="9479" xr:uid="{00000000-0005-0000-0000-00004F440000}"/>
    <cellStyle name="Примечание 7 75 3" xfId="13729" xr:uid="{00000000-0005-0000-0000-000050440000}"/>
    <cellStyle name="Примечание 7 75 4" xfId="17950" xr:uid="{00000000-0005-0000-0000-000051440000}"/>
    <cellStyle name="Примечание 7 76" xfId="4867" xr:uid="{00000000-0005-0000-0000-000052440000}"/>
    <cellStyle name="Примечание 7 76 2" xfId="9480" xr:uid="{00000000-0005-0000-0000-000053440000}"/>
    <cellStyle name="Примечание 7 76 3" xfId="13730" xr:uid="{00000000-0005-0000-0000-000054440000}"/>
    <cellStyle name="Примечание 7 76 4" xfId="17951" xr:uid="{00000000-0005-0000-0000-000055440000}"/>
    <cellStyle name="Примечание 7 77" xfId="4868" xr:uid="{00000000-0005-0000-0000-000056440000}"/>
    <cellStyle name="Примечание 7 77 2" xfId="9481" xr:uid="{00000000-0005-0000-0000-000057440000}"/>
    <cellStyle name="Примечание 7 77 3" xfId="13731" xr:uid="{00000000-0005-0000-0000-000058440000}"/>
    <cellStyle name="Примечание 7 77 4" xfId="17952" xr:uid="{00000000-0005-0000-0000-000059440000}"/>
    <cellStyle name="Примечание 7 78" xfId="4869" xr:uid="{00000000-0005-0000-0000-00005A440000}"/>
    <cellStyle name="Примечание 7 78 2" xfId="9482" xr:uid="{00000000-0005-0000-0000-00005B440000}"/>
    <cellStyle name="Примечание 7 78 3" xfId="13732" xr:uid="{00000000-0005-0000-0000-00005C440000}"/>
    <cellStyle name="Примечание 7 78 4" xfId="17953" xr:uid="{00000000-0005-0000-0000-00005D440000}"/>
    <cellStyle name="Примечание 7 79" xfId="4870" xr:uid="{00000000-0005-0000-0000-00005E440000}"/>
    <cellStyle name="Примечание 7 79 2" xfId="9483" xr:uid="{00000000-0005-0000-0000-00005F440000}"/>
    <cellStyle name="Примечание 7 79 3" xfId="13733" xr:uid="{00000000-0005-0000-0000-000060440000}"/>
    <cellStyle name="Примечание 7 79 4" xfId="17954" xr:uid="{00000000-0005-0000-0000-000061440000}"/>
    <cellStyle name="Примечание 7 8" xfId="4871" xr:uid="{00000000-0005-0000-0000-000062440000}"/>
    <cellStyle name="Примечание 7 8 2" xfId="9484" xr:uid="{00000000-0005-0000-0000-000063440000}"/>
    <cellStyle name="Примечание 7 8 3" xfId="13734" xr:uid="{00000000-0005-0000-0000-000064440000}"/>
    <cellStyle name="Примечание 7 8 4" xfId="17955" xr:uid="{00000000-0005-0000-0000-000065440000}"/>
    <cellStyle name="Примечание 7 80" xfId="4872" xr:uid="{00000000-0005-0000-0000-000066440000}"/>
    <cellStyle name="Примечание 7 80 2" xfId="9485" xr:uid="{00000000-0005-0000-0000-000067440000}"/>
    <cellStyle name="Примечание 7 80 3" xfId="13735" xr:uid="{00000000-0005-0000-0000-000068440000}"/>
    <cellStyle name="Примечание 7 80 4" xfId="17956" xr:uid="{00000000-0005-0000-0000-000069440000}"/>
    <cellStyle name="Примечание 7 81" xfId="4873" xr:uid="{00000000-0005-0000-0000-00006A440000}"/>
    <cellStyle name="Примечание 7 81 2" xfId="9486" xr:uid="{00000000-0005-0000-0000-00006B440000}"/>
    <cellStyle name="Примечание 7 81 3" xfId="13736" xr:uid="{00000000-0005-0000-0000-00006C440000}"/>
    <cellStyle name="Примечание 7 81 4" xfId="17957" xr:uid="{00000000-0005-0000-0000-00006D440000}"/>
    <cellStyle name="Примечание 7 82" xfId="4874" xr:uid="{00000000-0005-0000-0000-00006E440000}"/>
    <cellStyle name="Примечание 7 82 2" xfId="9487" xr:uid="{00000000-0005-0000-0000-00006F440000}"/>
    <cellStyle name="Примечание 7 82 3" xfId="13737" xr:uid="{00000000-0005-0000-0000-000070440000}"/>
    <cellStyle name="Примечание 7 82 4" xfId="17958" xr:uid="{00000000-0005-0000-0000-000071440000}"/>
    <cellStyle name="Примечание 7 83" xfId="4875" xr:uid="{00000000-0005-0000-0000-000072440000}"/>
    <cellStyle name="Примечание 7 83 2" xfId="9488" xr:uid="{00000000-0005-0000-0000-000073440000}"/>
    <cellStyle name="Примечание 7 83 3" xfId="13738" xr:uid="{00000000-0005-0000-0000-000074440000}"/>
    <cellStyle name="Примечание 7 83 4" xfId="17959" xr:uid="{00000000-0005-0000-0000-000075440000}"/>
    <cellStyle name="Примечание 7 84" xfId="4876" xr:uid="{00000000-0005-0000-0000-000076440000}"/>
    <cellStyle name="Примечание 7 84 2" xfId="9489" xr:uid="{00000000-0005-0000-0000-000077440000}"/>
    <cellStyle name="Примечание 7 84 3" xfId="13739" xr:uid="{00000000-0005-0000-0000-000078440000}"/>
    <cellStyle name="Примечание 7 84 4" xfId="17960" xr:uid="{00000000-0005-0000-0000-000079440000}"/>
    <cellStyle name="Примечание 7 85" xfId="4877" xr:uid="{00000000-0005-0000-0000-00007A440000}"/>
    <cellStyle name="Примечание 7 85 2" xfId="9490" xr:uid="{00000000-0005-0000-0000-00007B440000}"/>
    <cellStyle name="Примечание 7 85 3" xfId="13740" xr:uid="{00000000-0005-0000-0000-00007C440000}"/>
    <cellStyle name="Примечание 7 85 4" xfId="17961" xr:uid="{00000000-0005-0000-0000-00007D440000}"/>
    <cellStyle name="Примечание 7 86" xfId="4878" xr:uid="{00000000-0005-0000-0000-00007E440000}"/>
    <cellStyle name="Примечание 7 86 2" xfId="9491" xr:uid="{00000000-0005-0000-0000-00007F440000}"/>
    <cellStyle name="Примечание 7 86 3" xfId="13741" xr:uid="{00000000-0005-0000-0000-000080440000}"/>
    <cellStyle name="Примечание 7 86 4" xfId="17962" xr:uid="{00000000-0005-0000-0000-000081440000}"/>
    <cellStyle name="Примечание 7 87" xfId="4879" xr:uid="{00000000-0005-0000-0000-000082440000}"/>
    <cellStyle name="Примечание 7 87 2" xfId="9492" xr:uid="{00000000-0005-0000-0000-000083440000}"/>
    <cellStyle name="Примечание 7 87 3" xfId="13742" xr:uid="{00000000-0005-0000-0000-000084440000}"/>
    <cellStyle name="Примечание 7 87 4" xfId="17963" xr:uid="{00000000-0005-0000-0000-000085440000}"/>
    <cellStyle name="Примечание 7 88" xfId="4880" xr:uid="{00000000-0005-0000-0000-000086440000}"/>
    <cellStyle name="Примечание 7 88 2" xfId="9493" xr:uid="{00000000-0005-0000-0000-000087440000}"/>
    <cellStyle name="Примечание 7 88 3" xfId="13743" xr:uid="{00000000-0005-0000-0000-000088440000}"/>
    <cellStyle name="Примечание 7 88 4" xfId="17964" xr:uid="{00000000-0005-0000-0000-000089440000}"/>
    <cellStyle name="Примечание 7 89" xfId="4881" xr:uid="{00000000-0005-0000-0000-00008A440000}"/>
    <cellStyle name="Примечание 7 89 2" xfId="9494" xr:uid="{00000000-0005-0000-0000-00008B440000}"/>
    <cellStyle name="Примечание 7 89 3" xfId="13744" xr:uid="{00000000-0005-0000-0000-00008C440000}"/>
    <cellStyle name="Примечание 7 89 4" xfId="17965" xr:uid="{00000000-0005-0000-0000-00008D440000}"/>
    <cellStyle name="Примечание 7 9" xfId="4882" xr:uid="{00000000-0005-0000-0000-00008E440000}"/>
    <cellStyle name="Примечание 7 9 2" xfId="9495" xr:uid="{00000000-0005-0000-0000-00008F440000}"/>
    <cellStyle name="Примечание 7 9 3" xfId="13745" xr:uid="{00000000-0005-0000-0000-000090440000}"/>
    <cellStyle name="Примечание 7 9 4" xfId="17966" xr:uid="{00000000-0005-0000-0000-000091440000}"/>
    <cellStyle name="Примечание 7 90" xfId="5220" xr:uid="{00000000-0005-0000-0000-000092440000}"/>
    <cellStyle name="Примечание 7 91" xfId="8825" xr:uid="{00000000-0005-0000-0000-000093440000}"/>
    <cellStyle name="Примечание 7 92" xfId="13075" xr:uid="{00000000-0005-0000-0000-000094440000}"/>
    <cellStyle name="Примечание 8" xfId="434" xr:uid="{00000000-0005-0000-0000-000095440000}"/>
    <cellStyle name="Примечание 8 10" xfId="4883" xr:uid="{00000000-0005-0000-0000-000096440000}"/>
    <cellStyle name="Примечание 8 10 2" xfId="9496" xr:uid="{00000000-0005-0000-0000-000097440000}"/>
    <cellStyle name="Примечание 8 10 3" xfId="13746" xr:uid="{00000000-0005-0000-0000-000098440000}"/>
    <cellStyle name="Примечание 8 10 4" xfId="17967" xr:uid="{00000000-0005-0000-0000-000099440000}"/>
    <cellStyle name="Примечание 8 11" xfId="4884" xr:uid="{00000000-0005-0000-0000-00009A440000}"/>
    <cellStyle name="Примечание 8 11 2" xfId="9497" xr:uid="{00000000-0005-0000-0000-00009B440000}"/>
    <cellStyle name="Примечание 8 11 3" xfId="13747" xr:uid="{00000000-0005-0000-0000-00009C440000}"/>
    <cellStyle name="Примечание 8 11 4" xfId="17968" xr:uid="{00000000-0005-0000-0000-00009D440000}"/>
    <cellStyle name="Примечание 8 12" xfId="4885" xr:uid="{00000000-0005-0000-0000-00009E440000}"/>
    <cellStyle name="Примечание 8 12 2" xfId="9498" xr:uid="{00000000-0005-0000-0000-00009F440000}"/>
    <cellStyle name="Примечание 8 12 3" xfId="13748" xr:uid="{00000000-0005-0000-0000-0000A0440000}"/>
    <cellStyle name="Примечание 8 12 4" xfId="17969" xr:uid="{00000000-0005-0000-0000-0000A1440000}"/>
    <cellStyle name="Примечание 8 13" xfId="4886" xr:uid="{00000000-0005-0000-0000-0000A2440000}"/>
    <cellStyle name="Примечание 8 13 2" xfId="9499" xr:uid="{00000000-0005-0000-0000-0000A3440000}"/>
    <cellStyle name="Примечание 8 13 3" xfId="13749" xr:uid="{00000000-0005-0000-0000-0000A4440000}"/>
    <cellStyle name="Примечание 8 13 4" xfId="17970" xr:uid="{00000000-0005-0000-0000-0000A5440000}"/>
    <cellStyle name="Примечание 8 14" xfId="4887" xr:uid="{00000000-0005-0000-0000-0000A6440000}"/>
    <cellStyle name="Примечание 8 14 2" xfId="9500" xr:uid="{00000000-0005-0000-0000-0000A7440000}"/>
    <cellStyle name="Примечание 8 14 3" xfId="13750" xr:uid="{00000000-0005-0000-0000-0000A8440000}"/>
    <cellStyle name="Примечание 8 14 4" xfId="17971" xr:uid="{00000000-0005-0000-0000-0000A9440000}"/>
    <cellStyle name="Примечание 8 15" xfId="4888" xr:uid="{00000000-0005-0000-0000-0000AA440000}"/>
    <cellStyle name="Примечание 8 15 2" xfId="9501" xr:uid="{00000000-0005-0000-0000-0000AB440000}"/>
    <cellStyle name="Примечание 8 15 3" xfId="13751" xr:uid="{00000000-0005-0000-0000-0000AC440000}"/>
    <cellStyle name="Примечание 8 15 4" xfId="17972" xr:uid="{00000000-0005-0000-0000-0000AD440000}"/>
    <cellStyle name="Примечание 8 16" xfId="4889" xr:uid="{00000000-0005-0000-0000-0000AE440000}"/>
    <cellStyle name="Примечание 8 16 2" xfId="9502" xr:uid="{00000000-0005-0000-0000-0000AF440000}"/>
    <cellStyle name="Примечание 8 16 3" xfId="13752" xr:uid="{00000000-0005-0000-0000-0000B0440000}"/>
    <cellStyle name="Примечание 8 16 4" xfId="17973" xr:uid="{00000000-0005-0000-0000-0000B1440000}"/>
    <cellStyle name="Примечание 8 17" xfId="4890" xr:uid="{00000000-0005-0000-0000-0000B2440000}"/>
    <cellStyle name="Примечание 8 17 2" xfId="9503" xr:uid="{00000000-0005-0000-0000-0000B3440000}"/>
    <cellStyle name="Примечание 8 17 3" xfId="13753" xr:uid="{00000000-0005-0000-0000-0000B4440000}"/>
    <cellStyle name="Примечание 8 17 4" xfId="17974" xr:uid="{00000000-0005-0000-0000-0000B5440000}"/>
    <cellStyle name="Примечание 8 18" xfId="4891" xr:uid="{00000000-0005-0000-0000-0000B6440000}"/>
    <cellStyle name="Примечание 8 18 2" xfId="9504" xr:uid="{00000000-0005-0000-0000-0000B7440000}"/>
    <cellStyle name="Примечание 8 18 3" xfId="13754" xr:uid="{00000000-0005-0000-0000-0000B8440000}"/>
    <cellStyle name="Примечание 8 18 4" xfId="17975" xr:uid="{00000000-0005-0000-0000-0000B9440000}"/>
    <cellStyle name="Примечание 8 19" xfId="4892" xr:uid="{00000000-0005-0000-0000-0000BA440000}"/>
    <cellStyle name="Примечание 8 19 2" xfId="9505" xr:uid="{00000000-0005-0000-0000-0000BB440000}"/>
    <cellStyle name="Примечание 8 19 3" xfId="13755" xr:uid="{00000000-0005-0000-0000-0000BC440000}"/>
    <cellStyle name="Примечание 8 19 4" xfId="17976" xr:uid="{00000000-0005-0000-0000-0000BD440000}"/>
    <cellStyle name="Примечание 8 2" xfId="4893" xr:uid="{00000000-0005-0000-0000-0000BE440000}"/>
    <cellStyle name="Примечание 8 2 2" xfId="4894" xr:uid="{00000000-0005-0000-0000-0000BF440000}"/>
    <cellStyle name="Примечание 8 2 2 2" xfId="9507" xr:uid="{00000000-0005-0000-0000-0000C0440000}"/>
    <cellStyle name="Примечание 8 2 2 3" xfId="13757" xr:uid="{00000000-0005-0000-0000-0000C1440000}"/>
    <cellStyle name="Примечание 8 2 2 4" xfId="17978" xr:uid="{00000000-0005-0000-0000-0000C2440000}"/>
    <cellStyle name="Примечание 8 2 3" xfId="4895" xr:uid="{00000000-0005-0000-0000-0000C3440000}"/>
    <cellStyle name="Примечание 8 2 3 2" xfId="9508" xr:uid="{00000000-0005-0000-0000-0000C4440000}"/>
    <cellStyle name="Примечание 8 2 3 3" xfId="13758" xr:uid="{00000000-0005-0000-0000-0000C5440000}"/>
    <cellStyle name="Примечание 8 2 3 4" xfId="17979" xr:uid="{00000000-0005-0000-0000-0000C6440000}"/>
    <cellStyle name="Примечание 8 2 4" xfId="9506" xr:uid="{00000000-0005-0000-0000-0000C7440000}"/>
    <cellStyle name="Примечание 8 2 5" xfId="13756" xr:uid="{00000000-0005-0000-0000-0000C8440000}"/>
    <cellStyle name="Примечание 8 2 6" xfId="17977" xr:uid="{00000000-0005-0000-0000-0000C9440000}"/>
    <cellStyle name="Примечание 8 20" xfId="4896" xr:uid="{00000000-0005-0000-0000-0000CA440000}"/>
    <cellStyle name="Примечание 8 20 2" xfId="9509" xr:uid="{00000000-0005-0000-0000-0000CB440000}"/>
    <cellStyle name="Примечание 8 20 3" xfId="13759" xr:uid="{00000000-0005-0000-0000-0000CC440000}"/>
    <cellStyle name="Примечание 8 20 4" xfId="17980" xr:uid="{00000000-0005-0000-0000-0000CD440000}"/>
    <cellStyle name="Примечание 8 21" xfId="4897" xr:uid="{00000000-0005-0000-0000-0000CE440000}"/>
    <cellStyle name="Примечание 8 21 2" xfId="9510" xr:uid="{00000000-0005-0000-0000-0000CF440000}"/>
    <cellStyle name="Примечание 8 21 3" xfId="13760" xr:uid="{00000000-0005-0000-0000-0000D0440000}"/>
    <cellStyle name="Примечание 8 21 4" xfId="17981" xr:uid="{00000000-0005-0000-0000-0000D1440000}"/>
    <cellStyle name="Примечание 8 22" xfId="4898" xr:uid="{00000000-0005-0000-0000-0000D2440000}"/>
    <cellStyle name="Примечание 8 22 2" xfId="9511" xr:uid="{00000000-0005-0000-0000-0000D3440000}"/>
    <cellStyle name="Примечание 8 22 3" xfId="13761" xr:uid="{00000000-0005-0000-0000-0000D4440000}"/>
    <cellStyle name="Примечание 8 22 4" xfId="17982" xr:uid="{00000000-0005-0000-0000-0000D5440000}"/>
    <cellStyle name="Примечание 8 23" xfId="4899" xr:uid="{00000000-0005-0000-0000-0000D6440000}"/>
    <cellStyle name="Примечание 8 23 2" xfId="9512" xr:uid="{00000000-0005-0000-0000-0000D7440000}"/>
    <cellStyle name="Примечание 8 23 3" xfId="13762" xr:uid="{00000000-0005-0000-0000-0000D8440000}"/>
    <cellStyle name="Примечание 8 23 4" xfId="17983" xr:uid="{00000000-0005-0000-0000-0000D9440000}"/>
    <cellStyle name="Примечание 8 24" xfId="4900" xr:uid="{00000000-0005-0000-0000-0000DA440000}"/>
    <cellStyle name="Примечание 8 24 2" xfId="9513" xr:uid="{00000000-0005-0000-0000-0000DB440000}"/>
    <cellStyle name="Примечание 8 24 3" xfId="13763" xr:uid="{00000000-0005-0000-0000-0000DC440000}"/>
    <cellStyle name="Примечание 8 24 4" xfId="17984" xr:uid="{00000000-0005-0000-0000-0000DD440000}"/>
    <cellStyle name="Примечание 8 25" xfId="4901" xr:uid="{00000000-0005-0000-0000-0000DE440000}"/>
    <cellStyle name="Примечание 8 25 2" xfId="9514" xr:uid="{00000000-0005-0000-0000-0000DF440000}"/>
    <cellStyle name="Примечание 8 25 3" xfId="13764" xr:uid="{00000000-0005-0000-0000-0000E0440000}"/>
    <cellStyle name="Примечание 8 25 4" xfId="17985" xr:uid="{00000000-0005-0000-0000-0000E1440000}"/>
    <cellStyle name="Примечание 8 26" xfId="4902" xr:uid="{00000000-0005-0000-0000-0000E2440000}"/>
    <cellStyle name="Примечание 8 26 2" xfId="9515" xr:uid="{00000000-0005-0000-0000-0000E3440000}"/>
    <cellStyle name="Примечание 8 26 3" xfId="13765" xr:uid="{00000000-0005-0000-0000-0000E4440000}"/>
    <cellStyle name="Примечание 8 26 4" xfId="17986" xr:uid="{00000000-0005-0000-0000-0000E5440000}"/>
    <cellStyle name="Примечание 8 27" xfId="4903" xr:uid="{00000000-0005-0000-0000-0000E6440000}"/>
    <cellStyle name="Примечание 8 27 2" xfId="9516" xr:uid="{00000000-0005-0000-0000-0000E7440000}"/>
    <cellStyle name="Примечание 8 27 3" xfId="13766" xr:uid="{00000000-0005-0000-0000-0000E8440000}"/>
    <cellStyle name="Примечание 8 27 4" xfId="17987" xr:uid="{00000000-0005-0000-0000-0000E9440000}"/>
    <cellStyle name="Примечание 8 28" xfId="4904" xr:uid="{00000000-0005-0000-0000-0000EA440000}"/>
    <cellStyle name="Примечание 8 28 2" xfId="9517" xr:uid="{00000000-0005-0000-0000-0000EB440000}"/>
    <cellStyle name="Примечание 8 28 3" xfId="13767" xr:uid="{00000000-0005-0000-0000-0000EC440000}"/>
    <cellStyle name="Примечание 8 28 4" xfId="17988" xr:uid="{00000000-0005-0000-0000-0000ED440000}"/>
    <cellStyle name="Примечание 8 29" xfId="4905" xr:uid="{00000000-0005-0000-0000-0000EE440000}"/>
    <cellStyle name="Примечание 8 29 2" xfId="9518" xr:uid="{00000000-0005-0000-0000-0000EF440000}"/>
    <cellStyle name="Примечание 8 29 3" xfId="13768" xr:uid="{00000000-0005-0000-0000-0000F0440000}"/>
    <cellStyle name="Примечание 8 29 4" xfId="17989" xr:uid="{00000000-0005-0000-0000-0000F1440000}"/>
    <cellStyle name="Примечание 8 3" xfId="4906" xr:uid="{00000000-0005-0000-0000-0000F2440000}"/>
    <cellStyle name="Примечание 8 3 2" xfId="4907" xr:uid="{00000000-0005-0000-0000-0000F3440000}"/>
    <cellStyle name="Примечание 8 3 2 2" xfId="9520" xr:uid="{00000000-0005-0000-0000-0000F4440000}"/>
    <cellStyle name="Примечание 8 3 2 3" xfId="13770" xr:uid="{00000000-0005-0000-0000-0000F5440000}"/>
    <cellStyle name="Примечание 8 3 2 4" xfId="17991" xr:uid="{00000000-0005-0000-0000-0000F6440000}"/>
    <cellStyle name="Примечание 8 3 3" xfId="4908" xr:uid="{00000000-0005-0000-0000-0000F7440000}"/>
    <cellStyle name="Примечание 8 3 3 2" xfId="9521" xr:uid="{00000000-0005-0000-0000-0000F8440000}"/>
    <cellStyle name="Примечание 8 3 3 3" xfId="13771" xr:uid="{00000000-0005-0000-0000-0000F9440000}"/>
    <cellStyle name="Примечание 8 3 3 4" xfId="17992" xr:uid="{00000000-0005-0000-0000-0000FA440000}"/>
    <cellStyle name="Примечание 8 3 4" xfId="9519" xr:uid="{00000000-0005-0000-0000-0000FB440000}"/>
    <cellStyle name="Примечание 8 3 5" xfId="13769" xr:uid="{00000000-0005-0000-0000-0000FC440000}"/>
    <cellStyle name="Примечание 8 3 6" xfId="17990" xr:uid="{00000000-0005-0000-0000-0000FD440000}"/>
    <cellStyle name="Примечание 8 30" xfId="4909" xr:uid="{00000000-0005-0000-0000-0000FE440000}"/>
    <cellStyle name="Примечание 8 30 2" xfId="9522" xr:uid="{00000000-0005-0000-0000-0000FF440000}"/>
    <cellStyle name="Примечание 8 30 3" xfId="13772" xr:uid="{00000000-0005-0000-0000-000000450000}"/>
    <cellStyle name="Примечание 8 30 4" xfId="17993" xr:uid="{00000000-0005-0000-0000-000001450000}"/>
    <cellStyle name="Примечание 8 31" xfId="4910" xr:uid="{00000000-0005-0000-0000-000002450000}"/>
    <cellStyle name="Примечание 8 31 2" xfId="9523" xr:uid="{00000000-0005-0000-0000-000003450000}"/>
    <cellStyle name="Примечание 8 31 3" xfId="13773" xr:uid="{00000000-0005-0000-0000-000004450000}"/>
    <cellStyle name="Примечание 8 31 4" xfId="17994" xr:uid="{00000000-0005-0000-0000-000005450000}"/>
    <cellStyle name="Примечание 8 32" xfId="4911" xr:uid="{00000000-0005-0000-0000-000006450000}"/>
    <cellStyle name="Примечание 8 32 2" xfId="9524" xr:uid="{00000000-0005-0000-0000-000007450000}"/>
    <cellStyle name="Примечание 8 32 3" xfId="13774" xr:uid="{00000000-0005-0000-0000-000008450000}"/>
    <cellStyle name="Примечание 8 32 4" xfId="17995" xr:uid="{00000000-0005-0000-0000-000009450000}"/>
    <cellStyle name="Примечание 8 33" xfId="4912" xr:uid="{00000000-0005-0000-0000-00000A450000}"/>
    <cellStyle name="Примечание 8 33 2" xfId="9525" xr:uid="{00000000-0005-0000-0000-00000B450000}"/>
    <cellStyle name="Примечание 8 33 3" xfId="13775" xr:uid="{00000000-0005-0000-0000-00000C450000}"/>
    <cellStyle name="Примечание 8 33 4" xfId="17996" xr:uid="{00000000-0005-0000-0000-00000D450000}"/>
    <cellStyle name="Примечание 8 34" xfId="4913" xr:uid="{00000000-0005-0000-0000-00000E450000}"/>
    <cellStyle name="Примечание 8 34 2" xfId="9526" xr:uid="{00000000-0005-0000-0000-00000F450000}"/>
    <cellStyle name="Примечание 8 34 3" xfId="13776" xr:uid="{00000000-0005-0000-0000-000010450000}"/>
    <cellStyle name="Примечание 8 34 4" xfId="17997" xr:uid="{00000000-0005-0000-0000-000011450000}"/>
    <cellStyle name="Примечание 8 35" xfId="4914" xr:uid="{00000000-0005-0000-0000-000012450000}"/>
    <cellStyle name="Примечание 8 35 2" xfId="9527" xr:uid="{00000000-0005-0000-0000-000013450000}"/>
    <cellStyle name="Примечание 8 35 3" xfId="13777" xr:uid="{00000000-0005-0000-0000-000014450000}"/>
    <cellStyle name="Примечание 8 35 4" xfId="17998" xr:uid="{00000000-0005-0000-0000-000015450000}"/>
    <cellStyle name="Примечание 8 36" xfId="4915" xr:uid="{00000000-0005-0000-0000-000016450000}"/>
    <cellStyle name="Примечание 8 36 2" xfId="9528" xr:uid="{00000000-0005-0000-0000-000017450000}"/>
    <cellStyle name="Примечание 8 36 3" xfId="13778" xr:uid="{00000000-0005-0000-0000-000018450000}"/>
    <cellStyle name="Примечание 8 36 4" xfId="17999" xr:uid="{00000000-0005-0000-0000-000019450000}"/>
    <cellStyle name="Примечание 8 37" xfId="4916" xr:uid="{00000000-0005-0000-0000-00001A450000}"/>
    <cellStyle name="Примечание 8 37 2" xfId="9529" xr:uid="{00000000-0005-0000-0000-00001B450000}"/>
    <cellStyle name="Примечание 8 37 3" xfId="13779" xr:uid="{00000000-0005-0000-0000-00001C450000}"/>
    <cellStyle name="Примечание 8 37 4" xfId="18000" xr:uid="{00000000-0005-0000-0000-00001D450000}"/>
    <cellStyle name="Примечание 8 38" xfId="4917" xr:uid="{00000000-0005-0000-0000-00001E450000}"/>
    <cellStyle name="Примечание 8 38 2" xfId="9530" xr:uid="{00000000-0005-0000-0000-00001F450000}"/>
    <cellStyle name="Примечание 8 38 3" xfId="13780" xr:uid="{00000000-0005-0000-0000-000020450000}"/>
    <cellStyle name="Примечание 8 38 4" xfId="18001" xr:uid="{00000000-0005-0000-0000-000021450000}"/>
    <cellStyle name="Примечание 8 39" xfId="4918" xr:uid="{00000000-0005-0000-0000-000022450000}"/>
    <cellStyle name="Примечание 8 39 2" xfId="9531" xr:uid="{00000000-0005-0000-0000-000023450000}"/>
    <cellStyle name="Примечание 8 39 3" xfId="13781" xr:uid="{00000000-0005-0000-0000-000024450000}"/>
    <cellStyle name="Примечание 8 39 4" xfId="18002" xr:uid="{00000000-0005-0000-0000-000025450000}"/>
    <cellStyle name="Примечание 8 4" xfId="4919" xr:uid="{00000000-0005-0000-0000-000026450000}"/>
    <cellStyle name="Примечание 8 4 2" xfId="4920" xr:uid="{00000000-0005-0000-0000-000027450000}"/>
    <cellStyle name="Примечание 8 4 2 2" xfId="9533" xr:uid="{00000000-0005-0000-0000-000028450000}"/>
    <cellStyle name="Примечание 8 4 2 3" xfId="13783" xr:uid="{00000000-0005-0000-0000-000029450000}"/>
    <cellStyle name="Примечание 8 4 2 4" xfId="18004" xr:uid="{00000000-0005-0000-0000-00002A450000}"/>
    <cellStyle name="Примечание 8 4 3" xfId="4921" xr:uid="{00000000-0005-0000-0000-00002B450000}"/>
    <cellStyle name="Примечание 8 4 3 2" xfId="9534" xr:uid="{00000000-0005-0000-0000-00002C450000}"/>
    <cellStyle name="Примечание 8 4 3 3" xfId="13784" xr:uid="{00000000-0005-0000-0000-00002D450000}"/>
    <cellStyle name="Примечание 8 4 3 4" xfId="18005" xr:uid="{00000000-0005-0000-0000-00002E450000}"/>
    <cellStyle name="Примечание 8 4 4" xfId="9532" xr:uid="{00000000-0005-0000-0000-00002F450000}"/>
    <cellStyle name="Примечание 8 4 5" xfId="13782" xr:uid="{00000000-0005-0000-0000-000030450000}"/>
    <cellStyle name="Примечание 8 4 6" xfId="18003" xr:uid="{00000000-0005-0000-0000-000031450000}"/>
    <cellStyle name="Примечание 8 40" xfId="4922" xr:uid="{00000000-0005-0000-0000-000032450000}"/>
    <cellStyle name="Примечание 8 40 2" xfId="9535" xr:uid="{00000000-0005-0000-0000-000033450000}"/>
    <cellStyle name="Примечание 8 40 3" xfId="13785" xr:uid="{00000000-0005-0000-0000-000034450000}"/>
    <cellStyle name="Примечание 8 40 4" xfId="18006" xr:uid="{00000000-0005-0000-0000-000035450000}"/>
    <cellStyle name="Примечание 8 41" xfId="4923" xr:uid="{00000000-0005-0000-0000-000036450000}"/>
    <cellStyle name="Примечание 8 41 2" xfId="9536" xr:uid="{00000000-0005-0000-0000-000037450000}"/>
    <cellStyle name="Примечание 8 41 3" xfId="13786" xr:uid="{00000000-0005-0000-0000-000038450000}"/>
    <cellStyle name="Примечание 8 41 4" xfId="18007" xr:uid="{00000000-0005-0000-0000-000039450000}"/>
    <cellStyle name="Примечание 8 42" xfId="4924" xr:uid="{00000000-0005-0000-0000-00003A450000}"/>
    <cellStyle name="Примечание 8 42 2" xfId="9537" xr:uid="{00000000-0005-0000-0000-00003B450000}"/>
    <cellStyle name="Примечание 8 42 3" xfId="13787" xr:uid="{00000000-0005-0000-0000-00003C450000}"/>
    <cellStyle name="Примечание 8 42 4" xfId="18008" xr:uid="{00000000-0005-0000-0000-00003D450000}"/>
    <cellStyle name="Примечание 8 43" xfId="4925" xr:uid="{00000000-0005-0000-0000-00003E450000}"/>
    <cellStyle name="Примечание 8 43 2" xfId="9538" xr:uid="{00000000-0005-0000-0000-00003F450000}"/>
    <cellStyle name="Примечание 8 43 3" xfId="13788" xr:uid="{00000000-0005-0000-0000-000040450000}"/>
    <cellStyle name="Примечание 8 43 4" xfId="18009" xr:uid="{00000000-0005-0000-0000-000041450000}"/>
    <cellStyle name="Примечание 8 44" xfId="4926" xr:uid="{00000000-0005-0000-0000-000042450000}"/>
    <cellStyle name="Примечание 8 44 2" xfId="9539" xr:uid="{00000000-0005-0000-0000-000043450000}"/>
    <cellStyle name="Примечание 8 44 3" xfId="13789" xr:uid="{00000000-0005-0000-0000-000044450000}"/>
    <cellStyle name="Примечание 8 44 4" xfId="18010" xr:uid="{00000000-0005-0000-0000-000045450000}"/>
    <cellStyle name="Примечание 8 45" xfId="4927" xr:uid="{00000000-0005-0000-0000-000046450000}"/>
    <cellStyle name="Примечание 8 45 2" xfId="9540" xr:uid="{00000000-0005-0000-0000-000047450000}"/>
    <cellStyle name="Примечание 8 45 3" xfId="13790" xr:uid="{00000000-0005-0000-0000-000048450000}"/>
    <cellStyle name="Примечание 8 45 4" xfId="18011" xr:uid="{00000000-0005-0000-0000-000049450000}"/>
    <cellStyle name="Примечание 8 46" xfId="4928" xr:uid="{00000000-0005-0000-0000-00004A450000}"/>
    <cellStyle name="Примечание 8 46 2" xfId="9541" xr:uid="{00000000-0005-0000-0000-00004B450000}"/>
    <cellStyle name="Примечание 8 46 3" xfId="13791" xr:uid="{00000000-0005-0000-0000-00004C450000}"/>
    <cellStyle name="Примечание 8 46 4" xfId="18012" xr:uid="{00000000-0005-0000-0000-00004D450000}"/>
    <cellStyle name="Примечание 8 47" xfId="4929" xr:uid="{00000000-0005-0000-0000-00004E450000}"/>
    <cellStyle name="Примечание 8 47 2" xfId="9542" xr:uid="{00000000-0005-0000-0000-00004F450000}"/>
    <cellStyle name="Примечание 8 47 3" xfId="13792" xr:uid="{00000000-0005-0000-0000-000050450000}"/>
    <cellStyle name="Примечание 8 47 4" xfId="18013" xr:uid="{00000000-0005-0000-0000-000051450000}"/>
    <cellStyle name="Примечание 8 48" xfId="4930" xr:uid="{00000000-0005-0000-0000-000052450000}"/>
    <cellStyle name="Примечание 8 48 2" xfId="9543" xr:uid="{00000000-0005-0000-0000-000053450000}"/>
    <cellStyle name="Примечание 8 48 3" xfId="13793" xr:uid="{00000000-0005-0000-0000-000054450000}"/>
    <cellStyle name="Примечание 8 48 4" xfId="18014" xr:uid="{00000000-0005-0000-0000-000055450000}"/>
    <cellStyle name="Примечание 8 49" xfId="4931" xr:uid="{00000000-0005-0000-0000-000056450000}"/>
    <cellStyle name="Примечание 8 49 2" xfId="9544" xr:uid="{00000000-0005-0000-0000-000057450000}"/>
    <cellStyle name="Примечание 8 49 3" xfId="13794" xr:uid="{00000000-0005-0000-0000-000058450000}"/>
    <cellStyle name="Примечание 8 49 4" xfId="18015" xr:uid="{00000000-0005-0000-0000-000059450000}"/>
    <cellStyle name="Примечание 8 5" xfId="4932" xr:uid="{00000000-0005-0000-0000-00005A450000}"/>
    <cellStyle name="Примечание 8 5 2" xfId="9545" xr:uid="{00000000-0005-0000-0000-00005B450000}"/>
    <cellStyle name="Примечание 8 5 3" xfId="13795" xr:uid="{00000000-0005-0000-0000-00005C450000}"/>
    <cellStyle name="Примечание 8 5 4" xfId="18016" xr:uid="{00000000-0005-0000-0000-00005D450000}"/>
    <cellStyle name="Примечание 8 50" xfId="4933" xr:uid="{00000000-0005-0000-0000-00005E450000}"/>
    <cellStyle name="Примечание 8 50 2" xfId="9546" xr:uid="{00000000-0005-0000-0000-00005F450000}"/>
    <cellStyle name="Примечание 8 50 3" xfId="13796" xr:uid="{00000000-0005-0000-0000-000060450000}"/>
    <cellStyle name="Примечание 8 50 4" xfId="18017" xr:uid="{00000000-0005-0000-0000-000061450000}"/>
    <cellStyle name="Примечание 8 51" xfId="4934" xr:uid="{00000000-0005-0000-0000-000062450000}"/>
    <cellStyle name="Примечание 8 51 2" xfId="9547" xr:uid="{00000000-0005-0000-0000-000063450000}"/>
    <cellStyle name="Примечание 8 51 3" xfId="13797" xr:uid="{00000000-0005-0000-0000-000064450000}"/>
    <cellStyle name="Примечание 8 51 4" xfId="18018" xr:uid="{00000000-0005-0000-0000-000065450000}"/>
    <cellStyle name="Примечание 8 52" xfId="4935" xr:uid="{00000000-0005-0000-0000-000066450000}"/>
    <cellStyle name="Примечание 8 52 2" xfId="9548" xr:uid="{00000000-0005-0000-0000-000067450000}"/>
    <cellStyle name="Примечание 8 52 3" xfId="13798" xr:uid="{00000000-0005-0000-0000-000068450000}"/>
    <cellStyle name="Примечание 8 52 4" xfId="18019" xr:uid="{00000000-0005-0000-0000-000069450000}"/>
    <cellStyle name="Примечание 8 53" xfId="4936" xr:uid="{00000000-0005-0000-0000-00006A450000}"/>
    <cellStyle name="Примечание 8 53 2" xfId="9549" xr:uid="{00000000-0005-0000-0000-00006B450000}"/>
    <cellStyle name="Примечание 8 53 3" xfId="13799" xr:uid="{00000000-0005-0000-0000-00006C450000}"/>
    <cellStyle name="Примечание 8 53 4" xfId="18020" xr:uid="{00000000-0005-0000-0000-00006D450000}"/>
    <cellStyle name="Примечание 8 54" xfId="4937" xr:uid="{00000000-0005-0000-0000-00006E450000}"/>
    <cellStyle name="Примечание 8 54 2" xfId="9550" xr:uid="{00000000-0005-0000-0000-00006F450000}"/>
    <cellStyle name="Примечание 8 54 3" xfId="13800" xr:uid="{00000000-0005-0000-0000-000070450000}"/>
    <cellStyle name="Примечание 8 54 4" xfId="18021" xr:uid="{00000000-0005-0000-0000-000071450000}"/>
    <cellStyle name="Примечание 8 55" xfId="4938" xr:uid="{00000000-0005-0000-0000-000072450000}"/>
    <cellStyle name="Примечание 8 55 2" xfId="9551" xr:uid="{00000000-0005-0000-0000-000073450000}"/>
    <cellStyle name="Примечание 8 55 3" xfId="13801" xr:uid="{00000000-0005-0000-0000-000074450000}"/>
    <cellStyle name="Примечание 8 55 4" xfId="18022" xr:uid="{00000000-0005-0000-0000-000075450000}"/>
    <cellStyle name="Примечание 8 56" xfId="4939" xr:uid="{00000000-0005-0000-0000-000076450000}"/>
    <cellStyle name="Примечание 8 56 2" xfId="9552" xr:uid="{00000000-0005-0000-0000-000077450000}"/>
    <cellStyle name="Примечание 8 56 3" xfId="13802" xr:uid="{00000000-0005-0000-0000-000078450000}"/>
    <cellStyle name="Примечание 8 56 4" xfId="18023" xr:uid="{00000000-0005-0000-0000-000079450000}"/>
    <cellStyle name="Примечание 8 57" xfId="4940" xr:uid="{00000000-0005-0000-0000-00007A450000}"/>
    <cellStyle name="Примечание 8 57 2" xfId="9553" xr:uid="{00000000-0005-0000-0000-00007B450000}"/>
    <cellStyle name="Примечание 8 57 3" xfId="13803" xr:uid="{00000000-0005-0000-0000-00007C450000}"/>
    <cellStyle name="Примечание 8 57 4" xfId="18024" xr:uid="{00000000-0005-0000-0000-00007D450000}"/>
    <cellStyle name="Примечание 8 58" xfId="4941" xr:uid="{00000000-0005-0000-0000-00007E450000}"/>
    <cellStyle name="Примечание 8 58 2" xfId="9554" xr:uid="{00000000-0005-0000-0000-00007F450000}"/>
    <cellStyle name="Примечание 8 58 3" xfId="13804" xr:uid="{00000000-0005-0000-0000-000080450000}"/>
    <cellStyle name="Примечание 8 58 4" xfId="18025" xr:uid="{00000000-0005-0000-0000-000081450000}"/>
    <cellStyle name="Примечание 8 59" xfId="4942" xr:uid="{00000000-0005-0000-0000-000082450000}"/>
    <cellStyle name="Примечание 8 59 2" xfId="9555" xr:uid="{00000000-0005-0000-0000-000083450000}"/>
    <cellStyle name="Примечание 8 59 3" xfId="13805" xr:uid="{00000000-0005-0000-0000-000084450000}"/>
    <cellStyle name="Примечание 8 59 4" xfId="18026" xr:uid="{00000000-0005-0000-0000-000085450000}"/>
    <cellStyle name="Примечание 8 6" xfId="4943" xr:uid="{00000000-0005-0000-0000-000086450000}"/>
    <cellStyle name="Примечание 8 6 2" xfId="9556" xr:uid="{00000000-0005-0000-0000-000087450000}"/>
    <cellStyle name="Примечание 8 6 3" xfId="13806" xr:uid="{00000000-0005-0000-0000-000088450000}"/>
    <cellStyle name="Примечание 8 6 4" xfId="18027" xr:uid="{00000000-0005-0000-0000-000089450000}"/>
    <cellStyle name="Примечание 8 60" xfId="4944" xr:uid="{00000000-0005-0000-0000-00008A450000}"/>
    <cellStyle name="Примечание 8 60 2" xfId="9557" xr:uid="{00000000-0005-0000-0000-00008B450000}"/>
    <cellStyle name="Примечание 8 60 3" xfId="13807" xr:uid="{00000000-0005-0000-0000-00008C450000}"/>
    <cellStyle name="Примечание 8 60 4" xfId="18028" xr:uid="{00000000-0005-0000-0000-00008D450000}"/>
    <cellStyle name="Примечание 8 61" xfId="4945" xr:uid="{00000000-0005-0000-0000-00008E450000}"/>
    <cellStyle name="Примечание 8 61 2" xfId="9558" xr:uid="{00000000-0005-0000-0000-00008F450000}"/>
    <cellStyle name="Примечание 8 61 3" xfId="13808" xr:uid="{00000000-0005-0000-0000-000090450000}"/>
    <cellStyle name="Примечание 8 61 4" xfId="18029" xr:uid="{00000000-0005-0000-0000-000091450000}"/>
    <cellStyle name="Примечание 8 62" xfId="4946" xr:uid="{00000000-0005-0000-0000-000092450000}"/>
    <cellStyle name="Примечание 8 62 2" xfId="9559" xr:uid="{00000000-0005-0000-0000-000093450000}"/>
    <cellStyle name="Примечание 8 62 3" xfId="13809" xr:uid="{00000000-0005-0000-0000-000094450000}"/>
    <cellStyle name="Примечание 8 62 4" xfId="18030" xr:uid="{00000000-0005-0000-0000-000095450000}"/>
    <cellStyle name="Примечание 8 63" xfId="4947" xr:uid="{00000000-0005-0000-0000-000096450000}"/>
    <cellStyle name="Примечание 8 63 2" xfId="9560" xr:uid="{00000000-0005-0000-0000-000097450000}"/>
    <cellStyle name="Примечание 8 63 3" xfId="13810" xr:uid="{00000000-0005-0000-0000-000098450000}"/>
    <cellStyle name="Примечание 8 63 4" xfId="18031" xr:uid="{00000000-0005-0000-0000-000099450000}"/>
    <cellStyle name="Примечание 8 64" xfId="4948" xr:uid="{00000000-0005-0000-0000-00009A450000}"/>
    <cellStyle name="Примечание 8 64 2" xfId="9561" xr:uid="{00000000-0005-0000-0000-00009B450000}"/>
    <cellStyle name="Примечание 8 64 3" xfId="13811" xr:uid="{00000000-0005-0000-0000-00009C450000}"/>
    <cellStyle name="Примечание 8 64 4" xfId="18032" xr:uid="{00000000-0005-0000-0000-00009D450000}"/>
    <cellStyle name="Примечание 8 65" xfId="4949" xr:uid="{00000000-0005-0000-0000-00009E450000}"/>
    <cellStyle name="Примечание 8 65 2" xfId="9562" xr:uid="{00000000-0005-0000-0000-00009F450000}"/>
    <cellStyle name="Примечание 8 65 3" xfId="13812" xr:uid="{00000000-0005-0000-0000-0000A0450000}"/>
    <cellStyle name="Примечание 8 65 4" xfId="18033" xr:uid="{00000000-0005-0000-0000-0000A1450000}"/>
    <cellStyle name="Примечание 8 66" xfId="4950" xr:uid="{00000000-0005-0000-0000-0000A2450000}"/>
    <cellStyle name="Примечание 8 66 2" xfId="9563" xr:uid="{00000000-0005-0000-0000-0000A3450000}"/>
    <cellStyle name="Примечание 8 66 3" xfId="13813" xr:uid="{00000000-0005-0000-0000-0000A4450000}"/>
    <cellStyle name="Примечание 8 66 4" xfId="18034" xr:uid="{00000000-0005-0000-0000-0000A5450000}"/>
    <cellStyle name="Примечание 8 67" xfId="4951" xr:uid="{00000000-0005-0000-0000-0000A6450000}"/>
    <cellStyle name="Примечание 8 67 2" xfId="9564" xr:uid="{00000000-0005-0000-0000-0000A7450000}"/>
    <cellStyle name="Примечание 8 67 3" xfId="13814" xr:uid="{00000000-0005-0000-0000-0000A8450000}"/>
    <cellStyle name="Примечание 8 67 4" xfId="18035" xr:uid="{00000000-0005-0000-0000-0000A9450000}"/>
    <cellStyle name="Примечание 8 68" xfId="4952" xr:uid="{00000000-0005-0000-0000-0000AA450000}"/>
    <cellStyle name="Примечание 8 68 2" xfId="9565" xr:uid="{00000000-0005-0000-0000-0000AB450000}"/>
    <cellStyle name="Примечание 8 68 3" xfId="13815" xr:uid="{00000000-0005-0000-0000-0000AC450000}"/>
    <cellStyle name="Примечание 8 68 4" xfId="18036" xr:uid="{00000000-0005-0000-0000-0000AD450000}"/>
    <cellStyle name="Примечание 8 69" xfId="4953" xr:uid="{00000000-0005-0000-0000-0000AE450000}"/>
    <cellStyle name="Примечание 8 69 2" xfId="9566" xr:uid="{00000000-0005-0000-0000-0000AF450000}"/>
    <cellStyle name="Примечание 8 69 3" xfId="13816" xr:uid="{00000000-0005-0000-0000-0000B0450000}"/>
    <cellStyle name="Примечание 8 69 4" xfId="18037" xr:uid="{00000000-0005-0000-0000-0000B1450000}"/>
    <cellStyle name="Примечание 8 7" xfId="4954" xr:uid="{00000000-0005-0000-0000-0000B2450000}"/>
    <cellStyle name="Примечание 8 7 2" xfId="9567" xr:uid="{00000000-0005-0000-0000-0000B3450000}"/>
    <cellStyle name="Примечание 8 7 3" xfId="13817" xr:uid="{00000000-0005-0000-0000-0000B4450000}"/>
    <cellStyle name="Примечание 8 7 4" xfId="18038" xr:uid="{00000000-0005-0000-0000-0000B5450000}"/>
    <cellStyle name="Примечание 8 70" xfId="4955" xr:uid="{00000000-0005-0000-0000-0000B6450000}"/>
    <cellStyle name="Примечание 8 70 2" xfId="9568" xr:uid="{00000000-0005-0000-0000-0000B7450000}"/>
    <cellStyle name="Примечание 8 70 3" xfId="13818" xr:uid="{00000000-0005-0000-0000-0000B8450000}"/>
    <cellStyle name="Примечание 8 70 4" xfId="18039" xr:uid="{00000000-0005-0000-0000-0000B9450000}"/>
    <cellStyle name="Примечание 8 71" xfId="4956" xr:uid="{00000000-0005-0000-0000-0000BA450000}"/>
    <cellStyle name="Примечание 8 71 2" xfId="9569" xr:uid="{00000000-0005-0000-0000-0000BB450000}"/>
    <cellStyle name="Примечание 8 71 3" xfId="13819" xr:uid="{00000000-0005-0000-0000-0000BC450000}"/>
    <cellStyle name="Примечание 8 71 4" xfId="18040" xr:uid="{00000000-0005-0000-0000-0000BD450000}"/>
    <cellStyle name="Примечание 8 72" xfId="4957" xr:uid="{00000000-0005-0000-0000-0000BE450000}"/>
    <cellStyle name="Примечание 8 72 2" xfId="9570" xr:uid="{00000000-0005-0000-0000-0000BF450000}"/>
    <cellStyle name="Примечание 8 72 3" xfId="13820" xr:uid="{00000000-0005-0000-0000-0000C0450000}"/>
    <cellStyle name="Примечание 8 72 4" xfId="18041" xr:uid="{00000000-0005-0000-0000-0000C1450000}"/>
    <cellStyle name="Примечание 8 73" xfId="4958" xr:uid="{00000000-0005-0000-0000-0000C2450000}"/>
    <cellStyle name="Примечание 8 73 2" xfId="9571" xr:uid="{00000000-0005-0000-0000-0000C3450000}"/>
    <cellStyle name="Примечание 8 73 3" xfId="13821" xr:uid="{00000000-0005-0000-0000-0000C4450000}"/>
    <cellStyle name="Примечание 8 73 4" xfId="18042" xr:uid="{00000000-0005-0000-0000-0000C5450000}"/>
    <cellStyle name="Примечание 8 74" xfId="4959" xr:uid="{00000000-0005-0000-0000-0000C6450000}"/>
    <cellStyle name="Примечание 8 74 2" xfId="9572" xr:uid="{00000000-0005-0000-0000-0000C7450000}"/>
    <cellStyle name="Примечание 8 74 3" xfId="13822" xr:uid="{00000000-0005-0000-0000-0000C8450000}"/>
    <cellStyle name="Примечание 8 74 4" xfId="18043" xr:uid="{00000000-0005-0000-0000-0000C9450000}"/>
    <cellStyle name="Примечание 8 75" xfId="4960" xr:uid="{00000000-0005-0000-0000-0000CA450000}"/>
    <cellStyle name="Примечание 8 75 2" xfId="9573" xr:uid="{00000000-0005-0000-0000-0000CB450000}"/>
    <cellStyle name="Примечание 8 75 3" xfId="13823" xr:uid="{00000000-0005-0000-0000-0000CC450000}"/>
    <cellStyle name="Примечание 8 75 4" xfId="18044" xr:uid="{00000000-0005-0000-0000-0000CD450000}"/>
    <cellStyle name="Примечание 8 76" xfId="4961" xr:uid="{00000000-0005-0000-0000-0000CE450000}"/>
    <cellStyle name="Примечание 8 76 2" xfId="9574" xr:uid="{00000000-0005-0000-0000-0000CF450000}"/>
    <cellStyle name="Примечание 8 76 3" xfId="13824" xr:uid="{00000000-0005-0000-0000-0000D0450000}"/>
    <cellStyle name="Примечание 8 76 4" xfId="18045" xr:uid="{00000000-0005-0000-0000-0000D1450000}"/>
    <cellStyle name="Примечание 8 77" xfId="4962" xr:uid="{00000000-0005-0000-0000-0000D2450000}"/>
    <cellStyle name="Примечание 8 77 2" xfId="9575" xr:uid="{00000000-0005-0000-0000-0000D3450000}"/>
    <cellStyle name="Примечание 8 77 3" xfId="13825" xr:uid="{00000000-0005-0000-0000-0000D4450000}"/>
    <cellStyle name="Примечание 8 77 4" xfId="18046" xr:uid="{00000000-0005-0000-0000-0000D5450000}"/>
    <cellStyle name="Примечание 8 78" xfId="4963" xr:uid="{00000000-0005-0000-0000-0000D6450000}"/>
    <cellStyle name="Примечание 8 78 2" xfId="9576" xr:uid="{00000000-0005-0000-0000-0000D7450000}"/>
    <cellStyle name="Примечание 8 78 3" xfId="13826" xr:uid="{00000000-0005-0000-0000-0000D8450000}"/>
    <cellStyle name="Примечание 8 78 4" xfId="18047" xr:uid="{00000000-0005-0000-0000-0000D9450000}"/>
    <cellStyle name="Примечание 8 79" xfId="4964" xr:uid="{00000000-0005-0000-0000-0000DA450000}"/>
    <cellStyle name="Примечание 8 79 2" xfId="9577" xr:uid="{00000000-0005-0000-0000-0000DB450000}"/>
    <cellStyle name="Примечание 8 79 3" xfId="13827" xr:uid="{00000000-0005-0000-0000-0000DC450000}"/>
    <cellStyle name="Примечание 8 79 4" xfId="18048" xr:uid="{00000000-0005-0000-0000-0000DD450000}"/>
    <cellStyle name="Примечание 8 8" xfId="4965" xr:uid="{00000000-0005-0000-0000-0000DE450000}"/>
    <cellStyle name="Примечание 8 8 2" xfId="9578" xr:uid="{00000000-0005-0000-0000-0000DF450000}"/>
    <cellStyle name="Примечание 8 8 3" xfId="13828" xr:uid="{00000000-0005-0000-0000-0000E0450000}"/>
    <cellStyle name="Примечание 8 8 4" xfId="18049" xr:uid="{00000000-0005-0000-0000-0000E1450000}"/>
    <cellStyle name="Примечание 8 80" xfId="4966" xr:uid="{00000000-0005-0000-0000-0000E2450000}"/>
    <cellStyle name="Примечание 8 80 2" xfId="9579" xr:uid="{00000000-0005-0000-0000-0000E3450000}"/>
    <cellStyle name="Примечание 8 80 3" xfId="13829" xr:uid="{00000000-0005-0000-0000-0000E4450000}"/>
    <cellStyle name="Примечание 8 80 4" xfId="18050" xr:uid="{00000000-0005-0000-0000-0000E5450000}"/>
    <cellStyle name="Примечание 8 81" xfId="4967" xr:uid="{00000000-0005-0000-0000-0000E6450000}"/>
    <cellStyle name="Примечание 8 81 2" xfId="9580" xr:uid="{00000000-0005-0000-0000-0000E7450000}"/>
    <cellStyle name="Примечание 8 81 3" xfId="13830" xr:uid="{00000000-0005-0000-0000-0000E8450000}"/>
    <cellStyle name="Примечание 8 81 4" xfId="18051" xr:uid="{00000000-0005-0000-0000-0000E9450000}"/>
    <cellStyle name="Примечание 8 82" xfId="4968" xr:uid="{00000000-0005-0000-0000-0000EA450000}"/>
    <cellStyle name="Примечание 8 82 2" xfId="9581" xr:uid="{00000000-0005-0000-0000-0000EB450000}"/>
    <cellStyle name="Примечание 8 82 3" xfId="13831" xr:uid="{00000000-0005-0000-0000-0000EC450000}"/>
    <cellStyle name="Примечание 8 82 4" xfId="18052" xr:uid="{00000000-0005-0000-0000-0000ED450000}"/>
    <cellStyle name="Примечание 8 83" xfId="4969" xr:uid="{00000000-0005-0000-0000-0000EE450000}"/>
    <cellStyle name="Примечание 8 83 2" xfId="9582" xr:uid="{00000000-0005-0000-0000-0000EF450000}"/>
    <cellStyle name="Примечание 8 83 3" xfId="13832" xr:uid="{00000000-0005-0000-0000-0000F0450000}"/>
    <cellStyle name="Примечание 8 83 4" xfId="18053" xr:uid="{00000000-0005-0000-0000-0000F1450000}"/>
    <cellStyle name="Примечание 8 84" xfId="4970" xr:uid="{00000000-0005-0000-0000-0000F2450000}"/>
    <cellStyle name="Примечание 8 84 2" xfId="9583" xr:uid="{00000000-0005-0000-0000-0000F3450000}"/>
    <cellStyle name="Примечание 8 84 3" xfId="13833" xr:uid="{00000000-0005-0000-0000-0000F4450000}"/>
    <cellStyle name="Примечание 8 84 4" xfId="18054" xr:uid="{00000000-0005-0000-0000-0000F5450000}"/>
    <cellStyle name="Примечание 8 85" xfId="4971" xr:uid="{00000000-0005-0000-0000-0000F6450000}"/>
    <cellStyle name="Примечание 8 85 2" xfId="9584" xr:uid="{00000000-0005-0000-0000-0000F7450000}"/>
    <cellStyle name="Примечание 8 85 3" xfId="13834" xr:uid="{00000000-0005-0000-0000-0000F8450000}"/>
    <cellStyle name="Примечание 8 85 4" xfId="18055" xr:uid="{00000000-0005-0000-0000-0000F9450000}"/>
    <cellStyle name="Примечание 8 86" xfId="4972" xr:uid="{00000000-0005-0000-0000-0000FA450000}"/>
    <cellStyle name="Примечание 8 86 2" xfId="9585" xr:uid="{00000000-0005-0000-0000-0000FB450000}"/>
    <cellStyle name="Примечание 8 86 3" xfId="13835" xr:uid="{00000000-0005-0000-0000-0000FC450000}"/>
    <cellStyle name="Примечание 8 86 4" xfId="18056" xr:uid="{00000000-0005-0000-0000-0000FD450000}"/>
    <cellStyle name="Примечание 8 87" xfId="4973" xr:uid="{00000000-0005-0000-0000-0000FE450000}"/>
    <cellStyle name="Примечание 8 87 2" xfId="9586" xr:uid="{00000000-0005-0000-0000-0000FF450000}"/>
    <cellStyle name="Примечание 8 87 3" xfId="13836" xr:uid="{00000000-0005-0000-0000-000000460000}"/>
    <cellStyle name="Примечание 8 87 4" xfId="18057" xr:uid="{00000000-0005-0000-0000-000001460000}"/>
    <cellStyle name="Примечание 8 88" xfId="4974" xr:uid="{00000000-0005-0000-0000-000002460000}"/>
    <cellStyle name="Примечание 8 88 2" xfId="9587" xr:uid="{00000000-0005-0000-0000-000003460000}"/>
    <cellStyle name="Примечание 8 88 3" xfId="13837" xr:uid="{00000000-0005-0000-0000-000004460000}"/>
    <cellStyle name="Примечание 8 88 4" xfId="18058" xr:uid="{00000000-0005-0000-0000-000005460000}"/>
    <cellStyle name="Примечание 8 89" xfId="4975" xr:uid="{00000000-0005-0000-0000-000006460000}"/>
    <cellStyle name="Примечание 8 89 2" xfId="9588" xr:uid="{00000000-0005-0000-0000-000007460000}"/>
    <cellStyle name="Примечание 8 89 3" xfId="13838" xr:uid="{00000000-0005-0000-0000-000008460000}"/>
    <cellStyle name="Примечание 8 89 4" xfId="18059" xr:uid="{00000000-0005-0000-0000-000009460000}"/>
    <cellStyle name="Примечание 8 9" xfId="4976" xr:uid="{00000000-0005-0000-0000-00000A460000}"/>
    <cellStyle name="Примечание 8 9 2" xfId="9589" xr:uid="{00000000-0005-0000-0000-00000B460000}"/>
    <cellStyle name="Примечание 8 9 3" xfId="13839" xr:uid="{00000000-0005-0000-0000-00000C460000}"/>
    <cellStyle name="Примечание 8 9 4" xfId="18060" xr:uid="{00000000-0005-0000-0000-00000D460000}"/>
    <cellStyle name="Примечание 8 90" xfId="5221" xr:uid="{00000000-0005-0000-0000-00000E460000}"/>
    <cellStyle name="Примечание 8 91" xfId="8824" xr:uid="{00000000-0005-0000-0000-00000F460000}"/>
    <cellStyle name="Примечание 8 92" xfId="13074" xr:uid="{00000000-0005-0000-0000-000010460000}"/>
    <cellStyle name="Примечание 9" xfId="435" xr:uid="{00000000-0005-0000-0000-000011460000}"/>
    <cellStyle name="Примечание 9 10" xfId="4977" xr:uid="{00000000-0005-0000-0000-000012460000}"/>
    <cellStyle name="Примечание 9 10 2" xfId="9590" xr:uid="{00000000-0005-0000-0000-000013460000}"/>
    <cellStyle name="Примечание 9 10 3" xfId="13840" xr:uid="{00000000-0005-0000-0000-000014460000}"/>
    <cellStyle name="Примечание 9 10 4" xfId="18061" xr:uid="{00000000-0005-0000-0000-000015460000}"/>
    <cellStyle name="Примечание 9 11" xfId="4978" xr:uid="{00000000-0005-0000-0000-000016460000}"/>
    <cellStyle name="Примечание 9 11 2" xfId="9591" xr:uid="{00000000-0005-0000-0000-000017460000}"/>
    <cellStyle name="Примечание 9 11 3" xfId="13841" xr:uid="{00000000-0005-0000-0000-000018460000}"/>
    <cellStyle name="Примечание 9 11 4" xfId="18062" xr:uid="{00000000-0005-0000-0000-000019460000}"/>
    <cellStyle name="Примечание 9 12" xfId="4979" xr:uid="{00000000-0005-0000-0000-00001A460000}"/>
    <cellStyle name="Примечание 9 12 2" xfId="9592" xr:uid="{00000000-0005-0000-0000-00001B460000}"/>
    <cellStyle name="Примечание 9 12 3" xfId="13842" xr:uid="{00000000-0005-0000-0000-00001C460000}"/>
    <cellStyle name="Примечание 9 12 4" xfId="18063" xr:uid="{00000000-0005-0000-0000-00001D460000}"/>
    <cellStyle name="Примечание 9 13" xfId="4980" xr:uid="{00000000-0005-0000-0000-00001E460000}"/>
    <cellStyle name="Примечание 9 13 2" xfId="9593" xr:uid="{00000000-0005-0000-0000-00001F460000}"/>
    <cellStyle name="Примечание 9 13 3" xfId="13843" xr:uid="{00000000-0005-0000-0000-000020460000}"/>
    <cellStyle name="Примечание 9 13 4" xfId="18064" xr:uid="{00000000-0005-0000-0000-000021460000}"/>
    <cellStyle name="Примечание 9 14" xfId="4981" xr:uid="{00000000-0005-0000-0000-000022460000}"/>
    <cellStyle name="Примечание 9 14 2" xfId="9594" xr:uid="{00000000-0005-0000-0000-000023460000}"/>
    <cellStyle name="Примечание 9 14 3" xfId="13844" xr:uid="{00000000-0005-0000-0000-000024460000}"/>
    <cellStyle name="Примечание 9 14 4" xfId="18065" xr:uid="{00000000-0005-0000-0000-000025460000}"/>
    <cellStyle name="Примечание 9 15" xfId="4982" xr:uid="{00000000-0005-0000-0000-000026460000}"/>
    <cellStyle name="Примечание 9 15 2" xfId="9595" xr:uid="{00000000-0005-0000-0000-000027460000}"/>
    <cellStyle name="Примечание 9 15 3" xfId="13845" xr:uid="{00000000-0005-0000-0000-000028460000}"/>
    <cellStyle name="Примечание 9 15 4" xfId="18066" xr:uid="{00000000-0005-0000-0000-000029460000}"/>
    <cellStyle name="Примечание 9 16" xfId="4983" xr:uid="{00000000-0005-0000-0000-00002A460000}"/>
    <cellStyle name="Примечание 9 16 2" xfId="9596" xr:uid="{00000000-0005-0000-0000-00002B460000}"/>
    <cellStyle name="Примечание 9 16 3" xfId="13846" xr:uid="{00000000-0005-0000-0000-00002C460000}"/>
    <cellStyle name="Примечание 9 16 4" xfId="18067" xr:uid="{00000000-0005-0000-0000-00002D460000}"/>
    <cellStyle name="Примечание 9 17" xfId="4984" xr:uid="{00000000-0005-0000-0000-00002E460000}"/>
    <cellStyle name="Примечание 9 17 2" xfId="9597" xr:uid="{00000000-0005-0000-0000-00002F460000}"/>
    <cellStyle name="Примечание 9 17 3" xfId="13847" xr:uid="{00000000-0005-0000-0000-000030460000}"/>
    <cellStyle name="Примечание 9 17 4" xfId="18068" xr:uid="{00000000-0005-0000-0000-000031460000}"/>
    <cellStyle name="Примечание 9 18" xfId="4985" xr:uid="{00000000-0005-0000-0000-000032460000}"/>
    <cellStyle name="Примечание 9 18 2" xfId="9598" xr:uid="{00000000-0005-0000-0000-000033460000}"/>
    <cellStyle name="Примечание 9 18 3" xfId="13848" xr:uid="{00000000-0005-0000-0000-000034460000}"/>
    <cellStyle name="Примечание 9 18 4" xfId="18069" xr:uid="{00000000-0005-0000-0000-000035460000}"/>
    <cellStyle name="Примечание 9 19" xfId="4986" xr:uid="{00000000-0005-0000-0000-000036460000}"/>
    <cellStyle name="Примечание 9 19 2" xfId="9599" xr:uid="{00000000-0005-0000-0000-000037460000}"/>
    <cellStyle name="Примечание 9 19 3" xfId="13849" xr:uid="{00000000-0005-0000-0000-000038460000}"/>
    <cellStyle name="Примечание 9 19 4" xfId="18070" xr:uid="{00000000-0005-0000-0000-000039460000}"/>
    <cellStyle name="Примечание 9 2" xfId="4987" xr:uid="{00000000-0005-0000-0000-00003A460000}"/>
    <cellStyle name="Примечание 9 2 2" xfId="4988" xr:uid="{00000000-0005-0000-0000-00003B460000}"/>
    <cellStyle name="Примечание 9 2 2 2" xfId="9601" xr:uid="{00000000-0005-0000-0000-00003C460000}"/>
    <cellStyle name="Примечание 9 2 2 3" xfId="13851" xr:uid="{00000000-0005-0000-0000-00003D460000}"/>
    <cellStyle name="Примечание 9 2 2 4" xfId="18072" xr:uid="{00000000-0005-0000-0000-00003E460000}"/>
    <cellStyle name="Примечание 9 2 3" xfId="4989" xr:uid="{00000000-0005-0000-0000-00003F460000}"/>
    <cellStyle name="Примечание 9 2 3 2" xfId="9602" xr:uid="{00000000-0005-0000-0000-000040460000}"/>
    <cellStyle name="Примечание 9 2 3 3" xfId="13852" xr:uid="{00000000-0005-0000-0000-000041460000}"/>
    <cellStyle name="Примечание 9 2 3 4" xfId="18073" xr:uid="{00000000-0005-0000-0000-000042460000}"/>
    <cellStyle name="Примечание 9 2 4" xfId="9600" xr:uid="{00000000-0005-0000-0000-000043460000}"/>
    <cellStyle name="Примечание 9 2 5" xfId="13850" xr:uid="{00000000-0005-0000-0000-000044460000}"/>
    <cellStyle name="Примечание 9 2 6" xfId="18071" xr:uid="{00000000-0005-0000-0000-000045460000}"/>
    <cellStyle name="Примечание 9 20" xfId="4990" xr:uid="{00000000-0005-0000-0000-000046460000}"/>
    <cellStyle name="Примечание 9 20 2" xfId="9603" xr:uid="{00000000-0005-0000-0000-000047460000}"/>
    <cellStyle name="Примечание 9 20 3" xfId="13853" xr:uid="{00000000-0005-0000-0000-000048460000}"/>
    <cellStyle name="Примечание 9 20 4" xfId="18074" xr:uid="{00000000-0005-0000-0000-000049460000}"/>
    <cellStyle name="Примечание 9 21" xfId="4991" xr:uid="{00000000-0005-0000-0000-00004A460000}"/>
    <cellStyle name="Примечание 9 21 2" xfId="9604" xr:uid="{00000000-0005-0000-0000-00004B460000}"/>
    <cellStyle name="Примечание 9 21 3" xfId="13854" xr:uid="{00000000-0005-0000-0000-00004C460000}"/>
    <cellStyle name="Примечание 9 21 4" xfId="18075" xr:uid="{00000000-0005-0000-0000-00004D460000}"/>
    <cellStyle name="Примечание 9 22" xfId="4992" xr:uid="{00000000-0005-0000-0000-00004E460000}"/>
    <cellStyle name="Примечание 9 22 2" xfId="9605" xr:uid="{00000000-0005-0000-0000-00004F460000}"/>
    <cellStyle name="Примечание 9 22 3" xfId="13855" xr:uid="{00000000-0005-0000-0000-000050460000}"/>
    <cellStyle name="Примечание 9 22 4" xfId="18076" xr:uid="{00000000-0005-0000-0000-000051460000}"/>
    <cellStyle name="Примечание 9 23" xfId="4993" xr:uid="{00000000-0005-0000-0000-000052460000}"/>
    <cellStyle name="Примечание 9 23 2" xfId="9606" xr:uid="{00000000-0005-0000-0000-000053460000}"/>
    <cellStyle name="Примечание 9 23 3" xfId="13856" xr:uid="{00000000-0005-0000-0000-000054460000}"/>
    <cellStyle name="Примечание 9 23 4" xfId="18077" xr:uid="{00000000-0005-0000-0000-000055460000}"/>
    <cellStyle name="Примечание 9 24" xfId="4994" xr:uid="{00000000-0005-0000-0000-000056460000}"/>
    <cellStyle name="Примечание 9 24 2" xfId="9607" xr:uid="{00000000-0005-0000-0000-000057460000}"/>
    <cellStyle name="Примечание 9 24 3" xfId="13857" xr:uid="{00000000-0005-0000-0000-000058460000}"/>
    <cellStyle name="Примечание 9 24 4" xfId="18078" xr:uid="{00000000-0005-0000-0000-000059460000}"/>
    <cellStyle name="Примечание 9 25" xfId="4995" xr:uid="{00000000-0005-0000-0000-00005A460000}"/>
    <cellStyle name="Примечание 9 25 2" xfId="9608" xr:uid="{00000000-0005-0000-0000-00005B460000}"/>
    <cellStyle name="Примечание 9 25 3" xfId="13858" xr:uid="{00000000-0005-0000-0000-00005C460000}"/>
    <cellStyle name="Примечание 9 25 4" xfId="18079" xr:uid="{00000000-0005-0000-0000-00005D460000}"/>
    <cellStyle name="Примечание 9 26" xfId="4996" xr:uid="{00000000-0005-0000-0000-00005E460000}"/>
    <cellStyle name="Примечание 9 26 2" xfId="9609" xr:uid="{00000000-0005-0000-0000-00005F460000}"/>
    <cellStyle name="Примечание 9 26 3" xfId="13859" xr:uid="{00000000-0005-0000-0000-000060460000}"/>
    <cellStyle name="Примечание 9 26 4" xfId="18080" xr:uid="{00000000-0005-0000-0000-000061460000}"/>
    <cellStyle name="Примечание 9 27" xfId="4997" xr:uid="{00000000-0005-0000-0000-000062460000}"/>
    <cellStyle name="Примечание 9 27 2" xfId="9610" xr:uid="{00000000-0005-0000-0000-000063460000}"/>
    <cellStyle name="Примечание 9 27 3" xfId="13860" xr:uid="{00000000-0005-0000-0000-000064460000}"/>
    <cellStyle name="Примечание 9 27 4" xfId="18081" xr:uid="{00000000-0005-0000-0000-000065460000}"/>
    <cellStyle name="Примечание 9 28" xfId="4998" xr:uid="{00000000-0005-0000-0000-000066460000}"/>
    <cellStyle name="Примечание 9 28 2" xfId="9611" xr:uid="{00000000-0005-0000-0000-000067460000}"/>
    <cellStyle name="Примечание 9 28 3" xfId="13861" xr:uid="{00000000-0005-0000-0000-000068460000}"/>
    <cellStyle name="Примечание 9 28 4" xfId="18082" xr:uid="{00000000-0005-0000-0000-000069460000}"/>
    <cellStyle name="Примечание 9 29" xfId="4999" xr:uid="{00000000-0005-0000-0000-00006A460000}"/>
    <cellStyle name="Примечание 9 29 2" xfId="9612" xr:uid="{00000000-0005-0000-0000-00006B460000}"/>
    <cellStyle name="Примечание 9 29 3" xfId="13862" xr:uid="{00000000-0005-0000-0000-00006C460000}"/>
    <cellStyle name="Примечание 9 29 4" xfId="18083" xr:uid="{00000000-0005-0000-0000-00006D460000}"/>
    <cellStyle name="Примечание 9 3" xfId="5000" xr:uid="{00000000-0005-0000-0000-00006E460000}"/>
    <cellStyle name="Примечание 9 3 2" xfId="5001" xr:uid="{00000000-0005-0000-0000-00006F460000}"/>
    <cellStyle name="Примечание 9 3 2 2" xfId="9614" xr:uid="{00000000-0005-0000-0000-000070460000}"/>
    <cellStyle name="Примечание 9 3 2 3" xfId="13864" xr:uid="{00000000-0005-0000-0000-000071460000}"/>
    <cellStyle name="Примечание 9 3 2 4" xfId="18085" xr:uid="{00000000-0005-0000-0000-000072460000}"/>
    <cellStyle name="Примечание 9 3 3" xfId="5002" xr:uid="{00000000-0005-0000-0000-000073460000}"/>
    <cellStyle name="Примечание 9 3 3 2" xfId="9615" xr:uid="{00000000-0005-0000-0000-000074460000}"/>
    <cellStyle name="Примечание 9 3 3 3" xfId="13865" xr:uid="{00000000-0005-0000-0000-000075460000}"/>
    <cellStyle name="Примечание 9 3 3 4" xfId="18086" xr:uid="{00000000-0005-0000-0000-000076460000}"/>
    <cellStyle name="Примечание 9 3 4" xfId="9613" xr:uid="{00000000-0005-0000-0000-000077460000}"/>
    <cellStyle name="Примечание 9 3 5" xfId="13863" xr:uid="{00000000-0005-0000-0000-000078460000}"/>
    <cellStyle name="Примечание 9 3 6" xfId="18084" xr:uid="{00000000-0005-0000-0000-000079460000}"/>
    <cellStyle name="Примечание 9 30" xfId="5003" xr:uid="{00000000-0005-0000-0000-00007A460000}"/>
    <cellStyle name="Примечание 9 30 2" xfId="9616" xr:uid="{00000000-0005-0000-0000-00007B460000}"/>
    <cellStyle name="Примечание 9 30 3" xfId="13866" xr:uid="{00000000-0005-0000-0000-00007C460000}"/>
    <cellStyle name="Примечание 9 30 4" xfId="18087" xr:uid="{00000000-0005-0000-0000-00007D460000}"/>
    <cellStyle name="Примечание 9 31" xfId="5004" xr:uid="{00000000-0005-0000-0000-00007E460000}"/>
    <cellStyle name="Примечание 9 31 2" xfId="9617" xr:uid="{00000000-0005-0000-0000-00007F460000}"/>
    <cellStyle name="Примечание 9 31 3" xfId="13867" xr:uid="{00000000-0005-0000-0000-000080460000}"/>
    <cellStyle name="Примечание 9 31 4" xfId="18088" xr:uid="{00000000-0005-0000-0000-000081460000}"/>
    <cellStyle name="Примечание 9 32" xfId="5005" xr:uid="{00000000-0005-0000-0000-000082460000}"/>
    <cellStyle name="Примечание 9 32 2" xfId="9618" xr:uid="{00000000-0005-0000-0000-000083460000}"/>
    <cellStyle name="Примечание 9 32 3" xfId="13868" xr:uid="{00000000-0005-0000-0000-000084460000}"/>
    <cellStyle name="Примечание 9 32 4" xfId="18089" xr:uid="{00000000-0005-0000-0000-000085460000}"/>
    <cellStyle name="Примечание 9 33" xfId="5006" xr:uid="{00000000-0005-0000-0000-000086460000}"/>
    <cellStyle name="Примечание 9 33 2" xfId="9619" xr:uid="{00000000-0005-0000-0000-000087460000}"/>
    <cellStyle name="Примечание 9 33 3" xfId="13869" xr:uid="{00000000-0005-0000-0000-000088460000}"/>
    <cellStyle name="Примечание 9 33 4" xfId="18090" xr:uid="{00000000-0005-0000-0000-000089460000}"/>
    <cellStyle name="Примечание 9 34" xfId="5007" xr:uid="{00000000-0005-0000-0000-00008A460000}"/>
    <cellStyle name="Примечание 9 34 2" xfId="9620" xr:uid="{00000000-0005-0000-0000-00008B460000}"/>
    <cellStyle name="Примечание 9 34 3" xfId="13870" xr:uid="{00000000-0005-0000-0000-00008C460000}"/>
    <cellStyle name="Примечание 9 34 4" xfId="18091" xr:uid="{00000000-0005-0000-0000-00008D460000}"/>
    <cellStyle name="Примечание 9 35" xfId="5008" xr:uid="{00000000-0005-0000-0000-00008E460000}"/>
    <cellStyle name="Примечание 9 35 2" xfId="9621" xr:uid="{00000000-0005-0000-0000-00008F460000}"/>
    <cellStyle name="Примечание 9 35 3" xfId="13871" xr:uid="{00000000-0005-0000-0000-000090460000}"/>
    <cellStyle name="Примечание 9 35 4" xfId="18092" xr:uid="{00000000-0005-0000-0000-000091460000}"/>
    <cellStyle name="Примечание 9 36" xfId="5009" xr:uid="{00000000-0005-0000-0000-000092460000}"/>
    <cellStyle name="Примечание 9 36 2" xfId="9622" xr:uid="{00000000-0005-0000-0000-000093460000}"/>
    <cellStyle name="Примечание 9 36 3" xfId="13872" xr:uid="{00000000-0005-0000-0000-000094460000}"/>
    <cellStyle name="Примечание 9 36 4" xfId="18093" xr:uid="{00000000-0005-0000-0000-000095460000}"/>
    <cellStyle name="Примечание 9 37" xfId="5010" xr:uid="{00000000-0005-0000-0000-000096460000}"/>
    <cellStyle name="Примечание 9 37 2" xfId="9623" xr:uid="{00000000-0005-0000-0000-000097460000}"/>
    <cellStyle name="Примечание 9 37 3" xfId="13873" xr:uid="{00000000-0005-0000-0000-000098460000}"/>
    <cellStyle name="Примечание 9 37 4" xfId="18094" xr:uid="{00000000-0005-0000-0000-000099460000}"/>
    <cellStyle name="Примечание 9 38" xfId="5011" xr:uid="{00000000-0005-0000-0000-00009A460000}"/>
    <cellStyle name="Примечание 9 38 2" xfId="9624" xr:uid="{00000000-0005-0000-0000-00009B460000}"/>
    <cellStyle name="Примечание 9 38 3" xfId="13874" xr:uid="{00000000-0005-0000-0000-00009C460000}"/>
    <cellStyle name="Примечание 9 38 4" xfId="18095" xr:uid="{00000000-0005-0000-0000-00009D460000}"/>
    <cellStyle name="Примечание 9 39" xfId="5012" xr:uid="{00000000-0005-0000-0000-00009E460000}"/>
    <cellStyle name="Примечание 9 39 2" xfId="9625" xr:uid="{00000000-0005-0000-0000-00009F460000}"/>
    <cellStyle name="Примечание 9 39 3" xfId="13875" xr:uid="{00000000-0005-0000-0000-0000A0460000}"/>
    <cellStyle name="Примечание 9 39 4" xfId="18096" xr:uid="{00000000-0005-0000-0000-0000A1460000}"/>
    <cellStyle name="Примечание 9 4" xfId="5013" xr:uid="{00000000-0005-0000-0000-0000A2460000}"/>
    <cellStyle name="Примечание 9 4 2" xfId="5014" xr:uid="{00000000-0005-0000-0000-0000A3460000}"/>
    <cellStyle name="Примечание 9 4 2 2" xfId="9627" xr:uid="{00000000-0005-0000-0000-0000A4460000}"/>
    <cellStyle name="Примечание 9 4 2 3" xfId="13877" xr:uid="{00000000-0005-0000-0000-0000A5460000}"/>
    <cellStyle name="Примечание 9 4 2 4" xfId="18098" xr:uid="{00000000-0005-0000-0000-0000A6460000}"/>
    <cellStyle name="Примечание 9 4 3" xfId="5015" xr:uid="{00000000-0005-0000-0000-0000A7460000}"/>
    <cellStyle name="Примечание 9 4 3 2" xfId="9628" xr:uid="{00000000-0005-0000-0000-0000A8460000}"/>
    <cellStyle name="Примечание 9 4 3 3" xfId="13878" xr:uid="{00000000-0005-0000-0000-0000A9460000}"/>
    <cellStyle name="Примечание 9 4 3 4" xfId="18099" xr:uid="{00000000-0005-0000-0000-0000AA460000}"/>
    <cellStyle name="Примечание 9 4 4" xfId="9626" xr:uid="{00000000-0005-0000-0000-0000AB460000}"/>
    <cellStyle name="Примечание 9 4 5" xfId="13876" xr:uid="{00000000-0005-0000-0000-0000AC460000}"/>
    <cellStyle name="Примечание 9 4 6" xfId="18097" xr:uid="{00000000-0005-0000-0000-0000AD460000}"/>
    <cellStyle name="Примечание 9 40" xfId="5016" xr:uid="{00000000-0005-0000-0000-0000AE460000}"/>
    <cellStyle name="Примечание 9 40 2" xfId="9629" xr:uid="{00000000-0005-0000-0000-0000AF460000}"/>
    <cellStyle name="Примечание 9 40 3" xfId="13879" xr:uid="{00000000-0005-0000-0000-0000B0460000}"/>
    <cellStyle name="Примечание 9 40 4" xfId="18100" xr:uid="{00000000-0005-0000-0000-0000B1460000}"/>
    <cellStyle name="Примечание 9 41" xfId="5017" xr:uid="{00000000-0005-0000-0000-0000B2460000}"/>
    <cellStyle name="Примечание 9 41 2" xfId="9630" xr:uid="{00000000-0005-0000-0000-0000B3460000}"/>
    <cellStyle name="Примечание 9 41 3" xfId="13880" xr:uid="{00000000-0005-0000-0000-0000B4460000}"/>
    <cellStyle name="Примечание 9 41 4" xfId="18101" xr:uid="{00000000-0005-0000-0000-0000B5460000}"/>
    <cellStyle name="Примечание 9 42" xfId="5018" xr:uid="{00000000-0005-0000-0000-0000B6460000}"/>
    <cellStyle name="Примечание 9 42 2" xfId="9631" xr:uid="{00000000-0005-0000-0000-0000B7460000}"/>
    <cellStyle name="Примечание 9 42 3" xfId="13881" xr:uid="{00000000-0005-0000-0000-0000B8460000}"/>
    <cellStyle name="Примечание 9 42 4" xfId="18102" xr:uid="{00000000-0005-0000-0000-0000B9460000}"/>
    <cellStyle name="Примечание 9 43" xfId="5019" xr:uid="{00000000-0005-0000-0000-0000BA460000}"/>
    <cellStyle name="Примечание 9 43 2" xfId="9632" xr:uid="{00000000-0005-0000-0000-0000BB460000}"/>
    <cellStyle name="Примечание 9 43 3" xfId="13882" xr:uid="{00000000-0005-0000-0000-0000BC460000}"/>
    <cellStyle name="Примечание 9 43 4" xfId="18103" xr:uid="{00000000-0005-0000-0000-0000BD460000}"/>
    <cellStyle name="Примечание 9 44" xfId="5020" xr:uid="{00000000-0005-0000-0000-0000BE460000}"/>
    <cellStyle name="Примечание 9 44 2" xfId="9633" xr:uid="{00000000-0005-0000-0000-0000BF460000}"/>
    <cellStyle name="Примечание 9 44 3" xfId="13883" xr:uid="{00000000-0005-0000-0000-0000C0460000}"/>
    <cellStyle name="Примечание 9 44 4" xfId="18104" xr:uid="{00000000-0005-0000-0000-0000C1460000}"/>
    <cellStyle name="Примечание 9 45" xfId="5021" xr:uid="{00000000-0005-0000-0000-0000C2460000}"/>
    <cellStyle name="Примечание 9 45 2" xfId="9634" xr:uid="{00000000-0005-0000-0000-0000C3460000}"/>
    <cellStyle name="Примечание 9 45 3" xfId="13884" xr:uid="{00000000-0005-0000-0000-0000C4460000}"/>
    <cellStyle name="Примечание 9 45 4" xfId="18105" xr:uid="{00000000-0005-0000-0000-0000C5460000}"/>
    <cellStyle name="Примечание 9 46" xfId="5022" xr:uid="{00000000-0005-0000-0000-0000C6460000}"/>
    <cellStyle name="Примечание 9 46 2" xfId="9635" xr:uid="{00000000-0005-0000-0000-0000C7460000}"/>
    <cellStyle name="Примечание 9 46 3" xfId="13885" xr:uid="{00000000-0005-0000-0000-0000C8460000}"/>
    <cellStyle name="Примечание 9 46 4" xfId="18106" xr:uid="{00000000-0005-0000-0000-0000C9460000}"/>
    <cellStyle name="Примечание 9 47" xfId="5023" xr:uid="{00000000-0005-0000-0000-0000CA460000}"/>
    <cellStyle name="Примечание 9 47 2" xfId="9636" xr:uid="{00000000-0005-0000-0000-0000CB460000}"/>
    <cellStyle name="Примечание 9 47 3" xfId="13886" xr:uid="{00000000-0005-0000-0000-0000CC460000}"/>
    <cellStyle name="Примечание 9 47 4" xfId="18107" xr:uid="{00000000-0005-0000-0000-0000CD460000}"/>
    <cellStyle name="Примечание 9 48" xfId="5024" xr:uid="{00000000-0005-0000-0000-0000CE460000}"/>
    <cellStyle name="Примечание 9 48 2" xfId="9637" xr:uid="{00000000-0005-0000-0000-0000CF460000}"/>
    <cellStyle name="Примечание 9 48 3" xfId="13887" xr:uid="{00000000-0005-0000-0000-0000D0460000}"/>
    <cellStyle name="Примечание 9 48 4" xfId="18108" xr:uid="{00000000-0005-0000-0000-0000D1460000}"/>
    <cellStyle name="Примечание 9 49" xfId="5025" xr:uid="{00000000-0005-0000-0000-0000D2460000}"/>
    <cellStyle name="Примечание 9 49 2" xfId="9638" xr:uid="{00000000-0005-0000-0000-0000D3460000}"/>
    <cellStyle name="Примечание 9 49 3" xfId="13888" xr:uid="{00000000-0005-0000-0000-0000D4460000}"/>
    <cellStyle name="Примечание 9 49 4" xfId="18109" xr:uid="{00000000-0005-0000-0000-0000D5460000}"/>
    <cellStyle name="Примечание 9 5" xfId="5026" xr:uid="{00000000-0005-0000-0000-0000D6460000}"/>
    <cellStyle name="Примечание 9 5 2" xfId="9639" xr:uid="{00000000-0005-0000-0000-0000D7460000}"/>
    <cellStyle name="Примечание 9 5 3" xfId="13889" xr:uid="{00000000-0005-0000-0000-0000D8460000}"/>
    <cellStyle name="Примечание 9 5 4" xfId="18110" xr:uid="{00000000-0005-0000-0000-0000D9460000}"/>
    <cellStyle name="Примечание 9 50" xfId="5027" xr:uid="{00000000-0005-0000-0000-0000DA460000}"/>
    <cellStyle name="Примечание 9 50 2" xfId="9640" xr:uid="{00000000-0005-0000-0000-0000DB460000}"/>
    <cellStyle name="Примечание 9 50 3" xfId="13890" xr:uid="{00000000-0005-0000-0000-0000DC460000}"/>
    <cellStyle name="Примечание 9 50 4" xfId="18111" xr:uid="{00000000-0005-0000-0000-0000DD460000}"/>
    <cellStyle name="Примечание 9 51" xfId="5028" xr:uid="{00000000-0005-0000-0000-0000DE460000}"/>
    <cellStyle name="Примечание 9 51 2" xfId="9641" xr:uid="{00000000-0005-0000-0000-0000DF460000}"/>
    <cellStyle name="Примечание 9 51 3" xfId="13891" xr:uid="{00000000-0005-0000-0000-0000E0460000}"/>
    <cellStyle name="Примечание 9 51 4" xfId="18112" xr:uid="{00000000-0005-0000-0000-0000E1460000}"/>
    <cellStyle name="Примечание 9 52" xfId="5029" xr:uid="{00000000-0005-0000-0000-0000E2460000}"/>
    <cellStyle name="Примечание 9 52 2" xfId="9642" xr:uid="{00000000-0005-0000-0000-0000E3460000}"/>
    <cellStyle name="Примечание 9 52 3" xfId="13892" xr:uid="{00000000-0005-0000-0000-0000E4460000}"/>
    <cellStyle name="Примечание 9 52 4" xfId="18113" xr:uid="{00000000-0005-0000-0000-0000E5460000}"/>
    <cellStyle name="Примечание 9 53" xfId="5030" xr:uid="{00000000-0005-0000-0000-0000E6460000}"/>
    <cellStyle name="Примечание 9 53 2" xfId="9643" xr:uid="{00000000-0005-0000-0000-0000E7460000}"/>
    <cellStyle name="Примечание 9 53 3" xfId="13893" xr:uid="{00000000-0005-0000-0000-0000E8460000}"/>
    <cellStyle name="Примечание 9 53 4" xfId="18114" xr:uid="{00000000-0005-0000-0000-0000E9460000}"/>
    <cellStyle name="Примечание 9 54" xfId="5031" xr:uid="{00000000-0005-0000-0000-0000EA460000}"/>
    <cellStyle name="Примечание 9 54 2" xfId="9644" xr:uid="{00000000-0005-0000-0000-0000EB460000}"/>
    <cellStyle name="Примечание 9 54 3" xfId="13894" xr:uid="{00000000-0005-0000-0000-0000EC460000}"/>
    <cellStyle name="Примечание 9 54 4" xfId="18115" xr:uid="{00000000-0005-0000-0000-0000ED460000}"/>
    <cellStyle name="Примечание 9 55" xfId="5032" xr:uid="{00000000-0005-0000-0000-0000EE460000}"/>
    <cellStyle name="Примечание 9 55 2" xfId="9645" xr:uid="{00000000-0005-0000-0000-0000EF460000}"/>
    <cellStyle name="Примечание 9 55 3" xfId="13895" xr:uid="{00000000-0005-0000-0000-0000F0460000}"/>
    <cellStyle name="Примечание 9 55 4" xfId="18116" xr:uid="{00000000-0005-0000-0000-0000F1460000}"/>
    <cellStyle name="Примечание 9 56" xfId="5033" xr:uid="{00000000-0005-0000-0000-0000F2460000}"/>
    <cellStyle name="Примечание 9 56 2" xfId="9646" xr:uid="{00000000-0005-0000-0000-0000F3460000}"/>
    <cellStyle name="Примечание 9 56 3" xfId="13896" xr:uid="{00000000-0005-0000-0000-0000F4460000}"/>
    <cellStyle name="Примечание 9 56 4" xfId="18117" xr:uid="{00000000-0005-0000-0000-0000F5460000}"/>
    <cellStyle name="Примечание 9 57" xfId="5034" xr:uid="{00000000-0005-0000-0000-0000F6460000}"/>
    <cellStyle name="Примечание 9 57 2" xfId="9647" xr:uid="{00000000-0005-0000-0000-0000F7460000}"/>
    <cellStyle name="Примечание 9 57 3" xfId="13897" xr:uid="{00000000-0005-0000-0000-0000F8460000}"/>
    <cellStyle name="Примечание 9 57 4" xfId="18118" xr:uid="{00000000-0005-0000-0000-0000F9460000}"/>
    <cellStyle name="Примечание 9 58" xfId="5035" xr:uid="{00000000-0005-0000-0000-0000FA460000}"/>
    <cellStyle name="Примечание 9 58 2" xfId="9648" xr:uid="{00000000-0005-0000-0000-0000FB460000}"/>
    <cellStyle name="Примечание 9 58 3" xfId="13898" xr:uid="{00000000-0005-0000-0000-0000FC460000}"/>
    <cellStyle name="Примечание 9 58 4" xfId="18119" xr:uid="{00000000-0005-0000-0000-0000FD460000}"/>
    <cellStyle name="Примечание 9 59" xfId="5036" xr:uid="{00000000-0005-0000-0000-0000FE460000}"/>
    <cellStyle name="Примечание 9 59 2" xfId="9649" xr:uid="{00000000-0005-0000-0000-0000FF460000}"/>
    <cellStyle name="Примечание 9 59 3" xfId="13899" xr:uid="{00000000-0005-0000-0000-000000470000}"/>
    <cellStyle name="Примечание 9 59 4" xfId="18120" xr:uid="{00000000-0005-0000-0000-000001470000}"/>
    <cellStyle name="Примечание 9 6" xfId="5037" xr:uid="{00000000-0005-0000-0000-000002470000}"/>
    <cellStyle name="Примечание 9 6 2" xfId="9650" xr:uid="{00000000-0005-0000-0000-000003470000}"/>
    <cellStyle name="Примечание 9 6 3" xfId="13900" xr:uid="{00000000-0005-0000-0000-000004470000}"/>
    <cellStyle name="Примечание 9 6 4" xfId="18121" xr:uid="{00000000-0005-0000-0000-000005470000}"/>
    <cellStyle name="Примечание 9 60" xfId="5038" xr:uid="{00000000-0005-0000-0000-000006470000}"/>
    <cellStyle name="Примечание 9 60 2" xfId="9651" xr:uid="{00000000-0005-0000-0000-000007470000}"/>
    <cellStyle name="Примечание 9 60 3" xfId="13901" xr:uid="{00000000-0005-0000-0000-000008470000}"/>
    <cellStyle name="Примечание 9 60 4" xfId="18122" xr:uid="{00000000-0005-0000-0000-000009470000}"/>
    <cellStyle name="Примечание 9 61" xfId="5039" xr:uid="{00000000-0005-0000-0000-00000A470000}"/>
    <cellStyle name="Примечание 9 61 2" xfId="9652" xr:uid="{00000000-0005-0000-0000-00000B470000}"/>
    <cellStyle name="Примечание 9 61 3" xfId="13902" xr:uid="{00000000-0005-0000-0000-00000C470000}"/>
    <cellStyle name="Примечание 9 61 4" xfId="18123" xr:uid="{00000000-0005-0000-0000-00000D470000}"/>
    <cellStyle name="Примечание 9 62" xfId="5040" xr:uid="{00000000-0005-0000-0000-00000E470000}"/>
    <cellStyle name="Примечание 9 62 2" xfId="9653" xr:uid="{00000000-0005-0000-0000-00000F470000}"/>
    <cellStyle name="Примечание 9 62 3" xfId="13903" xr:uid="{00000000-0005-0000-0000-000010470000}"/>
    <cellStyle name="Примечание 9 62 4" xfId="18124" xr:uid="{00000000-0005-0000-0000-000011470000}"/>
    <cellStyle name="Примечание 9 63" xfId="5041" xr:uid="{00000000-0005-0000-0000-000012470000}"/>
    <cellStyle name="Примечание 9 63 2" xfId="9654" xr:uid="{00000000-0005-0000-0000-000013470000}"/>
    <cellStyle name="Примечание 9 63 3" xfId="13904" xr:uid="{00000000-0005-0000-0000-000014470000}"/>
    <cellStyle name="Примечание 9 63 4" xfId="18125" xr:uid="{00000000-0005-0000-0000-000015470000}"/>
    <cellStyle name="Примечание 9 64" xfId="5042" xr:uid="{00000000-0005-0000-0000-000016470000}"/>
    <cellStyle name="Примечание 9 64 2" xfId="9655" xr:uid="{00000000-0005-0000-0000-000017470000}"/>
    <cellStyle name="Примечание 9 64 3" xfId="13905" xr:uid="{00000000-0005-0000-0000-000018470000}"/>
    <cellStyle name="Примечание 9 64 4" xfId="18126" xr:uid="{00000000-0005-0000-0000-000019470000}"/>
    <cellStyle name="Примечание 9 65" xfId="5043" xr:uid="{00000000-0005-0000-0000-00001A470000}"/>
    <cellStyle name="Примечание 9 65 2" xfId="9656" xr:uid="{00000000-0005-0000-0000-00001B470000}"/>
    <cellStyle name="Примечание 9 65 3" xfId="13906" xr:uid="{00000000-0005-0000-0000-00001C470000}"/>
    <cellStyle name="Примечание 9 65 4" xfId="18127" xr:uid="{00000000-0005-0000-0000-00001D470000}"/>
    <cellStyle name="Примечание 9 66" xfId="5044" xr:uid="{00000000-0005-0000-0000-00001E470000}"/>
    <cellStyle name="Примечание 9 66 2" xfId="9657" xr:uid="{00000000-0005-0000-0000-00001F470000}"/>
    <cellStyle name="Примечание 9 66 3" xfId="13907" xr:uid="{00000000-0005-0000-0000-000020470000}"/>
    <cellStyle name="Примечание 9 66 4" xfId="18128" xr:uid="{00000000-0005-0000-0000-000021470000}"/>
    <cellStyle name="Примечание 9 67" xfId="5045" xr:uid="{00000000-0005-0000-0000-000022470000}"/>
    <cellStyle name="Примечание 9 67 2" xfId="9658" xr:uid="{00000000-0005-0000-0000-000023470000}"/>
    <cellStyle name="Примечание 9 67 3" xfId="13908" xr:uid="{00000000-0005-0000-0000-000024470000}"/>
    <cellStyle name="Примечание 9 67 4" xfId="18129" xr:uid="{00000000-0005-0000-0000-000025470000}"/>
    <cellStyle name="Примечание 9 68" xfId="5046" xr:uid="{00000000-0005-0000-0000-000026470000}"/>
    <cellStyle name="Примечание 9 68 2" xfId="9659" xr:uid="{00000000-0005-0000-0000-000027470000}"/>
    <cellStyle name="Примечание 9 68 3" xfId="13909" xr:uid="{00000000-0005-0000-0000-000028470000}"/>
    <cellStyle name="Примечание 9 68 4" xfId="18130" xr:uid="{00000000-0005-0000-0000-000029470000}"/>
    <cellStyle name="Примечание 9 69" xfId="5047" xr:uid="{00000000-0005-0000-0000-00002A470000}"/>
    <cellStyle name="Примечание 9 69 2" xfId="9660" xr:uid="{00000000-0005-0000-0000-00002B470000}"/>
    <cellStyle name="Примечание 9 69 3" xfId="13910" xr:uid="{00000000-0005-0000-0000-00002C470000}"/>
    <cellStyle name="Примечание 9 69 4" xfId="18131" xr:uid="{00000000-0005-0000-0000-00002D470000}"/>
    <cellStyle name="Примечание 9 7" xfId="5048" xr:uid="{00000000-0005-0000-0000-00002E470000}"/>
    <cellStyle name="Примечание 9 7 2" xfId="9661" xr:uid="{00000000-0005-0000-0000-00002F470000}"/>
    <cellStyle name="Примечание 9 7 3" xfId="13911" xr:uid="{00000000-0005-0000-0000-000030470000}"/>
    <cellStyle name="Примечание 9 7 4" xfId="18132" xr:uid="{00000000-0005-0000-0000-000031470000}"/>
    <cellStyle name="Примечание 9 70" xfId="5049" xr:uid="{00000000-0005-0000-0000-000032470000}"/>
    <cellStyle name="Примечание 9 70 2" xfId="9662" xr:uid="{00000000-0005-0000-0000-000033470000}"/>
    <cellStyle name="Примечание 9 70 3" xfId="13912" xr:uid="{00000000-0005-0000-0000-000034470000}"/>
    <cellStyle name="Примечание 9 70 4" xfId="18133" xr:uid="{00000000-0005-0000-0000-000035470000}"/>
    <cellStyle name="Примечание 9 71" xfId="5050" xr:uid="{00000000-0005-0000-0000-000036470000}"/>
    <cellStyle name="Примечание 9 71 2" xfId="9663" xr:uid="{00000000-0005-0000-0000-000037470000}"/>
    <cellStyle name="Примечание 9 71 3" xfId="13913" xr:uid="{00000000-0005-0000-0000-000038470000}"/>
    <cellStyle name="Примечание 9 71 4" xfId="18134" xr:uid="{00000000-0005-0000-0000-000039470000}"/>
    <cellStyle name="Примечание 9 72" xfId="5051" xr:uid="{00000000-0005-0000-0000-00003A470000}"/>
    <cellStyle name="Примечание 9 72 2" xfId="9664" xr:uid="{00000000-0005-0000-0000-00003B470000}"/>
    <cellStyle name="Примечание 9 72 3" xfId="13914" xr:uid="{00000000-0005-0000-0000-00003C470000}"/>
    <cellStyle name="Примечание 9 72 4" xfId="18135" xr:uid="{00000000-0005-0000-0000-00003D470000}"/>
    <cellStyle name="Примечание 9 73" xfId="5052" xr:uid="{00000000-0005-0000-0000-00003E470000}"/>
    <cellStyle name="Примечание 9 73 2" xfId="9665" xr:uid="{00000000-0005-0000-0000-00003F470000}"/>
    <cellStyle name="Примечание 9 73 3" xfId="13915" xr:uid="{00000000-0005-0000-0000-000040470000}"/>
    <cellStyle name="Примечание 9 73 4" xfId="18136" xr:uid="{00000000-0005-0000-0000-000041470000}"/>
    <cellStyle name="Примечание 9 74" xfId="5053" xr:uid="{00000000-0005-0000-0000-000042470000}"/>
    <cellStyle name="Примечание 9 74 2" xfId="9666" xr:uid="{00000000-0005-0000-0000-000043470000}"/>
    <cellStyle name="Примечание 9 74 3" xfId="13916" xr:uid="{00000000-0005-0000-0000-000044470000}"/>
    <cellStyle name="Примечание 9 74 4" xfId="18137" xr:uid="{00000000-0005-0000-0000-000045470000}"/>
    <cellStyle name="Примечание 9 75" xfId="5054" xr:uid="{00000000-0005-0000-0000-000046470000}"/>
    <cellStyle name="Примечание 9 75 2" xfId="9667" xr:uid="{00000000-0005-0000-0000-000047470000}"/>
    <cellStyle name="Примечание 9 75 3" xfId="13917" xr:uid="{00000000-0005-0000-0000-000048470000}"/>
    <cellStyle name="Примечание 9 75 4" xfId="18138" xr:uid="{00000000-0005-0000-0000-000049470000}"/>
    <cellStyle name="Примечание 9 76" xfId="5055" xr:uid="{00000000-0005-0000-0000-00004A470000}"/>
    <cellStyle name="Примечание 9 76 2" xfId="9668" xr:uid="{00000000-0005-0000-0000-00004B470000}"/>
    <cellStyle name="Примечание 9 76 3" xfId="13918" xr:uid="{00000000-0005-0000-0000-00004C470000}"/>
    <cellStyle name="Примечание 9 76 4" xfId="18139" xr:uid="{00000000-0005-0000-0000-00004D470000}"/>
    <cellStyle name="Примечание 9 77" xfId="5056" xr:uid="{00000000-0005-0000-0000-00004E470000}"/>
    <cellStyle name="Примечание 9 77 2" xfId="9669" xr:uid="{00000000-0005-0000-0000-00004F470000}"/>
    <cellStyle name="Примечание 9 77 3" xfId="13919" xr:uid="{00000000-0005-0000-0000-000050470000}"/>
    <cellStyle name="Примечание 9 77 4" xfId="18140" xr:uid="{00000000-0005-0000-0000-000051470000}"/>
    <cellStyle name="Примечание 9 78" xfId="5057" xr:uid="{00000000-0005-0000-0000-000052470000}"/>
    <cellStyle name="Примечание 9 78 2" xfId="9670" xr:uid="{00000000-0005-0000-0000-000053470000}"/>
    <cellStyle name="Примечание 9 78 3" xfId="13920" xr:uid="{00000000-0005-0000-0000-000054470000}"/>
    <cellStyle name="Примечание 9 78 4" xfId="18141" xr:uid="{00000000-0005-0000-0000-000055470000}"/>
    <cellStyle name="Примечание 9 79" xfId="5058" xr:uid="{00000000-0005-0000-0000-000056470000}"/>
    <cellStyle name="Примечание 9 79 2" xfId="9671" xr:uid="{00000000-0005-0000-0000-000057470000}"/>
    <cellStyle name="Примечание 9 79 3" xfId="13921" xr:uid="{00000000-0005-0000-0000-000058470000}"/>
    <cellStyle name="Примечание 9 79 4" xfId="18142" xr:uid="{00000000-0005-0000-0000-000059470000}"/>
    <cellStyle name="Примечание 9 8" xfId="5059" xr:uid="{00000000-0005-0000-0000-00005A470000}"/>
    <cellStyle name="Примечание 9 8 2" xfId="9672" xr:uid="{00000000-0005-0000-0000-00005B470000}"/>
    <cellStyle name="Примечание 9 8 3" xfId="13922" xr:uid="{00000000-0005-0000-0000-00005C470000}"/>
    <cellStyle name="Примечание 9 8 4" xfId="18143" xr:uid="{00000000-0005-0000-0000-00005D470000}"/>
    <cellStyle name="Примечание 9 80" xfId="5060" xr:uid="{00000000-0005-0000-0000-00005E470000}"/>
    <cellStyle name="Примечание 9 80 2" xfId="9673" xr:uid="{00000000-0005-0000-0000-00005F470000}"/>
    <cellStyle name="Примечание 9 80 3" xfId="13923" xr:uid="{00000000-0005-0000-0000-000060470000}"/>
    <cellStyle name="Примечание 9 80 4" xfId="18144" xr:uid="{00000000-0005-0000-0000-000061470000}"/>
    <cellStyle name="Примечание 9 81" xfId="5061" xr:uid="{00000000-0005-0000-0000-000062470000}"/>
    <cellStyle name="Примечание 9 81 2" xfId="9674" xr:uid="{00000000-0005-0000-0000-000063470000}"/>
    <cellStyle name="Примечание 9 81 3" xfId="13924" xr:uid="{00000000-0005-0000-0000-000064470000}"/>
    <cellStyle name="Примечание 9 81 4" xfId="18145" xr:uid="{00000000-0005-0000-0000-000065470000}"/>
    <cellStyle name="Примечание 9 82" xfId="5062" xr:uid="{00000000-0005-0000-0000-000066470000}"/>
    <cellStyle name="Примечание 9 82 2" xfId="9675" xr:uid="{00000000-0005-0000-0000-000067470000}"/>
    <cellStyle name="Примечание 9 82 3" xfId="13925" xr:uid="{00000000-0005-0000-0000-000068470000}"/>
    <cellStyle name="Примечание 9 82 4" xfId="18146" xr:uid="{00000000-0005-0000-0000-000069470000}"/>
    <cellStyle name="Примечание 9 83" xfId="5063" xr:uid="{00000000-0005-0000-0000-00006A470000}"/>
    <cellStyle name="Примечание 9 83 2" xfId="9676" xr:uid="{00000000-0005-0000-0000-00006B470000}"/>
    <cellStyle name="Примечание 9 83 3" xfId="13926" xr:uid="{00000000-0005-0000-0000-00006C470000}"/>
    <cellStyle name="Примечание 9 83 4" xfId="18147" xr:uid="{00000000-0005-0000-0000-00006D470000}"/>
    <cellStyle name="Примечание 9 84" xfId="5064" xr:uid="{00000000-0005-0000-0000-00006E470000}"/>
    <cellStyle name="Примечание 9 84 2" xfId="9677" xr:uid="{00000000-0005-0000-0000-00006F470000}"/>
    <cellStyle name="Примечание 9 84 3" xfId="13927" xr:uid="{00000000-0005-0000-0000-000070470000}"/>
    <cellStyle name="Примечание 9 84 4" xfId="18148" xr:uid="{00000000-0005-0000-0000-000071470000}"/>
    <cellStyle name="Примечание 9 85" xfId="5065" xr:uid="{00000000-0005-0000-0000-000072470000}"/>
    <cellStyle name="Примечание 9 85 2" xfId="9678" xr:uid="{00000000-0005-0000-0000-000073470000}"/>
    <cellStyle name="Примечание 9 85 3" xfId="13928" xr:uid="{00000000-0005-0000-0000-000074470000}"/>
    <cellStyle name="Примечание 9 85 4" xfId="18149" xr:uid="{00000000-0005-0000-0000-000075470000}"/>
    <cellStyle name="Примечание 9 86" xfId="5066" xr:uid="{00000000-0005-0000-0000-000076470000}"/>
    <cellStyle name="Примечание 9 86 2" xfId="9679" xr:uid="{00000000-0005-0000-0000-000077470000}"/>
    <cellStyle name="Примечание 9 86 3" xfId="13929" xr:uid="{00000000-0005-0000-0000-000078470000}"/>
    <cellStyle name="Примечание 9 86 4" xfId="18150" xr:uid="{00000000-0005-0000-0000-000079470000}"/>
    <cellStyle name="Примечание 9 87" xfId="5067" xr:uid="{00000000-0005-0000-0000-00007A470000}"/>
    <cellStyle name="Примечание 9 87 2" xfId="9680" xr:uid="{00000000-0005-0000-0000-00007B470000}"/>
    <cellStyle name="Примечание 9 87 3" xfId="13930" xr:uid="{00000000-0005-0000-0000-00007C470000}"/>
    <cellStyle name="Примечание 9 87 4" xfId="18151" xr:uid="{00000000-0005-0000-0000-00007D470000}"/>
    <cellStyle name="Примечание 9 88" xfId="5068" xr:uid="{00000000-0005-0000-0000-00007E470000}"/>
    <cellStyle name="Примечание 9 88 2" xfId="9681" xr:uid="{00000000-0005-0000-0000-00007F470000}"/>
    <cellStyle name="Примечание 9 88 3" xfId="13931" xr:uid="{00000000-0005-0000-0000-000080470000}"/>
    <cellStyle name="Примечание 9 88 4" xfId="18152" xr:uid="{00000000-0005-0000-0000-000081470000}"/>
    <cellStyle name="Примечание 9 89" xfId="5069" xr:uid="{00000000-0005-0000-0000-000082470000}"/>
    <cellStyle name="Примечание 9 89 2" xfId="9682" xr:uid="{00000000-0005-0000-0000-000083470000}"/>
    <cellStyle name="Примечание 9 89 3" xfId="13932" xr:uid="{00000000-0005-0000-0000-000084470000}"/>
    <cellStyle name="Примечание 9 89 4" xfId="18153" xr:uid="{00000000-0005-0000-0000-000085470000}"/>
    <cellStyle name="Примечание 9 9" xfId="5070" xr:uid="{00000000-0005-0000-0000-000086470000}"/>
    <cellStyle name="Примечание 9 9 2" xfId="9683" xr:uid="{00000000-0005-0000-0000-000087470000}"/>
    <cellStyle name="Примечание 9 9 3" xfId="13933" xr:uid="{00000000-0005-0000-0000-000088470000}"/>
    <cellStyle name="Примечание 9 9 4" xfId="18154" xr:uid="{00000000-0005-0000-0000-000089470000}"/>
    <cellStyle name="Примечание 9 90" xfId="5222" xr:uid="{00000000-0005-0000-0000-00008A470000}"/>
    <cellStyle name="Примечание 9 91" xfId="8823" xr:uid="{00000000-0005-0000-0000-00008B470000}"/>
    <cellStyle name="Примечание 9 92" xfId="13073" xr:uid="{00000000-0005-0000-0000-00008C470000}"/>
    <cellStyle name="Процентный 2" xfId="436" xr:uid="{00000000-0005-0000-0000-00008D470000}"/>
    <cellStyle name="Процентный 2 10" xfId="437" xr:uid="{00000000-0005-0000-0000-00008E470000}"/>
    <cellStyle name="Процентный 2 11" xfId="438" xr:uid="{00000000-0005-0000-0000-00008F470000}"/>
    <cellStyle name="Процентный 2 12" xfId="439" xr:uid="{00000000-0005-0000-0000-000090470000}"/>
    <cellStyle name="Процентный 2 13" xfId="440" xr:uid="{00000000-0005-0000-0000-000091470000}"/>
    <cellStyle name="Процентный 2 14" xfId="441" xr:uid="{00000000-0005-0000-0000-000092470000}"/>
    <cellStyle name="Процентный 2 15" xfId="442" xr:uid="{00000000-0005-0000-0000-000093470000}"/>
    <cellStyle name="Процентный 2 16" xfId="443" xr:uid="{00000000-0005-0000-0000-000094470000}"/>
    <cellStyle name="Процентный 2 17" xfId="444" xr:uid="{00000000-0005-0000-0000-000095470000}"/>
    <cellStyle name="Процентный 2 18" xfId="445" xr:uid="{00000000-0005-0000-0000-000096470000}"/>
    <cellStyle name="Процентный 2 19" xfId="446" xr:uid="{00000000-0005-0000-0000-000097470000}"/>
    <cellStyle name="Процентный 2 2" xfId="447" xr:uid="{00000000-0005-0000-0000-000098470000}"/>
    <cellStyle name="Процентный 2 2 10" xfId="448" xr:uid="{00000000-0005-0000-0000-000099470000}"/>
    <cellStyle name="Процентный 2 2 11" xfId="449" xr:uid="{00000000-0005-0000-0000-00009A470000}"/>
    <cellStyle name="Процентный 2 2 12" xfId="450" xr:uid="{00000000-0005-0000-0000-00009B470000}"/>
    <cellStyle name="Процентный 2 2 13" xfId="451" xr:uid="{00000000-0005-0000-0000-00009C470000}"/>
    <cellStyle name="Процентный 2 2 14" xfId="452" xr:uid="{00000000-0005-0000-0000-00009D470000}"/>
    <cellStyle name="Процентный 2 2 15" xfId="453" xr:uid="{00000000-0005-0000-0000-00009E470000}"/>
    <cellStyle name="Процентный 2 2 16" xfId="454" xr:uid="{00000000-0005-0000-0000-00009F470000}"/>
    <cellStyle name="Процентный 2 2 17" xfId="455" xr:uid="{00000000-0005-0000-0000-0000A0470000}"/>
    <cellStyle name="Процентный 2 2 18" xfId="456" xr:uid="{00000000-0005-0000-0000-0000A1470000}"/>
    <cellStyle name="Процентный 2 2 19" xfId="457" xr:uid="{00000000-0005-0000-0000-0000A2470000}"/>
    <cellStyle name="Процентный 2 2 2" xfId="458" xr:uid="{00000000-0005-0000-0000-0000A3470000}"/>
    <cellStyle name="Процентный 2 2 2 10" xfId="459" xr:uid="{00000000-0005-0000-0000-0000A4470000}"/>
    <cellStyle name="Процентный 2 2 2 11" xfId="460" xr:uid="{00000000-0005-0000-0000-0000A5470000}"/>
    <cellStyle name="Процентный 2 2 2 12" xfId="461" xr:uid="{00000000-0005-0000-0000-0000A6470000}"/>
    <cellStyle name="Процентный 2 2 2 13" xfId="462" xr:uid="{00000000-0005-0000-0000-0000A7470000}"/>
    <cellStyle name="Процентный 2 2 2 14" xfId="463" xr:uid="{00000000-0005-0000-0000-0000A8470000}"/>
    <cellStyle name="Процентный 2 2 2 15" xfId="464" xr:uid="{00000000-0005-0000-0000-0000A9470000}"/>
    <cellStyle name="Процентный 2 2 2 16" xfId="465" xr:uid="{00000000-0005-0000-0000-0000AA470000}"/>
    <cellStyle name="Процентный 2 2 2 17" xfId="466" xr:uid="{00000000-0005-0000-0000-0000AB470000}"/>
    <cellStyle name="Процентный 2 2 2 18" xfId="467" xr:uid="{00000000-0005-0000-0000-0000AC470000}"/>
    <cellStyle name="Процентный 2 2 2 19" xfId="468" xr:uid="{00000000-0005-0000-0000-0000AD470000}"/>
    <cellStyle name="Процентный 2 2 2 2" xfId="469" xr:uid="{00000000-0005-0000-0000-0000AE470000}"/>
    <cellStyle name="Процентный 2 2 2 20" xfId="470" xr:uid="{00000000-0005-0000-0000-0000AF470000}"/>
    <cellStyle name="Процентный 2 2 2 3" xfId="471" xr:uid="{00000000-0005-0000-0000-0000B0470000}"/>
    <cellStyle name="Процентный 2 2 2 4" xfId="472" xr:uid="{00000000-0005-0000-0000-0000B1470000}"/>
    <cellStyle name="Процентный 2 2 2 5" xfId="473" xr:uid="{00000000-0005-0000-0000-0000B2470000}"/>
    <cellStyle name="Процентный 2 2 2 6" xfId="474" xr:uid="{00000000-0005-0000-0000-0000B3470000}"/>
    <cellStyle name="Процентный 2 2 2 7" xfId="475" xr:uid="{00000000-0005-0000-0000-0000B4470000}"/>
    <cellStyle name="Процентный 2 2 2 8" xfId="476" xr:uid="{00000000-0005-0000-0000-0000B5470000}"/>
    <cellStyle name="Процентный 2 2 2 9" xfId="477" xr:uid="{00000000-0005-0000-0000-0000B6470000}"/>
    <cellStyle name="Процентный 2 2 20" xfId="478" xr:uid="{00000000-0005-0000-0000-0000B7470000}"/>
    <cellStyle name="Процентный 2 2 21" xfId="479" xr:uid="{00000000-0005-0000-0000-0000B8470000}"/>
    <cellStyle name="Процентный 2 2 22" xfId="480" xr:uid="{00000000-0005-0000-0000-0000B9470000}"/>
    <cellStyle name="Процентный 2 2 3" xfId="481" xr:uid="{00000000-0005-0000-0000-0000BA470000}"/>
    <cellStyle name="Процентный 2 2 3 10" xfId="482" xr:uid="{00000000-0005-0000-0000-0000BB470000}"/>
    <cellStyle name="Процентный 2 2 3 11" xfId="483" xr:uid="{00000000-0005-0000-0000-0000BC470000}"/>
    <cellStyle name="Процентный 2 2 3 12" xfId="484" xr:uid="{00000000-0005-0000-0000-0000BD470000}"/>
    <cellStyle name="Процентный 2 2 3 13" xfId="485" xr:uid="{00000000-0005-0000-0000-0000BE470000}"/>
    <cellStyle name="Процентный 2 2 3 14" xfId="486" xr:uid="{00000000-0005-0000-0000-0000BF470000}"/>
    <cellStyle name="Процентный 2 2 3 15" xfId="487" xr:uid="{00000000-0005-0000-0000-0000C0470000}"/>
    <cellStyle name="Процентный 2 2 3 16" xfId="488" xr:uid="{00000000-0005-0000-0000-0000C1470000}"/>
    <cellStyle name="Процентный 2 2 3 17" xfId="489" xr:uid="{00000000-0005-0000-0000-0000C2470000}"/>
    <cellStyle name="Процентный 2 2 3 18" xfId="490" xr:uid="{00000000-0005-0000-0000-0000C3470000}"/>
    <cellStyle name="Процентный 2 2 3 19" xfId="491" xr:uid="{00000000-0005-0000-0000-0000C4470000}"/>
    <cellStyle name="Процентный 2 2 3 2" xfId="492" xr:uid="{00000000-0005-0000-0000-0000C5470000}"/>
    <cellStyle name="Процентный 2 2 3 20" xfId="493" xr:uid="{00000000-0005-0000-0000-0000C6470000}"/>
    <cellStyle name="Процентный 2 2 3 3" xfId="494" xr:uid="{00000000-0005-0000-0000-0000C7470000}"/>
    <cellStyle name="Процентный 2 2 3 4" xfId="495" xr:uid="{00000000-0005-0000-0000-0000C8470000}"/>
    <cellStyle name="Процентный 2 2 3 5" xfId="496" xr:uid="{00000000-0005-0000-0000-0000C9470000}"/>
    <cellStyle name="Процентный 2 2 3 6" xfId="497" xr:uid="{00000000-0005-0000-0000-0000CA470000}"/>
    <cellStyle name="Процентный 2 2 3 7" xfId="498" xr:uid="{00000000-0005-0000-0000-0000CB470000}"/>
    <cellStyle name="Процентный 2 2 3 8" xfId="499" xr:uid="{00000000-0005-0000-0000-0000CC470000}"/>
    <cellStyle name="Процентный 2 2 3 9" xfId="500" xr:uid="{00000000-0005-0000-0000-0000CD470000}"/>
    <cellStyle name="Процентный 2 2 4" xfId="501" xr:uid="{00000000-0005-0000-0000-0000CE470000}"/>
    <cellStyle name="Процентный 2 2 5" xfId="502" xr:uid="{00000000-0005-0000-0000-0000CF470000}"/>
    <cellStyle name="Процентный 2 2 6" xfId="503" xr:uid="{00000000-0005-0000-0000-0000D0470000}"/>
    <cellStyle name="Процентный 2 2 7" xfId="504" xr:uid="{00000000-0005-0000-0000-0000D1470000}"/>
    <cellStyle name="Процентный 2 2 8" xfId="505" xr:uid="{00000000-0005-0000-0000-0000D2470000}"/>
    <cellStyle name="Процентный 2 2 9" xfId="506" xr:uid="{00000000-0005-0000-0000-0000D3470000}"/>
    <cellStyle name="Процентный 2 20" xfId="507" xr:uid="{00000000-0005-0000-0000-0000D4470000}"/>
    <cellStyle name="Процентный 2 21" xfId="508" xr:uid="{00000000-0005-0000-0000-0000D5470000}"/>
    <cellStyle name="Процентный 2 22" xfId="509" xr:uid="{00000000-0005-0000-0000-0000D6470000}"/>
    <cellStyle name="Процентный 2 3" xfId="510" xr:uid="{00000000-0005-0000-0000-0000D7470000}"/>
    <cellStyle name="Процентный 2 3 10" xfId="511" xr:uid="{00000000-0005-0000-0000-0000D8470000}"/>
    <cellStyle name="Процентный 2 3 11" xfId="512" xr:uid="{00000000-0005-0000-0000-0000D9470000}"/>
    <cellStyle name="Процентный 2 3 12" xfId="513" xr:uid="{00000000-0005-0000-0000-0000DA470000}"/>
    <cellStyle name="Процентный 2 3 13" xfId="514" xr:uid="{00000000-0005-0000-0000-0000DB470000}"/>
    <cellStyle name="Процентный 2 3 14" xfId="515" xr:uid="{00000000-0005-0000-0000-0000DC470000}"/>
    <cellStyle name="Процентный 2 3 15" xfId="516" xr:uid="{00000000-0005-0000-0000-0000DD470000}"/>
    <cellStyle name="Процентный 2 3 16" xfId="517" xr:uid="{00000000-0005-0000-0000-0000DE470000}"/>
    <cellStyle name="Процентный 2 3 17" xfId="518" xr:uid="{00000000-0005-0000-0000-0000DF470000}"/>
    <cellStyle name="Процентный 2 3 18" xfId="519" xr:uid="{00000000-0005-0000-0000-0000E0470000}"/>
    <cellStyle name="Процентный 2 3 19" xfId="520" xr:uid="{00000000-0005-0000-0000-0000E1470000}"/>
    <cellStyle name="Процентный 2 3 2" xfId="521" xr:uid="{00000000-0005-0000-0000-0000E2470000}"/>
    <cellStyle name="Процентный 2 3 20" xfId="522" xr:uid="{00000000-0005-0000-0000-0000E3470000}"/>
    <cellStyle name="Процентный 2 3 3" xfId="523" xr:uid="{00000000-0005-0000-0000-0000E4470000}"/>
    <cellStyle name="Процентный 2 3 4" xfId="524" xr:uid="{00000000-0005-0000-0000-0000E5470000}"/>
    <cellStyle name="Процентный 2 3 5" xfId="525" xr:uid="{00000000-0005-0000-0000-0000E6470000}"/>
    <cellStyle name="Процентный 2 3 6" xfId="526" xr:uid="{00000000-0005-0000-0000-0000E7470000}"/>
    <cellStyle name="Процентный 2 3 7" xfId="527" xr:uid="{00000000-0005-0000-0000-0000E8470000}"/>
    <cellStyle name="Процентный 2 3 8" xfId="528" xr:uid="{00000000-0005-0000-0000-0000E9470000}"/>
    <cellStyle name="Процентный 2 3 9" xfId="529" xr:uid="{00000000-0005-0000-0000-0000EA470000}"/>
    <cellStyle name="Процентный 2 4" xfId="530" xr:uid="{00000000-0005-0000-0000-0000EB470000}"/>
    <cellStyle name="Процентный 2 5" xfId="531" xr:uid="{00000000-0005-0000-0000-0000EC470000}"/>
    <cellStyle name="Процентный 2 6" xfId="532" xr:uid="{00000000-0005-0000-0000-0000ED470000}"/>
    <cellStyle name="Процентный 2 7" xfId="533" xr:uid="{00000000-0005-0000-0000-0000EE470000}"/>
    <cellStyle name="Процентный 2 8" xfId="534" xr:uid="{00000000-0005-0000-0000-0000EF470000}"/>
    <cellStyle name="Процентный 2 9" xfId="535" xr:uid="{00000000-0005-0000-0000-0000F0470000}"/>
    <cellStyle name="Связанная ячейка 10" xfId="536" xr:uid="{00000000-0005-0000-0000-0000F1470000}"/>
    <cellStyle name="Связанная ячейка 2" xfId="537" xr:uid="{00000000-0005-0000-0000-0000F2470000}"/>
    <cellStyle name="Связанная ячейка 3" xfId="538" xr:uid="{00000000-0005-0000-0000-0000F3470000}"/>
    <cellStyle name="Связанная ячейка 4" xfId="539" xr:uid="{00000000-0005-0000-0000-0000F4470000}"/>
    <cellStyle name="Связанная ячейка 5" xfId="540" xr:uid="{00000000-0005-0000-0000-0000F5470000}"/>
    <cellStyle name="Связанная ячейка 6" xfId="541" xr:uid="{00000000-0005-0000-0000-0000F6470000}"/>
    <cellStyle name="Связанная ячейка 7" xfId="542" xr:uid="{00000000-0005-0000-0000-0000F7470000}"/>
    <cellStyle name="Связанная ячейка 8" xfId="543" xr:uid="{00000000-0005-0000-0000-0000F8470000}"/>
    <cellStyle name="Связанная ячейка 9" xfId="544" xr:uid="{00000000-0005-0000-0000-0000F9470000}"/>
    <cellStyle name="Стиль 1" xfId="545" xr:uid="{00000000-0005-0000-0000-0000FA470000}"/>
    <cellStyle name="Стиль 1 2" xfId="5276" xr:uid="{00000000-0005-0000-0000-0000FB470000}"/>
    <cellStyle name="Стиль 1 3" xfId="5176" xr:uid="{00000000-0005-0000-0000-0000FC470000}"/>
    <cellStyle name="Стиль 1 4" xfId="5213" xr:uid="{00000000-0005-0000-0000-0000FD470000}"/>
    <cellStyle name="Текст предупреждения 10" xfId="546" xr:uid="{00000000-0005-0000-0000-0000FE470000}"/>
    <cellStyle name="Текст предупреждения 2" xfId="547" xr:uid="{00000000-0005-0000-0000-0000FF470000}"/>
    <cellStyle name="Текст предупреждения 3" xfId="548" xr:uid="{00000000-0005-0000-0000-000000480000}"/>
    <cellStyle name="Текст предупреждения 4" xfId="549" xr:uid="{00000000-0005-0000-0000-000001480000}"/>
    <cellStyle name="Текст предупреждения 5" xfId="550" xr:uid="{00000000-0005-0000-0000-000002480000}"/>
    <cellStyle name="Текст предупреждения 6" xfId="551" xr:uid="{00000000-0005-0000-0000-000003480000}"/>
    <cellStyle name="Текст предупреждения 7" xfId="552" xr:uid="{00000000-0005-0000-0000-000004480000}"/>
    <cellStyle name="Текст предупреждения 8" xfId="553" xr:uid="{00000000-0005-0000-0000-000005480000}"/>
    <cellStyle name="Текст предупреждения 9" xfId="554" xr:uid="{00000000-0005-0000-0000-000006480000}"/>
    <cellStyle name="Финансовый [0] 2" xfId="555" xr:uid="{00000000-0005-0000-0000-000007480000}"/>
    <cellStyle name="Финансовый [0] 3" xfId="556" xr:uid="{00000000-0005-0000-0000-000008480000}"/>
    <cellStyle name="Финансовый 10" xfId="5071" xr:uid="{00000000-0005-0000-0000-000009480000}"/>
    <cellStyle name="Финансовый 10 2" xfId="5072" xr:uid="{00000000-0005-0000-0000-00000A480000}"/>
    <cellStyle name="Финансовый 10 2 2" xfId="5073" xr:uid="{00000000-0005-0000-0000-00000B480000}"/>
    <cellStyle name="Финансовый 10 2 2 2" xfId="18515" xr:uid="{00000000-0005-0000-0000-00000C480000}"/>
    <cellStyle name="Финансовый 10 2 2 3" xfId="18516" xr:uid="{00000000-0005-0000-0000-00000D480000}"/>
    <cellStyle name="Финансовый 10 2 3" xfId="18517" xr:uid="{00000000-0005-0000-0000-00000E480000}"/>
    <cellStyle name="Финансовый 10 2 4" xfId="18518" xr:uid="{00000000-0005-0000-0000-00000F480000}"/>
    <cellStyle name="Финансовый 10 3" xfId="5074" xr:uid="{00000000-0005-0000-0000-000010480000}"/>
    <cellStyle name="Финансовый 10 3 2" xfId="18519" xr:uid="{00000000-0005-0000-0000-000011480000}"/>
    <cellStyle name="Финансовый 10 3 3" xfId="18520" xr:uid="{00000000-0005-0000-0000-000012480000}"/>
    <cellStyle name="Финансовый 10 4" xfId="5075" xr:uid="{00000000-0005-0000-0000-000013480000}"/>
    <cellStyle name="Финансовый 10 4 2" xfId="18521" xr:uid="{00000000-0005-0000-0000-000014480000}"/>
    <cellStyle name="Финансовый 10 4 3" xfId="18522" xr:uid="{00000000-0005-0000-0000-000015480000}"/>
    <cellStyle name="Финансовый 10 5" xfId="5076" xr:uid="{00000000-0005-0000-0000-000016480000}"/>
    <cellStyle name="Финансовый 10 5 2" xfId="18523" xr:uid="{00000000-0005-0000-0000-000017480000}"/>
    <cellStyle name="Финансовый 10 5 3" xfId="18524" xr:uid="{00000000-0005-0000-0000-000018480000}"/>
    <cellStyle name="Финансовый 10 6" xfId="5077" xr:uid="{00000000-0005-0000-0000-000019480000}"/>
    <cellStyle name="Финансовый 10 6 2" xfId="9689" xr:uid="{00000000-0005-0000-0000-00001A480000}"/>
    <cellStyle name="Финансовый 10 6 3" xfId="13934" xr:uid="{00000000-0005-0000-0000-00001B480000}"/>
    <cellStyle name="Финансовый 10 6 4" xfId="18155" xr:uid="{00000000-0005-0000-0000-00001C480000}"/>
    <cellStyle name="Финансовый 10 7" xfId="18168" xr:uid="{00000000-0005-0000-0000-00001D480000}"/>
    <cellStyle name="Финансовый 10 7 2" xfId="18525" xr:uid="{00000000-0005-0000-0000-00001E480000}"/>
    <cellStyle name="Финансовый 10 7 3" xfId="18526" xr:uid="{00000000-0005-0000-0000-00001F480000}"/>
    <cellStyle name="Финансовый 10 8" xfId="18527" xr:uid="{00000000-0005-0000-0000-000020480000}"/>
    <cellStyle name="Финансовый 10 9" xfId="18528" xr:uid="{00000000-0005-0000-0000-000021480000}"/>
    <cellStyle name="Финансовый 11" xfId="18169" xr:uid="{00000000-0005-0000-0000-000022480000}"/>
    <cellStyle name="Финансовый 12" xfId="18170" xr:uid="{00000000-0005-0000-0000-000023480000}"/>
    <cellStyle name="Финансовый 13" xfId="18171" xr:uid="{00000000-0005-0000-0000-000024480000}"/>
    <cellStyle name="Финансовый 14" xfId="18172" xr:uid="{00000000-0005-0000-0000-000025480000}"/>
    <cellStyle name="Финансовый 15" xfId="18173" xr:uid="{00000000-0005-0000-0000-000026480000}"/>
    <cellStyle name="Финансовый 16" xfId="18174" xr:uid="{00000000-0005-0000-0000-000027480000}"/>
    <cellStyle name="Финансовый 16 2" xfId="18529" xr:uid="{00000000-0005-0000-0000-000028480000}"/>
    <cellStyle name="Финансовый 16 3" xfId="18530" xr:uid="{00000000-0005-0000-0000-000029480000}"/>
    <cellStyle name="Финансовый 2" xfId="557" xr:uid="{00000000-0005-0000-0000-00002A480000}"/>
    <cellStyle name="Финансовый 2 10" xfId="558" xr:uid="{00000000-0005-0000-0000-00002B480000}"/>
    <cellStyle name="Финансовый 2 11" xfId="559" xr:uid="{00000000-0005-0000-0000-00002C480000}"/>
    <cellStyle name="Финансовый 2 12" xfId="560" xr:uid="{00000000-0005-0000-0000-00002D480000}"/>
    <cellStyle name="Финансовый 2 13" xfId="561" xr:uid="{00000000-0005-0000-0000-00002E480000}"/>
    <cellStyle name="Финансовый 2 14" xfId="562" xr:uid="{00000000-0005-0000-0000-00002F480000}"/>
    <cellStyle name="Финансовый 2 15" xfId="563" xr:uid="{00000000-0005-0000-0000-000030480000}"/>
    <cellStyle name="Финансовый 2 16" xfId="564" xr:uid="{00000000-0005-0000-0000-000031480000}"/>
    <cellStyle name="Финансовый 2 17" xfId="565" xr:uid="{00000000-0005-0000-0000-000032480000}"/>
    <cellStyle name="Финансовый 2 18" xfId="566" xr:uid="{00000000-0005-0000-0000-000033480000}"/>
    <cellStyle name="Финансовый 2 19" xfId="567" xr:uid="{00000000-0005-0000-0000-000034480000}"/>
    <cellStyle name="Финансовый 2 2" xfId="568" xr:uid="{00000000-0005-0000-0000-000035480000}"/>
    <cellStyle name="Финансовый 2 20" xfId="569" xr:uid="{00000000-0005-0000-0000-000036480000}"/>
    <cellStyle name="Финансовый 2 21" xfId="570" xr:uid="{00000000-0005-0000-0000-000037480000}"/>
    <cellStyle name="Финансовый 2 21 2" xfId="5078" xr:uid="{00000000-0005-0000-0000-000038480000}"/>
    <cellStyle name="Финансовый 2 22" xfId="571" xr:uid="{00000000-0005-0000-0000-000039480000}"/>
    <cellStyle name="Финансовый 2 22 2" xfId="5079" xr:uid="{00000000-0005-0000-0000-00003A480000}"/>
    <cellStyle name="Финансовый 2 3" xfId="572" xr:uid="{00000000-0005-0000-0000-00003B480000}"/>
    <cellStyle name="Финансовый 2 4" xfId="573" xr:uid="{00000000-0005-0000-0000-00003C480000}"/>
    <cellStyle name="Финансовый 2 5" xfId="574" xr:uid="{00000000-0005-0000-0000-00003D480000}"/>
    <cellStyle name="Финансовый 2 6" xfId="575" xr:uid="{00000000-0005-0000-0000-00003E480000}"/>
    <cellStyle name="Финансовый 2 7" xfId="576" xr:uid="{00000000-0005-0000-0000-00003F480000}"/>
    <cellStyle name="Финансовый 2 8" xfId="577" xr:uid="{00000000-0005-0000-0000-000040480000}"/>
    <cellStyle name="Финансовый 2 9" xfId="578" xr:uid="{00000000-0005-0000-0000-000041480000}"/>
    <cellStyle name="Финансовый 3" xfId="579" xr:uid="{00000000-0005-0000-0000-000042480000}"/>
    <cellStyle name="Финансовый 3 10" xfId="580" xr:uid="{00000000-0005-0000-0000-000043480000}"/>
    <cellStyle name="Финансовый 3 11" xfId="581" xr:uid="{00000000-0005-0000-0000-000044480000}"/>
    <cellStyle name="Финансовый 3 12" xfId="582" xr:uid="{00000000-0005-0000-0000-000045480000}"/>
    <cellStyle name="Финансовый 3 13" xfId="583" xr:uid="{00000000-0005-0000-0000-000046480000}"/>
    <cellStyle name="Финансовый 3 14" xfId="584" xr:uid="{00000000-0005-0000-0000-000047480000}"/>
    <cellStyle name="Финансовый 3 15" xfId="585" xr:uid="{00000000-0005-0000-0000-000048480000}"/>
    <cellStyle name="Финансовый 3 16" xfId="586" xr:uid="{00000000-0005-0000-0000-000049480000}"/>
    <cellStyle name="Финансовый 3 17" xfId="587" xr:uid="{00000000-0005-0000-0000-00004A480000}"/>
    <cellStyle name="Финансовый 3 18" xfId="588" xr:uid="{00000000-0005-0000-0000-00004B480000}"/>
    <cellStyle name="Финансовый 3 19" xfId="589" xr:uid="{00000000-0005-0000-0000-00004C480000}"/>
    <cellStyle name="Финансовый 3 2" xfId="590" xr:uid="{00000000-0005-0000-0000-00004D480000}"/>
    <cellStyle name="Финансовый 3 20" xfId="591" xr:uid="{00000000-0005-0000-0000-00004E480000}"/>
    <cellStyle name="Финансовый 3 3" xfId="592" xr:uid="{00000000-0005-0000-0000-00004F480000}"/>
    <cellStyle name="Финансовый 3 4" xfId="593" xr:uid="{00000000-0005-0000-0000-000050480000}"/>
    <cellStyle name="Финансовый 3 5" xfId="594" xr:uid="{00000000-0005-0000-0000-000051480000}"/>
    <cellStyle name="Финансовый 3 6" xfId="595" xr:uid="{00000000-0005-0000-0000-000052480000}"/>
    <cellStyle name="Финансовый 3 7" xfId="596" xr:uid="{00000000-0005-0000-0000-000053480000}"/>
    <cellStyle name="Финансовый 3 8" xfId="597" xr:uid="{00000000-0005-0000-0000-000054480000}"/>
    <cellStyle name="Финансовый 3 9" xfId="598" xr:uid="{00000000-0005-0000-0000-000055480000}"/>
    <cellStyle name="Финансовый 4" xfId="599" xr:uid="{00000000-0005-0000-0000-000056480000}"/>
    <cellStyle name="Финансовый 5" xfId="600" xr:uid="{00000000-0005-0000-0000-000057480000}"/>
    <cellStyle name="Финансовый 5 2" xfId="5080" xr:uid="{00000000-0005-0000-0000-000058480000}"/>
    <cellStyle name="Финансовый 6" xfId="601" xr:uid="{00000000-0005-0000-0000-000059480000}"/>
    <cellStyle name="Финансовый 6 2" xfId="5081" xr:uid="{00000000-0005-0000-0000-00005A480000}"/>
    <cellStyle name="Финансовый 7" xfId="602" xr:uid="{00000000-0005-0000-0000-00005B480000}"/>
    <cellStyle name="Финансовый 7 2" xfId="5082" xr:uid="{00000000-0005-0000-0000-00005C480000}"/>
    <cellStyle name="Финансовый 8" xfId="5083" xr:uid="{00000000-0005-0000-0000-00005D480000}"/>
    <cellStyle name="Финансовый 9" xfId="5084" xr:uid="{00000000-0005-0000-0000-00005E480000}"/>
    <cellStyle name="Финансовый 9 2" xfId="5085" xr:uid="{00000000-0005-0000-0000-00005F480000}"/>
    <cellStyle name="Хороший 10" xfId="603" xr:uid="{00000000-0005-0000-0000-000060480000}"/>
    <cellStyle name="Хороший 2" xfId="604" xr:uid="{00000000-0005-0000-0000-000061480000}"/>
    <cellStyle name="Хороший 3" xfId="605" xr:uid="{00000000-0005-0000-0000-000062480000}"/>
    <cellStyle name="Хороший 4" xfId="606" xr:uid="{00000000-0005-0000-0000-000063480000}"/>
    <cellStyle name="Хороший 5" xfId="607" xr:uid="{00000000-0005-0000-0000-000064480000}"/>
    <cellStyle name="Хороший 6" xfId="608" xr:uid="{00000000-0005-0000-0000-000065480000}"/>
    <cellStyle name="Хороший 7" xfId="609" xr:uid="{00000000-0005-0000-0000-000066480000}"/>
    <cellStyle name="Хороший 8" xfId="610" xr:uid="{00000000-0005-0000-0000-000067480000}"/>
    <cellStyle name="Хороший 9" xfId="611" xr:uid="{00000000-0005-0000-0000-000068480000}"/>
  </cellStyles>
  <dxfs count="0"/>
  <tableStyles count="0" defaultTableStyle="TableStyleMedium9" defaultPivotStyle="PivotStyleLight16"/>
  <colors>
    <mruColors>
      <color rgb="FFC0FE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72/22_08_2018_%20&#1087;&#1088;&#1080;&#1083;&#1086;&#1078;&#1077;&#1085;&#1080;&#1077;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89/22_08_2018_&#1087;&#1088;&#1080;&#1083;&#1086;&#1078;&#1077;&#1085;&#1080;&#1077;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91;&#1085;&#1080;&#1094;&#1080;&#1087;&#1072;&#1083;&#1100;&#1085;&#1086;&#1077;%20&#1079;&#1072;&#1076;&#1072;&#1085;&#1080;&#1077;%202024-2026/&#1084;&#1073;/&#1087;&#1088;.&#1057;&#1042;&#1054;&#1044;&#1067;%20&#1052;&#1047;%202024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91;&#1085;&#1080;&#1094;&#1080;&#1087;&#1072;&#1083;&#1100;&#1085;&#1086;&#1077;%20&#1079;&#1072;&#1076;&#1072;&#1085;&#1080;&#1077;%202024-2026/&#1084;&#1073;/03.%20&#1064;&#1072;&#1073;&#1083;&#1086;&#1085;%20&#1088;&#1072;&#1089;&#1095;&#1077;&#1090;&#1072;%20&#1085;&#1072;%203%20&#1075;&#1086;&#1076;&#1072;%202024_16%20-%20&#1058;&#1072;&#1075;&#1072;&#1085;&#1088;&#1086;&#1075;%20-%203%20&#1075;&#1086;&#1090;&#1086;&#1074;%20&#1084;&#1086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10 мол.спецы"/>
      <sheetName val="291 окруж.ср и госпошлины"/>
      <sheetName val="225.1о рсо "/>
      <sheetName val="225.24 рсо"/>
      <sheetName val="225.7 рсо"/>
      <sheetName val="226.11 рсо"/>
      <sheetName val="226.2 рсо"/>
      <sheetName val="310"/>
      <sheetName val="МП Эколог образ - эколагерь"/>
      <sheetName val="МП Соц.поддерж - лагерь санитар"/>
      <sheetName val="доп.бланк"/>
      <sheetName val="свод"/>
      <sheetName val="Лист1"/>
    </sheetNames>
    <sheetDataSet>
      <sheetData sheetId="0" refreshError="1"/>
      <sheetData sheetId="1">
        <row r="9">
          <cell r="B9" t="str">
            <v>МБДОУ д/с№15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211,213 (сады и школы)"/>
      <sheetName val="211,213 (допы и цмппс)"/>
      <sheetName val="212.12"/>
      <sheetName val="212.11"/>
      <sheetName val="221"/>
      <sheetName val="223 волошина"/>
      <sheetName val="224"/>
      <sheetName val="225.1 "/>
      <sheetName val="225.21 рсо"/>
      <sheetName val="225.22 рсо"/>
      <sheetName val="225.23 рсо"/>
      <sheetName val="225.24 рсо"/>
      <sheetName val="225.25 рсо"/>
      <sheetName val="225.3 рсо"/>
      <sheetName val="225.51 рсо"/>
      <sheetName val="225.54 рсо"/>
      <sheetName val="226.3"/>
      <sheetName val="226.4"/>
      <sheetName val="226.5"/>
      <sheetName val="226.6"/>
      <sheetName val="калькуляция по медосмотру"/>
      <sheetName val="226.73т"/>
      <sheetName val="226.73д"/>
      <sheetName val="расшифровки к 226,73д"/>
      <sheetName val="291 имущ"/>
      <sheetName val="291 земля"/>
      <sheetName val="291 госпошлины"/>
      <sheetName val="225.10 авто"/>
      <sheetName val="340.13 ГСМ"/>
      <sheetName val="340.14"/>
      <sheetName val="226.73п,340.12 (01.06.18) - дс"/>
      <sheetName val="340.15 - дс"/>
      <sheetName val="340.16п - дс"/>
      <sheetName val="340.16б - дс"/>
      <sheetName val="340.16п дод"/>
      <sheetName val="340.16п корм цвр"/>
      <sheetName val="340.16п цмппс"/>
      <sheetName val="291 окруж.ср и госпошлины"/>
      <sheetName val="Лист1"/>
    </sheetNames>
    <sheetDataSet>
      <sheetData sheetId="0" refreshError="1">
        <row r="7">
          <cell r="A7" t="str">
            <v>МБДОУ д/с №15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(2024)"/>
      <sheetName val="211,213 сады 2024"/>
      <sheetName val="211,213 школы 2024"/>
      <sheetName val="211,213 ступень 2024"/>
      <sheetName val="211,213 цмппс 2024"/>
      <sheetName val="211,213 допы 2024 (уточ)"/>
      <sheetName val="221 (2024)"/>
      <sheetName val="223"/>
      <sheetName val="224 (2024)"/>
      <sheetName val="225.1 (2024)"/>
      <sheetName val="225.21 (2024)"/>
      <sheetName val="225.24 (2024)"/>
      <sheetName val="225.25 (2024) "/>
      <sheetName val="225.3 (2024)"/>
      <sheetName val="225.53 (2024)"/>
      <sheetName val="225.51 (2024)"/>
      <sheetName val="225.54(2024)"/>
      <sheetName val="226.4"/>
      <sheetName val="226.6(2024)"/>
      <sheetName val="226.73(2024)"/>
      <sheetName val="226.77 охрана(2024) "/>
      <sheetName val="226.78 (2024) "/>
      <sheetName val="226.8 (2024)"/>
      <sheetName val="227"/>
      <sheetName val="291 имущ 2024"/>
      <sheetName val="291 земля 2024"/>
      <sheetName val="291 трансп"/>
      <sheetName val="310.1 (2024) "/>
      <sheetName val="343 ГСМ (2024)"/>
      <sheetName val="346,2 дод"/>
      <sheetName val="346.3 цмппс"/>
      <sheetName val="присмотр и уход 07 01 "/>
    </sheetNames>
    <sheetDataSet>
      <sheetData sheetId="0">
        <row r="116">
          <cell r="B116">
            <v>0.99758349999999996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асы и места для МЗ и СЗ"/>
      <sheetName val="доп сведения учр"/>
      <sheetName val="226.6(2024)"/>
      <sheetName val="310.1 (2024) "/>
      <sheetName val="343 ГСМ (2024)"/>
      <sheetName val="346,2 дод"/>
      <sheetName val="Нормативные затраты по МЗ"/>
      <sheetName val="Параметры ПФ"/>
      <sheetName val="Затраты на коммунальные услуги"/>
      <sheetName val="Затраты на содержание имущества"/>
      <sheetName val="Стандартные программы"/>
      <sheetName val="Адаптированные программы"/>
      <sheetName val="Общеразвив.программы на МЗ"/>
      <sheetName val="Дистанционные программы"/>
      <sheetName val="Очно-заочные программы"/>
    </sheetNames>
    <sheetDataSet>
      <sheetData sheetId="0"/>
      <sheetData sheetId="1">
        <row r="176">
          <cell r="I176">
            <v>1214077</v>
          </cell>
        </row>
        <row r="178">
          <cell r="I178">
            <v>1195101</v>
          </cell>
        </row>
        <row r="179">
          <cell r="I179">
            <v>18976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28">
          <cell r="G128">
            <v>56</v>
          </cell>
          <cell r="M128">
            <v>4928</v>
          </cell>
          <cell r="R128">
            <v>0.11</v>
          </cell>
        </row>
        <row r="129">
          <cell r="G129">
            <v>44</v>
          </cell>
          <cell r="M129">
            <v>3872</v>
          </cell>
          <cell r="R129">
            <v>0.11</v>
          </cell>
        </row>
        <row r="173">
          <cell r="G173">
            <v>5476</v>
          </cell>
          <cell r="M173">
            <v>392224</v>
          </cell>
        </row>
        <row r="175">
          <cell r="G175">
            <v>2709</v>
          </cell>
          <cell r="M175">
            <v>191400</v>
          </cell>
        </row>
        <row r="176">
          <cell r="G176">
            <v>110</v>
          </cell>
          <cell r="M176">
            <v>7920</v>
          </cell>
          <cell r="Q176">
            <v>5</v>
          </cell>
          <cell r="R176">
            <v>0.55000000000000004</v>
          </cell>
        </row>
        <row r="177">
          <cell r="G177">
            <v>80</v>
          </cell>
          <cell r="M177">
            <v>5760</v>
          </cell>
          <cell r="Q177">
            <v>4</v>
          </cell>
          <cell r="R177">
            <v>0.44</v>
          </cell>
        </row>
        <row r="178">
          <cell r="G178">
            <v>1583</v>
          </cell>
          <cell r="M178">
            <v>110328</v>
          </cell>
          <cell r="Q178">
            <v>43</v>
          </cell>
          <cell r="R178">
            <v>4.6399999999999997</v>
          </cell>
        </row>
        <row r="179">
          <cell r="G179">
            <v>99</v>
          </cell>
          <cell r="M179">
            <v>7128</v>
          </cell>
          <cell r="Q179">
            <v>4</v>
          </cell>
          <cell r="R179">
            <v>0.44</v>
          </cell>
        </row>
        <row r="180">
          <cell r="G180">
            <v>195</v>
          </cell>
          <cell r="M180">
            <v>14040</v>
          </cell>
          <cell r="Q180">
            <v>6</v>
          </cell>
          <cell r="R180">
            <v>0.66</v>
          </cell>
        </row>
        <row r="181">
          <cell r="G181">
            <v>642</v>
          </cell>
          <cell r="M181">
            <v>46224</v>
          </cell>
          <cell r="Q181">
            <v>15</v>
          </cell>
          <cell r="R181">
            <v>1.65</v>
          </cell>
        </row>
        <row r="182">
          <cell r="G182"/>
          <cell r="M182"/>
          <cell r="R182"/>
        </row>
        <row r="183">
          <cell r="G183"/>
          <cell r="M183"/>
          <cell r="R183"/>
        </row>
        <row r="184">
          <cell r="G184"/>
          <cell r="M184"/>
          <cell r="R184"/>
        </row>
        <row r="186">
          <cell r="G186">
            <v>301</v>
          </cell>
          <cell r="M186">
            <v>21672</v>
          </cell>
        </row>
        <row r="187">
          <cell r="G187"/>
          <cell r="M187"/>
          <cell r="R187"/>
        </row>
        <row r="188">
          <cell r="G188">
            <v>301</v>
          </cell>
          <cell r="M188">
            <v>21672</v>
          </cell>
          <cell r="Q188">
            <v>8</v>
          </cell>
          <cell r="R188">
            <v>0.88</v>
          </cell>
        </row>
        <row r="189">
          <cell r="G189"/>
          <cell r="M189"/>
          <cell r="R189"/>
        </row>
        <row r="190">
          <cell r="G190"/>
          <cell r="M190"/>
          <cell r="R190"/>
        </row>
        <row r="191">
          <cell r="G191"/>
          <cell r="M191"/>
          <cell r="R191"/>
        </row>
        <row r="192">
          <cell r="G192"/>
          <cell r="M192"/>
          <cell r="R192"/>
        </row>
        <row r="193">
          <cell r="G193"/>
          <cell r="M193"/>
          <cell r="R193"/>
        </row>
        <row r="194">
          <cell r="G194"/>
          <cell r="M194"/>
          <cell r="R194"/>
        </row>
        <row r="195">
          <cell r="G195"/>
          <cell r="M195"/>
          <cell r="R195"/>
        </row>
        <row r="197">
          <cell r="G197">
            <v>151</v>
          </cell>
          <cell r="M197">
            <v>10872</v>
          </cell>
        </row>
        <row r="198">
          <cell r="G198"/>
          <cell r="M198"/>
          <cell r="R198"/>
        </row>
        <row r="199">
          <cell r="G199"/>
          <cell r="M199"/>
          <cell r="R199"/>
        </row>
        <row r="200">
          <cell r="G200"/>
          <cell r="M200"/>
          <cell r="R200"/>
        </row>
        <row r="201">
          <cell r="G201">
            <v>151</v>
          </cell>
          <cell r="M201">
            <v>10872</v>
          </cell>
          <cell r="Q201">
            <v>12</v>
          </cell>
          <cell r="R201">
            <v>1.32</v>
          </cell>
        </row>
        <row r="202">
          <cell r="G202"/>
          <cell r="M202"/>
          <cell r="R202"/>
        </row>
        <row r="203">
          <cell r="G203"/>
          <cell r="M203"/>
          <cell r="R203"/>
        </row>
        <row r="204">
          <cell r="G204"/>
          <cell r="M204"/>
          <cell r="R204"/>
        </row>
        <row r="205">
          <cell r="G205"/>
          <cell r="M205"/>
          <cell r="R205"/>
        </row>
        <row r="206">
          <cell r="G206"/>
          <cell r="M206"/>
          <cell r="R206"/>
        </row>
        <row r="208">
          <cell r="G208">
            <v>1382</v>
          </cell>
          <cell r="M208">
            <v>101104</v>
          </cell>
        </row>
        <row r="209">
          <cell r="G209"/>
          <cell r="M209"/>
          <cell r="R209"/>
        </row>
        <row r="210">
          <cell r="G210"/>
          <cell r="M210"/>
          <cell r="R210"/>
        </row>
        <row r="211">
          <cell r="G211">
            <v>486</v>
          </cell>
          <cell r="M211">
            <v>34992</v>
          </cell>
          <cell r="Q211">
            <v>14</v>
          </cell>
          <cell r="R211">
            <v>1.54</v>
          </cell>
        </row>
        <row r="212">
          <cell r="G212"/>
          <cell r="M212"/>
          <cell r="R212"/>
        </row>
        <row r="213">
          <cell r="G213">
            <v>368</v>
          </cell>
          <cell r="M213">
            <v>28096</v>
          </cell>
          <cell r="Q213">
            <v>8</v>
          </cell>
          <cell r="R213">
            <v>0.88</v>
          </cell>
        </row>
        <row r="214">
          <cell r="G214">
            <v>528</v>
          </cell>
          <cell r="M214">
            <v>38016</v>
          </cell>
          <cell r="Q214">
            <v>7</v>
          </cell>
          <cell r="R214">
            <v>0.77</v>
          </cell>
        </row>
        <row r="215">
          <cell r="G215"/>
          <cell r="M215"/>
          <cell r="R215"/>
        </row>
        <row r="216">
          <cell r="G216"/>
          <cell r="M216"/>
          <cell r="R216"/>
        </row>
        <row r="217">
          <cell r="G217"/>
          <cell r="M217"/>
          <cell r="R217"/>
        </row>
        <row r="219">
          <cell r="G219">
            <v>933</v>
          </cell>
          <cell r="M219">
            <v>67176</v>
          </cell>
        </row>
        <row r="220">
          <cell r="G220">
            <v>415</v>
          </cell>
          <cell r="M220">
            <v>29880</v>
          </cell>
          <cell r="Q220">
            <v>10</v>
          </cell>
          <cell r="R220">
            <v>1.1000000000000001</v>
          </cell>
        </row>
        <row r="221">
          <cell r="G221">
            <v>30</v>
          </cell>
          <cell r="M221">
            <v>2160</v>
          </cell>
          <cell r="Q221">
            <v>1</v>
          </cell>
          <cell r="R221">
            <v>0.11</v>
          </cell>
        </row>
        <row r="222">
          <cell r="G222">
            <v>263</v>
          </cell>
          <cell r="M222">
            <v>18936</v>
          </cell>
          <cell r="Q222">
            <v>10</v>
          </cell>
          <cell r="R222">
            <v>1.1000000000000001</v>
          </cell>
        </row>
        <row r="223">
          <cell r="G223"/>
          <cell r="M223"/>
          <cell r="R223"/>
        </row>
        <row r="224">
          <cell r="G224">
            <v>75</v>
          </cell>
          <cell r="M224">
            <v>5400</v>
          </cell>
          <cell r="Q224">
            <v>3</v>
          </cell>
          <cell r="R224">
            <v>0.33</v>
          </cell>
        </row>
        <row r="225">
          <cell r="G225">
            <v>150</v>
          </cell>
          <cell r="M225">
            <v>10800</v>
          </cell>
          <cell r="Q225">
            <v>4</v>
          </cell>
          <cell r="R225">
            <v>0.44</v>
          </cell>
        </row>
        <row r="226">
          <cell r="G226"/>
          <cell r="M226"/>
          <cell r="R226"/>
        </row>
        <row r="227">
          <cell r="G227"/>
          <cell r="M227"/>
          <cell r="R227"/>
        </row>
        <row r="228">
          <cell r="G228"/>
          <cell r="M228"/>
          <cell r="R228"/>
        </row>
      </sheetData>
      <sheetData sheetId="11">
        <row r="16">
          <cell r="G16">
            <v>71</v>
          </cell>
          <cell r="M16">
            <v>5524</v>
          </cell>
        </row>
        <row r="18">
          <cell r="G18">
            <v>43</v>
          </cell>
          <cell r="M18">
            <v>3060</v>
          </cell>
        </row>
        <row r="19">
          <cell r="G19"/>
          <cell r="M19"/>
          <cell r="R19"/>
        </row>
        <row r="20">
          <cell r="G20"/>
          <cell r="M20"/>
          <cell r="R20"/>
        </row>
        <row r="21">
          <cell r="G21"/>
          <cell r="M21"/>
          <cell r="R21"/>
        </row>
        <row r="22">
          <cell r="G22"/>
          <cell r="M22"/>
          <cell r="R22"/>
        </row>
        <row r="23">
          <cell r="G23"/>
          <cell r="M23"/>
          <cell r="R23"/>
        </row>
        <row r="24">
          <cell r="G24"/>
          <cell r="M24"/>
          <cell r="R24"/>
        </row>
        <row r="25">
          <cell r="G25">
            <v>34</v>
          </cell>
          <cell r="M25">
            <v>2412</v>
          </cell>
          <cell r="Q25">
            <v>3</v>
          </cell>
          <cell r="R25">
            <v>0.61</v>
          </cell>
        </row>
        <row r="26">
          <cell r="G26"/>
          <cell r="M26"/>
          <cell r="R26"/>
        </row>
        <row r="27">
          <cell r="G27">
            <v>9</v>
          </cell>
          <cell r="M27">
            <v>648</v>
          </cell>
          <cell r="Q27">
            <v>1</v>
          </cell>
          <cell r="R27">
            <v>0.11</v>
          </cell>
        </row>
        <row r="29">
          <cell r="G29">
            <v>0</v>
          </cell>
          <cell r="M29">
            <v>0</v>
          </cell>
        </row>
        <row r="30">
          <cell r="G30"/>
          <cell r="M30"/>
          <cell r="R30"/>
        </row>
        <row r="31">
          <cell r="G31"/>
          <cell r="M31"/>
          <cell r="R31"/>
        </row>
        <row r="32">
          <cell r="G32"/>
          <cell r="M32"/>
          <cell r="R32"/>
        </row>
        <row r="33">
          <cell r="G33"/>
          <cell r="M33"/>
          <cell r="R33"/>
        </row>
        <row r="34">
          <cell r="G34"/>
          <cell r="M34"/>
          <cell r="R34"/>
        </row>
        <row r="35">
          <cell r="G35"/>
          <cell r="M35"/>
          <cell r="R35"/>
        </row>
        <row r="36">
          <cell r="G36"/>
          <cell r="M36"/>
          <cell r="R36"/>
        </row>
        <row r="37">
          <cell r="G37"/>
          <cell r="M37"/>
          <cell r="R37"/>
        </row>
        <row r="38">
          <cell r="G38"/>
          <cell r="M38"/>
          <cell r="R38"/>
        </row>
        <row r="40">
          <cell r="G40">
            <v>0</v>
          </cell>
          <cell r="M40">
            <v>0</v>
          </cell>
        </row>
        <row r="41">
          <cell r="G41"/>
          <cell r="M41"/>
          <cell r="R41"/>
        </row>
        <row r="42">
          <cell r="G42"/>
          <cell r="M42"/>
          <cell r="R42"/>
        </row>
        <row r="43">
          <cell r="G43"/>
          <cell r="M43"/>
          <cell r="R43"/>
        </row>
        <row r="44">
          <cell r="G44"/>
          <cell r="M44"/>
          <cell r="R44"/>
        </row>
        <row r="45">
          <cell r="G45"/>
          <cell r="M45"/>
          <cell r="R45"/>
        </row>
        <row r="46">
          <cell r="G46"/>
          <cell r="M46"/>
          <cell r="R46"/>
        </row>
        <row r="47">
          <cell r="G47"/>
          <cell r="M47"/>
          <cell r="R47"/>
        </row>
        <row r="48">
          <cell r="G48"/>
          <cell r="M48"/>
          <cell r="R48"/>
        </row>
        <row r="49">
          <cell r="G49"/>
          <cell r="M49"/>
          <cell r="R49"/>
        </row>
        <row r="51">
          <cell r="G51">
            <v>28</v>
          </cell>
          <cell r="M51">
            <v>2464</v>
          </cell>
        </row>
        <row r="52">
          <cell r="G52"/>
          <cell r="M52"/>
          <cell r="R52"/>
        </row>
        <row r="53">
          <cell r="G53"/>
          <cell r="M53"/>
          <cell r="R53"/>
        </row>
        <row r="54">
          <cell r="G54"/>
          <cell r="M54"/>
          <cell r="R54"/>
        </row>
        <row r="55">
          <cell r="G55"/>
          <cell r="M55"/>
          <cell r="R55"/>
        </row>
        <row r="56">
          <cell r="G56"/>
          <cell r="M56"/>
          <cell r="R56"/>
        </row>
        <row r="57">
          <cell r="G57"/>
          <cell r="M57"/>
          <cell r="R57"/>
        </row>
        <row r="58">
          <cell r="G58"/>
          <cell r="M58"/>
          <cell r="R58"/>
        </row>
        <row r="59">
          <cell r="G59">
            <v>28</v>
          </cell>
          <cell r="M59">
            <v>2464</v>
          </cell>
          <cell r="Q59">
            <v>2</v>
          </cell>
          <cell r="R59">
            <v>0.22</v>
          </cell>
        </row>
        <row r="60">
          <cell r="G60"/>
          <cell r="M60"/>
          <cell r="R60"/>
        </row>
        <row r="62">
          <cell r="G62">
            <v>0</v>
          </cell>
          <cell r="M62">
            <v>0</v>
          </cell>
        </row>
        <row r="63">
          <cell r="G63"/>
          <cell r="M63"/>
          <cell r="R63"/>
        </row>
        <row r="64">
          <cell r="G64"/>
          <cell r="M64"/>
          <cell r="R64"/>
        </row>
        <row r="65">
          <cell r="G65"/>
          <cell r="M65"/>
          <cell r="R65"/>
        </row>
        <row r="66">
          <cell r="G66"/>
          <cell r="M66"/>
          <cell r="R66"/>
        </row>
        <row r="67">
          <cell r="G67"/>
          <cell r="M67"/>
          <cell r="R67"/>
        </row>
        <row r="68">
          <cell r="G68"/>
          <cell r="M68"/>
          <cell r="R68"/>
        </row>
        <row r="69">
          <cell r="G69"/>
          <cell r="M69"/>
          <cell r="R69"/>
        </row>
        <row r="70">
          <cell r="G70"/>
          <cell r="M70"/>
          <cell r="R70"/>
        </row>
        <row r="71">
          <cell r="G71"/>
          <cell r="M71"/>
          <cell r="R71"/>
        </row>
      </sheetData>
      <sheetData sheetId="12">
        <row r="331">
          <cell r="G331">
            <v>56</v>
          </cell>
          <cell r="J331">
            <v>9856</v>
          </cell>
          <cell r="M331">
            <v>0.22</v>
          </cell>
        </row>
        <row r="332">
          <cell r="G332">
            <v>6</v>
          </cell>
          <cell r="J332">
            <v>792</v>
          </cell>
          <cell r="M332">
            <v>0.17</v>
          </cell>
        </row>
        <row r="333">
          <cell r="G333">
            <v>16</v>
          </cell>
          <cell r="J333">
            <v>2816</v>
          </cell>
          <cell r="M333">
            <v>0.22</v>
          </cell>
        </row>
        <row r="334">
          <cell r="G334">
            <v>32</v>
          </cell>
          <cell r="J334">
            <v>5632</v>
          </cell>
          <cell r="M334">
            <v>0.22</v>
          </cell>
        </row>
        <row r="337">
          <cell r="G337">
            <v>16</v>
          </cell>
          <cell r="J337">
            <v>1408</v>
          </cell>
          <cell r="M337">
            <v>0.11</v>
          </cell>
        </row>
        <row r="338">
          <cell r="G338">
            <v>12</v>
          </cell>
          <cell r="J338">
            <v>2112</v>
          </cell>
          <cell r="M338">
            <v>0.22</v>
          </cell>
        </row>
        <row r="391">
          <cell r="G391">
            <v>5590</v>
          </cell>
          <cell r="J391">
            <v>892288</v>
          </cell>
        </row>
        <row r="393">
          <cell r="G393">
            <v>1649</v>
          </cell>
          <cell r="J393">
            <v>270828</v>
          </cell>
        </row>
        <row r="394">
          <cell r="G394">
            <v>10</v>
          </cell>
          <cell r="J394">
            <v>4464</v>
          </cell>
          <cell r="L394">
            <v>3</v>
          </cell>
          <cell r="M394">
            <v>1.84</v>
          </cell>
        </row>
        <row r="395">
          <cell r="G395">
            <v>127</v>
          </cell>
          <cell r="J395">
            <v>14112</v>
          </cell>
          <cell r="L395">
            <v>13</v>
          </cell>
          <cell r="M395">
            <v>2.2599999999999998</v>
          </cell>
        </row>
        <row r="396">
          <cell r="G396">
            <v>691</v>
          </cell>
          <cell r="J396">
            <v>161964</v>
          </cell>
          <cell r="L396">
            <v>124</v>
          </cell>
          <cell r="M396">
            <v>33.03</v>
          </cell>
        </row>
        <row r="397">
          <cell r="G397">
            <v>50</v>
          </cell>
          <cell r="J397">
            <v>11376</v>
          </cell>
          <cell r="L397">
            <v>5</v>
          </cell>
          <cell r="M397">
            <v>1.71</v>
          </cell>
        </row>
        <row r="398">
          <cell r="G398">
            <v>94</v>
          </cell>
          <cell r="J398">
            <v>21312</v>
          </cell>
          <cell r="L398">
            <v>16</v>
          </cell>
          <cell r="M398">
            <v>4.5599999999999996</v>
          </cell>
        </row>
        <row r="399">
          <cell r="G399">
            <v>657</v>
          </cell>
          <cell r="J399">
            <v>54576</v>
          </cell>
          <cell r="L399">
            <v>68</v>
          </cell>
          <cell r="M399">
            <v>8.77</v>
          </cell>
        </row>
        <row r="400">
          <cell r="G400">
            <v>15</v>
          </cell>
          <cell r="J400">
            <v>1404</v>
          </cell>
          <cell r="L400">
            <v>3</v>
          </cell>
          <cell r="M400">
            <v>0.94</v>
          </cell>
        </row>
        <row r="401">
          <cell r="G401"/>
          <cell r="J401"/>
          <cell r="M401"/>
        </row>
        <row r="402">
          <cell r="G402">
            <v>5</v>
          </cell>
          <cell r="J402">
            <v>1620</v>
          </cell>
          <cell r="L402">
            <v>1</v>
          </cell>
          <cell r="M402">
            <v>0.5</v>
          </cell>
        </row>
        <row r="404">
          <cell r="G404">
            <v>874</v>
          </cell>
          <cell r="J404">
            <v>125856</v>
          </cell>
        </row>
        <row r="405">
          <cell r="G405"/>
          <cell r="J405"/>
          <cell r="M405"/>
        </row>
        <row r="406">
          <cell r="G406">
            <v>874</v>
          </cell>
          <cell r="J406">
            <v>125856</v>
          </cell>
          <cell r="L406">
            <v>15</v>
          </cell>
          <cell r="M406">
            <v>3.3</v>
          </cell>
        </row>
        <row r="407">
          <cell r="G407"/>
          <cell r="J407"/>
          <cell r="M407"/>
        </row>
        <row r="408">
          <cell r="G408"/>
          <cell r="J408"/>
          <cell r="M408"/>
        </row>
        <row r="409">
          <cell r="G409"/>
          <cell r="J409"/>
          <cell r="M409"/>
        </row>
        <row r="410">
          <cell r="G410"/>
          <cell r="J410"/>
          <cell r="M410"/>
        </row>
        <row r="411">
          <cell r="G411"/>
          <cell r="J411"/>
          <cell r="M411"/>
        </row>
        <row r="412">
          <cell r="G412"/>
          <cell r="J412"/>
          <cell r="M412"/>
        </row>
        <row r="413">
          <cell r="G413"/>
          <cell r="J413"/>
          <cell r="M413"/>
        </row>
        <row r="415">
          <cell r="G415">
            <v>453</v>
          </cell>
          <cell r="J415">
            <v>84888</v>
          </cell>
        </row>
        <row r="416">
          <cell r="G416"/>
          <cell r="J416"/>
          <cell r="M416"/>
        </row>
        <row r="417">
          <cell r="G417"/>
          <cell r="J417"/>
          <cell r="M417"/>
        </row>
        <row r="418">
          <cell r="G418"/>
          <cell r="J418"/>
          <cell r="M418"/>
        </row>
        <row r="419">
          <cell r="G419">
            <v>453</v>
          </cell>
          <cell r="J419">
            <v>84888</v>
          </cell>
          <cell r="L419">
            <v>42</v>
          </cell>
          <cell r="M419">
            <v>12.03</v>
          </cell>
        </row>
        <row r="420">
          <cell r="G420"/>
          <cell r="J420"/>
          <cell r="M420"/>
        </row>
        <row r="421">
          <cell r="G421"/>
          <cell r="J421"/>
          <cell r="M421"/>
        </row>
        <row r="422">
          <cell r="G422"/>
          <cell r="J422"/>
          <cell r="M422"/>
        </row>
        <row r="423">
          <cell r="G423"/>
          <cell r="J423"/>
          <cell r="M423"/>
        </row>
        <row r="424">
          <cell r="G424"/>
          <cell r="J424"/>
          <cell r="M424"/>
        </row>
        <row r="426">
          <cell r="G426">
            <v>1966</v>
          </cell>
          <cell r="J426">
            <v>239536</v>
          </cell>
        </row>
        <row r="427">
          <cell r="G427"/>
          <cell r="J427"/>
          <cell r="M427"/>
        </row>
        <row r="428">
          <cell r="G428"/>
          <cell r="J428"/>
          <cell r="M428"/>
        </row>
        <row r="429">
          <cell r="G429">
            <v>467</v>
          </cell>
          <cell r="J429">
            <v>93528</v>
          </cell>
          <cell r="L429">
            <v>19</v>
          </cell>
          <cell r="M429">
            <v>5.0999999999999996</v>
          </cell>
        </row>
        <row r="430">
          <cell r="G430">
            <v>89</v>
          </cell>
          <cell r="J430">
            <v>12816</v>
          </cell>
          <cell r="L430">
            <v>1</v>
          </cell>
          <cell r="M430">
            <v>0.22</v>
          </cell>
        </row>
        <row r="431">
          <cell r="G431">
            <v>416</v>
          </cell>
          <cell r="J431">
            <v>45512</v>
          </cell>
          <cell r="L431">
            <v>15</v>
          </cell>
          <cell r="M431">
            <v>2.4300000000000002</v>
          </cell>
        </row>
        <row r="432">
          <cell r="G432">
            <v>963</v>
          </cell>
          <cell r="J432">
            <v>79496</v>
          </cell>
          <cell r="L432">
            <v>11</v>
          </cell>
          <cell r="M432">
            <v>2.5299999999999998</v>
          </cell>
        </row>
        <row r="433">
          <cell r="G433"/>
          <cell r="J433"/>
          <cell r="M433"/>
        </row>
        <row r="434">
          <cell r="G434">
            <v>31</v>
          </cell>
          <cell r="J434">
            <v>8184</v>
          </cell>
          <cell r="L434">
            <v>1</v>
          </cell>
          <cell r="M434">
            <v>0.33</v>
          </cell>
        </row>
        <row r="435">
          <cell r="G435"/>
          <cell r="J435"/>
          <cell r="M435"/>
        </row>
        <row r="437">
          <cell r="G437">
            <v>648</v>
          </cell>
          <cell r="J437">
            <v>171180</v>
          </cell>
        </row>
        <row r="438">
          <cell r="G438">
            <v>274</v>
          </cell>
          <cell r="J438">
            <v>83448</v>
          </cell>
          <cell r="L438">
            <v>13</v>
          </cell>
          <cell r="M438">
            <v>6.19</v>
          </cell>
        </row>
        <row r="439">
          <cell r="G439">
            <v>66</v>
          </cell>
          <cell r="J439">
            <v>14616</v>
          </cell>
          <cell r="L439">
            <v>3</v>
          </cell>
          <cell r="M439">
            <v>1.1000000000000001</v>
          </cell>
        </row>
        <row r="440">
          <cell r="G440">
            <v>138</v>
          </cell>
          <cell r="J440">
            <v>42084</v>
          </cell>
          <cell r="L440">
            <v>6</v>
          </cell>
          <cell r="M440">
            <v>2.66</v>
          </cell>
        </row>
        <row r="441">
          <cell r="G441"/>
          <cell r="J441"/>
          <cell r="M441"/>
        </row>
        <row r="442">
          <cell r="G442">
            <v>48</v>
          </cell>
          <cell r="J442">
            <v>12960</v>
          </cell>
          <cell r="L442">
            <v>2</v>
          </cell>
          <cell r="M442">
            <v>0.83</v>
          </cell>
        </row>
        <row r="443">
          <cell r="G443">
            <v>84</v>
          </cell>
          <cell r="J443">
            <v>12096</v>
          </cell>
          <cell r="L443">
            <v>4</v>
          </cell>
          <cell r="M443">
            <v>0.88</v>
          </cell>
        </row>
        <row r="444">
          <cell r="G444"/>
          <cell r="J444"/>
          <cell r="M444"/>
        </row>
        <row r="445">
          <cell r="G445"/>
          <cell r="J445"/>
          <cell r="M445"/>
        </row>
        <row r="446">
          <cell r="G446">
            <v>38</v>
          </cell>
          <cell r="J446">
            <v>5976</v>
          </cell>
          <cell r="L446">
            <v>2</v>
          </cell>
          <cell r="M446">
            <v>0.45</v>
          </cell>
        </row>
      </sheetData>
      <sheetData sheetId="13"/>
      <sheetData sheetId="1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EJ307"/>
  <sheetViews>
    <sheetView tabSelected="1" view="pageBreakPreview" topLeftCell="A3" zoomScaleSheetLayoutView="100" workbookViewId="0">
      <selection activeCell="I226" sqref="I226"/>
    </sheetView>
  </sheetViews>
  <sheetFormatPr defaultRowHeight="15" x14ac:dyDescent="0.25"/>
  <cols>
    <col min="1" max="1" width="34.85546875" style="1" customWidth="1"/>
    <col min="2" max="2" width="23.140625" style="270" customWidth="1"/>
    <col min="3" max="3" width="6.28515625" style="1" hidden="1" customWidth="1"/>
    <col min="4" max="4" width="51" style="1" hidden="1" customWidth="1"/>
    <col min="5" max="8" width="13.7109375" style="1" hidden="1" customWidth="1"/>
    <col min="9" max="9" width="13.7109375" style="1" customWidth="1"/>
    <col min="10" max="11" width="13.7109375" style="81" customWidth="1"/>
    <col min="12" max="12" width="9.7109375" style="81" customWidth="1"/>
    <col min="13" max="14" width="9.7109375" style="1" customWidth="1"/>
    <col min="15" max="17" width="6.7109375" style="1" hidden="1" customWidth="1"/>
    <col min="18" max="20" width="10.85546875" style="1" customWidth="1"/>
    <col min="21" max="23" width="12.140625" style="1" hidden="1" customWidth="1"/>
    <col min="24" max="26" width="12.7109375" style="1" customWidth="1"/>
    <col min="27" max="29" width="9.140625" style="1" hidden="1" customWidth="1"/>
    <col min="30" max="32" width="10.85546875" style="1" customWidth="1"/>
    <col min="33" max="33" width="9.7109375" style="81" customWidth="1"/>
    <col min="34" max="35" width="9.7109375" style="1" customWidth="1"/>
    <col min="36" max="38" width="6.7109375" style="1" hidden="1" customWidth="1"/>
    <col min="39" max="41" width="10.85546875" style="1" customWidth="1"/>
    <col min="42" max="44" width="12.140625" style="1" hidden="1" customWidth="1"/>
    <col min="45" max="47" width="12.7109375" style="1" customWidth="1"/>
    <col min="48" max="50" width="0" style="1" hidden="1" customWidth="1"/>
    <col min="51" max="53" width="10.85546875" style="1" customWidth="1"/>
    <col min="54" max="54" width="9.7109375" style="81" customWidth="1"/>
    <col min="55" max="56" width="9.7109375" style="1" customWidth="1"/>
    <col min="57" max="59" width="6.7109375" style="1" hidden="1" customWidth="1"/>
    <col min="60" max="62" width="10.85546875" style="1" customWidth="1"/>
    <col min="63" max="65" width="12.140625" style="1" hidden="1" customWidth="1"/>
    <col min="66" max="68" width="12.7109375" style="1" customWidth="1"/>
    <col min="69" max="71" width="9.140625" style="1" hidden="1" customWidth="1"/>
    <col min="72" max="74" width="10.85546875" style="1" customWidth="1"/>
    <col min="75" max="75" width="9.7109375" style="81" customWidth="1"/>
    <col min="76" max="77" width="9.7109375" style="1" customWidth="1"/>
    <col min="78" max="80" width="6.7109375" style="1" hidden="1" customWidth="1"/>
    <col min="81" max="83" width="10.85546875" style="1" customWidth="1"/>
    <col min="84" max="86" width="12.140625" style="1" hidden="1" customWidth="1"/>
    <col min="87" max="89" width="12.7109375" style="1" customWidth="1"/>
    <col min="90" max="92" width="9.140625" style="1" hidden="1" customWidth="1"/>
    <col min="93" max="95" width="10.85546875" style="1" customWidth="1"/>
    <col min="96" max="96" width="9.7109375" style="81" customWidth="1"/>
    <col min="97" max="98" width="9.7109375" style="1" customWidth="1"/>
    <col min="99" max="101" width="6.7109375" style="1" hidden="1" customWidth="1"/>
    <col min="102" max="104" width="10.85546875" style="1" customWidth="1"/>
    <col min="105" max="107" width="12.140625" style="1" hidden="1" customWidth="1"/>
    <col min="108" max="108" width="12.5703125" style="1" customWidth="1"/>
    <col min="109" max="110" width="12.7109375" style="1" customWidth="1"/>
    <col min="111" max="113" width="9.140625" style="1" hidden="1" customWidth="1"/>
    <col min="114" max="116" width="10.85546875" style="1" customWidth="1"/>
    <col min="117" max="117" width="11" style="81" customWidth="1"/>
    <col min="118" max="119" width="11" style="1" customWidth="1"/>
    <col min="120" max="122" width="6.7109375" style="1" hidden="1" customWidth="1"/>
    <col min="123" max="125" width="11.85546875" style="1" customWidth="1"/>
    <col min="126" max="128" width="12.140625" style="1" hidden="1" customWidth="1"/>
    <col min="129" max="131" width="12.7109375" style="1" customWidth="1"/>
    <col min="132" max="134" width="9.28515625" style="1" hidden="1" customWidth="1"/>
    <col min="135" max="137" width="11.85546875" style="1" customWidth="1"/>
    <col min="138" max="138" width="9.140625" style="1"/>
    <col min="139" max="139" width="10.5703125" style="1" customWidth="1"/>
    <col min="140" max="140" width="14.140625" style="1" customWidth="1"/>
    <col min="141" max="16384" width="9.140625" style="1"/>
  </cols>
  <sheetData>
    <row r="1" spans="1:117" hidden="1" x14ac:dyDescent="0.25">
      <c r="E1" s="1" t="s">
        <v>289</v>
      </c>
    </row>
    <row r="2" spans="1:117" hidden="1" x14ac:dyDescent="0.25">
      <c r="E2" s="1" t="s">
        <v>584</v>
      </c>
    </row>
    <row r="3" spans="1:117" x14ac:dyDescent="0.25">
      <c r="J3" s="1"/>
      <c r="K3" s="1"/>
      <c r="L3" s="1"/>
    </row>
    <row r="4" spans="1:117" hidden="1" x14ac:dyDescent="0.25">
      <c r="A4" s="1" t="s">
        <v>335</v>
      </c>
      <c r="E4" s="1" t="s">
        <v>289</v>
      </c>
      <c r="J4" s="1"/>
      <c r="K4" s="1"/>
      <c r="L4" s="1"/>
      <c r="AG4" s="1"/>
      <c r="BB4" s="1"/>
      <c r="BW4" s="1"/>
      <c r="CR4" s="1"/>
      <c r="DM4" s="1"/>
    </row>
    <row r="5" spans="1:117" hidden="1" x14ac:dyDescent="0.25">
      <c r="A5" s="1" t="s">
        <v>336</v>
      </c>
      <c r="E5" s="1" t="s">
        <v>1190</v>
      </c>
      <c r="J5" s="1"/>
      <c r="K5" s="1"/>
      <c r="L5" s="1"/>
      <c r="AG5" s="1"/>
      <c r="BB5" s="1"/>
      <c r="BW5" s="1"/>
      <c r="CR5" s="1"/>
      <c r="DM5" s="1"/>
    </row>
    <row r="6" spans="1:117" hidden="1" x14ac:dyDescent="0.25">
      <c r="A6" s="1" t="s">
        <v>353</v>
      </c>
      <c r="J6" s="1"/>
      <c r="K6" s="1"/>
      <c r="L6" s="1"/>
      <c r="AG6" s="1"/>
      <c r="BB6" s="1"/>
      <c r="BW6" s="1"/>
      <c r="CR6" s="1"/>
      <c r="DM6" s="1"/>
    </row>
    <row r="7" spans="1:117" hidden="1" x14ac:dyDescent="0.25">
      <c r="E7" s="1" t="s">
        <v>289</v>
      </c>
      <c r="J7" s="1"/>
      <c r="K7" s="1"/>
      <c r="L7" s="1"/>
      <c r="AG7" s="1"/>
      <c r="BB7" s="1"/>
      <c r="BW7" s="1"/>
      <c r="CR7" s="1"/>
      <c r="DM7" s="1"/>
    </row>
    <row r="8" spans="1:117" hidden="1" x14ac:dyDescent="0.25">
      <c r="A8" s="65"/>
      <c r="B8" s="311"/>
      <c r="C8" s="65"/>
      <c r="D8" s="65"/>
      <c r="E8" s="1" t="s">
        <v>1190</v>
      </c>
      <c r="F8" s="65"/>
      <c r="G8" s="65"/>
      <c r="H8" s="65"/>
      <c r="I8" s="65"/>
      <c r="J8" s="1"/>
      <c r="K8" s="1"/>
      <c r="L8" s="1"/>
      <c r="AG8" s="1"/>
      <c r="BB8" s="1"/>
      <c r="BW8" s="1"/>
      <c r="CR8" s="1"/>
      <c r="DM8" s="1"/>
    </row>
    <row r="9" spans="1:117" hidden="1" x14ac:dyDescent="0.25">
      <c r="A9" s="1034" t="s">
        <v>230</v>
      </c>
      <c r="B9" s="1034"/>
      <c r="C9" s="1034"/>
      <c r="D9" s="1034"/>
      <c r="E9" s="1034"/>
      <c r="F9" s="1034"/>
      <c r="G9" s="1034"/>
      <c r="H9" s="1034"/>
      <c r="I9" s="1034"/>
      <c r="J9" s="1034"/>
      <c r="K9" s="1"/>
      <c r="L9" s="1"/>
      <c r="AG9" s="1"/>
      <c r="BB9" s="1"/>
      <c r="BW9" s="1"/>
      <c r="CR9" s="1"/>
      <c r="DM9" s="1"/>
    </row>
    <row r="10" spans="1:117" hidden="1" x14ac:dyDescent="0.25">
      <c r="A10" s="1034" t="s">
        <v>284</v>
      </c>
      <c r="B10" s="1034"/>
      <c r="C10" s="1034"/>
      <c r="D10" s="1034"/>
      <c r="E10" s="1034"/>
      <c r="F10" s="1034"/>
      <c r="G10" s="1034"/>
      <c r="H10" s="1034"/>
      <c r="I10" s="1034"/>
      <c r="J10" s="1034"/>
      <c r="K10" s="1"/>
      <c r="L10" s="1"/>
      <c r="AG10" s="1"/>
      <c r="BB10" s="1"/>
      <c r="BW10" s="1"/>
      <c r="CR10" s="1"/>
      <c r="DM10" s="1"/>
    </row>
    <row r="11" spans="1:117" hidden="1" x14ac:dyDescent="0.25">
      <c r="A11" s="1035" t="s">
        <v>1429</v>
      </c>
      <c r="B11" s="1035"/>
      <c r="C11" s="1035"/>
      <c r="D11" s="1035"/>
      <c r="E11" s="1035"/>
      <c r="F11" s="1035"/>
      <c r="G11" s="1035"/>
      <c r="H11" s="1035"/>
      <c r="I11" s="1035"/>
      <c r="J11" s="1035"/>
      <c r="K11" s="1"/>
      <c r="L11" s="1"/>
      <c r="AG11" s="1"/>
      <c r="BB11" s="1"/>
      <c r="BW11" s="1"/>
      <c r="CR11" s="1"/>
      <c r="DM11" s="1"/>
    </row>
    <row r="12" spans="1:117" hidden="1" x14ac:dyDescent="0.25">
      <c r="A12" s="1036" t="s">
        <v>0</v>
      </c>
      <c r="B12" s="1039" t="s">
        <v>1</v>
      </c>
      <c r="C12" s="1042" t="s">
        <v>234</v>
      </c>
      <c r="D12" s="1043"/>
      <c r="E12" s="1036" t="s">
        <v>232</v>
      </c>
      <c r="F12" s="1036" t="s">
        <v>680</v>
      </c>
      <c r="G12" s="1036" t="s">
        <v>681</v>
      </c>
      <c r="H12" s="1036" t="s">
        <v>1428</v>
      </c>
      <c r="I12" s="1042" t="s">
        <v>233</v>
      </c>
      <c r="J12" s="1043"/>
      <c r="K12" s="1"/>
      <c r="L12" s="1"/>
      <c r="AG12" s="1"/>
      <c r="BB12" s="1"/>
      <c r="BW12" s="1"/>
      <c r="CR12" s="1"/>
      <c r="DM12" s="1"/>
    </row>
    <row r="13" spans="1:117" hidden="1" x14ac:dyDescent="0.25">
      <c r="A13" s="1037"/>
      <c r="B13" s="1040"/>
      <c r="C13" s="1044"/>
      <c r="D13" s="1045"/>
      <c r="E13" s="1037"/>
      <c r="F13" s="1037"/>
      <c r="G13" s="1037"/>
      <c r="H13" s="1037"/>
      <c r="I13" s="1047"/>
      <c r="J13" s="1048"/>
      <c r="K13" s="1"/>
      <c r="L13" s="1"/>
      <c r="AG13" s="1"/>
      <c r="BB13" s="1"/>
      <c r="BW13" s="1"/>
      <c r="CR13" s="1"/>
      <c r="DM13" s="1"/>
    </row>
    <row r="14" spans="1:117" hidden="1" x14ac:dyDescent="0.25">
      <c r="A14" s="1038"/>
      <c r="B14" s="1041"/>
      <c r="C14" s="2" t="s">
        <v>369</v>
      </c>
      <c r="D14" s="301" t="s">
        <v>3</v>
      </c>
      <c r="E14" s="1038"/>
      <c r="F14" s="1046"/>
      <c r="G14" s="1038"/>
      <c r="H14" s="1038"/>
      <c r="I14" s="1044"/>
      <c r="J14" s="1045"/>
      <c r="K14" s="1"/>
      <c r="L14" s="1"/>
      <c r="AG14" s="1"/>
      <c r="BB14" s="1"/>
      <c r="BW14" s="1"/>
      <c r="CR14" s="1"/>
      <c r="DM14" s="1"/>
    </row>
    <row r="15" spans="1:117" hidden="1" x14ac:dyDescent="0.25">
      <c r="A15" s="3" t="s">
        <v>362</v>
      </c>
      <c r="B15" s="312" t="s">
        <v>363</v>
      </c>
      <c r="C15" s="3" t="s">
        <v>364</v>
      </c>
      <c r="D15" s="3" t="s">
        <v>365</v>
      </c>
      <c r="E15" s="3" t="s">
        <v>366</v>
      </c>
      <c r="F15" s="3" t="s">
        <v>367</v>
      </c>
      <c r="G15" s="3" t="s">
        <v>367</v>
      </c>
      <c r="H15" s="3" t="s">
        <v>367</v>
      </c>
      <c r="I15" s="1049" t="s">
        <v>368</v>
      </c>
      <c r="J15" s="1050"/>
      <c r="K15" s="1"/>
      <c r="L15" s="1"/>
      <c r="AG15" s="1"/>
      <c r="BB15" s="1"/>
      <c r="BW15" s="1"/>
      <c r="CR15" s="1"/>
      <c r="DM15" s="1"/>
    </row>
    <row r="16" spans="1:117" ht="24" hidden="1" x14ac:dyDescent="0.25">
      <c r="A16" s="62" t="s">
        <v>473</v>
      </c>
      <c r="B16" s="313"/>
      <c r="C16" s="63"/>
      <c r="D16" s="63"/>
      <c r="E16" s="63"/>
      <c r="F16" s="63"/>
      <c r="G16" s="63"/>
      <c r="H16" s="63"/>
      <c r="I16" s="63"/>
      <c r="J16" s="64"/>
      <c r="K16" s="1"/>
      <c r="L16" s="1"/>
      <c r="AG16" s="1"/>
      <c r="BB16" s="1"/>
      <c r="BW16" s="1"/>
      <c r="CR16" s="1"/>
      <c r="DM16" s="1"/>
    </row>
    <row r="17" spans="1:117" ht="24" hidden="1" x14ac:dyDescent="0.25">
      <c r="A17" s="7"/>
      <c r="B17" s="314"/>
      <c r="C17" s="14" t="s">
        <v>4</v>
      </c>
      <c r="D17" s="15" t="s">
        <v>26</v>
      </c>
      <c r="E17" s="7"/>
      <c r="F17" s="75"/>
      <c r="G17" s="75"/>
      <c r="H17" s="75"/>
      <c r="I17" s="84"/>
      <c r="J17" s="85"/>
      <c r="K17" s="1"/>
      <c r="L17" s="1"/>
      <c r="AG17" s="1"/>
      <c r="BB17" s="1"/>
      <c r="BW17" s="1"/>
      <c r="CR17" s="1"/>
      <c r="DM17" s="1"/>
    </row>
    <row r="18" spans="1:117" hidden="1" x14ac:dyDescent="0.25">
      <c r="A18" s="12" t="s">
        <v>52</v>
      </c>
      <c r="B18" s="315" t="s">
        <v>822</v>
      </c>
      <c r="C18" s="45"/>
      <c r="D18" s="12" t="s">
        <v>285</v>
      </c>
      <c r="E18" s="12"/>
      <c r="F18" s="76">
        <f>F29+F39</f>
        <v>104.55</v>
      </c>
      <c r="G18" s="76">
        <f>G29+G39</f>
        <v>111.09</v>
      </c>
      <c r="H18" s="76">
        <f>H29+H39</f>
        <v>117.73</v>
      </c>
      <c r="I18" s="86"/>
      <c r="J18" s="87"/>
      <c r="K18" s="1"/>
      <c r="L18" s="1"/>
      <c r="AG18" s="1"/>
      <c r="BB18" s="1"/>
      <c r="BW18" s="1"/>
      <c r="CR18" s="1"/>
      <c r="DM18" s="1"/>
    </row>
    <row r="19" spans="1:117" hidden="1" x14ac:dyDescent="0.25">
      <c r="A19" s="12" t="s">
        <v>53</v>
      </c>
      <c r="B19" s="315" t="s">
        <v>819</v>
      </c>
      <c r="C19" s="45"/>
      <c r="D19" s="12" t="s">
        <v>285</v>
      </c>
      <c r="E19" s="12"/>
      <c r="F19" s="76">
        <f t="shared" ref="F19:H19" si="0">F30+F40</f>
        <v>77.760000000000005</v>
      </c>
      <c r="G19" s="76">
        <f t="shared" si="0"/>
        <v>83.23</v>
      </c>
      <c r="H19" s="76">
        <f t="shared" si="0"/>
        <v>88.76</v>
      </c>
      <c r="I19" s="86"/>
      <c r="J19" s="87"/>
      <c r="K19" s="1"/>
      <c r="L19" s="1"/>
      <c r="AG19" s="1"/>
      <c r="BB19" s="1"/>
      <c r="BW19" s="1"/>
      <c r="CR19" s="1"/>
      <c r="DM19" s="1"/>
    </row>
    <row r="20" spans="1:117" hidden="1" x14ac:dyDescent="0.25">
      <c r="A20" s="12" t="s">
        <v>51</v>
      </c>
      <c r="B20" s="315" t="s">
        <v>817</v>
      </c>
      <c r="C20" s="45"/>
      <c r="D20" s="12" t="s">
        <v>285</v>
      </c>
      <c r="E20" s="12"/>
      <c r="F20" s="76">
        <f t="shared" ref="F20:H20" si="1">F31+F41</f>
        <v>104.62</v>
      </c>
      <c r="G20" s="76">
        <f t="shared" si="1"/>
        <v>111.16</v>
      </c>
      <c r="H20" s="76">
        <f t="shared" si="1"/>
        <v>117.8</v>
      </c>
      <c r="I20" s="86"/>
      <c r="J20" s="87"/>
      <c r="K20" s="1"/>
      <c r="L20" s="1"/>
      <c r="AG20" s="1"/>
      <c r="BB20" s="1"/>
      <c r="BW20" s="1"/>
      <c r="CR20" s="1"/>
      <c r="DM20" s="1"/>
    </row>
    <row r="21" spans="1:117" hidden="1" x14ac:dyDescent="0.25">
      <c r="A21" s="12" t="s">
        <v>54</v>
      </c>
      <c r="B21" s="315" t="s">
        <v>823</v>
      </c>
      <c r="C21" s="45"/>
      <c r="D21" s="12" t="s">
        <v>285</v>
      </c>
      <c r="E21" s="12"/>
      <c r="F21" s="76">
        <f t="shared" ref="F21:H21" si="2">F32+F42</f>
        <v>129.13</v>
      </c>
      <c r="G21" s="76">
        <f t="shared" si="2"/>
        <v>136.65</v>
      </c>
      <c r="H21" s="76">
        <f t="shared" si="2"/>
        <v>144.32</v>
      </c>
      <c r="I21" s="86"/>
      <c r="J21" s="87"/>
      <c r="K21" s="1"/>
      <c r="L21" s="1"/>
      <c r="AG21" s="1"/>
      <c r="BB21" s="1"/>
      <c r="BW21" s="1"/>
      <c r="CR21" s="1"/>
      <c r="DM21" s="1"/>
    </row>
    <row r="22" spans="1:117" hidden="1" x14ac:dyDescent="0.25">
      <c r="A22" s="12" t="s">
        <v>55</v>
      </c>
      <c r="B22" s="315" t="s">
        <v>816</v>
      </c>
      <c r="C22" s="45"/>
      <c r="D22" s="12" t="s">
        <v>285</v>
      </c>
      <c r="E22" s="12"/>
      <c r="F22" s="76">
        <f t="shared" ref="F22:H22" si="3">F33+F43</f>
        <v>144.12</v>
      </c>
      <c r="G22" s="76">
        <f t="shared" si="3"/>
        <v>152.24</v>
      </c>
      <c r="H22" s="76">
        <f t="shared" si="3"/>
        <v>160.54</v>
      </c>
      <c r="I22" s="86"/>
      <c r="J22" s="87"/>
      <c r="K22" s="1"/>
      <c r="L22" s="1"/>
      <c r="AG22" s="1"/>
      <c r="BB22" s="1"/>
      <c r="BW22" s="1"/>
      <c r="CR22" s="1"/>
      <c r="DM22" s="1"/>
    </row>
    <row r="23" spans="1:117" ht="24" hidden="1" x14ac:dyDescent="0.25">
      <c r="A23" s="12" t="s">
        <v>56</v>
      </c>
      <c r="B23" s="315" t="s">
        <v>820</v>
      </c>
      <c r="C23" s="45"/>
      <c r="D23" s="12" t="s">
        <v>285</v>
      </c>
      <c r="E23" s="12"/>
      <c r="F23" s="76">
        <f t="shared" ref="F23:H23" si="4">F34+F44</f>
        <v>93.3</v>
      </c>
      <c r="G23" s="76">
        <f t="shared" si="4"/>
        <v>99.38</v>
      </c>
      <c r="H23" s="76">
        <f t="shared" si="4"/>
        <v>105.56</v>
      </c>
      <c r="I23" s="86"/>
      <c r="J23" s="87"/>
      <c r="K23" s="1"/>
      <c r="L23" s="1"/>
      <c r="AG23" s="1"/>
      <c r="BB23" s="1"/>
      <c r="BW23" s="1"/>
      <c r="CR23" s="1"/>
      <c r="DM23" s="1"/>
    </row>
    <row r="24" spans="1:117" ht="36" hidden="1" x14ac:dyDescent="0.25">
      <c r="A24" s="396" t="s">
        <v>469</v>
      </c>
      <c r="B24" s="315" t="s">
        <v>818</v>
      </c>
      <c r="C24" s="45"/>
      <c r="D24" s="12" t="s">
        <v>285</v>
      </c>
      <c r="E24" s="12"/>
      <c r="F24" s="76">
        <f t="shared" ref="F24:H24" si="5">F35+F45</f>
        <v>86.63</v>
      </c>
      <c r="G24" s="76">
        <f t="shared" si="5"/>
        <v>92.45</v>
      </c>
      <c r="H24" s="76">
        <f t="shared" si="5"/>
        <v>98.34</v>
      </c>
      <c r="I24" s="86"/>
      <c r="J24" s="87"/>
      <c r="K24" s="1"/>
      <c r="L24" s="1"/>
      <c r="AG24" s="1"/>
      <c r="BB24" s="1"/>
      <c r="BW24" s="1"/>
      <c r="CR24" s="1"/>
      <c r="DM24" s="1"/>
    </row>
    <row r="25" spans="1:117" ht="36" hidden="1" x14ac:dyDescent="0.25">
      <c r="A25" s="406" t="s">
        <v>825</v>
      </c>
      <c r="B25" s="392" t="s">
        <v>824</v>
      </c>
      <c r="C25" s="393"/>
      <c r="D25" s="12" t="s">
        <v>285</v>
      </c>
      <c r="E25" s="12"/>
      <c r="F25" s="76">
        <f t="shared" ref="F25:H25" si="6">F36+F46</f>
        <v>374.59</v>
      </c>
      <c r="G25" s="76">
        <f t="shared" si="6"/>
        <v>391.93</v>
      </c>
      <c r="H25" s="76">
        <f t="shared" si="6"/>
        <v>409.82</v>
      </c>
      <c r="I25" s="394"/>
      <c r="J25" s="395"/>
      <c r="K25" s="1"/>
      <c r="L25" s="1"/>
      <c r="AG25" s="1"/>
      <c r="BB25" s="1"/>
      <c r="BW25" s="1"/>
      <c r="CR25" s="1"/>
      <c r="DM25" s="1"/>
    </row>
    <row r="26" spans="1:117" ht="36" hidden="1" x14ac:dyDescent="0.25">
      <c r="A26" s="396" t="s">
        <v>826</v>
      </c>
      <c r="B26" s="392" t="s">
        <v>821</v>
      </c>
      <c r="C26" s="393"/>
      <c r="D26" s="12" t="s">
        <v>285</v>
      </c>
      <c r="E26" s="12"/>
      <c r="F26" s="76">
        <f t="shared" ref="F26:H26" si="7">F37+F47</f>
        <v>155.1</v>
      </c>
      <c r="G26" s="76">
        <f t="shared" si="7"/>
        <v>163.66</v>
      </c>
      <c r="H26" s="76">
        <f t="shared" si="7"/>
        <v>172.41</v>
      </c>
      <c r="I26" s="394"/>
      <c r="J26" s="395"/>
      <c r="K26" s="1"/>
      <c r="L26" s="1"/>
      <c r="AG26" s="1"/>
      <c r="BB26" s="1"/>
      <c r="BW26" s="1"/>
      <c r="CR26" s="1"/>
      <c r="DM26" s="1"/>
    </row>
    <row r="27" spans="1:117" ht="24" hidden="1" x14ac:dyDescent="0.25">
      <c r="A27" s="7"/>
      <c r="B27" s="314"/>
      <c r="C27" s="14" t="s">
        <v>5</v>
      </c>
      <c r="D27" s="15" t="s">
        <v>290</v>
      </c>
      <c r="E27" s="7"/>
      <c r="F27" s="75"/>
      <c r="G27" s="75"/>
      <c r="H27" s="75"/>
      <c r="I27" s="84"/>
      <c r="J27" s="85"/>
      <c r="K27" s="1"/>
      <c r="L27" s="1"/>
      <c r="AG27" s="1"/>
      <c r="BB27" s="1"/>
      <c r="BW27" s="1"/>
      <c r="CR27" s="1"/>
      <c r="DM27" s="1"/>
    </row>
    <row r="28" spans="1:117" ht="123.75" hidden="1" x14ac:dyDescent="0.25">
      <c r="A28" s="7"/>
      <c r="B28" s="314"/>
      <c r="C28" s="6"/>
      <c r="D28" s="47" t="s">
        <v>236</v>
      </c>
      <c r="E28" s="75"/>
      <c r="F28" s="75"/>
      <c r="G28" s="75"/>
      <c r="H28" s="75"/>
      <c r="I28" s="84"/>
      <c r="J28" s="85"/>
      <c r="K28" s="1"/>
      <c r="L28" s="1"/>
      <c r="AG28" s="1"/>
      <c r="BB28" s="1"/>
      <c r="BW28" s="1"/>
      <c r="CR28" s="1"/>
      <c r="DM28" s="1"/>
    </row>
    <row r="29" spans="1:117" ht="48" hidden="1" x14ac:dyDescent="0.25">
      <c r="A29" s="12" t="s">
        <v>52</v>
      </c>
      <c r="B29" s="315" t="s">
        <v>822</v>
      </c>
      <c r="C29" s="45"/>
      <c r="D29" s="12" t="s">
        <v>467</v>
      </c>
      <c r="E29" s="156">
        <f>'1.1. фот ПП,АУП,ОП (2024)'!HP13</f>
        <v>174.24</v>
      </c>
      <c r="F29" s="156">
        <f>'1.1. фот ПП,АУП,ОП (2024)'!GE13</f>
        <v>101.42</v>
      </c>
      <c r="G29" s="156">
        <f>'1.1. фот ПП,АУП,ОП (2025)'!GE13</f>
        <v>107.96</v>
      </c>
      <c r="H29" s="156">
        <f>'1.1. фот ПП,АУП,ОП (2026)'!GE13</f>
        <v>114.6</v>
      </c>
      <c r="I29" s="86" t="s">
        <v>462</v>
      </c>
      <c r="J29" s="87"/>
      <c r="K29" s="1"/>
      <c r="L29" s="1"/>
      <c r="AG29" s="1"/>
      <c r="BB29" s="1"/>
      <c r="BW29" s="1"/>
      <c r="CR29" s="1"/>
      <c r="DM29" s="1"/>
    </row>
    <row r="30" spans="1:117" ht="48" hidden="1" x14ac:dyDescent="0.25">
      <c r="A30" s="12" t="s">
        <v>53</v>
      </c>
      <c r="B30" s="315" t="s">
        <v>819</v>
      </c>
      <c r="C30" s="45"/>
      <c r="D30" s="12" t="s">
        <v>467</v>
      </c>
      <c r="E30" s="156">
        <f>'1.1. фот ПП,АУП,ОП (2024)'!HP14</f>
        <v>145.62</v>
      </c>
      <c r="F30" s="156">
        <f>'1.1. фот ПП,АУП,ОП (2024)'!GE14</f>
        <v>74.63</v>
      </c>
      <c r="G30" s="156">
        <f>'1.1. фот ПП,АУП,ОП (2025)'!GE14</f>
        <v>80.099999999999994</v>
      </c>
      <c r="H30" s="156">
        <f>'1.1. фот ПП,АУП,ОП (2026)'!GE14</f>
        <v>85.63</v>
      </c>
      <c r="I30" s="86" t="s">
        <v>462</v>
      </c>
      <c r="J30" s="87"/>
      <c r="K30" s="1"/>
      <c r="L30" s="1"/>
      <c r="AG30" s="1"/>
      <c r="BB30" s="1"/>
      <c r="BW30" s="1"/>
      <c r="CR30" s="1"/>
      <c r="DM30" s="1"/>
    </row>
    <row r="31" spans="1:117" ht="48" hidden="1" x14ac:dyDescent="0.25">
      <c r="A31" s="12" t="s">
        <v>51</v>
      </c>
      <c r="B31" s="315" t="s">
        <v>817</v>
      </c>
      <c r="C31" s="45"/>
      <c r="D31" s="12" t="s">
        <v>467</v>
      </c>
      <c r="E31" s="156">
        <f>'1.1. фот ПП,АУП,ОП (2024)'!HP15</f>
        <v>174.42</v>
      </c>
      <c r="F31" s="156">
        <f>'1.1. фот ПП,АУП,ОП (2024)'!GE15</f>
        <v>101.49</v>
      </c>
      <c r="G31" s="156">
        <f>'1.1. фот ПП,АУП,ОП (2025)'!GE15</f>
        <v>108.03</v>
      </c>
      <c r="H31" s="156">
        <f>'1.1. фот ПП,АУП,ОП (2026)'!GE15</f>
        <v>114.67</v>
      </c>
      <c r="I31" s="86" t="s">
        <v>462</v>
      </c>
      <c r="J31" s="87"/>
      <c r="K31" s="1"/>
      <c r="L31" s="1"/>
      <c r="AG31" s="1"/>
      <c r="BB31" s="1"/>
      <c r="BW31" s="1"/>
      <c r="CR31" s="1"/>
      <c r="DM31" s="1"/>
    </row>
    <row r="32" spans="1:117" ht="48" hidden="1" x14ac:dyDescent="0.25">
      <c r="A32" s="12" t="s">
        <v>54</v>
      </c>
      <c r="B32" s="315" t="s">
        <v>823</v>
      </c>
      <c r="C32" s="45"/>
      <c r="D32" s="12" t="s">
        <v>467</v>
      </c>
      <c r="E32" s="156">
        <f>'1.1. фот ПП,АУП,ОП (2024)'!HP19</f>
        <v>865.26</v>
      </c>
      <c r="F32" s="156">
        <f>'1.1. фот ПП,АУП,ОП (2024)'!GE19</f>
        <v>126</v>
      </c>
      <c r="G32" s="156">
        <f>'1.1. фот ПП,АУП,ОП (2025)'!GE19</f>
        <v>133.52000000000001</v>
      </c>
      <c r="H32" s="156">
        <f>'1.1. фот ПП,АУП,ОП (2026)'!GE19</f>
        <v>141.19</v>
      </c>
      <c r="I32" s="86" t="s">
        <v>462</v>
      </c>
      <c r="J32" s="87"/>
      <c r="K32" s="1"/>
      <c r="L32" s="1"/>
      <c r="AG32" s="1"/>
      <c r="BB32" s="1"/>
      <c r="BW32" s="1"/>
      <c r="CR32" s="1"/>
      <c r="DM32" s="1"/>
    </row>
    <row r="33" spans="1:117" ht="48" hidden="1" x14ac:dyDescent="0.25">
      <c r="A33" s="12" t="s">
        <v>55</v>
      </c>
      <c r="B33" s="315" t="s">
        <v>816</v>
      </c>
      <c r="C33" s="45"/>
      <c r="D33" s="12" t="s">
        <v>467</v>
      </c>
      <c r="E33" s="156">
        <f>'1.1. фот ПП,АУП,ОП (2024)'!HP20</f>
        <v>282.95999999999998</v>
      </c>
      <c r="F33" s="156">
        <f>'1.1. фот ПП,АУП,ОП (2024)'!GE20</f>
        <v>140.99</v>
      </c>
      <c r="G33" s="156">
        <f>'1.1. фот ПП,АУП,ОП (2025)'!GE20</f>
        <v>149.11000000000001</v>
      </c>
      <c r="H33" s="156">
        <f>'1.1. фот ПП,АУП,ОП (2026)'!GE20</f>
        <v>157.41</v>
      </c>
      <c r="I33" s="86" t="s">
        <v>462</v>
      </c>
      <c r="J33" s="87"/>
      <c r="K33" s="1"/>
      <c r="L33" s="1"/>
      <c r="AG33" s="1"/>
      <c r="BB33" s="1"/>
      <c r="BW33" s="1"/>
      <c r="CR33" s="1"/>
      <c r="DM33" s="1"/>
    </row>
    <row r="34" spans="1:117" ht="48" hidden="1" x14ac:dyDescent="0.25">
      <c r="A34" s="12" t="s">
        <v>56</v>
      </c>
      <c r="B34" s="315" t="s">
        <v>820</v>
      </c>
      <c r="C34" s="45"/>
      <c r="D34" s="12" t="s">
        <v>467</v>
      </c>
      <c r="E34" s="156">
        <f>'1.1. фот ПП,АУП,ОП (2024)'!HP21</f>
        <v>270.72000000000003</v>
      </c>
      <c r="F34" s="156">
        <f>'1.1. фот ПП,АУП,ОП (2024)'!GE21</f>
        <v>90.17</v>
      </c>
      <c r="G34" s="156">
        <f>'1.1. фот ПП,АУП,ОП (2025)'!GE21</f>
        <v>96.25</v>
      </c>
      <c r="H34" s="156">
        <f>'1.1. фот ПП,АУП,ОП (2026)'!GE21</f>
        <v>102.43</v>
      </c>
      <c r="I34" s="86" t="s">
        <v>462</v>
      </c>
      <c r="J34" s="87"/>
      <c r="K34" s="1"/>
      <c r="L34" s="1"/>
      <c r="AG34" s="1"/>
      <c r="BB34" s="1"/>
      <c r="BW34" s="1"/>
      <c r="CR34" s="1"/>
      <c r="DM34" s="1"/>
    </row>
    <row r="35" spans="1:117" ht="48" hidden="1" x14ac:dyDescent="0.25">
      <c r="A35" s="396" t="s">
        <v>469</v>
      </c>
      <c r="B35" s="315" t="s">
        <v>818</v>
      </c>
      <c r="C35" s="45"/>
      <c r="D35" s="12" t="s">
        <v>467</v>
      </c>
      <c r="E35" s="156">
        <f>'1.1. фот ПП,АУП,ОП (2024)'!HP22</f>
        <v>9.9</v>
      </c>
      <c r="F35" s="156">
        <f>'1.1. фот ПП,АУП,ОП (2024)'!GE22</f>
        <v>83.5</v>
      </c>
      <c r="G35" s="156">
        <f>'1.1. фот ПП,АУП,ОП (2025)'!GE22</f>
        <v>89.32</v>
      </c>
      <c r="H35" s="156">
        <f>'1.1. фот ПП,АУП,ОП (2026)'!GE22</f>
        <v>95.21</v>
      </c>
      <c r="I35" s="86" t="s">
        <v>462</v>
      </c>
      <c r="J35" s="87"/>
      <c r="K35" s="1"/>
      <c r="L35" s="1"/>
      <c r="AG35" s="1"/>
      <c r="BB35" s="1"/>
      <c r="BW35" s="1"/>
      <c r="CR35" s="1"/>
      <c r="DM35" s="1"/>
    </row>
    <row r="36" spans="1:117" ht="48" hidden="1" x14ac:dyDescent="0.25">
      <c r="A36" s="406" t="s">
        <v>825</v>
      </c>
      <c r="B36" s="392" t="s">
        <v>824</v>
      </c>
      <c r="C36" s="393"/>
      <c r="D36" s="12" t="s">
        <v>467</v>
      </c>
      <c r="E36" s="156">
        <f>'1.1. фот ПП,АУП,ОП (2024)'!HP23</f>
        <v>27.9</v>
      </c>
      <c r="F36" s="156">
        <f>'1.1. фот ПП,АУП,ОП (2024)'!GE23</f>
        <v>371.46</v>
      </c>
      <c r="G36" s="156">
        <f>'1.1. фот ПП,АУП,ОП (2025)'!GE23</f>
        <v>388.8</v>
      </c>
      <c r="H36" s="156">
        <f>'1.1. фот ПП,АУП,ОП (2026)'!GE23</f>
        <v>406.69</v>
      </c>
      <c r="I36" s="394" t="s">
        <v>462</v>
      </c>
      <c r="J36" s="395"/>
      <c r="K36" s="1"/>
      <c r="L36" s="1"/>
      <c r="AG36" s="1"/>
      <c r="BB36" s="1"/>
      <c r="BW36" s="1"/>
      <c r="CR36" s="1"/>
      <c r="DM36" s="1"/>
    </row>
    <row r="37" spans="1:117" ht="48" hidden="1" x14ac:dyDescent="0.25">
      <c r="A37" s="396" t="s">
        <v>826</v>
      </c>
      <c r="B37" s="392" t="s">
        <v>821</v>
      </c>
      <c r="C37" s="393"/>
      <c r="D37" s="12" t="s">
        <v>467</v>
      </c>
      <c r="E37" s="156">
        <f>'1.1. фот ПП,АУП,ОП (2024)'!HP24</f>
        <v>19.079999999999998</v>
      </c>
      <c r="F37" s="156">
        <f>'1.1. фот ПП,АУП,ОП (2024)'!GE24</f>
        <v>151.97</v>
      </c>
      <c r="G37" s="156">
        <f>'1.1. фот ПП,АУП,ОП (2025)'!GE24</f>
        <v>160.53</v>
      </c>
      <c r="H37" s="156">
        <f>'1.1. фот ПП,АУП,ОП (2026)'!GE24</f>
        <v>169.28</v>
      </c>
      <c r="I37" s="394" t="s">
        <v>462</v>
      </c>
      <c r="J37" s="395"/>
      <c r="K37" s="1"/>
      <c r="L37" s="1"/>
      <c r="AG37" s="1"/>
      <c r="BB37" s="1"/>
      <c r="BW37" s="1"/>
      <c r="CR37" s="1"/>
      <c r="DM37" s="1"/>
    </row>
    <row r="38" spans="1:117" hidden="1" x14ac:dyDescent="0.25">
      <c r="A38" s="7"/>
      <c r="B38" s="314"/>
      <c r="C38" s="14" t="s">
        <v>28</v>
      </c>
      <c r="D38" s="15" t="s">
        <v>235</v>
      </c>
      <c r="E38" s="7"/>
      <c r="F38" s="75"/>
      <c r="G38" s="75"/>
      <c r="H38" s="75"/>
      <c r="I38" s="84"/>
      <c r="J38" s="85"/>
      <c r="K38" s="1"/>
      <c r="L38" s="1"/>
      <c r="AG38" s="1"/>
      <c r="BB38" s="1"/>
      <c r="BW38" s="1"/>
      <c r="CR38" s="1"/>
      <c r="DM38" s="1"/>
    </row>
    <row r="39" spans="1:117" hidden="1" x14ac:dyDescent="0.25">
      <c r="A39" s="12" t="s">
        <v>52</v>
      </c>
      <c r="B39" s="315" t="s">
        <v>822</v>
      </c>
      <c r="C39" s="45"/>
      <c r="D39" s="12" t="s">
        <v>285</v>
      </c>
      <c r="E39" s="12"/>
      <c r="F39" s="76">
        <f t="shared" ref="F39:H44" si="8">F50+F61</f>
        <v>3.13</v>
      </c>
      <c r="G39" s="76">
        <f t="shared" si="8"/>
        <v>3.13</v>
      </c>
      <c r="H39" s="76">
        <f t="shared" si="8"/>
        <v>3.13</v>
      </c>
      <c r="I39" s="86"/>
      <c r="J39" s="87"/>
      <c r="K39" s="1"/>
      <c r="L39" s="1"/>
      <c r="AG39" s="1"/>
      <c r="BB39" s="1"/>
      <c r="BW39" s="1"/>
      <c r="CR39" s="1"/>
      <c r="DM39" s="1"/>
    </row>
    <row r="40" spans="1:117" hidden="1" x14ac:dyDescent="0.25">
      <c r="A40" s="12" t="s">
        <v>53</v>
      </c>
      <c r="B40" s="315" t="s">
        <v>819</v>
      </c>
      <c r="C40" s="45"/>
      <c r="D40" s="12" t="s">
        <v>285</v>
      </c>
      <c r="E40" s="12"/>
      <c r="F40" s="76">
        <f t="shared" si="8"/>
        <v>3.13</v>
      </c>
      <c r="G40" s="76">
        <f t="shared" si="8"/>
        <v>3.13</v>
      </c>
      <c r="H40" s="76">
        <f t="shared" si="8"/>
        <v>3.13</v>
      </c>
      <c r="I40" s="86"/>
      <c r="J40" s="87"/>
      <c r="K40" s="1"/>
      <c r="L40" s="1"/>
      <c r="AG40" s="1"/>
      <c r="BB40" s="1"/>
      <c r="BW40" s="1"/>
      <c r="CR40" s="1"/>
      <c r="DM40" s="1"/>
    </row>
    <row r="41" spans="1:117" hidden="1" x14ac:dyDescent="0.25">
      <c r="A41" s="12" t="s">
        <v>51</v>
      </c>
      <c r="B41" s="315" t="s">
        <v>817</v>
      </c>
      <c r="C41" s="45"/>
      <c r="D41" s="12" t="s">
        <v>285</v>
      </c>
      <c r="E41" s="12"/>
      <c r="F41" s="76">
        <f t="shared" si="8"/>
        <v>3.13</v>
      </c>
      <c r="G41" s="76">
        <f t="shared" si="8"/>
        <v>3.13</v>
      </c>
      <c r="H41" s="76">
        <f t="shared" si="8"/>
        <v>3.13</v>
      </c>
      <c r="I41" s="86"/>
      <c r="J41" s="87"/>
      <c r="K41" s="1"/>
      <c r="L41" s="1"/>
      <c r="AG41" s="1"/>
      <c r="BB41" s="1"/>
      <c r="BW41" s="1"/>
      <c r="CR41" s="1"/>
      <c r="DM41" s="1"/>
    </row>
    <row r="42" spans="1:117" hidden="1" x14ac:dyDescent="0.25">
      <c r="A42" s="12" t="s">
        <v>54</v>
      </c>
      <c r="B42" s="315" t="s">
        <v>823</v>
      </c>
      <c r="C42" s="45"/>
      <c r="D42" s="12" t="s">
        <v>285</v>
      </c>
      <c r="E42" s="12"/>
      <c r="F42" s="76">
        <f t="shared" si="8"/>
        <v>3.13</v>
      </c>
      <c r="G42" s="76">
        <f t="shared" si="8"/>
        <v>3.13</v>
      </c>
      <c r="H42" s="76">
        <f t="shared" si="8"/>
        <v>3.13</v>
      </c>
      <c r="I42" s="86"/>
      <c r="J42" s="87"/>
      <c r="K42" s="1"/>
      <c r="L42" s="1"/>
      <c r="AG42" s="1"/>
      <c r="BB42" s="1"/>
      <c r="BW42" s="1"/>
      <c r="CR42" s="1"/>
      <c r="DM42" s="1"/>
    </row>
    <row r="43" spans="1:117" hidden="1" x14ac:dyDescent="0.25">
      <c r="A43" s="12" t="s">
        <v>55</v>
      </c>
      <c r="B43" s="315" t="s">
        <v>816</v>
      </c>
      <c r="C43" s="45"/>
      <c r="D43" s="12" t="s">
        <v>285</v>
      </c>
      <c r="E43" s="12"/>
      <c r="F43" s="76">
        <f t="shared" si="8"/>
        <v>3.13</v>
      </c>
      <c r="G43" s="76">
        <f t="shared" si="8"/>
        <v>3.13</v>
      </c>
      <c r="H43" s="76">
        <f t="shared" si="8"/>
        <v>3.13</v>
      </c>
      <c r="I43" s="86"/>
      <c r="J43" s="87"/>
      <c r="K43" s="1"/>
      <c r="L43" s="1"/>
      <c r="AG43" s="1"/>
      <c r="BB43" s="1"/>
      <c r="BW43" s="1"/>
      <c r="CR43" s="1"/>
      <c r="DM43" s="1"/>
    </row>
    <row r="44" spans="1:117" ht="24" hidden="1" x14ac:dyDescent="0.25">
      <c r="A44" s="12" t="s">
        <v>56</v>
      </c>
      <c r="B44" s="315" t="s">
        <v>820</v>
      </c>
      <c r="C44" s="45"/>
      <c r="D44" s="12" t="s">
        <v>285</v>
      </c>
      <c r="E44" s="12"/>
      <c r="F44" s="76">
        <f t="shared" si="8"/>
        <v>3.13</v>
      </c>
      <c r="G44" s="76">
        <f t="shared" si="8"/>
        <v>3.13</v>
      </c>
      <c r="H44" s="76">
        <f t="shared" si="8"/>
        <v>3.13</v>
      </c>
      <c r="I44" s="86"/>
      <c r="J44" s="87"/>
      <c r="K44" s="1"/>
      <c r="L44" s="1"/>
      <c r="AG44" s="1"/>
      <c r="BB44" s="1"/>
      <c r="BW44" s="1"/>
      <c r="CR44" s="1"/>
      <c r="DM44" s="1"/>
    </row>
    <row r="45" spans="1:117" ht="36" hidden="1" x14ac:dyDescent="0.25">
      <c r="A45" s="396" t="s">
        <v>469</v>
      </c>
      <c r="B45" s="315" t="s">
        <v>818</v>
      </c>
      <c r="C45" s="45"/>
      <c r="D45" s="12" t="s">
        <v>285</v>
      </c>
      <c r="E45" s="12"/>
      <c r="F45" s="76">
        <f t="shared" ref="F45:H45" si="9">F56+F67</f>
        <v>3.13</v>
      </c>
      <c r="G45" s="76">
        <f t="shared" si="9"/>
        <v>3.13</v>
      </c>
      <c r="H45" s="76">
        <f t="shared" si="9"/>
        <v>3.13</v>
      </c>
      <c r="I45" s="86"/>
      <c r="J45" s="87"/>
      <c r="K45" s="1"/>
      <c r="L45" s="1"/>
      <c r="AG45" s="1"/>
      <c r="BB45" s="1"/>
      <c r="BW45" s="1"/>
      <c r="CR45" s="1"/>
      <c r="DM45" s="1"/>
    </row>
    <row r="46" spans="1:117" ht="36" hidden="1" x14ac:dyDescent="0.25">
      <c r="A46" s="406" t="s">
        <v>825</v>
      </c>
      <c r="B46" s="392" t="s">
        <v>824</v>
      </c>
      <c r="C46" s="393"/>
      <c r="D46" s="12" t="s">
        <v>285</v>
      </c>
      <c r="E46" s="12"/>
      <c r="F46" s="76">
        <f t="shared" ref="F46:H46" si="10">F57+F68</f>
        <v>3.13</v>
      </c>
      <c r="G46" s="76">
        <f t="shared" si="10"/>
        <v>3.13</v>
      </c>
      <c r="H46" s="76">
        <f t="shared" si="10"/>
        <v>3.13</v>
      </c>
      <c r="I46" s="394"/>
      <c r="J46" s="395"/>
      <c r="K46" s="1"/>
      <c r="L46" s="1"/>
      <c r="AG46" s="1"/>
      <c r="BB46" s="1"/>
      <c r="BW46" s="1"/>
      <c r="CR46" s="1"/>
      <c r="DM46" s="1"/>
    </row>
    <row r="47" spans="1:117" ht="36" hidden="1" x14ac:dyDescent="0.25">
      <c r="A47" s="396" t="s">
        <v>826</v>
      </c>
      <c r="B47" s="392" t="s">
        <v>821</v>
      </c>
      <c r="C47" s="393"/>
      <c r="D47" s="12" t="s">
        <v>285</v>
      </c>
      <c r="E47" s="12"/>
      <c r="F47" s="76">
        <f t="shared" ref="F47:H47" si="11">F58+F69</f>
        <v>3.13</v>
      </c>
      <c r="G47" s="76">
        <f t="shared" si="11"/>
        <v>3.13</v>
      </c>
      <c r="H47" s="76">
        <f t="shared" si="11"/>
        <v>3.13</v>
      </c>
      <c r="I47" s="394"/>
      <c r="J47" s="395"/>
      <c r="K47" s="1"/>
      <c r="L47" s="1"/>
      <c r="AG47" s="1"/>
      <c r="BB47" s="1"/>
      <c r="BW47" s="1"/>
      <c r="CR47" s="1"/>
      <c r="DM47" s="1"/>
    </row>
    <row r="48" spans="1:117" ht="36" hidden="1" x14ac:dyDescent="0.25">
      <c r="A48" s="7"/>
      <c r="B48" s="314"/>
      <c r="C48" s="14" t="s">
        <v>6</v>
      </c>
      <c r="D48" s="15" t="s">
        <v>25</v>
      </c>
      <c r="E48" s="7"/>
      <c r="F48" s="75"/>
      <c r="G48" s="75"/>
      <c r="H48" s="75"/>
      <c r="I48" s="84"/>
      <c r="J48" s="85"/>
      <c r="K48" s="1"/>
      <c r="L48" s="1"/>
      <c r="AG48" s="1"/>
      <c r="BB48" s="1"/>
      <c r="BW48" s="1"/>
      <c r="CR48" s="1"/>
      <c r="DM48" s="1"/>
    </row>
    <row r="49" spans="1:117" ht="180" hidden="1" x14ac:dyDescent="0.25">
      <c r="A49" s="7"/>
      <c r="B49" s="314"/>
      <c r="C49" s="6"/>
      <c r="D49" s="47" t="s">
        <v>7</v>
      </c>
      <c r="E49" s="7"/>
      <c r="F49" s="75"/>
      <c r="G49" s="75"/>
      <c r="H49" s="75"/>
      <c r="I49" s="84"/>
      <c r="J49" s="85"/>
      <c r="K49" s="1"/>
      <c r="L49" s="1"/>
      <c r="AG49" s="1"/>
      <c r="BB49" s="1"/>
      <c r="BW49" s="1"/>
      <c r="CR49" s="1"/>
      <c r="DM49" s="1"/>
    </row>
    <row r="50" spans="1:117" ht="24" hidden="1" x14ac:dyDescent="0.25">
      <c r="A50" s="12" t="s">
        <v>52</v>
      </c>
      <c r="B50" s="315" t="s">
        <v>822</v>
      </c>
      <c r="C50" s="45"/>
      <c r="D50" s="12" t="s">
        <v>282</v>
      </c>
      <c r="E50" s="1031" t="s">
        <v>275</v>
      </c>
      <c r="F50" s="156">
        <f>'1.3.расчет прочих'!$L$255</f>
        <v>0.91</v>
      </c>
      <c r="G50" s="181">
        <f>F50</f>
        <v>0.91</v>
      </c>
      <c r="H50" s="181">
        <f>F50</f>
        <v>0.91</v>
      </c>
      <c r="I50" s="86" t="s">
        <v>466</v>
      </c>
      <c r="J50" s="87"/>
      <c r="K50" s="1"/>
      <c r="L50" s="1"/>
      <c r="AG50" s="1"/>
      <c r="BB50" s="1"/>
      <c r="BW50" s="1"/>
      <c r="CR50" s="1"/>
      <c r="DM50" s="1"/>
    </row>
    <row r="51" spans="1:117" ht="24" hidden="1" x14ac:dyDescent="0.25">
      <c r="A51" s="12" t="s">
        <v>53</v>
      </c>
      <c r="B51" s="315" t="s">
        <v>819</v>
      </c>
      <c r="C51" s="45"/>
      <c r="D51" s="12" t="s">
        <v>282</v>
      </c>
      <c r="E51" s="1032"/>
      <c r="F51" s="156">
        <f>'1.3.расчет прочих'!$L$255</f>
        <v>0.91</v>
      </c>
      <c r="G51" s="181">
        <f t="shared" ref="G51:G55" si="12">F51</f>
        <v>0.91</v>
      </c>
      <c r="H51" s="181">
        <f t="shared" ref="H51:H55" si="13">F51</f>
        <v>0.91</v>
      </c>
      <c r="I51" s="86" t="s">
        <v>466</v>
      </c>
      <c r="J51" s="87"/>
      <c r="K51" s="1"/>
      <c r="L51" s="1"/>
      <c r="AG51" s="1"/>
      <c r="BB51" s="1"/>
      <c r="BW51" s="1"/>
      <c r="CR51" s="1"/>
      <c r="DM51" s="1"/>
    </row>
    <row r="52" spans="1:117" ht="24" hidden="1" x14ac:dyDescent="0.25">
      <c r="A52" s="12" t="s">
        <v>51</v>
      </c>
      <c r="B52" s="315" t="s">
        <v>817</v>
      </c>
      <c r="C52" s="45"/>
      <c r="D52" s="12" t="s">
        <v>282</v>
      </c>
      <c r="E52" s="1032"/>
      <c r="F52" s="156">
        <f>'1.3.расчет прочих'!$L$255</f>
        <v>0.91</v>
      </c>
      <c r="G52" s="181">
        <f t="shared" si="12"/>
        <v>0.91</v>
      </c>
      <c r="H52" s="181">
        <f t="shared" si="13"/>
        <v>0.91</v>
      </c>
      <c r="I52" s="86" t="s">
        <v>466</v>
      </c>
      <c r="J52" s="87"/>
      <c r="K52" s="1"/>
      <c r="L52" s="1"/>
      <c r="AG52" s="1"/>
      <c r="BB52" s="1"/>
      <c r="BW52" s="1"/>
      <c r="CR52" s="1"/>
      <c r="DM52" s="1"/>
    </row>
    <row r="53" spans="1:117" ht="24" hidden="1" x14ac:dyDescent="0.25">
      <c r="A53" s="12" t="s">
        <v>54</v>
      </c>
      <c r="B53" s="315" t="s">
        <v>823</v>
      </c>
      <c r="C53" s="45"/>
      <c r="D53" s="12" t="s">
        <v>282</v>
      </c>
      <c r="E53" s="1032"/>
      <c r="F53" s="156">
        <f>'1.3.расчет прочих'!$L$255</f>
        <v>0.91</v>
      </c>
      <c r="G53" s="181">
        <f t="shared" si="12"/>
        <v>0.91</v>
      </c>
      <c r="H53" s="181">
        <f t="shared" si="13"/>
        <v>0.91</v>
      </c>
      <c r="I53" s="86" t="s">
        <v>466</v>
      </c>
      <c r="J53" s="87"/>
      <c r="K53" s="1"/>
      <c r="L53" s="1"/>
      <c r="AG53" s="1"/>
      <c r="BB53" s="1"/>
      <c r="BW53" s="1"/>
      <c r="CR53" s="1"/>
      <c r="DM53" s="1"/>
    </row>
    <row r="54" spans="1:117" ht="24" hidden="1" x14ac:dyDescent="0.25">
      <c r="A54" s="12" t="s">
        <v>55</v>
      </c>
      <c r="B54" s="315" t="s">
        <v>816</v>
      </c>
      <c r="C54" s="45"/>
      <c r="D54" s="12" t="s">
        <v>282</v>
      </c>
      <c r="E54" s="1032"/>
      <c r="F54" s="156">
        <f>'1.3.расчет прочих'!$L$255</f>
        <v>0.91</v>
      </c>
      <c r="G54" s="181">
        <f t="shared" si="12"/>
        <v>0.91</v>
      </c>
      <c r="H54" s="181">
        <f t="shared" si="13"/>
        <v>0.91</v>
      </c>
      <c r="I54" s="86" t="s">
        <v>466</v>
      </c>
      <c r="J54" s="87"/>
      <c r="K54" s="1"/>
      <c r="L54" s="1"/>
      <c r="AG54" s="1"/>
      <c r="BB54" s="1"/>
      <c r="BW54" s="1"/>
      <c r="CR54" s="1"/>
      <c r="DM54" s="1"/>
    </row>
    <row r="55" spans="1:117" ht="24" hidden="1" x14ac:dyDescent="0.25">
      <c r="A55" s="12" t="s">
        <v>56</v>
      </c>
      <c r="B55" s="315" t="s">
        <v>820</v>
      </c>
      <c r="C55" s="45"/>
      <c r="D55" s="12" t="s">
        <v>282</v>
      </c>
      <c r="E55" s="1033"/>
      <c r="F55" s="156">
        <f>'1.3.расчет прочих'!$L$255</f>
        <v>0.91</v>
      </c>
      <c r="G55" s="181">
        <f t="shared" si="12"/>
        <v>0.91</v>
      </c>
      <c r="H55" s="181">
        <f t="shared" si="13"/>
        <v>0.91</v>
      </c>
      <c r="I55" s="86" t="s">
        <v>466</v>
      </c>
      <c r="J55" s="87"/>
      <c r="K55" s="1"/>
      <c r="L55" s="1"/>
      <c r="AG55" s="1"/>
      <c r="BB55" s="1"/>
      <c r="BW55" s="1"/>
      <c r="CR55" s="1"/>
      <c r="DM55" s="1"/>
    </row>
    <row r="56" spans="1:117" ht="36" hidden="1" x14ac:dyDescent="0.25">
      <c r="A56" s="396" t="s">
        <v>469</v>
      </c>
      <c r="B56" s="315" t="s">
        <v>818</v>
      </c>
      <c r="C56" s="45"/>
      <c r="D56" s="12" t="s">
        <v>282</v>
      </c>
      <c r="E56" s="848"/>
      <c r="F56" s="156">
        <f>'1.3.расчет прочих'!$L$255</f>
        <v>0.91</v>
      </c>
      <c r="G56" s="181">
        <f t="shared" ref="G56:G58" si="14">F56</f>
        <v>0.91</v>
      </c>
      <c r="H56" s="181">
        <f t="shared" ref="H56:H58" si="15">F56</f>
        <v>0.91</v>
      </c>
      <c r="I56" s="86" t="s">
        <v>466</v>
      </c>
      <c r="J56" s="87"/>
      <c r="K56" s="1"/>
      <c r="L56" s="1"/>
      <c r="AG56" s="1"/>
      <c r="BB56" s="1"/>
      <c r="BW56" s="1"/>
      <c r="CR56" s="1"/>
      <c r="DM56" s="1"/>
    </row>
    <row r="57" spans="1:117" ht="36" hidden="1" x14ac:dyDescent="0.25">
      <c r="A57" s="406" t="s">
        <v>825</v>
      </c>
      <c r="B57" s="392" t="s">
        <v>824</v>
      </c>
      <c r="C57" s="393"/>
      <c r="D57" s="12" t="s">
        <v>282</v>
      </c>
      <c r="E57" s="848"/>
      <c r="F57" s="156">
        <f>'1.3.расчет прочих'!$L$255</f>
        <v>0.91</v>
      </c>
      <c r="G57" s="181">
        <f t="shared" si="14"/>
        <v>0.91</v>
      </c>
      <c r="H57" s="181">
        <f t="shared" si="15"/>
        <v>0.91</v>
      </c>
      <c r="I57" s="86" t="s">
        <v>466</v>
      </c>
      <c r="J57" s="87"/>
      <c r="K57" s="1"/>
      <c r="L57" s="1"/>
      <c r="AG57" s="1"/>
      <c r="BB57" s="1"/>
      <c r="BW57" s="1"/>
      <c r="CR57" s="1"/>
      <c r="DM57" s="1"/>
    </row>
    <row r="58" spans="1:117" ht="36" hidden="1" x14ac:dyDescent="0.25">
      <c r="A58" s="396" t="s">
        <v>826</v>
      </c>
      <c r="B58" s="392" t="s">
        <v>821</v>
      </c>
      <c r="C58" s="393"/>
      <c r="D58" s="12" t="s">
        <v>282</v>
      </c>
      <c r="E58" s="391"/>
      <c r="F58" s="156">
        <f>'1.3.расчет прочих'!$L$255</f>
        <v>0.91</v>
      </c>
      <c r="G58" s="181">
        <f t="shared" si="14"/>
        <v>0.91</v>
      </c>
      <c r="H58" s="181">
        <f t="shared" si="15"/>
        <v>0.91</v>
      </c>
      <c r="I58" s="86" t="s">
        <v>466</v>
      </c>
      <c r="J58" s="87"/>
      <c r="K58" s="1"/>
      <c r="L58" s="1"/>
      <c r="AG58" s="1"/>
      <c r="BB58" s="1"/>
      <c r="BW58" s="1"/>
      <c r="CR58" s="1"/>
      <c r="DM58" s="1"/>
    </row>
    <row r="59" spans="1:117" ht="24" hidden="1" x14ac:dyDescent="0.25">
      <c r="A59" s="7"/>
      <c r="B59" s="314"/>
      <c r="C59" s="14" t="s">
        <v>8</v>
      </c>
      <c r="D59" s="15" t="s">
        <v>27</v>
      </c>
      <c r="E59" s="7"/>
      <c r="F59" s="75"/>
      <c r="G59" s="75"/>
      <c r="H59" s="75"/>
      <c r="I59" s="84"/>
      <c r="J59" s="85"/>
      <c r="K59" s="1"/>
      <c r="L59" s="1"/>
      <c r="AG59" s="1"/>
      <c r="BB59" s="1"/>
      <c r="BW59" s="1"/>
      <c r="CR59" s="1"/>
      <c r="DM59" s="1"/>
    </row>
    <row r="60" spans="1:117" ht="213.75" hidden="1" x14ac:dyDescent="0.25">
      <c r="A60" s="7"/>
      <c r="B60" s="314"/>
      <c r="C60" s="6"/>
      <c r="D60" s="47" t="s">
        <v>288</v>
      </c>
      <c r="E60" s="7"/>
      <c r="F60" s="75"/>
      <c r="G60" s="75"/>
      <c r="H60" s="75"/>
      <c r="I60" s="84"/>
      <c r="J60" s="85"/>
      <c r="K60" s="1"/>
      <c r="L60" s="1"/>
      <c r="AG60" s="1"/>
      <c r="BB60" s="1"/>
      <c r="BW60" s="1"/>
      <c r="CR60" s="1"/>
      <c r="DM60" s="1"/>
    </row>
    <row r="61" spans="1:117" ht="24" hidden="1" x14ac:dyDescent="0.25">
      <c r="A61" s="12" t="s">
        <v>52</v>
      </c>
      <c r="B61" s="315" t="s">
        <v>822</v>
      </c>
      <c r="C61" s="45"/>
      <c r="D61" s="12" t="s">
        <v>282</v>
      </c>
      <c r="E61" s="1031" t="s">
        <v>275</v>
      </c>
      <c r="F61" s="156">
        <f>'1.3.расчет прочих'!$L$256</f>
        <v>2.2200000000000002</v>
      </c>
      <c r="G61" s="181">
        <f t="shared" ref="G61:G66" si="16">F61</f>
        <v>2.2200000000000002</v>
      </c>
      <c r="H61" s="181">
        <f t="shared" ref="H61:H66" si="17">F61</f>
        <v>2.2200000000000002</v>
      </c>
      <c r="I61" s="86" t="s">
        <v>466</v>
      </c>
      <c r="J61" s="87"/>
      <c r="K61" s="1"/>
      <c r="L61" s="1"/>
      <c r="AG61" s="1"/>
      <c r="BB61" s="1"/>
      <c r="BW61" s="1"/>
      <c r="CR61" s="1"/>
      <c r="DM61" s="1"/>
    </row>
    <row r="62" spans="1:117" ht="24" hidden="1" x14ac:dyDescent="0.25">
      <c r="A62" s="12" t="s">
        <v>53</v>
      </c>
      <c r="B62" s="315" t="s">
        <v>819</v>
      </c>
      <c r="C62" s="45"/>
      <c r="D62" s="12" t="s">
        <v>282</v>
      </c>
      <c r="E62" s="1032"/>
      <c r="F62" s="156">
        <f>'1.3.расчет прочих'!$L$256</f>
        <v>2.2200000000000002</v>
      </c>
      <c r="G62" s="181">
        <f t="shared" si="16"/>
        <v>2.2200000000000002</v>
      </c>
      <c r="H62" s="181">
        <f t="shared" si="17"/>
        <v>2.2200000000000002</v>
      </c>
      <c r="I62" s="86" t="s">
        <v>466</v>
      </c>
      <c r="J62" s="87"/>
      <c r="K62" s="1"/>
      <c r="L62" s="1"/>
      <c r="AG62" s="1"/>
      <c r="BB62" s="1"/>
      <c r="BW62" s="1"/>
      <c r="CR62" s="1"/>
      <c r="DM62" s="1"/>
    </row>
    <row r="63" spans="1:117" ht="24" hidden="1" x14ac:dyDescent="0.25">
      <c r="A63" s="12" t="s">
        <v>51</v>
      </c>
      <c r="B63" s="315" t="s">
        <v>817</v>
      </c>
      <c r="C63" s="45"/>
      <c r="D63" s="12" t="s">
        <v>282</v>
      </c>
      <c r="E63" s="1032"/>
      <c r="F63" s="156">
        <f>'1.3.расчет прочих'!$L$256</f>
        <v>2.2200000000000002</v>
      </c>
      <c r="G63" s="181">
        <f t="shared" si="16"/>
        <v>2.2200000000000002</v>
      </c>
      <c r="H63" s="181">
        <f t="shared" si="17"/>
        <v>2.2200000000000002</v>
      </c>
      <c r="I63" s="86" t="s">
        <v>466</v>
      </c>
      <c r="J63" s="87"/>
      <c r="K63" s="1"/>
      <c r="L63" s="1"/>
      <c r="AG63" s="1"/>
      <c r="BB63" s="1"/>
      <c r="BW63" s="1"/>
      <c r="CR63" s="1"/>
      <c r="DM63" s="1"/>
    </row>
    <row r="64" spans="1:117" ht="24" hidden="1" x14ac:dyDescent="0.25">
      <c r="A64" s="12" t="s">
        <v>54</v>
      </c>
      <c r="B64" s="315" t="s">
        <v>823</v>
      </c>
      <c r="C64" s="45"/>
      <c r="D64" s="12" t="s">
        <v>282</v>
      </c>
      <c r="E64" s="1032"/>
      <c r="F64" s="156">
        <f>'1.3.расчет прочих'!$L$256</f>
        <v>2.2200000000000002</v>
      </c>
      <c r="G64" s="181">
        <f t="shared" si="16"/>
        <v>2.2200000000000002</v>
      </c>
      <c r="H64" s="181">
        <f t="shared" si="17"/>
        <v>2.2200000000000002</v>
      </c>
      <c r="I64" s="86" t="s">
        <v>466</v>
      </c>
      <c r="J64" s="87"/>
      <c r="K64" s="1"/>
      <c r="L64" s="1"/>
      <c r="AG64" s="1"/>
      <c r="BB64" s="1"/>
      <c r="BW64" s="1"/>
      <c r="CR64" s="1"/>
      <c r="DM64" s="1"/>
    </row>
    <row r="65" spans="1:117" ht="24" hidden="1" x14ac:dyDescent="0.25">
      <c r="A65" s="12" t="s">
        <v>55</v>
      </c>
      <c r="B65" s="315" t="s">
        <v>816</v>
      </c>
      <c r="C65" s="45"/>
      <c r="D65" s="12" t="s">
        <v>282</v>
      </c>
      <c r="E65" s="1032"/>
      <c r="F65" s="156">
        <f>'1.3.расчет прочих'!$L$256</f>
        <v>2.2200000000000002</v>
      </c>
      <c r="G65" s="181">
        <f t="shared" si="16"/>
        <v>2.2200000000000002</v>
      </c>
      <c r="H65" s="181">
        <f t="shared" si="17"/>
        <v>2.2200000000000002</v>
      </c>
      <c r="I65" s="86" t="s">
        <v>466</v>
      </c>
      <c r="J65" s="87"/>
      <c r="K65" s="1"/>
      <c r="L65" s="1"/>
      <c r="AG65" s="1"/>
      <c r="BB65" s="1"/>
      <c r="BW65" s="1"/>
      <c r="CR65" s="1"/>
      <c r="DM65" s="1"/>
    </row>
    <row r="66" spans="1:117" ht="24" hidden="1" x14ac:dyDescent="0.25">
      <c r="A66" s="12" t="s">
        <v>56</v>
      </c>
      <c r="B66" s="315" t="s">
        <v>820</v>
      </c>
      <c r="C66" s="45"/>
      <c r="D66" s="12" t="s">
        <v>282</v>
      </c>
      <c r="E66" s="1033"/>
      <c r="F66" s="156">
        <f>'1.3.расчет прочих'!$L$256</f>
        <v>2.2200000000000002</v>
      </c>
      <c r="G66" s="181">
        <f t="shared" si="16"/>
        <v>2.2200000000000002</v>
      </c>
      <c r="H66" s="181">
        <f t="shared" si="17"/>
        <v>2.2200000000000002</v>
      </c>
      <c r="I66" s="86" t="s">
        <v>466</v>
      </c>
      <c r="J66" s="87"/>
      <c r="K66" s="1"/>
      <c r="L66" s="1"/>
      <c r="AG66" s="1"/>
      <c r="BB66" s="1"/>
      <c r="BW66" s="1"/>
      <c r="CR66" s="1"/>
      <c r="DM66" s="1"/>
    </row>
    <row r="67" spans="1:117" ht="36" hidden="1" x14ac:dyDescent="0.25">
      <c r="A67" s="396" t="s">
        <v>469</v>
      </c>
      <c r="B67" s="315" t="s">
        <v>818</v>
      </c>
      <c r="C67" s="45"/>
      <c r="D67" s="12" t="s">
        <v>282</v>
      </c>
      <c r="E67" s="848"/>
      <c r="F67" s="156">
        <f>'1.3.расчет прочих'!$L$256</f>
        <v>2.2200000000000002</v>
      </c>
      <c r="G67" s="181">
        <f t="shared" ref="G67:G69" si="18">F67</f>
        <v>2.2200000000000002</v>
      </c>
      <c r="H67" s="181">
        <f t="shared" ref="H67:H69" si="19">F67</f>
        <v>2.2200000000000002</v>
      </c>
      <c r="I67" s="86" t="s">
        <v>466</v>
      </c>
      <c r="J67" s="87"/>
      <c r="K67" s="1"/>
      <c r="L67" s="1"/>
      <c r="AG67" s="1"/>
      <c r="BB67" s="1"/>
      <c r="BW67" s="1"/>
      <c r="CR67" s="1"/>
      <c r="DM67" s="1"/>
    </row>
    <row r="68" spans="1:117" ht="36" hidden="1" x14ac:dyDescent="0.25">
      <c r="A68" s="406" t="s">
        <v>825</v>
      </c>
      <c r="B68" s="392" t="s">
        <v>824</v>
      </c>
      <c r="C68" s="393"/>
      <c r="D68" s="12" t="s">
        <v>282</v>
      </c>
      <c r="E68" s="848"/>
      <c r="F68" s="156">
        <f>'1.3.расчет прочих'!$L$256</f>
        <v>2.2200000000000002</v>
      </c>
      <c r="G68" s="181">
        <f t="shared" si="18"/>
        <v>2.2200000000000002</v>
      </c>
      <c r="H68" s="181">
        <f t="shared" si="19"/>
        <v>2.2200000000000002</v>
      </c>
      <c r="I68" s="86" t="s">
        <v>466</v>
      </c>
      <c r="J68" s="87"/>
      <c r="K68" s="1"/>
      <c r="L68" s="1"/>
      <c r="AG68" s="1"/>
      <c r="BB68" s="1"/>
      <c r="BW68" s="1"/>
      <c r="CR68" s="1"/>
      <c r="DM68" s="1"/>
    </row>
    <row r="69" spans="1:117" ht="36" hidden="1" x14ac:dyDescent="0.25">
      <c r="A69" s="396" t="s">
        <v>826</v>
      </c>
      <c r="B69" s="392" t="s">
        <v>821</v>
      </c>
      <c r="C69" s="393"/>
      <c r="D69" s="12" t="s">
        <v>282</v>
      </c>
      <c r="E69" s="391"/>
      <c r="F69" s="156">
        <f>'1.3.расчет прочих'!$L$256</f>
        <v>2.2200000000000002</v>
      </c>
      <c r="G69" s="181">
        <f t="shared" si="18"/>
        <v>2.2200000000000002</v>
      </c>
      <c r="H69" s="181">
        <f t="shared" si="19"/>
        <v>2.2200000000000002</v>
      </c>
      <c r="I69" s="86" t="s">
        <v>466</v>
      </c>
      <c r="J69" s="87"/>
      <c r="K69" s="1"/>
      <c r="L69" s="1"/>
      <c r="AG69" s="1"/>
      <c r="BB69" s="1"/>
      <c r="BW69" s="1"/>
      <c r="CR69" s="1"/>
      <c r="DM69" s="1"/>
    </row>
    <row r="70" spans="1:117" hidden="1" x14ac:dyDescent="0.25">
      <c r="A70" s="59"/>
      <c r="B70" s="59"/>
      <c r="C70" s="60" t="s">
        <v>9</v>
      </c>
      <c r="D70" s="61" t="s">
        <v>10</v>
      </c>
      <c r="E70" s="59"/>
      <c r="F70" s="77"/>
      <c r="G70" s="77"/>
      <c r="H70" s="77"/>
      <c r="I70" s="88"/>
      <c r="J70" s="89"/>
      <c r="K70" s="1"/>
      <c r="L70" s="1"/>
      <c r="AG70" s="1"/>
      <c r="BB70" s="1"/>
      <c r="BW70" s="1"/>
      <c r="CR70" s="1"/>
      <c r="DM70" s="1"/>
    </row>
    <row r="71" spans="1:117" hidden="1" x14ac:dyDescent="0.25">
      <c r="A71" s="12" t="s">
        <v>52</v>
      </c>
      <c r="B71" s="315" t="s">
        <v>822</v>
      </c>
      <c r="C71" s="18"/>
      <c r="D71" s="4" t="s">
        <v>285</v>
      </c>
      <c r="E71" s="4"/>
      <c r="F71" s="71">
        <f t="shared" ref="F71:H76" si="20">F91+F101+F111+F121+F131+F151+F161+F171+F181+F191+F201</f>
        <v>15.22</v>
      </c>
      <c r="G71" s="71">
        <f t="shared" si="20"/>
        <v>15.4</v>
      </c>
      <c r="H71" s="71">
        <f t="shared" si="20"/>
        <v>15.59</v>
      </c>
      <c r="I71" s="90"/>
      <c r="J71" s="91"/>
      <c r="K71" s="1"/>
      <c r="L71" s="1"/>
      <c r="AG71" s="1"/>
      <c r="BB71" s="1"/>
      <c r="BW71" s="1"/>
      <c r="CR71" s="1"/>
      <c r="DM71" s="1"/>
    </row>
    <row r="72" spans="1:117" hidden="1" x14ac:dyDescent="0.25">
      <c r="A72" s="12" t="s">
        <v>53</v>
      </c>
      <c r="B72" s="315" t="s">
        <v>819</v>
      </c>
      <c r="C72" s="18"/>
      <c r="D72" s="4" t="s">
        <v>285</v>
      </c>
      <c r="E72" s="4"/>
      <c r="F72" s="71">
        <f t="shared" si="20"/>
        <v>13.3</v>
      </c>
      <c r="G72" s="71">
        <f t="shared" si="20"/>
        <v>13.4</v>
      </c>
      <c r="H72" s="71">
        <f t="shared" si="20"/>
        <v>13.51</v>
      </c>
      <c r="I72" s="90"/>
      <c r="J72" s="91"/>
      <c r="K72" s="1"/>
      <c r="L72" s="1"/>
      <c r="AG72" s="1"/>
      <c r="BB72" s="1"/>
      <c r="BW72" s="1"/>
      <c r="CR72" s="1"/>
      <c r="DM72" s="1"/>
    </row>
    <row r="73" spans="1:117" hidden="1" x14ac:dyDescent="0.25">
      <c r="A73" s="12" t="s">
        <v>51</v>
      </c>
      <c r="B73" s="315" t="s">
        <v>817</v>
      </c>
      <c r="C73" s="18"/>
      <c r="D73" s="4" t="s">
        <v>285</v>
      </c>
      <c r="E73" s="4"/>
      <c r="F73" s="71">
        <f t="shared" si="20"/>
        <v>15.22</v>
      </c>
      <c r="G73" s="71">
        <f t="shared" si="20"/>
        <v>15.4</v>
      </c>
      <c r="H73" s="71">
        <f t="shared" si="20"/>
        <v>15.59</v>
      </c>
      <c r="I73" s="90"/>
      <c r="J73" s="91"/>
      <c r="K73" s="1"/>
      <c r="L73" s="1"/>
      <c r="AG73" s="1"/>
      <c r="BB73" s="1"/>
      <c r="BW73" s="1"/>
      <c r="CR73" s="1"/>
      <c r="DM73" s="1"/>
    </row>
    <row r="74" spans="1:117" hidden="1" x14ac:dyDescent="0.25">
      <c r="A74" s="12" t="s">
        <v>54</v>
      </c>
      <c r="B74" s="315" t="s">
        <v>823</v>
      </c>
      <c r="C74" s="18"/>
      <c r="D74" s="4" t="s">
        <v>285</v>
      </c>
      <c r="E74" s="4"/>
      <c r="F74" s="71">
        <f t="shared" si="20"/>
        <v>16.97</v>
      </c>
      <c r="G74" s="71">
        <f t="shared" si="20"/>
        <v>17.22</v>
      </c>
      <c r="H74" s="71">
        <f t="shared" si="20"/>
        <v>17.489999999999998</v>
      </c>
      <c r="I74" s="90"/>
      <c r="J74" s="91"/>
      <c r="K74" s="1"/>
      <c r="L74" s="1"/>
      <c r="AG74" s="1"/>
      <c r="BB74" s="1"/>
      <c r="BW74" s="1"/>
      <c r="CR74" s="1"/>
      <c r="DM74" s="1"/>
    </row>
    <row r="75" spans="1:117" hidden="1" x14ac:dyDescent="0.25">
      <c r="A75" s="12" t="s">
        <v>55</v>
      </c>
      <c r="B75" s="315" t="s">
        <v>816</v>
      </c>
      <c r="C75" s="18"/>
      <c r="D75" s="4" t="s">
        <v>285</v>
      </c>
      <c r="E75" s="4"/>
      <c r="F75" s="71">
        <f t="shared" si="20"/>
        <v>18.04</v>
      </c>
      <c r="G75" s="71">
        <f t="shared" si="20"/>
        <v>18.34</v>
      </c>
      <c r="H75" s="71">
        <f t="shared" si="20"/>
        <v>18.649999999999999</v>
      </c>
      <c r="I75" s="90"/>
      <c r="J75" s="91"/>
      <c r="K75" s="1"/>
      <c r="L75" s="1"/>
      <c r="AG75" s="1"/>
      <c r="BB75" s="1"/>
      <c r="BW75" s="1"/>
      <c r="CR75" s="1"/>
      <c r="DM75" s="1"/>
    </row>
    <row r="76" spans="1:117" ht="24" hidden="1" x14ac:dyDescent="0.25">
      <c r="A76" s="12" t="s">
        <v>56</v>
      </c>
      <c r="B76" s="315" t="s">
        <v>820</v>
      </c>
      <c r="C76" s="18"/>
      <c r="D76" s="4" t="s">
        <v>285</v>
      </c>
      <c r="E76" s="4"/>
      <c r="F76" s="71">
        <f t="shared" si="20"/>
        <v>14.41</v>
      </c>
      <c r="G76" s="71">
        <f t="shared" si="20"/>
        <v>14.56</v>
      </c>
      <c r="H76" s="71">
        <f t="shared" si="20"/>
        <v>14.72</v>
      </c>
      <c r="I76" s="90"/>
      <c r="J76" s="91"/>
      <c r="K76" s="1"/>
      <c r="L76" s="1"/>
      <c r="AG76" s="1"/>
      <c r="BB76" s="1"/>
      <c r="BW76" s="1"/>
      <c r="CR76" s="1"/>
      <c r="DM76" s="1"/>
    </row>
    <row r="77" spans="1:117" ht="36" hidden="1" x14ac:dyDescent="0.25">
      <c r="A77" s="396" t="s">
        <v>469</v>
      </c>
      <c r="B77" s="315" t="s">
        <v>818</v>
      </c>
      <c r="C77" s="18"/>
      <c r="D77" s="4" t="s">
        <v>285</v>
      </c>
      <c r="E77" s="4"/>
      <c r="F77" s="71">
        <f t="shared" ref="F77:H77" si="21">F97+F107+F117+F127+F137+F157+F167+F177+F187+F197+F207</f>
        <v>13.92</v>
      </c>
      <c r="G77" s="71">
        <f t="shared" si="21"/>
        <v>14.05</v>
      </c>
      <c r="H77" s="71">
        <f t="shared" si="21"/>
        <v>14.18</v>
      </c>
      <c r="I77" s="90"/>
      <c r="J77" s="91"/>
      <c r="K77" s="1"/>
      <c r="L77" s="1"/>
      <c r="AG77" s="1"/>
      <c r="BB77" s="1"/>
      <c r="BW77" s="1"/>
      <c r="CR77" s="1"/>
      <c r="DM77" s="1"/>
    </row>
    <row r="78" spans="1:117" ht="36" hidden="1" x14ac:dyDescent="0.25">
      <c r="A78" s="406" t="s">
        <v>825</v>
      </c>
      <c r="B78" s="392" t="s">
        <v>824</v>
      </c>
      <c r="C78" s="398"/>
      <c r="D78" s="4" t="s">
        <v>285</v>
      </c>
      <c r="E78" s="399"/>
      <c r="F78" s="71">
        <f t="shared" ref="F78:H78" si="22">F98+F108+F118+F128+F138+F158+F168+F178+F188+F198+F208</f>
        <v>34.4</v>
      </c>
      <c r="G78" s="71">
        <f t="shared" si="22"/>
        <v>35.35</v>
      </c>
      <c r="H78" s="71">
        <f t="shared" si="22"/>
        <v>36.340000000000003</v>
      </c>
      <c r="I78" s="400"/>
      <c r="J78" s="401"/>
      <c r="K78" s="1"/>
      <c r="L78" s="1"/>
      <c r="AG78" s="1"/>
      <c r="BB78" s="1"/>
      <c r="BW78" s="1"/>
      <c r="CR78" s="1"/>
      <c r="DM78" s="1"/>
    </row>
    <row r="79" spans="1:117" ht="36" hidden="1" x14ac:dyDescent="0.25">
      <c r="A79" s="396" t="s">
        <v>826</v>
      </c>
      <c r="B79" s="392" t="s">
        <v>821</v>
      </c>
      <c r="C79" s="398"/>
      <c r="D79" s="4" t="s">
        <v>285</v>
      </c>
      <c r="E79" s="399"/>
      <c r="F79" s="71">
        <f t="shared" ref="F79:H79" si="23">F99+F109+F119+F129+F139+F159+F169+F179+F189+F199+F209</f>
        <v>18.79</v>
      </c>
      <c r="G79" s="71">
        <f t="shared" si="23"/>
        <v>19.11</v>
      </c>
      <c r="H79" s="71">
        <f t="shared" si="23"/>
        <v>19.45</v>
      </c>
      <c r="I79" s="400"/>
      <c r="J79" s="401"/>
      <c r="K79" s="1"/>
      <c r="L79" s="1"/>
      <c r="AG79" s="1"/>
      <c r="BB79" s="1"/>
      <c r="BW79" s="1"/>
      <c r="CR79" s="1"/>
      <c r="DM79" s="1"/>
    </row>
    <row r="80" spans="1:117" hidden="1" x14ac:dyDescent="0.25">
      <c r="A80" s="59"/>
      <c r="B80" s="59"/>
      <c r="C80" s="16" t="s">
        <v>11</v>
      </c>
      <c r="D80" s="17" t="s">
        <v>12</v>
      </c>
      <c r="E80" s="11"/>
      <c r="F80" s="78"/>
      <c r="G80" s="78"/>
      <c r="H80" s="78"/>
      <c r="I80" s="92"/>
      <c r="J80" s="93"/>
      <c r="K80" s="1"/>
      <c r="L80" s="1"/>
      <c r="AG80" s="1"/>
      <c r="BB80" s="1"/>
      <c r="BW80" s="1"/>
      <c r="CR80" s="1"/>
      <c r="DM80" s="1"/>
    </row>
    <row r="81" spans="1:117" hidden="1" x14ac:dyDescent="0.25">
      <c r="A81" s="12" t="s">
        <v>52</v>
      </c>
      <c r="B81" s="315" t="s">
        <v>822</v>
      </c>
      <c r="C81" s="18"/>
      <c r="D81" s="12" t="s">
        <v>285</v>
      </c>
      <c r="E81" s="12"/>
      <c r="F81" s="76">
        <f t="shared" ref="F81:H86" si="24">F91+F101+F111+F121+F131+F141</f>
        <v>5.62</v>
      </c>
      <c r="G81" s="76">
        <f t="shared" si="24"/>
        <v>5.62</v>
      </c>
      <c r="H81" s="76">
        <f t="shared" si="24"/>
        <v>5.62</v>
      </c>
      <c r="I81" s="86"/>
      <c r="J81" s="87"/>
      <c r="K81" s="1"/>
      <c r="L81" s="1"/>
      <c r="AG81" s="1"/>
      <c r="BB81" s="1"/>
      <c r="BW81" s="1"/>
      <c r="CR81" s="1"/>
      <c r="DM81" s="1"/>
    </row>
    <row r="82" spans="1:117" hidden="1" x14ac:dyDescent="0.25">
      <c r="A82" s="12" t="s">
        <v>53</v>
      </c>
      <c r="B82" s="315" t="s">
        <v>819</v>
      </c>
      <c r="C82" s="18"/>
      <c r="D82" s="12" t="s">
        <v>285</v>
      </c>
      <c r="E82" s="12"/>
      <c r="F82" s="76">
        <f t="shared" si="24"/>
        <v>5.62</v>
      </c>
      <c r="G82" s="76">
        <f t="shared" si="24"/>
        <v>5.62</v>
      </c>
      <c r="H82" s="76">
        <f t="shared" si="24"/>
        <v>5.62</v>
      </c>
      <c r="I82" s="86"/>
      <c r="J82" s="87"/>
      <c r="K82" s="1"/>
      <c r="L82" s="1"/>
      <c r="AG82" s="1"/>
      <c r="BB82" s="1"/>
      <c r="BW82" s="1"/>
      <c r="CR82" s="1"/>
      <c r="DM82" s="1"/>
    </row>
    <row r="83" spans="1:117" hidden="1" x14ac:dyDescent="0.25">
      <c r="A83" s="12" t="s">
        <v>51</v>
      </c>
      <c r="B83" s="315" t="s">
        <v>817</v>
      </c>
      <c r="C83" s="18"/>
      <c r="D83" s="12" t="s">
        <v>285</v>
      </c>
      <c r="E83" s="12"/>
      <c r="F83" s="76">
        <f t="shared" si="24"/>
        <v>5.62</v>
      </c>
      <c r="G83" s="76">
        <f t="shared" si="24"/>
        <v>5.62</v>
      </c>
      <c r="H83" s="76">
        <f t="shared" si="24"/>
        <v>5.62</v>
      </c>
      <c r="I83" s="86"/>
      <c r="J83" s="87"/>
      <c r="K83" s="1"/>
      <c r="L83" s="1"/>
      <c r="AG83" s="1"/>
      <c r="BB83" s="1"/>
      <c r="BW83" s="1"/>
      <c r="CR83" s="1"/>
      <c r="DM83" s="1"/>
    </row>
    <row r="84" spans="1:117" hidden="1" x14ac:dyDescent="0.25">
      <c r="A84" s="12" t="s">
        <v>54</v>
      </c>
      <c r="B84" s="315" t="s">
        <v>823</v>
      </c>
      <c r="C84" s="18"/>
      <c r="D84" s="12" t="s">
        <v>285</v>
      </c>
      <c r="E84" s="12"/>
      <c r="F84" s="76">
        <f t="shared" si="24"/>
        <v>5.62</v>
      </c>
      <c r="G84" s="76">
        <f t="shared" si="24"/>
        <v>5.62</v>
      </c>
      <c r="H84" s="76">
        <f t="shared" si="24"/>
        <v>5.62</v>
      </c>
      <c r="I84" s="86"/>
      <c r="J84" s="87"/>
      <c r="K84" s="1"/>
      <c r="L84" s="1"/>
      <c r="AG84" s="1"/>
      <c r="BB84" s="1"/>
      <c r="BW84" s="1"/>
      <c r="CR84" s="1"/>
      <c r="DM84" s="1"/>
    </row>
    <row r="85" spans="1:117" hidden="1" x14ac:dyDescent="0.25">
      <c r="A85" s="12" t="s">
        <v>55</v>
      </c>
      <c r="B85" s="315" t="s">
        <v>816</v>
      </c>
      <c r="C85" s="18"/>
      <c r="D85" s="12" t="s">
        <v>285</v>
      </c>
      <c r="E85" s="12"/>
      <c r="F85" s="76">
        <f t="shared" si="24"/>
        <v>5.62</v>
      </c>
      <c r="G85" s="76">
        <f t="shared" si="24"/>
        <v>5.62</v>
      </c>
      <c r="H85" s="76">
        <f t="shared" si="24"/>
        <v>5.62</v>
      </c>
      <c r="I85" s="86"/>
      <c r="J85" s="87"/>
      <c r="K85" s="1"/>
      <c r="L85" s="1"/>
      <c r="AG85" s="1"/>
      <c r="BB85" s="1"/>
      <c r="BW85" s="1"/>
      <c r="CR85" s="1"/>
      <c r="DM85" s="1"/>
    </row>
    <row r="86" spans="1:117" ht="24" hidden="1" x14ac:dyDescent="0.25">
      <c r="A86" s="12" t="s">
        <v>56</v>
      </c>
      <c r="B86" s="315" t="s">
        <v>820</v>
      </c>
      <c r="C86" s="18"/>
      <c r="D86" s="12" t="s">
        <v>285</v>
      </c>
      <c r="E86" s="12"/>
      <c r="F86" s="76">
        <f t="shared" si="24"/>
        <v>5.62</v>
      </c>
      <c r="G86" s="76">
        <f t="shared" si="24"/>
        <v>5.62</v>
      </c>
      <c r="H86" s="76">
        <f t="shared" si="24"/>
        <v>5.62</v>
      </c>
      <c r="I86" s="86"/>
      <c r="J86" s="87"/>
      <c r="K86" s="1"/>
      <c r="L86" s="1"/>
      <c r="AG86" s="1"/>
      <c r="BB86" s="1"/>
      <c r="BW86" s="1"/>
      <c r="CR86" s="1"/>
      <c r="DM86" s="1"/>
    </row>
    <row r="87" spans="1:117" ht="36" hidden="1" x14ac:dyDescent="0.25">
      <c r="A87" s="396" t="s">
        <v>469</v>
      </c>
      <c r="B87" s="315" t="s">
        <v>818</v>
      </c>
      <c r="C87" s="18"/>
      <c r="D87" s="12" t="s">
        <v>285</v>
      </c>
      <c r="E87" s="12"/>
      <c r="F87" s="76">
        <f t="shared" ref="F87:H87" si="25">F97+F107+F117+F127+F137+F147</f>
        <v>5.62</v>
      </c>
      <c r="G87" s="76">
        <f t="shared" si="25"/>
        <v>5.62</v>
      </c>
      <c r="H87" s="76">
        <f t="shared" si="25"/>
        <v>5.62</v>
      </c>
      <c r="I87" s="86"/>
      <c r="J87" s="87"/>
      <c r="K87" s="1"/>
      <c r="L87" s="1"/>
      <c r="AG87" s="1"/>
      <c r="BB87" s="1"/>
      <c r="BW87" s="1"/>
      <c r="CR87" s="1"/>
      <c r="DM87" s="1"/>
    </row>
    <row r="88" spans="1:117" ht="36" hidden="1" x14ac:dyDescent="0.25">
      <c r="A88" s="406" t="s">
        <v>825</v>
      </c>
      <c r="B88" s="392" t="s">
        <v>824</v>
      </c>
      <c r="C88" s="398"/>
      <c r="D88" s="12" t="s">
        <v>285</v>
      </c>
      <c r="E88" s="377"/>
      <c r="F88" s="76">
        <f t="shared" ref="F88:H88" si="26">F98+F108+F118+F128+F138+F148</f>
        <v>5.62</v>
      </c>
      <c r="G88" s="76">
        <f t="shared" si="26"/>
        <v>5.62</v>
      </c>
      <c r="H88" s="76">
        <f t="shared" si="26"/>
        <v>5.62</v>
      </c>
      <c r="I88" s="394"/>
      <c r="J88" s="395"/>
      <c r="K88" s="1"/>
      <c r="L88" s="1"/>
      <c r="AG88" s="1"/>
      <c r="BB88" s="1"/>
      <c r="BW88" s="1"/>
      <c r="CR88" s="1"/>
      <c r="DM88" s="1"/>
    </row>
    <row r="89" spans="1:117" ht="36" hidden="1" x14ac:dyDescent="0.25">
      <c r="A89" s="396" t="s">
        <v>826</v>
      </c>
      <c r="B89" s="392" t="s">
        <v>821</v>
      </c>
      <c r="C89" s="398"/>
      <c r="D89" s="12" t="s">
        <v>285</v>
      </c>
      <c r="E89" s="377"/>
      <c r="F89" s="76">
        <f t="shared" ref="F89:H89" si="27">F99+F109+F119+F129+F139+F149</f>
        <v>5.62</v>
      </c>
      <c r="G89" s="76">
        <f t="shared" si="27"/>
        <v>5.62</v>
      </c>
      <c r="H89" s="76">
        <f t="shared" si="27"/>
        <v>5.62</v>
      </c>
      <c r="I89" s="394"/>
      <c r="J89" s="395"/>
      <c r="K89" s="1"/>
      <c r="L89" s="1"/>
      <c r="AG89" s="1"/>
      <c r="BB89" s="1"/>
      <c r="BW89" s="1"/>
      <c r="CR89" s="1"/>
      <c r="DM89" s="1"/>
    </row>
    <row r="90" spans="1:117" hidden="1" x14ac:dyDescent="0.25">
      <c r="A90" s="7"/>
      <c r="B90" s="314"/>
      <c r="C90" s="6" t="s">
        <v>64</v>
      </c>
      <c r="D90" s="15" t="s">
        <v>65</v>
      </c>
      <c r="E90" s="7"/>
      <c r="F90" s="75"/>
      <c r="G90" s="75"/>
      <c r="H90" s="75"/>
      <c r="I90" s="84"/>
      <c r="J90" s="85"/>
      <c r="K90" s="1"/>
      <c r="L90" s="1"/>
      <c r="AG90" s="1"/>
      <c r="BB90" s="1"/>
      <c r="BW90" s="1"/>
      <c r="CR90" s="1"/>
      <c r="DM90" s="1"/>
    </row>
    <row r="91" spans="1:117" hidden="1" x14ac:dyDescent="0.25">
      <c r="A91" s="12" t="s">
        <v>52</v>
      </c>
      <c r="B91" s="315" t="s">
        <v>822</v>
      </c>
      <c r="C91" s="5"/>
      <c r="D91" s="12" t="s">
        <v>57</v>
      </c>
      <c r="E91" s="155">
        <f>'1.2.комм услуги (01.01.24)'!BE12</f>
        <v>2.8720570000000001E-2</v>
      </c>
      <c r="F91" s="156">
        <f>'1.2.комм услуги (01.01.24)'!BG12</f>
        <v>0.28999999999999998</v>
      </c>
      <c r="G91" s="181">
        <f>F91</f>
        <v>0.28999999999999998</v>
      </c>
      <c r="H91" s="181">
        <f>F91</f>
        <v>0.28999999999999998</v>
      </c>
      <c r="I91" s="86" t="s">
        <v>468</v>
      </c>
      <c r="J91" s="87"/>
      <c r="K91" s="1"/>
      <c r="L91" s="1"/>
      <c r="AG91" s="1"/>
      <c r="BB91" s="1"/>
      <c r="BW91" s="1"/>
      <c r="CR91" s="1"/>
      <c r="DM91" s="1"/>
    </row>
    <row r="92" spans="1:117" hidden="1" x14ac:dyDescent="0.25">
      <c r="A92" s="12" t="s">
        <v>53</v>
      </c>
      <c r="B92" s="315" t="s">
        <v>819</v>
      </c>
      <c r="C92" s="5"/>
      <c r="D92" s="12" t="s">
        <v>57</v>
      </c>
      <c r="E92" s="155">
        <f>'1.2.комм услуги (01.01.24)'!BE13</f>
        <v>2.8720519999999999E-2</v>
      </c>
      <c r="F92" s="156">
        <f>'1.2.комм услуги (01.01.24)'!BG13</f>
        <v>0.28999999999999998</v>
      </c>
      <c r="G92" s="181">
        <f t="shared" ref="G92:G96" si="28">F92</f>
        <v>0.28999999999999998</v>
      </c>
      <c r="H92" s="181">
        <f t="shared" ref="H92:H96" si="29">F92</f>
        <v>0.28999999999999998</v>
      </c>
      <c r="I92" s="86" t="s">
        <v>468</v>
      </c>
      <c r="J92" s="87"/>
      <c r="K92" s="1"/>
      <c r="L92" s="1"/>
      <c r="AG92" s="1"/>
      <c r="BB92" s="1"/>
      <c r="BW92" s="1"/>
      <c r="CR92" s="1"/>
      <c r="DM92" s="1"/>
    </row>
    <row r="93" spans="1:117" hidden="1" x14ac:dyDescent="0.25">
      <c r="A93" s="12" t="s">
        <v>51</v>
      </c>
      <c r="B93" s="315" t="s">
        <v>817</v>
      </c>
      <c r="C93" s="5"/>
      <c r="D93" s="12" t="s">
        <v>57</v>
      </c>
      <c r="E93" s="155">
        <f>'1.2.комм услуги (01.01.24)'!BE14</f>
        <v>2.871866E-2</v>
      </c>
      <c r="F93" s="156">
        <f>'1.2.комм услуги (01.01.24)'!BG14</f>
        <v>0.28999999999999998</v>
      </c>
      <c r="G93" s="181">
        <f t="shared" si="28"/>
        <v>0.28999999999999998</v>
      </c>
      <c r="H93" s="181">
        <f t="shared" si="29"/>
        <v>0.28999999999999998</v>
      </c>
      <c r="I93" s="86" t="s">
        <v>468</v>
      </c>
      <c r="J93" s="87"/>
      <c r="K93" s="1"/>
      <c r="L93" s="1"/>
      <c r="AG93" s="1"/>
      <c r="BB93" s="1"/>
      <c r="BW93" s="1"/>
      <c r="CR93" s="1"/>
      <c r="DM93" s="1"/>
    </row>
    <row r="94" spans="1:117" hidden="1" x14ac:dyDescent="0.25">
      <c r="A94" s="12" t="s">
        <v>54</v>
      </c>
      <c r="B94" s="315" t="s">
        <v>823</v>
      </c>
      <c r="C94" s="5"/>
      <c r="D94" s="12" t="s">
        <v>57</v>
      </c>
      <c r="E94" s="155">
        <f>'1.2.комм услуги (01.01.24)'!BE15</f>
        <v>2.8720180000000001E-2</v>
      </c>
      <c r="F94" s="156">
        <f>'1.2.комм услуги (01.01.24)'!BG15</f>
        <v>0.28999999999999998</v>
      </c>
      <c r="G94" s="181">
        <f t="shared" si="28"/>
        <v>0.28999999999999998</v>
      </c>
      <c r="H94" s="181">
        <f t="shared" si="29"/>
        <v>0.28999999999999998</v>
      </c>
      <c r="I94" s="86" t="s">
        <v>468</v>
      </c>
      <c r="J94" s="87"/>
      <c r="K94" s="1"/>
      <c r="L94" s="1"/>
      <c r="AG94" s="1"/>
      <c r="BB94" s="1"/>
      <c r="BW94" s="1"/>
      <c r="CR94" s="1"/>
      <c r="DM94" s="1"/>
    </row>
    <row r="95" spans="1:117" hidden="1" x14ac:dyDescent="0.25">
      <c r="A95" s="12" t="s">
        <v>55</v>
      </c>
      <c r="B95" s="315" t="s">
        <v>816</v>
      </c>
      <c r="C95" s="5"/>
      <c r="D95" s="12" t="s">
        <v>57</v>
      </c>
      <c r="E95" s="155">
        <f>'1.2.комм услуги (01.01.24)'!BE16</f>
        <v>2.8720490000000001E-2</v>
      </c>
      <c r="F95" s="156">
        <f>'1.2.комм услуги (01.01.24)'!BG16</f>
        <v>0.28999999999999998</v>
      </c>
      <c r="G95" s="181">
        <f t="shared" si="28"/>
        <v>0.28999999999999998</v>
      </c>
      <c r="H95" s="181">
        <f t="shared" si="29"/>
        <v>0.28999999999999998</v>
      </c>
      <c r="I95" s="86" t="s">
        <v>468</v>
      </c>
      <c r="J95" s="87"/>
      <c r="K95" s="1"/>
      <c r="L95" s="1"/>
      <c r="AG95" s="1"/>
      <c r="BB95" s="1"/>
      <c r="BW95" s="1"/>
      <c r="CR95" s="1"/>
      <c r="DM95" s="1"/>
    </row>
    <row r="96" spans="1:117" ht="24" hidden="1" x14ac:dyDescent="0.25">
      <c r="A96" s="12" t="s">
        <v>56</v>
      </c>
      <c r="B96" s="315" t="s">
        <v>820</v>
      </c>
      <c r="C96" s="5"/>
      <c r="D96" s="12" t="s">
        <v>57</v>
      </c>
      <c r="E96" s="155">
        <f>'1.2.комм услуги (01.01.24)'!BE17</f>
        <v>2.872048E-2</v>
      </c>
      <c r="F96" s="156">
        <f>'1.2.комм услуги (01.01.24)'!BG17</f>
        <v>0.28999999999999998</v>
      </c>
      <c r="G96" s="181">
        <f t="shared" si="28"/>
        <v>0.28999999999999998</v>
      </c>
      <c r="H96" s="181">
        <f t="shared" si="29"/>
        <v>0.28999999999999998</v>
      </c>
      <c r="I96" s="86" t="s">
        <v>468</v>
      </c>
      <c r="J96" s="87"/>
      <c r="K96" s="1"/>
      <c r="L96" s="1"/>
      <c r="AG96" s="1"/>
      <c r="BB96" s="1"/>
      <c r="BW96" s="1"/>
      <c r="CR96" s="1"/>
      <c r="DM96" s="1"/>
    </row>
    <row r="97" spans="1:117" ht="36" hidden="1" x14ac:dyDescent="0.25">
      <c r="A97" s="396" t="s">
        <v>469</v>
      </c>
      <c r="B97" s="315" t="s">
        <v>818</v>
      </c>
      <c r="C97" s="5"/>
      <c r="D97" s="12" t="s">
        <v>57</v>
      </c>
      <c r="E97" s="155">
        <f>'1.2.комм услуги (01.01.24)'!BE18</f>
        <v>2.870586E-2</v>
      </c>
      <c r="F97" s="156">
        <f>'1.2.комм услуги (01.01.24)'!BG18</f>
        <v>0.28999999999999998</v>
      </c>
      <c r="G97" s="181">
        <f t="shared" ref="G97:G99" si="30">F97</f>
        <v>0.28999999999999998</v>
      </c>
      <c r="H97" s="181">
        <f t="shared" ref="H97:H99" si="31">F97</f>
        <v>0.28999999999999998</v>
      </c>
      <c r="I97" s="86" t="s">
        <v>468</v>
      </c>
      <c r="J97" s="87"/>
      <c r="K97" s="1"/>
      <c r="L97" s="1"/>
      <c r="AG97" s="1"/>
      <c r="BB97" s="1"/>
      <c r="BW97" s="1"/>
      <c r="CR97" s="1"/>
      <c r="DM97" s="1"/>
    </row>
    <row r="98" spans="1:117" ht="36" hidden="1" x14ac:dyDescent="0.25">
      <c r="A98" s="406" t="s">
        <v>825</v>
      </c>
      <c r="B98" s="392" t="s">
        <v>824</v>
      </c>
      <c r="C98" s="402"/>
      <c r="D98" s="12" t="s">
        <v>57</v>
      </c>
      <c r="E98" s="155">
        <f>'1.2.комм услуги (01.01.24)'!BE19</f>
        <v>2.8739520000000001E-2</v>
      </c>
      <c r="F98" s="156">
        <f>'1.2.комм услуги (01.01.24)'!BG19</f>
        <v>0.28999999999999998</v>
      </c>
      <c r="G98" s="181">
        <f t="shared" si="30"/>
        <v>0.28999999999999998</v>
      </c>
      <c r="H98" s="181">
        <f t="shared" si="31"/>
        <v>0.28999999999999998</v>
      </c>
      <c r="I98" s="86" t="s">
        <v>468</v>
      </c>
      <c r="J98" s="87"/>
      <c r="K98" s="1"/>
      <c r="L98" s="1"/>
      <c r="AG98" s="1"/>
      <c r="BB98" s="1"/>
      <c r="BW98" s="1"/>
      <c r="CR98" s="1"/>
      <c r="DM98" s="1"/>
    </row>
    <row r="99" spans="1:117" ht="36" hidden="1" x14ac:dyDescent="0.25">
      <c r="A99" s="396" t="s">
        <v>826</v>
      </c>
      <c r="B99" s="392" t="s">
        <v>821</v>
      </c>
      <c r="C99" s="402"/>
      <c r="D99" s="12" t="s">
        <v>57</v>
      </c>
      <c r="E99" s="155">
        <f>'1.2.комм услуги (01.01.24)'!BE20</f>
        <v>2.8717860000000001E-2</v>
      </c>
      <c r="F99" s="156">
        <f>'1.2.комм услуги (01.01.24)'!BG20</f>
        <v>0.28999999999999998</v>
      </c>
      <c r="G99" s="181">
        <f t="shared" si="30"/>
        <v>0.28999999999999998</v>
      </c>
      <c r="H99" s="181">
        <f t="shared" si="31"/>
        <v>0.28999999999999998</v>
      </c>
      <c r="I99" s="86" t="s">
        <v>468</v>
      </c>
      <c r="J99" s="87"/>
      <c r="K99" s="1"/>
      <c r="L99" s="1"/>
      <c r="AG99" s="1"/>
      <c r="BB99" s="1"/>
      <c r="BW99" s="1"/>
      <c r="CR99" s="1"/>
      <c r="DM99" s="1"/>
    </row>
    <row r="100" spans="1:117" hidden="1" x14ac:dyDescent="0.25">
      <c r="A100" s="7"/>
      <c r="B100" s="314"/>
      <c r="C100" s="6" t="s">
        <v>66</v>
      </c>
      <c r="D100" s="15" t="s">
        <v>67</v>
      </c>
      <c r="E100" s="7"/>
      <c r="F100" s="75"/>
      <c r="G100" s="75"/>
      <c r="H100" s="75"/>
      <c r="I100" s="84"/>
      <c r="J100" s="85"/>
      <c r="K100" s="1"/>
      <c r="L100" s="1"/>
      <c r="AG100" s="1"/>
      <c r="BB100" s="1"/>
      <c r="BW100" s="1"/>
      <c r="CR100" s="1"/>
      <c r="DM100" s="1"/>
    </row>
    <row r="101" spans="1:117" hidden="1" x14ac:dyDescent="0.25">
      <c r="A101" s="12" t="s">
        <v>52</v>
      </c>
      <c r="B101" s="315" t="s">
        <v>822</v>
      </c>
      <c r="C101" s="5"/>
      <c r="D101" s="12" t="s">
        <v>58</v>
      </c>
      <c r="E101" s="155">
        <f>'1.2.комм услуги (01.01.24)'!BE23</f>
        <v>0.14955867</v>
      </c>
      <c r="F101" s="156">
        <f>'1.2.комм услуги (01.01.24)'!BG23</f>
        <v>1.49</v>
      </c>
      <c r="G101" s="181">
        <f t="shared" ref="G101:G106" si="32">F101</f>
        <v>1.49</v>
      </c>
      <c r="H101" s="181">
        <f t="shared" ref="H101:H106" si="33">F101</f>
        <v>1.49</v>
      </c>
      <c r="I101" s="86" t="s">
        <v>468</v>
      </c>
      <c r="J101" s="87"/>
      <c r="K101" s="1"/>
      <c r="L101" s="1"/>
      <c r="AG101" s="1"/>
      <c r="BB101" s="1"/>
      <c r="BW101" s="1"/>
      <c r="CR101" s="1"/>
      <c r="DM101" s="1"/>
    </row>
    <row r="102" spans="1:117" hidden="1" x14ac:dyDescent="0.25">
      <c r="A102" s="12" t="s">
        <v>53</v>
      </c>
      <c r="B102" s="315" t="s">
        <v>819</v>
      </c>
      <c r="C102" s="5"/>
      <c r="D102" s="12" t="s">
        <v>58</v>
      </c>
      <c r="E102" s="155">
        <f>'1.2.комм услуги (01.01.24)'!BE24</f>
        <v>0.14955825</v>
      </c>
      <c r="F102" s="156">
        <f>'1.2.комм услуги (01.01.24)'!BG24</f>
        <v>1.49</v>
      </c>
      <c r="G102" s="181">
        <f t="shared" si="32"/>
        <v>1.49</v>
      </c>
      <c r="H102" s="181">
        <f t="shared" si="33"/>
        <v>1.49</v>
      </c>
      <c r="I102" s="86" t="s">
        <v>468</v>
      </c>
      <c r="J102" s="87"/>
      <c r="K102" s="1"/>
      <c r="L102" s="1"/>
      <c r="AG102" s="1"/>
      <c r="BB102" s="1"/>
      <c r="BW102" s="1"/>
      <c r="CR102" s="1"/>
      <c r="DM102" s="1"/>
    </row>
    <row r="103" spans="1:117" hidden="1" x14ac:dyDescent="0.25">
      <c r="A103" s="12" t="s">
        <v>51</v>
      </c>
      <c r="B103" s="315" t="s">
        <v>817</v>
      </c>
      <c r="C103" s="5"/>
      <c r="D103" s="12" t="s">
        <v>58</v>
      </c>
      <c r="E103" s="155">
        <f>'1.2.комм услуги (01.01.24)'!BE25</f>
        <v>0.14954885000000001</v>
      </c>
      <c r="F103" s="156">
        <f>'1.2.комм услуги (01.01.24)'!BG25</f>
        <v>1.49</v>
      </c>
      <c r="G103" s="181">
        <f t="shared" si="32"/>
        <v>1.49</v>
      </c>
      <c r="H103" s="181">
        <f t="shared" si="33"/>
        <v>1.49</v>
      </c>
      <c r="I103" s="86" t="s">
        <v>468</v>
      </c>
      <c r="J103" s="87"/>
      <c r="K103" s="1"/>
      <c r="L103" s="1"/>
      <c r="AG103" s="1"/>
      <c r="BB103" s="1"/>
      <c r="BW103" s="1"/>
      <c r="CR103" s="1"/>
      <c r="DM103" s="1"/>
    </row>
    <row r="104" spans="1:117" hidden="1" x14ac:dyDescent="0.25">
      <c r="A104" s="12" t="s">
        <v>54</v>
      </c>
      <c r="B104" s="315" t="s">
        <v>823</v>
      </c>
      <c r="C104" s="5"/>
      <c r="D104" s="12" t="s">
        <v>58</v>
      </c>
      <c r="E104" s="155">
        <f>'1.2.комм услуги (01.01.24)'!BE26</f>
        <v>0.14955657</v>
      </c>
      <c r="F104" s="156">
        <f>'1.2.комм услуги (01.01.24)'!BG26</f>
        <v>1.49</v>
      </c>
      <c r="G104" s="181">
        <f t="shared" si="32"/>
        <v>1.49</v>
      </c>
      <c r="H104" s="181">
        <f t="shared" si="33"/>
        <v>1.49</v>
      </c>
      <c r="I104" s="86" t="s">
        <v>468</v>
      </c>
      <c r="J104" s="87"/>
      <c r="K104" s="1"/>
      <c r="L104" s="1"/>
      <c r="AG104" s="1"/>
      <c r="BB104" s="1"/>
      <c r="BW104" s="1"/>
      <c r="CR104" s="1"/>
      <c r="DM104" s="1"/>
    </row>
    <row r="105" spans="1:117" hidden="1" x14ac:dyDescent="0.25">
      <c r="A105" s="12" t="s">
        <v>55</v>
      </c>
      <c r="B105" s="315" t="s">
        <v>816</v>
      </c>
      <c r="C105" s="5"/>
      <c r="D105" s="12" t="s">
        <v>58</v>
      </c>
      <c r="E105" s="155">
        <f>'1.2.комм услуги (01.01.24)'!BE27</f>
        <v>0.14955799</v>
      </c>
      <c r="F105" s="156">
        <f>'1.2.комм услуги (01.01.24)'!BG27</f>
        <v>1.49</v>
      </c>
      <c r="G105" s="181">
        <f t="shared" si="32"/>
        <v>1.49</v>
      </c>
      <c r="H105" s="181">
        <f t="shared" si="33"/>
        <v>1.49</v>
      </c>
      <c r="I105" s="86" t="s">
        <v>468</v>
      </c>
      <c r="J105" s="87"/>
      <c r="K105" s="1"/>
      <c r="L105" s="1"/>
      <c r="AG105" s="1"/>
      <c r="BB105" s="1"/>
      <c r="BW105" s="1"/>
      <c r="CR105" s="1"/>
      <c r="DM105" s="1"/>
    </row>
    <row r="106" spans="1:117" ht="15" hidden="1" customHeight="1" x14ac:dyDescent="0.25">
      <c r="A106" s="12" t="s">
        <v>56</v>
      </c>
      <c r="B106" s="315" t="s">
        <v>820</v>
      </c>
      <c r="C106" s="5"/>
      <c r="D106" s="12" t="s">
        <v>58</v>
      </c>
      <c r="E106" s="155">
        <f>'1.2.комм услуги (01.01.24)'!BE28</f>
        <v>0.1495581</v>
      </c>
      <c r="F106" s="156">
        <f>'1.2.комм услуги (01.01.24)'!BG28</f>
        <v>1.49</v>
      </c>
      <c r="G106" s="181">
        <f t="shared" si="32"/>
        <v>1.49</v>
      </c>
      <c r="H106" s="181">
        <f t="shared" si="33"/>
        <v>1.49</v>
      </c>
      <c r="I106" s="86" t="s">
        <v>468</v>
      </c>
      <c r="J106" s="87"/>
      <c r="K106" s="1"/>
      <c r="L106" s="1"/>
      <c r="AG106" s="1"/>
      <c r="BB106" s="1"/>
      <c r="BW106" s="1"/>
      <c r="CR106" s="1"/>
      <c r="DM106" s="1"/>
    </row>
    <row r="107" spans="1:117" ht="36" hidden="1" x14ac:dyDescent="0.25">
      <c r="A107" s="396" t="s">
        <v>469</v>
      </c>
      <c r="B107" s="315" t="s">
        <v>818</v>
      </c>
      <c r="C107" s="5"/>
      <c r="D107" s="12" t="s">
        <v>58</v>
      </c>
      <c r="E107" s="155">
        <f>'1.2.комм услуги (01.01.24)'!BE29</f>
        <v>0.14948347000000001</v>
      </c>
      <c r="F107" s="156">
        <f>'1.2.комм услуги (01.01.24)'!BG29</f>
        <v>1.49</v>
      </c>
      <c r="G107" s="181">
        <f t="shared" ref="G107:G109" si="34">F107</f>
        <v>1.49</v>
      </c>
      <c r="H107" s="181">
        <f t="shared" ref="H107:H109" si="35">F107</f>
        <v>1.49</v>
      </c>
      <c r="I107" s="86" t="s">
        <v>468</v>
      </c>
      <c r="J107" s="87"/>
      <c r="K107" s="1"/>
      <c r="L107" s="1"/>
      <c r="AG107" s="1"/>
      <c r="BB107" s="1"/>
      <c r="BW107" s="1"/>
      <c r="CR107" s="1"/>
      <c r="DM107" s="1"/>
    </row>
    <row r="108" spans="1:117" ht="36" hidden="1" x14ac:dyDescent="0.25">
      <c r="A108" s="406" t="s">
        <v>825</v>
      </c>
      <c r="B108" s="392" t="s">
        <v>824</v>
      </c>
      <c r="C108" s="402"/>
      <c r="D108" s="12" t="s">
        <v>58</v>
      </c>
      <c r="E108" s="155">
        <f>'1.2.комм услуги (01.01.24)'!BE30</f>
        <v>0.14965408999999999</v>
      </c>
      <c r="F108" s="156">
        <f>'1.2.комм услуги (01.01.24)'!BG30</f>
        <v>1.49</v>
      </c>
      <c r="G108" s="181">
        <f t="shared" si="34"/>
        <v>1.49</v>
      </c>
      <c r="H108" s="181">
        <f t="shared" si="35"/>
        <v>1.49</v>
      </c>
      <c r="I108" s="86" t="s">
        <v>468</v>
      </c>
      <c r="J108" s="87"/>
      <c r="K108" s="1"/>
      <c r="L108" s="1"/>
      <c r="AG108" s="1"/>
      <c r="BB108" s="1"/>
      <c r="BW108" s="1"/>
      <c r="CR108" s="1"/>
      <c r="DM108" s="1"/>
    </row>
    <row r="109" spans="1:117" ht="36" hidden="1" x14ac:dyDescent="0.25">
      <c r="A109" s="396" t="s">
        <v>826</v>
      </c>
      <c r="B109" s="392" t="s">
        <v>821</v>
      </c>
      <c r="C109" s="402"/>
      <c r="D109" s="12" t="s">
        <v>58</v>
      </c>
      <c r="E109" s="155">
        <f>'1.2.комм услуги (01.01.24)'!BE31</f>
        <v>0.14954391</v>
      </c>
      <c r="F109" s="156">
        <f>'1.2.комм услуги (01.01.24)'!BG31</f>
        <v>1.49</v>
      </c>
      <c r="G109" s="181">
        <f t="shared" si="34"/>
        <v>1.49</v>
      </c>
      <c r="H109" s="181">
        <f t="shared" si="35"/>
        <v>1.49</v>
      </c>
      <c r="I109" s="86" t="s">
        <v>468</v>
      </c>
      <c r="J109" s="87"/>
      <c r="K109" s="1"/>
      <c r="L109" s="1"/>
      <c r="AG109" s="1"/>
      <c r="BB109" s="1"/>
      <c r="BW109" s="1"/>
      <c r="CR109" s="1"/>
      <c r="DM109" s="1"/>
    </row>
    <row r="110" spans="1:117" hidden="1" x14ac:dyDescent="0.25">
      <c r="A110" s="7"/>
      <c r="B110" s="314"/>
      <c r="C110" s="6" t="s">
        <v>68</v>
      </c>
      <c r="D110" s="15" t="s">
        <v>69</v>
      </c>
      <c r="E110" s="7"/>
      <c r="F110" s="75"/>
      <c r="G110" s="75"/>
      <c r="H110" s="75"/>
      <c r="I110" s="84"/>
      <c r="J110" s="85"/>
      <c r="K110" s="1"/>
      <c r="L110" s="1"/>
      <c r="AG110" s="1"/>
      <c r="BB110" s="1"/>
      <c r="BW110" s="1"/>
      <c r="CR110" s="1"/>
      <c r="DM110" s="1"/>
    </row>
    <row r="111" spans="1:117" hidden="1" x14ac:dyDescent="0.25">
      <c r="A111" s="12" t="s">
        <v>52</v>
      </c>
      <c r="B111" s="315" t="s">
        <v>822</v>
      </c>
      <c r="C111" s="5"/>
      <c r="D111" s="12" t="s">
        <v>59</v>
      </c>
      <c r="E111" s="155">
        <f>'1.2.комм услуги (01.01.24)'!BE34</f>
        <v>1.0958400000000001E-3</v>
      </c>
      <c r="F111" s="156">
        <f>'1.2.комм услуги (01.01.24)'!BG34</f>
        <v>3.22</v>
      </c>
      <c r="G111" s="181">
        <f t="shared" ref="G111:G116" si="36">F111</f>
        <v>3.22</v>
      </c>
      <c r="H111" s="181">
        <f t="shared" ref="H111:H116" si="37">F111</f>
        <v>3.22</v>
      </c>
      <c r="I111" s="86" t="s">
        <v>468</v>
      </c>
      <c r="J111" s="87"/>
      <c r="K111" s="1"/>
      <c r="L111" s="1"/>
      <c r="AG111" s="1"/>
      <c r="BB111" s="1"/>
      <c r="BW111" s="1"/>
      <c r="CR111" s="1"/>
      <c r="DM111" s="1"/>
    </row>
    <row r="112" spans="1:117" hidden="1" x14ac:dyDescent="0.25">
      <c r="A112" s="12" t="s">
        <v>53</v>
      </c>
      <c r="B112" s="315" t="s">
        <v>819</v>
      </c>
      <c r="C112" s="5"/>
      <c r="D112" s="12" t="s">
        <v>59</v>
      </c>
      <c r="E112" s="155">
        <f>'1.2.комм услуги (01.01.24)'!BE35</f>
        <v>1.0958000000000001E-3</v>
      </c>
      <c r="F112" s="156">
        <f>'1.2.комм услуги (01.01.24)'!BG35</f>
        <v>3.22</v>
      </c>
      <c r="G112" s="181">
        <f t="shared" si="36"/>
        <v>3.22</v>
      </c>
      <c r="H112" s="181">
        <f t="shared" si="37"/>
        <v>3.22</v>
      </c>
      <c r="I112" s="86" t="s">
        <v>468</v>
      </c>
      <c r="J112" s="87"/>
      <c r="K112" s="1"/>
      <c r="L112" s="1"/>
      <c r="AG112" s="1"/>
      <c r="BB112" s="1"/>
      <c r="BW112" s="1"/>
      <c r="CR112" s="1"/>
      <c r="DM112" s="1"/>
    </row>
    <row r="113" spans="1:117" hidden="1" x14ac:dyDescent="0.25">
      <c r="A113" s="12" t="s">
        <v>51</v>
      </c>
      <c r="B113" s="315" t="s">
        <v>817</v>
      </c>
      <c r="C113" s="5"/>
      <c r="D113" s="12" t="s">
        <v>59</v>
      </c>
      <c r="E113" s="155">
        <f>'1.2.комм услуги (01.01.24)'!BE36</f>
        <v>1.09574E-3</v>
      </c>
      <c r="F113" s="156">
        <f>'1.2.комм услуги (01.01.24)'!BG36</f>
        <v>3.22</v>
      </c>
      <c r="G113" s="181">
        <f t="shared" si="36"/>
        <v>3.22</v>
      </c>
      <c r="H113" s="181">
        <f t="shared" si="37"/>
        <v>3.22</v>
      </c>
      <c r="I113" s="86" t="s">
        <v>468</v>
      </c>
      <c r="J113" s="87"/>
      <c r="K113" s="1"/>
      <c r="L113" s="1"/>
      <c r="AG113" s="1"/>
      <c r="BB113" s="1"/>
      <c r="BW113" s="1"/>
      <c r="CR113" s="1"/>
      <c r="DM113" s="1"/>
    </row>
    <row r="114" spans="1:117" hidden="1" x14ac:dyDescent="0.25">
      <c r="A114" s="12" t="s">
        <v>54</v>
      </c>
      <c r="B114" s="315" t="s">
        <v>823</v>
      </c>
      <c r="C114" s="5"/>
      <c r="D114" s="12" t="s">
        <v>59</v>
      </c>
      <c r="E114" s="155">
        <f>'1.2.комм услуги (01.01.24)'!BE37</f>
        <v>1.0957899999999999E-3</v>
      </c>
      <c r="F114" s="156">
        <f>'1.2.комм услуги (01.01.24)'!BG37</f>
        <v>3.22</v>
      </c>
      <c r="G114" s="181">
        <f t="shared" si="36"/>
        <v>3.22</v>
      </c>
      <c r="H114" s="181">
        <f t="shared" si="37"/>
        <v>3.22</v>
      </c>
      <c r="I114" s="86" t="s">
        <v>468</v>
      </c>
      <c r="J114" s="87"/>
      <c r="K114" s="1"/>
      <c r="L114" s="1"/>
      <c r="AG114" s="1"/>
      <c r="BB114" s="1"/>
      <c r="BW114" s="1"/>
      <c r="CR114" s="1"/>
      <c r="DM114" s="1"/>
    </row>
    <row r="115" spans="1:117" hidden="1" x14ac:dyDescent="0.25">
      <c r="A115" s="12" t="s">
        <v>55</v>
      </c>
      <c r="B115" s="315" t="s">
        <v>816</v>
      </c>
      <c r="C115" s="5"/>
      <c r="D115" s="12" t="s">
        <v>59</v>
      </c>
      <c r="E115" s="155">
        <f>'1.2.комм услуги (01.01.24)'!BE38</f>
        <v>1.09577E-3</v>
      </c>
      <c r="F115" s="156">
        <f>'1.2.комм услуги (01.01.24)'!BG38</f>
        <v>3.22</v>
      </c>
      <c r="G115" s="181">
        <f t="shared" si="36"/>
        <v>3.22</v>
      </c>
      <c r="H115" s="181">
        <f t="shared" si="37"/>
        <v>3.22</v>
      </c>
      <c r="I115" s="86" t="s">
        <v>468</v>
      </c>
      <c r="J115" s="87"/>
      <c r="K115" s="1"/>
      <c r="L115" s="1"/>
      <c r="AG115" s="1"/>
      <c r="BB115" s="1"/>
      <c r="BW115" s="1"/>
      <c r="CR115" s="1"/>
      <c r="DM115" s="1"/>
    </row>
    <row r="116" spans="1:117" ht="24" hidden="1" x14ac:dyDescent="0.25">
      <c r="A116" s="12" t="s">
        <v>56</v>
      </c>
      <c r="B116" s="315" t="s">
        <v>820</v>
      </c>
      <c r="C116" s="5"/>
      <c r="D116" s="12" t="s">
        <v>59</v>
      </c>
      <c r="E116" s="155">
        <f>'1.2.комм услуги (01.01.24)'!BE39</f>
        <v>1.09578E-3</v>
      </c>
      <c r="F116" s="156">
        <f>'1.2.комм услуги (01.01.24)'!BG39</f>
        <v>3.22</v>
      </c>
      <c r="G116" s="181">
        <f t="shared" si="36"/>
        <v>3.22</v>
      </c>
      <c r="H116" s="181">
        <f t="shared" si="37"/>
        <v>3.22</v>
      </c>
      <c r="I116" s="86" t="s">
        <v>468</v>
      </c>
      <c r="J116" s="87"/>
      <c r="K116" s="1"/>
      <c r="L116" s="1"/>
      <c r="AG116" s="1"/>
      <c r="BB116" s="1"/>
      <c r="BW116" s="1"/>
      <c r="CR116" s="1"/>
      <c r="DM116" s="1"/>
    </row>
    <row r="117" spans="1:117" ht="36" hidden="1" x14ac:dyDescent="0.25">
      <c r="A117" s="396" t="s">
        <v>469</v>
      </c>
      <c r="B117" s="315" t="s">
        <v>818</v>
      </c>
      <c r="C117" s="5"/>
      <c r="D117" s="12" t="s">
        <v>59</v>
      </c>
      <c r="E117" s="155">
        <f>'1.2.комм услуги (01.01.24)'!BE40</f>
        <v>1.09504E-3</v>
      </c>
      <c r="F117" s="156">
        <f>'1.2.комм услуги (01.01.24)'!BG40</f>
        <v>3.22</v>
      </c>
      <c r="G117" s="181">
        <f t="shared" ref="G117:G119" si="38">F117</f>
        <v>3.22</v>
      </c>
      <c r="H117" s="181">
        <f t="shared" ref="H117:H119" si="39">F117</f>
        <v>3.22</v>
      </c>
      <c r="I117" s="86" t="s">
        <v>468</v>
      </c>
      <c r="J117" s="87"/>
      <c r="K117" s="1"/>
      <c r="L117" s="1"/>
      <c r="AG117" s="1"/>
      <c r="BB117" s="1"/>
      <c r="BW117" s="1"/>
      <c r="CR117" s="1"/>
      <c r="DM117" s="1"/>
    </row>
    <row r="118" spans="1:117" ht="36" hidden="1" x14ac:dyDescent="0.25">
      <c r="A118" s="406" t="s">
        <v>825</v>
      </c>
      <c r="B118" s="392" t="s">
        <v>824</v>
      </c>
      <c r="C118" s="402"/>
      <c r="D118" s="12" t="s">
        <v>59</v>
      </c>
      <c r="E118" s="155">
        <f>'1.2.комм услуги (01.01.24)'!BE41</f>
        <v>1.0953899999999999E-3</v>
      </c>
      <c r="F118" s="156">
        <f>'1.2.комм услуги (01.01.24)'!BG41</f>
        <v>3.22</v>
      </c>
      <c r="G118" s="181">
        <f t="shared" si="38"/>
        <v>3.22</v>
      </c>
      <c r="H118" s="181">
        <f t="shared" si="39"/>
        <v>3.22</v>
      </c>
      <c r="I118" s="86" t="s">
        <v>468</v>
      </c>
      <c r="J118" s="87"/>
      <c r="K118" s="1"/>
      <c r="L118" s="1"/>
      <c r="AG118" s="1"/>
      <c r="BB118" s="1"/>
      <c r="BW118" s="1"/>
      <c r="CR118" s="1"/>
      <c r="DM118" s="1"/>
    </row>
    <row r="119" spans="1:117" ht="36" hidden="1" x14ac:dyDescent="0.25">
      <c r="A119" s="396" t="s">
        <v>826</v>
      </c>
      <c r="B119" s="392" t="s">
        <v>821</v>
      </c>
      <c r="C119" s="402"/>
      <c r="D119" s="12" t="s">
        <v>59</v>
      </c>
      <c r="E119" s="155">
        <f>'1.2.комм услуги (01.01.24)'!BE42</f>
        <v>1.09534E-3</v>
      </c>
      <c r="F119" s="156">
        <f>'1.2.комм услуги (01.01.24)'!BG42</f>
        <v>3.22</v>
      </c>
      <c r="G119" s="181">
        <f t="shared" si="38"/>
        <v>3.22</v>
      </c>
      <c r="H119" s="181">
        <f t="shared" si="39"/>
        <v>3.22</v>
      </c>
      <c r="I119" s="86" t="s">
        <v>468</v>
      </c>
      <c r="J119" s="87"/>
      <c r="K119" s="1"/>
      <c r="L119" s="1"/>
      <c r="AG119" s="1"/>
      <c r="BB119" s="1"/>
      <c r="BW119" s="1"/>
      <c r="CR119" s="1"/>
      <c r="DM119" s="1"/>
    </row>
    <row r="120" spans="1:117" hidden="1" x14ac:dyDescent="0.25">
      <c r="A120" s="7"/>
      <c r="B120" s="314"/>
      <c r="C120" s="6" t="s">
        <v>70</v>
      </c>
      <c r="D120" s="15" t="s">
        <v>71</v>
      </c>
      <c r="E120" s="7"/>
      <c r="F120" s="75"/>
      <c r="G120" s="75"/>
      <c r="H120" s="75"/>
      <c r="I120" s="84"/>
      <c r="J120" s="85"/>
      <c r="K120" s="1"/>
      <c r="L120" s="1"/>
      <c r="AG120" s="1"/>
      <c r="BB120" s="1"/>
      <c r="BW120" s="1"/>
      <c r="CR120" s="1"/>
      <c r="DM120" s="1"/>
    </row>
    <row r="121" spans="1:117" hidden="1" x14ac:dyDescent="0.25">
      <c r="A121" s="12" t="s">
        <v>52</v>
      </c>
      <c r="B121" s="315" t="s">
        <v>822</v>
      </c>
      <c r="C121" s="5"/>
      <c r="D121" s="12" t="s">
        <v>57</v>
      </c>
      <c r="E121" s="155">
        <f>'1.2.комм услуги (01.01.24)'!BE45</f>
        <v>1.9503299999999999E-3</v>
      </c>
      <c r="F121" s="156">
        <f>'1.2.комм услуги (01.01.24)'!BG45</f>
        <v>0.12</v>
      </c>
      <c r="G121" s="181">
        <f t="shared" ref="G121:G126" si="40">F121</f>
        <v>0.12</v>
      </c>
      <c r="H121" s="181">
        <f t="shared" ref="H121:H126" si="41">F121</f>
        <v>0.12</v>
      </c>
      <c r="I121" s="86" t="s">
        <v>468</v>
      </c>
      <c r="J121" s="87"/>
      <c r="K121" s="1"/>
      <c r="L121" s="1"/>
      <c r="AG121" s="1"/>
      <c r="BB121" s="1"/>
      <c r="BW121" s="1"/>
      <c r="CR121" s="1"/>
      <c r="DM121" s="1"/>
    </row>
    <row r="122" spans="1:117" hidden="1" x14ac:dyDescent="0.25">
      <c r="A122" s="12" t="s">
        <v>53</v>
      </c>
      <c r="B122" s="315" t="s">
        <v>819</v>
      </c>
      <c r="C122" s="5"/>
      <c r="D122" s="12" t="s">
        <v>57</v>
      </c>
      <c r="E122" s="155">
        <f>'1.2.комм услуги (01.01.24)'!BE46</f>
        <v>1.9503599999999999E-3</v>
      </c>
      <c r="F122" s="156">
        <f>'1.2.комм услуги (01.01.24)'!BG46</f>
        <v>0.12</v>
      </c>
      <c r="G122" s="181">
        <f t="shared" si="40"/>
        <v>0.12</v>
      </c>
      <c r="H122" s="181">
        <f t="shared" si="41"/>
        <v>0.12</v>
      </c>
      <c r="I122" s="86" t="s">
        <v>468</v>
      </c>
      <c r="J122" s="87"/>
      <c r="K122" s="1"/>
      <c r="L122" s="1"/>
      <c r="AG122" s="1"/>
      <c r="BB122" s="1"/>
      <c r="BW122" s="1"/>
      <c r="CR122" s="1"/>
      <c r="DM122" s="1"/>
    </row>
    <row r="123" spans="1:117" hidden="1" x14ac:dyDescent="0.25">
      <c r="A123" s="12" t="s">
        <v>51</v>
      </c>
      <c r="B123" s="315" t="s">
        <v>817</v>
      </c>
      <c r="C123" s="5"/>
      <c r="D123" s="12" t="s">
        <v>57</v>
      </c>
      <c r="E123" s="155">
        <f>'1.2.комм услуги (01.01.24)'!BE47</f>
        <v>1.9502E-3</v>
      </c>
      <c r="F123" s="156">
        <f>'1.2.комм услуги (01.01.24)'!BG47</f>
        <v>0.12</v>
      </c>
      <c r="G123" s="181">
        <f t="shared" si="40"/>
        <v>0.12</v>
      </c>
      <c r="H123" s="181">
        <f t="shared" si="41"/>
        <v>0.12</v>
      </c>
      <c r="I123" s="86" t="s">
        <v>468</v>
      </c>
      <c r="J123" s="87"/>
      <c r="K123" s="1"/>
      <c r="L123" s="1"/>
      <c r="AG123" s="1"/>
      <c r="BB123" s="1"/>
      <c r="BW123" s="1"/>
      <c r="CR123" s="1"/>
      <c r="DM123" s="1"/>
    </row>
    <row r="124" spans="1:117" hidden="1" x14ac:dyDescent="0.25">
      <c r="A124" s="12" t="s">
        <v>54</v>
      </c>
      <c r="B124" s="315" t="s">
        <v>823</v>
      </c>
      <c r="C124" s="5"/>
      <c r="D124" s="12" t="s">
        <v>57</v>
      </c>
      <c r="E124" s="155">
        <f>'1.2.комм услуги (01.01.24)'!BE48</f>
        <v>1.9503400000000001E-3</v>
      </c>
      <c r="F124" s="156">
        <f>'1.2.комм услуги (01.01.24)'!BG48</f>
        <v>0.12</v>
      </c>
      <c r="G124" s="181">
        <f t="shared" si="40"/>
        <v>0.12</v>
      </c>
      <c r="H124" s="181">
        <f t="shared" si="41"/>
        <v>0.12</v>
      </c>
      <c r="I124" s="86" t="s">
        <v>468</v>
      </c>
      <c r="J124" s="87"/>
      <c r="K124" s="1"/>
      <c r="L124" s="1"/>
      <c r="AG124" s="1"/>
      <c r="BB124" s="1"/>
      <c r="BW124" s="1"/>
      <c r="CR124" s="1"/>
      <c r="DM124" s="1"/>
    </row>
    <row r="125" spans="1:117" hidden="1" x14ac:dyDescent="0.25">
      <c r="A125" s="12" t="s">
        <v>55</v>
      </c>
      <c r="B125" s="315" t="s">
        <v>816</v>
      </c>
      <c r="C125" s="5"/>
      <c r="D125" s="12" t="s">
        <v>57</v>
      </c>
      <c r="E125" s="155">
        <f>'1.2.комм услуги (01.01.24)'!BE49</f>
        <v>1.95035E-3</v>
      </c>
      <c r="F125" s="156">
        <f>'1.2.комм услуги (01.01.24)'!BG49</f>
        <v>0.12</v>
      </c>
      <c r="G125" s="181">
        <f t="shared" si="40"/>
        <v>0.12</v>
      </c>
      <c r="H125" s="181">
        <f t="shared" si="41"/>
        <v>0.12</v>
      </c>
      <c r="I125" s="86" t="s">
        <v>468</v>
      </c>
      <c r="J125" s="87"/>
      <c r="K125" s="1"/>
      <c r="L125" s="1"/>
      <c r="AG125" s="1"/>
      <c r="BB125" s="1"/>
      <c r="BW125" s="1"/>
      <c r="CR125" s="1"/>
      <c r="DM125" s="1"/>
    </row>
    <row r="126" spans="1:117" ht="24" hidden="1" x14ac:dyDescent="0.25">
      <c r="A126" s="12" t="s">
        <v>56</v>
      </c>
      <c r="B126" s="315" t="s">
        <v>820</v>
      </c>
      <c r="C126" s="5"/>
      <c r="D126" s="12" t="s">
        <v>57</v>
      </c>
      <c r="E126" s="155">
        <f>'1.2.комм услуги (01.01.24)'!BE50</f>
        <v>1.95035E-3</v>
      </c>
      <c r="F126" s="156">
        <f>'1.2.комм услуги (01.01.24)'!BG50</f>
        <v>0.12</v>
      </c>
      <c r="G126" s="181">
        <f t="shared" si="40"/>
        <v>0.12</v>
      </c>
      <c r="H126" s="181">
        <f t="shared" si="41"/>
        <v>0.12</v>
      </c>
      <c r="I126" s="86" t="s">
        <v>468</v>
      </c>
      <c r="J126" s="87"/>
      <c r="K126" s="1"/>
      <c r="L126" s="1"/>
      <c r="AG126" s="1"/>
      <c r="BB126" s="1"/>
      <c r="BW126" s="1"/>
      <c r="CR126" s="1"/>
      <c r="DM126" s="1"/>
    </row>
    <row r="127" spans="1:117" ht="36" hidden="1" x14ac:dyDescent="0.25">
      <c r="A127" s="396" t="s">
        <v>469</v>
      </c>
      <c r="B127" s="315" t="s">
        <v>818</v>
      </c>
      <c r="C127" s="5"/>
      <c r="D127" s="12" t="s">
        <v>57</v>
      </c>
      <c r="E127" s="155">
        <f>'1.2.комм услуги (01.01.24)'!BE51</f>
        <v>1.94966E-3</v>
      </c>
      <c r="F127" s="156">
        <f>'1.2.комм услуги (01.01.24)'!BG51</f>
        <v>0.12</v>
      </c>
      <c r="G127" s="181">
        <f t="shared" ref="G127:G129" si="42">F127</f>
        <v>0.12</v>
      </c>
      <c r="H127" s="181">
        <f t="shared" ref="H127:H129" si="43">F127</f>
        <v>0.12</v>
      </c>
      <c r="I127" s="86" t="s">
        <v>468</v>
      </c>
      <c r="J127" s="87"/>
      <c r="K127" s="1"/>
      <c r="L127" s="1"/>
      <c r="AG127" s="1"/>
      <c r="BB127" s="1"/>
      <c r="BW127" s="1"/>
      <c r="CR127" s="1"/>
      <c r="DM127" s="1"/>
    </row>
    <row r="128" spans="1:117" ht="36" hidden="1" x14ac:dyDescent="0.25">
      <c r="A128" s="406" t="s">
        <v>825</v>
      </c>
      <c r="B128" s="392" t="s">
        <v>824</v>
      </c>
      <c r="C128" s="402"/>
      <c r="D128" s="12" t="s">
        <v>57</v>
      </c>
      <c r="E128" s="155">
        <f>'1.2.комм услуги (01.01.24)'!BE52</f>
        <v>1.9523100000000001E-3</v>
      </c>
      <c r="F128" s="156">
        <f>'1.2.комм услуги (01.01.24)'!BG52</f>
        <v>0.12</v>
      </c>
      <c r="G128" s="181">
        <f t="shared" si="42"/>
        <v>0.12</v>
      </c>
      <c r="H128" s="181">
        <f t="shared" si="43"/>
        <v>0.12</v>
      </c>
      <c r="I128" s="86" t="s">
        <v>468</v>
      </c>
      <c r="J128" s="87"/>
      <c r="K128" s="1"/>
      <c r="L128" s="1"/>
      <c r="AG128" s="1"/>
      <c r="BB128" s="1"/>
      <c r="BW128" s="1"/>
      <c r="CR128" s="1"/>
      <c r="DM128" s="1"/>
    </row>
    <row r="129" spans="1:117" ht="36" hidden="1" x14ac:dyDescent="0.25">
      <c r="A129" s="396" t="s">
        <v>826</v>
      </c>
      <c r="B129" s="392" t="s">
        <v>821</v>
      </c>
      <c r="C129" s="402"/>
      <c r="D129" s="12" t="s">
        <v>57</v>
      </c>
      <c r="E129" s="155">
        <f>'1.2.комм услуги (01.01.24)'!BE53</f>
        <v>1.9505099999999999E-3</v>
      </c>
      <c r="F129" s="156">
        <f>'1.2.комм услуги (01.01.24)'!BG53</f>
        <v>0.12</v>
      </c>
      <c r="G129" s="181">
        <f t="shared" si="42"/>
        <v>0.12</v>
      </c>
      <c r="H129" s="181">
        <f t="shared" si="43"/>
        <v>0.12</v>
      </c>
      <c r="I129" s="86" t="s">
        <v>468</v>
      </c>
      <c r="J129" s="87"/>
      <c r="K129" s="1"/>
      <c r="L129" s="1"/>
      <c r="AG129" s="1"/>
      <c r="BB129" s="1"/>
      <c r="BW129" s="1"/>
      <c r="CR129" s="1"/>
      <c r="DM129" s="1"/>
    </row>
    <row r="130" spans="1:117" hidden="1" x14ac:dyDescent="0.25">
      <c r="A130" s="7"/>
      <c r="B130" s="314"/>
      <c r="C130" s="6" t="s">
        <v>72</v>
      </c>
      <c r="D130" s="15" t="s">
        <v>73</v>
      </c>
      <c r="E130" s="7"/>
      <c r="F130" s="75"/>
      <c r="G130" s="75"/>
      <c r="H130" s="75"/>
      <c r="I130" s="84"/>
      <c r="J130" s="85"/>
      <c r="K130" s="1"/>
      <c r="L130" s="1"/>
      <c r="AG130" s="1"/>
      <c r="BB130" s="1"/>
      <c r="BW130" s="1"/>
      <c r="CR130" s="1"/>
      <c r="DM130" s="1"/>
    </row>
    <row r="131" spans="1:117" hidden="1" x14ac:dyDescent="0.25">
      <c r="A131" s="12" t="s">
        <v>52</v>
      </c>
      <c r="B131" s="315" t="s">
        <v>822</v>
      </c>
      <c r="C131" s="5"/>
      <c r="D131" s="12" t="s">
        <v>57</v>
      </c>
      <c r="E131" s="155">
        <f>'1.2.комм услуги (01.01.24)'!BE56</f>
        <v>1.9503299999999999E-3</v>
      </c>
      <c r="F131" s="156">
        <f>'1.2.комм услуги (01.01.24)'!BG56</f>
        <v>7.0000000000000007E-2</v>
      </c>
      <c r="G131" s="181">
        <f t="shared" ref="G131:G136" si="44">F131</f>
        <v>7.0000000000000007E-2</v>
      </c>
      <c r="H131" s="181">
        <f t="shared" ref="H131:H136" si="45">F131</f>
        <v>7.0000000000000007E-2</v>
      </c>
      <c r="I131" s="86" t="s">
        <v>468</v>
      </c>
      <c r="J131" s="87"/>
      <c r="K131" s="1"/>
      <c r="L131" s="1"/>
      <c r="AG131" s="1"/>
      <c r="BB131" s="1"/>
      <c r="BW131" s="1"/>
      <c r="CR131" s="1"/>
      <c r="DM131" s="1"/>
    </row>
    <row r="132" spans="1:117" hidden="1" x14ac:dyDescent="0.25">
      <c r="A132" s="12" t="s">
        <v>53</v>
      </c>
      <c r="B132" s="315" t="s">
        <v>819</v>
      </c>
      <c r="C132" s="5"/>
      <c r="D132" s="12" t="s">
        <v>57</v>
      </c>
      <c r="E132" s="155">
        <f>'1.2.комм услуги (01.01.24)'!BE57</f>
        <v>1.9503599999999999E-3</v>
      </c>
      <c r="F132" s="156">
        <f>'1.2.комм услуги (01.01.24)'!BG57</f>
        <v>7.0000000000000007E-2</v>
      </c>
      <c r="G132" s="181">
        <f t="shared" si="44"/>
        <v>7.0000000000000007E-2</v>
      </c>
      <c r="H132" s="181">
        <f t="shared" si="45"/>
        <v>7.0000000000000007E-2</v>
      </c>
      <c r="I132" s="86" t="s">
        <v>468</v>
      </c>
      <c r="J132" s="87"/>
      <c r="K132" s="1"/>
      <c r="L132" s="1"/>
      <c r="AG132" s="1"/>
      <c r="BB132" s="1"/>
      <c r="BW132" s="1"/>
      <c r="CR132" s="1"/>
      <c r="DM132" s="1"/>
    </row>
    <row r="133" spans="1:117" hidden="1" x14ac:dyDescent="0.25">
      <c r="A133" s="12" t="s">
        <v>51</v>
      </c>
      <c r="B133" s="315" t="s">
        <v>817</v>
      </c>
      <c r="C133" s="5"/>
      <c r="D133" s="12" t="s">
        <v>57</v>
      </c>
      <c r="E133" s="155">
        <f>'1.2.комм услуги (01.01.24)'!BE58</f>
        <v>1.9502E-3</v>
      </c>
      <c r="F133" s="156">
        <f>'1.2.комм услуги (01.01.24)'!BG58</f>
        <v>7.0000000000000007E-2</v>
      </c>
      <c r="G133" s="181">
        <f t="shared" si="44"/>
        <v>7.0000000000000007E-2</v>
      </c>
      <c r="H133" s="181">
        <f t="shared" si="45"/>
        <v>7.0000000000000007E-2</v>
      </c>
      <c r="I133" s="86" t="s">
        <v>468</v>
      </c>
      <c r="J133" s="87"/>
      <c r="K133" s="1"/>
      <c r="L133" s="1"/>
      <c r="AG133" s="1"/>
      <c r="BB133" s="1"/>
      <c r="BW133" s="1"/>
      <c r="CR133" s="1"/>
      <c r="DM133" s="1"/>
    </row>
    <row r="134" spans="1:117" hidden="1" x14ac:dyDescent="0.25">
      <c r="A134" s="12" t="s">
        <v>54</v>
      </c>
      <c r="B134" s="315" t="s">
        <v>823</v>
      </c>
      <c r="C134" s="5"/>
      <c r="D134" s="12" t="s">
        <v>57</v>
      </c>
      <c r="E134" s="155">
        <f>'1.2.комм услуги (01.01.24)'!BE59</f>
        <v>1.9503400000000001E-3</v>
      </c>
      <c r="F134" s="156">
        <f>'1.2.комм услуги (01.01.24)'!BG59</f>
        <v>7.0000000000000007E-2</v>
      </c>
      <c r="G134" s="181">
        <f t="shared" si="44"/>
        <v>7.0000000000000007E-2</v>
      </c>
      <c r="H134" s="181">
        <f t="shared" si="45"/>
        <v>7.0000000000000007E-2</v>
      </c>
      <c r="I134" s="86" t="s">
        <v>468</v>
      </c>
      <c r="J134" s="87"/>
      <c r="K134" s="1"/>
      <c r="L134" s="1"/>
      <c r="AG134" s="1"/>
      <c r="BB134" s="1"/>
      <c r="BW134" s="1"/>
      <c r="CR134" s="1"/>
      <c r="DM134" s="1"/>
    </row>
    <row r="135" spans="1:117" hidden="1" x14ac:dyDescent="0.25">
      <c r="A135" s="12" t="s">
        <v>55</v>
      </c>
      <c r="B135" s="315" t="s">
        <v>816</v>
      </c>
      <c r="C135" s="5"/>
      <c r="D135" s="12" t="s">
        <v>57</v>
      </c>
      <c r="E135" s="155">
        <f>'1.2.комм услуги (01.01.24)'!BE60</f>
        <v>1.95035E-3</v>
      </c>
      <c r="F135" s="156">
        <f>'1.2.комм услуги (01.01.24)'!BG60</f>
        <v>7.0000000000000007E-2</v>
      </c>
      <c r="G135" s="181">
        <f t="shared" si="44"/>
        <v>7.0000000000000007E-2</v>
      </c>
      <c r="H135" s="181">
        <f t="shared" si="45"/>
        <v>7.0000000000000007E-2</v>
      </c>
      <c r="I135" s="86" t="s">
        <v>468</v>
      </c>
      <c r="J135" s="87"/>
      <c r="K135" s="1"/>
      <c r="L135" s="1"/>
      <c r="AG135" s="1"/>
      <c r="BB135" s="1"/>
      <c r="BW135" s="1"/>
      <c r="CR135" s="1"/>
      <c r="DM135" s="1"/>
    </row>
    <row r="136" spans="1:117" ht="24" hidden="1" x14ac:dyDescent="0.25">
      <c r="A136" s="12" t="s">
        <v>56</v>
      </c>
      <c r="B136" s="315" t="s">
        <v>820</v>
      </c>
      <c r="C136" s="5"/>
      <c r="D136" s="12" t="s">
        <v>57</v>
      </c>
      <c r="E136" s="155">
        <f>'1.2.комм услуги (01.01.24)'!BE61</f>
        <v>1.95035E-3</v>
      </c>
      <c r="F136" s="156">
        <f>'1.2.комм услуги (01.01.24)'!BG61</f>
        <v>7.0000000000000007E-2</v>
      </c>
      <c r="G136" s="181">
        <f t="shared" si="44"/>
        <v>7.0000000000000007E-2</v>
      </c>
      <c r="H136" s="181">
        <f t="shared" si="45"/>
        <v>7.0000000000000007E-2</v>
      </c>
      <c r="I136" s="86" t="s">
        <v>468</v>
      </c>
      <c r="J136" s="87"/>
      <c r="K136" s="1"/>
      <c r="L136" s="1"/>
      <c r="AG136" s="1"/>
      <c r="BB136" s="1"/>
      <c r="BW136" s="1"/>
      <c r="CR136" s="1"/>
      <c r="DM136" s="1"/>
    </row>
    <row r="137" spans="1:117" ht="36" hidden="1" x14ac:dyDescent="0.25">
      <c r="A137" s="396" t="s">
        <v>469</v>
      </c>
      <c r="B137" s="315" t="s">
        <v>818</v>
      </c>
      <c r="C137" s="5"/>
      <c r="D137" s="12" t="s">
        <v>57</v>
      </c>
      <c r="E137" s="155">
        <f>'1.2.комм услуги (01.01.24)'!BE62</f>
        <v>1.94966E-3</v>
      </c>
      <c r="F137" s="156">
        <f>'1.2.комм услуги (01.01.24)'!BG62</f>
        <v>7.0000000000000007E-2</v>
      </c>
      <c r="G137" s="181">
        <f t="shared" ref="G137:G139" si="46">F137</f>
        <v>7.0000000000000007E-2</v>
      </c>
      <c r="H137" s="181">
        <f t="shared" ref="H137:H139" si="47">F137</f>
        <v>7.0000000000000007E-2</v>
      </c>
      <c r="I137" s="86" t="s">
        <v>468</v>
      </c>
      <c r="J137" s="87"/>
      <c r="K137" s="1"/>
      <c r="L137" s="1"/>
      <c r="AG137" s="1"/>
      <c r="BB137" s="1"/>
      <c r="BW137" s="1"/>
      <c r="CR137" s="1"/>
      <c r="DM137" s="1"/>
    </row>
    <row r="138" spans="1:117" ht="36" hidden="1" x14ac:dyDescent="0.25">
      <c r="A138" s="406" t="s">
        <v>825</v>
      </c>
      <c r="B138" s="392" t="s">
        <v>824</v>
      </c>
      <c r="C138" s="402"/>
      <c r="D138" s="12" t="s">
        <v>57</v>
      </c>
      <c r="E138" s="155">
        <f>'1.2.комм услуги (01.01.24)'!BE63</f>
        <v>1.9523100000000001E-3</v>
      </c>
      <c r="F138" s="156">
        <f>'1.2.комм услуги (01.01.24)'!BG63</f>
        <v>7.0000000000000007E-2</v>
      </c>
      <c r="G138" s="181">
        <f t="shared" si="46"/>
        <v>7.0000000000000007E-2</v>
      </c>
      <c r="H138" s="181">
        <f t="shared" si="47"/>
        <v>7.0000000000000007E-2</v>
      </c>
      <c r="I138" s="86" t="s">
        <v>468</v>
      </c>
      <c r="J138" s="87"/>
      <c r="K138" s="1"/>
      <c r="L138" s="1"/>
      <c r="AG138" s="1"/>
      <c r="BB138" s="1"/>
      <c r="BW138" s="1"/>
      <c r="CR138" s="1"/>
      <c r="DM138" s="1"/>
    </row>
    <row r="139" spans="1:117" ht="36" hidden="1" x14ac:dyDescent="0.25">
      <c r="A139" s="396" t="s">
        <v>826</v>
      </c>
      <c r="B139" s="392" t="s">
        <v>821</v>
      </c>
      <c r="C139" s="402"/>
      <c r="D139" s="12" t="s">
        <v>57</v>
      </c>
      <c r="E139" s="155">
        <f>'1.2.комм услуги (01.01.24)'!BE64</f>
        <v>1.9505099999999999E-3</v>
      </c>
      <c r="F139" s="156">
        <f>'1.2.комм услуги (01.01.24)'!BG64</f>
        <v>7.0000000000000007E-2</v>
      </c>
      <c r="G139" s="181">
        <f t="shared" si="46"/>
        <v>7.0000000000000007E-2</v>
      </c>
      <c r="H139" s="181">
        <f t="shared" si="47"/>
        <v>7.0000000000000007E-2</v>
      </c>
      <c r="I139" s="86" t="s">
        <v>468</v>
      </c>
      <c r="J139" s="87"/>
      <c r="K139" s="1"/>
      <c r="L139" s="1"/>
      <c r="AG139" s="1"/>
      <c r="BB139" s="1"/>
      <c r="BW139" s="1"/>
      <c r="CR139" s="1"/>
      <c r="DM139" s="1"/>
    </row>
    <row r="140" spans="1:117" hidden="1" x14ac:dyDescent="0.25">
      <c r="A140" s="7"/>
      <c r="B140" s="314"/>
      <c r="C140" s="6" t="s">
        <v>376</v>
      </c>
      <c r="D140" s="15" t="s">
        <v>503</v>
      </c>
      <c r="E140" s="7"/>
      <c r="F140" s="75"/>
      <c r="G140" s="75"/>
      <c r="H140" s="75"/>
      <c r="I140" s="84"/>
      <c r="J140" s="85"/>
      <c r="K140" s="1"/>
      <c r="L140" s="1"/>
      <c r="AG140" s="1"/>
      <c r="BB140" s="1"/>
      <c r="BW140" s="1"/>
      <c r="CR140" s="1"/>
      <c r="DM140" s="1"/>
    </row>
    <row r="141" spans="1:117" hidden="1" x14ac:dyDescent="0.25">
      <c r="A141" s="12" t="s">
        <v>52</v>
      </c>
      <c r="B141" s="315" t="s">
        <v>822</v>
      </c>
      <c r="C141" s="5"/>
      <c r="D141" s="12" t="s">
        <v>57</v>
      </c>
      <c r="E141" s="155">
        <f>'1.2.комм услуги (01.01.24)'!BE79</f>
        <v>5.0137999999999995E-4</v>
      </c>
      <c r="F141" s="156">
        <f>'1.2.комм услуги (01.01.24)'!BG79</f>
        <v>0.43</v>
      </c>
      <c r="G141" s="181">
        <f t="shared" ref="G141:G146" si="48">F141</f>
        <v>0.43</v>
      </c>
      <c r="H141" s="181">
        <f t="shared" ref="H141:H146" si="49">F141</f>
        <v>0.43</v>
      </c>
      <c r="I141" s="86" t="s">
        <v>468</v>
      </c>
      <c r="J141" s="87"/>
      <c r="K141" s="1"/>
      <c r="L141" s="1"/>
      <c r="AG141" s="1"/>
      <c r="BB141" s="1"/>
      <c r="BW141" s="1"/>
      <c r="CR141" s="1"/>
      <c r="DM141" s="1"/>
    </row>
    <row r="142" spans="1:117" hidden="1" x14ac:dyDescent="0.25">
      <c r="A142" s="12" t="s">
        <v>53</v>
      </c>
      <c r="B142" s="315" t="s">
        <v>819</v>
      </c>
      <c r="C142" s="5"/>
      <c r="D142" s="12" t="s">
        <v>57</v>
      </c>
      <c r="E142" s="155">
        <f>'1.2.комм услуги (01.01.24)'!BE80</f>
        <v>5.0137000000000001E-4</v>
      </c>
      <c r="F142" s="156">
        <f>'1.2.комм услуги (01.01.24)'!BG80</f>
        <v>0.43</v>
      </c>
      <c r="G142" s="181">
        <f t="shared" si="48"/>
        <v>0.43</v>
      </c>
      <c r="H142" s="181">
        <f t="shared" si="49"/>
        <v>0.43</v>
      </c>
      <c r="I142" s="86" t="s">
        <v>468</v>
      </c>
      <c r="J142" s="87"/>
      <c r="K142" s="1"/>
      <c r="L142" s="1"/>
      <c r="AG142" s="1"/>
      <c r="BB142" s="1"/>
      <c r="BW142" s="1"/>
      <c r="CR142" s="1"/>
      <c r="DM142" s="1"/>
    </row>
    <row r="143" spans="1:117" hidden="1" x14ac:dyDescent="0.25">
      <c r="A143" s="12" t="s">
        <v>51</v>
      </c>
      <c r="B143" s="315" t="s">
        <v>817</v>
      </c>
      <c r="C143" s="5"/>
      <c r="D143" s="12" t="s">
        <v>57</v>
      </c>
      <c r="E143" s="155">
        <f>'1.2.комм услуги (01.01.24)'!BE81</f>
        <v>5.0133999999999997E-4</v>
      </c>
      <c r="F143" s="156">
        <f>'1.2.комм услуги (01.01.24)'!BG81</f>
        <v>0.43</v>
      </c>
      <c r="G143" s="181">
        <f t="shared" si="48"/>
        <v>0.43</v>
      </c>
      <c r="H143" s="181">
        <f t="shared" si="49"/>
        <v>0.43</v>
      </c>
      <c r="I143" s="86" t="s">
        <v>468</v>
      </c>
      <c r="J143" s="87"/>
      <c r="K143" s="1"/>
      <c r="L143" s="1"/>
      <c r="AG143" s="1"/>
      <c r="BB143" s="1"/>
      <c r="BW143" s="1"/>
      <c r="CR143" s="1"/>
      <c r="DM143" s="1"/>
    </row>
    <row r="144" spans="1:117" hidden="1" x14ac:dyDescent="0.25">
      <c r="A144" s="12" t="s">
        <v>54</v>
      </c>
      <c r="B144" s="315" t="s">
        <v>823</v>
      </c>
      <c r="C144" s="5"/>
      <c r="D144" s="12" t="s">
        <v>57</v>
      </c>
      <c r="E144" s="155">
        <f>'1.2.комм услуги (01.01.24)'!BE82</f>
        <v>5.0137000000000001E-4</v>
      </c>
      <c r="F144" s="156">
        <f>'1.2.комм услуги (01.01.24)'!BG82</f>
        <v>0.43</v>
      </c>
      <c r="G144" s="181">
        <f t="shared" si="48"/>
        <v>0.43</v>
      </c>
      <c r="H144" s="181">
        <f t="shared" si="49"/>
        <v>0.43</v>
      </c>
      <c r="I144" s="86" t="s">
        <v>468</v>
      </c>
      <c r="J144" s="87"/>
      <c r="K144" s="1"/>
      <c r="L144" s="1"/>
      <c r="AG144" s="1"/>
      <c r="BB144" s="1"/>
      <c r="BW144" s="1"/>
      <c r="CR144" s="1"/>
      <c r="DM144" s="1"/>
    </row>
    <row r="145" spans="1:117" hidden="1" x14ac:dyDescent="0.25">
      <c r="A145" s="12" t="s">
        <v>55</v>
      </c>
      <c r="B145" s="315" t="s">
        <v>816</v>
      </c>
      <c r="C145" s="5"/>
      <c r="D145" s="12" t="s">
        <v>57</v>
      </c>
      <c r="E145" s="155">
        <f>'1.2.комм услуги (01.01.24)'!BE83</f>
        <v>5.0142000000000003E-4</v>
      </c>
      <c r="F145" s="156">
        <f>'1.2.комм услуги (01.01.24)'!BG83</f>
        <v>0.43</v>
      </c>
      <c r="G145" s="181">
        <f t="shared" si="48"/>
        <v>0.43</v>
      </c>
      <c r="H145" s="181">
        <f t="shared" si="49"/>
        <v>0.43</v>
      </c>
      <c r="I145" s="86" t="s">
        <v>468</v>
      </c>
      <c r="J145" s="87"/>
      <c r="K145" s="1"/>
      <c r="L145" s="1"/>
      <c r="AG145" s="1"/>
      <c r="BB145" s="1"/>
      <c r="BW145" s="1"/>
      <c r="CR145" s="1"/>
      <c r="DM145" s="1"/>
    </row>
    <row r="146" spans="1:117" ht="24" hidden="1" x14ac:dyDescent="0.25">
      <c r="A146" s="12" t="s">
        <v>56</v>
      </c>
      <c r="B146" s="315" t="s">
        <v>820</v>
      </c>
      <c r="C146" s="5"/>
      <c r="D146" s="12" t="s">
        <v>57</v>
      </c>
      <c r="E146" s="155">
        <f>'1.2.комм услуги (01.01.24)'!BE84</f>
        <v>5.0139E-4</v>
      </c>
      <c r="F146" s="156">
        <f>'1.2.комм услуги (01.01.24)'!BG84</f>
        <v>0.43</v>
      </c>
      <c r="G146" s="181">
        <f t="shared" si="48"/>
        <v>0.43</v>
      </c>
      <c r="H146" s="181">
        <f t="shared" si="49"/>
        <v>0.43</v>
      </c>
      <c r="I146" s="86" t="s">
        <v>468</v>
      </c>
      <c r="J146" s="87"/>
      <c r="K146" s="1"/>
      <c r="L146" s="1"/>
      <c r="AG146" s="1"/>
      <c r="BB146" s="1"/>
      <c r="BW146" s="1"/>
      <c r="CR146" s="1"/>
      <c r="DM146" s="1"/>
    </row>
    <row r="147" spans="1:117" ht="36" hidden="1" x14ac:dyDescent="0.25">
      <c r="A147" s="396" t="s">
        <v>469</v>
      </c>
      <c r="B147" s="315" t="s">
        <v>818</v>
      </c>
      <c r="C147" s="5"/>
      <c r="D147" s="12" t="s">
        <v>57</v>
      </c>
      <c r="E147" s="155">
        <f>'1.2.комм услуги (01.01.24)'!BE85</f>
        <v>5.0149999999999999E-4</v>
      </c>
      <c r="F147" s="156">
        <f>'1.2.комм услуги (01.01.24)'!BG85</f>
        <v>0.43</v>
      </c>
      <c r="G147" s="181">
        <f t="shared" ref="G147:G149" si="50">F147</f>
        <v>0.43</v>
      </c>
      <c r="H147" s="181">
        <f t="shared" ref="H147:H149" si="51">F147</f>
        <v>0.43</v>
      </c>
      <c r="I147" s="86" t="s">
        <v>468</v>
      </c>
      <c r="J147" s="87"/>
      <c r="K147" s="1"/>
      <c r="L147" s="1"/>
      <c r="AG147" s="1"/>
      <c r="BB147" s="1"/>
      <c r="BW147" s="1"/>
      <c r="CR147" s="1"/>
      <c r="DM147" s="1"/>
    </row>
    <row r="148" spans="1:117" ht="36" hidden="1" x14ac:dyDescent="0.25">
      <c r="A148" s="406" t="s">
        <v>825</v>
      </c>
      <c r="B148" s="392" t="s">
        <v>824</v>
      </c>
      <c r="C148" s="402"/>
      <c r="D148" s="12" t="s">
        <v>57</v>
      </c>
      <c r="E148" s="155">
        <f>'1.2.комм услуги (01.01.24)'!BE86</f>
        <v>5.0051999999999996E-4</v>
      </c>
      <c r="F148" s="156">
        <f>'1.2.комм услуги (01.01.24)'!BG86</f>
        <v>0.43</v>
      </c>
      <c r="G148" s="181">
        <f t="shared" si="50"/>
        <v>0.43</v>
      </c>
      <c r="H148" s="181">
        <f t="shared" si="51"/>
        <v>0.43</v>
      </c>
      <c r="I148" s="86" t="s">
        <v>468</v>
      </c>
      <c r="J148" s="87"/>
      <c r="K148" s="1"/>
      <c r="L148" s="1"/>
      <c r="AG148" s="1"/>
      <c r="BB148" s="1"/>
      <c r="BW148" s="1"/>
      <c r="CR148" s="1"/>
      <c r="DM148" s="1"/>
    </row>
    <row r="149" spans="1:117" ht="36" hidden="1" x14ac:dyDescent="0.25">
      <c r="A149" s="396" t="s">
        <v>826</v>
      </c>
      <c r="B149" s="392" t="s">
        <v>821</v>
      </c>
      <c r="C149" s="402"/>
      <c r="D149" s="12" t="s">
        <v>57</v>
      </c>
      <c r="E149" s="155">
        <f>'1.2.комм услуги (01.01.24)'!BE87</f>
        <v>5.0097E-4</v>
      </c>
      <c r="F149" s="156">
        <f>'1.2.комм услуги (01.01.24)'!BG87</f>
        <v>0.43</v>
      </c>
      <c r="G149" s="181">
        <f t="shared" si="50"/>
        <v>0.43</v>
      </c>
      <c r="H149" s="181">
        <f t="shared" si="51"/>
        <v>0.43</v>
      </c>
      <c r="I149" s="86" t="s">
        <v>468</v>
      </c>
      <c r="J149" s="87"/>
      <c r="K149" s="1"/>
      <c r="L149" s="1"/>
      <c r="AG149" s="1"/>
      <c r="BB149" s="1"/>
      <c r="BW149" s="1"/>
      <c r="CR149" s="1"/>
      <c r="DM149" s="1"/>
    </row>
    <row r="150" spans="1:117" ht="24" hidden="1" x14ac:dyDescent="0.25">
      <c r="A150" s="17"/>
      <c r="B150" s="61"/>
      <c r="C150" s="16" t="s">
        <v>13</v>
      </c>
      <c r="D150" s="17" t="s">
        <v>14</v>
      </c>
      <c r="E150" s="17"/>
      <c r="F150" s="79"/>
      <c r="G150" s="79"/>
      <c r="H150" s="79"/>
      <c r="I150" s="94"/>
      <c r="J150" s="95"/>
      <c r="K150" s="1"/>
      <c r="L150" s="1"/>
      <c r="AG150" s="1"/>
      <c r="BB150" s="1"/>
      <c r="BW150" s="1"/>
      <c r="CR150" s="1"/>
      <c r="DM150" s="1"/>
    </row>
    <row r="151" spans="1:117" ht="24" hidden="1" x14ac:dyDescent="0.25">
      <c r="A151" s="12" t="s">
        <v>52</v>
      </c>
      <c r="B151" s="315" t="s">
        <v>822</v>
      </c>
      <c r="C151" s="5"/>
      <c r="D151" s="4" t="s">
        <v>281</v>
      </c>
      <c r="E151" s="1031" t="s">
        <v>275</v>
      </c>
      <c r="F151" s="156">
        <f>'1.3.расчет прочих'!$L$258</f>
        <v>0.96</v>
      </c>
      <c r="G151" s="181">
        <f t="shared" ref="G151:G176" si="52">F151</f>
        <v>0.96</v>
      </c>
      <c r="H151" s="181">
        <f t="shared" ref="H151:H156" si="53">F151</f>
        <v>0.96</v>
      </c>
      <c r="I151" s="86" t="s">
        <v>466</v>
      </c>
      <c r="J151" s="87"/>
      <c r="K151" s="1"/>
      <c r="L151" s="1"/>
      <c r="AG151" s="1"/>
      <c r="BB151" s="1"/>
      <c r="BW151" s="1"/>
      <c r="CR151" s="1"/>
      <c r="DM151" s="1"/>
    </row>
    <row r="152" spans="1:117" ht="24" hidden="1" x14ac:dyDescent="0.25">
      <c r="A152" s="12" t="s">
        <v>53</v>
      </c>
      <c r="B152" s="315" t="s">
        <v>819</v>
      </c>
      <c r="C152" s="5"/>
      <c r="D152" s="4" t="s">
        <v>281</v>
      </c>
      <c r="E152" s="1032"/>
      <c r="F152" s="156">
        <f>'1.3.расчет прочих'!$L$258</f>
        <v>0.96</v>
      </c>
      <c r="G152" s="181">
        <f t="shared" si="52"/>
        <v>0.96</v>
      </c>
      <c r="H152" s="181">
        <f t="shared" si="53"/>
        <v>0.96</v>
      </c>
      <c r="I152" s="86" t="s">
        <v>466</v>
      </c>
      <c r="J152" s="87"/>
      <c r="K152" s="1"/>
      <c r="L152" s="1"/>
      <c r="AG152" s="1"/>
      <c r="BB152" s="1"/>
      <c r="BW152" s="1"/>
      <c r="CR152" s="1"/>
      <c r="DM152" s="1"/>
    </row>
    <row r="153" spans="1:117" ht="24" hidden="1" x14ac:dyDescent="0.25">
      <c r="A153" s="12" t="s">
        <v>51</v>
      </c>
      <c r="B153" s="315" t="s">
        <v>817</v>
      </c>
      <c r="C153" s="5"/>
      <c r="D153" s="4" t="s">
        <v>281</v>
      </c>
      <c r="E153" s="1032"/>
      <c r="F153" s="156">
        <f>'1.3.расчет прочих'!$L$258</f>
        <v>0.96</v>
      </c>
      <c r="G153" s="181">
        <f t="shared" si="52"/>
        <v>0.96</v>
      </c>
      <c r="H153" s="181">
        <f t="shared" si="53"/>
        <v>0.96</v>
      </c>
      <c r="I153" s="86" t="s">
        <v>466</v>
      </c>
      <c r="J153" s="87"/>
      <c r="K153" s="1"/>
      <c r="L153" s="1"/>
      <c r="AG153" s="1"/>
      <c r="BB153" s="1"/>
      <c r="BW153" s="1"/>
      <c r="CR153" s="1"/>
      <c r="DM153" s="1"/>
    </row>
    <row r="154" spans="1:117" ht="24" hidden="1" x14ac:dyDescent="0.25">
      <c r="A154" s="12" t="s">
        <v>54</v>
      </c>
      <c r="B154" s="315" t="s">
        <v>823</v>
      </c>
      <c r="C154" s="5"/>
      <c r="D154" s="4" t="s">
        <v>281</v>
      </c>
      <c r="E154" s="1032"/>
      <c r="F154" s="156">
        <f>'1.3.расчет прочих'!$L$258</f>
        <v>0.96</v>
      </c>
      <c r="G154" s="181">
        <f t="shared" si="52"/>
        <v>0.96</v>
      </c>
      <c r="H154" s="181">
        <f t="shared" si="53"/>
        <v>0.96</v>
      </c>
      <c r="I154" s="86" t="s">
        <v>466</v>
      </c>
      <c r="J154" s="87"/>
      <c r="K154" s="1"/>
      <c r="L154" s="1"/>
      <c r="AG154" s="1"/>
      <c r="BB154" s="1"/>
      <c r="BW154" s="1"/>
      <c r="CR154" s="1"/>
      <c r="DM154" s="1"/>
    </row>
    <row r="155" spans="1:117" ht="24" hidden="1" x14ac:dyDescent="0.25">
      <c r="A155" s="12" t="s">
        <v>55</v>
      </c>
      <c r="B155" s="315" t="s">
        <v>816</v>
      </c>
      <c r="C155" s="5"/>
      <c r="D155" s="4" t="s">
        <v>281</v>
      </c>
      <c r="E155" s="1032"/>
      <c r="F155" s="156">
        <f>'1.3.расчет прочих'!$L$258</f>
        <v>0.96</v>
      </c>
      <c r="G155" s="181">
        <f t="shared" si="52"/>
        <v>0.96</v>
      </c>
      <c r="H155" s="181">
        <f t="shared" si="53"/>
        <v>0.96</v>
      </c>
      <c r="I155" s="86" t="s">
        <v>466</v>
      </c>
      <c r="J155" s="87"/>
      <c r="K155" s="1"/>
      <c r="L155" s="1"/>
      <c r="AG155" s="1"/>
      <c r="BB155" s="1"/>
      <c r="BW155" s="1"/>
      <c r="CR155" s="1"/>
      <c r="DM155" s="1"/>
    </row>
    <row r="156" spans="1:117" ht="24" hidden="1" x14ac:dyDescent="0.25">
      <c r="A156" s="12" t="s">
        <v>56</v>
      </c>
      <c r="B156" s="315" t="s">
        <v>820</v>
      </c>
      <c r="C156" s="5"/>
      <c r="D156" s="4" t="s">
        <v>281</v>
      </c>
      <c r="E156" s="1033"/>
      <c r="F156" s="156">
        <f>'1.3.расчет прочих'!$L$258</f>
        <v>0.96</v>
      </c>
      <c r="G156" s="181">
        <f t="shared" si="52"/>
        <v>0.96</v>
      </c>
      <c r="H156" s="181">
        <f t="shared" si="53"/>
        <v>0.96</v>
      </c>
      <c r="I156" s="86" t="s">
        <v>466</v>
      </c>
      <c r="J156" s="87"/>
      <c r="K156" s="1"/>
      <c r="L156" s="1"/>
      <c r="AG156" s="1"/>
      <c r="BB156" s="1"/>
      <c r="BW156" s="1"/>
      <c r="CR156" s="1"/>
      <c r="DM156" s="1"/>
    </row>
    <row r="157" spans="1:117" ht="36" hidden="1" x14ac:dyDescent="0.25">
      <c r="A157" s="396" t="s">
        <v>469</v>
      </c>
      <c r="B157" s="315" t="s">
        <v>818</v>
      </c>
      <c r="C157" s="5"/>
      <c r="D157" s="4" t="s">
        <v>281</v>
      </c>
      <c r="E157" s="848"/>
      <c r="F157" s="156">
        <f>'1.3.расчет прочих'!$L$258</f>
        <v>0.96</v>
      </c>
      <c r="G157" s="181">
        <f t="shared" ref="G157:G159" si="54">F157</f>
        <v>0.96</v>
      </c>
      <c r="H157" s="181">
        <f t="shared" ref="H157:H159" si="55">F157</f>
        <v>0.96</v>
      </c>
      <c r="I157" s="86" t="s">
        <v>466</v>
      </c>
      <c r="J157" s="87"/>
      <c r="K157" s="1"/>
      <c r="L157" s="1"/>
      <c r="AG157" s="1"/>
      <c r="BB157" s="1"/>
      <c r="BW157" s="1"/>
      <c r="CR157" s="1"/>
      <c r="DM157" s="1"/>
    </row>
    <row r="158" spans="1:117" ht="36" hidden="1" x14ac:dyDescent="0.25">
      <c r="A158" s="406" t="s">
        <v>825</v>
      </c>
      <c r="B158" s="392" t="s">
        <v>824</v>
      </c>
      <c r="C158" s="402"/>
      <c r="D158" s="4" t="s">
        <v>281</v>
      </c>
      <c r="E158" s="848"/>
      <c r="F158" s="156">
        <f>'1.3.расчет прочих'!$L$258</f>
        <v>0.96</v>
      </c>
      <c r="G158" s="181">
        <f t="shared" si="54"/>
        <v>0.96</v>
      </c>
      <c r="H158" s="181">
        <f t="shared" si="55"/>
        <v>0.96</v>
      </c>
      <c r="I158" s="86" t="s">
        <v>466</v>
      </c>
      <c r="J158" s="87"/>
      <c r="K158" s="1"/>
      <c r="L158" s="1"/>
      <c r="AG158" s="1"/>
      <c r="BB158" s="1"/>
      <c r="BW158" s="1"/>
      <c r="CR158" s="1"/>
      <c r="DM158" s="1"/>
    </row>
    <row r="159" spans="1:117" ht="36" hidden="1" x14ac:dyDescent="0.25">
      <c r="A159" s="396" t="s">
        <v>826</v>
      </c>
      <c r="B159" s="392" t="s">
        <v>821</v>
      </c>
      <c r="C159" s="402"/>
      <c r="D159" s="4" t="s">
        <v>281</v>
      </c>
      <c r="E159" s="391"/>
      <c r="F159" s="156">
        <f>'1.3.расчет прочих'!$L$258</f>
        <v>0.96</v>
      </c>
      <c r="G159" s="181">
        <f t="shared" si="54"/>
        <v>0.96</v>
      </c>
      <c r="H159" s="181">
        <f t="shared" si="55"/>
        <v>0.96</v>
      </c>
      <c r="I159" s="86" t="s">
        <v>466</v>
      </c>
      <c r="J159" s="87"/>
      <c r="K159" s="1"/>
      <c r="L159" s="1"/>
      <c r="AG159" s="1"/>
      <c r="BB159" s="1"/>
      <c r="BW159" s="1"/>
      <c r="CR159" s="1"/>
      <c r="DM159" s="1"/>
    </row>
    <row r="160" spans="1:117" ht="24" hidden="1" x14ac:dyDescent="0.25">
      <c r="A160" s="17"/>
      <c r="B160" s="61"/>
      <c r="C160" s="16" t="s">
        <v>15</v>
      </c>
      <c r="D160" s="17" t="s">
        <v>16</v>
      </c>
      <c r="E160" s="17"/>
      <c r="F160" s="79"/>
      <c r="G160" s="79"/>
      <c r="H160" s="79"/>
      <c r="I160" s="94"/>
      <c r="J160" s="95"/>
      <c r="K160" s="1"/>
      <c r="L160" s="1"/>
      <c r="AG160" s="1"/>
      <c r="BB160" s="1"/>
      <c r="BW160" s="1"/>
      <c r="CR160" s="1"/>
      <c r="DM160" s="1"/>
    </row>
    <row r="161" spans="1:117" ht="24" hidden="1" x14ac:dyDescent="0.25">
      <c r="A161" s="12" t="s">
        <v>52</v>
      </c>
      <c r="B161" s="315" t="s">
        <v>822</v>
      </c>
      <c r="C161" s="5"/>
      <c r="D161" s="4" t="s">
        <v>280</v>
      </c>
      <c r="E161" s="1031" t="s">
        <v>275</v>
      </c>
      <c r="F161" s="156">
        <f>'1.3.расчет прочих'!$L$259</f>
        <v>1.52</v>
      </c>
      <c r="G161" s="181">
        <f t="shared" si="52"/>
        <v>1.52</v>
      </c>
      <c r="H161" s="181">
        <f t="shared" ref="H161:H166" si="56">F161</f>
        <v>1.52</v>
      </c>
      <c r="I161" s="86" t="s">
        <v>466</v>
      </c>
      <c r="J161" s="87"/>
      <c r="K161" s="1"/>
      <c r="L161" s="1"/>
      <c r="AG161" s="1"/>
      <c r="BB161" s="1"/>
      <c r="BW161" s="1"/>
      <c r="CR161" s="1"/>
      <c r="DM161" s="1"/>
    </row>
    <row r="162" spans="1:117" ht="24" hidden="1" x14ac:dyDescent="0.25">
      <c r="A162" s="12" t="s">
        <v>53</v>
      </c>
      <c r="B162" s="315" t="s">
        <v>819</v>
      </c>
      <c r="C162" s="5"/>
      <c r="D162" s="4" t="s">
        <v>280</v>
      </c>
      <c r="E162" s="1032"/>
      <c r="F162" s="156">
        <f>'1.3.расчет прочих'!$L$259</f>
        <v>1.52</v>
      </c>
      <c r="G162" s="181">
        <f t="shared" si="52"/>
        <v>1.52</v>
      </c>
      <c r="H162" s="181">
        <f t="shared" si="56"/>
        <v>1.52</v>
      </c>
      <c r="I162" s="86" t="s">
        <v>466</v>
      </c>
      <c r="J162" s="87"/>
      <c r="K162" s="1"/>
      <c r="L162" s="1"/>
      <c r="AG162" s="1"/>
      <c r="BB162" s="1"/>
      <c r="BW162" s="1"/>
      <c r="CR162" s="1"/>
      <c r="DM162" s="1"/>
    </row>
    <row r="163" spans="1:117" ht="24" hidden="1" x14ac:dyDescent="0.25">
      <c r="A163" s="12" t="s">
        <v>51</v>
      </c>
      <c r="B163" s="315" t="s">
        <v>817</v>
      </c>
      <c r="C163" s="5"/>
      <c r="D163" s="4" t="s">
        <v>280</v>
      </c>
      <c r="E163" s="1032"/>
      <c r="F163" s="156">
        <f>'1.3.расчет прочих'!$L$259</f>
        <v>1.52</v>
      </c>
      <c r="G163" s="181">
        <f t="shared" si="52"/>
        <v>1.52</v>
      </c>
      <c r="H163" s="181">
        <f t="shared" si="56"/>
        <v>1.52</v>
      </c>
      <c r="I163" s="86" t="s">
        <v>466</v>
      </c>
      <c r="J163" s="87"/>
      <c r="K163" s="1"/>
      <c r="L163" s="1"/>
      <c r="AG163" s="1"/>
      <c r="BB163" s="1"/>
      <c r="BW163" s="1"/>
      <c r="CR163" s="1"/>
      <c r="DM163" s="1"/>
    </row>
    <row r="164" spans="1:117" ht="24" hidden="1" x14ac:dyDescent="0.25">
      <c r="A164" s="12" t="s">
        <v>54</v>
      </c>
      <c r="B164" s="315" t="s">
        <v>823</v>
      </c>
      <c r="C164" s="5"/>
      <c r="D164" s="4" t="s">
        <v>280</v>
      </c>
      <c r="E164" s="1032"/>
      <c r="F164" s="156">
        <f>'1.3.расчет прочих'!$L$259</f>
        <v>1.52</v>
      </c>
      <c r="G164" s="181">
        <f t="shared" si="52"/>
        <v>1.52</v>
      </c>
      <c r="H164" s="181">
        <f t="shared" si="56"/>
        <v>1.52</v>
      </c>
      <c r="I164" s="86" t="s">
        <v>466</v>
      </c>
      <c r="J164" s="87"/>
      <c r="K164" s="1"/>
      <c r="L164" s="1"/>
      <c r="AG164" s="1"/>
      <c r="BB164" s="1"/>
      <c r="BW164" s="1"/>
      <c r="CR164" s="1"/>
      <c r="DM164" s="1"/>
    </row>
    <row r="165" spans="1:117" ht="24" hidden="1" x14ac:dyDescent="0.25">
      <c r="A165" s="12" t="s">
        <v>55</v>
      </c>
      <c r="B165" s="315" t="s">
        <v>816</v>
      </c>
      <c r="C165" s="5"/>
      <c r="D165" s="4" t="s">
        <v>280</v>
      </c>
      <c r="E165" s="1032"/>
      <c r="F165" s="156">
        <f>'1.3.расчет прочих'!$L$259</f>
        <v>1.52</v>
      </c>
      <c r="G165" s="181">
        <f t="shared" si="52"/>
        <v>1.52</v>
      </c>
      <c r="H165" s="181">
        <f t="shared" si="56"/>
        <v>1.52</v>
      </c>
      <c r="I165" s="86" t="s">
        <v>466</v>
      </c>
      <c r="J165" s="87"/>
      <c r="K165" s="1"/>
      <c r="L165" s="1"/>
      <c r="AG165" s="1"/>
      <c r="BB165" s="1"/>
      <c r="BW165" s="1"/>
      <c r="CR165" s="1"/>
      <c r="DM165" s="1"/>
    </row>
    <row r="166" spans="1:117" ht="24" hidden="1" x14ac:dyDescent="0.25">
      <c r="A166" s="12" t="s">
        <v>56</v>
      </c>
      <c r="B166" s="315" t="s">
        <v>820</v>
      </c>
      <c r="C166" s="5"/>
      <c r="D166" s="4" t="s">
        <v>280</v>
      </c>
      <c r="E166" s="1033"/>
      <c r="F166" s="156">
        <f>'1.3.расчет прочих'!$L$259</f>
        <v>1.52</v>
      </c>
      <c r="G166" s="181">
        <f t="shared" si="52"/>
        <v>1.52</v>
      </c>
      <c r="H166" s="181">
        <f t="shared" si="56"/>
        <v>1.52</v>
      </c>
      <c r="I166" s="86" t="s">
        <v>466</v>
      </c>
      <c r="J166" s="87"/>
      <c r="K166" s="1"/>
      <c r="L166" s="1"/>
      <c r="AG166" s="1"/>
      <c r="BB166" s="1"/>
      <c r="BW166" s="1"/>
      <c r="CR166" s="1"/>
      <c r="DM166" s="1"/>
    </row>
    <row r="167" spans="1:117" ht="36" hidden="1" x14ac:dyDescent="0.25">
      <c r="A167" s="396" t="s">
        <v>469</v>
      </c>
      <c r="B167" s="315" t="s">
        <v>818</v>
      </c>
      <c r="C167" s="5"/>
      <c r="D167" s="4" t="s">
        <v>280</v>
      </c>
      <c r="E167" s="848"/>
      <c r="F167" s="156">
        <f>'1.3.расчет прочих'!$L$259</f>
        <v>1.52</v>
      </c>
      <c r="G167" s="181">
        <f t="shared" ref="G167:G169" si="57">F167</f>
        <v>1.52</v>
      </c>
      <c r="H167" s="181">
        <f t="shared" ref="H167:H169" si="58">F167</f>
        <v>1.52</v>
      </c>
      <c r="I167" s="86" t="s">
        <v>466</v>
      </c>
      <c r="J167" s="87"/>
      <c r="K167" s="1"/>
      <c r="L167" s="1"/>
      <c r="AG167" s="1"/>
      <c r="BB167" s="1"/>
      <c r="BW167" s="1"/>
      <c r="CR167" s="1"/>
      <c r="DM167" s="1"/>
    </row>
    <row r="168" spans="1:117" ht="36" hidden="1" x14ac:dyDescent="0.25">
      <c r="A168" s="406" t="s">
        <v>825</v>
      </c>
      <c r="B168" s="392" t="s">
        <v>824</v>
      </c>
      <c r="C168" s="402"/>
      <c r="D168" s="4" t="s">
        <v>280</v>
      </c>
      <c r="E168" s="848"/>
      <c r="F168" s="156">
        <f>'1.3.расчет прочих'!$L$259</f>
        <v>1.52</v>
      </c>
      <c r="G168" s="181">
        <f t="shared" si="57"/>
        <v>1.52</v>
      </c>
      <c r="H168" s="181">
        <f t="shared" si="58"/>
        <v>1.52</v>
      </c>
      <c r="I168" s="86" t="s">
        <v>466</v>
      </c>
      <c r="J168" s="87"/>
      <c r="K168" s="1"/>
      <c r="L168" s="1"/>
      <c r="AG168" s="1"/>
      <c r="BB168" s="1"/>
      <c r="BW168" s="1"/>
      <c r="CR168" s="1"/>
      <c r="DM168" s="1"/>
    </row>
    <row r="169" spans="1:117" ht="36" hidden="1" x14ac:dyDescent="0.25">
      <c r="A169" s="396" t="s">
        <v>826</v>
      </c>
      <c r="B169" s="392" t="s">
        <v>821</v>
      </c>
      <c r="C169" s="402"/>
      <c r="D169" s="4" t="s">
        <v>280</v>
      </c>
      <c r="E169" s="391"/>
      <c r="F169" s="156">
        <f>'1.3.расчет прочих'!$L$259</f>
        <v>1.52</v>
      </c>
      <c r="G169" s="181">
        <f t="shared" si="57"/>
        <v>1.52</v>
      </c>
      <c r="H169" s="181">
        <f t="shared" si="58"/>
        <v>1.52</v>
      </c>
      <c r="I169" s="86" t="s">
        <v>466</v>
      </c>
      <c r="J169" s="87"/>
      <c r="K169" s="1"/>
      <c r="L169" s="1"/>
      <c r="AG169" s="1"/>
      <c r="BB169" s="1"/>
      <c r="BW169" s="1"/>
      <c r="CR169" s="1"/>
      <c r="DM169" s="1"/>
    </row>
    <row r="170" spans="1:117" hidden="1" x14ac:dyDescent="0.25">
      <c r="A170" s="17"/>
      <c r="B170" s="61"/>
      <c r="C170" s="16" t="s">
        <v>17</v>
      </c>
      <c r="D170" s="17" t="s">
        <v>18</v>
      </c>
      <c r="E170" s="17"/>
      <c r="F170" s="79"/>
      <c r="G170" s="79"/>
      <c r="H170" s="79"/>
      <c r="I170" s="94"/>
      <c r="J170" s="95"/>
      <c r="K170" s="1"/>
      <c r="L170" s="1"/>
      <c r="AG170" s="1"/>
      <c r="BB170" s="1"/>
      <c r="BW170" s="1"/>
      <c r="CR170" s="1"/>
      <c r="DM170" s="1"/>
    </row>
    <row r="171" spans="1:117" ht="24" hidden="1" x14ac:dyDescent="0.25">
      <c r="A171" s="12" t="s">
        <v>52</v>
      </c>
      <c r="B171" s="315" t="s">
        <v>822</v>
      </c>
      <c r="C171" s="5"/>
      <c r="D171" s="4" t="s">
        <v>278</v>
      </c>
      <c r="E171" s="1031" t="s">
        <v>275</v>
      </c>
      <c r="F171" s="156">
        <f>'1.3.расчет прочих'!$L$260</f>
        <v>0.24</v>
      </c>
      <c r="G171" s="181">
        <f t="shared" si="52"/>
        <v>0.24</v>
      </c>
      <c r="H171" s="181">
        <f t="shared" ref="H171:H176" si="59">F171</f>
        <v>0.24</v>
      </c>
      <c r="I171" s="86" t="s">
        <v>466</v>
      </c>
      <c r="J171" s="87"/>
      <c r="K171" s="1"/>
      <c r="L171" s="1"/>
      <c r="AG171" s="1"/>
      <c r="BB171" s="1"/>
      <c r="BW171" s="1"/>
      <c r="CR171" s="1"/>
      <c r="DM171" s="1"/>
    </row>
    <row r="172" spans="1:117" ht="24" hidden="1" x14ac:dyDescent="0.25">
      <c r="A172" s="12" t="s">
        <v>53</v>
      </c>
      <c r="B172" s="315" t="s">
        <v>819</v>
      </c>
      <c r="C172" s="5"/>
      <c r="D172" s="4" t="s">
        <v>278</v>
      </c>
      <c r="E172" s="1032"/>
      <c r="F172" s="156">
        <f>'1.3.расчет прочих'!$L$260</f>
        <v>0.24</v>
      </c>
      <c r="G172" s="181">
        <f t="shared" si="52"/>
        <v>0.24</v>
      </c>
      <c r="H172" s="181">
        <f t="shared" si="59"/>
        <v>0.24</v>
      </c>
      <c r="I172" s="86" t="s">
        <v>466</v>
      </c>
      <c r="J172" s="87"/>
      <c r="K172" s="1"/>
      <c r="L172" s="1"/>
      <c r="AG172" s="1"/>
      <c r="BB172" s="1"/>
      <c r="BW172" s="1"/>
      <c r="CR172" s="1"/>
      <c r="DM172" s="1"/>
    </row>
    <row r="173" spans="1:117" ht="24" hidden="1" x14ac:dyDescent="0.25">
      <c r="A173" s="12" t="s">
        <v>51</v>
      </c>
      <c r="B173" s="315" t="s">
        <v>817</v>
      </c>
      <c r="C173" s="5"/>
      <c r="D173" s="4" t="s">
        <v>278</v>
      </c>
      <c r="E173" s="1032"/>
      <c r="F173" s="156">
        <f>'1.3.расчет прочих'!$L$260</f>
        <v>0.24</v>
      </c>
      <c r="G173" s="181">
        <f t="shared" si="52"/>
        <v>0.24</v>
      </c>
      <c r="H173" s="181">
        <f t="shared" si="59"/>
        <v>0.24</v>
      </c>
      <c r="I173" s="86" t="s">
        <v>466</v>
      </c>
      <c r="J173" s="87"/>
      <c r="K173" s="1"/>
      <c r="L173" s="1"/>
      <c r="AG173" s="1"/>
      <c r="BB173" s="1"/>
      <c r="BW173" s="1"/>
      <c r="CR173" s="1"/>
      <c r="DM173" s="1"/>
    </row>
    <row r="174" spans="1:117" ht="24" hidden="1" x14ac:dyDescent="0.25">
      <c r="A174" s="12" t="s">
        <v>54</v>
      </c>
      <c r="B174" s="315" t="s">
        <v>823</v>
      </c>
      <c r="C174" s="5"/>
      <c r="D174" s="4" t="s">
        <v>278</v>
      </c>
      <c r="E174" s="1032"/>
      <c r="F174" s="156">
        <f>'1.3.расчет прочих'!$L$260</f>
        <v>0.24</v>
      </c>
      <c r="G174" s="181">
        <f t="shared" si="52"/>
        <v>0.24</v>
      </c>
      <c r="H174" s="181">
        <f t="shared" si="59"/>
        <v>0.24</v>
      </c>
      <c r="I174" s="86" t="s">
        <v>466</v>
      </c>
      <c r="J174" s="87"/>
      <c r="K174" s="1"/>
      <c r="L174" s="1"/>
      <c r="AG174" s="1"/>
      <c r="BB174" s="1"/>
      <c r="BW174" s="1"/>
      <c r="CR174" s="1"/>
      <c r="DM174" s="1"/>
    </row>
    <row r="175" spans="1:117" ht="24" hidden="1" x14ac:dyDescent="0.25">
      <c r="A175" s="12" t="s">
        <v>55</v>
      </c>
      <c r="B175" s="315" t="s">
        <v>816</v>
      </c>
      <c r="C175" s="5"/>
      <c r="D175" s="4" t="s">
        <v>278</v>
      </c>
      <c r="E175" s="1032"/>
      <c r="F175" s="156">
        <f>'1.3.расчет прочих'!$L$260</f>
        <v>0.24</v>
      </c>
      <c r="G175" s="181">
        <f t="shared" si="52"/>
        <v>0.24</v>
      </c>
      <c r="H175" s="181">
        <f t="shared" si="59"/>
        <v>0.24</v>
      </c>
      <c r="I175" s="86" t="s">
        <v>466</v>
      </c>
      <c r="J175" s="87"/>
      <c r="K175" s="1"/>
      <c r="L175" s="1"/>
      <c r="AG175" s="1"/>
      <c r="BB175" s="1"/>
      <c r="BW175" s="1"/>
      <c r="CR175" s="1"/>
      <c r="DM175" s="1"/>
    </row>
    <row r="176" spans="1:117" ht="24" hidden="1" x14ac:dyDescent="0.25">
      <c r="A176" s="12" t="s">
        <v>56</v>
      </c>
      <c r="B176" s="315" t="s">
        <v>820</v>
      </c>
      <c r="C176" s="5"/>
      <c r="D176" s="4" t="s">
        <v>278</v>
      </c>
      <c r="E176" s="1033"/>
      <c r="F176" s="156">
        <f>'1.3.расчет прочих'!$L$260</f>
        <v>0.24</v>
      </c>
      <c r="G176" s="181">
        <f t="shared" si="52"/>
        <v>0.24</v>
      </c>
      <c r="H176" s="181">
        <f t="shared" si="59"/>
        <v>0.24</v>
      </c>
      <c r="I176" s="86" t="s">
        <v>466</v>
      </c>
      <c r="J176" s="87"/>
      <c r="K176" s="1"/>
      <c r="L176" s="1"/>
      <c r="AG176" s="1"/>
      <c r="BB176" s="1"/>
      <c r="BW176" s="1"/>
      <c r="CR176" s="1"/>
      <c r="DM176" s="1"/>
    </row>
    <row r="177" spans="1:117" ht="36" hidden="1" x14ac:dyDescent="0.25">
      <c r="A177" s="396" t="s">
        <v>469</v>
      </c>
      <c r="B177" s="315" t="s">
        <v>818</v>
      </c>
      <c r="C177" s="5"/>
      <c r="D177" s="4" t="s">
        <v>278</v>
      </c>
      <c r="E177" s="848"/>
      <c r="F177" s="156">
        <f>'1.3.расчет прочих'!$L$260</f>
        <v>0.24</v>
      </c>
      <c r="G177" s="181">
        <f t="shared" ref="G177:G179" si="60">F177</f>
        <v>0.24</v>
      </c>
      <c r="H177" s="181">
        <f t="shared" ref="H177:H179" si="61">F177</f>
        <v>0.24</v>
      </c>
      <c r="I177" s="86" t="s">
        <v>466</v>
      </c>
      <c r="J177" s="87"/>
      <c r="K177" s="1"/>
      <c r="L177" s="1"/>
      <c r="AG177" s="1"/>
      <c r="BB177" s="1"/>
      <c r="BW177" s="1"/>
      <c r="CR177" s="1"/>
      <c r="DM177" s="1"/>
    </row>
    <row r="178" spans="1:117" ht="36" hidden="1" x14ac:dyDescent="0.25">
      <c r="A178" s="406" t="s">
        <v>825</v>
      </c>
      <c r="B178" s="392" t="s">
        <v>824</v>
      </c>
      <c r="C178" s="402"/>
      <c r="D178" s="4" t="s">
        <v>278</v>
      </c>
      <c r="E178" s="848"/>
      <c r="F178" s="156">
        <f>'1.3.расчет прочих'!$L$260</f>
        <v>0.24</v>
      </c>
      <c r="G178" s="181">
        <f t="shared" si="60"/>
        <v>0.24</v>
      </c>
      <c r="H178" s="181">
        <f t="shared" si="61"/>
        <v>0.24</v>
      </c>
      <c r="I178" s="86" t="s">
        <v>466</v>
      </c>
      <c r="J178" s="87"/>
      <c r="K178" s="1"/>
      <c r="L178" s="1"/>
      <c r="AG178" s="1"/>
      <c r="BB178" s="1"/>
      <c r="BW178" s="1"/>
      <c r="CR178" s="1"/>
      <c r="DM178" s="1"/>
    </row>
    <row r="179" spans="1:117" ht="36" hidden="1" x14ac:dyDescent="0.25">
      <c r="A179" s="396" t="s">
        <v>826</v>
      </c>
      <c r="B179" s="392" t="s">
        <v>821</v>
      </c>
      <c r="C179" s="402"/>
      <c r="D179" s="4" t="s">
        <v>278</v>
      </c>
      <c r="E179" s="391"/>
      <c r="F179" s="156">
        <f>'1.3.расчет прочих'!$L$260</f>
        <v>0.24</v>
      </c>
      <c r="G179" s="181">
        <f t="shared" si="60"/>
        <v>0.24</v>
      </c>
      <c r="H179" s="181">
        <f t="shared" si="61"/>
        <v>0.24</v>
      </c>
      <c r="I179" s="86" t="s">
        <v>466</v>
      </c>
      <c r="J179" s="87"/>
      <c r="K179" s="1"/>
      <c r="L179" s="1"/>
      <c r="AG179" s="1"/>
      <c r="BB179" s="1"/>
      <c r="BW179" s="1"/>
      <c r="CR179" s="1"/>
      <c r="DM179" s="1"/>
    </row>
    <row r="180" spans="1:117" hidden="1" x14ac:dyDescent="0.25">
      <c r="A180" s="17"/>
      <c r="B180" s="61"/>
      <c r="C180" s="16" t="s">
        <v>19</v>
      </c>
      <c r="D180" s="17" t="s">
        <v>20</v>
      </c>
      <c r="E180" s="17"/>
      <c r="F180" s="79"/>
      <c r="G180" s="79"/>
      <c r="H180" s="79"/>
      <c r="I180" s="94"/>
      <c r="J180" s="95"/>
      <c r="K180" s="1"/>
      <c r="L180" s="1"/>
      <c r="AG180" s="1"/>
      <c r="BB180" s="1"/>
      <c r="BW180" s="1"/>
      <c r="CR180" s="1"/>
      <c r="DM180" s="1"/>
    </row>
    <row r="181" spans="1:117" ht="24" hidden="1" x14ac:dyDescent="0.25">
      <c r="A181" s="12" t="s">
        <v>52</v>
      </c>
      <c r="B181" s="315" t="s">
        <v>822</v>
      </c>
      <c r="C181" s="5"/>
      <c r="D181" s="4" t="s">
        <v>279</v>
      </c>
      <c r="E181" s="157" t="s">
        <v>276</v>
      </c>
      <c r="F181" s="156"/>
      <c r="G181" s="156"/>
      <c r="H181" s="156"/>
      <c r="I181" s="90"/>
      <c r="J181" s="91"/>
      <c r="K181" s="1"/>
      <c r="L181" s="1"/>
      <c r="AG181" s="1"/>
      <c r="BB181" s="1"/>
      <c r="BW181" s="1"/>
      <c r="CR181" s="1"/>
      <c r="DM181" s="1"/>
    </row>
    <row r="182" spans="1:117" ht="24" hidden="1" x14ac:dyDescent="0.25">
      <c r="A182" s="12" t="s">
        <v>53</v>
      </c>
      <c r="B182" s="315" t="s">
        <v>819</v>
      </c>
      <c r="C182" s="5"/>
      <c r="D182" s="4" t="s">
        <v>279</v>
      </c>
      <c r="E182" s="157" t="s">
        <v>276</v>
      </c>
      <c r="F182" s="156"/>
      <c r="G182" s="156"/>
      <c r="H182" s="156"/>
      <c r="I182" s="90"/>
      <c r="J182" s="91"/>
      <c r="K182" s="1"/>
      <c r="L182" s="1"/>
      <c r="AG182" s="1"/>
      <c r="BB182" s="1"/>
      <c r="BW182" s="1"/>
      <c r="CR182" s="1"/>
      <c r="DM182" s="1"/>
    </row>
    <row r="183" spans="1:117" ht="24" hidden="1" x14ac:dyDescent="0.25">
      <c r="A183" s="12" t="s">
        <v>51</v>
      </c>
      <c r="B183" s="315" t="s">
        <v>817</v>
      </c>
      <c r="C183" s="5"/>
      <c r="D183" s="4" t="s">
        <v>279</v>
      </c>
      <c r="E183" s="157" t="s">
        <v>276</v>
      </c>
      <c r="F183" s="156"/>
      <c r="G183" s="156"/>
      <c r="H183" s="156"/>
      <c r="I183" s="90"/>
      <c r="J183" s="91"/>
      <c r="K183" s="1"/>
      <c r="L183" s="1"/>
      <c r="AG183" s="1"/>
      <c r="BB183" s="1"/>
      <c r="BW183" s="1"/>
      <c r="CR183" s="1"/>
      <c r="DM183" s="1"/>
    </row>
    <row r="184" spans="1:117" ht="24" hidden="1" x14ac:dyDescent="0.25">
      <c r="A184" s="12" t="s">
        <v>54</v>
      </c>
      <c r="B184" s="315" t="s">
        <v>823</v>
      </c>
      <c r="C184" s="5"/>
      <c r="D184" s="4" t="s">
        <v>279</v>
      </c>
      <c r="E184" s="157" t="s">
        <v>276</v>
      </c>
      <c r="F184" s="156"/>
      <c r="G184" s="156"/>
      <c r="H184" s="156"/>
      <c r="I184" s="90"/>
      <c r="J184" s="91"/>
      <c r="K184" s="1"/>
      <c r="L184" s="1"/>
      <c r="AG184" s="1"/>
      <c r="BB184" s="1"/>
      <c r="BW184" s="1"/>
      <c r="CR184" s="1"/>
      <c r="DM184" s="1"/>
    </row>
    <row r="185" spans="1:117" ht="24" hidden="1" x14ac:dyDescent="0.25">
      <c r="A185" s="12" t="s">
        <v>55</v>
      </c>
      <c r="B185" s="315" t="s">
        <v>816</v>
      </c>
      <c r="C185" s="5"/>
      <c r="D185" s="4" t="s">
        <v>279</v>
      </c>
      <c r="E185" s="157" t="s">
        <v>276</v>
      </c>
      <c r="F185" s="156"/>
      <c r="G185" s="156"/>
      <c r="H185" s="156"/>
      <c r="I185" s="90"/>
      <c r="J185" s="91"/>
      <c r="K185" s="1"/>
      <c r="L185" s="1"/>
      <c r="AG185" s="1"/>
      <c r="BB185" s="1"/>
      <c r="BW185" s="1"/>
      <c r="CR185" s="1"/>
      <c r="DM185" s="1"/>
    </row>
    <row r="186" spans="1:117" ht="24" hidden="1" x14ac:dyDescent="0.25">
      <c r="A186" s="12" t="s">
        <v>56</v>
      </c>
      <c r="B186" s="315" t="s">
        <v>820</v>
      </c>
      <c r="C186" s="5"/>
      <c r="D186" s="4" t="s">
        <v>279</v>
      </c>
      <c r="E186" s="157" t="s">
        <v>276</v>
      </c>
      <c r="F186" s="156"/>
      <c r="G186" s="156"/>
      <c r="H186" s="156"/>
      <c r="I186" s="90"/>
      <c r="J186" s="91"/>
      <c r="K186" s="1"/>
      <c r="L186" s="1"/>
      <c r="AG186" s="1"/>
      <c r="BB186" s="1"/>
      <c r="BW186" s="1"/>
      <c r="CR186" s="1"/>
      <c r="DM186" s="1"/>
    </row>
    <row r="187" spans="1:117" ht="36" hidden="1" x14ac:dyDescent="0.25">
      <c r="A187" s="396" t="s">
        <v>469</v>
      </c>
      <c r="B187" s="315" t="s">
        <v>818</v>
      </c>
      <c r="C187" s="5"/>
      <c r="D187" s="4" t="s">
        <v>279</v>
      </c>
      <c r="E187" s="157" t="s">
        <v>276</v>
      </c>
      <c r="F187" s="156"/>
      <c r="G187" s="156"/>
      <c r="H187" s="156"/>
      <c r="I187" s="90"/>
      <c r="J187" s="91"/>
      <c r="K187" s="1"/>
      <c r="L187" s="1"/>
      <c r="AG187" s="1"/>
      <c r="BB187" s="1"/>
      <c r="BW187" s="1"/>
      <c r="CR187" s="1"/>
      <c r="DM187" s="1"/>
    </row>
    <row r="188" spans="1:117" ht="36" hidden="1" x14ac:dyDescent="0.25">
      <c r="A188" s="406" t="s">
        <v>825</v>
      </c>
      <c r="B188" s="392" t="s">
        <v>824</v>
      </c>
      <c r="C188" s="402"/>
      <c r="D188" s="4" t="s">
        <v>279</v>
      </c>
      <c r="E188" s="157" t="s">
        <v>276</v>
      </c>
      <c r="F188" s="397"/>
      <c r="G188" s="397"/>
      <c r="H188" s="397"/>
      <c r="I188" s="400"/>
      <c r="J188" s="401"/>
      <c r="K188" s="1"/>
      <c r="L188" s="1"/>
      <c r="AG188" s="1"/>
      <c r="BB188" s="1"/>
      <c r="BW188" s="1"/>
      <c r="CR188" s="1"/>
      <c r="DM188" s="1"/>
    </row>
    <row r="189" spans="1:117" ht="36" hidden="1" x14ac:dyDescent="0.25">
      <c r="A189" s="396" t="s">
        <v>826</v>
      </c>
      <c r="B189" s="392" t="s">
        <v>821</v>
      </c>
      <c r="C189" s="402"/>
      <c r="D189" s="4" t="s">
        <v>279</v>
      </c>
      <c r="E189" s="157" t="s">
        <v>276</v>
      </c>
      <c r="F189" s="397"/>
      <c r="G189" s="397"/>
      <c r="H189" s="397"/>
      <c r="I189" s="400"/>
      <c r="J189" s="401"/>
      <c r="K189" s="1"/>
      <c r="L189" s="1"/>
      <c r="AG189" s="1"/>
      <c r="BB189" s="1"/>
      <c r="BW189" s="1"/>
      <c r="CR189" s="1"/>
      <c r="DM189" s="1"/>
    </row>
    <row r="190" spans="1:117" ht="36" hidden="1" x14ac:dyDescent="0.25">
      <c r="A190" s="17"/>
      <c r="B190" s="61"/>
      <c r="C190" s="16" t="s">
        <v>21</v>
      </c>
      <c r="D190" s="17" t="s">
        <v>24</v>
      </c>
      <c r="E190" s="17"/>
      <c r="F190" s="79"/>
      <c r="G190" s="79"/>
      <c r="H190" s="79"/>
      <c r="I190" s="94"/>
      <c r="J190" s="95"/>
      <c r="K190" s="1"/>
      <c r="L190" s="1"/>
      <c r="AG190" s="1"/>
      <c r="BB190" s="1"/>
      <c r="BW190" s="1"/>
      <c r="CR190" s="1"/>
      <c r="DM190" s="1"/>
    </row>
    <row r="191" spans="1:117" ht="48" hidden="1" x14ac:dyDescent="0.25">
      <c r="A191" s="12" t="s">
        <v>52</v>
      </c>
      <c r="B191" s="315" t="s">
        <v>822</v>
      </c>
      <c r="C191" s="5"/>
      <c r="D191" s="4" t="s">
        <v>291</v>
      </c>
      <c r="E191" s="156">
        <f>'1.1. фот ПП,АУП,ОП (2024)'!HP13</f>
        <v>174.24</v>
      </c>
      <c r="F191" s="156">
        <f>'1.1. фот ПП,АУП,ОП (2024)'!GI13</f>
        <v>4.54</v>
      </c>
      <c r="G191" s="156">
        <f>'1.1. фот ПП,АУП,ОП (2025)'!GI13</f>
        <v>4.72</v>
      </c>
      <c r="H191" s="156">
        <f>'1.1. фот ПП,АУП,ОП (2026)'!GI13</f>
        <v>4.91</v>
      </c>
      <c r="I191" s="86" t="s">
        <v>462</v>
      </c>
      <c r="J191" s="87"/>
      <c r="K191" s="1"/>
      <c r="L191" s="1"/>
      <c r="AG191" s="1"/>
      <c r="BB191" s="1"/>
      <c r="BW191" s="1"/>
      <c r="CR191" s="1"/>
      <c r="DM191" s="1"/>
    </row>
    <row r="192" spans="1:117" ht="48" hidden="1" x14ac:dyDescent="0.25">
      <c r="A192" s="12" t="s">
        <v>53</v>
      </c>
      <c r="B192" s="315" t="s">
        <v>819</v>
      </c>
      <c r="C192" s="5"/>
      <c r="D192" s="4" t="s">
        <v>291</v>
      </c>
      <c r="E192" s="156">
        <f>'1.1. фот ПП,АУП,ОП (2024)'!HP14</f>
        <v>145.62</v>
      </c>
      <c r="F192" s="156">
        <f>'1.1. фот ПП,АУП,ОП (2024)'!GI14</f>
        <v>2.62</v>
      </c>
      <c r="G192" s="156">
        <f>'1.1. фот ПП,АУП,ОП (2025)'!GI14</f>
        <v>2.72</v>
      </c>
      <c r="H192" s="156">
        <f>'1.1. фот ПП,АУП,ОП (2026)'!GI14</f>
        <v>2.83</v>
      </c>
      <c r="I192" s="86" t="s">
        <v>462</v>
      </c>
      <c r="J192" s="87"/>
      <c r="K192" s="1"/>
      <c r="L192" s="1"/>
      <c r="AG192" s="1"/>
      <c r="BB192" s="1"/>
      <c r="BW192" s="1"/>
      <c r="CR192" s="1"/>
      <c r="DM192" s="1"/>
    </row>
    <row r="193" spans="1:117" ht="48" hidden="1" x14ac:dyDescent="0.25">
      <c r="A193" s="12" t="s">
        <v>51</v>
      </c>
      <c r="B193" s="315" t="s">
        <v>817</v>
      </c>
      <c r="C193" s="5"/>
      <c r="D193" s="4" t="s">
        <v>291</v>
      </c>
      <c r="E193" s="156">
        <f>'1.1. фот ПП,АУП,ОП (2024)'!HP15</f>
        <v>174.42</v>
      </c>
      <c r="F193" s="156">
        <f>'1.1. фот ПП,АУП,ОП (2024)'!GI15</f>
        <v>4.54</v>
      </c>
      <c r="G193" s="156">
        <f>'1.1. фот ПП,АУП,ОП (2025)'!GI15</f>
        <v>4.72</v>
      </c>
      <c r="H193" s="156">
        <f>'1.1. фот ПП,АУП,ОП (2026)'!GI15</f>
        <v>4.91</v>
      </c>
      <c r="I193" s="86" t="s">
        <v>462</v>
      </c>
      <c r="J193" s="87"/>
      <c r="K193" s="1"/>
      <c r="L193" s="1"/>
      <c r="AG193" s="1"/>
      <c r="BB193" s="1"/>
      <c r="BW193" s="1"/>
      <c r="CR193" s="1"/>
      <c r="DM193" s="1"/>
    </row>
    <row r="194" spans="1:117" ht="48" hidden="1" x14ac:dyDescent="0.25">
      <c r="A194" s="12" t="s">
        <v>54</v>
      </c>
      <c r="B194" s="315" t="s">
        <v>823</v>
      </c>
      <c r="C194" s="5"/>
      <c r="D194" s="4" t="s">
        <v>291</v>
      </c>
      <c r="E194" s="156">
        <f>'1.1. фот ПП,АУП,ОП (2024)'!HP19</f>
        <v>865.26</v>
      </c>
      <c r="F194" s="156">
        <f>'1.1. фот ПП,АУП,ОП (2024)'!GI19</f>
        <v>6.29</v>
      </c>
      <c r="G194" s="156">
        <f>'1.1. фот ПП,АУП,ОП (2025)'!GI19</f>
        <v>6.54</v>
      </c>
      <c r="H194" s="156">
        <f>'1.1. фот ПП,АУП,ОП (2026)'!GI19</f>
        <v>6.81</v>
      </c>
      <c r="I194" s="86" t="s">
        <v>462</v>
      </c>
      <c r="J194" s="87"/>
      <c r="K194" s="1"/>
      <c r="L194" s="1"/>
      <c r="AG194" s="1"/>
      <c r="BB194" s="1"/>
      <c r="BW194" s="1"/>
      <c r="CR194" s="1"/>
      <c r="DM194" s="1"/>
    </row>
    <row r="195" spans="1:117" ht="48" hidden="1" x14ac:dyDescent="0.25">
      <c r="A195" s="12" t="s">
        <v>55</v>
      </c>
      <c r="B195" s="315" t="s">
        <v>816</v>
      </c>
      <c r="C195" s="5"/>
      <c r="D195" s="4" t="s">
        <v>291</v>
      </c>
      <c r="E195" s="156">
        <f>'1.1. фот ПП,АУП,ОП (2024)'!HP20</f>
        <v>282.95999999999998</v>
      </c>
      <c r="F195" s="156">
        <f>'1.1. фот ПП,АУП,ОП (2024)'!GI20</f>
        <v>7.36</v>
      </c>
      <c r="G195" s="156">
        <f>'1.1. фот ПП,АУП,ОП (2025)'!GI20</f>
        <v>7.66</v>
      </c>
      <c r="H195" s="156">
        <f>'1.1. фот ПП,АУП,ОП (2026)'!GI20</f>
        <v>7.97</v>
      </c>
      <c r="I195" s="86" t="s">
        <v>462</v>
      </c>
      <c r="J195" s="87"/>
      <c r="K195" s="1"/>
      <c r="L195" s="1"/>
      <c r="AG195" s="1"/>
      <c r="BB195" s="1"/>
      <c r="BW195" s="1"/>
      <c r="CR195" s="1"/>
      <c r="DM195" s="1"/>
    </row>
    <row r="196" spans="1:117" ht="48" hidden="1" x14ac:dyDescent="0.25">
      <c r="A196" s="12" t="s">
        <v>56</v>
      </c>
      <c r="B196" s="315" t="s">
        <v>820</v>
      </c>
      <c r="C196" s="5"/>
      <c r="D196" s="4" t="s">
        <v>291</v>
      </c>
      <c r="E196" s="156">
        <f>'1.1. фот ПП,АУП,ОП (2024)'!HP21</f>
        <v>270.72000000000003</v>
      </c>
      <c r="F196" s="156">
        <f>'1.1. фот ПП,АУП,ОП (2024)'!GI21</f>
        <v>3.73</v>
      </c>
      <c r="G196" s="156">
        <f>'1.1. фот ПП,АУП,ОП (2025)'!GI21</f>
        <v>3.88</v>
      </c>
      <c r="H196" s="156">
        <f>'1.1. фот ПП,АУП,ОП (2026)'!GI21</f>
        <v>4.04</v>
      </c>
      <c r="I196" s="86" t="s">
        <v>462</v>
      </c>
      <c r="J196" s="87"/>
      <c r="K196" s="1"/>
      <c r="L196" s="1"/>
      <c r="AG196" s="1"/>
      <c r="BB196" s="1"/>
      <c r="BW196" s="1"/>
      <c r="CR196" s="1"/>
      <c r="DM196" s="1"/>
    </row>
    <row r="197" spans="1:117" ht="48" hidden="1" x14ac:dyDescent="0.25">
      <c r="A197" s="396" t="s">
        <v>469</v>
      </c>
      <c r="B197" s="315" t="s">
        <v>818</v>
      </c>
      <c r="C197" s="5"/>
      <c r="D197" s="4" t="s">
        <v>291</v>
      </c>
      <c r="E197" s="156">
        <f>'1.1. фот ПП,АУП,ОП (2024)'!HP22</f>
        <v>9.9</v>
      </c>
      <c r="F197" s="156">
        <f>'1.1. фот ПП,АУП,ОП (2024)'!GI22</f>
        <v>3.24</v>
      </c>
      <c r="G197" s="156">
        <f>'1.1. фот ПП,АУП,ОП (2025)'!GI22</f>
        <v>3.37</v>
      </c>
      <c r="H197" s="156">
        <f>'1.1. фот ПП,АУП,ОП (2026)'!GI22</f>
        <v>3.5</v>
      </c>
      <c r="I197" s="86" t="s">
        <v>462</v>
      </c>
      <c r="J197" s="87"/>
      <c r="K197" s="1"/>
      <c r="L197" s="1"/>
      <c r="AG197" s="1"/>
      <c r="BB197" s="1"/>
      <c r="BW197" s="1"/>
      <c r="CR197" s="1"/>
      <c r="DM197" s="1"/>
    </row>
    <row r="198" spans="1:117" ht="48" hidden="1" x14ac:dyDescent="0.25">
      <c r="A198" s="406" t="s">
        <v>825</v>
      </c>
      <c r="B198" s="392" t="s">
        <v>824</v>
      </c>
      <c r="C198" s="402"/>
      <c r="D198" s="4" t="s">
        <v>291</v>
      </c>
      <c r="E198" s="156">
        <f>'1.1. фот ПП,АУП,ОП (2024)'!HP23</f>
        <v>27.9</v>
      </c>
      <c r="F198" s="156">
        <f>'1.1. фот ПП,АУП,ОП (2024)'!GI23</f>
        <v>23.72</v>
      </c>
      <c r="G198" s="156">
        <f>'1.1. фот ПП,АУП,ОП (2025)'!GI23</f>
        <v>24.67</v>
      </c>
      <c r="H198" s="156">
        <f>'1.1. фот ПП,АУП,ОП (2026)'!GI23</f>
        <v>25.66</v>
      </c>
      <c r="I198" s="86" t="s">
        <v>462</v>
      </c>
      <c r="J198" s="87"/>
      <c r="K198" s="1"/>
      <c r="L198" s="1"/>
      <c r="AG198" s="1"/>
      <c r="BB198" s="1"/>
      <c r="BW198" s="1"/>
      <c r="CR198" s="1"/>
      <c r="DM198" s="1"/>
    </row>
    <row r="199" spans="1:117" ht="48" hidden="1" x14ac:dyDescent="0.25">
      <c r="A199" s="396" t="s">
        <v>826</v>
      </c>
      <c r="B199" s="392" t="s">
        <v>821</v>
      </c>
      <c r="C199" s="402"/>
      <c r="D199" s="4" t="s">
        <v>291</v>
      </c>
      <c r="E199" s="156">
        <f>'1.1. фот ПП,АУП,ОП (2024)'!HP24</f>
        <v>19.079999999999998</v>
      </c>
      <c r="F199" s="156">
        <f>'1.1. фот ПП,АУП,ОП (2024)'!GI24</f>
        <v>8.11</v>
      </c>
      <c r="G199" s="156">
        <f>'1.1. фот ПП,АУП,ОП (2025)'!GI24</f>
        <v>8.43</v>
      </c>
      <c r="H199" s="156">
        <f>'1.1. фот ПП,АУП,ОП (2026)'!GI24</f>
        <v>8.77</v>
      </c>
      <c r="I199" s="86" t="s">
        <v>462</v>
      </c>
      <c r="J199" s="87"/>
      <c r="K199" s="1"/>
      <c r="L199" s="1"/>
      <c r="AG199" s="1"/>
      <c r="BB199" s="1"/>
      <c r="BW199" s="1"/>
      <c r="CR199" s="1"/>
      <c r="DM199" s="1"/>
    </row>
    <row r="200" spans="1:117" hidden="1" x14ac:dyDescent="0.25">
      <c r="A200" s="17"/>
      <c r="B200" s="61"/>
      <c r="C200" s="16" t="s">
        <v>22</v>
      </c>
      <c r="D200" s="17" t="s">
        <v>23</v>
      </c>
      <c r="E200" s="17"/>
      <c r="F200" s="79"/>
      <c r="G200" s="79"/>
      <c r="H200" s="79"/>
      <c r="I200" s="94"/>
      <c r="J200" s="95"/>
      <c r="K200" s="1"/>
      <c r="L200" s="1"/>
      <c r="AG200" s="1"/>
      <c r="BB200" s="1"/>
      <c r="BW200" s="1"/>
      <c r="CR200" s="1"/>
      <c r="DM200" s="1"/>
    </row>
    <row r="201" spans="1:117" ht="24" hidden="1" x14ac:dyDescent="0.25">
      <c r="A201" s="12" t="s">
        <v>52</v>
      </c>
      <c r="B201" s="315" t="s">
        <v>822</v>
      </c>
      <c r="C201" s="5"/>
      <c r="D201" s="4" t="s">
        <v>277</v>
      </c>
      <c r="E201" s="1031" t="s">
        <v>275</v>
      </c>
      <c r="F201" s="156">
        <f>'1.3.расчет прочих'!$L$263</f>
        <v>2.77</v>
      </c>
      <c r="G201" s="181">
        <f t="shared" ref="G201:G206" si="62">F201</f>
        <v>2.77</v>
      </c>
      <c r="H201" s="181">
        <f t="shared" ref="H201:H206" si="63">F201</f>
        <v>2.77</v>
      </c>
      <c r="I201" s="86" t="s">
        <v>466</v>
      </c>
      <c r="J201" s="87"/>
      <c r="K201" s="1"/>
      <c r="L201" s="1"/>
      <c r="AG201" s="1"/>
      <c r="BB201" s="1"/>
      <c r="BW201" s="1"/>
      <c r="CR201" s="1"/>
      <c r="DM201" s="1"/>
    </row>
    <row r="202" spans="1:117" ht="24" hidden="1" x14ac:dyDescent="0.25">
      <c r="A202" s="12" t="s">
        <v>53</v>
      </c>
      <c r="B202" s="315" t="s">
        <v>819</v>
      </c>
      <c r="C202" s="5"/>
      <c r="D202" s="4" t="s">
        <v>277</v>
      </c>
      <c r="E202" s="1032"/>
      <c r="F202" s="156">
        <f>'1.3.расчет прочих'!$L$263</f>
        <v>2.77</v>
      </c>
      <c r="G202" s="181">
        <f t="shared" si="62"/>
        <v>2.77</v>
      </c>
      <c r="H202" s="181">
        <f t="shared" si="63"/>
        <v>2.77</v>
      </c>
      <c r="I202" s="86" t="s">
        <v>466</v>
      </c>
      <c r="J202" s="87"/>
      <c r="K202" s="1"/>
      <c r="L202" s="1"/>
      <c r="AG202" s="1"/>
      <c r="BB202" s="1"/>
      <c r="BW202" s="1"/>
      <c r="CR202" s="1"/>
      <c r="DM202" s="1"/>
    </row>
    <row r="203" spans="1:117" ht="24" hidden="1" x14ac:dyDescent="0.25">
      <c r="A203" s="12" t="s">
        <v>51</v>
      </c>
      <c r="B203" s="315" t="s">
        <v>817</v>
      </c>
      <c r="C203" s="5"/>
      <c r="D203" s="4" t="s">
        <v>277</v>
      </c>
      <c r="E203" s="1032"/>
      <c r="F203" s="156">
        <f>'1.3.расчет прочих'!$L$263</f>
        <v>2.77</v>
      </c>
      <c r="G203" s="181">
        <f t="shared" si="62"/>
        <v>2.77</v>
      </c>
      <c r="H203" s="181">
        <f t="shared" si="63"/>
        <v>2.77</v>
      </c>
      <c r="I203" s="86" t="s">
        <v>466</v>
      </c>
      <c r="J203" s="87"/>
      <c r="K203" s="1"/>
      <c r="L203" s="1"/>
      <c r="AG203" s="1"/>
      <c r="BB203" s="1"/>
      <c r="BW203" s="1"/>
      <c r="CR203" s="1"/>
      <c r="DM203" s="1"/>
    </row>
    <row r="204" spans="1:117" ht="24" hidden="1" x14ac:dyDescent="0.25">
      <c r="A204" s="12" t="s">
        <v>54</v>
      </c>
      <c r="B204" s="315" t="s">
        <v>823</v>
      </c>
      <c r="C204" s="5"/>
      <c r="D204" s="4" t="s">
        <v>277</v>
      </c>
      <c r="E204" s="1032"/>
      <c r="F204" s="156">
        <f>'1.3.расчет прочих'!$L$263</f>
        <v>2.77</v>
      </c>
      <c r="G204" s="181">
        <f t="shared" si="62"/>
        <v>2.77</v>
      </c>
      <c r="H204" s="181">
        <f t="shared" si="63"/>
        <v>2.77</v>
      </c>
      <c r="I204" s="86" t="s">
        <v>466</v>
      </c>
      <c r="J204" s="87"/>
      <c r="K204" s="1"/>
      <c r="L204" s="1"/>
      <c r="AG204" s="1"/>
      <c r="BB204" s="1"/>
      <c r="BW204" s="1"/>
      <c r="CR204" s="1"/>
      <c r="DM204" s="1"/>
    </row>
    <row r="205" spans="1:117" ht="24" hidden="1" x14ac:dyDescent="0.25">
      <c r="A205" s="12" t="s">
        <v>55</v>
      </c>
      <c r="B205" s="315" t="s">
        <v>816</v>
      </c>
      <c r="C205" s="5"/>
      <c r="D205" s="4" t="s">
        <v>277</v>
      </c>
      <c r="E205" s="1032"/>
      <c r="F205" s="156">
        <f>'1.3.расчет прочих'!$L$263</f>
        <v>2.77</v>
      </c>
      <c r="G205" s="181">
        <f t="shared" si="62"/>
        <v>2.77</v>
      </c>
      <c r="H205" s="181">
        <f t="shared" si="63"/>
        <v>2.77</v>
      </c>
      <c r="I205" s="86" t="s">
        <v>466</v>
      </c>
      <c r="J205" s="87"/>
      <c r="K205" s="1"/>
      <c r="L205" s="1"/>
      <c r="AG205" s="1"/>
      <c r="BB205" s="1"/>
      <c r="BW205" s="1"/>
      <c r="CR205" s="1"/>
      <c r="DM205" s="1"/>
    </row>
    <row r="206" spans="1:117" ht="24" hidden="1" x14ac:dyDescent="0.25">
      <c r="A206" s="12" t="s">
        <v>56</v>
      </c>
      <c r="B206" s="315" t="s">
        <v>820</v>
      </c>
      <c r="C206" s="5"/>
      <c r="D206" s="4" t="s">
        <v>277</v>
      </c>
      <c r="E206" s="1033"/>
      <c r="F206" s="156">
        <f>'1.3.расчет прочих'!$L$263</f>
        <v>2.77</v>
      </c>
      <c r="G206" s="181">
        <f t="shared" si="62"/>
        <v>2.77</v>
      </c>
      <c r="H206" s="181">
        <f t="shared" si="63"/>
        <v>2.77</v>
      </c>
      <c r="I206" s="86" t="s">
        <v>466</v>
      </c>
      <c r="J206" s="87"/>
      <c r="K206" s="1"/>
      <c r="L206" s="1"/>
      <c r="AG206" s="1"/>
      <c r="BB206" s="1"/>
      <c r="BW206" s="1"/>
      <c r="CR206" s="1"/>
      <c r="DM206" s="1"/>
    </row>
    <row r="207" spans="1:117" ht="36" hidden="1" x14ac:dyDescent="0.25">
      <c r="A207" s="396" t="s">
        <v>469</v>
      </c>
      <c r="B207" s="315" t="s">
        <v>818</v>
      </c>
      <c r="C207" s="5"/>
      <c r="D207" s="4" t="s">
        <v>277</v>
      </c>
      <c r="E207" s="848"/>
      <c r="F207" s="156">
        <f>'1.3.расчет прочих'!$L$263</f>
        <v>2.77</v>
      </c>
      <c r="G207" s="181">
        <f t="shared" ref="G207:G209" si="64">F207</f>
        <v>2.77</v>
      </c>
      <c r="H207" s="181">
        <f t="shared" ref="H207:H209" si="65">F207</f>
        <v>2.77</v>
      </c>
      <c r="I207" s="86" t="s">
        <v>466</v>
      </c>
      <c r="J207" s="87"/>
      <c r="K207" s="1"/>
      <c r="L207" s="1"/>
      <c r="AG207" s="1"/>
      <c r="BB207" s="1"/>
      <c r="BW207" s="1"/>
      <c r="CR207" s="1"/>
      <c r="DM207" s="1"/>
    </row>
    <row r="208" spans="1:117" ht="36" hidden="1" x14ac:dyDescent="0.25">
      <c r="A208" s="406" t="s">
        <v>825</v>
      </c>
      <c r="B208" s="392" t="s">
        <v>824</v>
      </c>
      <c r="C208" s="402"/>
      <c r="D208" s="4" t="s">
        <v>277</v>
      </c>
      <c r="E208" s="848"/>
      <c r="F208" s="156">
        <f>'1.3.расчет прочих'!$L$263</f>
        <v>2.77</v>
      </c>
      <c r="G208" s="181">
        <f t="shared" si="64"/>
        <v>2.77</v>
      </c>
      <c r="H208" s="181">
        <f t="shared" si="65"/>
        <v>2.77</v>
      </c>
      <c r="I208" s="86" t="s">
        <v>466</v>
      </c>
      <c r="J208" s="87"/>
      <c r="K208" s="1"/>
      <c r="L208" s="1"/>
      <c r="AG208" s="1"/>
      <c r="BB208" s="1"/>
      <c r="BW208" s="1"/>
      <c r="CR208" s="1"/>
      <c r="DM208" s="1"/>
    </row>
    <row r="209" spans="1:137" ht="36" hidden="1" x14ac:dyDescent="0.25">
      <c r="A209" s="396" t="s">
        <v>826</v>
      </c>
      <c r="B209" s="392" t="s">
        <v>821</v>
      </c>
      <c r="C209" s="402"/>
      <c r="D209" s="4" t="s">
        <v>277</v>
      </c>
      <c r="E209" s="391"/>
      <c r="F209" s="156">
        <f>'1.3.расчет прочих'!$L$263</f>
        <v>2.77</v>
      </c>
      <c r="G209" s="181">
        <f t="shared" si="64"/>
        <v>2.77</v>
      </c>
      <c r="H209" s="181">
        <f t="shared" si="65"/>
        <v>2.77</v>
      </c>
      <c r="I209" s="86" t="s">
        <v>466</v>
      </c>
      <c r="J209" s="87"/>
      <c r="K209" s="1"/>
      <c r="L209" s="1"/>
      <c r="AG209" s="1"/>
      <c r="BB209" s="1"/>
      <c r="BW209" s="1"/>
      <c r="CR209" s="1"/>
      <c r="DM209" s="1"/>
    </row>
    <row r="210" spans="1:137" hidden="1" x14ac:dyDescent="0.25">
      <c r="A210" s="7"/>
      <c r="B210" s="314"/>
      <c r="C210" s="14" t="s">
        <v>361</v>
      </c>
      <c r="D210" s="15" t="s">
        <v>60</v>
      </c>
      <c r="E210" s="7"/>
      <c r="F210" s="75"/>
      <c r="G210" s="75"/>
      <c r="H210" s="75"/>
      <c r="I210" s="84"/>
      <c r="J210" s="85"/>
      <c r="K210" s="1"/>
      <c r="L210" s="1"/>
      <c r="AG210" s="1"/>
      <c r="BB210" s="1"/>
      <c r="BW210" s="1"/>
      <c r="CR210" s="1"/>
      <c r="DM210" s="1"/>
    </row>
    <row r="211" spans="1:137" hidden="1" x14ac:dyDescent="0.25">
      <c r="A211" s="7" t="s">
        <v>52</v>
      </c>
      <c r="B211" s="314" t="s">
        <v>822</v>
      </c>
      <c r="C211" s="14"/>
      <c r="D211" s="15"/>
      <c r="E211" s="15"/>
      <c r="F211" s="80">
        <f t="shared" ref="F211:H216" si="66">F18+F71</f>
        <v>119.77</v>
      </c>
      <c r="G211" s="80">
        <f t="shared" si="66"/>
        <v>126.49</v>
      </c>
      <c r="H211" s="80">
        <f t="shared" si="66"/>
        <v>133.32</v>
      </c>
      <c r="I211" s="96"/>
      <c r="J211" s="97"/>
      <c r="K211" s="1"/>
      <c r="L211" s="1"/>
      <c r="AG211" s="1"/>
      <c r="BB211" s="1"/>
      <c r="BW211" s="1"/>
      <c r="CR211" s="1"/>
      <c r="DM211" s="1"/>
    </row>
    <row r="212" spans="1:137" hidden="1" x14ac:dyDescent="0.25">
      <c r="A212" s="7" t="s">
        <v>53</v>
      </c>
      <c r="B212" s="314" t="s">
        <v>819</v>
      </c>
      <c r="C212" s="14"/>
      <c r="D212" s="15"/>
      <c r="E212" s="15"/>
      <c r="F212" s="80">
        <f t="shared" si="66"/>
        <v>91.06</v>
      </c>
      <c r="G212" s="80">
        <f t="shared" si="66"/>
        <v>96.63</v>
      </c>
      <c r="H212" s="80">
        <f t="shared" si="66"/>
        <v>102.27</v>
      </c>
      <c r="I212" s="96"/>
      <c r="J212" s="97"/>
      <c r="K212" s="1"/>
      <c r="L212" s="1"/>
      <c r="AG212" s="1"/>
      <c r="BB212" s="1"/>
      <c r="BW212" s="1"/>
      <c r="CR212" s="1"/>
      <c r="DM212" s="1"/>
    </row>
    <row r="213" spans="1:137" hidden="1" x14ac:dyDescent="0.25">
      <c r="A213" s="7" t="s">
        <v>51</v>
      </c>
      <c r="B213" s="314" t="s">
        <v>817</v>
      </c>
      <c r="C213" s="14"/>
      <c r="D213" s="15"/>
      <c r="E213" s="15"/>
      <c r="F213" s="80">
        <f t="shared" si="66"/>
        <v>119.84</v>
      </c>
      <c r="G213" s="80">
        <f t="shared" si="66"/>
        <v>126.56</v>
      </c>
      <c r="H213" s="80">
        <f t="shared" si="66"/>
        <v>133.38999999999999</v>
      </c>
      <c r="I213" s="96"/>
      <c r="J213" s="97"/>
      <c r="K213" s="1"/>
      <c r="L213" s="1"/>
      <c r="AG213" s="1"/>
      <c r="BB213" s="1"/>
      <c r="BW213" s="1"/>
      <c r="CR213" s="1"/>
      <c r="DM213" s="1"/>
    </row>
    <row r="214" spans="1:137" hidden="1" x14ac:dyDescent="0.25">
      <c r="A214" s="7" t="s">
        <v>54</v>
      </c>
      <c r="B214" s="314" t="s">
        <v>823</v>
      </c>
      <c r="C214" s="14"/>
      <c r="D214" s="15"/>
      <c r="E214" s="15"/>
      <c r="F214" s="80">
        <f t="shared" si="66"/>
        <v>146.1</v>
      </c>
      <c r="G214" s="80">
        <f t="shared" si="66"/>
        <v>153.87</v>
      </c>
      <c r="H214" s="80">
        <f t="shared" si="66"/>
        <v>161.81</v>
      </c>
      <c r="I214" s="96"/>
      <c r="J214" s="97"/>
      <c r="K214" s="1"/>
      <c r="L214" s="1"/>
      <c r="AG214" s="1"/>
      <c r="BB214" s="1"/>
      <c r="BW214" s="1"/>
      <c r="CR214" s="1"/>
      <c r="DM214" s="1"/>
    </row>
    <row r="215" spans="1:137" hidden="1" x14ac:dyDescent="0.25">
      <c r="A215" s="7" t="s">
        <v>55</v>
      </c>
      <c r="B215" s="314" t="s">
        <v>816</v>
      </c>
      <c r="C215" s="14"/>
      <c r="D215" s="15"/>
      <c r="E215" s="15"/>
      <c r="F215" s="80">
        <f t="shared" si="66"/>
        <v>162.16</v>
      </c>
      <c r="G215" s="80">
        <f t="shared" si="66"/>
        <v>170.58</v>
      </c>
      <c r="H215" s="80">
        <f t="shared" si="66"/>
        <v>179.19</v>
      </c>
      <c r="I215" s="96"/>
      <c r="J215" s="97"/>
      <c r="K215" s="1"/>
      <c r="L215" s="1"/>
      <c r="AG215" s="1"/>
      <c r="BB215" s="1"/>
      <c r="BW215" s="1"/>
      <c r="CR215" s="1"/>
      <c r="DM215" s="1"/>
    </row>
    <row r="216" spans="1:137" ht="24" hidden="1" x14ac:dyDescent="0.25">
      <c r="A216" s="7" t="s">
        <v>56</v>
      </c>
      <c r="B216" s="314" t="s">
        <v>820</v>
      </c>
      <c r="C216" s="14"/>
      <c r="D216" s="15"/>
      <c r="E216" s="15"/>
      <c r="F216" s="80">
        <f t="shared" si="66"/>
        <v>107.71</v>
      </c>
      <c r="G216" s="80">
        <f t="shared" si="66"/>
        <v>113.94</v>
      </c>
      <c r="H216" s="80">
        <f t="shared" si="66"/>
        <v>120.28</v>
      </c>
      <c r="I216" s="96"/>
      <c r="J216" s="97"/>
      <c r="K216" s="1"/>
      <c r="L216" s="1"/>
      <c r="AG216" s="1"/>
      <c r="BB216" s="1"/>
      <c r="BW216" s="1"/>
      <c r="CR216" s="1"/>
      <c r="DM216" s="1"/>
    </row>
    <row r="217" spans="1:137" ht="36" hidden="1" x14ac:dyDescent="0.25">
      <c r="A217" s="407" t="s">
        <v>469</v>
      </c>
      <c r="B217" s="314" t="s">
        <v>818</v>
      </c>
      <c r="C217" s="14"/>
      <c r="D217" s="15"/>
      <c r="E217" s="15"/>
      <c r="F217" s="80">
        <f t="shared" ref="F217:H217" si="67">F24+F77</f>
        <v>100.55</v>
      </c>
      <c r="G217" s="80">
        <f t="shared" si="67"/>
        <v>106.5</v>
      </c>
      <c r="H217" s="80">
        <f t="shared" si="67"/>
        <v>112.52</v>
      </c>
      <c r="I217" s="96"/>
      <c r="J217" s="97"/>
      <c r="K217" s="1"/>
      <c r="L217" s="1"/>
      <c r="AG217" s="1"/>
      <c r="BB217" s="1"/>
      <c r="BW217" s="1"/>
      <c r="CR217" s="1"/>
      <c r="DM217" s="1"/>
    </row>
    <row r="218" spans="1:137" ht="36" hidden="1" x14ac:dyDescent="0.25">
      <c r="A218" s="408" t="s">
        <v>825</v>
      </c>
      <c r="B218" s="403" t="s">
        <v>824</v>
      </c>
      <c r="C218" s="14"/>
      <c r="D218" s="15"/>
      <c r="E218" s="15"/>
      <c r="F218" s="80">
        <f t="shared" ref="F218:H218" si="68">F25+F78</f>
        <v>408.99</v>
      </c>
      <c r="G218" s="80">
        <f t="shared" si="68"/>
        <v>427.28</v>
      </c>
      <c r="H218" s="80">
        <f t="shared" si="68"/>
        <v>446.16</v>
      </c>
      <c r="I218" s="96"/>
      <c r="J218" s="97"/>
      <c r="K218" s="1"/>
      <c r="L218" s="1"/>
      <c r="AG218" s="1"/>
      <c r="BB218" s="1"/>
      <c r="BW218" s="1"/>
      <c r="CR218" s="1"/>
      <c r="DM218" s="1"/>
    </row>
    <row r="219" spans="1:137" ht="36" hidden="1" x14ac:dyDescent="0.25">
      <c r="A219" s="407" t="s">
        <v>826</v>
      </c>
      <c r="B219" s="403" t="s">
        <v>821</v>
      </c>
      <c r="C219" s="14"/>
      <c r="D219" s="15"/>
      <c r="E219" s="15"/>
      <c r="F219" s="80">
        <f t="shared" ref="F219:H219" si="69">F26+F79</f>
        <v>173.89</v>
      </c>
      <c r="G219" s="80">
        <f t="shared" si="69"/>
        <v>182.77</v>
      </c>
      <c r="H219" s="80">
        <f t="shared" si="69"/>
        <v>191.86</v>
      </c>
      <c r="I219" s="96"/>
      <c r="J219" s="97"/>
      <c r="K219" s="1"/>
      <c r="L219" s="1"/>
      <c r="AG219" s="1"/>
      <c r="BB219" s="1"/>
      <c r="BW219" s="1"/>
      <c r="CR219" s="1"/>
      <c r="DM219" s="1"/>
    </row>
    <row r="220" spans="1:137" hidden="1" x14ac:dyDescent="0.25">
      <c r="K220" s="1"/>
      <c r="L220" s="1"/>
      <c r="AG220" s="1"/>
      <c r="BB220" s="1"/>
      <c r="BW220" s="1"/>
      <c r="CR220" s="1"/>
      <c r="DM220" s="1"/>
    </row>
    <row r="221" spans="1:137" ht="15" customHeight="1" x14ac:dyDescent="0.25">
      <c r="A221" s="327" t="s">
        <v>672</v>
      </c>
      <c r="B221" s="325"/>
      <c r="C221" s="325"/>
      <c r="D221" s="325"/>
      <c r="E221" s="325"/>
      <c r="F221" s="325"/>
      <c r="G221" s="325"/>
      <c r="H221" s="325"/>
      <c r="I221" s="325"/>
      <c r="J221" s="325"/>
      <c r="K221" s="325"/>
      <c r="L221" s="1"/>
      <c r="AG221" s="1"/>
      <c r="BB221" s="1"/>
      <c r="BW221" s="1"/>
      <c r="CR221" s="1"/>
      <c r="DM221" s="1"/>
    </row>
    <row r="222" spans="1:137" x14ac:dyDescent="0.25">
      <c r="A222" s="1018" t="s">
        <v>0</v>
      </c>
      <c r="B222" s="1020" t="s">
        <v>1</v>
      </c>
      <c r="C222" s="183"/>
      <c r="D222" s="184"/>
      <c r="E222" s="185"/>
      <c r="F222" s="1022" t="s">
        <v>501</v>
      </c>
      <c r="G222" s="1023"/>
      <c r="H222" s="1023"/>
      <c r="I222" s="1023"/>
      <c r="J222" s="1023"/>
      <c r="K222" s="1024"/>
      <c r="L222" s="298" t="s">
        <v>359</v>
      </c>
      <c r="M222" s="186"/>
      <c r="N222" s="186"/>
      <c r="O222" s="186"/>
      <c r="P222" s="186"/>
      <c r="Q222" s="186"/>
      <c r="R222" s="186"/>
      <c r="S222" s="186"/>
      <c r="T222" s="186"/>
      <c r="U222" s="186"/>
      <c r="V222" s="186"/>
      <c r="W222" s="186"/>
      <c r="X222" s="186"/>
      <c r="Y222" s="186"/>
      <c r="Z222" s="186"/>
      <c r="AA222" s="186"/>
      <c r="AB222" s="186"/>
      <c r="AC222" s="186"/>
      <c r="AD222" s="186"/>
      <c r="AE222" s="186"/>
      <c r="AF222" s="187"/>
      <c r="AG222" s="1025" t="s">
        <v>61</v>
      </c>
      <c r="AH222" s="1026"/>
      <c r="AI222" s="1026"/>
      <c r="AJ222" s="1026"/>
      <c r="AK222" s="1026"/>
      <c r="AL222" s="1026"/>
      <c r="AM222" s="1026"/>
      <c r="AN222" s="1026"/>
      <c r="AO222" s="1026"/>
      <c r="AP222" s="1026"/>
      <c r="AQ222" s="1026"/>
      <c r="AR222" s="1026"/>
      <c r="AS222" s="1026"/>
      <c r="AT222" s="1026"/>
      <c r="AU222" s="1026"/>
      <c r="AV222" s="1026"/>
      <c r="AW222" s="1026"/>
      <c r="AX222" s="1026"/>
      <c r="AY222" s="1026"/>
      <c r="AZ222" s="1026"/>
      <c r="BA222" s="1027"/>
      <c r="BB222" s="298" t="s">
        <v>360</v>
      </c>
      <c r="BC222" s="186"/>
      <c r="BD222" s="186"/>
      <c r="BE222" s="186"/>
      <c r="BF222" s="186"/>
      <c r="BG222" s="186"/>
      <c r="BH222" s="186"/>
      <c r="BI222" s="186"/>
      <c r="BJ222" s="186"/>
      <c r="BK222" s="186"/>
      <c r="BL222" s="186"/>
      <c r="BM222" s="186"/>
      <c r="BN222" s="186"/>
      <c r="BO222" s="186"/>
      <c r="BP222" s="186"/>
      <c r="BQ222" s="186"/>
      <c r="BR222" s="186"/>
      <c r="BS222" s="186"/>
      <c r="BT222" s="186"/>
      <c r="BU222" s="186"/>
      <c r="BV222" s="187"/>
      <c r="BW222" s="298" t="s">
        <v>287</v>
      </c>
      <c r="BX222" s="186"/>
      <c r="BY222" s="186"/>
      <c r="BZ222" s="186"/>
      <c r="CA222" s="186"/>
      <c r="CB222" s="186"/>
      <c r="CC222" s="186"/>
      <c r="CD222" s="186"/>
      <c r="CE222" s="186"/>
      <c r="CF222" s="186"/>
      <c r="CG222" s="186"/>
      <c r="CH222" s="186"/>
      <c r="CI222" s="186"/>
      <c r="CJ222" s="186"/>
      <c r="CK222" s="186"/>
      <c r="CL222" s="186"/>
      <c r="CM222" s="186"/>
      <c r="CN222" s="186"/>
      <c r="CO222" s="186"/>
      <c r="CP222" s="186"/>
      <c r="CQ222" s="187"/>
      <c r="CR222" s="298" t="s">
        <v>286</v>
      </c>
      <c r="CS222" s="186"/>
      <c r="CT222" s="186"/>
      <c r="CU222" s="186"/>
      <c r="CV222" s="186"/>
      <c r="CW222" s="186"/>
      <c r="CX222" s="186"/>
      <c r="CY222" s="186"/>
      <c r="CZ222" s="186"/>
      <c r="DA222" s="186"/>
      <c r="DB222" s="186"/>
      <c r="DC222" s="186"/>
      <c r="DD222" s="186"/>
      <c r="DE222" s="186"/>
      <c r="DF222" s="186"/>
      <c r="DG222" s="186"/>
      <c r="DH222" s="186"/>
      <c r="DI222" s="186"/>
      <c r="DJ222" s="186"/>
      <c r="DK222" s="186"/>
      <c r="DL222" s="187"/>
      <c r="DM222" s="298" t="s">
        <v>482</v>
      </c>
      <c r="DN222" s="186"/>
      <c r="DO222" s="186"/>
      <c r="DP222" s="186"/>
      <c r="DQ222" s="186"/>
      <c r="DR222" s="186"/>
      <c r="DS222" s="186"/>
      <c r="DT222" s="186"/>
      <c r="DU222" s="186"/>
      <c r="DV222" s="186"/>
      <c r="DW222" s="186"/>
      <c r="DX222" s="186"/>
      <c r="DY222" s="186"/>
      <c r="DZ222" s="186"/>
      <c r="EA222" s="186"/>
      <c r="EB222" s="186"/>
      <c r="EC222" s="186"/>
      <c r="ED222" s="186"/>
      <c r="EE222" s="186"/>
      <c r="EF222" s="186"/>
      <c r="EG222" s="187"/>
    </row>
    <row r="223" spans="1:137" ht="44.25" customHeight="1" x14ac:dyDescent="0.25">
      <c r="A223" s="1019"/>
      <c r="B223" s="1021"/>
      <c r="C223" s="188"/>
      <c r="D223" s="189"/>
      <c r="E223" s="190"/>
      <c r="F223" s="1028" t="s">
        <v>474</v>
      </c>
      <c r="G223" s="1029"/>
      <c r="H223" s="1030"/>
      <c r="I223" s="1028" t="s">
        <v>475</v>
      </c>
      <c r="J223" s="1029"/>
      <c r="K223" s="1030"/>
      <c r="L223" s="1015" t="s">
        <v>476</v>
      </c>
      <c r="M223" s="1016"/>
      <c r="N223" s="1017"/>
      <c r="O223" s="1015" t="s">
        <v>477</v>
      </c>
      <c r="P223" s="1016"/>
      <c r="Q223" s="1017"/>
      <c r="R223" s="1015" t="s">
        <v>478</v>
      </c>
      <c r="S223" s="1016"/>
      <c r="T223" s="1017"/>
      <c r="U223" s="1015" t="s">
        <v>673</v>
      </c>
      <c r="V223" s="1016"/>
      <c r="W223" s="1017"/>
      <c r="X223" s="1015" t="s">
        <v>674</v>
      </c>
      <c r="Y223" s="1016"/>
      <c r="Z223" s="1017"/>
      <c r="AA223" s="1015" t="s">
        <v>675</v>
      </c>
      <c r="AB223" s="1016"/>
      <c r="AC223" s="1017"/>
      <c r="AD223" s="1015" t="s">
        <v>676</v>
      </c>
      <c r="AE223" s="1016"/>
      <c r="AF223" s="1017"/>
      <c r="AG223" s="1015" t="s">
        <v>476</v>
      </c>
      <c r="AH223" s="1016"/>
      <c r="AI223" s="1017"/>
      <c r="AJ223" s="1015" t="s">
        <v>477</v>
      </c>
      <c r="AK223" s="1016"/>
      <c r="AL223" s="1017"/>
      <c r="AM223" s="1015" t="s">
        <v>478</v>
      </c>
      <c r="AN223" s="1016"/>
      <c r="AO223" s="1017"/>
      <c r="AP223" s="1015" t="s">
        <v>673</v>
      </c>
      <c r="AQ223" s="1016"/>
      <c r="AR223" s="1017"/>
      <c r="AS223" s="1015" t="s">
        <v>674</v>
      </c>
      <c r="AT223" s="1016"/>
      <c r="AU223" s="1017"/>
      <c r="AV223" s="1015" t="s">
        <v>675</v>
      </c>
      <c r="AW223" s="1016"/>
      <c r="AX223" s="1017"/>
      <c r="AY223" s="1015" t="s">
        <v>676</v>
      </c>
      <c r="AZ223" s="1016"/>
      <c r="BA223" s="1017"/>
      <c r="BB223" s="1015" t="s">
        <v>476</v>
      </c>
      <c r="BC223" s="1016"/>
      <c r="BD223" s="1017"/>
      <c r="BE223" s="1015" t="s">
        <v>477</v>
      </c>
      <c r="BF223" s="1016"/>
      <c r="BG223" s="1017"/>
      <c r="BH223" s="1015" t="s">
        <v>478</v>
      </c>
      <c r="BI223" s="1016"/>
      <c r="BJ223" s="1017"/>
      <c r="BK223" s="1015" t="s">
        <v>673</v>
      </c>
      <c r="BL223" s="1016"/>
      <c r="BM223" s="1017"/>
      <c r="BN223" s="1015" t="s">
        <v>674</v>
      </c>
      <c r="BO223" s="1016"/>
      <c r="BP223" s="1017"/>
      <c r="BQ223" s="1015" t="s">
        <v>675</v>
      </c>
      <c r="BR223" s="1016"/>
      <c r="BS223" s="1017"/>
      <c r="BT223" s="1015" t="s">
        <v>676</v>
      </c>
      <c r="BU223" s="1016"/>
      <c r="BV223" s="1017"/>
      <c r="BW223" s="1015" t="s">
        <v>476</v>
      </c>
      <c r="BX223" s="1016"/>
      <c r="BY223" s="1017"/>
      <c r="BZ223" s="1015" t="s">
        <v>477</v>
      </c>
      <c r="CA223" s="1016"/>
      <c r="CB223" s="1017"/>
      <c r="CC223" s="1015" t="s">
        <v>478</v>
      </c>
      <c r="CD223" s="1016"/>
      <c r="CE223" s="1017"/>
      <c r="CF223" s="1015" t="s">
        <v>673</v>
      </c>
      <c r="CG223" s="1016"/>
      <c r="CH223" s="1017"/>
      <c r="CI223" s="1015" t="s">
        <v>674</v>
      </c>
      <c r="CJ223" s="1016"/>
      <c r="CK223" s="1017"/>
      <c r="CL223" s="1015" t="s">
        <v>675</v>
      </c>
      <c r="CM223" s="1016"/>
      <c r="CN223" s="1017"/>
      <c r="CO223" s="1015" t="s">
        <v>676</v>
      </c>
      <c r="CP223" s="1016"/>
      <c r="CQ223" s="1017"/>
      <c r="CR223" s="1015" t="s">
        <v>476</v>
      </c>
      <c r="CS223" s="1016"/>
      <c r="CT223" s="1017"/>
      <c r="CU223" s="1015" t="s">
        <v>477</v>
      </c>
      <c r="CV223" s="1016"/>
      <c r="CW223" s="1017"/>
      <c r="CX223" s="1015" t="s">
        <v>478</v>
      </c>
      <c r="CY223" s="1016"/>
      <c r="CZ223" s="1017"/>
      <c r="DA223" s="1015" t="s">
        <v>673</v>
      </c>
      <c r="DB223" s="1016"/>
      <c r="DC223" s="1017"/>
      <c r="DD223" s="1015" t="s">
        <v>674</v>
      </c>
      <c r="DE223" s="1016"/>
      <c r="DF223" s="1017"/>
      <c r="DG223" s="1015" t="s">
        <v>675</v>
      </c>
      <c r="DH223" s="1016"/>
      <c r="DI223" s="1017"/>
      <c r="DJ223" s="1015" t="s">
        <v>676</v>
      </c>
      <c r="DK223" s="1016"/>
      <c r="DL223" s="1017"/>
      <c r="DM223" s="1015" t="s">
        <v>476</v>
      </c>
      <c r="DN223" s="1016"/>
      <c r="DO223" s="1017"/>
      <c r="DP223" s="1015" t="s">
        <v>477</v>
      </c>
      <c r="DQ223" s="1016"/>
      <c r="DR223" s="1017"/>
      <c r="DS223" s="1015" t="s">
        <v>478</v>
      </c>
      <c r="DT223" s="1016"/>
      <c r="DU223" s="1017"/>
      <c r="DV223" s="1015" t="s">
        <v>673</v>
      </c>
      <c r="DW223" s="1016"/>
      <c r="DX223" s="1017"/>
      <c r="DY223" s="1015" t="s">
        <v>674</v>
      </c>
      <c r="DZ223" s="1016"/>
      <c r="EA223" s="1017"/>
      <c r="EB223" s="1015" t="s">
        <v>675</v>
      </c>
      <c r="EC223" s="1016"/>
      <c r="ED223" s="1017"/>
      <c r="EE223" s="1015" t="s">
        <v>676</v>
      </c>
      <c r="EF223" s="1016"/>
      <c r="EG223" s="1017"/>
    </row>
    <row r="224" spans="1:137" x14ac:dyDescent="0.25">
      <c r="A224" s="182"/>
      <c r="B224" s="316"/>
      <c r="C224" s="262"/>
      <c r="D224" s="299"/>
      <c r="E224" s="297"/>
      <c r="F224" s="182">
        <v>2024</v>
      </c>
      <c r="G224" s="182">
        <v>2025</v>
      </c>
      <c r="H224" s="182">
        <v>2026</v>
      </c>
      <c r="I224" s="182">
        <v>2024</v>
      </c>
      <c r="J224" s="182">
        <v>2025</v>
      </c>
      <c r="K224" s="182">
        <v>2026</v>
      </c>
      <c r="L224" s="182">
        <v>2024</v>
      </c>
      <c r="M224" s="182">
        <v>2025</v>
      </c>
      <c r="N224" s="182">
        <v>2026</v>
      </c>
      <c r="O224" s="182">
        <v>2024</v>
      </c>
      <c r="P224" s="182">
        <v>2025</v>
      </c>
      <c r="Q224" s="182">
        <v>2026</v>
      </c>
      <c r="R224" s="182">
        <v>2024</v>
      </c>
      <c r="S224" s="182">
        <v>2025</v>
      </c>
      <c r="T224" s="182">
        <v>2026</v>
      </c>
      <c r="U224" s="182">
        <v>2024</v>
      </c>
      <c r="V224" s="182">
        <v>2025</v>
      </c>
      <c r="W224" s="182">
        <v>2026</v>
      </c>
      <c r="X224" s="182">
        <v>2024</v>
      </c>
      <c r="Y224" s="182">
        <v>2025</v>
      </c>
      <c r="Z224" s="182">
        <v>2026</v>
      </c>
      <c r="AA224" s="182">
        <v>2024</v>
      </c>
      <c r="AB224" s="182">
        <v>2025</v>
      </c>
      <c r="AC224" s="182">
        <v>2026</v>
      </c>
      <c r="AD224" s="182">
        <v>2024</v>
      </c>
      <c r="AE224" s="182">
        <v>2025</v>
      </c>
      <c r="AF224" s="182">
        <v>2026</v>
      </c>
      <c r="AG224" s="182">
        <v>2024</v>
      </c>
      <c r="AH224" s="182">
        <v>2025</v>
      </c>
      <c r="AI224" s="182">
        <v>2026</v>
      </c>
      <c r="AJ224" s="182">
        <v>2024</v>
      </c>
      <c r="AK224" s="182">
        <v>2025</v>
      </c>
      <c r="AL224" s="182">
        <v>2026</v>
      </c>
      <c r="AM224" s="182">
        <v>2024</v>
      </c>
      <c r="AN224" s="182">
        <v>2025</v>
      </c>
      <c r="AO224" s="182">
        <v>2026</v>
      </c>
      <c r="AP224" s="182">
        <v>2024</v>
      </c>
      <c r="AQ224" s="182">
        <v>2025</v>
      </c>
      <c r="AR224" s="182">
        <v>2026</v>
      </c>
      <c r="AS224" s="182">
        <v>2024</v>
      </c>
      <c r="AT224" s="182">
        <v>2025</v>
      </c>
      <c r="AU224" s="182">
        <v>2026</v>
      </c>
      <c r="AV224" s="182">
        <v>2024</v>
      </c>
      <c r="AW224" s="182">
        <v>2025</v>
      </c>
      <c r="AX224" s="182">
        <v>2026</v>
      </c>
      <c r="AY224" s="182">
        <v>2024</v>
      </c>
      <c r="AZ224" s="182">
        <v>2025</v>
      </c>
      <c r="BA224" s="182">
        <v>2026</v>
      </c>
      <c r="BB224" s="182">
        <v>2024</v>
      </c>
      <c r="BC224" s="182">
        <v>2025</v>
      </c>
      <c r="BD224" s="182">
        <v>2026</v>
      </c>
      <c r="BE224" s="182">
        <v>2024</v>
      </c>
      <c r="BF224" s="182">
        <v>2025</v>
      </c>
      <c r="BG224" s="182">
        <v>2026</v>
      </c>
      <c r="BH224" s="182">
        <v>2024</v>
      </c>
      <c r="BI224" s="182">
        <v>2025</v>
      </c>
      <c r="BJ224" s="182">
        <v>2026</v>
      </c>
      <c r="BK224" s="182">
        <v>2024</v>
      </c>
      <c r="BL224" s="182">
        <v>2025</v>
      </c>
      <c r="BM224" s="182">
        <v>2026</v>
      </c>
      <c r="BN224" s="182">
        <v>2024</v>
      </c>
      <c r="BO224" s="182">
        <v>2025</v>
      </c>
      <c r="BP224" s="182">
        <v>2026</v>
      </c>
      <c r="BQ224" s="182">
        <v>2024</v>
      </c>
      <c r="BR224" s="182">
        <v>2025</v>
      </c>
      <c r="BS224" s="182">
        <v>2026</v>
      </c>
      <c r="BT224" s="182">
        <v>2024</v>
      </c>
      <c r="BU224" s="182">
        <v>2025</v>
      </c>
      <c r="BV224" s="182">
        <v>2026</v>
      </c>
      <c r="BW224" s="182">
        <v>2024</v>
      </c>
      <c r="BX224" s="182">
        <v>2025</v>
      </c>
      <c r="BY224" s="182">
        <v>2026</v>
      </c>
      <c r="BZ224" s="182">
        <v>2024</v>
      </c>
      <c r="CA224" s="182">
        <v>2025</v>
      </c>
      <c r="CB224" s="182">
        <v>2026</v>
      </c>
      <c r="CC224" s="182">
        <v>2024</v>
      </c>
      <c r="CD224" s="182">
        <v>2025</v>
      </c>
      <c r="CE224" s="182">
        <v>2026</v>
      </c>
      <c r="CF224" s="182">
        <v>2024</v>
      </c>
      <c r="CG224" s="182">
        <v>2025</v>
      </c>
      <c r="CH224" s="182">
        <v>2026</v>
      </c>
      <c r="CI224" s="182">
        <v>2024</v>
      </c>
      <c r="CJ224" s="182">
        <v>2025</v>
      </c>
      <c r="CK224" s="182">
        <v>2026</v>
      </c>
      <c r="CL224" s="182">
        <v>2024</v>
      </c>
      <c r="CM224" s="182">
        <v>2025</v>
      </c>
      <c r="CN224" s="182">
        <v>2026</v>
      </c>
      <c r="CO224" s="182">
        <v>2024</v>
      </c>
      <c r="CP224" s="182">
        <v>2025</v>
      </c>
      <c r="CQ224" s="182">
        <v>2026</v>
      </c>
      <c r="CR224" s="182">
        <v>2024</v>
      </c>
      <c r="CS224" s="182">
        <v>2025</v>
      </c>
      <c r="CT224" s="182">
        <v>2026</v>
      </c>
      <c r="CU224" s="182">
        <v>2024</v>
      </c>
      <c r="CV224" s="182">
        <v>2025</v>
      </c>
      <c r="CW224" s="182">
        <v>2026</v>
      </c>
      <c r="CX224" s="182">
        <v>2024</v>
      </c>
      <c r="CY224" s="182">
        <v>2025</v>
      </c>
      <c r="CZ224" s="182">
        <v>2026</v>
      </c>
      <c r="DA224" s="182">
        <v>2024</v>
      </c>
      <c r="DB224" s="182">
        <v>2025</v>
      </c>
      <c r="DC224" s="182">
        <v>2026</v>
      </c>
      <c r="DD224" s="182">
        <v>2024</v>
      </c>
      <c r="DE224" s="182">
        <v>2025</v>
      </c>
      <c r="DF224" s="182">
        <v>2026</v>
      </c>
      <c r="DG224" s="182">
        <v>2024</v>
      </c>
      <c r="DH224" s="182">
        <v>2025</v>
      </c>
      <c r="DI224" s="182">
        <v>2026</v>
      </c>
      <c r="DJ224" s="182">
        <v>2024</v>
      </c>
      <c r="DK224" s="182">
        <v>2025</v>
      </c>
      <c r="DL224" s="182">
        <v>2026</v>
      </c>
      <c r="DM224" s="182">
        <v>2024</v>
      </c>
      <c r="DN224" s="182">
        <v>2025</v>
      </c>
      <c r="DO224" s="182">
        <v>2026</v>
      </c>
      <c r="DP224" s="182">
        <v>2024</v>
      </c>
      <c r="DQ224" s="182">
        <v>2025</v>
      </c>
      <c r="DR224" s="182">
        <v>2026</v>
      </c>
      <c r="DS224" s="182">
        <v>2024</v>
      </c>
      <c r="DT224" s="182">
        <v>2025</v>
      </c>
      <c r="DU224" s="182">
        <v>2026</v>
      </c>
      <c r="DV224" s="182">
        <v>2024</v>
      </c>
      <c r="DW224" s="182">
        <v>2025</v>
      </c>
      <c r="DX224" s="182">
        <v>2026</v>
      </c>
      <c r="DY224" s="182">
        <v>2024</v>
      </c>
      <c r="DZ224" s="182">
        <v>2025</v>
      </c>
      <c r="EA224" s="182">
        <v>2026</v>
      </c>
      <c r="EB224" s="182">
        <v>2024</v>
      </c>
      <c r="EC224" s="182">
        <v>2025</v>
      </c>
      <c r="ED224" s="182">
        <v>2026</v>
      </c>
      <c r="EE224" s="182">
        <v>2024</v>
      </c>
      <c r="EF224" s="182">
        <v>2025</v>
      </c>
      <c r="EG224" s="182">
        <v>2026</v>
      </c>
    </row>
    <row r="225" spans="1:140" x14ac:dyDescent="0.25">
      <c r="A225" s="3"/>
      <c r="B225" s="312"/>
      <c r="C225" s="3"/>
      <c r="D225" s="300"/>
      <c r="E225" s="191"/>
      <c r="F225" s="192"/>
      <c r="G225" s="191"/>
      <c r="H225" s="193"/>
      <c r="I225" s="191"/>
      <c r="J225" s="191"/>
      <c r="K225" s="191"/>
      <c r="L225" s="192"/>
      <c r="M225" s="191"/>
      <c r="N225" s="191"/>
      <c r="O225" s="192"/>
      <c r="P225" s="191"/>
      <c r="Q225" s="191"/>
      <c r="R225" s="191"/>
      <c r="S225" s="191"/>
      <c r="T225" s="191"/>
      <c r="U225" s="192"/>
      <c r="V225" s="191"/>
      <c r="W225" s="191"/>
      <c r="X225" s="191"/>
      <c r="Y225" s="191"/>
      <c r="Z225" s="191"/>
      <c r="AA225" s="192"/>
      <c r="AB225" s="191"/>
      <c r="AC225" s="191"/>
      <c r="AD225" s="191"/>
      <c r="AE225" s="191"/>
      <c r="AF225" s="191"/>
      <c r="AG225" s="192"/>
      <c r="AH225" s="191"/>
      <c r="AI225" s="191"/>
      <c r="AJ225" s="192"/>
      <c r="AK225" s="191"/>
      <c r="AL225" s="191"/>
      <c r="AM225" s="191"/>
      <c r="AN225" s="191"/>
      <c r="AO225" s="191"/>
      <c r="AP225" s="192"/>
      <c r="AQ225" s="191"/>
      <c r="AR225" s="191"/>
      <c r="AS225" s="191"/>
      <c r="AT225" s="191"/>
      <c r="AU225" s="191"/>
      <c r="AV225" s="192"/>
      <c r="AW225" s="191"/>
      <c r="AX225" s="191"/>
      <c r="AY225" s="191"/>
      <c r="AZ225" s="191"/>
      <c r="BA225" s="191"/>
      <c r="BB225" s="192"/>
      <c r="BC225" s="191"/>
      <c r="BD225" s="191"/>
      <c r="BE225" s="192"/>
      <c r="BF225" s="191"/>
      <c r="BG225" s="191"/>
      <c r="BH225" s="191"/>
      <c r="BI225" s="191"/>
      <c r="BJ225" s="191"/>
      <c r="BK225" s="192"/>
      <c r="BL225" s="191"/>
      <c r="BM225" s="191"/>
      <c r="BN225" s="191"/>
      <c r="BO225" s="191"/>
      <c r="BP225" s="191"/>
      <c r="BQ225" s="192"/>
      <c r="BR225" s="191"/>
      <c r="BS225" s="191"/>
      <c r="BT225" s="191"/>
      <c r="BU225" s="191"/>
      <c r="BV225" s="191"/>
      <c r="BW225" s="192"/>
      <c r="BX225" s="191"/>
      <c r="BY225" s="191"/>
      <c r="BZ225" s="192"/>
      <c r="CA225" s="191"/>
      <c r="CB225" s="191"/>
      <c r="CC225" s="191"/>
      <c r="CD225" s="191"/>
      <c r="CE225" s="191"/>
      <c r="CF225" s="192"/>
      <c r="CG225" s="191"/>
      <c r="CH225" s="191"/>
      <c r="CI225" s="191"/>
      <c r="CJ225" s="191"/>
      <c r="CK225" s="191"/>
      <c r="CL225" s="192"/>
      <c r="CM225" s="191"/>
      <c r="CN225" s="191"/>
      <c r="CO225" s="191"/>
      <c r="CP225" s="191"/>
      <c r="CQ225" s="191"/>
      <c r="CR225" s="192"/>
      <c r="CS225" s="191"/>
      <c r="CT225" s="191"/>
      <c r="CU225" s="192"/>
      <c r="CV225" s="191"/>
      <c r="CW225" s="191"/>
      <c r="CX225" s="191"/>
      <c r="CY225" s="191"/>
      <c r="CZ225" s="191"/>
      <c r="DA225" s="192"/>
      <c r="DB225" s="191"/>
      <c r="DC225" s="191"/>
      <c r="DD225" s="191"/>
      <c r="DE225" s="191"/>
      <c r="DF225" s="191"/>
      <c r="DG225" s="192"/>
      <c r="DH225" s="191"/>
      <c r="DI225" s="191"/>
      <c r="DJ225" s="191"/>
      <c r="DK225" s="191"/>
      <c r="DL225" s="191"/>
      <c r="DM225" s="192"/>
      <c r="DN225" s="191"/>
      <c r="DO225" s="191"/>
      <c r="DP225" s="192"/>
      <c r="DQ225" s="191"/>
      <c r="DR225" s="191"/>
      <c r="DS225" s="191"/>
      <c r="DT225" s="191"/>
      <c r="DU225" s="191"/>
      <c r="DV225" s="192"/>
      <c r="DW225" s="191"/>
      <c r="DX225" s="191"/>
      <c r="DY225" s="191"/>
      <c r="DZ225" s="191"/>
      <c r="EA225" s="191"/>
      <c r="EB225" s="192"/>
      <c r="EC225" s="191"/>
      <c r="ED225" s="191"/>
      <c r="EE225" s="191"/>
      <c r="EF225" s="191"/>
      <c r="EG225" s="191"/>
    </row>
    <row r="226" spans="1:140" ht="25.5" x14ac:dyDescent="0.25">
      <c r="A226" s="194" t="s">
        <v>473</v>
      </c>
      <c r="B226" s="317"/>
      <c r="C226" s="195"/>
      <c r="D226" s="195"/>
      <c r="E226" s="195"/>
      <c r="F226" s="195"/>
      <c r="G226" s="195"/>
      <c r="H226" s="195"/>
      <c r="I226" s="195"/>
      <c r="J226" s="195"/>
      <c r="K226" s="195"/>
      <c r="L226" s="195"/>
      <c r="M226" s="195"/>
      <c r="N226" s="195"/>
      <c r="O226" s="195"/>
      <c r="P226" s="195"/>
      <c r="Q226" s="195"/>
      <c r="R226" s="195"/>
      <c r="S226" s="195"/>
      <c r="T226" s="195"/>
      <c r="U226" s="195"/>
      <c r="V226" s="195"/>
      <c r="W226" s="195"/>
      <c r="X226" s="195"/>
      <c r="Y226" s="195"/>
      <c r="Z226" s="195"/>
      <c r="AA226" s="195"/>
      <c r="AB226" s="195"/>
      <c r="AC226" s="195"/>
      <c r="AD226" s="195"/>
      <c r="AE226" s="195"/>
      <c r="AF226" s="195"/>
      <c r="AG226" s="195"/>
      <c r="AH226" s="195"/>
      <c r="AI226" s="195"/>
      <c r="AJ226" s="195"/>
      <c r="AK226" s="195"/>
      <c r="AL226" s="195"/>
      <c r="AM226" s="195"/>
      <c r="AN226" s="195"/>
      <c r="AO226" s="195"/>
      <c r="AP226" s="195"/>
      <c r="AQ226" s="195"/>
      <c r="AR226" s="195"/>
      <c r="AS226" s="195"/>
      <c r="AT226" s="195"/>
      <c r="AU226" s="195"/>
      <c r="AV226" s="195"/>
      <c r="AW226" s="195"/>
      <c r="AX226" s="195"/>
      <c r="AY226" s="195"/>
      <c r="AZ226" s="195"/>
      <c r="BA226" s="195"/>
      <c r="BB226" s="195"/>
      <c r="BC226" s="195"/>
      <c r="BD226" s="195"/>
      <c r="BE226" s="195"/>
      <c r="BF226" s="195"/>
      <c r="BG226" s="195"/>
      <c r="BH226" s="195"/>
      <c r="BI226" s="195"/>
      <c r="BJ226" s="195"/>
      <c r="BK226" s="195"/>
      <c r="BL226" s="195"/>
      <c r="BM226" s="195"/>
      <c r="BN226" s="195"/>
      <c r="BO226" s="195"/>
      <c r="BP226" s="195"/>
      <c r="BQ226" s="195"/>
      <c r="BR226" s="195"/>
      <c r="BS226" s="195"/>
      <c r="BT226" s="195"/>
      <c r="BU226" s="195"/>
      <c r="BV226" s="195"/>
      <c r="BW226" s="195"/>
      <c r="BX226" s="195"/>
      <c r="BY226" s="195"/>
      <c r="BZ226" s="195"/>
      <c r="CA226" s="195"/>
      <c r="CB226" s="195"/>
      <c r="CC226" s="195"/>
      <c r="CD226" s="195"/>
      <c r="CE226" s="195"/>
      <c r="CF226" s="195"/>
      <c r="CG226" s="195"/>
      <c r="CH226" s="195"/>
      <c r="CI226" s="195"/>
      <c r="CJ226" s="195"/>
      <c r="CK226" s="195"/>
      <c r="CL226" s="195"/>
      <c r="CM226" s="195"/>
      <c r="CN226" s="195"/>
      <c r="CO226" s="195"/>
      <c r="CP226" s="195"/>
      <c r="CQ226" s="195"/>
      <c r="CR226" s="195"/>
      <c r="CS226" s="195"/>
      <c r="CT226" s="195"/>
      <c r="CU226" s="195"/>
      <c r="CV226" s="195"/>
      <c r="CW226" s="195"/>
      <c r="CX226" s="195"/>
      <c r="CY226" s="195"/>
      <c r="CZ226" s="195"/>
      <c r="DA226" s="195"/>
      <c r="DB226" s="195"/>
      <c r="DC226" s="195"/>
      <c r="DD226" s="195"/>
      <c r="DE226" s="195"/>
      <c r="DF226" s="195"/>
      <c r="DG226" s="195"/>
      <c r="DH226" s="195"/>
      <c r="DI226" s="195"/>
      <c r="DJ226" s="195"/>
      <c r="DK226" s="195"/>
      <c r="DL226" s="195"/>
      <c r="DM226" s="195"/>
      <c r="DN226" s="195"/>
      <c r="DO226" s="195"/>
      <c r="DP226" s="195"/>
      <c r="DQ226" s="195"/>
      <c r="DR226" s="195"/>
      <c r="DS226" s="195"/>
      <c r="DT226" s="195"/>
      <c r="DU226" s="195"/>
      <c r="DV226" s="195"/>
      <c r="DW226" s="195"/>
      <c r="DX226" s="195"/>
      <c r="DY226" s="195"/>
      <c r="DZ226" s="195"/>
      <c r="EA226" s="195"/>
      <c r="EB226" s="195"/>
      <c r="EC226" s="195"/>
      <c r="ED226" s="195"/>
      <c r="EE226" s="195"/>
      <c r="EF226" s="195"/>
      <c r="EG226" s="195"/>
    </row>
    <row r="227" spans="1:140" x14ac:dyDescent="0.25">
      <c r="A227" s="196" t="s">
        <v>479</v>
      </c>
      <c r="B227" s="59"/>
      <c r="C227" s="16" t="s">
        <v>483</v>
      </c>
      <c r="D227" s="196"/>
      <c r="E227" s="197"/>
      <c r="F227" s="198" t="s">
        <v>471</v>
      </c>
      <c r="G227" s="198" t="s">
        <v>471</v>
      </c>
      <c r="H227" s="198" t="s">
        <v>471</v>
      </c>
      <c r="I227" s="198" t="s">
        <v>471</v>
      </c>
      <c r="J227" s="198" t="s">
        <v>471</v>
      </c>
      <c r="K227" s="198" t="s">
        <v>471</v>
      </c>
      <c r="L227" s="98">
        <f t="shared" ref="L227:T227" si="70">SUM(L228:L236)</f>
        <v>465288</v>
      </c>
      <c r="M227" s="98">
        <f t="shared" si="70"/>
        <v>465288</v>
      </c>
      <c r="N227" s="98">
        <f t="shared" si="70"/>
        <v>465288</v>
      </c>
      <c r="O227" s="98">
        <f t="shared" si="70"/>
        <v>0</v>
      </c>
      <c r="P227" s="98">
        <f t="shared" si="70"/>
        <v>0</v>
      </c>
      <c r="Q227" s="98">
        <f t="shared" si="70"/>
        <v>0</v>
      </c>
      <c r="R227" s="98">
        <f t="shared" si="70"/>
        <v>63124085.880000003</v>
      </c>
      <c r="S227" s="98">
        <f t="shared" si="70"/>
        <v>66544989.840000004</v>
      </c>
      <c r="T227" s="98">
        <f t="shared" si="70"/>
        <v>70036156.920000002</v>
      </c>
      <c r="U227" s="198" t="s">
        <v>471</v>
      </c>
      <c r="V227" s="198" t="s">
        <v>471</v>
      </c>
      <c r="W227" s="198" t="s">
        <v>471</v>
      </c>
      <c r="X227" s="198" t="s">
        <v>471</v>
      </c>
      <c r="Y227" s="198" t="s">
        <v>471</v>
      </c>
      <c r="Z227" s="198" t="s">
        <v>471</v>
      </c>
      <c r="AA227" s="98">
        <f t="shared" ref="AA227:AO227" si="71">SUM(AA228:AA236)</f>
        <v>0</v>
      </c>
      <c r="AB227" s="98">
        <f t="shared" si="71"/>
        <v>0</v>
      </c>
      <c r="AC227" s="98">
        <f t="shared" si="71"/>
        <v>0</v>
      </c>
      <c r="AD227" s="98">
        <f t="shared" si="71"/>
        <v>65690671.859999999</v>
      </c>
      <c r="AE227" s="98">
        <f t="shared" si="71"/>
        <v>68530771.849999994</v>
      </c>
      <c r="AF227" s="98">
        <f t="shared" si="71"/>
        <v>71646171.859999999</v>
      </c>
      <c r="AG227" s="98">
        <f t="shared" si="71"/>
        <v>343104</v>
      </c>
      <c r="AH227" s="98">
        <f t="shared" si="71"/>
        <v>343104</v>
      </c>
      <c r="AI227" s="98">
        <f t="shared" si="71"/>
        <v>343104</v>
      </c>
      <c r="AJ227" s="98">
        <f t="shared" si="71"/>
        <v>0</v>
      </c>
      <c r="AK227" s="98">
        <f t="shared" si="71"/>
        <v>0</v>
      </c>
      <c r="AL227" s="98">
        <f t="shared" si="71"/>
        <v>0</v>
      </c>
      <c r="AM227" s="98">
        <f t="shared" si="71"/>
        <v>43404071.200000003</v>
      </c>
      <c r="AN227" s="98">
        <f t="shared" si="71"/>
        <v>45800683.439999998</v>
      </c>
      <c r="AO227" s="98">
        <f t="shared" si="71"/>
        <v>48243347.68</v>
      </c>
      <c r="AP227" s="198" t="s">
        <v>471</v>
      </c>
      <c r="AQ227" s="198" t="s">
        <v>471</v>
      </c>
      <c r="AR227" s="198" t="s">
        <v>471</v>
      </c>
      <c r="AS227" s="198" t="s">
        <v>471</v>
      </c>
      <c r="AT227" s="198" t="s">
        <v>471</v>
      </c>
      <c r="AU227" s="198" t="s">
        <v>471</v>
      </c>
      <c r="AV227" s="98">
        <f t="shared" ref="AV227:BJ227" si="72">SUM(AV228:AV236)</f>
        <v>0</v>
      </c>
      <c r="AW227" s="98">
        <f t="shared" si="72"/>
        <v>0</v>
      </c>
      <c r="AX227" s="98">
        <f t="shared" si="72"/>
        <v>0</v>
      </c>
      <c r="AY227" s="98">
        <f t="shared" si="72"/>
        <v>52560705.619999997</v>
      </c>
      <c r="AZ227" s="98">
        <f t="shared" si="72"/>
        <v>54837405.630000003</v>
      </c>
      <c r="BA227" s="98">
        <f t="shared" si="72"/>
        <v>57065105.619999997</v>
      </c>
      <c r="BB227" s="98">
        <f t="shared" si="72"/>
        <v>238356</v>
      </c>
      <c r="BC227" s="98">
        <f t="shared" si="72"/>
        <v>238356</v>
      </c>
      <c r="BD227" s="98">
        <f t="shared" si="72"/>
        <v>238356</v>
      </c>
      <c r="BE227" s="98">
        <f t="shared" si="72"/>
        <v>0</v>
      </c>
      <c r="BF227" s="98">
        <f t="shared" si="72"/>
        <v>0</v>
      </c>
      <c r="BG227" s="98">
        <f t="shared" si="72"/>
        <v>0</v>
      </c>
      <c r="BH227" s="98">
        <f t="shared" si="72"/>
        <v>29721496.32</v>
      </c>
      <c r="BI227" s="98">
        <f t="shared" si="72"/>
        <v>31369716.359999999</v>
      </c>
      <c r="BJ227" s="98">
        <f t="shared" si="72"/>
        <v>33047743.32</v>
      </c>
      <c r="BK227" s="198" t="s">
        <v>471</v>
      </c>
      <c r="BL227" s="198" t="s">
        <v>471</v>
      </c>
      <c r="BM227" s="198" t="s">
        <v>471</v>
      </c>
      <c r="BN227" s="198" t="s">
        <v>471</v>
      </c>
      <c r="BO227" s="198" t="s">
        <v>471</v>
      </c>
      <c r="BP227" s="198" t="s">
        <v>471</v>
      </c>
      <c r="BQ227" s="98">
        <f t="shared" ref="BQ227:CE227" si="73">SUM(BQ228:BQ236)</f>
        <v>0</v>
      </c>
      <c r="BR227" s="98">
        <f t="shared" si="73"/>
        <v>0</v>
      </c>
      <c r="BS227" s="98">
        <f t="shared" si="73"/>
        <v>0</v>
      </c>
      <c r="BT227" s="98">
        <f t="shared" si="73"/>
        <v>44997289.090000004</v>
      </c>
      <c r="BU227" s="98">
        <f t="shared" si="73"/>
        <v>45513889.090000004</v>
      </c>
      <c r="BV227" s="98">
        <f t="shared" si="73"/>
        <v>47092589.090000004</v>
      </c>
      <c r="BW227" s="98">
        <f t="shared" si="73"/>
        <v>147528</v>
      </c>
      <c r="BX227" s="98">
        <f t="shared" si="73"/>
        <v>147528</v>
      </c>
      <c r="BY227" s="98">
        <f t="shared" si="73"/>
        <v>147528</v>
      </c>
      <c r="BZ227" s="98">
        <f t="shared" si="73"/>
        <v>0</v>
      </c>
      <c r="CA227" s="98">
        <f t="shared" si="73"/>
        <v>0</v>
      </c>
      <c r="CB227" s="98">
        <f t="shared" si="73"/>
        <v>0</v>
      </c>
      <c r="CC227" s="98">
        <f t="shared" si="73"/>
        <v>13433899.68</v>
      </c>
      <c r="CD227" s="98">
        <f t="shared" si="73"/>
        <v>14255630.640000001</v>
      </c>
      <c r="CE227" s="98">
        <f t="shared" si="73"/>
        <v>15087688.560000001</v>
      </c>
      <c r="CF227" s="198" t="s">
        <v>471</v>
      </c>
      <c r="CG227" s="198" t="s">
        <v>471</v>
      </c>
      <c r="CH227" s="198" t="s">
        <v>471</v>
      </c>
      <c r="CI227" s="198" t="s">
        <v>471</v>
      </c>
      <c r="CJ227" s="198" t="s">
        <v>471</v>
      </c>
      <c r="CK227" s="198" t="s">
        <v>471</v>
      </c>
      <c r="CL227" s="98">
        <f t="shared" ref="CL227:CZ227" si="74">SUM(CL228:CL236)</f>
        <v>0</v>
      </c>
      <c r="CM227" s="98">
        <f t="shared" si="74"/>
        <v>0</v>
      </c>
      <c r="CN227" s="98">
        <f t="shared" si="74"/>
        <v>0</v>
      </c>
      <c r="CO227" s="98">
        <f t="shared" si="74"/>
        <v>12783261.65</v>
      </c>
      <c r="CP227" s="98">
        <f t="shared" si="74"/>
        <v>13023761.65</v>
      </c>
      <c r="CQ227" s="98">
        <f t="shared" si="74"/>
        <v>13585561.65</v>
      </c>
      <c r="CR227" s="98">
        <f t="shared" si="74"/>
        <v>95760</v>
      </c>
      <c r="CS227" s="98">
        <f t="shared" si="74"/>
        <v>95760</v>
      </c>
      <c r="CT227" s="98">
        <f t="shared" si="74"/>
        <v>95760</v>
      </c>
      <c r="CU227" s="98">
        <f t="shared" si="74"/>
        <v>0</v>
      </c>
      <c r="CV227" s="98">
        <f t="shared" si="74"/>
        <v>0</v>
      </c>
      <c r="CW227" s="98">
        <f t="shared" si="74"/>
        <v>0</v>
      </c>
      <c r="CX227" s="98">
        <f t="shared" si="74"/>
        <v>15528441.6</v>
      </c>
      <c r="CY227" s="98">
        <f t="shared" si="74"/>
        <v>16334740.800000001</v>
      </c>
      <c r="CZ227" s="98">
        <f t="shared" si="74"/>
        <v>17159234.399999999</v>
      </c>
      <c r="DA227" s="198" t="s">
        <v>471</v>
      </c>
      <c r="DB227" s="198" t="s">
        <v>471</v>
      </c>
      <c r="DC227" s="198" t="s">
        <v>471</v>
      </c>
      <c r="DD227" s="198" t="s">
        <v>471</v>
      </c>
      <c r="DE227" s="198" t="s">
        <v>471</v>
      </c>
      <c r="DF227" s="198" t="s">
        <v>471</v>
      </c>
      <c r="DG227" s="98">
        <f t="shared" ref="DG227:DU227" si="75">SUM(DG228:DG236)</f>
        <v>0</v>
      </c>
      <c r="DH227" s="98">
        <f t="shared" si="75"/>
        <v>0</v>
      </c>
      <c r="DI227" s="98">
        <f t="shared" si="75"/>
        <v>0</v>
      </c>
      <c r="DJ227" s="98">
        <f t="shared" si="75"/>
        <v>7190065.1299999999</v>
      </c>
      <c r="DK227" s="98">
        <f t="shared" si="75"/>
        <v>7312165.1299999999</v>
      </c>
      <c r="DL227" s="98">
        <f t="shared" si="75"/>
        <v>7629165.1299999999</v>
      </c>
      <c r="DM227" s="98">
        <f t="shared" si="75"/>
        <v>1290036</v>
      </c>
      <c r="DN227" s="98">
        <f t="shared" si="75"/>
        <v>1290036</v>
      </c>
      <c r="DO227" s="98">
        <f t="shared" si="75"/>
        <v>1290036</v>
      </c>
      <c r="DP227" s="98">
        <f t="shared" si="75"/>
        <v>0</v>
      </c>
      <c r="DQ227" s="98">
        <f t="shared" si="75"/>
        <v>0</v>
      </c>
      <c r="DR227" s="98">
        <f t="shared" si="75"/>
        <v>0</v>
      </c>
      <c r="DS227" s="98">
        <f t="shared" si="75"/>
        <v>165211994.68000001</v>
      </c>
      <c r="DT227" s="98">
        <f t="shared" si="75"/>
        <v>174305761.08000001</v>
      </c>
      <c r="DU227" s="98">
        <f t="shared" si="75"/>
        <v>183574170.88</v>
      </c>
      <c r="DV227" s="198" t="s">
        <v>471</v>
      </c>
      <c r="DW227" s="198" t="s">
        <v>471</v>
      </c>
      <c r="DX227" s="198" t="s">
        <v>471</v>
      </c>
      <c r="DY227" s="198" t="s">
        <v>471</v>
      </c>
      <c r="DZ227" s="198" t="s">
        <v>471</v>
      </c>
      <c r="EA227" s="198" t="s">
        <v>471</v>
      </c>
      <c r="EB227" s="98">
        <f t="shared" ref="EB227:EG227" si="76">SUM(EB228:EB236)</f>
        <v>0</v>
      </c>
      <c r="EC227" s="98">
        <f t="shared" si="76"/>
        <v>0</v>
      </c>
      <c r="ED227" s="98">
        <f t="shared" si="76"/>
        <v>0</v>
      </c>
      <c r="EE227" s="98">
        <f t="shared" si="76"/>
        <v>183221993.34</v>
      </c>
      <c r="EF227" s="98">
        <f t="shared" si="76"/>
        <v>189217993.31999999</v>
      </c>
      <c r="EG227" s="98">
        <f t="shared" si="76"/>
        <v>197018593.33000001</v>
      </c>
      <c r="EI227" s="1" t="s">
        <v>1438</v>
      </c>
      <c r="EJ227" s="1">
        <f>EJ234/EJ230</f>
        <v>1.3673117983332199</v>
      </c>
    </row>
    <row r="228" spans="1:140" x14ac:dyDescent="0.25">
      <c r="A228" s="12" t="s">
        <v>52</v>
      </c>
      <c r="B228" s="315" t="s">
        <v>822</v>
      </c>
      <c r="C228" s="5"/>
      <c r="D228" s="199"/>
      <c r="E228" s="200"/>
      <c r="F228" s="71"/>
      <c r="G228" s="71"/>
      <c r="H228" s="71"/>
      <c r="I228" s="71">
        <f t="shared" ref="I228:K233" si="77">F211</f>
        <v>119.77</v>
      </c>
      <c r="J228" s="71">
        <f t="shared" si="77"/>
        <v>126.49</v>
      </c>
      <c r="K228" s="71">
        <f t="shared" si="77"/>
        <v>133.32</v>
      </c>
      <c r="L228" s="181">
        <f t="shared" ref="L228:N236" si="78">L259+L287</f>
        <v>12384</v>
      </c>
      <c r="M228" s="181">
        <f t="shared" si="78"/>
        <v>12384</v>
      </c>
      <c r="N228" s="181">
        <f t="shared" si="78"/>
        <v>12384</v>
      </c>
      <c r="O228" s="76">
        <f t="shared" ref="O228:O233" si="79">$F228*L228</f>
        <v>0</v>
      </c>
      <c r="P228" s="76">
        <f t="shared" ref="P228:P233" si="80">$G228*M228</f>
        <v>0</v>
      </c>
      <c r="Q228" s="76">
        <f t="shared" ref="Q228:Q233" si="81">$H228*N228</f>
        <v>0</v>
      </c>
      <c r="R228" s="76">
        <f t="shared" ref="R228:R233" si="82">$I228*L228</f>
        <v>1483231.68</v>
      </c>
      <c r="S228" s="76">
        <f t="shared" ref="S228:S233" si="83">$J228*M228</f>
        <v>1566452.16</v>
      </c>
      <c r="T228" s="76">
        <f t="shared" ref="T228:T233" si="84">$K228*N228</f>
        <v>1651034.88</v>
      </c>
      <c r="U228" s="221">
        <f t="shared" ref="U228:U236" si="85">$F228*U$239</f>
        <v>0</v>
      </c>
      <c r="V228" s="221">
        <f t="shared" ref="V228:V236" si="86">$G228*V$239</f>
        <v>0</v>
      </c>
      <c r="W228" s="221">
        <f t="shared" ref="W228:W236" si="87">$H228*W$239</f>
        <v>0</v>
      </c>
      <c r="X228" s="221">
        <f t="shared" ref="X228:X236" si="88">$I228*X$239</f>
        <v>124.63977351139999</v>
      </c>
      <c r="Y228" s="221">
        <f t="shared" ref="Y228:Y236" si="89">$J228*Y$239</f>
        <v>130.2646127429</v>
      </c>
      <c r="Z228" s="221">
        <f t="shared" ref="Z228:Z236" si="90">$K228*Z$239</f>
        <v>136.38480538210001</v>
      </c>
      <c r="AA228" s="76">
        <f t="shared" ref="AA228:AC233" si="91">L228*U228</f>
        <v>0</v>
      </c>
      <c r="AB228" s="76">
        <f t="shared" si="91"/>
        <v>0</v>
      </c>
      <c r="AC228" s="76">
        <f t="shared" si="91"/>
        <v>0</v>
      </c>
      <c r="AD228" s="76">
        <f t="shared" ref="AD228:AF233" si="92">L228*X228</f>
        <v>1543538.96</v>
      </c>
      <c r="AE228" s="76">
        <f t="shared" si="92"/>
        <v>1613196.96</v>
      </c>
      <c r="AF228" s="76">
        <f t="shared" si="92"/>
        <v>1688989.43</v>
      </c>
      <c r="AG228" s="181">
        <f t="shared" ref="AG228:AI236" si="93">AG259+AG287</f>
        <v>0</v>
      </c>
      <c r="AH228" s="181">
        <f t="shared" si="93"/>
        <v>0</v>
      </c>
      <c r="AI228" s="181">
        <f t="shared" si="93"/>
        <v>0</v>
      </c>
      <c r="AJ228" s="76">
        <f t="shared" ref="AJ228:AJ233" si="94">$F228*AG228</f>
        <v>0</v>
      </c>
      <c r="AK228" s="76">
        <f t="shared" ref="AK228:AK233" si="95">$G228*AH228</f>
        <v>0</v>
      </c>
      <c r="AL228" s="76">
        <f t="shared" ref="AL228:AL233" si="96">$H228*AI228</f>
        <v>0</v>
      </c>
      <c r="AM228" s="76">
        <f t="shared" ref="AM228:AM233" si="97">$I228*AG228</f>
        <v>0</v>
      </c>
      <c r="AN228" s="76">
        <f t="shared" ref="AN228:AN233" si="98">$J228*AH228</f>
        <v>0</v>
      </c>
      <c r="AO228" s="76">
        <f t="shared" ref="AO228:AO233" si="99">$K228*AI228</f>
        <v>0</v>
      </c>
      <c r="AP228" s="221">
        <f t="shared" ref="AP228:AP236" si="100">$F228*AP$239</f>
        <v>0</v>
      </c>
      <c r="AQ228" s="221">
        <f t="shared" ref="AQ228:AQ236" si="101">$G228*AQ$239</f>
        <v>0</v>
      </c>
      <c r="AR228" s="221">
        <f t="shared" ref="AR228:AR236" si="102">$H228*AR$239</f>
        <v>0</v>
      </c>
      <c r="AS228" s="221">
        <f t="shared" ref="AS228:AS236" si="103">$I228*AS$239</f>
        <v>145.03698704479999</v>
      </c>
      <c r="AT228" s="221">
        <f t="shared" ref="AT228:AT236" si="104">$J228*AT$239</f>
        <v>151.4471600839</v>
      </c>
      <c r="AU228" s="221">
        <f t="shared" ref="AU228:AU236" si="105">$K228*AU$239</f>
        <v>157.69883823239999</v>
      </c>
      <c r="AV228" s="76">
        <f t="shared" ref="AV228:AX233" si="106">AG228*AP228</f>
        <v>0</v>
      </c>
      <c r="AW228" s="76">
        <f t="shared" si="106"/>
        <v>0</v>
      </c>
      <c r="AX228" s="76">
        <f t="shared" si="106"/>
        <v>0</v>
      </c>
      <c r="AY228" s="76">
        <f t="shared" ref="AY228:BA233" si="107">AG228*AS228</f>
        <v>0</v>
      </c>
      <c r="AZ228" s="76">
        <f t="shared" si="107"/>
        <v>0</v>
      </c>
      <c r="BA228" s="76">
        <f t="shared" si="107"/>
        <v>0</v>
      </c>
      <c r="BB228" s="181">
        <f t="shared" ref="BB228:BD236" si="108">BB259+BB287</f>
        <v>113328</v>
      </c>
      <c r="BC228" s="181">
        <f t="shared" si="108"/>
        <v>113328</v>
      </c>
      <c r="BD228" s="181">
        <f t="shared" si="108"/>
        <v>113328</v>
      </c>
      <c r="BE228" s="76">
        <f t="shared" ref="BE228:BE233" si="109">$F228*BB228</f>
        <v>0</v>
      </c>
      <c r="BF228" s="76">
        <f t="shared" ref="BF228:BF233" si="110">$G228*BC228</f>
        <v>0</v>
      </c>
      <c r="BG228" s="76">
        <f t="shared" ref="BG228:BG233" si="111">$H228*BD228</f>
        <v>0</v>
      </c>
      <c r="BH228" s="76">
        <f t="shared" ref="BH228:BH233" si="112">$I228*BB228</f>
        <v>13573294.560000001</v>
      </c>
      <c r="BI228" s="76">
        <f t="shared" ref="BI228:BI233" si="113">$J228*BC228</f>
        <v>14334858.720000001</v>
      </c>
      <c r="BJ228" s="76">
        <f t="shared" ref="BJ228:BJ233" si="114">$K228*BD228</f>
        <v>15108888.960000001</v>
      </c>
      <c r="BK228" s="221">
        <f t="shared" ref="BK228:BK236" si="115">$F228*BK$239</f>
        <v>0</v>
      </c>
      <c r="BL228" s="221">
        <f t="shared" ref="BL228:BL236" si="116">$G228*BL$239</f>
        <v>0</v>
      </c>
      <c r="BM228" s="221">
        <f t="shared" ref="BM228:BM236" si="117">$H228*BM$239</f>
        <v>0</v>
      </c>
      <c r="BN228" s="221">
        <f t="shared" ref="BN228:BN236" si="118">$I228*BN$239</f>
        <v>181.32752323049999</v>
      </c>
      <c r="BO228" s="221">
        <f t="shared" ref="BO228:BO236" si="119">$J228*BO$239</f>
        <v>183.52259755040001</v>
      </c>
      <c r="BP228" s="221">
        <f t="shared" ref="BP228:BP236" si="120">$K228*BP$239</f>
        <v>189.9792042329</v>
      </c>
      <c r="BQ228" s="76">
        <f t="shared" ref="BQ228:BS233" si="121">BB228*BK228</f>
        <v>0</v>
      </c>
      <c r="BR228" s="76">
        <f t="shared" si="121"/>
        <v>0</v>
      </c>
      <c r="BS228" s="76">
        <f t="shared" si="121"/>
        <v>0</v>
      </c>
      <c r="BT228" s="76">
        <f t="shared" ref="BT228:BV233" si="122">BB228*BN228</f>
        <v>20549485.550000001</v>
      </c>
      <c r="BU228" s="76">
        <f t="shared" si="122"/>
        <v>20798248.940000001</v>
      </c>
      <c r="BV228" s="76">
        <f t="shared" si="122"/>
        <v>21529963.260000002</v>
      </c>
      <c r="BW228" s="181">
        <f t="shared" ref="BW228:BY236" si="123">BW259+BW287</f>
        <v>0</v>
      </c>
      <c r="BX228" s="181">
        <f t="shared" si="123"/>
        <v>0</v>
      </c>
      <c r="BY228" s="181">
        <f t="shared" si="123"/>
        <v>0</v>
      </c>
      <c r="BZ228" s="76">
        <f t="shared" ref="BZ228:BZ233" si="124">$F228*BW228</f>
        <v>0</v>
      </c>
      <c r="CA228" s="76">
        <f t="shared" ref="CA228:CA233" si="125">$G228*BX228</f>
        <v>0</v>
      </c>
      <c r="CB228" s="76">
        <f t="shared" ref="CB228:CB233" si="126">$H228*BY228</f>
        <v>0</v>
      </c>
      <c r="CC228" s="76">
        <f t="shared" ref="CC228:CC233" si="127">$I228*BW228</f>
        <v>0</v>
      </c>
      <c r="CD228" s="76">
        <f t="shared" ref="CD228:CD233" si="128">$J228*BX228</f>
        <v>0</v>
      </c>
      <c r="CE228" s="76">
        <f t="shared" ref="CE228:CE233" si="129">$K228*BY228</f>
        <v>0</v>
      </c>
      <c r="CF228" s="221">
        <f t="shared" ref="CF228:CF236" si="130">$F228*CF$239</f>
        <v>0</v>
      </c>
      <c r="CG228" s="221">
        <f t="shared" ref="CG228:CG236" si="131">$G228*CG$239</f>
        <v>0</v>
      </c>
      <c r="CH228" s="221">
        <f t="shared" ref="CH228:CH236" si="132">$H228*CH$239</f>
        <v>0</v>
      </c>
      <c r="CI228" s="221">
        <f t="shared" ref="CI228:CI236" si="133">$I228*CI$239</f>
        <v>113.9692333787</v>
      </c>
      <c r="CJ228" s="221">
        <f t="shared" ref="CJ228:CJ236" si="134">$J228*CJ$239</f>
        <v>115.5596446624</v>
      </c>
      <c r="CK228" s="221">
        <f t="shared" ref="CK228:CK236" si="135">$K228*CK$239</f>
        <v>120.046690517</v>
      </c>
      <c r="CL228" s="76">
        <f t="shared" ref="CL228:CN233" si="136">BW228*CF228</f>
        <v>0</v>
      </c>
      <c r="CM228" s="76">
        <f t="shared" si="136"/>
        <v>0</v>
      </c>
      <c r="CN228" s="76">
        <f t="shared" si="136"/>
        <v>0</v>
      </c>
      <c r="CO228" s="76">
        <f t="shared" ref="CO228:CQ233" si="137">BW228*CI228</f>
        <v>0</v>
      </c>
      <c r="CP228" s="76">
        <f t="shared" si="137"/>
        <v>0</v>
      </c>
      <c r="CQ228" s="76">
        <f t="shared" si="137"/>
        <v>0</v>
      </c>
      <c r="CR228" s="181">
        <f t="shared" ref="CR228:CT236" si="138">CR259+CR287</f>
        <v>0</v>
      </c>
      <c r="CS228" s="181">
        <f t="shared" si="138"/>
        <v>0</v>
      </c>
      <c r="CT228" s="181">
        <f t="shared" si="138"/>
        <v>0</v>
      </c>
      <c r="CU228" s="76">
        <f t="shared" ref="CU228:CU233" si="139">$F228*CR228</f>
        <v>0</v>
      </c>
      <c r="CV228" s="76">
        <f t="shared" ref="CV228:CV233" si="140">$G228*CS228</f>
        <v>0</v>
      </c>
      <c r="CW228" s="76">
        <f t="shared" ref="CW228:CW233" si="141">$H228*CT228</f>
        <v>0</v>
      </c>
      <c r="CX228" s="76">
        <f t="shared" ref="CX228:CX233" si="142">$I228*CR228</f>
        <v>0</v>
      </c>
      <c r="CY228" s="76">
        <f t="shared" ref="CY228:CY233" si="143">$J228*CS228</f>
        <v>0</v>
      </c>
      <c r="CZ228" s="76">
        <f t="shared" ref="CZ228:CZ233" si="144">$K228*CT228</f>
        <v>0</v>
      </c>
      <c r="DA228" s="221">
        <f t="shared" ref="DA228:DA236" si="145">$F228*DA$239</f>
        <v>0</v>
      </c>
      <c r="DB228" s="221">
        <f t="shared" ref="DB228:DB236" si="146">$G228*DB$239</f>
        <v>0</v>
      </c>
      <c r="DC228" s="221">
        <f t="shared" ref="DC228:DC236" si="147">$H228*DC$239</f>
        <v>0</v>
      </c>
      <c r="DD228" s="221">
        <f t="shared" ref="DD228:DD236" si="148">$I228*DD$239</f>
        <v>55.456569488699998</v>
      </c>
      <c r="DE228" s="221">
        <f t="shared" ref="DE228:DE236" si="149">$J228*DE$239</f>
        <v>56.622616707699997</v>
      </c>
      <c r="DF228" s="221">
        <f t="shared" ref="DF228:DF236" si="150">$K228*DF$239</f>
        <v>59.275389068300001</v>
      </c>
      <c r="DG228" s="76">
        <f t="shared" ref="DG228:DI233" si="151">CR228*DA228</f>
        <v>0</v>
      </c>
      <c r="DH228" s="76">
        <f t="shared" si="151"/>
        <v>0</v>
      </c>
      <c r="DI228" s="76">
        <f t="shared" si="151"/>
        <v>0</v>
      </c>
      <c r="DJ228" s="76">
        <f t="shared" ref="DJ228:DL233" si="152">CR228*DD228</f>
        <v>0</v>
      </c>
      <c r="DK228" s="76">
        <f t="shared" si="152"/>
        <v>0</v>
      </c>
      <c r="DL228" s="76">
        <f t="shared" si="152"/>
        <v>0</v>
      </c>
      <c r="DM228" s="181">
        <f>L228+AG228+BB228+BW228+CR228</f>
        <v>125712</v>
      </c>
      <c r="DN228" s="181">
        <f t="shared" ref="DN228:DO233" si="153">M228+AH228+BC228+BX228+CS228</f>
        <v>125712</v>
      </c>
      <c r="DO228" s="181">
        <f t="shared" si="153"/>
        <v>125712</v>
      </c>
      <c r="DP228" s="76">
        <f t="shared" ref="DP228:DP233" si="154">$F228*DM228</f>
        <v>0</v>
      </c>
      <c r="DQ228" s="76">
        <f t="shared" ref="DQ228:DQ233" si="155">$G228*DN228</f>
        <v>0</v>
      </c>
      <c r="DR228" s="76">
        <f t="shared" ref="DR228:DR233" si="156">$H228*DO228</f>
        <v>0</v>
      </c>
      <c r="DS228" s="76">
        <f t="shared" ref="DS228:DS233" si="157">$I228*DM228</f>
        <v>15056526.24</v>
      </c>
      <c r="DT228" s="76">
        <f t="shared" ref="DT228:DT233" si="158">$J228*DN228</f>
        <v>15901310.880000001</v>
      </c>
      <c r="DU228" s="76">
        <f t="shared" ref="DU228:DU233" si="159">$K228*DO228</f>
        <v>16759923.84</v>
      </c>
      <c r="DV228" s="221">
        <f t="shared" ref="DV228:DV236" si="160">$F228*DV$239</f>
        <v>0</v>
      </c>
      <c r="DW228" s="221">
        <f t="shared" ref="DW228:DW236" si="161">$G228*DW$239</f>
        <v>0</v>
      </c>
      <c r="DX228" s="221">
        <f t="shared" ref="DX228:DX236" si="162">$H228*DX$239</f>
        <v>0</v>
      </c>
      <c r="DY228" s="221">
        <f t="shared" ref="DY228:DY236" si="163">$I228*DY$239</f>
        <v>132.8263010551</v>
      </c>
      <c r="DZ228" s="221">
        <f t="shared" ref="DZ228:DZ236" si="164">$J228*DZ$239</f>
        <v>137.3114911879</v>
      </c>
      <c r="EA228" s="221">
        <f t="shared" ref="EA228:EA236" si="165">$K228*EA$239</f>
        <v>143.08395749330001</v>
      </c>
      <c r="EB228" s="76">
        <f t="shared" ref="EB228:ED233" si="166">DM228*DV228</f>
        <v>0</v>
      </c>
      <c r="EC228" s="76">
        <f t="shared" si="166"/>
        <v>0</v>
      </c>
      <c r="ED228" s="76">
        <f t="shared" si="166"/>
        <v>0</v>
      </c>
      <c r="EE228" s="76">
        <f t="shared" ref="EE228:EG233" si="167">DM228*DY228</f>
        <v>16697859.960000001</v>
      </c>
      <c r="EF228" s="76">
        <f t="shared" si="167"/>
        <v>17261702.18</v>
      </c>
      <c r="EG228" s="76">
        <f t="shared" si="167"/>
        <v>17987370.460000001</v>
      </c>
      <c r="EJ228" s="252"/>
    </row>
    <row r="229" spans="1:140" x14ac:dyDescent="0.25">
      <c r="A229" s="12" t="s">
        <v>53</v>
      </c>
      <c r="B229" s="315" t="s">
        <v>819</v>
      </c>
      <c r="C229" s="5"/>
      <c r="D229" s="199"/>
      <c r="E229" s="200"/>
      <c r="F229" s="71"/>
      <c r="G229" s="71"/>
      <c r="H229" s="71"/>
      <c r="I229" s="71">
        <f t="shared" si="77"/>
        <v>91.06</v>
      </c>
      <c r="J229" s="71">
        <f t="shared" si="77"/>
        <v>96.63</v>
      </c>
      <c r="K229" s="71">
        <f t="shared" si="77"/>
        <v>102.27</v>
      </c>
      <c r="L229" s="181">
        <f t="shared" si="78"/>
        <v>19872</v>
      </c>
      <c r="M229" s="181">
        <f t="shared" si="78"/>
        <v>19872</v>
      </c>
      <c r="N229" s="181">
        <f t="shared" si="78"/>
        <v>19872</v>
      </c>
      <c r="O229" s="76">
        <f t="shared" si="79"/>
        <v>0</v>
      </c>
      <c r="P229" s="76">
        <f t="shared" si="80"/>
        <v>0</v>
      </c>
      <c r="Q229" s="76">
        <f t="shared" si="81"/>
        <v>0</v>
      </c>
      <c r="R229" s="76">
        <f t="shared" si="82"/>
        <v>1809544.32</v>
      </c>
      <c r="S229" s="76">
        <f t="shared" si="83"/>
        <v>1920231.36</v>
      </c>
      <c r="T229" s="76">
        <f t="shared" si="84"/>
        <v>2032309.44</v>
      </c>
      <c r="U229" s="221">
        <f t="shared" si="85"/>
        <v>0</v>
      </c>
      <c r="V229" s="221">
        <f t="shared" si="86"/>
        <v>0</v>
      </c>
      <c r="W229" s="221">
        <f t="shared" si="87"/>
        <v>0</v>
      </c>
      <c r="X229" s="221">
        <f t="shared" si="88"/>
        <v>94.762442815</v>
      </c>
      <c r="Y229" s="221">
        <f t="shared" si="89"/>
        <v>99.513554663199997</v>
      </c>
      <c r="Z229" s="221">
        <f t="shared" si="90"/>
        <v>104.62101745</v>
      </c>
      <c r="AA229" s="76">
        <f t="shared" si="91"/>
        <v>0</v>
      </c>
      <c r="AB229" s="76">
        <f t="shared" si="91"/>
        <v>0</v>
      </c>
      <c r="AC229" s="76">
        <f t="shared" si="91"/>
        <v>0</v>
      </c>
      <c r="AD229" s="76">
        <f t="shared" si="92"/>
        <v>1883119.26</v>
      </c>
      <c r="AE229" s="76">
        <f t="shared" si="92"/>
        <v>1977533.36</v>
      </c>
      <c r="AF229" s="76">
        <f t="shared" si="92"/>
        <v>2079028.86</v>
      </c>
      <c r="AG229" s="181">
        <f t="shared" si="93"/>
        <v>0</v>
      </c>
      <c r="AH229" s="181">
        <f t="shared" si="93"/>
        <v>0</v>
      </c>
      <c r="AI229" s="181">
        <f t="shared" si="93"/>
        <v>0</v>
      </c>
      <c r="AJ229" s="76">
        <f t="shared" si="94"/>
        <v>0</v>
      </c>
      <c r="AK229" s="76">
        <f t="shared" si="95"/>
        <v>0</v>
      </c>
      <c r="AL229" s="76">
        <f t="shared" si="96"/>
        <v>0</v>
      </c>
      <c r="AM229" s="76">
        <f t="shared" si="97"/>
        <v>0</v>
      </c>
      <c r="AN229" s="76">
        <f t="shared" si="98"/>
        <v>0</v>
      </c>
      <c r="AO229" s="76">
        <f t="shared" si="99"/>
        <v>0</v>
      </c>
      <c r="AP229" s="221">
        <f t="shared" si="100"/>
        <v>0</v>
      </c>
      <c r="AQ229" s="221">
        <f t="shared" si="101"/>
        <v>0</v>
      </c>
      <c r="AR229" s="221">
        <f t="shared" si="102"/>
        <v>0</v>
      </c>
      <c r="AS229" s="221">
        <f t="shared" si="103"/>
        <v>110.2702516515</v>
      </c>
      <c r="AT229" s="221">
        <f t="shared" si="104"/>
        <v>115.695620831</v>
      </c>
      <c r="AU229" s="221">
        <f t="shared" si="105"/>
        <v>120.97104849999999</v>
      </c>
      <c r="AV229" s="76">
        <f t="shared" si="106"/>
        <v>0</v>
      </c>
      <c r="AW229" s="76">
        <f t="shared" si="106"/>
        <v>0</v>
      </c>
      <c r="AX229" s="76">
        <f t="shared" si="106"/>
        <v>0</v>
      </c>
      <c r="AY229" s="76">
        <f t="shared" si="107"/>
        <v>0</v>
      </c>
      <c r="AZ229" s="76">
        <f t="shared" si="107"/>
        <v>0</v>
      </c>
      <c r="BA229" s="76">
        <f t="shared" si="107"/>
        <v>0</v>
      </c>
      <c r="BB229" s="181">
        <f t="shared" si="108"/>
        <v>16776</v>
      </c>
      <c r="BC229" s="181">
        <f t="shared" si="108"/>
        <v>16776</v>
      </c>
      <c r="BD229" s="181">
        <f t="shared" si="108"/>
        <v>16776</v>
      </c>
      <c r="BE229" s="76">
        <f t="shared" si="109"/>
        <v>0</v>
      </c>
      <c r="BF229" s="76">
        <f t="shared" si="110"/>
        <v>0</v>
      </c>
      <c r="BG229" s="76">
        <f t="shared" si="111"/>
        <v>0</v>
      </c>
      <c r="BH229" s="76">
        <f t="shared" si="112"/>
        <v>1527622.56</v>
      </c>
      <c r="BI229" s="76">
        <f t="shared" si="113"/>
        <v>1621064.88</v>
      </c>
      <c r="BJ229" s="76">
        <f t="shared" si="114"/>
        <v>1715681.52</v>
      </c>
      <c r="BK229" s="221">
        <f t="shared" si="115"/>
        <v>0</v>
      </c>
      <c r="BL229" s="221">
        <f t="shared" si="116"/>
        <v>0</v>
      </c>
      <c r="BM229" s="221">
        <f t="shared" si="117"/>
        <v>0</v>
      </c>
      <c r="BN229" s="221">
        <f t="shared" si="118"/>
        <v>137.86160361829999</v>
      </c>
      <c r="BO229" s="221">
        <f t="shared" si="119"/>
        <v>140.1991351197</v>
      </c>
      <c r="BP229" s="221">
        <f t="shared" si="120"/>
        <v>145.73337246400001</v>
      </c>
      <c r="BQ229" s="76">
        <f t="shared" si="121"/>
        <v>0</v>
      </c>
      <c r="BR229" s="76">
        <f t="shared" si="121"/>
        <v>0</v>
      </c>
      <c r="BS229" s="76">
        <f t="shared" si="121"/>
        <v>0</v>
      </c>
      <c r="BT229" s="76">
        <f t="shared" si="122"/>
        <v>2312766.2599999998</v>
      </c>
      <c r="BU229" s="76">
        <f t="shared" si="122"/>
        <v>2351980.69</v>
      </c>
      <c r="BV229" s="76">
        <f t="shared" si="122"/>
        <v>2444823.06</v>
      </c>
      <c r="BW229" s="181">
        <f t="shared" si="123"/>
        <v>147528</v>
      </c>
      <c r="BX229" s="181">
        <f t="shared" si="123"/>
        <v>147528</v>
      </c>
      <c r="BY229" s="181">
        <f t="shared" si="123"/>
        <v>147528</v>
      </c>
      <c r="BZ229" s="76">
        <f t="shared" si="124"/>
        <v>0</v>
      </c>
      <c r="CA229" s="76">
        <f t="shared" si="125"/>
        <v>0</v>
      </c>
      <c r="CB229" s="76">
        <f t="shared" si="126"/>
        <v>0</v>
      </c>
      <c r="CC229" s="76">
        <f t="shared" si="127"/>
        <v>13433899.68</v>
      </c>
      <c r="CD229" s="76">
        <f t="shared" si="128"/>
        <v>14255630.640000001</v>
      </c>
      <c r="CE229" s="76">
        <f t="shared" si="129"/>
        <v>15087688.560000001</v>
      </c>
      <c r="CF229" s="221">
        <f t="shared" si="130"/>
        <v>0</v>
      </c>
      <c r="CG229" s="221">
        <f t="shared" si="131"/>
        <v>0</v>
      </c>
      <c r="CH229" s="221">
        <f t="shared" si="132"/>
        <v>0</v>
      </c>
      <c r="CI229" s="221">
        <f t="shared" si="133"/>
        <v>86.649731915000004</v>
      </c>
      <c r="CJ229" s="221">
        <f t="shared" si="134"/>
        <v>88.279930933100005</v>
      </c>
      <c r="CK229" s="221">
        <f t="shared" si="135"/>
        <v>92.088021596000004</v>
      </c>
      <c r="CL229" s="76">
        <f t="shared" si="136"/>
        <v>0</v>
      </c>
      <c r="CM229" s="76">
        <f t="shared" si="136"/>
        <v>0</v>
      </c>
      <c r="CN229" s="76">
        <f t="shared" si="136"/>
        <v>0</v>
      </c>
      <c r="CO229" s="76">
        <f t="shared" si="137"/>
        <v>12783261.65</v>
      </c>
      <c r="CP229" s="76">
        <f t="shared" si="137"/>
        <v>13023761.65</v>
      </c>
      <c r="CQ229" s="76">
        <f t="shared" si="137"/>
        <v>13585561.65</v>
      </c>
      <c r="CR229" s="181">
        <f t="shared" si="138"/>
        <v>0</v>
      </c>
      <c r="CS229" s="181">
        <f t="shared" si="138"/>
        <v>0</v>
      </c>
      <c r="CT229" s="181">
        <f t="shared" si="138"/>
        <v>0</v>
      </c>
      <c r="CU229" s="76">
        <f t="shared" si="139"/>
        <v>0</v>
      </c>
      <c r="CV229" s="76">
        <f t="shared" si="140"/>
        <v>0</v>
      </c>
      <c r="CW229" s="76">
        <f t="shared" si="141"/>
        <v>0</v>
      </c>
      <c r="CX229" s="76">
        <f t="shared" si="142"/>
        <v>0</v>
      </c>
      <c r="CY229" s="76">
        <f t="shared" si="143"/>
        <v>0</v>
      </c>
      <c r="CZ229" s="76">
        <f t="shared" si="144"/>
        <v>0</v>
      </c>
      <c r="DA229" s="221">
        <f t="shared" si="145"/>
        <v>0</v>
      </c>
      <c r="DB229" s="221">
        <f t="shared" si="146"/>
        <v>0</v>
      </c>
      <c r="DC229" s="221">
        <f t="shared" si="147"/>
        <v>0</v>
      </c>
      <c r="DD229" s="221">
        <f t="shared" si="148"/>
        <v>42.1631061004</v>
      </c>
      <c r="DE229" s="221">
        <f t="shared" si="149"/>
        <v>43.2559368525</v>
      </c>
      <c r="DF229" s="221">
        <f t="shared" si="150"/>
        <v>45.470252325300002</v>
      </c>
      <c r="DG229" s="76">
        <f t="shared" si="151"/>
        <v>0</v>
      </c>
      <c r="DH229" s="76">
        <f t="shared" si="151"/>
        <v>0</v>
      </c>
      <c r="DI229" s="76">
        <f t="shared" si="151"/>
        <v>0</v>
      </c>
      <c r="DJ229" s="76">
        <f t="shared" si="152"/>
        <v>0</v>
      </c>
      <c r="DK229" s="76">
        <f t="shared" si="152"/>
        <v>0</v>
      </c>
      <c r="DL229" s="76">
        <f t="shared" si="152"/>
        <v>0</v>
      </c>
      <c r="DM229" s="181">
        <f t="shared" ref="DM229:DM233" si="168">L229+AG229+BB229+BW229+CR229</f>
        <v>184176</v>
      </c>
      <c r="DN229" s="181">
        <f t="shared" si="153"/>
        <v>184176</v>
      </c>
      <c r="DO229" s="181">
        <f t="shared" si="153"/>
        <v>184176</v>
      </c>
      <c r="DP229" s="76">
        <f t="shared" si="154"/>
        <v>0</v>
      </c>
      <c r="DQ229" s="76">
        <f t="shared" si="155"/>
        <v>0</v>
      </c>
      <c r="DR229" s="76">
        <f t="shared" si="156"/>
        <v>0</v>
      </c>
      <c r="DS229" s="76">
        <f t="shared" si="157"/>
        <v>16771066.560000001</v>
      </c>
      <c r="DT229" s="76">
        <f t="shared" si="158"/>
        <v>17796926.879999999</v>
      </c>
      <c r="DU229" s="76">
        <f t="shared" si="159"/>
        <v>18835679.52</v>
      </c>
      <c r="DV229" s="221">
        <f t="shared" si="160"/>
        <v>0</v>
      </c>
      <c r="DW229" s="221">
        <f t="shared" si="161"/>
        <v>0</v>
      </c>
      <c r="DX229" s="221">
        <f t="shared" si="162"/>
        <v>0</v>
      </c>
      <c r="DY229" s="221">
        <f t="shared" si="163"/>
        <v>100.98658240020001</v>
      </c>
      <c r="DZ229" s="221">
        <f t="shared" si="164"/>
        <v>104.8969040516</v>
      </c>
      <c r="EA229" s="221">
        <f t="shared" si="165"/>
        <v>109.7599484911</v>
      </c>
      <c r="EB229" s="76">
        <f t="shared" si="166"/>
        <v>0</v>
      </c>
      <c r="EC229" s="76">
        <f t="shared" si="166"/>
        <v>0</v>
      </c>
      <c r="ED229" s="76">
        <f t="shared" si="166"/>
        <v>0</v>
      </c>
      <c r="EE229" s="76">
        <f t="shared" si="167"/>
        <v>18599304.800000001</v>
      </c>
      <c r="EF229" s="76">
        <f t="shared" si="167"/>
        <v>19319492.199999999</v>
      </c>
      <c r="EG229" s="76">
        <f t="shared" si="167"/>
        <v>20215148.27</v>
      </c>
      <c r="EJ229" s="252"/>
    </row>
    <row r="230" spans="1:140" x14ac:dyDescent="0.25">
      <c r="A230" s="12" t="s">
        <v>51</v>
      </c>
      <c r="B230" s="315" t="s">
        <v>817</v>
      </c>
      <c r="C230" s="5"/>
      <c r="D230" s="199"/>
      <c r="E230" s="200"/>
      <c r="F230" s="71"/>
      <c r="G230" s="71"/>
      <c r="H230" s="71"/>
      <c r="I230" s="71">
        <f t="shared" si="77"/>
        <v>119.84</v>
      </c>
      <c r="J230" s="71">
        <f t="shared" si="77"/>
        <v>126.56</v>
      </c>
      <c r="K230" s="71">
        <f t="shared" si="77"/>
        <v>133.38999999999999</v>
      </c>
      <c r="L230" s="181">
        <f t="shared" si="78"/>
        <v>35352</v>
      </c>
      <c r="M230" s="181">
        <f t="shared" si="78"/>
        <v>35352</v>
      </c>
      <c r="N230" s="181">
        <f t="shared" si="78"/>
        <v>35352</v>
      </c>
      <c r="O230" s="76">
        <f t="shared" si="79"/>
        <v>0</v>
      </c>
      <c r="P230" s="76">
        <f t="shared" si="80"/>
        <v>0</v>
      </c>
      <c r="Q230" s="76">
        <f t="shared" si="81"/>
        <v>0</v>
      </c>
      <c r="R230" s="76">
        <f t="shared" si="82"/>
        <v>4236583.68</v>
      </c>
      <c r="S230" s="76">
        <f t="shared" si="83"/>
        <v>4474149.12</v>
      </c>
      <c r="T230" s="76">
        <f t="shared" si="84"/>
        <v>4715603.28</v>
      </c>
      <c r="U230" s="221">
        <f t="shared" si="85"/>
        <v>0</v>
      </c>
      <c r="V230" s="221">
        <f t="shared" si="86"/>
        <v>0</v>
      </c>
      <c r="W230" s="221">
        <f t="shared" si="87"/>
        <v>0</v>
      </c>
      <c r="X230" s="221">
        <f t="shared" si="88"/>
        <v>124.7126196678</v>
      </c>
      <c r="Y230" s="221">
        <f t="shared" si="89"/>
        <v>130.3367016265</v>
      </c>
      <c r="Z230" s="221">
        <f t="shared" si="90"/>
        <v>136.45641456589999</v>
      </c>
      <c r="AA230" s="76">
        <f t="shared" si="91"/>
        <v>0</v>
      </c>
      <c r="AB230" s="76">
        <f t="shared" si="91"/>
        <v>0</v>
      </c>
      <c r="AC230" s="76">
        <f t="shared" si="91"/>
        <v>0</v>
      </c>
      <c r="AD230" s="76">
        <f t="shared" si="92"/>
        <v>4408840.53</v>
      </c>
      <c r="AE230" s="76">
        <f t="shared" si="92"/>
        <v>4607663.08</v>
      </c>
      <c r="AF230" s="76">
        <f t="shared" si="92"/>
        <v>4824007.17</v>
      </c>
      <c r="AG230" s="181">
        <f t="shared" si="93"/>
        <v>73608</v>
      </c>
      <c r="AH230" s="181">
        <f t="shared" si="93"/>
        <v>73608</v>
      </c>
      <c r="AI230" s="181">
        <f t="shared" si="93"/>
        <v>73608</v>
      </c>
      <c r="AJ230" s="76">
        <f t="shared" si="94"/>
        <v>0</v>
      </c>
      <c r="AK230" s="76">
        <f t="shared" si="95"/>
        <v>0</v>
      </c>
      <c r="AL230" s="76">
        <f t="shared" si="96"/>
        <v>0</v>
      </c>
      <c r="AM230" s="76">
        <f t="shared" si="97"/>
        <v>8821182.7200000007</v>
      </c>
      <c r="AN230" s="76">
        <f t="shared" si="98"/>
        <v>9315828.4800000004</v>
      </c>
      <c r="AO230" s="76">
        <f t="shared" si="99"/>
        <v>9818571.1199999992</v>
      </c>
      <c r="AP230" s="221">
        <f t="shared" si="100"/>
        <v>0</v>
      </c>
      <c r="AQ230" s="221">
        <f t="shared" si="101"/>
        <v>0</v>
      </c>
      <c r="AR230" s="221">
        <f t="shared" si="102"/>
        <v>0</v>
      </c>
      <c r="AS230" s="221">
        <f t="shared" si="103"/>
        <v>145.1217544248</v>
      </c>
      <c r="AT230" s="221">
        <f t="shared" si="104"/>
        <v>151.530971462</v>
      </c>
      <c r="AU230" s="221">
        <f t="shared" si="105"/>
        <v>157.78163840249999</v>
      </c>
      <c r="AV230" s="76">
        <f t="shared" si="106"/>
        <v>0</v>
      </c>
      <c r="AW230" s="76">
        <f t="shared" si="106"/>
        <v>0</v>
      </c>
      <c r="AX230" s="76">
        <f t="shared" si="106"/>
        <v>0</v>
      </c>
      <c r="AY230" s="76">
        <f t="shared" si="107"/>
        <v>10682122.1</v>
      </c>
      <c r="AZ230" s="76">
        <f t="shared" si="107"/>
        <v>11153891.75</v>
      </c>
      <c r="BA230" s="76">
        <f t="shared" si="107"/>
        <v>11613990.84</v>
      </c>
      <c r="BB230" s="181">
        <f t="shared" si="108"/>
        <v>18360</v>
      </c>
      <c r="BC230" s="181">
        <f t="shared" si="108"/>
        <v>18360</v>
      </c>
      <c r="BD230" s="181">
        <f t="shared" si="108"/>
        <v>18360</v>
      </c>
      <c r="BE230" s="76">
        <f t="shared" si="109"/>
        <v>0</v>
      </c>
      <c r="BF230" s="76">
        <f t="shared" si="110"/>
        <v>0</v>
      </c>
      <c r="BG230" s="76">
        <f t="shared" si="111"/>
        <v>0</v>
      </c>
      <c r="BH230" s="76">
        <f t="shared" si="112"/>
        <v>2200262.4</v>
      </c>
      <c r="BI230" s="76">
        <f t="shared" si="113"/>
        <v>2323641.6</v>
      </c>
      <c r="BJ230" s="76">
        <f t="shared" si="114"/>
        <v>2449040.4</v>
      </c>
      <c r="BK230" s="221">
        <f t="shared" si="115"/>
        <v>0</v>
      </c>
      <c r="BL230" s="221">
        <f t="shared" si="116"/>
        <v>0</v>
      </c>
      <c r="BM230" s="221">
        <f t="shared" si="117"/>
        <v>0</v>
      </c>
      <c r="BN230" s="221">
        <f t="shared" si="118"/>
        <v>181.43350074259999</v>
      </c>
      <c r="BO230" s="221">
        <f t="shared" si="119"/>
        <v>183.62415958560001</v>
      </c>
      <c r="BP230" s="221">
        <f t="shared" si="120"/>
        <v>190.0789532901</v>
      </c>
      <c r="BQ230" s="76">
        <f t="shared" si="121"/>
        <v>0</v>
      </c>
      <c r="BR230" s="76">
        <f t="shared" si="121"/>
        <v>0</v>
      </c>
      <c r="BS230" s="76">
        <f t="shared" si="121"/>
        <v>0</v>
      </c>
      <c r="BT230" s="76">
        <f t="shared" si="122"/>
        <v>3331119.07</v>
      </c>
      <c r="BU230" s="76">
        <f t="shared" si="122"/>
        <v>3371339.57</v>
      </c>
      <c r="BV230" s="76">
        <f t="shared" si="122"/>
        <v>3489849.58</v>
      </c>
      <c r="BW230" s="181">
        <f t="shared" si="123"/>
        <v>0</v>
      </c>
      <c r="BX230" s="181">
        <f t="shared" si="123"/>
        <v>0</v>
      </c>
      <c r="BY230" s="181">
        <f t="shared" si="123"/>
        <v>0</v>
      </c>
      <c r="BZ230" s="76">
        <f t="shared" si="124"/>
        <v>0</v>
      </c>
      <c r="CA230" s="76">
        <f t="shared" si="125"/>
        <v>0</v>
      </c>
      <c r="CB230" s="76">
        <f t="shared" si="126"/>
        <v>0</v>
      </c>
      <c r="CC230" s="76">
        <f t="shared" si="127"/>
        <v>0</v>
      </c>
      <c r="CD230" s="76">
        <f t="shared" si="128"/>
        <v>0</v>
      </c>
      <c r="CE230" s="76">
        <f t="shared" si="129"/>
        <v>0</v>
      </c>
      <c r="CF230" s="221">
        <f t="shared" si="130"/>
        <v>0</v>
      </c>
      <c r="CG230" s="221">
        <f t="shared" si="131"/>
        <v>0</v>
      </c>
      <c r="CH230" s="221">
        <f t="shared" si="132"/>
        <v>0</v>
      </c>
      <c r="CI230" s="221">
        <f t="shared" si="133"/>
        <v>114.0358431001</v>
      </c>
      <c r="CJ230" s="221">
        <f t="shared" si="134"/>
        <v>115.6235957662</v>
      </c>
      <c r="CK230" s="221">
        <f t="shared" si="135"/>
        <v>120.1097213326</v>
      </c>
      <c r="CL230" s="76">
        <f t="shared" si="136"/>
        <v>0</v>
      </c>
      <c r="CM230" s="76">
        <f t="shared" si="136"/>
        <v>0</v>
      </c>
      <c r="CN230" s="76">
        <f t="shared" si="136"/>
        <v>0</v>
      </c>
      <c r="CO230" s="76">
        <f t="shared" si="137"/>
        <v>0</v>
      </c>
      <c r="CP230" s="76">
        <f t="shared" si="137"/>
        <v>0</v>
      </c>
      <c r="CQ230" s="76">
        <f t="shared" si="137"/>
        <v>0</v>
      </c>
      <c r="CR230" s="181">
        <f t="shared" si="138"/>
        <v>0</v>
      </c>
      <c r="CS230" s="181">
        <f t="shared" si="138"/>
        <v>0</v>
      </c>
      <c r="CT230" s="181">
        <f t="shared" si="138"/>
        <v>0</v>
      </c>
      <c r="CU230" s="76">
        <f t="shared" si="139"/>
        <v>0</v>
      </c>
      <c r="CV230" s="76">
        <f t="shared" si="140"/>
        <v>0</v>
      </c>
      <c r="CW230" s="76">
        <f t="shared" si="141"/>
        <v>0</v>
      </c>
      <c r="CX230" s="76">
        <f t="shared" si="142"/>
        <v>0</v>
      </c>
      <c r="CY230" s="76">
        <f t="shared" si="143"/>
        <v>0</v>
      </c>
      <c r="CZ230" s="76">
        <f t="shared" si="144"/>
        <v>0</v>
      </c>
      <c r="DA230" s="221">
        <f t="shared" si="145"/>
        <v>0</v>
      </c>
      <c r="DB230" s="221">
        <f t="shared" si="146"/>
        <v>0</v>
      </c>
      <c r="DC230" s="221">
        <f t="shared" si="147"/>
        <v>0</v>
      </c>
      <c r="DD230" s="221">
        <f t="shared" si="148"/>
        <v>55.488981276799997</v>
      </c>
      <c r="DE230" s="221">
        <f t="shared" si="149"/>
        <v>56.653951858100001</v>
      </c>
      <c r="DF230" s="221">
        <f t="shared" si="150"/>
        <v>59.306511759800003</v>
      </c>
      <c r="DG230" s="76">
        <f t="shared" si="151"/>
        <v>0</v>
      </c>
      <c r="DH230" s="76">
        <f t="shared" si="151"/>
        <v>0</v>
      </c>
      <c r="DI230" s="76">
        <f t="shared" si="151"/>
        <v>0</v>
      </c>
      <c r="DJ230" s="76">
        <f t="shared" si="152"/>
        <v>0</v>
      </c>
      <c r="DK230" s="76">
        <f t="shared" si="152"/>
        <v>0</v>
      </c>
      <c r="DL230" s="76">
        <f t="shared" si="152"/>
        <v>0</v>
      </c>
      <c r="DM230" s="181">
        <f t="shared" si="168"/>
        <v>127320</v>
      </c>
      <c r="DN230" s="181">
        <f t="shared" si="153"/>
        <v>127320</v>
      </c>
      <c r="DO230" s="181">
        <f t="shared" si="153"/>
        <v>127320</v>
      </c>
      <c r="DP230" s="76">
        <f t="shared" si="154"/>
        <v>0</v>
      </c>
      <c r="DQ230" s="76">
        <f t="shared" si="155"/>
        <v>0</v>
      </c>
      <c r="DR230" s="76">
        <f t="shared" si="156"/>
        <v>0</v>
      </c>
      <c r="DS230" s="76">
        <f t="shared" si="157"/>
        <v>15258028.800000001</v>
      </c>
      <c r="DT230" s="76">
        <f t="shared" si="158"/>
        <v>16113619.199999999</v>
      </c>
      <c r="DU230" s="76">
        <f t="shared" si="159"/>
        <v>16983214.800000001</v>
      </c>
      <c r="DV230" s="221">
        <f t="shared" si="160"/>
        <v>0</v>
      </c>
      <c r="DW230" s="221">
        <f t="shared" si="161"/>
        <v>0</v>
      </c>
      <c r="DX230" s="221">
        <f t="shared" si="162"/>
        <v>0</v>
      </c>
      <c r="DY230" s="221">
        <f t="shared" si="163"/>
        <v>132.90393185639999</v>
      </c>
      <c r="DZ230" s="221">
        <f t="shared" si="164"/>
        <v>137.38747983819999</v>
      </c>
      <c r="EA230" s="221">
        <f t="shared" si="165"/>
        <v>143.15908408359999</v>
      </c>
      <c r="EB230" s="76">
        <f t="shared" si="166"/>
        <v>0</v>
      </c>
      <c r="EC230" s="76">
        <f t="shared" si="166"/>
        <v>0</v>
      </c>
      <c r="ED230" s="76">
        <f t="shared" si="166"/>
        <v>0</v>
      </c>
      <c r="EE230" s="76">
        <f t="shared" si="167"/>
        <v>16921328.600000001</v>
      </c>
      <c r="EF230" s="76">
        <f t="shared" si="167"/>
        <v>17492173.93</v>
      </c>
      <c r="EG230" s="76">
        <f t="shared" si="167"/>
        <v>18227014.59</v>
      </c>
      <c r="EI230" s="1" t="s">
        <v>1436</v>
      </c>
      <c r="EJ230" s="252">
        <f>(EE230+EE231+EE233)/(DM230+DM231+DM233)</f>
        <v>145.19</v>
      </c>
    </row>
    <row r="231" spans="1:140" x14ac:dyDescent="0.25">
      <c r="A231" s="12" t="s">
        <v>54</v>
      </c>
      <c r="B231" s="315" t="s">
        <v>823</v>
      </c>
      <c r="C231" s="5"/>
      <c r="D231" s="199"/>
      <c r="E231" s="200"/>
      <c r="F231" s="71"/>
      <c r="G231" s="71"/>
      <c r="H231" s="71"/>
      <c r="I231" s="71">
        <f t="shared" si="77"/>
        <v>146.1</v>
      </c>
      <c r="J231" s="71">
        <f t="shared" si="77"/>
        <v>153.87</v>
      </c>
      <c r="K231" s="71">
        <f t="shared" si="77"/>
        <v>161.81</v>
      </c>
      <c r="L231" s="181">
        <f t="shared" si="78"/>
        <v>272292</v>
      </c>
      <c r="M231" s="181">
        <f t="shared" si="78"/>
        <v>272292</v>
      </c>
      <c r="N231" s="181">
        <f t="shared" si="78"/>
        <v>272292</v>
      </c>
      <c r="O231" s="76">
        <f t="shared" si="79"/>
        <v>0</v>
      </c>
      <c r="P231" s="76">
        <f t="shared" si="80"/>
        <v>0</v>
      </c>
      <c r="Q231" s="76">
        <f t="shared" si="81"/>
        <v>0</v>
      </c>
      <c r="R231" s="76">
        <f t="shared" si="82"/>
        <v>39781861.200000003</v>
      </c>
      <c r="S231" s="76">
        <f t="shared" si="83"/>
        <v>41897570.039999999</v>
      </c>
      <c r="T231" s="76">
        <f t="shared" si="84"/>
        <v>44059568.520000003</v>
      </c>
      <c r="U231" s="221">
        <f t="shared" si="85"/>
        <v>0</v>
      </c>
      <c r="V231" s="221">
        <f t="shared" si="86"/>
        <v>0</v>
      </c>
      <c r="W231" s="221">
        <f t="shared" si="87"/>
        <v>0</v>
      </c>
      <c r="X231" s="221">
        <f t="shared" si="88"/>
        <v>152.040334892</v>
      </c>
      <c r="Y231" s="221">
        <f t="shared" si="89"/>
        <v>158.4616646593</v>
      </c>
      <c r="Z231" s="221">
        <f t="shared" si="90"/>
        <v>165.529743166</v>
      </c>
      <c r="AA231" s="76">
        <f t="shared" si="91"/>
        <v>0</v>
      </c>
      <c r="AB231" s="76">
        <f t="shared" si="91"/>
        <v>0</v>
      </c>
      <c r="AC231" s="76">
        <f t="shared" si="91"/>
        <v>0</v>
      </c>
      <c r="AD231" s="76">
        <f t="shared" si="92"/>
        <v>41399366.869999997</v>
      </c>
      <c r="AE231" s="76">
        <f t="shared" si="92"/>
        <v>43147843.590000004</v>
      </c>
      <c r="AF231" s="76">
        <f t="shared" si="92"/>
        <v>45072424.829999998</v>
      </c>
      <c r="AG231" s="181">
        <f t="shared" si="93"/>
        <v>128520</v>
      </c>
      <c r="AH231" s="181">
        <f t="shared" si="93"/>
        <v>128520</v>
      </c>
      <c r="AI231" s="181">
        <f t="shared" si="93"/>
        <v>128520</v>
      </c>
      <c r="AJ231" s="76">
        <f t="shared" si="94"/>
        <v>0</v>
      </c>
      <c r="AK231" s="76">
        <f t="shared" si="95"/>
        <v>0</v>
      </c>
      <c r="AL231" s="76">
        <f t="shared" si="96"/>
        <v>0</v>
      </c>
      <c r="AM231" s="76">
        <f t="shared" si="97"/>
        <v>18776772</v>
      </c>
      <c r="AN231" s="76">
        <f t="shared" si="98"/>
        <v>19775372.399999999</v>
      </c>
      <c r="AO231" s="76">
        <f t="shared" si="99"/>
        <v>20795821.199999999</v>
      </c>
      <c r="AP231" s="221">
        <f t="shared" si="100"/>
        <v>0</v>
      </c>
      <c r="AQ231" s="221">
        <f t="shared" si="101"/>
        <v>0</v>
      </c>
      <c r="AR231" s="221">
        <f t="shared" si="102"/>
        <v>0</v>
      </c>
      <c r="AS231" s="221">
        <f t="shared" si="103"/>
        <v>176.92163152079999</v>
      </c>
      <c r="AT231" s="221">
        <f t="shared" si="104"/>
        <v>184.22938194419999</v>
      </c>
      <c r="AU231" s="221">
        <f t="shared" si="105"/>
        <v>191.39850745859999</v>
      </c>
      <c r="AV231" s="76">
        <f t="shared" si="106"/>
        <v>0</v>
      </c>
      <c r="AW231" s="76">
        <f t="shared" si="106"/>
        <v>0</v>
      </c>
      <c r="AX231" s="76">
        <f t="shared" si="106"/>
        <v>0</v>
      </c>
      <c r="AY231" s="76">
        <f t="shared" si="107"/>
        <v>22737968.079999998</v>
      </c>
      <c r="AZ231" s="76">
        <f t="shared" si="107"/>
        <v>23677160.170000002</v>
      </c>
      <c r="BA231" s="76">
        <f t="shared" si="107"/>
        <v>24598536.18</v>
      </c>
      <c r="BB231" s="181">
        <f t="shared" si="108"/>
        <v>61020</v>
      </c>
      <c r="BC231" s="181">
        <f t="shared" si="108"/>
        <v>61020</v>
      </c>
      <c r="BD231" s="181">
        <f t="shared" si="108"/>
        <v>61020</v>
      </c>
      <c r="BE231" s="76">
        <f t="shared" si="109"/>
        <v>0</v>
      </c>
      <c r="BF231" s="76">
        <f t="shared" si="110"/>
        <v>0</v>
      </c>
      <c r="BG231" s="76">
        <f t="shared" si="111"/>
        <v>0</v>
      </c>
      <c r="BH231" s="76">
        <f t="shared" si="112"/>
        <v>8915022</v>
      </c>
      <c r="BI231" s="76">
        <f t="shared" si="113"/>
        <v>9389147.4000000004</v>
      </c>
      <c r="BJ231" s="76">
        <f t="shared" si="114"/>
        <v>9873646.1999999993</v>
      </c>
      <c r="BK231" s="221">
        <f t="shared" si="115"/>
        <v>0</v>
      </c>
      <c r="BL231" s="221">
        <f t="shared" si="116"/>
        <v>0</v>
      </c>
      <c r="BM231" s="221">
        <f t="shared" si="117"/>
        <v>0</v>
      </c>
      <c r="BN231" s="221">
        <f t="shared" si="118"/>
        <v>221.19020743070001</v>
      </c>
      <c r="BO231" s="221">
        <f t="shared" si="119"/>
        <v>223.24786216359999</v>
      </c>
      <c r="BP231" s="221">
        <f t="shared" si="120"/>
        <v>230.57707048399999</v>
      </c>
      <c r="BQ231" s="76">
        <f t="shared" si="121"/>
        <v>0</v>
      </c>
      <c r="BR231" s="76">
        <f t="shared" si="121"/>
        <v>0</v>
      </c>
      <c r="BS231" s="76">
        <f t="shared" si="121"/>
        <v>0</v>
      </c>
      <c r="BT231" s="76">
        <f t="shared" si="122"/>
        <v>13497026.460000001</v>
      </c>
      <c r="BU231" s="76">
        <f t="shared" si="122"/>
        <v>13622584.550000001</v>
      </c>
      <c r="BV231" s="76">
        <f t="shared" si="122"/>
        <v>14069812.84</v>
      </c>
      <c r="BW231" s="181">
        <f t="shared" si="123"/>
        <v>0</v>
      </c>
      <c r="BX231" s="181">
        <f t="shared" si="123"/>
        <v>0</v>
      </c>
      <c r="BY231" s="181">
        <f t="shared" si="123"/>
        <v>0</v>
      </c>
      <c r="BZ231" s="76">
        <f t="shared" si="124"/>
        <v>0</v>
      </c>
      <c r="CA231" s="76">
        <f t="shared" si="125"/>
        <v>0</v>
      </c>
      <c r="CB231" s="76">
        <f t="shared" si="126"/>
        <v>0</v>
      </c>
      <c r="CC231" s="76">
        <f t="shared" si="127"/>
        <v>0</v>
      </c>
      <c r="CD231" s="76">
        <f t="shared" si="128"/>
        <v>0</v>
      </c>
      <c r="CE231" s="76">
        <f t="shared" si="129"/>
        <v>0</v>
      </c>
      <c r="CF231" s="221">
        <f t="shared" si="130"/>
        <v>0</v>
      </c>
      <c r="CG231" s="221">
        <f t="shared" si="131"/>
        <v>0</v>
      </c>
      <c r="CH231" s="221">
        <f t="shared" si="132"/>
        <v>0</v>
      </c>
      <c r="CI231" s="221">
        <f t="shared" si="133"/>
        <v>139.0240043135</v>
      </c>
      <c r="CJ231" s="221">
        <f t="shared" si="134"/>
        <v>140.57366214090001</v>
      </c>
      <c r="CK231" s="221">
        <f t="shared" si="135"/>
        <v>145.70023246740001</v>
      </c>
      <c r="CL231" s="76">
        <f t="shared" si="136"/>
        <v>0</v>
      </c>
      <c r="CM231" s="76">
        <f t="shared" si="136"/>
        <v>0</v>
      </c>
      <c r="CN231" s="76">
        <f t="shared" si="136"/>
        <v>0</v>
      </c>
      <c r="CO231" s="76">
        <f t="shared" si="137"/>
        <v>0</v>
      </c>
      <c r="CP231" s="76">
        <f t="shared" si="137"/>
        <v>0</v>
      </c>
      <c r="CQ231" s="76">
        <f t="shared" si="137"/>
        <v>0</v>
      </c>
      <c r="CR231" s="181">
        <f t="shared" si="138"/>
        <v>0</v>
      </c>
      <c r="CS231" s="181">
        <f t="shared" si="138"/>
        <v>0</v>
      </c>
      <c r="CT231" s="181">
        <f t="shared" si="138"/>
        <v>0</v>
      </c>
      <c r="CU231" s="76">
        <f t="shared" si="139"/>
        <v>0</v>
      </c>
      <c r="CV231" s="76">
        <f t="shared" si="140"/>
        <v>0</v>
      </c>
      <c r="CW231" s="76">
        <f t="shared" si="141"/>
        <v>0</v>
      </c>
      <c r="CX231" s="76">
        <f t="shared" si="142"/>
        <v>0</v>
      </c>
      <c r="CY231" s="76">
        <f t="shared" si="143"/>
        <v>0</v>
      </c>
      <c r="CZ231" s="76">
        <f t="shared" si="144"/>
        <v>0</v>
      </c>
      <c r="DA231" s="221">
        <f t="shared" si="145"/>
        <v>0</v>
      </c>
      <c r="DB231" s="221">
        <f t="shared" si="146"/>
        <v>0</v>
      </c>
      <c r="DC231" s="221">
        <f t="shared" si="147"/>
        <v>0</v>
      </c>
      <c r="DD231" s="221">
        <f t="shared" si="148"/>
        <v>67.648032080700006</v>
      </c>
      <c r="DE231" s="221">
        <f t="shared" si="149"/>
        <v>68.879136950100005</v>
      </c>
      <c r="DF231" s="221">
        <f t="shared" si="150"/>
        <v>71.942324521000003</v>
      </c>
      <c r="DG231" s="76">
        <f t="shared" si="151"/>
        <v>0</v>
      </c>
      <c r="DH231" s="76">
        <f t="shared" si="151"/>
        <v>0</v>
      </c>
      <c r="DI231" s="76">
        <f t="shared" si="151"/>
        <v>0</v>
      </c>
      <c r="DJ231" s="76">
        <f t="shared" si="152"/>
        <v>0</v>
      </c>
      <c r="DK231" s="76">
        <f t="shared" si="152"/>
        <v>0</v>
      </c>
      <c r="DL231" s="76">
        <f t="shared" si="152"/>
        <v>0</v>
      </c>
      <c r="DM231" s="181">
        <f t="shared" si="168"/>
        <v>461832</v>
      </c>
      <c r="DN231" s="181">
        <f t="shared" si="153"/>
        <v>461832</v>
      </c>
      <c r="DO231" s="181">
        <f t="shared" si="153"/>
        <v>461832</v>
      </c>
      <c r="DP231" s="76">
        <f t="shared" si="154"/>
        <v>0</v>
      </c>
      <c r="DQ231" s="76">
        <f t="shared" si="155"/>
        <v>0</v>
      </c>
      <c r="DR231" s="76">
        <f t="shared" si="156"/>
        <v>0</v>
      </c>
      <c r="DS231" s="76">
        <f t="shared" si="157"/>
        <v>67473655.200000003</v>
      </c>
      <c r="DT231" s="76">
        <f t="shared" si="158"/>
        <v>71062089.840000004</v>
      </c>
      <c r="DU231" s="76">
        <f t="shared" si="159"/>
        <v>74729035.920000002</v>
      </c>
      <c r="DV231" s="221">
        <f t="shared" si="160"/>
        <v>0</v>
      </c>
      <c r="DW231" s="221">
        <f t="shared" si="161"/>
        <v>0</v>
      </c>
      <c r="DX231" s="221">
        <f t="shared" si="162"/>
        <v>0</v>
      </c>
      <c r="DY231" s="221">
        <f t="shared" si="163"/>
        <v>162.0265724651</v>
      </c>
      <c r="DZ231" s="221">
        <f t="shared" si="164"/>
        <v>167.0339089974</v>
      </c>
      <c r="EA231" s="221">
        <f t="shared" si="165"/>
        <v>173.6604797629</v>
      </c>
      <c r="EB231" s="76">
        <f t="shared" si="166"/>
        <v>0</v>
      </c>
      <c r="EC231" s="76">
        <f t="shared" si="166"/>
        <v>0</v>
      </c>
      <c r="ED231" s="76">
        <f t="shared" si="166"/>
        <v>0</v>
      </c>
      <c r="EE231" s="76">
        <f t="shared" si="167"/>
        <v>74829056.010000005</v>
      </c>
      <c r="EF231" s="76">
        <f t="shared" si="167"/>
        <v>77141604.260000005</v>
      </c>
      <c r="EG231" s="76">
        <f t="shared" si="167"/>
        <v>80201966.689999998</v>
      </c>
      <c r="EJ231" s="252"/>
    </row>
    <row r="232" spans="1:140" x14ac:dyDescent="0.25">
      <c r="A232" s="12" t="s">
        <v>55</v>
      </c>
      <c r="B232" s="315" t="s">
        <v>816</v>
      </c>
      <c r="C232" s="5"/>
      <c r="D232" s="199"/>
      <c r="E232" s="200"/>
      <c r="F232" s="71"/>
      <c r="G232" s="71"/>
      <c r="H232" s="71"/>
      <c r="I232" s="71">
        <f t="shared" si="77"/>
        <v>162.16</v>
      </c>
      <c r="J232" s="71">
        <f t="shared" si="77"/>
        <v>170.58</v>
      </c>
      <c r="K232" s="71">
        <f t="shared" si="77"/>
        <v>179.19</v>
      </c>
      <c r="L232" s="181">
        <f t="shared" si="78"/>
        <v>18504</v>
      </c>
      <c r="M232" s="181">
        <f t="shared" si="78"/>
        <v>18504</v>
      </c>
      <c r="N232" s="181">
        <f t="shared" si="78"/>
        <v>18504</v>
      </c>
      <c r="O232" s="76">
        <f t="shared" si="79"/>
        <v>0</v>
      </c>
      <c r="P232" s="76">
        <f t="shared" si="80"/>
        <v>0</v>
      </c>
      <c r="Q232" s="76">
        <f t="shared" si="81"/>
        <v>0</v>
      </c>
      <c r="R232" s="76">
        <f t="shared" si="82"/>
        <v>3000608.64</v>
      </c>
      <c r="S232" s="76">
        <f t="shared" si="83"/>
        <v>3156412.32</v>
      </c>
      <c r="T232" s="76">
        <f t="shared" si="84"/>
        <v>3315731.76</v>
      </c>
      <c r="U232" s="221">
        <f t="shared" si="85"/>
        <v>0</v>
      </c>
      <c r="V232" s="221">
        <f t="shared" si="86"/>
        <v>0</v>
      </c>
      <c r="W232" s="221">
        <f t="shared" si="87"/>
        <v>0</v>
      </c>
      <c r="X232" s="221">
        <f t="shared" si="88"/>
        <v>168.75332447700001</v>
      </c>
      <c r="Y232" s="221">
        <f t="shared" si="89"/>
        <v>175.67031102600001</v>
      </c>
      <c r="Z232" s="221">
        <f t="shared" si="90"/>
        <v>183.30928050119999</v>
      </c>
      <c r="AA232" s="76">
        <f t="shared" si="91"/>
        <v>0</v>
      </c>
      <c r="AB232" s="76">
        <f t="shared" si="91"/>
        <v>0</v>
      </c>
      <c r="AC232" s="76">
        <f t="shared" si="91"/>
        <v>0</v>
      </c>
      <c r="AD232" s="76">
        <f t="shared" si="92"/>
        <v>3122611.52</v>
      </c>
      <c r="AE232" s="76">
        <f t="shared" si="92"/>
        <v>3250603.44</v>
      </c>
      <c r="AF232" s="76">
        <f t="shared" si="92"/>
        <v>3391954.93</v>
      </c>
      <c r="AG232" s="181">
        <f t="shared" si="93"/>
        <v>12816</v>
      </c>
      <c r="AH232" s="181">
        <f t="shared" si="93"/>
        <v>12816</v>
      </c>
      <c r="AI232" s="181">
        <f t="shared" si="93"/>
        <v>12816</v>
      </c>
      <c r="AJ232" s="76">
        <f t="shared" si="94"/>
        <v>0</v>
      </c>
      <c r="AK232" s="76">
        <f t="shared" si="95"/>
        <v>0</v>
      </c>
      <c r="AL232" s="76">
        <f t="shared" si="96"/>
        <v>0</v>
      </c>
      <c r="AM232" s="76">
        <f t="shared" si="97"/>
        <v>2078242.56</v>
      </c>
      <c r="AN232" s="76">
        <f t="shared" si="98"/>
        <v>2186153.2799999998</v>
      </c>
      <c r="AO232" s="76">
        <f t="shared" si="99"/>
        <v>2296499.04</v>
      </c>
      <c r="AP232" s="221">
        <f t="shared" si="100"/>
        <v>0</v>
      </c>
      <c r="AQ232" s="221">
        <f t="shared" si="101"/>
        <v>0</v>
      </c>
      <c r="AR232" s="221">
        <f t="shared" si="102"/>
        <v>0</v>
      </c>
      <c r="AS232" s="221">
        <f t="shared" si="103"/>
        <v>196.36969039979999</v>
      </c>
      <c r="AT232" s="221">
        <f t="shared" si="104"/>
        <v>204.2363551832</v>
      </c>
      <c r="AU232" s="221">
        <f t="shared" si="105"/>
        <v>211.95660683209999</v>
      </c>
      <c r="AV232" s="76">
        <f t="shared" si="106"/>
        <v>0</v>
      </c>
      <c r="AW232" s="76">
        <f t="shared" si="106"/>
        <v>0</v>
      </c>
      <c r="AX232" s="76">
        <f t="shared" si="106"/>
        <v>0</v>
      </c>
      <c r="AY232" s="76">
        <f t="shared" si="107"/>
        <v>2516673.9500000002</v>
      </c>
      <c r="AZ232" s="76">
        <f t="shared" si="107"/>
        <v>2617493.13</v>
      </c>
      <c r="BA232" s="76">
        <f t="shared" si="107"/>
        <v>2716435.87</v>
      </c>
      <c r="BB232" s="181">
        <f t="shared" si="108"/>
        <v>0</v>
      </c>
      <c r="BC232" s="181">
        <f t="shared" si="108"/>
        <v>0</v>
      </c>
      <c r="BD232" s="181">
        <f t="shared" si="108"/>
        <v>0</v>
      </c>
      <c r="BE232" s="76">
        <f t="shared" si="109"/>
        <v>0</v>
      </c>
      <c r="BF232" s="76">
        <f t="shared" si="110"/>
        <v>0</v>
      </c>
      <c r="BG232" s="76">
        <f t="shared" si="111"/>
        <v>0</v>
      </c>
      <c r="BH232" s="76">
        <f t="shared" si="112"/>
        <v>0</v>
      </c>
      <c r="BI232" s="76">
        <f t="shared" si="113"/>
        <v>0</v>
      </c>
      <c r="BJ232" s="76">
        <f t="shared" si="114"/>
        <v>0</v>
      </c>
      <c r="BK232" s="221">
        <f t="shared" si="115"/>
        <v>0</v>
      </c>
      <c r="BL232" s="221">
        <f t="shared" si="116"/>
        <v>0</v>
      </c>
      <c r="BM232" s="221">
        <f t="shared" si="117"/>
        <v>0</v>
      </c>
      <c r="BN232" s="221">
        <f t="shared" si="118"/>
        <v>245.50447663899999</v>
      </c>
      <c r="BO232" s="221">
        <f t="shared" si="119"/>
        <v>247.49217084470001</v>
      </c>
      <c r="BP232" s="221">
        <f t="shared" si="120"/>
        <v>255.3433363824</v>
      </c>
      <c r="BQ232" s="76">
        <f t="shared" si="121"/>
        <v>0</v>
      </c>
      <c r="BR232" s="76">
        <f t="shared" si="121"/>
        <v>0</v>
      </c>
      <c r="BS232" s="76">
        <f t="shared" si="121"/>
        <v>0</v>
      </c>
      <c r="BT232" s="76">
        <f t="shared" si="122"/>
        <v>0</v>
      </c>
      <c r="BU232" s="76">
        <f t="shared" si="122"/>
        <v>0</v>
      </c>
      <c r="BV232" s="76">
        <f t="shared" si="122"/>
        <v>0</v>
      </c>
      <c r="BW232" s="181">
        <f t="shared" si="123"/>
        <v>0</v>
      </c>
      <c r="BX232" s="181">
        <f t="shared" si="123"/>
        <v>0</v>
      </c>
      <c r="BY232" s="181">
        <f t="shared" si="123"/>
        <v>0</v>
      </c>
      <c r="BZ232" s="76">
        <f t="shared" si="124"/>
        <v>0</v>
      </c>
      <c r="CA232" s="76">
        <f t="shared" si="125"/>
        <v>0</v>
      </c>
      <c r="CB232" s="76">
        <f t="shared" si="126"/>
        <v>0</v>
      </c>
      <c r="CC232" s="76">
        <f t="shared" si="127"/>
        <v>0</v>
      </c>
      <c r="CD232" s="76">
        <f t="shared" si="128"/>
        <v>0</v>
      </c>
      <c r="CE232" s="76">
        <f t="shared" si="129"/>
        <v>0</v>
      </c>
      <c r="CF232" s="221">
        <f t="shared" si="130"/>
        <v>0</v>
      </c>
      <c r="CG232" s="221">
        <f t="shared" si="131"/>
        <v>0</v>
      </c>
      <c r="CH232" s="221">
        <f t="shared" si="132"/>
        <v>0</v>
      </c>
      <c r="CI232" s="221">
        <f t="shared" si="133"/>
        <v>154.3061775461</v>
      </c>
      <c r="CJ232" s="221">
        <f t="shared" si="134"/>
        <v>155.8397042178</v>
      </c>
      <c r="CK232" s="221">
        <f t="shared" si="135"/>
        <v>161.34988354149999</v>
      </c>
      <c r="CL232" s="76">
        <f t="shared" si="136"/>
        <v>0</v>
      </c>
      <c r="CM232" s="76">
        <f t="shared" si="136"/>
        <v>0</v>
      </c>
      <c r="CN232" s="76">
        <f t="shared" si="136"/>
        <v>0</v>
      </c>
      <c r="CO232" s="76">
        <f t="shared" si="137"/>
        <v>0</v>
      </c>
      <c r="CP232" s="76">
        <f t="shared" si="137"/>
        <v>0</v>
      </c>
      <c r="CQ232" s="76">
        <f t="shared" si="137"/>
        <v>0</v>
      </c>
      <c r="CR232" s="181">
        <f t="shared" si="138"/>
        <v>95760</v>
      </c>
      <c r="CS232" s="181">
        <f t="shared" si="138"/>
        <v>95760</v>
      </c>
      <c r="CT232" s="181">
        <f t="shared" si="138"/>
        <v>95760</v>
      </c>
      <c r="CU232" s="76">
        <f t="shared" si="139"/>
        <v>0</v>
      </c>
      <c r="CV232" s="76">
        <f t="shared" si="140"/>
        <v>0</v>
      </c>
      <c r="CW232" s="76">
        <f t="shared" si="141"/>
        <v>0</v>
      </c>
      <c r="CX232" s="76">
        <f t="shared" si="142"/>
        <v>15528441.6</v>
      </c>
      <c r="CY232" s="76">
        <f t="shared" si="143"/>
        <v>16334740.800000001</v>
      </c>
      <c r="CZ232" s="76">
        <f t="shared" si="144"/>
        <v>17159234.399999999</v>
      </c>
      <c r="DA232" s="221">
        <f t="shared" si="145"/>
        <v>0</v>
      </c>
      <c r="DB232" s="221">
        <f t="shared" si="146"/>
        <v>0</v>
      </c>
      <c r="DC232" s="221">
        <f t="shared" si="147"/>
        <v>0</v>
      </c>
      <c r="DD232" s="221">
        <f t="shared" si="148"/>
        <v>75.084222328600006</v>
      </c>
      <c r="DE232" s="221">
        <f t="shared" si="149"/>
        <v>76.359284986999995</v>
      </c>
      <c r="DF232" s="221">
        <f t="shared" si="150"/>
        <v>79.669644218000002</v>
      </c>
      <c r="DG232" s="76">
        <f t="shared" si="151"/>
        <v>0</v>
      </c>
      <c r="DH232" s="76">
        <f t="shared" si="151"/>
        <v>0</v>
      </c>
      <c r="DI232" s="76">
        <f t="shared" si="151"/>
        <v>0</v>
      </c>
      <c r="DJ232" s="76">
        <f t="shared" si="152"/>
        <v>7190065.1299999999</v>
      </c>
      <c r="DK232" s="76">
        <f t="shared" si="152"/>
        <v>7312165.1299999999</v>
      </c>
      <c r="DL232" s="76">
        <f t="shared" si="152"/>
        <v>7629165.1299999999</v>
      </c>
      <c r="DM232" s="181">
        <f t="shared" si="168"/>
        <v>127080</v>
      </c>
      <c r="DN232" s="181">
        <f t="shared" si="153"/>
        <v>127080</v>
      </c>
      <c r="DO232" s="181">
        <f t="shared" si="153"/>
        <v>127080</v>
      </c>
      <c r="DP232" s="76">
        <f t="shared" si="154"/>
        <v>0</v>
      </c>
      <c r="DQ232" s="76">
        <f t="shared" si="155"/>
        <v>0</v>
      </c>
      <c r="DR232" s="76">
        <f t="shared" si="156"/>
        <v>0</v>
      </c>
      <c r="DS232" s="76">
        <f t="shared" si="157"/>
        <v>20607292.800000001</v>
      </c>
      <c r="DT232" s="76">
        <f t="shared" si="158"/>
        <v>21677306.399999999</v>
      </c>
      <c r="DU232" s="76">
        <f t="shared" si="159"/>
        <v>22771465.199999999</v>
      </c>
      <c r="DV232" s="221">
        <f t="shared" si="160"/>
        <v>0</v>
      </c>
      <c r="DW232" s="221">
        <f t="shared" si="161"/>
        <v>0</v>
      </c>
      <c r="DX232" s="221">
        <f t="shared" si="162"/>
        <v>0</v>
      </c>
      <c r="DY232" s="221">
        <f t="shared" si="163"/>
        <v>179.83729631040001</v>
      </c>
      <c r="DZ232" s="221">
        <f t="shared" si="164"/>
        <v>185.1734853888</v>
      </c>
      <c r="EA232" s="221">
        <f t="shared" si="165"/>
        <v>192.31333890799999</v>
      </c>
      <c r="EB232" s="76">
        <f t="shared" si="166"/>
        <v>0</v>
      </c>
      <c r="EC232" s="76">
        <f t="shared" si="166"/>
        <v>0</v>
      </c>
      <c r="ED232" s="76">
        <f t="shared" si="166"/>
        <v>0</v>
      </c>
      <c r="EE232" s="76">
        <f t="shared" si="167"/>
        <v>22853723.620000001</v>
      </c>
      <c r="EF232" s="76">
        <f t="shared" si="167"/>
        <v>23531846.52</v>
      </c>
      <c r="EG232" s="76">
        <f t="shared" si="167"/>
        <v>24439179.109999999</v>
      </c>
      <c r="EJ232" s="252"/>
    </row>
    <row r="233" spans="1:140" ht="14.25" customHeight="1" x14ac:dyDescent="0.25">
      <c r="A233" s="12" t="s">
        <v>56</v>
      </c>
      <c r="B233" s="315" t="s">
        <v>820</v>
      </c>
      <c r="C233" s="5"/>
      <c r="D233" s="199"/>
      <c r="E233" s="200"/>
      <c r="F233" s="71"/>
      <c r="G233" s="71"/>
      <c r="H233" s="71"/>
      <c r="I233" s="71">
        <f t="shared" si="77"/>
        <v>107.71</v>
      </c>
      <c r="J233" s="71">
        <f t="shared" si="77"/>
        <v>113.94</v>
      </c>
      <c r="K233" s="71">
        <f t="shared" si="77"/>
        <v>120.28</v>
      </c>
      <c r="L233" s="181">
        <f t="shared" si="78"/>
        <v>100800</v>
      </c>
      <c r="M233" s="181">
        <f t="shared" si="78"/>
        <v>100800</v>
      </c>
      <c r="N233" s="181">
        <f t="shared" si="78"/>
        <v>100800</v>
      </c>
      <c r="O233" s="76">
        <f t="shared" si="79"/>
        <v>0</v>
      </c>
      <c r="P233" s="76">
        <f t="shared" si="80"/>
        <v>0</v>
      </c>
      <c r="Q233" s="76">
        <f t="shared" si="81"/>
        <v>0</v>
      </c>
      <c r="R233" s="76">
        <f t="shared" si="82"/>
        <v>10857168</v>
      </c>
      <c r="S233" s="76">
        <f t="shared" si="83"/>
        <v>11485152</v>
      </c>
      <c r="T233" s="76">
        <f t="shared" si="84"/>
        <v>12124224</v>
      </c>
      <c r="U233" s="221">
        <f t="shared" si="85"/>
        <v>0</v>
      </c>
      <c r="V233" s="221">
        <f t="shared" si="86"/>
        <v>0</v>
      </c>
      <c r="W233" s="221">
        <f t="shared" si="87"/>
        <v>0</v>
      </c>
      <c r="X233" s="221">
        <f t="shared" si="88"/>
        <v>112.08942143199999</v>
      </c>
      <c r="Y233" s="221">
        <f t="shared" si="89"/>
        <v>117.34010574689999</v>
      </c>
      <c r="Z233" s="221">
        <f t="shared" si="90"/>
        <v>123.045037439</v>
      </c>
      <c r="AA233" s="76">
        <f t="shared" si="91"/>
        <v>0</v>
      </c>
      <c r="AB233" s="76">
        <f t="shared" si="91"/>
        <v>0</v>
      </c>
      <c r="AC233" s="76">
        <f t="shared" si="91"/>
        <v>0</v>
      </c>
      <c r="AD233" s="76">
        <f t="shared" si="92"/>
        <v>11298613.68</v>
      </c>
      <c r="AE233" s="76">
        <f t="shared" si="92"/>
        <v>11827882.66</v>
      </c>
      <c r="AF233" s="76">
        <f t="shared" si="92"/>
        <v>12402939.77</v>
      </c>
      <c r="AG233" s="181">
        <f t="shared" si="93"/>
        <v>117512</v>
      </c>
      <c r="AH233" s="181">
        <f t="shared" si="93"/>
        <v>117512</v>
      </c>
      <c r="AI233" s="181">
        <f t="shared" si="93"/>
        <v>117512</v>
      </c>
      <c r="AJ233" s="76">
        <f t="shared" si="94"/>
        <v>0</v>
      </c>
      <c r="AK233" s="76">
        <f t="shared" si="95"/>
        <v>0</v>
      </c>
      <c r="AL233" s="76">
        <f t="shared" si="96"/>
        <v>0</v>
      </c>
      <c r="AM233" s="76">
        <f t="shared" si="97"/>
        <v>12657217.52</v>
      </c>
      <c r="AN233" s="76">
        <f t="shared" si="98"/>
        <v>13389317.279999999</v>
      </c>
      <c r="AO233" s="76">
        <f t="shared" si="99"/>
        <v>14134343.359999999</v>
      </c>
      <c r="AP233" s="221">
        <f t="shared" si="100"/>
        <v>0</v>
      </c>
      <c r="AQ233" s="221">
        <f t="shared" si="101"/>
        <v>0</v>
      </c>
      <c r="AR233" s="221">
        <f t="shared" si="102"/>
        <v>0</v>
      </c>
      <c r="AS233" s="221">
        <f t="shared" si="103"/>
        <v>130.432778447</v>
      </c>
      <c r="AT233" s="221">
        <f t="shared" si="104"/>
        <v>136.42097731019999</v>
      </c>
      <c r="AU233" s="221">
        <f t="shared" si="105"/>
        <v>142.2743494044</v>
      </c>
      <c r="AV233" s="76">
        <f t="shared" si="106"/>
        <v>0</v>
      </c>
      <c r="AW233" s="76">
        <f t="shared" si="106"/>
        <v>0</v>
      </c>
      <c r="AX233" s="76">
        <f t="shared" si="106"/>
        <v>0</v>
      </c>
      <c r="AY233" s="76">
        <f t="shared" si="107"/>
        <v>15327416.66</v>
      </c>
      <c r="AZ233" s="76">
        <f t="shared" si="107"/>
        <v>16031101.890000001</v>
      </c>
      <c r="BA233" s="76">
        <f t="shared" si="107"/>
        <v>16718943.35</v>
      </c>
      <c r="BB233" s="181">
        <f t="shared" si="108"/>
        <v>22896</v>
      </c>
      <c r="BC233" s="181">
        <f t="shared" si="108"/>
        <v>22896</v>
      </c>
      <c r="BD233" s="181">
        <f t="shared" si="108"/>
        <v>22896</v>
      </c>
      <c r="BE233" s="76">
        <f t="shared" si="109"/>
        <v>0</v>
      </c>
      <c r="BF233" s="76">
        <f t="shared" si="110"/>
        <v>0</v>
      </c>
      <c r="BG233" s="76">
        <f t="shared" si="111"/>
        <v>0</v>
      </c>
      <c r="BH233" s="76">
        <f t="shared" si="112"/>
        <v>2466128.16</v>
      </c>
      <c r="BI233" s="76">
        <f t="shared" si="113"/>
        <v>2608770.2400000002</v>
      </c>
      <c r="BJ233" s="76">
        <f t="shared" si="114"/>
        <v>2753930.88</v>
      </c>
      <c r="BK233" s="221">
        <f t="shared" si="115"/>
        <v>0</v>
      </c>
      <c r="BL233" s="221">
        <f t="shared" si="116"/>
        <v>0</v>
      </c>
      <c r="BM233" s="221">
        <f t="shared" si="117"/>
        <v>0</v>
      </c>
      <c r="BN233" s="221">
        <f t="shared" si="118"/>
        <v>163.06911185729999</v>
      </c>
      <c r="BO233" s="221">
        <f t="shared" si="119"/>
        <v>165.31397553080001</v>
      </c>
      <c r="BP233" s="221">
        <f t="shared" si="120"/>
        <v>171.3973798765</v>
      </c>
      <c r="BQ233" s="76">
        <f t="shared" si="121"/>
        <v>0</v>
      </c>
      <c r="BR233" s="76">
        <f t="shared" si="121"/>
        <v>0</v>
      </c>
      <c r="BS233" s="76">
        <f t="shared" si="121"/>
        <v>0</v>
      </c>
      <c r="BT233" s="76">
        <f t="shared" si="122"/>
        <v>3733630.39</v>
      </c>
      <c r="BU233" s="76">
        <f t="shared" si="122"/>
        <v>3785028.78</v>
      </c>
      <c r="BV233" s="76">
        <f t="shared" si="122"/>
        <v>3924314.41</v>
      </c>
      <c r="BW233" s="181">
        <f t="shared" si="123"/>
        <v>0</v>
      </c>
      <c r="BX233" s="181">
        <f t="shared" si="123"/>
        <v>0</v>
      </c>
      <c r="BY233" s="181">
        <f t="shared" si="123"/>
        <v>0</v>
      </c>
      <c r="BZ233" s="76">
        <f t="shared" si="124"/>
        <v>0</v>
      </c>
      <c r="CA233" s="76">
        <f t="shared" si="125"/>
        <v>0</v>
      </c>
      <c r="CB233" s="76">
        <f t="shared" si="126"/>
        <v>0</v>
      </c>
      <c r="CC233" s="76">
        <f t="shared" si="127"/>
        <v>0</v>
      </c>
      <c r="CD233" s="76">
        <f t="shared" si="128"/>
        <v>0</v>
      </c>
      <c r="CE233" s="76">
        <f t="shared" si="129"/>
        <v>0</v>
      </c>
      <c r="CF233" s="221">
        <f t="shared" si="130"/>
        <v>0</v>
      </c>
      <c r="CG233" s="221">
        <f t="shared" si="131"/>
        <v>0</v>
      </c>
      <c r="CH233" s="221">
        <f t="shared" si="132"/>
        <v>0</v>
      </c>
      <c r="CI233" s="221">
        <f t="shared" si="133"/>
        <v>102.4933299426</v>
      </c>
      <c r="CJ233" s="221">
        <f t="shared" si="134"/>
        <v>104.0941253287</v>
      </c>
      <c r="CK233" s="221">
        <f t="shared" si="135"/>
        <v>108.30495001040001</v>
      </c>
      <c r="CL233" s="76">
        <f t="shared" si="136"/>
        <v>0</v>
      </c>
      <c r="CM233" s="76">
        <f t="shared" si="136"/>
        <v>0</v>
      </c>
      <c r="CN233" s="76">
        <f t="shared" si="136"/>
        <v>0</v>
      </c>
      <c r="CO233" s="76">
        <f t="shared" si="137"/>
        <v>0</v>
      </c>
      <c r="CP233" s="76">
        <f t="shared" si="137"/>
        <v>0</v>
      </c>
      <c r="CQ233" s="76">
        <f t="shared" si="137"/>
        <v>0</v>
      </c>
      <c r="CR233" s="181">
        <f t="shared" si="138"/>
        <v>0</v>
      </c>
      <c r="CS233" s="181">
        <f t="shared" si="138"/>
        <v>0</v>
      </c>
      <c r="CT233" s="181">
        <f t="shared" si="138"/>
        <v>0</v>
      </c>
      <c r="CU233" s="76">
        <f t="shared" si="139"/>
        <v>0</v>
      </c>
      <c r="CV233" s="76">
        <f t="shared" si="140"/>
        <v>0</v>
      </c>
      <c r="CW233" s="76">
        <f t="shared" si="141"/>
        <v>0</v>
      </c>
      <c r="CX233" s="76">
        <f t="shared" si="142"/>
        <v>0</v>
      </c>
      <c r="CY233" s="76">
        <f t="shared" si="143"/>
        <v>0</v>
      </c>
      <c r="CZ233" s="76">
        <f t="shared" si="144"/>
        <v>0</v>
      </c>
      <c r="DA233" s="221">
        <f t="shared" si="145"/>
        <v>0</v>
      </c>
      <c r="DB233" s="221">
        <f t="shared" si="146"/>
        <v>0</v>
      </c>
      <c r="DC233" s="221">
        <f t="shared" si="147"/>
        <v>0</v>
      </c>
      <c r="DD233" s="221">
        <f t="shared" si="148"/>
        <v>49.8724814196</v>
      </c>
      <c r="DE233" s="221">
        <f t="shared" si="149"/>
        <v>51.004671892499999</v>
      </c>
      <c r="DF233" s="221">
        <f t="shared" si="150"/>
        <v>53.477676246100003</v>
      </c>
      <c r="DG233" s="76">
        <f t="shared" si="151"/>
        <v>0</v>
      </c>
      <c r="DH233" s="76">
        <f t="shared" si="151"/>
        <v>0</v>
      </c>
      <c r="DI233" s="76">
        <f t="shared" si="151"/>
        <v>0</v>
      </c>
      <c r="DJ233" s="76">
        <f t="shared" si="152"/>
        <v>0</v>
      </c>
      <c r="DK233" s="76">
        <f t="shared" si="152"/>
        <v>0</v>
      </c>
      <c r="DL233" s="76">
        <f t="shared" si="152"/>
        <v>0</v>
      </c>
      <c r="DM233" s="181">
        <f t="shared" si="168"/>
        <v>241208</v>
      </c>
      <c r="DN233" s="181">
        <f t="shared" si="153"/>
        <v>241208</v>
      </c>
      <c r="DO233" s="181">
        <f t="shared" si="153"/>
        <v>241208</v>
      </c>
      <c r="DP233" s="76">
        <f t="shared" si="154"/>
        <v>0</v>
      </c>
      <c r="DQ233" s="76">
        <f t="shared" si="155"/>
        <v>0</v>
      </c>
      <c r="DR233" s="76">
        <f t="shared" si="156"/>
        <v>0</v>
      </c>
      <c r="DS233" s="76">
        <f t="shared" si="157"/>
        <v>25980513.68</v>
      </c>
      <c r="DT233" s="76">
        <f t="shared" si="158"/>
        <v>27483239.52</v>
      </c>
      <c r="DU233" s="76">
        <f t="shared" si="159"/>
        <v>29012498.239999998</v>
      </c>
      <c r="DV233" s="221">
        <f t="shared" si="160"/>
        <v>0</v>
      </c>
      <c r="DW233" s="221">
        <f t="shared" si="161"/>
        <v>0</v>
      </c>
      <c r="DX233" s="221">
        <f t="shared" si="162"/>
        <v>0</v>
      </c>
      <c r="DY233" s="221">
        <f t="shared" si="163"/>
        <v>119.4516229995</v>
      </c>
      <c r="DZ233" s="221">
        <f t="shared" si="164"/>
        <v>123.68781173169999</v>
      </c>
      <c r="EA233" s="221">
        <f t="shared" si="165"/>
        <v>129.0889469494</v>
      </c>
      <c r="EB233" s="76">
        <f t="shared" si="166"/>
        <v>0</v>
      </c>
      <c r="EC233" s="76">
        <f t="shared" si="166"/>
        <v>0</v>
      </c>
      <c r="ED233" s="76">
        <f t="shared" si="166"/>
        <v>0</v>
      </c>
      <c r="EE233" s="76">
        <f t="shared" si="167"/>
        <v>28812687.079999998</v>
      </c>
      <c r="EF233" s="76">
        <f t="shared" si="167"/>
        <v>29834489.690000001</v>
      </c>
      <c r="EG233" s="76">
        <f t="shared" si="167"/>
        <v>31137286.719999999</v>
      </c>
      <c r="EJ233" s="252"/>
    </row>
    <row r="234" spans="1:140" ht="36" x14ac:dyDescent="0.25">
      <c r="A234" s="396" t="s">
        <v>469</v>
      </c>
      <c r="B234" s="315" t="s">
        <v>818</v>
      </c>
      <c r="C234" s="5"/>
      <c r="D234" s="199"/>
      <c r="E234" s="200"/>
      <c r="F234" s="71"/>
      <c r="G234" s="71"/>
      <c r="H234" s="71"/>
      <c r="I234" s="71">
        <f t="shared" ref="I234:K234" si="169">F217</f>
        <v>100.55</v>
      </c>
      <c r="J234" s="71">
        <f t="shared" si="169"/>
        <v>106.5</v>
      </c>
      <c r="K234" s="71">
        <f t="shared" si="169"/>
        <v>112.52</v>
      </c>
      <c r="L234" s="181">
        <f t="shared" si="78"/>
        <v>0</v>
      </c>
      <c r="M234" s="181">
        <f t="shared" si="78"/>
        <v>0</v>
      </c>
      <c r="N234" s="181">
        <f t="shared" si="78"/>
        <v>0</v>
      </c>
      <c r="O234" s="76">
        <f t="shared" ref="O234:O235" si="170">$F234*L234</f>
        <v>0</v>
      </c>
      <c r="P234" s="76">
        <f t="shared" ref="P234:P235" si="171">$G234*M234</f>
        <v>0</v>
      </c>
      <c r="Q234" s="76">
        <f t="shared" ref="Q234:Q235" si="172">$H234*N234</f>
        <v>0</v>
      </c>
      <c r="R234" s="76">
        <f t="shared" ref="R234:R235" si="173">$I234*L234</f>
        <v>0</v>
      </c>
      <c r="S234" s="76">
        <f t="shared" ref="S234:S235" si="174">$J234*M234</f>
        <v>0</v>
      </c>
      <c r="T234" s="76">
        <f t="shared" ref="T234:T235" si="175">$K234*N234</f>
        <v>0</v>
      </c>
      <c r="U234" s="221">
        <f t="shared" si="85"/>
        <v>0</v>
      </c>
      <c r="V234" s="221">
        <f t="shared" si="86"/>
        <v>0</v>
      </c>
      <c r="W234" s="221">
        <f t="shared" si="87"/>
        <v>0</v>
      </c>
      <c r="X234" s="221">
        <f t="shared" si="88"/>
        <v>104.638300297</v>
      </c>
      <c r="Y234" s="221">
        <f t="shared" si="89"/>
        <v>109.6780872569</v>
      </c>
      <c r="Z234" s="221">
        <f t="shared" si="90"/>
        <v>115.10664792679999</v>
      </c>
      <c r="AA234" s="76">
        <f t="shared" ref="AA234:AA235" si="176">L234*U234</f>
        <v>0</v>
      </c>
      <c r="AB234" s="76">
        <f t="shared" ref="AB234:AB235" si="177">M234*V234</f>
        <v>0</v>
      </c>
      <c r="AC234" s="76">
        <f t="shared" ref="AC234:AC235" si="178">N234*W234</f>
        <v>0</v>
      </c>
      <c r="AD234" s="76">
        <f t="shared" ref="AD234:AD235" si="179">L234*X234</f>
        <v>0</v>
      </c>
      <c r="AE234" s="76">
        <f t="shared" ref="AE234:AE235" si="180">M234*Y234</f>
        <v>0</v>
      </c>
      <c r="AF234" s="76">
        <f t="shared" ref="AF234:AF235" si="181">N234*Z234</f>
        <v>0</v>
      </c>
      <c r="AG234" s="181">
        <f t="shared" si="93"/>
        <v>10648</v>
      </c>
      <c r="AH234" s="181">
        <f t="shared" si="93"/>
        <v>10648</v>
      </c>
      <c r="AI234" s="181">
        <f t="shared" si="93"/>
        <v>10648</v>
      </c>
      <c r="AJ234" s="76">
        <f t="shared" ref="AJ234:AJ235" si="182">$F234*AG234</f>
        <v>0</v>
      </c>
      <c r="AK234" s="76">
        <f t="shared" ref="AK234:AK235" si="183">$G234*AH234</f>
        <v>0</v>
      </c>
      <c r="AL234" s="76">
        <f t="shared" ref="AL234:AL235" si="184">$H234*AI234</f>
        <v>0</v>
      </c>
      <c r="AM234" s="76">
        <f t="shared" ref="AM234:AM235" si="185">$I234*AG234</f>
        <v>1070656.3999999999</v>
      </c>
      <c r="AN234" s="76">
        <f t="shared" ref="AN234:AN235" si="186">$J234*AH234</f>
        <v>1134012</v>
      </c>
      <c r="AO234" s="76">
        <f t="shared" ref="AO234:AO235" si="187">$K234*AI234</f>
        <v>1198112.96</v>
      </c>
      <c r="AP234" s="221">
        <f t="shared" si="100"/>
        <v>0</v>
      </c>
      <c r="AQ234" s="221">
        <f t="shared" si="101"/>
        <v>0</v>
      </c>
      <c r="AR234" s="221">
        <f t="shared" si="102"/>
        <v>0</v>
      </c>
      <c r="AS234" s="221">
        <f t="shared" si="103"/>
        <v>121.76228644370001</v>
      </c>
      <c r="AT234" s="221">
        <f t="shared" si="104"/>
        <v>127.513025132</v>
      </c>
      <c r="AU234" s="221">
        <f t="shared" si="105"/>
        <v>133.09535912019999</v>
      </c>
      <c r="AV234" s="76">
        <f t="shared" ref="AV234:AV235" si="188">AG234*AP234</f>
        <v>0</v>
      </c>
      <c r="AW234" s="76">
        <f t="shared" ref="AW234:AW235" si="189">AH234*AQ234</f>
        <v>0</v>
      </c>
      <c r="AX234" s="76">
        <f t="shared" ref="AX234:AX235" si="190">AI234*AR234</f>
        <v>0</v>
      </c>
      <c r="AY234" s="76">
        <f t="shared" ref="AY234:AY235" si="191">AG234*AS234</f>
        <v>1296524.83</v>
      </c>
      <c r="AZ234" s="76">
        <f t="shared" ref="AZ234:AZ235" si="192">AH234*AT234</f>
        <v>1357758.69</v>
      </c>
      <c r="BA234" s="76">
        <f t="shared" ref="BA234:BA235" si="193">AI234*AU234</f>
        <v>1417199.38</v>
      </c>
      <c r="BB234" s="181">
        <f t="shared" si="108"/>
        <v>0</v>
      </c>
      <c r="BC234" s="181">
        <f t="shared" si="108"/>
        <v>0</v>
      </c>
      <c r="BD234" s="181">
        <f t="shared" si="108"/>
        <v>0</v>
      </c>
      <c r="BE234" s="76">
        <f t="shared" ref="BE234:BE235" si="194">$F234*BB234</f>
        <v>0</v>
      </c>
      <c r="BF234" s="76">
        <f t="shared" ref="BF234:BF235" si="195">$G234*BC234</f>
        <v>0</v>
      </c>
      <c r="BG234" s="76">
        <f t="shared" ref="BG234:BG235" si="196">$H234*BD234</f>
        <v>0</v>
      </c>
      <c r="BH234" s="76">
        <f t="shared" ref="BH234:BH235" si="197">$I234*BB234</f>
        <v>0</v>
      </c>
      <c r="BI234" s="76">
        <f t="shared" ref="BI234:BI235" si="198">$J234*BC234</f>
        <v>0</v>
      </c>
      <c r="BJ234" s="76">
        <f t="shared" ref="BJ234:BJ235" si="199">$K234*BD234</f>
        <v>0</v>
      </c>
      <c r="BK234" s="221">
        <f t="shared" si="115"/>
        <v>0</v>
      </c>
      <c r="BL234" s="221">
        <f t="shared" si="116"/>
        <v>0</v>
      </c>
      <c r="BM234" s="221">
        <f t="shared" si="117"/>
        <v>0</v>
      </c>
      <c r="BN234" s="221">
        <f t="shared" si="118"/>
        <v>152.22912633230001</v>
      </c>
      <c r="BO234" s="221">
        <f t="shared" si="119"/>
        <v>154.51938207859999</v>
      </c>
      <c r="BP234" s="221">
        <f t="shared" si="120"/>
        <v>160.33948440060001</v>
      </c>
      <c r="BQ234" s="76">
        <f t="shared" ref="BQ234:BQ235" si="200">BB234*BK234</f>
        <v>0</v>
      </c>
      <c r="BR234" s="76">
        <f t="shared" ref="BR234:BR235" si="201">BC234*BL234</f>
        <v>0</v>
      </c>
      <c r="BS234" s="76">
        <f t="shared" ref="BS234:BS235" si="202">BD234*BM234</f>
        <v>0</v>
      </c>
      <c r="BT234" s="76">
        <f t="shared" ref="BT234:BT235" si="203">BB234*BN234</f>
        <v>0</v>
      </c>
      <c r="BU234" s="76">
        <f t="shared" ref="BU234:BU235" si="204">BC234*BO234</f>
        <v>0</v>
      </c>
      <c r="BV234" s="76">
        <f t="shared" ref="BV234:BV235" si="205">BD234*BP234</f>
        <v>0</v>
      </c>
      <c r="BW234" s="181">
        <f t="shared" si="123"/>
        <v>0</v>
      </c>
      <c r="BX234" s="181">
        <f t="shared" si="123"/>
        <v>0</v>
      </c>
      <c r="BY234" s="181">
        <f t="shared" si="123"/>
        <v>0</v>
      </c>
      <c r="BZ234" s="76">
        <f t="shared" ref="BZ234:BZ235" si="206">$F234*BW234</f>
        <v>0</v>
      </c>
      <c r="CA234" s="76">
        <f t="shared" ref="CA234:CA235" si="207">$G234*BX234</f>
        <v>0</v>
      </c>
      <c r="CB234" s="76">
        <f t="shared" ref="CB234:CB235" si="208">$H234*BY234</f>
        <v>0</v>
      </c>
      <c r="CC234" s="76">
        <f t="shared" ref="CC234:CC235" si="209">$I234*BW234</f>
        <v>0</v>
      </c>
      <c r="CD234" s="76">
        <f t="shared" ref="CD234:CD235" si="210">$J234*BX234</f>
        <v>0</v>
      </c>
      <c r="CE234" s="76">
        <f t="shared" ref="CE234:CE235" si="211">$K234*BY234</f>
        <v>0</v>
      </c>
      <c r="CF234" s="221">
        <f t="shared" si="130"/>
        <v>0</v>
      </c>
      <c r="CG234" s="221">
        <f t="shared" si="131"/>
        <v>0</v>
      </c>
      <c r="CH234" s="221">
        <f t="shared" si="132"/>
        <v>0</v>
      </c>
      <c r="CI234" s="221">
        <f t="shared" si="133"/>
        <v>95.680107007000004</v>
      </c>
      <c r="CJ234" s="221">
        <f t="shared" si="134"/>
        <v>97.297036576400004</v>
      </c>
      <c r="CK234" s="221">
        <f t="shared" si="135"/>
        <v>101.3175338807</v>
      </c>
      <c r="CL234" s="76">
        <f t="shared" ref="CL234:CL235" si="212">BW234*CF234</f>
        <v>0</v>
      </c>
      <c r="CM234" s="76">
        <f t="shared" ref="CM234:CM235" si="213">BX234*CG234</f>
        <v>0</v>
      </c>
      <c r="CN234" s="76">
        <f t="shared" ref="CN234:CN235" si="214">BY234*CH234</f>
        <v>0</v>
      </c>
      <c r="CO234" s="76">
        <f t="shared" ref="CO234:CO235" si="215">BW234*CI234</f>
        <v>0</v>
      </c>
      <c r="CP234" s="76">
        <f t="shared" ref="CP234:CP235" si="216">BX234*CJ234</f>
        <v>0</v>
      </c>
      <c r="CQ234" s="76">
        <f t="shared" ref="CQ234:CQ235" si="217">BY234*CK234</f>
        <v>0</v>
      </c>
      <c r="CR234" s="181">
        <f t="shared" si="138"/>
        <v>0</v>
      </c>
      <c r="CS234" s="181">
        <f t="shared" si="138"/>
        <v>0</v>
      </c>
      <c r="CT234" s="181">
        <f t="shared" si="138"/>
        <v>0</v>
      </c>
      <c r="CU234" s="76">
        <f t="shared" ref="CU234:CU235" si="218">$F234*CR234</f>
        <v>0</v>
      </c>
      <c r="CV234" s="76">
        <f t="shared" ref="CV234:CV235" si="219">$G234*CS234</f>
        <v>0</v>
      </c>
      <c r="CW234" s="76">
        <f t="shared" ref="CW234:CW235" si="220">$H234*CT234</f>
        <v>0</v>
      </c>
      <c r="CX234" s="76">
        <f t="shared" ref="CX234:CX235" si="221">$I234*CR234</f>
        <v>0</v>
      </c>
      <c r="CY234" s="76">
        <f t="shared" ref="CY234:CY235" si="222">$J234*CS234</f>
        <v>0</v>
      </c>
      <c r="CZ234" s="76">
        <f t="shared" ref="CZ234:CZ235" si="223">$K234*CT234</f>
        <v>0</v>
      </c>
      <c r="DA234" s="221">
        <f t="shared" si="145"/>
        <v>0</v>
      </c>
      <c r="DB234" s="221">
        <f t="shared" si="146"/>
        <v>0</v>
      </c>
      <c r="DC234" s="221">
        <f t="shared" si="147"/>
        <v>0</v>
      </c>
      <c r="DD234" s="221">
        <f t="shared" si="148"/>
        <v>46.557218519599999</v>
      </c>
      <c r="DE234" s="221">
        <f t="shared" si="149"/>
        <v>47.674193053800003</v>
      </c>
      <c r="DF234" s="221">
        <f t="shared" si="150"/>
        <v>50.0275035851</v>
      </c>
      <c r="DG234" s="76">
        <f t="shared" ref="DG234:DG235" si="224">CR234*DA234</f>
        <v>0</v>
      </c>
      <c r="DH234" s="76">
        <f t="shared" ref="DH234:DH235" si="225">CS234*DB234</f>
        <v>0</v>
      </c>
      <c r="DI234" s="76">
        <f t="shared" ref="DI234:DI235" si="226">CT234*DC234</f>
        <v>0</v>
      </c>
      <c r="DJ234" s="76">
        <f t="shared" ref="DJ234:DJ235" si="227">CR234*DD234</f>
        <v>0</v>
      </c>
      <c r="DK234" s="76">
        <f t="shared" ref="DK234:DK235" si="228">CS234*DE234</f>
        <v>0</v>
      </c>
      <c r="DL234" s="76">
        <f t="shared" ref="DL234:DL235" si="229">CT234*DF234</f>
        <v>0</v>
      </c>
      <c r="DM234" s="181">
        <f t="shared" ref="DM234:DM235" si="230">L234+AG234+BB234+BW234+CR234</f>
        <v>10648</v>
      </c>
      <c r="DN234" s="181">
        <f t="shared" ref="DN234:DN235" si="231">M234+AH234+BC234+BX234+CS234</f>
        <v>10648</v>
      </c>
      <c r="DO234" s="181">
        <f t="shared" ref="DO234:DO235" si="232">N234+AI234+BD234+BY234+CT234</f>
        <v>10648</v>
      </c>
      <c r="DP234" s="76">
        <f t="shared" ref="DP234:DP235" si="233">$F234*DM234</f>
        <v>0</v>
      </c>
      <c r="DQ234" s="76">
        <f t="shared" ref="DQ234:DQ235" si="234">$G234*DN234</f>
        <v>0</v>
      </c>
      <c r="DR234" s="76">
        <f t="shared" ref="DR234:DR235" si="235">$H234*DO234</f>
        <v>0</v>
      </c>
      <c r="DS234" s="76">
        <f t="shared" ref="DS234:DS235" si="236">$I234*DM234</f>
        <v>1070656.3999999999</v>
      </c>
      <c r="DT234" s="76">
        <f t="shared" ref="DT234:DT235" si="237">$J234*DN234</f>
        <v>1134012</v>
      </c>
      <c r="DU234" s="76">
        <f t="shared" ref="DU234:DU235" si="238">$K234*DO234</f>
        <v>1198112.96</v>
      </c>
      <c r="DV234" s="221">
        <f t="shared" si="160"/>
        <v>0</v>
      </c>
      <c r="DW234" s="221">
        <f t="shared" si="161"/>
        <v>0</v>
      </c>
      <c r="DX234" s="221">
        <f t="shared" si="162"/>
        <v>0</v>
      </c>
      <c r="DY234" s="221">
        <f t="shared" si="163"/>
        <v>111.5111010361</v>
      </c>
      <c r="DZ234" s="221">
        <f t="shared" si="164"/>
        <v>115.6113037514</v>
      </c>
      <c r="EA234" s="221">
        <f t="shared" si="165"/>
        <v>120.7606277913</v>
      </c>
      <c r="EB234" s="76">
        <f t="shared" ref="EB234:EB235" si="239">DM234*DV234</f>
        <v>0</v>
      </c>
      <c r="EC234" s="76">
        <f t="shared" ref="EC234:EC235" si="240">DN234*DW234</f>
        <v>0</v>
      </c>
      <c r="ED234" s="76">
        <f t="shared" ref="ED234:ED235" si="241">DO234*DX234</f>
        <v>0</v>
      </c>
      <c r="EE234" s="76">
        <f t="shared" ref="EE234:EE235" si="242">DM234*DY234</f>
        <v>1187370.2</v>
      </c>
      <c r="EF234" s="76">
        <f t="shared" ref="EF234:EF235" si="243">DN234*DZ234</f>
        <v>1231029.1599999999</v>
      </c>
      <c r="EG234" s="76">
        <f t="shared" ref="EG234:EG235" si="244">DO234*EA234</f>
        <v>1285859.1599999999</v>
      </c>
      <c r="EI234" s="1" t="s">
        <v>1437</v>
      </c>
      <c r="EJ234" s="252">
        <f>(EE234+EE235+EE236)/(DM234+DM235+DM236)</f>
        <v>198.52</v>
      </c>
    </row>
    <row r="235" spans="1:140" ht="24.75" customHeight="1" x14ac:dyDescent="0.25">
      <c r="A235" s="406" t="s">
        <v>825</v>
      </c>
      <c r="B235" s="392" t="s">
        <v>824</v>
      </c>
      <c r="C235" s="5"/>
      <c r="D235" s="199"/>
      <c r="E235" s="200"/>
      <c r="F235" s="71"/>
      <c r="G235" s="71"/>
      <c r="H235" s="71"/>
      <c r="I235" s="71">
        <f t="shared" ref="I235:K235" si="245">F218</f>
        <v>408.99</v>
      </c>
      <c r="J235" s="71">
        <f t="shared" si="245"/>
        <v>427.28</v>
      </c>
      <c r="K235" s="71">
        <f t="shared" si="245"/>
        <v>446.16</v>
      </c>
      <c r="L235" s="181">
        <f t="shared" si="78"/>
        <v>3816</v>
      </c>
      <c r="M235" s="181">
        <f t="shared" si="78"/>
        <v>3816</v>
      </c>
      <c r="N235" s="181">
        <f t="shared" si="78"/>
        <v>3816</v>
      </c>
      <c r="O235" s="76">
        <f t="shared" si="170"/>
        <v>0</v>
      </c>
      <c r="P235" s="76">
        <f t="shared" si="171"/>
        <v>0</v>
      </c>
      <c r="Q235" s="76">
        <f t="shared" si="172"/>
        <v>0</v>
      </c>
      <c r="R235" s="76">
        <f t="shared" si="173"/>
        <v>1560705.84</v>
      </c>
      <c r="S235" s="76">
        <f t="shared" si="174"/>
        <v>1630500.48</v>
      </c>
      <c r="T235" s="76">
        <f t="shared" si="175"/>
        <v>1702546.56</v>
      </c>
      <c r="U235" s="221">
        <f t="shared" si="85"/>
        <v>0</v>
      </c>
      <c r="V235" s="221">
        <f t="shared" si="86"/>
        <v>0</v>
      </c>
      <c r="W235" s="221">
        <f t="shared" si="87"/>
        <v>0</v>
      </c>
      <c r="X235" s="221">
        <f t="shared" si="88"/>
        <v>425.61927835379998</v>
      </c>
      <c r="Y235" s="221">
        <f t="shared" si="89"/>
        <v>440.03054575689998</v>
      </c>
      <c r="Z235" s="221">
        <f t="shared" si="90"/>
        <v>456.4164774175</v>
      </c>
      <c r="AA235" s="76">
        <f t="shared" si="176"/>
        <v>0</v>
      </c>
      <c r="AB235" s="76">
        <f t="shared" si="177"/>
        <v>0</v>
      </c>
      <c r="AC235" s="76">
        <f t="shared" si="178"/>
        <v>0</v>
      </c>
      <c r="AD235" s="76">
        <f t="shared" si="179"/>
        <v>1624163.17</v>
      </c>
      <c r="AE235" s="76">
        <f t="shared" si="180"/>
        <v>1679156.56</v>
      </c>
      <c r="AF235" s="76">
        <f t="shared" si="181"/>
        <v>1741685.28</v>
      </c>
      <c r="AG235" s="181">
        <f t="shared" si="93"/>
        <v>0</v>
      </c>
      <c r="AH235" s="181">
        <f t="shared" si="93"/>
        <v>0</v>
      </c>
      <c r="AI235" s="181">
        <f t="shared" si="93"/>
        <v>0</v>
      </c>
      <c r="AJ235" s="76">
        <f t="shared" si="182"/>
        <v>0</v>
      </c>
      <c r="AK235" s="76">
        <f t="shared" si="183"/>
        <v>0</v>
      </c>
      <c r="AL235" s="76">
        <f t="shared" si="184"/>
        <v>0</v>
      </c>
      <c r="AM235" s="76">
        <f t="shared" si="185"/>
        <v>0</v>
      </c>
      <c r="AN235" s="76">
        <f t="shared" si="186"/>
        <v>0</v>
      </c>
      <c r="AO235" s="76">
        <f t="shared" si="187"/>
        <v>0</v>
      </c>
      <c r="AP235" s="221">
        <f t="shared" si="100"/>
        <v>0</v>
      </c>
      <c r="AQ235" s="221">
        <f t="shared" si="101"/>
        <v>0</v>
      </c>
      <c r="AR235" s="221">
        <f t="shared" si="102"/>
        <v>0</v>
      </c>
      <c r="AS235" s="221">
        <f t="shared" si="103"/>
        <v>495.27158162699999</v>
      </c>
      <c r="AT235" s="221">
        <f t="shared" si="104"/>
        <v>511.58465144019999</v>
      </c>
      <c r="AU235" s="221">
        <f t="shared" si="105"/>
        <v>527.74462695579996</v>
      </c>
      <c r="AV235" s="76">
        <f t="shared" si="188"/>
        <v>0</v>
      </c>
      <c r="AW235" s="76">
        <f t="shared" si="189"/>
        <v>0</v>
      </c>
      <c r="AX235" s="76">
        <f t="shared" si="190"/>
        <v>0</v>
      </c>
      <c r="AY235" s="76">
        <f t="shared" si="191"/>
        <v>0</v>
      </c>
      <c r="AZ235" s="76">
        <f t="shared" si="192"/>
        <v>0</v>
      </c>
      <c r="BA235" s="76">
        <f t="shared" si="193"/>
        <v>0</v>
      </c>
      <c r="BB235" s="181">
        <f t="shared" si="108"/>
        <v>0</v>
      </c>
      <c r="BC235" s="181">
        <f t="shared" si="108"/>
        <v>0</v>
      </c>
      <c r="BD235" s="181">
        <f t="shared" si="108"/>
        <v>0</v>
      </c>
      <c r="BE235" s="76">
        <f t="shared" si="194"/>
        <v>0</v>
      </c>
      <c r="BF235" s="76">
        <f t="shared" si="195"/>
        <v>0</v>
      </c>
      <c r="BG235" s="76">
        <f t="shared" si="196"/>
        <v>0</v>
      </c>
      <c r="BH235" s="76">
        <f t="shared" si="197"/>
        <v>0</v>
      </c>
      <c r="BI235" s="76">
        <f t="shared" si="198"/>
        <v>0</v>
      </c>
      <c r="BJ235" s="76">
        <f t="shared" si="199"/>
        <v>0</v>
      </c>
      <c r="BK235" s="221">
        <f t="shared" si="115"/>
        <v>0</v>
      </c>
      <c r="BL235" s="221">
        <f t="shared" si="116"/>
        <v>0</v>
      </c>
      <c r="BM235" s="221">
        <f t="shared" si="117"/>
        <v>0</v>
      </c>
      <c r="BN235" s="221">
        <f t="shared" si="118"/>
        <v>619.1963240046</v>
      </c>
      <c r="BO235" s="221">
        <f t="shared" si="119"/>
        <v>619.93466267159999</v>
      </c>
      <c r="BP235" s="221">
        <f t="shared" si="120"/>
        <v>635.77199040330004</v>
      </c>
      <c r="BQ235" s="76">
        <f t="shared" si="200"/>
        <v>0</v>
      </c>
      <c r="BR235" s="76">
        <f t="shared" si="201"/>
        <v>0</v>
      </c>
      <c r="BS235" s="76">
        <f t="shared" si="202"/>
        <v>0</v>
      </c>
      <c r="BT235" s="76">
        <f t="shared" si="203"/>
        <v>0</v>
      </c>
      <c r="BU235" s="76">
        <f t="shared" si="204"/>
        <v>0</v>
      </c>
      <c r="BV235" s="76">
        <f t="shared" si="205"/>
        <v>0</v>
      </c>
      <c r="BW235" s="181">
        <f t="shared" si="123"/>
        <v>0</v>
      </c>
      <c r="BX235" s="181">
        <f t="shared" si="123"/>
        <v>0</v>
      </c>
      <c r="BY235" s="181">
        <f t="shared" si="123"/>
        <v>0</v>
      </c>
      <c r="BZ235" s="76">
        <f t="shared" si="206"/>
        <v>0</v>
      </c>
      <c r="CA235" s="76">
        <f t="shared" si="207"/>
        <v>0</v>
      </c>
      <c r="CB235" s="76">
        <f t="shared" si="208"/>
        <v>0</v>
      </c>
      <c r="CC235" s="76">
        <f t="shared" si="209"/>
        <v>0</v>
      </c>
      <c r="CD235" s="76">
        <f t="shared" si="210"/>
        <v>0</v>
      </c>
      <c r="CE235" s="76">
        <f t="shared" si="211"/>
        <v>0</v>
      </c>
      <c r="CF235" s="221">
        <f t="shared" si="130"/>
        <v>0</v>
      </c>
      <c r="CG235" s="221">
        <f t="shared" si="131"/>
        <v>0</v>
      </c>
      <c r="CH235" s="221">
        <f t="shared" si="132"/>
        <v>0</v>
      </c>
      <c r="CI235" s="221">
        <f t="shared" si="133"/>
        <v>389.18157100740001</v>
      </c>
      <c r="CJ235" s="221">
        <f t="shared" si="134"/>
        <v>390.35753791870002</v>
      </c>
      <c r="CK235" s="221">
        <f t="shared" si="135"/>
        <v>401.74040984909999</v>
      </c>
      <c r="CL235" s="76">
        <f t="shared" si="212"/>
        <v>0</v>
      </c>
      <c r="CM235" s="76">
        <f t="shared" si="213"/>
        <v>0</v>
      </c>
      <c r="CN235" s="76">
        <f t="shared" si="214"/>
        <v>0</v>
      </c>
      <c r="CO235" s="76">
        <f t="shared" si="215"/>
        <v>0</v>
      </c>
      <c r="CP235" s="76">
        <f t="shared" si="216"/>
        <v>0</v>
      </c>
      <c r="CQ235" s="76">
        <f t="shared" si="217"/>
        <v>0</v>
      </c>
      <c r="CR235" s="181">
        <f t="shared" si="138"/>
        <v>0</v>
      </c>
      <c r="CS235" s="181">
        <f t="shared" si="138"/>
        <v>0</v>
      </c>
      <c r="CT235" s="181">
        <f t="shared" si="138"/>
        <v>0</v>
      </c>
      <c r="CU235" s="76">
        <f t="shared" si="218"/>
        <v>0</v>
      </c>
      <c r="CV235" s="76">
        <f t="shared" si="219"/>
        <v>0</v>
      </c>
      <c r="CW235" s="76">
        <f t="shared" si="220"/>
        <v>0</v>
      </c>
      <c r="CX235" s="76">
        <f t="shared" si="221"/>
        <v>0</v>
      </c>
      <c r="CY235" s="76">
        <f t="shared" si="222"/>
        <v>0</v>
      </c>
      <c r="CZ235" s="76">
        <f t="shared" si="223"/>
        <v>0</v>
      </c>
      <c r="DA235" s="221">
        <f t="shared" si="145"/>
        <v>0</v>
      </c>
      <c r="DB235" s="221">
        <f t="shared" si="146"/>
        <v>0</v>
      </c>
      <c r="DC235" s="221">
        <f t="shared" si="147"/>
        <v>0</v>
      </c>
      <c r="DD235" s="221">
        <f t="shared" si="148"/>
        <v>189.37281752690001</v>
      </c>
      <c r="DE235" s="221">
        <f t="shared" si="149"/>
        <v>191.26975782189999</v>
      </c>
      <c r="DF235" s="221">
        <f t="shared" si="150"/>
        <v>198.3671436146</v>
      </c>
      <c r="DG235" s="76">
        <f t="shared" si="224"/>
        <v>0</v>
      </c>
      <c r="DH235" s="76">
        <f t="shared" si="225"/>
        <v>0</v>
      </c>
      <c r="DI235" s="76">
        <f t="shared" si="226"/>
        <v>0</v>
      </c>
      <c r="DJ235" s="76">
        <f t="shared" si="227"/>
        <v>0</v>
      </c>
      <c r="DK235" s="76">
        <f t="shared" si="228"/>
        <v>0</v>
      </c>
      <c r="DL235" s="76">
        <f t="shared" si="229"/>
        <v>0</v>
      </c>
      <c r="DM235" s="181">
        <f t="shared" si="230"/>
        <v>3816</v>
      </c>
      <c r="DN235" s="181">
        <f t="shared" si="231"/>
        <v>3816</v>
      </c>
      <c r="DO235" s="181">
        <f t="shared" si="232"/>
        <v>3816</v>
      </c>
      <c r="DP235" s="76">
        <f t="shared" si="233"/>
        <v>0</v>
      </c>
      <c r="DQ235" s="76">
        <f t="shared" si="234"/>
        <v>0</v>
      </c>
      <c r="DR235" s="76">
        <f t="shared" si="235"/>
        <v>0</v>
      </c>
      <c r="DS235" s="76">
        <f t="shared" si="236"/>
        <v>1560705.84</v>
      </c>
      <c r="DT235" s="76">
        <f t="shared" si="237"/>
        <v>1630500.48</v>
      </c>
      <c r="DU235" s="76">
        <f t="shared" si="238"/>
        <v>1702546.56</v>
      </c>
      <c r="DV235" s="221">
        <f t="shared" si="160"/>
        <v>0</v>
      </c>
      <c r="DW235" s="221">
        <f t="shared" si="161"/>
        <v>0</v>
      </c>
      <c r="DX235" s="221">
        <f t="shared" si="162"/>
        <v>0</v>
      </c>
      <c r="DY235" s="221">
        <f t="shared" si="163"/>
        <v>453.57459187209997</v>
      </c>
      <c r="DZ235" s="221">
        <f t="shared" si="164"/>
        <v>463.83472175470001</v>
      </c>
      <c r="EA235" s="221">
        <f t="shared" si="165"/>
        <v>478.83542210619999</v>
      </c>
      <c r="EB235" s="76">
        <f t="shared" si="239"/>
        <v>0</v>
      </c>
      <c r="EC235" s="76">
        <f t="shared" si="240"/>
        <v>0</v>
      </c>
      <c r="ED235" s="76">
        <f t="shared" si="241"/>
        <v>0</v>
      </c>
      <c r="EE235" s="76">
        <f t="shared" si="242"/>
        <v>1730840.64</v>
      </c>
      <c r="EF235" s="76">
        <f t="shared" si="243"/>
        <v>1769993.3</v>
      </c>
      <c r="EG235" s="76">
        <f t="shared" si="244"/>
        <v>1827235.97</v>
      </c>
    </row>
    <row r="236" spans="1:140" ht="36" x14ac:dyDescent="0.25">
      <c r="A236" s="396" t="s">
        <v>826</v>
      </c>
      <c r="B236" s="392" t="s">
        <v>821</v>
      </c>
      <c r="C236" s="5"/>
      <c r="D236" s="199"/>
      <c r="E236" s="200"/>
      <c r="F236" s="71"/>
      <c r="G236" s="71"/>
      <c r="H236" s="71"/>
      <c r="I236" s="71">
        <f t="shared" ref="I236:K236" si="246">F219</f>
        <v>173.89</v>
      </c>
      <c r="J236" s="71">
        <f t="shared" si="246"/>
        <v>182.77</v>
      </c>
      <c r="K236" s="71">
        <f t="shared" si="246"/>
        <v>191.86</v>
      </c>
      <c r="L236" s="181">
        <f t="shared" si="78"/>
        <v>2268</v>
      </c>
      <c r="M236" s="181">
        <f t="shared" si="78"/>
        <v>2268</v>
      </c>
      <c r="N236" s="181">
        <f t="shared" si="78"/>
        <v>2268</v>
      </c>
      <c r="O236" s="76">
        <f t="shared" ref="O236" si="247">$F236*L236</f>
        <v>0</v>
      </c>
      <c r="P236" s="76">
        <f t="shared" ref="P236" si="248">$G236*M236</f>
        <v>0</v>
      </c>
      <c r="Q236" s="76">
        <f t="shared" ref="Q236" si="249">$H236*N236</f>
        <v>0</v>
      </c>
      <c r="R236" s="76">
        <f t="shared" ref="R236" si="250">$I236*L236</f>
        <v>394382.52</v>
      </c>
      <c r="S236" s="76">
        <f t="shared" ref="S236" si="251">$J236*M236</f>
        <v>414522.36</v>
      </c>
      <c r="T236" s="76">
        <f t="shared" ref="T236" si="252">$K236*N236</f>
        <v>435138.48</v>
      </c>
      <c r="U236" s="221">
        <f t="shared" si="85"/>
        <v>0</v>
      </c>
      <c r="V236" s="221">
        <f t="shared" si="86"/>
        <v>0</v>
      </c>
      <c r="W236" s="221">
        <f t="shared" si="87"/>
        <v>0</v>
      </c>
      <c r="X236" s="221">
        <f t="shared" si="88"/>
        <v>180.96025896219999</v>
      </c>
      <c r="Y236" s="221">
        <f t="shared" si="89"/>
        <v>188.2240751919</v>
      </c>
      <c r="Z236" s="221">
        <f t="shared" si="90"/>
        <v>196.27054275890001</v>
      </c>
      <c r="AA236" s="76">
        <f t="shared" ref="AA236" si="253">L236*U236</f>
        <v>0</v>
      </c>
      <c r="AB236" s="76">
        <f t="shared" ref="AB236" si="254">M236*V236</f>
        <v>0</v>
      </c>
      <c r="AC236" s="76">
        <f t="shared" ref="AC236" si="255">N236*W236</f>
        <v>0</v>
      </c>
      <c r="AD236" s="76">
        <f t="shared" ref="AD236" si="256">L236*X236</f>
        <v>410417.87</v>
      </c>
      <c r="AE236" s="76">
        <f t="shared" ref="AE236" si="257">M236*Y236</f>
        <v>426892.2</v>
      </c>
      <c r="AF236" s="76">
        <f t="shared" ref="AF236" si="258">N236*Z236</f>
        <v>445141.59</v>
      </c>
      <c r="AG236" s="181">
        <f t="shared" si="93"/>
        <v>0</v>
      </c>
      <c r="AH236" s="181">
        <f t="shared" si="93"/>
        <v>0</v>
      </c>
      <c r="AI236" s="181">
        <f t="shared" si="93"/>
        <v>0</v>
      </c>
      <c r="AJ236" s="76">
        <f t="shared" ref="AJ236" si="259">$F236*AG236</f>
        <v>0</v>
      </c>
      <c r="AK236" s="76">
        <f t="shared" ref="AK236" si="260">$G236*AH236</f>
        <v>0</v>
      </c>
      <c r="AL236" s="76">
        <f t="shared" ref="AL236" si="261">$H236*AI236</f>
        <v>0</v>
      </c>
      <c r="AM236" s="76">
        <f t="shared" ref="AM236" si="262">$I236*AG236</f>
        <v>0</v>
      </c>
      <c r="AN236" s="76">
        <f t="shared" ref="AN236" si="263">$J236*AH236</f>
        <v>0</v>
      </c>
      <c r="AO236" s="76">
        <f t="shared" ref="AO236" si="264">$K236*AI236</f>
        <v>0</v>
      </c>
      <c r="AP236" s="221">
        <f t="shared" si="100"/>
        <v>0</v>
      </c>
      <c r="AQ236" s="221">
        <f t="shared" si="101"/>
        <v>0</v>
      </c>
      <c r="AR236" s="221">
        <f t="shared" si="102"/>
        <v>0</v>
      </c>
      <c r="AS236" s="221">
        <f t="shared" si="103"/>
        <v>210.57428134950001</v>
      </c>
      <c r="AT236" s="221">
        <f t="shared" si="104"/>
        <v>218.83150801279999</v>
      </c>
      <c r="AU236" s="221">
        <f t="shared" si="105"/>
        <v>226.94343761819999</v>
      </c>
      <c r="AV236" s="76">
        <f t="shared" ref="AV236" si="265">AG236*AP236</f>
        <v>0</v>
      </c>
      <c r="AW236" s="76">
        <f t="shared" ref="AW236" si="266">AH236*AQ236</f>
        <v>0</v>
      </c>
      <c r="AX236" s="76">
        <f t="shared" ref="AX236" si="267">AI236*AR236</f>
        <v>0</v>
      </c>
      <c r="AY236" s="76">
        <f t="shared" ref="AY236" si="268">AG236*AS236</f>
        <v>0</v>
      </c>
      <c r="AZ236" s="76">
        <f t="shared" ref="AZ236" si="269">AH236*AT236</f>
        <v>0</v>
      </c>
      <c r="BA236" s="76">
        <f t="shared" ref="BA236" si="270">AI236*AU236</f>
        <v>0</v>
      </c>
      <c r="BB236" s="181">
        <f t="shared" si="108"/>
        <v>5976</v>
      </c>
      <c r="BC236" s="181">
        <f t="shared" si="108"/>
        <v>5976</v>
      </c>
      <c r="BD236" s="181">
        <f t="shared" si="108"/>
        <v>5976</v>
      </c>
      <c r="BE236" s="76">
        <f t="shared" ref="BE236" si="271">$F236*BB236</f>
        <v>0</v>
      </c>
      <c r="BF236" s="76">
        <f t="shared" ref="BF236" si="272">$G236*BC236</f>
        <v>0</v>
      </c>
      <c r="BG236" s="76">
        <f t="shared" ref="BG236" si="273">$H236*BD236</f>
        <v>0</v>
      </c>
      <c r="BH236" s="76">
        <f t="shared" ref="BH236" si="274">$I236*BB236</f>
        <v>1039166.64</v>
      </c>
      <c r="BI236" s="76">
        <f t="shared" ref="BI236" si="275">$J236*BC236</f>
        <v>1092233.52</v>
      </c>
      <c r="BJ236" s="76">
        <f t="shared" ref="BJ236" si="276">$K236*BD236</f>
        <v>1146555.3600000001</v>
      </c>
      <c r="BK236" s="221">
        <f t="shared" si="115"/>
        <v>0</v>
      </c>
      <c r="BL236" s="221">
        <f t="shared" si="116"/>
        <v>0</v>
      </c>
      <c r="BM236" s="221">
        <f t="shared" si="117"/>
        <v>0</v>
      </c>
      <c r="BN236" s="221">
        <f t="shared" si="118"/>
        <v>263.2632797407</v>
      </c>
      <c r="BO236" s="221">
        <f t="shared" si="119"/>
        <v>265.17847382629998</v>
      </c>
      <c r="BP236" s="221">
        <f t="shared" si="120"/>
        <v>273.39791572249999</v>
      </c>
      <c r="BQ236" s="76">
        <f t="shared" ref="BQ236" si="277">BB236*BK236</f>
        <v>0</v>
      </c>
      <c r="BR236" s="76">
        <f t="shared" ref="BR236" si="278">BC236*BL236</f>
        <v>0</v>
      </c>
      <c r="BS236" s="76">
        <f t="shared" ref="BS236" si="279">BD236*BM236</f>
        <v>0</v>
      </c>
      <c r="BT236" s="76">
        <f t="shared" ref="BT236" si="280">BB236*BN236</f>
        <v>1573261.36</v>
      </c>
      <c r="BU236" s="76">
        <f t="shared" ref="BU236" si="281">BC236*BO236</f>
        <v>1584706.5600000001</v>
      </c>
      <c r="BV236" s="76">
        <f t="shared" ref="BV236" si="282">BD236*BP236</f>
        <v>1633825.94</v>
      </c>
      <c r="BW236" s="181">
        <f t="shared" si="123"/>
        <v>0</v>
      </c>
      <c r="BX236" s="181">
        <f t="shared" si="123"/>
        <v>0</v>
      </c>
      <c r="BY236" s="181">
        <f t="shared" si="123"/>
        <v>0</v>
      </c>
      <c r="BZ236" s="76">
        <f t="shared" ref="BZ236" si="283">$F236*BW236</f>
        <v>0</v>
      </c>
      <c r="CA236" s="76">
        <f t="shared" ref="CA236" si="284">$G236*BX236</f>
        <v>0</v>
      </c>
      <c r="CB236" s="76">
        <f t="shared" ref="CB236" si="285">$H236*BY236</f>
        <v>0</v>
      </c>
      <c r="CC236" s="76">
        <f t="shared" ref="CC236" si="286">$I236*BW236</f>
        <v>0</v>
      </c>
      <c r="CD236" s="76">
        <f t="shared" ref="CD236" si="287">$J236*BX236</f>
        <v>0</v>
      </c>
      <c r="CE236" s="76">
        <f t="shared" ref="CE236" si="288">$K236*BY236</f>
        <v>0</v>
      </c>
      <c r="CF236" s="221">
        <f t="shared" si="130"/>
        <v>0</v>
      </c>
      <c r="CG236" s="221">
        <f t="shared" si="131"/>
        <v>0</v>
      </c>
      <c r="CH236" s="221">
        <f t="shared" si="132"/>
        <v>0</v>
      </c>
      <c r="CI236" s="221">
        <f t="shared" si="133"/>
        <v>165.46806372399999</v>
      </c>
      <c r="CJ236" s="221">
        <f t="shared" si="134"/>
        <v>166.9763321602</v>
      </c>
      <c r="CK236" s="221">
        <f t="shared" si="135"/>
        <v>172.75846116560001</v>
      </c>
      <c r="CL236" s="76">
        <f t="shared" ref="CL236" si="289">BW236*CF236</f>
        <v>0</v>
      </c>
      <c r="CM236" s="76">
        <f t="shared" ref="CM236" si="290">BX236*CG236</f>
        <v>0</v>
      </c>
      <c r="CN236" s="76">
        <f t="shared" ref="CN236" si="291">BY236*CH236</f>
        <v>0</v>
      </c>
      <c r="CO236" s="76">
        <f t="shared" ref="CO236" si="292">BW236*CI236</f>
        <v>0</v>
      </c>
      <c r="CP236" s="76">
        <f t="shared" ref="CP236" si="293">BX236*CJ236</f>
        <v>0</v>
      </c>
      <c r="CQ236" s="76">
        <f t="shared" ref="CQ236" si="294">BY236*CK236</f>
        <v>0</v>
      </c>
      <c r="CR236" s="181">
        <f t="shared" si="138"/>
        <v>0</v>
      </c>
      <c r="CS236" s="181">
        <f t="shared" si="138"/>
        <v>0</v>
      </c>
      <c r="CT236" s="181">
        <f t="shared" si="138"/>
        <v>0</v>
      </c>
      <c r="CU236" s="76">
        <f t="shared" ref="CU236" si="295">$F236*CR236</f>
        <v>0</v>
      </c>
      <c r="CV236" s="76">
        <f t="shared" ref="CV236" si="296">$G236*CS236</f>
        <v>0</v>
      </c>
      <c r="CW236" s="76">
        <f t="shared" ref="CW236" si="297">$H236*CT236</f>
        <v>0</v>
      </c>
      <c r="CX236" s="76">
        <f t="shared" ref="CX236" si="298">$I236*CR236</f>
        <v>0</v>
      </c>
      <c r="CY236" s="76">
        <f t="shared" ref="CY236" si="299">$J236*CS236</f>
        <v>0</v>
      </c>
      <c r="CZ236" s="76">
        <f t="shared" ref="CZ236" si="300">$K236*CT236</f>
        <v>0</v>
      </c>
      <c r="DA236" s="221">
        <f t="shared" si="145"/>
        <v>0</v>
      </c>
      <c r="DB236" s="221">
        <f t="shared" si="146"/>
        <v>0</v>
      </c>
      <c r="DC236" s="221">
        <f t="shared" si="147"/>
        <v>0</v>
      </c>
      <c r="DD236" s="221">
        <f t="shared" si="148"/>
        <v>80.515511967899997</v>
      </c>
      <c r="DE236" s="221">
        <f t="shared" si="149"/>
        <v>81.816077600400007</v>
      </c>
      <c r="DF236" s="221">
        <f t="shared" si="150"/>
        <v>85.302851384899995</v>
      </c>
      <c r="DG236" s="76">
        <f t="shared" ref="DG236" si="301">CR236*DA236</f>
        <v>0</v>
      </c>
      <c r="DH236" s="76">
        <f t="shared" ref="DH236" si="302">CS236*DB236</f>
        <v>0</v>
      </c>
      <c r="DI236" s="76">
        <f t="shared" ref="DI236" si="303">CT236*DC236</f>
        <v>0</v>
      </c>
      <c r="DJ236" s="76">
        <f t="shared" ref="DJ236" si="304">CR236*DD236</f>
        <v>0</v>
      </c>
      <c r="DK236" s="76">
        <f t="shared" ref="DK236" si="305">CS236*DE236</f>
        <v>0</v>
      </c>
      <c r="DL236" s="76">
        <f t="shared" ref="DL236" si="306">CT236*DF236</f>
        <v>0</v>
      </c>
      <c r="DM236" s="181">
        <f t="shared" ref="DM236" si="307">L236+AG236+BB236+BW236+CR236</f>
        <v>8244</v>
      </c>
      <c r="DN236" s="181">
        <f t="shared" ref="DN236" si="308">M236+AH236+BC236+BX236+CS236</f>
        <v>8244</v>
      </c>
      <c r="DO236" s="181">
        <f t="shared" ref="DO236" si="309">N236+AI236+BD236+BY236+CT236</f>
        <v>8244</v>
      </c>
      <c r="DP236" s="76">
        <f t="shared" ref="DP236" si="310">$F236*DM236</f>
        <v>0</v>
      </c>
      <c r="DQ236" s="76">
        <f t="shared" ref="DQ236" si="311">$G236*DN236</f>
        <v>0</v>
      </c>
      <c r="DR236" s="76">
        <f t="shared" ref="DR236" si="312">$H236*DO236</f>
        <v>0</v>
      </c>
      <c r="DS236" s="76">
        <f t="shared" ref="DS236" si="313">$I236*DM236</f>
        <v>1433549.16</v>
      </c>
      <c r="DT236" s="76">
        <f t="shared" ref="DT236" si="314">$J236*DN236</f>
        <v>1506755.88</v>
      </c>
      <c r="DU236" s="76">
        <f t="shared" ref="DU236" si="315">$K236*DO236</f>
        <v>1581693.84</v>
      </c>
      <c r="DV236" s="221">
        <f t="shared" si="160"/>
        <v>0</v>
      </c>
      <c r="DW236" s="221">
        <f t="shared" si="161"/>
        <v>0</v>
      </c>
      <c r="DX236" s="221">
        <f t="shared" si="162"/>
        <v>0</v>
      </c>
      <c r="DY236" s="221">
        <f t="shared" si="163"/>
        <v>192.84600058839999</v>
      </c>
      <c r="DZ236" s="221">
        <f t="shared" si="164"/>
        <v>198.40636607170001</v>
      </c>
      <c r="EA236" s="221">
        <f t="shared" si="165"/>
        <v>205.91125176009999</v>
      </c>
      <c r="EB236" s="76">
        <f t="shared" ref="EB236" si="316">DM236*DV236</f>
        <v>0</v>
      </c>
      <c r="EC236" s="76">
        <f t="shared" ref="EC236" si="317">DN236*DW236</f>
        <v>0</v>
      </c>
      <c r="ED236" s="76">
        <f t="shared" ref="ED236" si="318">DO236*DX236</f>
        <v>0</v>
      </c>
      <c r="EE236" s="76">
        <f t="shared" ref="EE236" si="319">DM236*DY236</f>
        <v>1589822.43</v>
      </c>
      <c r="EF236" s="76">
        <f t="shared" ref="EF236" si="320">DN236*DZ236</f>
        <v>1635662.08</v>
      </c>
      <c r="EG236" s="76">
        <f t="shared" ref="EG236" si="321">DO236*EA236</f>
        <v>1697532.36</v>
      </c>
    </row>
    <row r="237" spans="1:140" x14ac:dyDescent="0.25">
      <c r="A237" s="194" t="s">
        <v>480</v>
      </c>
      <c r="B237" s="318"/>
      <c r="C237" s="201"/>
      <c r="D237" s="202"/>
      <c r="E237" s="203"/>
      <c r="F237" s="203"/>
      <c r="G237" s="203"/>
      <c r="H237" s="203"/>
      <c r="I237" s="204"/>
      <c r="J237" s="204"/>
      <c r="K237" s="204"/>
      <c r="L237" s="204"/>
      <c r="M237" s="204"/>
      <c r="N237" s="204"/>
      <c r="O237" s="204"/>
      <c r="P237" s="204"/>
      <c r="Q237" s="204"/>
      <c r="R237" s="204"/>
      <c r="S237" s="204"/>
      <c r="T237" s="204"/>
      <c r="U237" s="204"/>
      <c r="V237" s="204"/>
      <c r="W237" s="204"/>
      <c r="X237" s="204"/>
      <c r="Y237" s="204"/>
      <c r="Z237" s="204"/>
      <c r="AA237" s="204"/>
      <c r="AB237" s="204"/>
      <c r="AC237" s="204"/>
      <c r="AD237" s="204"/>
      <c r="AE237" s="204"/>
      <c r="AF237" s="204"/>
      <c r="AG237" s="204"/>
      <c r="AH237" s="204"/>
      <c r="AI237" s="204"/>
      <c r="AJ237" s="204"/>
      <c r="AK237" s="204"/>
      <c r="AL237" s="204"/>
      <c r="AM237" s="204"/>
      <c r="AN237" s="204"/>
      <c r="AO237" s="204"/>
      <c r="AP237" s="204"/>
      <c r="AQ237" s="204"/>
      <c r="AR237" s="204"/>
      <c r="AS237" s="204"/>
      <c r="AT237" s="204"/>
      <c r="AU237" s="204"/>
      <c r="AV237" s="204"/>
      <c r="AW237" s="204"/>
      <c r="AX237" s="204"/>
      <c r="AY237" s="204"/>
      <c r="AZ237" s="204"/>
      <c r="BA237" s="204"/>
      <c r="BB237" s="204"/>
      <c r="BC237" s="204"/>
      <c r="BD237" s="204"/>
      <c r="BE237" s="204"/>
      <c r="BF237" s="204"/>
      <c r="BG237" s="204"/>
      <c r="BH237" s="204"/>
      <c r="BI237" s="204"/>
      <c r="BJ237" s="204"/>
      <c r="BK237" s="204"/>
      <c r="BL237" s="204"/>
      <c r="BM237" s="204"/>
      <c r="BN237" s="204"/>
      <c r="BO237" s="204"/>
      <c r="BP237" s="204"/>
      <c r="BQ237" s="204"/>
      <c r="BR237" s="204"/>
      <c r="BS237" s="204"/>
      <c r="BT237" s="204"/>
      <c r="BU237" s="204"/>
      <c r="BV237" s="204"/>
      <c r="BW237" s="204"/>
      <c r="BX237" s="204"/>
      <c r="BY237" s="204"/>
      <c r="BZ237" s="204"/>
      <c r="CA237" s="204"/>
      <c r="CB237" s="204"/>
      <c r="CC237" s="204"/>
      <c r="CD237" s="204"/>
      <c r="CE237" s="204"/>
      <c r="CF237" s="204"/>
      <c r="CG237" s="204"/>
      <c r="CH237" s="204"/>
      <c r="CI237" s="204"/>
      <c r="CJ237" s="204"/>
      <c r="CK237" s="204"/>
      <c r="CL237" s="204"/>
      <c r="CM237" s="204"/>
      <c r="CN237" s="204"/>
      <c r="CO237" s="204"/>
      <c r="CP237" s="204"/>
      <c r="CQ237" s="204"/>
      <c r="CR237" s="204"/>
      <c r="CS237" s="204"/>
      <c r="CT237" s="204"/>
      <c r="CU237" s="204"/>
      <c r="CV237" s="204"/>
      <c r="CW237" s="204"/>
      <c r="CX237" s="204"/>
      <c r="CY237" s="204"/>
      <c r="CZ237" s="204"/>
      <c r="DA237" s="204"/>
      <c r="DB237" s="204"/>
      <c r="DC237" s="204"/>
      <c r="DD237" s="204"/>
      <c r="DE237" s="204"/>
      <c r="DF237" s="204"/>
      <c r="DG237" s="204"/>
      <c r="DH237" s="204"/>
      <c r="DI237" s="204"/>
      <c r="DJ237" s="204"/>
      <c r="DK237" s="204"/>
      <c r="DL237" s="204"/>
      <c r="DM237" s="204"/>
      <c r="DN237" s="204"/>
      <c r="DO237" s="204"/>
      <c r="DP237" s="204"/>
      <c r="DQ237" s="204"/>
      <c r="DR237" s="204"/>
      <c r="DS237" s="204"/>
      <c r="DT237" s="204"/>
      <c r="DU237" s="204"/>
      <c r="DV237" s="204"/>
      <c r="DW237" s="204"/>
      <c r="DX237" s="204"/>
      <c r="DY237" s="204"/>
      <c r="DZ237" s="204"/>
      <c r="EA237" s="204"/>
      <c r="EB237" s="204"/>
      <c r="EC237" s="204"/>
      <c r="ED237" s="204"/>
      <c r="EE237" s="204"/>
      <c r="EF237" s="204"/>
      <c r="EG237" s="204"/>
    </row>
    <row r="238" spans="1:140" ht="24" x14ac:dyDescent="0.25">
      <c r="A238" s="17" t="s">
        <v>1162</v>
      </c>
      <c r="B238" s="319"/>
      <c r="C238" s="205" t="s">
        <v>484</v>
      </c>
      <c r="D238" s="196"/>
      <c r="E238" s="197"/>
      <c r="F238" s="206"/>
      <c r="G238" s="206"/>
      <c r="H238" s="206"/>
      <c r="I238" s="207"/>
      <c r="J238" s="207"/>
      <c r="K238" s="207"/>
      <c r="L238" s="198" t="s">
        <v>471</v>
      </c>
      <c r="M238" s="198" t="s">
        <v>471</v>
      </c>
      <c r="N238" s="198" t="s">
        <v>471</v>
      </c>
      <c r="O238" s="206">
        <f t="shared" ref="O238:T238" si="322">O227</f>
        <v>0</v>
      </c>
      <c r="P238" s="206">
        <f t="shared" si="322"/>
        <v>0</v>
      </c>
      <c r="Q238" s="206">
        <f t="shared" si="322"/>
        <v>0</v>
      </c>
      <c r="R238" s="206">
        <f t="shared" si="322"/>
        <v>63124085.880000003</v>
      </c>
      <c r="S238" s="206">
        <f t="shared" si="322"/>
        <v>66544989.840000004</v>
      </c>
      <c r="T238" s="206">
        <f t="shared" si="322"/>
        <v>70036156.920000002</v>
      </c>
      <c r="U238" s="198" t="s">
        <v>471</v>
      </c>
      <c r="V238" s="198" t="s">
        <v>471</v>
      </c>
      <c r="W238" s="198" t="s">
        <v>471</v>
      </c>
      <c r="X238" s="198" t="s">
        <v>471</v>
      </c>
      <c r="Y238" s="198" t="s">
        <v>471</v>
      </c>
      <c r="Z238" s="198" t="s">
        <v>471</v>
      </c>
      <c r="AA238" s="198" t="s">
        <v>471</v>
      </c>
      <c r="AB238" s="198" t="s">
        <v>471</v>
      </c>
      <c r="AC238" s="198" t="s">
        <v>471</v>
      </c>
      <c r="AD238" s="198" t="s">
        <v>471</v>
      </c>
      <c r="AE238" s="198" t="s">
        <v>471</v>
      </c>
      <c r="AF238" s="198" t="s">
        <v>471</v>
      </c>
      <c r="AG238" s="198" t="s">
        <v>471</v>
      </c>
      <c r="AH238" s="198" t="s">
        <v>471</v>
      </c>
      <c r="AI238" s="198" t="s">
        <v>471</v>
      </c>
      <c r="AJ238" s="206">
        <f t="shared" ref="AJ238:AO238" si="323">AJ227</f>
        <v>0</v>
      </c>
      <c r="AK238" s="206">
        <f t="shared" si="323"/>
        <v>0</v>
      </c>
      <c r="AL238" s="206">
        <f t="shared" si="323"/>
        <v>0</v>
      </c>
      <c r="AM238" s="206">
        <f t="shared" si="323"/>
        <v>43404071.200000003</v>
      </c>
      <c r="AN238" s="206">
        <f t="shared" si="323"/>
        <v>45800683.439999998</v>
      </c>
      <c r="AO238" s="206">
        <f t="shared" si="323"/>
        <v>48243347.68</v>
      </c>
      <c r="AP238" s="198" t="s">
        <v>471</v>
      </c>
      <c r="AQ238" s="198" t="s">
        <v>471</v>
      </c>
      <c r="AR238" s="198" t="s">
        <v>471</v>
      </c>
      <c r="AS238" s="198" t="s">
        <v>471</v>
      </c>
      <c r="AT238" s="198" t="s">
        <v>471</v>
      </c>
      <c r="AU238" s="198" t="s">
        <v>471</v>
      </c>
      <c r="AV238" s="198" t="s">
        <v>471</v>
      </c>
      <c r="AW238" s="198" t="s">
        <v>471</v>
      </c>
      <c r="AX238" s="198" t="s">
        <v>471</v>
      </c>
      <c r="AY238" s="198" t="s">
        <v>471</v>
      </c>
      <c r="AZ238" s="198" t="s">
        <v>471</v>
      </c>
      <c r="BA238" s="198" t="s">
        <v>471</v>
      </c>
      <c r="BB238" s="198" t="s">
        <v>471</v>
      </c>
      <c r="BC238" s="198" t="s">
        <v>471</v>
      </c>
      <c r="BD238" s="198" t="s">
        <v>471</v>
      </c>
      <c r="BE238" s="206">
        <f t="shared" ref="BE238:BJ238" si="324">BE227</f>
        <v>0</v>
      </c>
      <c r="BF238" s="206">
        <f t="shared" si="324"/>
        <v>0</v>
      </c>
      <c r="BG238" s="206">
        <f t="shared" si="324"/>
        <v>0</v>
      </c>
      <c r="BH238" s="206">
        <f t="shared" si="324"/>
        <v>29721496.32</v>
      </c>
      <c r="BI238" s="206">
        <f t="shared" si="324"/>
        <v>31369716.359999999</v>
      </c>
      <c r="BJ238" s="206">
        <f t="shared" si="324"/>
        <v>33047743.32</v>
      </c>
      <c r="BK238" s="198" t="s">
        <v>471</v>
      </c>
      <c r="BL238" s="198" t="s">
        <v>471</v>
      </c>
      <c r="BM238" s="198" t="s">
        <v>471</v>
      </c>
      <c r="BN238" s="198" t="s">
        <v>471</v>
      </c>
      <c r="BO238" s="198" t="s">
        <v>471</v>
      </c>
      <c r="BP238" s="198" t="s">
        <v>471</v>
      </c>
      <c r="BQ238" s="198" t="s">
        <v>471</v>
      </c>
      <c r="BR238" s="198" t="s">
        <v>471</v>
      </c>
      <c r="BS238" s="198" t="s">
        <v>471</v>
      </c>
      <c r="BT238" s="198" t="s">
        <v>471</v>
      </c>
      <c r="BU238" s="198" t="s">
        <v>471</v>
      </c>
      <c r="BV238" s="198" t="s">
        <v>471</v>
      </c>
      <c r="BW238" s="198" t="s">
        <v>471</v>
      </c>
      <c r="BX238" s="198" t="s">
        <v>471</v>
      </c>
      <c r="BY238" s="198" t="s">
        <v>471</v>
      </c>
      <c r="BZ238" s="206">
        <f t="shared" ref="BZ238:CE238" si="325">BZ227</f>
        <v>0</v>
      </c>
      <c r="CA238" s="206">
        <f t="shared" si="325"/>
        <v>0</v>
      </c>
      <c r="CB238" s="206">
        <f t="shared" si="325"/>
        <v>0</v>
      </c>
      <c r="CC238" s="206">
        <f t="shared" si="325"/>
        <v>13433899.68</v>
      </c>
      <c r="CD238" s="206">
        <f t="shared" si="325"/>
        <v>14255630.640000001</v>
      </c>
      <c r="CE238" s="206">
        <f t="shared" si="325"/>
        <v>15087688.560000001</v>
      </c>
      <c r="CF238" s="198" t="s">
        <v>471</v>
      </c>
      <c r="CG238" s="198" t="s">
        <v>471</v>
      </c>
      <c r="CH238" s="198" t="s">
        <v>471</v>
      </c>
      <c r="CI238" s="198" t="s">
        <v>471</v>
      </c>
      <c r="CJ238" s="198" t="s">
        <v>471</v>
      </c>
      <c r="CK238" s="198" t="s">
        <v>471</v>
      </c>
      <c r="CL238" s="198" t="s">
        <v>471</v>
      </c>
      <c r="CM238" s="198" t="s">
        <v>471</v>
      </c>
      <c r="CN238" s="198" t="s">
        <v>471</v>
      </c>
      <c r="CO238" s="198" t="s">
        <v>471</v>
      </c>
      <c r="CP238" s="198" t="s">
        <v>471</v>
      </c>
      <c r="CQ238" s="198" t="s">
        <v>471</v>
      </c>
      <c r="CR238" s="198" t="s">
        <v>471</v>
      </c>
      <c r="CS238" s="198" t="s">
        <v>471</v>
      </c>
      <c r="CT238" s="198" t="s">
        <v>471</v>
      </c>
      <c r="CU238" s="206">
        <f t="shared" ref="CU238:CZ238" si="326">CU227</f>
        <v>0</v>
      </c>
      <c r="CV238" s="206">
        <f t="shared" si="326"/>
        <v>0</v>
      </c>
      <c r="CW238" s="206">
        <f t="shared" si="326"/>
        <v>0</v>
      </c>
      <c r="CX238" s="206">
        <f t="shared" si="326"/>
        <v>15528441.6</v>
      </c>
      <c r="CY238" s="206">
        <f t="shared" si="326"/>
        <v>16334740.800000001</v>
      </c>
      <c r="CZ238" s="206">
        <f t="shared" si="326"/>
        <v>17159234.399999999</v>
      </c>
      <c r="DA238" s="198" t="s">
        <v>471</v>
      </c>
      <c r="DB238" s="198" t="s">
        <v>471</v>
      </c>
      <c r="DC238" s="198" t="s">
        <v>471</v>
      </c>
      <c r="DD238" s="198" t="s">
        <v>471</v>
      </c>
      <c r="DE238" s="198" t="s">
        <v>471</v>
      </c>
      <c r="DF238" s="198" t="s">
        <v>471</v>
      </c>
      <c r="DG238" s="198" t="s">
        <v>471</v>
      </c>
      <c r="DH238" s="198" t="s">
        <v>471</v>
      </c>
      <c r="DI238" s="198" t="s">
        <v>471</v>
      </c>
      <c r="DJ238" s="198" t="s">
        <v>471</v>
      </c>
      <c r="DK238" s="198" t="s">
        <v>471</v>
      </c>
      <c r="DL238" s="198" t="s">
        <v>471</v>
      </c>
      <c r="DM238" s="198" t="s">
        <v>471</v>
      </c>
      <c r="DN238" s="198" t="s">
        <v>471</v>
      </c>
      <c r="DO238" s="198" t="s">
        <v>471</v>
      </c>
      <c r="DP238" s="206">
        <f t="shared" ref="DP238:DU238" si="327">DP227</f>
        <v>0</v>
      </c>
      <c r="DQ238" s="206">
        <f t="shared" si="327"/>
        <v>0</v>
      </c>
      <c r="DR238" s="206">
        <f t="shared" si="327"/>
        <v>0</v>
      </c>
      <c r="DS238" s="206">
        <f t="shared" si="327"/>
        <v>165211994.68000001</v>
      </c>
      <c r="DT238" s="206">
        <f t="shared" si="327"/>
        <v>174305761.08000001</v>
      </c>
      <c r="DU238" s="206">
        <f t="shared" si="327"/>
        <v>183574170.88</v>
      </c>
      <c r="DV238" s="198" t="s">
        <v>471</v>
      </c>
      <c r="DW238" s="198" t="s">
        <v>471</v>
      </c>
      <c r="DX238" s="198" t="s">
        <v>471</v>
      </c>
      <c r="DY238" s="198" t="s">
        <v>471</v>
      </c>
      <c r="DZ238" s="198" t="s">
        <v>471</v>
      </c>
      <c r="EA238" s="198" t="s">
        <v>471</v>
      </c>
      <c r="EB238" s="198" t="s">
        <v>471</v>
      </c>
      <c r="EC238" s="198" t="s">
        <v>471</v>
      </c>
      <c r="ED238" s="198" t="s">
        <v>471</v>
      </c>
      <c r="EE238" s="198" t="s">
        <v>471</v>
      </c>
      <c r="EF238" s="198" t="s">
        <v>471</v>
      </c>
      <c r="EG238" s="198" t="s">
        <v>471</v>
      </c>
    </row>
    <row r="239" spans="1:140" x14ac:dyDescent="0.25">
      <c r="A239" s="323" t="s">
        <v>669</v>
      </c>
      <c r="B239" s="320"/>
      <c r="C239" s="209" t="s">
        <v>485</v>
      </c>
      <c r="D239" s="210"/>
      <c r="E239" s="208"/>
      <c r="F239" s="211"/>
      <c r="G239" s="211"/>
      <c r="H239" s="211"/>
      <c r="I239" s="211"/>
      <c r="J239" s="211"/>
      <c r="K239" s="211"/>
      <c r="L239" s="198" t="s">
        <v>471</v>
      </c>
      <c r="M239" s="198" t="s">
        <v>471</v>
      </c>
      <c r="N239" s="198" t="s">
        <v>471</v>
      </c>
      <c r="O239" s="198" t="s">
        <v>471</v>
      </c>
      <c r="P239" s="198" t="s">
        <v>471</v>
      </c>
      <c r="Q239" s="198" t="s">
        <v>471</v>
      </c>
      <c r="R239" s="198" t="s">
        <v>471</v>
      </c>
      <c r="S239" s="198" t="s">
        <v>471</v>
      </c>
      <c r="T239" s="198" t="s">
        <v>471</v>
      </c>
      <c r="U239" s="211">
        <f t="shared" ref="U239:Z239" si="328">IF(O238=0,0,(AA247-AA242)/O238)</f>
        <v>0</v>
      </c>
      <c r="V239" s="211">
        <f t="shared" si="328"/>
        <v>0</v>
      </c>
      <c r="W239" s="211">
        <f t="shared" si="328"/>
        <v>0</v>
      </c>
      <c r="X239" s="211">
        <f t="shared" si="328"/>
        <v>1.0406593764000001</v>
      </c>
      <c r="Y239" s="211">
        <f t="shared" si="328"/>
        <v>1.0298411948999999</v>
      </c>
      <c r="Z239" s="211">
        <f t="shared" si="328"/>
        <v>1.0229883392000001</v>
      </c>
      <c r="AA239" s="198" t="s">
        <v>471</v>
      </c>
      <c r="AB239" s="198" t="s">
        <v>471</v>
      </c>
      <c r="AC239" s="198" t="s">
        <v>471</v>
      </c>
      <c r="AD239" s="198" t="s">
        <v>471</v>
      </c>
      <c r="AE239" s="198" t="s">
        <v>471</v>
      </c>
      <c r="AF239" s="198" t="s">
        <v>471</v>
      </c>
      <c r="AG239" s="198" t="s">
        <v>471</v>
      </c>
      <c r="AH239" s="198" t="s">
        <v>471</v>
      </c>
      <c r="AI239" s="198" t="s">
        <v>471</v>
      </c>
      <c r="AJ239" s="198" t="s">
        <v>471</v>
      </c>
      <c r="AK239" s="198" t="s">
        <v>471</v>
      </c>
      <c r="AL239" s="198" t="s">
        <v>471</v>
      </c>
      <c r="AM239" s="198" t="s">
        <v>471</v>
      </c>
      <c r="AN239" s="198" t="s">
        <v>471</v>
      </c>
      <c r="AO239" s="198" t="s">
        <v>471</v>
      </c>
      <c r="AP239" s="211">
        <f t="shared" ref="AP239:AU239" si="329">IF(AJ238=0,0,(AV247-AV242)/AJ238)</f>
        <v>0</v>
      </c>
      <c r="AQ239" s="211">
        <f t="shared" si="329"/>
        <v>0</v>
      </c>
      <c r="AR239" s="211">
        <f t="shared" si="329"/>
        <v>0</v>
      </c>
      <c r="AS239" s="211">
        <f t="shared" si="329"/>
        <v>1.2109625703</v>
      </c>
      <c r="AT239" s="211">
        <f t="shared" si="329"/>
        <v>1.1973054003000001</v>
      </c>
      <c r="AU239" s="211">
        <f t="shared" si="329"/>
        <v>1.1828595727</v>
      </c>
      <c r="AV239" s="198" t="s">
        <v>471</v>
      </c>
      <c r="AW239" s="198" t="s">
        <v>471</v>
      </c>
      <c r="AX239" s="198" t="s">
        <v>471</v>
      </c>
      <c r="AY239" s="198" t="s">
        <v>471</v>
      </c>
      <c r="AZ239" s="198" t="s">
        <v>471</v>
      </c>
      <c r="BA239" s="198" t="s">
        <v>471</v>
      </c>
      <c r="BB239" s="198" t="s">
        <v>471</v>
      </c>
      <c r="BC239" s="198" t="s">
        <v>471</v>
      </c>
      <c r="BD239" s="198" t="s">
        <v>471</v>
      </c>
      <c r="BE239" s="198" t="s">
        <v>471</v>
      </c>
      <c r="BF239" s="198" t="s">
        <v>471</v>
      </c>
      <c r="BG239" s="198" t="s">
        <v>471</v>
      </c>
      <c r="BH239" s="198" t="s">
        <v>471</v>
      </c>
      <c r="BI239" s="198" t="s">
        <v>471</v>
      </c>
      <c r="BJ239" s="198" t="s">
        <v>471</v>
      </c>
      <c r="BK239" s="211">
        <f t="shared" ref="BK239:BP239" si="330">IF(BE238=0,0,(BQ247-BQ242)/BE238)</f>
        <v>0</v>
      </c>
      <c r="BL239" s="211">
        <f t="shared" si="330"/>
        <v>0</v>
      </c>
      <c r="BM239" s="211">
        <f t="shared" si="330"/>
        <v>0</v>
      </c>
      <c r="BN239" s="211">
        <f t="shared" si="330"/>
        <v>1.5139644588000001</v>
      </c>
      <c r="BO239" s="211">
        <f t="shared" si="330"/>
        <v>1.4508862167000001</v>
      </c>
      <c r="BP239" s="211">
        <f t="shared" si="330"/>
        <v>1.4249865304</v>
      </c>
      <c r="BQ239" s="198" t="s">
        <v>471</v>
      </c>
      <c r="BR239" s="198" t="s">
        <v>471</v>
      </c>
      <c r="BS239" s="198" t="s">
        <v>471</v>
      </c>
      <c r="BT239" s="198" t="s">
        <v>471</v>
      </c>
      <c r="BU239" s="198" t="s">
        <v>471</v>
      </c>
      <c r="BV239" s="198" t="s">
        <v>471</v>
      </c>
      <c r="BW239" s="198" t="s">
        <v>471</v>
      </c>
      <c r="BX239" s="198" t="s">
        <v>471</v>
      </c>
      <c r="BY239" s="198" t="s">
        <v>471</v>
      </c>
      <c r="BZ239" s="198" t="s">
        <v>471</v>
      </c>
      <c r="CA239" s="198" t="s">
        <v>471</v>
      </c>
      <c r="CB239" s="198" t="s">
        <v>471</v>
      </c>
      <c r="CC239" s="198" t="s">
        <v>471</v>
      </c>
      <c r="CD239" s="198" t="s">
        <v>471</v>
      </c>
      <c r="CE239" s="198" t="s">
        <v>471</v>
      </c>
      <c r="CF239" s="211">
        <f t="shared" ref="CF239:CK239" si="331">IF(BZ238=0,0,(CL247-CL242)/BZ238)</f>
        <v>0</v>
      </c>
      <c r="CG239" s="211">
        <f t="shared" si="331"/>
        <v>0</v>
      </c>
      <c r="CH239" s="211">
        <f t="shared" si="331"/>
        <v>0</v>
      </c>
      <c r="CI239" s="211">
        <f t="shared" si="331"/>
        <v>0.95156744910000002</v>
      </c>
      <c r="CJ239" s="211">
        <f t="shared" si="331"/>
        <v>0.91358719789999998</v>
      </c>
      <c r="CK239" s="211">
        <f t="shared" si="331"/>
        <v>0.90044022290000003</v>
      </c>
      <c r="CL239" s="198" t="s">
        <v>471</v>
      </c>
      <c r="CM239" s="198" t="s">
        <v>471</v>
      </c>
      <c r="CN239" s="198" t="s">
        <v>471</v>
      </c>
      <c r="CO239" s="198" t="s">
        <v>471</v>
      </c>
      <c r="CP239" s="198" t="s">
        <v>471</v>
      </c>
      <c r="CQ239" s="198" t="s">
        <v>471</v>
      </c>
      <c r="CR239" s="198" t="s">
        <v>471</v>
      </c>
      <c r="CS239" s="198" t="s">
        <v>471</v>
      </c>
      <c r="CT239" s="198" t="s">
        <v>471</v>
      </c>
      <c r="CU239" s="198" t="s">
        <v>471</v>
      </c>
      <c r="CV239" s="198" t="s">
        <v>471</v>
      </c>
      <c r="CW239" s="198" t="s">
        <v>471</v>
      </c>
      <c r="CX239" s="198" t="s">
        <v>471</v>
      </c>
      <c r="CY239" s="198" t="s">
        <v>471</v>
      </c>
      <c r="CZ239" s="198" t="s">
        <v>471</v>
      </c>
      <c r="DA239" s="211">
        <f t="shared" ref="DA239:DF239" si="332">IF(CU238=0,0,(DG247-DG242)/CU238)</f>
        <v>0</v>
      </c>
      <c r="DB239" s="211">
        <f t="shared" si="332"/>
        <v>0</v>
      </c>
      <c r="DC239" s="211">
        <f t="shared" si="332"/>
        <v>0</v>
      </c>
      <c r="DD239" s="211">
        <f t="shared" si="332"/>
        <v>0.46302554470000001</v>
      </c>
      <c r="DE239" s="211">
        <f t="shared" si="332"/>
        <v>0.4476450052</v>
      </c>
      <c r="DF239" s="211">
        <f t="shared" si="332"/>
        <v>0.44460987899999999</v>
      </c>
      <c r="DG239" s="198" t="s">
        <v>471</v>
      </c>
      <c r="DH239" s="198" t="s">
        <v>471</v>
      </c>
      <c r="DI239" s="198" t="s">
        <v>471</v>
      </c>
      <c r="DJ239" s="198" t="s">
        <v>471</v>
      </c>
      <c r="DK239" s="198" t="s">
        <v>471</v>
      </c>
      <c r="DL239" s="198" t="s">
        <v>471</v>
      </c>
      <c r="DM239" s="198" t="s">
        <v>471</v>
      </c>
      <c r="DN239" s="198" t="s">
        <v>471</v>
      </c>
      <c r="DO239" s="198" t="s">
        <v>471</v>
      </c>
      <c r="DP239" s="198" t="s">
        <v>471</v>
      </c>
      <c r="DQ239" s="198" t="s">
        <v>471</v>
      </c>
      <c r="DR239" s="198" t="s">
        <v>471</v>
      </c>
      <c r="DS239" s="198" t="s">
        <v>471</v>
      </c>
      <c r="DT239" s="198" t="s">
        <v>471</v>
      </c>
      <c r="DU239" s="198" t="s">
        <v>471</v>
      </c>
      <c r="DV239" s="211">
        <f t="shared" ref="DV239:EA239" si="333">IF(DP238=0,0,(EB247-EB242)/DP238)</f>
        <v>0</v>
      </c>
      <c r="DW239" s="211">
        <f t="shared" si="333"/>
        <v>0</v>
      </c>
      <c r="DX239" s="211">
        <f t="shared" si="333"/>
        <v>0</v>
      </c>
      <c r="DY239" s="211">
        <f t="shared" si="333"/>
        <v>1.1090114473999999</v>
      </c>
      <c r="DZ239" s="211">
        <f t="shared" si="333"/>
        <v>1.0855521479000001</v>
      </c>
      <c r="EA239" s="211">
        <f t="shared" si="333"/>
        <v>1.0732370049</v>
      </c>
      <c r="EB239" s="198" t="s">
        <v>471</v>
      </c>
      <c r="EC239" s="198" t="s">
        <v>471</v>
      </c>
      <c r="ED239" s="198" t="s">
        <v>471</v>
      </c>
      <c r="EE239" s="198" t="s">
        <v>471</v>
      </c>
      <c r="EF239" s="198" t="s">
        <v>471</v>
      </c>
      <c r="EG239" s="198" t="s">
        <v>471</v>
      </c>
    </row>
    <row r="240" spans="1:140" ht="24" x14ac:dyDescent="0.25">
      <c r="A240" s="324" t="s">
        <v>670</v>
      </c>
      <c r="B240" s="319"/>
      <c r="C240" s="205" t="s">
        <v>486</v>
      </c>
      <c r="D240" s="196"/>
      <c r="E240" s="197"/>
      <c r="F240" s="206"/>
      <c r="G240" s="206"/>
      <c r="H240" s="206"/>
      <c r="I240" s="207"/>
      <c r="J240" s="207"/>
      <c r="K240" s="207"/>
      <c r="L240" s="198" t="s">
        <v>471</v>
      </c>
      <c r="M240" s="198" t="s">
        <v>471</v>
      </c>
      <c r="N240" s="198" t="s">
        <v>471</v>
      </c>
      <c r="O240" s="198" t="s">
        <v>471</v>
      </c>
      <c r="P240" s="198" t="s">
        <v>471</v>
      </c>
      <c r="Q240" s="198" t="s">
        <v>471</v>
      </c>
      <c r="R240" s="198" t="s">
        <v>471</v>
      </c>
      <c r="S240" s="198" t="s">
        <v>471</v>
      </c>
      <c r="T240" s="198" t="s">
        <v>471</v>
      </c>
      <c r="U240" s="198" t="s">
        <v>471</v>
      </c>
      <c r="V240" s="198" t="s">
        <v>471</v>
      </c>
      <c r="W240" s="198" t="s">
        <v>471</v>
      </c>
      <c r="X240" s="198" t="s">
        <v>471</v>
      </c>
      <c r="Y240" s="198" t="s">
        <v>471</v>
      </c>
      <c r="Z240" s="198" t="s">
        <v>471</v>
      </c>
      <c r="AA240" s="206">
        <f t="shared" ref="AA240:AF240" si="334">AA227</f>
        <v>0</v>
      </c>
      <c r="AB240" s="206">
        <f t="shared" si="334"/>
        <v>0</v>
      </c>
      <c r="AC240" s="206">
        <f t="shared" si="334"/>
        <v>0</v>
      </c>
      <c r="AD240" s="206">
        <f t="shared" si="334"/>
        <v>65690671.859999999</v>
      </c>
      <c r="AE240" s="206">
        <f t="shared" si="334"/>
        <v>68530771.849999994</v>
      </c>
      <c r="AF240" s="206">
        <f t="shared" si="334"/>
        <v>71646171.859999999</v>
      </c>
      <c r="AG240" s="198" t="s">
        <v>471</v>
      </c>
      <c r="AH240" s="198" t="s">
        <v>471</v>
      </c>
      <c r="AI240" s="198" t="s">
        <v>471</v>
      </c>
      <c r="AJ240" s="198" t="s">
        <v>471</v>
      </c>
      <c r="AK240" s="198" t="s">
        <v>471</v>
      </c>
      <c r="AL240" s="198" t="s">
        <v>471</v>
      </c>
      <c r="AM240" s="198" t="s">
        <v>471</v>
      </c>
      <c r="AN240" s="198" t="s">
        <v>471</v>
      </c>
      <c r="AO240" s="198" t="s">
        <v>471</v>
      </c>
      <c r="AP240" s="198" t="s">
        <v>471</v>
      </c>
      <c r="AQ240" s="198" t="s">
        <v>471</v>
      </c>
      <c r="AR240" s="198" t="s">
        <v>471</v>
      </c>
      <c r="AS240" s="198" t="s">
        <v>471</v>
      </c>
      <c r="AT240" s="198" t="s">
        <v>471</v>
      </c>
      <c r="AU240" s="198" t="s">
        <v>471</v>
      </c>
      <c r="AV240" s="206">
        <f t="shared" ref="AV240:BA240" si="335">AV227</f>
        <v>0</v>
      </c>
      <c r="AW240" s="206">
        <f t="shared" si="335"/>
        <v>0</v>
      </c>
      <c r="AX240" s="206">
        <f t="shared" si="335"/>
        <v>0</v>
      </c>
      <c r="AY240" s="206">
        <f t="shared" si="335"/>
        <v>52560705.619999997</v>
      </c>
      <c r="AZ240" s="206">
        <f t="shared" si="335"/>
        <v>54837405.630000003</v>
      </c>
      <c r="BA240" s="206">
        <f t="shared" si="335"/>
        <v>57065105.619999997</v>
      </c>
      <c r="BB240" s="198" t="s">
        <v>471</v>
      </c>
      <c r="BC240" s="198" t="s">
        <v>471</v>
      </c>
      <c r="BD240" s="198" t="s">
        <v>471</v>
      </c>
      <c r="BE240" s="198" t="s">
        <v>471</v>
      </c>
      <c r="BF240" s="198" t="s">
        <v>471</v>
      </c>
      <c r="BG240" s="198" t="s">
        <v>471</v>
      </c>
      <c r="BH240" s="198" t="s">
        <v>471</v>
      </c>
      <c r="BI240" s="198" t="s">
        <v>471</v>
      </c>
      <c r="BJ240" s="198" t="s">
        <v>471</v>
      </c>
      <c r="BK240" s="198" t="s">
        <v>471</v>
      </c>
      <c r="BL240" s="198" t="s">
        <v>471</v>
      </c>
      <c r="BM240" s="198" t="s">
        <v>471</v>
      </c>
      <c r="BN240" s="198" t="s">
        <v>471</v>
      </c>
      <c r="BO240" s="198" t="s">
        <v>471</v>
      </c>
      <c r="BP240" s="198" t="s">
        <v>471</v>
      </c>
      <c r="BQ240" s="206">
        <f t="shared" ref="BQ240:BV240" si="336">BQ227</f>
        <v>0</v>
      </c>
      <c r="BR240" s="206">
        <f t="shared" si="336"/>
        <v>0</v>
      </c>
      <c r="BS240" s="206">
        <f t="shared" si="336"/>
        <v>0</v>
      </c>
      <c r="BT240" s="206">
        <f t="shared" si="336"/>
        <v>44997289.090000004</v>
      </c>
      <c r="BU240" s="206">
        <f t="shared" si="336"/>
        <v>45513889.090000004</v>
      </c>
      <c r="BV240" s="206">
        <f t="shared" si="336"/>
        <v>47092589.090000004</v>
      </c>
      <c r="BW240" s="198" t="s">
        <v>471</v>
      </c>
      <c r="BX240" s="198" t="s">
        <v>471</v>
      </c>
      <c r="BY240" s="198" t="s">
        <v>471</v>
      </c>
      <c r="BZ240" s="198" t="s">
        <v>471</v>
      </c>
      <c r="CA240" s="198" t="s">
        <v>471</v>
      </c>
      <c r="CB240" s="198" t="s">
        <v>471</v>
      </c>
      <c r="CC240" s="198" t="s">
        <v>471</v>
      </c>
      <c r="CD240" s="198" t="s">
        <v>471</v>
      </c>
      <c r="CE240" s="198" t="s">
        <v>471</v>
      </c>
      <c r="CF240" s="198" t="s">
        <v>471</v>
      </c>
      <c r="CG240" s="198" t="s">
        <v>471</v>
      </c>
      <c r="CH240" s="198" t="s">
        <v>471</v>
      </c>
      <c r="CI240" s="198" t="s">
        <v>471</v>
      </c>
      <c r="CJ240" s="198" t="s">
        <v>471</v>
      </c>
      <c r="CK240" s="198" t="s">
        <v>471</v>
      </c>
      <c r="CL240" s="206">
        <f t="shared" ref="CL240:CQ240" si="337">CL227</f>
        <v>0</v>
      </c>
      <c r="CM240" s="206">
        <f t="shared" si="337"/>
        <v>0</v>
      </c>
      <c r="CN240" s="206">
        <f t="shared" si="337"/>
        <v>0</v>
      </c>
      <c r="CO240" s="206">
        <f t="shared" si="337"/>
        <v>12783261.65</v>
      </c>
      <c r="CP240" s="206">
        <f t="shared" si="337"/>
        <v>13023761.65</v>
      </c>
      <c r="CQ240" s="206">
        <f t="shared" si="337"/>
        <v>13585561.65</v>
      </c>
      <c r="CR240" s="198" t="s">
        <v>471</v>
      </c>
      <c r="CS240" s="198" t="s">
        <v>471</v>
      </c>
      <c r="CT240" s="198" t="s">
        <v>471</v>
      </c>
      <c r="CU240" s="198" t="s">
        <v>471</v>
      </c>
      <c r="CV240" s="198" t="s">
        <v>471</v>
      </c>
      <c r="CW240" s="198" t="s">
        <v>471</v>
      </c>
      <c r="CX240" s="198" t="s">
        <v>471</v>
      </c>
      <c r="CY240" s="198" t="s">
        <v>471</v>
      </c>
      <c r="CZ240" s="198" t="s">
        <v>471</v>
      </c>
      <c r="DA240" s="198" t="s">
        <v>471</v>
      </c>
      <c r="DB240" s="198" t="s">
        <v>471</v>
      </c>
      <c r="DC240" s="198" t="s">
        <v>471</v>
      </c>
      <c r="DD240" s="198" t="s">
        <v>471</v>
      </c>
      <c r="DE240" s="198" t="s">
        <v>471</v>
      </c>
      <c r="DF240" s="198" t="s">
        <v>471</v>
      </c>
      <c r="DG240" s="206">
        <f t="shared" ref="DG240:DL240" si="338">DG227</f>
        <v>0</v>
      </c>
      <c r="DH240" s="206">
        <f t="shared" si="338"/>
        <v>0</v>
      </c>
      <c r="DI240" s="206">
        <f t="shared" si="338"/>
        <v>0</v>
      </c>
      <c r="DJ240" s="206">
        <f t="shared" si="338"/>
        <v>7190065.1299999999</v>
      </c>
      <c r="DK240" s="206">
        <f t="shared" si="338"/>
        <v>7312165.1299999999</v>
      </c>
      <c r="DL240" s="206">
        <f t="shared" si="338"/>
        <v>7629165.1299999999</v>
      </c>
      <c r="DM240" s="198" t="s">
        <v>471</v>
      </c>
      <c r="DN240" s="198" t="s">
        <v>471</v>
      </c>
      <c r="DO240" s="198" t="s">
        <v>471</v>
      </c>
      <c r="DP240" s="198" t="s">
        <v>471</v>
      </c>
      <c r="DQ240" s="198" t="s">
        <v>471</v>
      </c>
      <c r="DR240" s="198" t="s">
        <v>471</v>
      </c>
      <c r="DS240" s="198" t="s">
        <v>471</v>
      </c>
      <c r="DT240" s="198" t="s">
        <v>471</v>
      </c>
      <c r="DU240" s="198" t="s">
        <v>471</v>
      </c>
      <c r="DV240" s="198" t="s">
        <v>471</v>
      </c>
      <c r="DW240" s="198" t="s">
        <v>471</v>
      </c>
      <c r="DX240" s="198" t="s">
        <v>471</v>
      </c>
      <c r="DY240" s="198" t="s">
        <v>471</v>
      </c>
      <c r="DZ240" s="198" t="s">
        <v>471</v>
      </c>
      <c r="EA240" s="198" t="s">
        <v>471</v>
      </c>
      <c r="EB240" s="206">
        <f t="shared" ref="EB240:EG240" si="339">EB227</f>
        <v>0</v>
      </c>
      <c r="EC240" s="206">
        <f t="shared" si="339"/>
        <v>0</v>
      </c>
      <c r="ED240" s="206">
        <f t="shared" si="339"/>
        <v>0</v>
      </c>
      <c r="EE240" s="206">
        <f t="shared" si="339"/>
        <v>183221993.34</v>
      </c>
      <c r="EF240" s="206">
        <f t="shared" si="339"/>
        <v>189217993.31999999</v>
      </c>
      <c r="EG240" s="206">
        <f t="shared" si="339"/>
        <v>197018593.33000001</v>
      </c>
    </row>
    <row r="241" spans="1:138" x14ac:dyDescent="0.25">
      <c r="A241" s="212" t="s">
        <v>481</v>
      </c>
      <c r="B241" s="321"/>
      <c r="C241" s="213"/>
      <c r="D241" s="212"/>
      <c r="E241" s="214"/>
      <c r="F241" s="215"/>
      <c r="G241" s="215"/>
      <c r="H241" s="215"/>
      <c r="I241" s="215"/>
      <c r="J241" s="215"/>
      <c r="K241" s="215"/>
      <c r="L241" s="215"/>
      <c r="M241" s="215"/>
      <c r="N241" s="215"/>
      <c r="O241" s="215"/>
      <c r="P241" s="215"/>
      <c r="Q241" s="215"/>
      <c r="R241" s="215"/>
      <c r="S241" s="215"/>
      <c r="T241" s="215"/>
      <c r="U241" s="215"/>
      <c r="V241" s="215"/>
      <c r="W241" s="215"/>
      <c r="X241" s="215"/>
      <c r="Y241" s="215"/>
      <c r="Z241" s="215"/>
      <c r="AA241" s="215">
        <f t="shared" ref="AA241:AF241" si="340">AA247-AA242-AA240</f>
        <v>0</v>
      </c>
      <c r="AB241" s="215">
        <f t="shared" si="340"/>
        <v>0</v>
      </c>
      <c r="AC241" s="215">
        <f t="shared" si="340"/>
        <v>0</v>
      </c>
      <c r="AD241" s="215">
        <f t="shared" si="340"/>
        <v>-0.01</v>
      </c>
      <c r="AE241" s="215">
        <f t="shared" si="340"/>
        <v>0</v>
      </c>
      <c r="AF241" s="215">
        <f t="shared" si="340"/>
        <v>-0.01</v>
      </c>
      <c r="AG241" s="215"/>
      <c r="AH241" s="215"/>
      <c r="AI241" s="215"/>
      <c r="AJ241" s="215"/>
      <c r="AK241" s="215"/>
      <c r="AL241" s="215"/>
      <c r="AM241" s="215"/>
      <c r="AN241" s="215"/>
      <c r="AO241" s="215"/>
      <c r="AP241" s="215"/>
      <c r="AQ241" s="215"/>
      <c r="AR241" s="215"/>
      <c r="AS241" s="215"/>
      <c r="AT241" s="215"/>
      <c r="AU241" s="215"/>
      <c r="AV241" s="215">
        <f t="shared" ref="AV241:BA241" si="341">AV247-AV242-AV240</f>
        <v>0</v>
      </c>
      <c r="AW241" s="215">
        <f t="shared" si="341"/>
        <v>0</v>
      </c>
      <c r="AX241" s="215">
        <f t="shared" si="341"/>
        <v>0</v>
      </c>
      <c r="AY241" s="215">
        <f t="shared" si="341"/>
        <v>0</v>
      </c>
      <c r="AZ241" s="215">
        <f t="shared" si="341"/>
        <v>-0.01</v>
      </c>
      <c r="BA241" s="215">
        <f t="shared" si="341"/>
        <v>0</v>
      </c>
      <c r="BB241" s="215"/>
      <c r="BC241" s="215"/>
      <c r="BD241" s="215"/>
      <c r="BE241" s="215"/>
      <c r="BF241" s="215"/>
      <c r="BG241" s="215"/>
      <c r="BH241" s="215"/>
      <c r="BI241" s="215"/>
      <c r="BJ241" s="215"/>
      <c r="BK241" s="215"/>
      <c r="BL241" s="215"/>
      <c r="BM241" s="215"/>
      <c r="BN241" s="215"/>
      <c r="BO241" s="215"/>
      <c r="BP241" s="215"/>
      <c r="BQ241" s="215">
        <f t="shared" ref="BQ241:BV241" si="342">BQ247-BQ242-BQ240</f>
        <v>0</v>
      </c>
      <c r="BR241" s="215">
        <f t="shared" si="342"/>
        <v>0</v>
      </c>
      <c r="BS241" s="215">
        <f t="shared" si="342"/>
        <v>0</v>
      </c>
      <c r="BT241" s="215">
        <f t="shared" si="342"/>
        <v>0</v>
      </c>
      <c r="BU241" s="215">
        <f t="shared" si="342"/>
        <v>0</v>
      </c>
      <c r="BV241" s="215">
        <f t="shared" si="342"/>
        <v>0</v>
      </c>
      <c r="BW241" s="215"/>
      <c r="BX241" s="215"/>
      <c r="BY241" s="215"/>
      <c r="BZ241" s="215"/>
      <c r="CA241" s="215"/>
      <c r="CB241" s="215"/>
      <c r="CC241" s="215"/>
      <c r="CD241" s="215"/>
      <c r="CE241" s="215"/>
      <c r="CF241" s="215"/>
      <c r="CG241" s="215"/>
      <c r="CH241" s="215"/>
      <c r="CI241" s="215"/>
      <c r="CJ241" s="215"/>
      <c r="CK241" s="215"/>
      <c r="CL241" s="215">
        <f t="shared" ref="CL241:CQ241" si="343">CL247-CL242-CL240</f>
        <v>0</v>
      </c>
      <c r="CM241" s="215">
        <f t="shared" si="343"/>
        <v>0</v>
      </c>
      <c r="CN241" s="215">
        <f t="shared" si="343"/>
        <v>0</v>
      </c>
      <c r="CO241" s="215">
        <f t="shared" si="343"/>
        <v>0</v>
      </c>
      <c r="CP241" s="215">
        <f t="shared" si="343"/>
        <v>0</v>
      </c>
      <c r="CQ241" s="215">
        <f t="shared" si="343"/>
        <v>0</v>
      </c>
      <c r="CR241" s="215"/>
      <c r="CS241" s="215"/>
      <c r="CT241" s="215"/>
      <c r="CU241" s="215"/>
      <c r="CV241" s="215"/>
      <c r="CW241" s="215"/>
      <c r="CX241" s="215"/>
      <c r="CY241" s="215"/>
      <c r="CZ241" s="215"/>
      <c r="DA241" s="215"/>
      <c r="DB241" s="215"/>
      <c r="DC241" s="215"/>
      <c r="DD241" s="215"/>
      <c r="DE241" s="215"/>
      <c r="DF241" s="215"/>
      <c r="DG241" s="215">
        <f t="shared" ref="DG241:DL241" si="344">DG247-DG242-DG240</f>
        <v>0</v>
      </c>
      <c r="DH241" s="215">
        <f t="shared" si="344"/>
        <v>0</v>
      </c>
      <c r="DI241" s="215">
        <f t="shared" si="344"/>
        <v>0</v>
      </c>
      <c r="DJ241" s="215">
        <f t="shared" si="344"/>
        <v>0</v>
      </c>
      <c r="DK241" s="215">
        <f t="shared" si="344"/>
        <v>0</v>
      </c>
      <c r="DL241" s="215">
        <f t="shared" si="344"/>
        <v>0</v>
      </c>
      <c r="DM241" s="215"/>
      <c r="DN241" s="215"/>
      <c r="DO241" s="215"/>
      <c r="DP241" s="215"/>
      <c r="DQ241" s="215"/>
      <c r="DR241" s="215"/>
      <c r="DS241" s="215"/>
      <c r="DT241" s="215"/>
      <c r="DU241" s="215"/>
      <c r="DV241" s="215"/>
      <c r="DW241" s="215"/>
      <c r="DX241" s="215"/>
      <c r="DY241" s="215"/>
      <c r="DZ241" s="215"/>
      <c r="EA241" s="215"/>
      <c r="EB241" s="215">
        <f t="shared" ref="EB241:EG241" si="345">EB247-EB242-EB240</f>
        <v>0</v>
      </c>
      <c r="EC241" s="215">
        <f t="shared" si="345"/>
        <v>0</v>
      </c>
      <c r="ED241" s="215">
        <f t="shared" si="345"/>
        <v>0</v>
      </c>
      <c r="EE241" s="215">
        <f t="shared" si="345"/>
        <v>0</v>
      </c>
      <c r="EF241" s="215">
        <f t="shared" si="345"/>
        <v>0.02</v>
      </c>
      <c r="EG241" s="215">
        <f t="shared" si="345"/>
        <v>0.01</v>
      </c>
    </row>
    <row r="242" spans="1:138" ht="51" customHeight="1" x14ac:dyDescent="0.25">
      <c r="A242" s="17" t="s">
        <v>654</v>
      </c>
      <c r="B242" s="320"/>
      <c r="C242" s="216" t="s">
        <v>487</v>
      </c>
      <c r="D242" s="196" t="s">
        <v>668</v>
      </c>
      <c r="E242" s="197"/>
      <c r="F242" s="217"/>
      <c r="G242" s="217"/>
      <c r="H242" s="217"/>
      <c r="I242" s="218"/>
      <c r="J242" s="218"/>
      <c r="K242" s="218"/>
      <c r="L242" s="198" t="s">
        <v>471</v>
      </c>
      <c r="M242" s="198" t="s">
        <v>471</v>
      </c>
      <c r="N242" s="198" t="s">
        <v>471</v>
      </c>
      <c r="O242" s="198" t="s">
        <v>471</v>
      </c>
      <c r="P242" s="198" t="s">
        <v>471</v>
      </c>
      <c r="Q242" s="198" t="s">
        <v>471</v>
      </c>
      <c r="R242" s="198" t="s">
        <v>471</v>
      </c>
      <c r="S242" s="198" t="s">
        <v>471</v>
      </c>
      <c r="T242" s="198" t="s">
        <v>471</v>
      </c>
      <c r="U242" s="198" t="s">
        <v>471</v>
      </c>
      <c r="V242" s="198" t="s">
        <v>471</v>
      </c>
      <c r="W242" s="198" t="s">
        <v>471</v>
      </c>
      <c r="X242" s="198" t="s">
        <v>471</v>
      </c>
      <c r="Y242" s="198" t="s">
        <v>471</v>
      </c>
      <c r="Z242" s="198" t="s">
        <v>471</v>
      </c>
      <c r="AA242" s="217"/>
      <c r="AB242" s="217"/>
      <c r="AC242" s="217"/>
      <c r="AD242" s="217">
        <f>AD246*AD243</f>
        <v>617728.15</v>
      </c>
      <c r="AE242" s="217">
        <f t="shared" ref="AE242:AF242" si="346">AE246*AE243</f>
        <v>617728.15</v>
      </c>
      <c r="AF242" s="217">
        <f t="shared" si="346"/>
        <v>617728.15</v>
      </c>
      <c r="AG242" s="198" t="s">
        <v>471</v>
      </c>
      <c r="AH242" s="198" t="s">
        <v>471</v>
      </c>
      <c r="AI242" s="198" t="s">
        <v>471</v>
      </c>
      <c r="AJ242" s="198" t="s">
        <v>471</v>
      </c>
      <c r="AK242" s="198" t="s">
        <v>471</v>
      </c>
      <c r="AL242" s="198" t="s">
        <v>471</v>
      </c>
      <c r="AM242" s="198" t="s">
        <v>471</v>
      </c>
      <c r="AN242" s="198" t="s">
        <v>471</v>
      </c>
      <c r="AO242" s="198" t="s">
        <v>471</v>
      </c>
      <c r="AP242" s="198" t="s">
        <v>471</v>
      </c>
      <c r="AQ242" s="198" t="s">
        <v>471</v>
      </c>
      <c r="AR242" s="198" t="s">
        <v>471</v>
      </c>
      <c r="AS242" s="198" t="s">
        <v>471</v>
      </c>
      <c r="AT242" s="198" t="s">
        <v>471</v>
      </c>
      <c r="AU242" s="198" t="s">
        <v>471</v>
      </c>
      <c r="AV242" s="217"/>
      <c r="AW242" s="217"/>
      <c r="AX242" s="217"/>
      <c r="AY242" s="217">
        <f>AY246*AY243</f>
        <v>93794.38</v>
      </c>
      <c r="AZ242" s="217">
        <f t="shared" ref="AZ242" si="347">AZ246*AZ243</f>
        <v>93794.38</v>
      </c>
      <c r="BA242" s="217">
        <f t="shared" ref="BA242" si="348">BA246*BA243</f>
        <v>93794.38</v>
      </c>
      <c r="BB242" s="198" t="s">
        <v>471</v>
      </c>
      <c r="BC242" s="198" t="s">
        <v>471</v>
      </c>
      <c r="BD242" s="198" t="s">
        <v>471</v>
      </c>
      <c r="BE242" s="198" t="s">
        <v>471</v>
      </c>
      <c r="BF242" s="198" t="s">
        <v>471</v>
      </c>
      <c r="BG242" s="198" t="s">
        <v>471</v>
      </c>
      <c r="BH242" s="198" t="s">
        <v>471</v>
      </c>
      <c r="BI242" s="198" t="s">
        <v>471</v>
      </c>
      <c r="BJ242" s="198" t="s">
        <v>471</v>
      </c>
      <c r="BK242" s="198" t="s">
        <v>471</v>
      </c>
      <c r="BL242" s="198" t="s">
        <v>471</v>
      </c>
      <c r="BM242" s="198" t="s">
        <v>471</v>
      </c>
      <c r="BN242" s="198" t="s">
        <v>471</v>
      </c>
      <c r="BO242" s="198" t="s">
        <v>471</v>
      </c>
      <c r="BP242" s="198" t="s">
        <v>471</v>
      </c>
      <c r="BQ242" s="217"/>
      <c r="BR242" s="217"/>
      <c r="BS242" s="217"/>
      <c r="BT242" s="217">
        <f>BT246*BT243</f>
        <v>227110.91</v>
      </c>
      <c r="BU242" s="217">
        <f t="shared" ref="BU242" si="349">BU246*BU243</f>
        <v>227110.91</v>
      </c>
      <c r="BV242" s="217">
        <f t="shared" ref="BV242" si="350">BV246*BV243</f>
        <v>227110.91</v>
      </c>
      <c r="BW242" s="198" t="s">
        <v>471</v>
      </c>
      <c r="BX242" s="198" t="s">
        <v>471</v>
      </c>
      <c r="BY242" s="198" t="s">
        <v>471</v>
      </c>
      <c r="BZ242" s="198" t="s">
        <v>471</v>
      </c>
      <c r="CA242" s="198" t="s">
        <v>471</v>
      </c>
      <c r="CB242" s="198" t="s">
        <v>471</v>
      </c>
      <c r="CC242" s="198" t="s">
        <v>471</v>
      </c>
      <c r="CD242" s="198" t="s">
        <v>471</v>
      </c>
      <c r="CE242" s="198" t="s">
        <v>471</v>
      </c>
      <c r="CF242" s="198" t="s">
        <v>471</v>
      </c>
      <c r="CG242" s="198" t="s">
        <v>471</v>
      </c>
      <c r="CH242" s="198" t="s">
        <v>471</v>
      </c>
      <c r="CI242" s="198" t="s">
        <v>471</v>
      </c>
      <c r="CJ242" s="198" t="s">
        <v>471</v>
      </c>
      <c r="CK242" s="198" t="s">
        <v>471</v>
      </c>
      <c r="CL242" s="217"/>
      <c r="CM242" s="217"/>
      <c r="CN242" s="217"/>
      <c r="CO242" s="217">
        <f>CO246*CO243</f>
        <v>12738.35</v>
      </c>
      <c r="CP242" s="217">
        <f t="shared" ref="CP242" si="351">CP246*CP243</f>
        <v>12738.35</v>
      </c>
      <c r="CQ242" s="217">
        <f t="shared" ref="CQ242" si="352">CQ246*CQ243</f>
        <v>12738.35</v>
      </c>
      <c r="CR242" s="198" t="s">
        <v>471</v>
      </c>
      <c r="CS242" s="198" t="s">
        <v>471</v>
      </c>
      <c r="CT242" s="198" t="s">
        <v>471</v>
      </c>
      <c r="CU242" s="198" t="s">
        <v>471</v>
      </c>
      <c r="CV242" s="198" t="s">
        <v>471</v>
      </c>
      <c r="CW242" s="198" t="s">
        <v>471</v>
      </c>
      <c r="CX242" s="198" t="s">
        <v>471</v>
      </c>
      <c r="CY242" s="198" t="s">
        <v>471</v>
      </c>
      <c r="CZ242" s="198" t="s">
        <v>471</v>
      </c>
      <c r="DA242" s="198" t="s">
        <v>471</v>
      </c>
      <c r="DB242" s="198" t="s">
        <v>471</v>
      </c>
      <c r="DC242" s="198" t="s">
        <v>471</v>
      </c>
      <c r="DD242" s="198" t="s">
        <v>471</v>
      </c>
      <c r="DE242" s="198" t="s">
        <v>471</v>
      </c>
      <c r="DF242" s="198" t="s">
        <v>471</v>
      </c>
      <c r="DG242" s="217"/>
      <c r="DH242" s="217"/>
      <c r="DI242" s="217"/>
      <c r="DJ242" s="217">
        <f>DJ246*DJ243</f>
        <v>16334.87</v>
      </c>
      <c r="DK242" s="217">
        <f t="shared" ref="DK242" si="353">DK246*DK243</f>
        <v>16334.87</v>
      </c>
      <c r="DL242" s="217">
        <f t="shared" ref="DL242" si="354">DL246*DL243</f>
        <v>16334.87</v>
      </c>
      <c r="DM242" s="198" t="s">
        <v>471</v>
      </c>
      <c r="DN242" s="198" t="s">
        <v>471</v>
      </c>
      <c r="DO242" s="198" t="s">
        <v>471</v>
      </c>
      <c r="DP242" s="198" t="s">
        <v>471</v>
      </c>
      <c r="DQ242" s="198" t="s">
        <v>471</v>
      </c>
      <c r="DR242" s="198" t="s">
        <v>471</v>
      </c>
      <c r="DS242" s="198" t="s">
        <v>471</v>
      </c>
      <c r="DT242" s="198" t="s">
        <v>471</v>
      </c>
      <c r="DU242" s="198" t="s">
        <v>471</v>
      </c>
      <c r="DV242" s="198" t="s">
        <v>471</v>
      </c>
      <c r="DW242" s="198" t="s">
        <v>471</v>
      </c>
      <c r="DX242" s="198" t="s">
        <v>471</v>
      </c>
      <c r="DY242" s="198" t="s">
        <v>471</v>
      </c>
      <c r="DZ242" s="198" t="s">
        <v>471</v>
      </c>
      <c r="EA242" s="198" t="s">
        <v>471</v>
      </c>
      <c r="EB242" s="217">
        <f t="shared" ref="EB242:EG247" si="355">AA242+AV242+BQ242+CL242+DG242</f>
        <v>0</v>
      </c>
      <c r="EC242" s="217">
        <f t="shared" si="355"/>
        <v>0</v>
      </c>
      <c r="ED242" s="217">
        <f t="shared" si="355"/>
        <v>0</v>
      </c>
      <c r="EE242" s="217">
        <f t="shared" si="355"/>
        <v>967706.66</v>
      </c>
      <c r="EF242" s="217">
        <f t="shared" si="355"/>
        <v>967706.66</v>
      </c>
      <c r="EG242" s="217">
        <f t="shared" si="355"/>
        <v>967706.66</v>
      </c>
    </row>
    <row r="243" spans="1:138" s="308" customFormat="1" x14ac:dyDescent="0.25">
      <c r="A243" s="210" t="s">
        <v>655</v>
      </c>
      <c r="B243" s="59"/>
      <c r="C243" s="303" t="s">
        <v>663</v>
      </c>
      <c r="D243" s="210" t="s">
        <v>667</v>
      </c>
      <c r="E243" s="208"/>
      <c r="F243" s="304"/>
      <c r="G243" s="304"/>
      <c r="H243" s="304"/>
      <c r="I243" s="305"/>
      <c r="J243" s="305"/>
      <c r="K243" s="305"/>
      <c r="L243" s="306"/>
      <c r="M243" s="306"/>
      <c r="N243" s="306"/>
      <c r="O243" s="306"/>
      <c r="P243" s="306"/>
      <c r="Q243" s="306"/>
      <c r="R243" s="306"/>
      <c r="S243" s="306"/>
      <c r="T243" s="306"/>
      <c r="U243" s="306"/>
      <c r="V243" s="306"/>
      <c r="W243" s="306"/>
      <c r="X243" s="306"/>
      <c r="Y243" s="306"/>
      <c r="Z243" s="306"/>
      <c r="AA243" s="211"/>
      <c r="AB243" s="211"/>
      <c r="AC243" s="211"/>
      <c r="AD243" s="211">
        <f>IF(AD245=0,1,AD244/(AD244+AD245))</f>
        <v>0.98122950480000004</v>
      </c>
      <c r="AE243" s="211">
        <f>AD243</f>
        <v>0.98122950480000004</v>
      </c>
      <c r="AF243" s="211">
        <f>AD243</f>
        <v>0.98122950480000004</v>
      </c>
      <c r="AG243" s="306"/>
      <c r="AH243" s="306"/>
      <c r="AI243" s="306"/>
      <c r="AJ243" s="306"/>
      <c r="AK243" s="306"/>
      <c r="AL243" s="306"/>
      <c r="AM243" s="306"/>
      <c r="AN243" s="306"/>
      <c r="AO243" s="306"/>
      <c r="AP243" s="306"/>
      <c r="AQ243" s="306"/>
      <c r="AR243" s="306"/>
      <c r="AS243" s="306"/>
      <c r="AT243" s="306"/>
      <c r="AU243" s="306"/>
      <c r="AV243" s="211"/>
      <c r="AW243" s="211"/>
      <c r="AX243" s="211"/>
      <c r="AY243" s="211">
        <f>IF(AY245=0,1,AY244/(AY244+AY245))</f>
        <v>0.95716725619999998</v>
      </c>
      <c r="AZ243" s="211">
        <f>AY243</f>
        <v>0.95716725619999998</v>
      </c>
      <c r="BA243" s="211">
        <f>AY243</f>
        <v>0.95716725619999998</v>
      </c>
      <c r="BB243" s="306"/>
      <c r="BC243" s="306"/>
      <c r="BD243" s="306"/>
      <c r="BE243" s="306"/>
      <c r="BF243" s="306"/>
      <c r="BG243" s="306"/>
      <c r="BH243" s="306"/>
      <c r="BI243" s="306"/>
      <c r="BJ243" s="306"/>
      <c r="BK243" s="306"/>
      <c r="BL243" s="306"/>
      <c r="BM243" s="306"/>
      <c r="BN243" s="306"/>
      <c r="BO243" s="306"/>
      <c r="BP243" s="306"/>
      <c r="BQ243" s="211"/>
      <c r="BR243" s="211"/>
      <c r="BS243" s="211"/>
      <c r="BT243" s="211">
        <f>IF(BT245=0,1,BT244/(BT244+BT245))</f>
        <v>1</v>
      </c>
      <c r="BU243" s="211">
        <f>BT243</f>
        <v>1</v>
      </c>
      <c r="BV243" s="211">
        <f>BT243</f>
        <v>1</v>
      </c>
      <c r="BW243" s="306"/>
      <c r="BX243" s="306"/>
      <c r="BY243" s="306"/>
      <c r="BZ243" s="306"/>
      <c r="CA243" s="306"/>
      <c r="CB243" s="306"/>
      <c r="CC243" s="306"/>
      <c r="CD243" s="306"/>
      <c r="CE243" s="306"/>
      <c r="CF243" s="306"/>
      <c r="CG243" s="306"/>
      <c r="CH243" s="306"/>
      <c r="CI243" s="306"/>
      <c r="CJ243" s="306"/>
      <c r="CK243" s="306"/>
      <c r="CL243" s="211"/>
      <c r="CM243" s="211"/>
      <c r="CN243" s="211"/>
      <c r="CO243" s="211">
        <f>IF(CO245=0,1,CO244/(CO244+CO245))</f>
        <v>1</v>
      </c>
      <c r="CP243" s="211">
        <f>CO243</f>
        <v>1</v>
      </c>
      <c r="CQ243" s="211">
        <f>CO243</f>
        <v>1</v>
      </c>
      <c r="CR243" s="306"/>
      <c r="CS243" s="306"/>
      <c r="CT243" s="306"/>
      <c r="CU243" s="306"/>
      <c r="CV243" s="306"/>
      <c r="CW243" s="306"/>
      <c r="CX243" s="306"/>
      <c r="CY243" s="306"/>
      <c r="CZ243" s="306"/>
      <c r="DA243" s="306"/>
      <c r="DB243" s="306"/>
      <c r="DC243" s="306"/>
      <c r="DD243" s="306"/>
      <c r="DE243" s="306"/>
      <c r="DF243" s="306"/>
      <c r="DG243" s="211"/>
      <c r="DH243" s="211"/>
      <c r="DI243" s="211"/>
      <c r="DJ243" s="211">
        <f>IF(DJ245=0,1,DJ244/(DJ244+DJ245))</f>
        <v>1</v>
      </c>
      <c r="DK243" s="211">
        <f>DJ243</f>
        <v>1</v>
      </c>
      <c r="DL243" s="211">
        <f>DJ243</f>
        <v>1</v>
      </c>
      <c r="DM243" s="306"/>
      <c r="DN243" s="306"/>
      <c r="DO243" s="306"/>
      <c r="DP243" s="306"/>
      <c r="DQ243" s="306"/>
      <c r="DR243" s="306"/>
      <c r="DS243" s="306"/>
      <c r="DT243" s="306"/>
      <c r="DU243" s="306"/>
      <c r="DV243" s="306"/>
      <c r="DW243" s="306"/>
      <c r="DX243" s="306"/>
      <c r="DY243" s="306"/>
      <c r="DZ243" s="306"/>
      <c r="EA243" s="306"/>
      <c r="EB243" s="211"/>
      <c r="EC243" s="211"/>
      <c r="ED243" s="211"/>
      <c r="EE243" s="211">
        <f>IF(EE245=0,1,EE244/(EE244+EE245))</f>
        <v>0.98116735659999998</v>
      </c>
      <c r="EF243" s="211">
        <f>EE243</f>
        <v>0.98116735659999998</v>
      </c>
      <c r="EG243" s="211">
        <f>EE243</f>
        <v>0.98116735659999998</v>
      </c>
    </row>
    <row r="244" spans="1:138" s="308" customFormat="1" ht="60" x14ac:dyDescent="0.25">
      <c r="A244" s="210" t="s">
        <v>656</v>
      </c>
      <c r="B244" s="59"/>
      <c r="C244" s="303" t="s">
        <v>664</v>
      </c>
      <c r="D244" s="210"/>
      <c r="E244" s="208"/>
      <c r="F244" s="304"/>
      <c r="G244" s="304"/>
      <c r="H244" s="304"/>
      <c r="I244" s="305"/>
      <c r="J244" s="305"/>
      <c r="K244" s="305"/>
      <c r="L244" s="306"/>
      <c r="M244" s="306"/>
      <c r="N244" s="306"/>
      <c r="O244" s="306"/>
      <c r="P244" s="306"/>
      <c r="Q244" s="306"/>
      <c r="R244" s="306"/>
      <c r="S244" s="306"/>
      <c r="T244" s="306"/>
      <c r="U244" s="306"/>
      <c r="V244" s="306"/>
      <c r="W244" s="306"/>
      <c r="X244" s="306"/>
      <c r="Y244" s="306"/>
      <c r="Z244" s="306"/>
      <c r="AA244" s="307"/>
      <c r="AB244" s="307"/>
      <c r="AC244" s="307"/>
      <c r="AD244" s="307">
        <v>59343645.020000003</v>
      </c>
      <c r="AE244" s="310">
        <f t="shared" ref="AE244" si="356">AD244</f>
        <v>59343645.020000003</v>
      </c>
      <c r="AF244" s="310">
        <f t="shared" ref="AF244" si="357">AD244</f>
        <v>59343645.020000003</v>
      </c>
      <c r="AG244" s="306"/>
      <c r="AH244" s="306"/>
      <c r="AI244" s="306"/>
      <c r="AJ244" s="306"/>
      <c r="AK244" s="306"/>
      <c r="AL244" s="306"/>
      <c r="AM244" s="306"/>
      <c r="AN244" s="306"/>
      <c r="AO244" s="306"/>
      <c r="AP244" s="306"/>
      <c r="AQ244" s="306"/>
      <c r="AR244" s="306"/>
      <c r="AS244" s="306"/>
      <c r="AT244" s="306"/>
      <c r="AU244" s="306"/>
      <c r="AV244" s="307"/>
      <c r="AW244" s="307"/>
      <c r="AX244" s="307"/>
      <c r="AY244" s="307">
        <v>39033743.469999999</v>
      </c>
      <c r="AZ244" s="310">
        <f t="shared" ref="AZ244:AZ246" si="358">AY244</f>
        <v>39033743.469999999</v>
      </c>
      <c r="BA244" s="310">
        <f t="shared" ref="BA244:BA246" si="359">AY244</f>
        <v>39033743.469999999</v>
      </c>
      <c r="BB244" s="306"/>
      <c r="BC244" s="306"/>
      <c r="BD244" s="306"/>
      <c r="BE244" s="306"/>
      <c r="BF244" s="306"/>
      <c r="BG244" s="306"/>
      <c r="BH244" s="306"/>
      <c r="BI244" s="306"/>
      <c r="BJ244" s="306"/>
      <c r="BK244" s="306"/>
      <c r="BL244" s="306"/>
      <c r="BM244" s="306"/>
      <c r="BN244" s="306"/>
      <c r="BO244" s="306"/>
      <c r="BP244" s="306"/>
      <c r="BQ244" s="307"/>
      <c r="BR244" s="307"/>
      <c r="BS244" s="307"/>
      <c r="BT244" s="307">
        <v>36290476.740000002</v>
      </c>
      <c r="BU244" s="310">
        <f t="shared" ref="BU244:BU246" si="360">BT244</f>
        <v>36290476.740000002</v>
      </c>
      <c r="BV244" s="310">
        <f t="shared" ref="BV244:BV246" si="361">BT244</f>
        <v>36290476.740000002</v>
      </c>
      <c r="BW244" s="306"/>
      <c r="BX244" s="306"/>
      <c r="BY244" s="306"/>
      <c r="BZ244" s="306"/>
      <c r="CA244" s="306"/>
      <c r="CB244" s="306"/>
      <c r="CC244" s="306"/>
      <c r="CD244" s="306"/>
      <c r="CE244" s="306"/>
      <c r="CF244" s="306"/>
      <c r="CG244" s="306"/>
      <c r="CH244" s="306"/>
      <c r="CI244" s="306"/>
      <c r="CJ244" s="306"/>
      <c r="CK244" s="306"/>
      <c r="CL244" s="307"/>
      <c r="CM244" s="307"/>
      <c r="CN244" s="307"/>
      <c r="CO244" s="307">
        <v>9766889.7899999991</v>
      </c>
      <c r="CP244" s="310">
        <f t="shared" ref="CP244:CP246" si="362">CO244</f>
        <v>9766889.7899999991</v>
      </c>
      <c r="CQ244" s="310">
        <f t="shared" ref="CQ244:CQ246" si="363">CO244</f>
        <v>9766889.7899999991</v>
      </c>
      <c r="CR244" s="306"/>
      <c r="CS244" s="306"/>
      <c r="CT244" s="306"/>
      <c r="CU244" s="306"/>
      <c r="CV244" s="306"/>
      <c r="CW244" s="306"/>
      <c r="CX244" s="306"/>
      <c r="CY244" s="306"/>
      <c r="CZ244" s="306"/>
      <c r="DA244" s="306"/>
      <c r="DB244" s="306"/>
      <c r="DC244" s="306"/>
      <c r="DD244" s="306"/>
      <c r="DE244" s="306"/>
      <c r="DF244" s="306"/>
      <c r="DG244" s="307"/>
      <c r="DH244" s="307"/>
      <c r="DI244" s="307"/>
      <c r="DJ244" s="307">
        <v>5713222.2199999997</v>
      </c>
      <c r="DK244" s="310">
        <f t="shared" ref="DK244:DK246" si="364">DJ244</f>
        <v>5713222.2199999997</v>
      </c>
      <c r="DL244" s="310">
        <f t="shared" ref="DL244:DL246" si="365">DJ244</f>
        <v>5713222.2199999997</v>
      </c>
      <c r="DM244" s="306"/>
      <c r="DN244" s="306"/>
      <c r="DO244" s="306"/>
      <c r="DP244" s="306"/>
      <c r="DQ244" s="306"/>
      <c r="DR244" s="306"/>
      <c r="DS244" s="306"/>
      <c r="DT244" s="306"/>
      <c r="DU244" s="306"/>
      <c r="DV244" s="306"/>
      <c r="DW244" s="306"/>
      <c r="DX244" s="306"/>
      <c r="DY244" s="306"/>
      <c r="DZ244" s="306"/>
      <c r="EA244" s="306"/>
      <c r="EB244" s="302">
        <f t="shared" ref="EB244:EB245" si="366">AA244+AV244+BQ244+CL244+DG244</f>
        <v>0</v>
      </c>
      <c r="EC244" s="302">
        <f t="shared" ref="EC244:EC245" si="367">AB244+AW244+BR244+CM244+DH244</f>
        <v>0</v>
      </c>
      <c r="ED244" s="302">
        <f t="shared" ref="ED244:ED245" si="368">AC244+AX244+BS244+CN244+DI244</f>
        <v>0</v>
      </c>
      <c r="EE244" s="302">
        <f t="shared" ref="EE244:EE245" si="369">AD244+AY244+BT244+CO244+DJ244</f>
        <v>150147977.24000001</v>
      </c>
      <c r="EF244" s="302">
        <f t="shared" ref="EF244:EF245" si="370">AE244+AZ244+BU244+CP244+DK244</f>
        <v>150147977.24000001</v>
      </c>
      <c r="EG244" s="302">
        <f t="shared" ref="EG244:EG245" si="371">AF244+BA244+BV244+CQ244+DL244</f>
        <v>150147977.24000001</v>
      </c>
      <c r="EH244" s="1"/>
    </row>
    <row r="245" spans="1:138" s="308" customFormat="1" ht="36" x14ac:dyDescent="0.25">
      <c r="A245" s="210" t="s">
        <v>657</v>
      </c>
      <c r="B245" s="59"/>
      <c r="C245" s="303" t="s">
        <v>665</v>
      </c>
      <c r="D245" s="210"/>
      <c r="E245" s="208"/>
      <c r="F245" s="304"/>
      <c r="G245" s="304"/>
      <c r="H245" s="304"/>
      <c r="I245" s="305"/>
      <c r="J245" s="305"/>
      <c r="K245" s="305"/>
      <c r="L245" s="306"/>
      <c r="M245" s="306"/>
      <c r="N245" s="306"/>
      <c r="O245" s="306"/>
      <c r="P245" s="306"/>
      <c r="Q245" s="306"/>
      <c r="R245" s="306"/>
      <c r="S245" s="306"/>
      <c r="T245" s="306"/>
      <c r="U245" s="306"/>
      <c r="V245" s="306"/>
      <c r="W245" s="306"/>
      <c r="X245" s="306"/>
      <c r="Y245" s="306"/>
      <c r="Z245" s="306"/>
      <c r="AA245" s="307"/>
      <c r="AB245" s="307"/>
      <c r="AC245" s="307"/>
      <c r="AD245" s="307">
        <v>1135218.21</v>
      </c>
      <c r="AE245" s="310">
        <f t="shared" ref="AE245:AE246" si="372">AD245</f>
        <v>1135218.21</v>
      </c>
      <c r="AF245" s="310">
        <f t="shared" ref="AF245:AF246" si="373">AD245</f>
        <v>1135218.21</v>
      </c>
      <c r="AG245" s="306"/>
      <c r="AH245" s="306"/>
      <c r="AI245" s="306"/>
      <c r="AJ245" s="306"/>
      <c r="AK245" s="306"/>
      <c r="AL245" s="306"/>
      <c r="AM245" s="306"/>
      <c r="AN245" s="306"/>
      <c r="AO245" s="306"/>
      <c r="AP245" s="306"/>
      <c r="AQ245" s="306"/>
      <c r="AR245" s="306"/>
      <c r="AS245" s="306"/>
      <c r="AT245" s="306"/>
      <c r="AU245" s="306"/>
      <c r="AV245" s="307"/>
      <c r="AW245" s="307"/>
      <c r="AX245" s="307"/>
      <c r="AY245" s="307">
        <v>1746740</v>
      </c>
      <c r="AZ245" s="310">
        <f t="shared" si="358"/>
        <v>1746740</v>
      </c>
      <c r="BA245" s="310">
        <f t="shared" si="359"/>
        <v>1746740</v>
      </c>
      <c r="BB245" s="306"/>
      <c r="BC245" s="306"/>
      <c r="BD245" s="306"/>
      <c r="BE245" s="306"/>
      <c r="BF245" s="306"/>
      <c r="BG245" s="306"/>
      <c r="BH245" s="306"/>
      <c r="BI245" s="306"/>
      <c r="BJ245" s="306"/>
      <c r="BK245" s="306"/>
      <c r="BL245" s="306"/>
      <c r="BM245" s="306"/>
      <c r="BN245" s="306"/>
      <c r="BO245" s="306"/>
      <c r="BP245" s="306"/>
      <c r="BQ245" s="307"/>
      <c r="BR245" s="307"/>
      <c r="BS245" s="307"/>
      <c r="BT245" s="307">
        <v>0</v>
      </c>
      <c r="BU245" s="310">
        <f t="shared" si="360"/>
        <v>0</v>
      </c>
      <c r="BV245" s="310">
        <f t="shared" si="361"/>
        <v>0</v>
      </c>
      <c r="BW245" s="306"/>
      <c r="BX245" s="306"/>
      <c r="BY245" s="306"/>
      <c r="BZ245" s="306"/>
      <c r="CA245" s="306"/>
      <c r="CB245" s="306"/>
      <c r="CC245" s="306"/>
      <c r="CD245" s="306"/>
      <c r="CE245" s="306"/>
      <c r="CF245" s="306"/>
      <c r="CG245" s="306"/>
      <c r="CH245" s="306"/>
      <c r="CI245" s="306"/>
      <c r="CJ245" s="306"/>
      <c r="CK245" s="306"/>
      <c r="CL245" s="307"/>
      <c r="CM245" s="307"/>
      <c r="CN245" s="307"/>
      <c r="CO245" s="307">
        <v>0</v>
      </c>
      <c r="CP245" s="310">
        <f t="shared" si="362"/>
        <v>0</v>
      </c>
      <c r="CQ245" s="310">
        <f t="shared" si="363"/>
        <v>0</v>
      </c>
      <c r="CR245" s="306"/>
      <c r="CS245" s="306"/>
      <c r="CT245" s="306"/>
      <c r="CU245" s="306"/>
      <c r="CV245" s="306"/>
      <c r="CW245" s="306"/>
      <c r="CX245" s="306"/>
      <c r="CY245" s="306"/>
      <c r="CZ245" s="306"/>
      <c r="DA245" s="306"/>
      <c r="DB245" s="306"/>
      <c r="DC245" s="306"/>
      <c r="DD245" s="306"/>
      <c r="DE245" s="306"/>
      <c r="DF245" s="306"/>
      <c r="DG245" s="307"/>
      <c r="DH245" s="307"/>
      <c r="DI245" s="307"/>
      <c r="DJ245" s="307">
        <v>0</v>
      </c>
      <c r="DK245" s="310">
        <f t="shared" si="364"/>
        <v>0</v>
      </c>
      <c r="DL245" s="310">
        <f t="shared" si="365"/>
        <v>0</v>
      </c>
      <c r="DM245" s="306"/>
      <c r="DN245" s="306"/>
      <c r="DO245" s="306"/>
      <c r="DP245" s="306"/>
      <c r="DQ245" s="306"/>
      <c r="DR245" s="306"/>
      <c r="DS245" s="306"/>
      <c r="DT245" s="306"/>
      <c r="DU245" s="306"/>
      <c r="DV245" s="306"/>
      <c r="DW245" s="306"/>
      <c r="DX245" s="306"/>
      <c r="DY245" s="306"/>
      <c r="DZ245" s="306"/>
      <c r="EA245" s="306"/>
      <c r="EB245" s="302">
        <f t="shared" si="366"/>
        <v>0</v>
      </c>
      <c r="EC245" s="302">
        <f t="shared" si="367"/>
        <v>0</v>
      </c>
      <c r="ED245" s="302">
        <f t="shared" si="368"/>
        <v>0</v>
      </c>
      <c r="EE245" s="302">
        <f t="shared" si="369"/>
        <v>2881958.21</v>
      </c>
      <c r="EF245" s="302">
        <f t="shared" si="370"/>
        <v>2881958.21</v>
      </c>
      <c r="EG245" s="302">
        <f t="shared" si="371"/>
        <v>2881958.21</v>
      </c>
    </row>
    <row r="246" spans="1:138" s="308" customFormat="1" ht="48" x14ac:dyDescent="0.25">
      <c r="A246" s="11" t="s">
        <v>472</v>
      </c>
      <c r="B246" s="320"/>
      <c r="C246" s="303" t="s">
        <v>666</v>
      </c>
      <c r="D246" s="210"/>
      <c r="E246" s="208"/>
      <c r="F246" s="304"/>
      <c r="G246" s="304"/>
      <c r="H246" s="304"/>
      <c r="I246" s="305"/>
      <c r="J246" s="305"/>
      <c r="K246" s="305"/>
      <c r="L246" s="306" t="s">
        <v>471</v>
      </c>
      <c r="M246" s="306" t="s">
        <v>471</v>
      </c>
      <c r="N246" s="306" t="s">
        <v>471</v>
      </c>
      <c r="O246" s="306" t="s">
        <v>471</v>
      </c>
      <c r="P246" s="306" t="s">
        <v>471</v>
      </c>
      <c r="Q246" s="306" t="s">
        <v>471</v>
      </c>
      <c r="R246" s="306" t="s">
        <v>471</v>
      </c>
      <c r="S246" s="306" t="s">
        <v>471</v>
      </c>
      <c r="T246" s="306" t="s">
        <v>471</v>
      </c>
      <c r="U246" s="306" t="s">
        <v>471</v>
      </c>
      <c r="V246" s="306" t="s">
        <v>471</v>
      </c>
      <c r="W246" s="306" t="s">
        <v>471</v>
      </c>
      <c r="X246" s="306" t="s">
        <v>471</v>
      </c>
      <c r="Y246" s="306" t="s">
        <v>471</v>
      </c>
      <c r="Z246" s="306" t="s">
        <v>471</v>
      </c>
      <c r="AA246" s="307"/>
      <c r="AB246" s="307"/>
      <c r="AC246" s="307"/>
      <c r="AD246" s="310">
        <f>'1.5.свод 291'!$B$7</f>
        <v>629545.02</v>
      </c>
      <c r="AE246" s="310">
        <f t="shared" si="372"/>
        <v>629545.02</v>
      </c>
      <c r="AF246" s="310">
        <f t="shared" si="373"/>
        <v>629545.02</v>
      </c>
      <c r="AG246" s="306" t="s">
        <v>471</v>
      </c>
      <c r="AH246" s="306" t="s">
        <v>471</v>
      </c>
      <c r="AI246" s="306" t="s">
        <v>471</v>
      </c>
      <c r="AJ246" s="306" t="s">
        <v>471</v>
      </c>
      <c r="AK246" s="306" t="s">
        <v>471</v>
      </c>
      <c r="AL246" s="306" t="s">
        <v>471</v>
      </c>
      <c r="AM246" s="306" t="s">
        <v>471</v>
      </c>
      <c r="AN246" s="306" t="s">
        <v>471</v>
      </c>
      <c r="AO246" s="306" t="s">
        <v>471</v>
      </c>
      <c r="AP246" s="306" t="s">
        <v>471</v>
      </c>
      <c r="AQ246" s="306" t="s">
        <v>471</v>
      </c>
      <c r="AR246" s="306" t="s">
        <v>471</v>
      </c>
      <c r="AS246" s="306" t="s">
        <v>471</v>
      </c>
      <c r="AT246" s="306" t="s">
        <v>471</v>
      </c>
      <c r="AU246" s="306" t="s">
        <v>471</v>
      </c>
      <c r="AV246" s="307"/>
      <c r="AW246" s="307"/>
      <c r="AX246" s="307"/>
      <c r="AY246" s="310">
        <f>'1.5.свод 291'!$B$8</f>
        <v>97991.63</v>
      </c>
      <c r="AZ246" s="310">
        <f t="shared" si="358"/>
        <v>97991.63</v>
      </c>
      <c r="BA246" s="310">
        <f t="shared" si="359"/>
        <v>97991.63</v>
      </c>
      <c r="BB246" s="306" t="s">
        <v>471</v>
      </c>
      <c r="BC246" s="306" t="s">
        <v>471</v>
      </c>
      <c r="BD246" s="306" t="s">
        <v>471</v>
      </c>
      <c r="BE246" s="306" t="s">
        <v>471</v>
      </c>
      <c r="BF246" s="306" t="s">
        <v>471</v>
      </c>
      <c r="BG246" s="306" t="s">
        <v>471</v>
      </c>
      <c r="BH246" s="306" t="s">
        <v>471</v>
      </c>
      <c r="BI246" s="306" t="s">
        <v>471</v>
      </c>
      <c r="BJ246" s="306" t="s">
        <v>471</v>
      </c>
      <c r="BK246" s="306" t="s">
        <v>471</v>
      </c>
      <c r="BL246" s="306" t="s">
        <v>471</v>
      </c>
      <c r="BM246" s="306" t="s">
        <v>471</v>
      </c>
      <c r="BN246" s="306" t="s">
        <v>471</v>
      </c>
      <c r="BO246" s="306" t="s">
        <v>471</v>
      </c>
      <c r="BP246" s="306" t="s">
        <v>471</v>
      </c>
      <c r="BQ246" s="307"/>
      <c r="BR246" s="307"/>
      <c r="BS246" s="307"/>
      <c r="BT246" s="310">
        <f>'1.5.свод 291'!$B$9</f>
        <v>227110.91</v>
      </c>
      <c r="BU246" s="310">
        <f t="shared" si="360"/>
        <v>227110.91</v>
      </c>
      <c r="BV246" s="310">
        <f t="shared" si="361"/>
        <v>227110.91</v>
      </c>
      <c r="BW246" s="306" t="s">
        <v>471</v>
      </c>
      <c r="BX246" s="306" t="s">
        <v>471</v>
      </c>
      <c r="BY246" s="306" t="s">
        <v>471</v>
      </c>
      <c r="BZ246" s="306" t="s">
        <v>471</v>
      </c>
      <c r="CA246" s="306" t="s">
        <v>471</v>
      </c>
      <c r="CB246" s="306" t="s">
        <v>471</v>
      </c>
      <c r="CC246" s="306" t="s">
        <v>471</v>
      </c>
      <c r="CD246" s="306" t="s">
        <v>471</v>
      </c>
      <c r="CE246" s="306" t="s">
        <v>471</v>
      </c>
      <c r="CF246" s="306" t="s">
        <v>471</v>
      </c>
      <c r="CG246" s="306" t="s">
        <v>471</v>
      </c>
      <c r="CH246" s="306" t="s">
        <v>471</v>
      </c>
      <c r="CI246" s="306" t="s">
        <v>471</v>
      </c>
      <c r="CJ246" s="306" t="s">
        <v>471</v>
      </c>
      <c r="CK246" s="306" t="s">
        <v>471</v>
      </c>
      <c r="CL246" s="307"/>
      <c r="CM246" s="307"/>
      <c r="CN246" s="307"/>
      <c r="CO246" s="310">
        <f>'1.5.свод 291'!$B$10</f>
        <v>12738.35</v>
      </c>
      <c r="CP246" s="310">
        <f t="shared" si="362"/>
        <v>12738.35</v>
      </c>
      <c r="CQ246" s="310">
        <f t="shared" si="363"/>
        <v>12738.35</v>
      </c>
      <c r="CR246" s="306" t="s">
        <v>471</v>
      </c>
      <c r="CS246" s="306" t="s">
        <v>471</v>
      </c>
      <c r="CT246" s="306" t="s">
        <v>471</v>
      </c>
      <c r="CU246" s="306" t="s">
        <v>471</v>
      </c>
      <c r="CV246" s="306" t="s">
        <v>471</v>
      </c>
      <c r="CW246" s="306" t="s">
        <v>471</v>
      </c>
      <c r="CX246" s="306" t="s">
        <v>471</v>
      </c>
      <c r="CY246" s="306" t="s">
        <v>471</v>
      </c>
      <c r="CZ246" s="306" t="s">
        <v>471</v>
      </c>
      <c r="DA246" s="306" t="s">
        <v>471</v>
      </c>
      <c r="DB246" s="306" t="s">
        <v>471</v>
      </c>
      <c r="DC246" s="306" t="s">
        <v>471</v>
      </c>
      <c r="DD246" s="306" t="s">
        <v>471</v>
      </c>
      <c r="DE246" s="306" t="s">
        <v>471</v>
      </c>
      <c r="DF246" s="306" t="s">
        <v>471</v>
      </c>
      <c r="DG246" s="307"/>
      <c r="DH246" s="307"/>
      <c r="DI246" s="307"/>
      <c r="DJ246" s="310">
        <f>'1.5.свод 291'!$B$11</f>
        <v>16334.87</v>
      </c>
      <c r="DK246" s="310">
        <f t="shared" si="364"/>
        <v>16334.87</v>
      </c>
      <c r="DL246" s="310">
        <f t="shared" si="365"/>
        <v>16334.87</v>
      </c>
      <c r="DM246" s="306" t="s">
        <v>471</v>
      </c>
      <c r="DN246" s="306" t="s">
        <v>471</v>
      </c>
      <c r="DO246" s="306" t="s">
        <v>471</v>
      </c>
      <c r="DP246" s="306" t="s">
        <v>471</v>
      </c>
      <c r="DQ246" s="306" t="s">
        <v>471</v>
      </c>
      <c r="DR246" s="306" t="s">
        <v>471</v>
      </c>
      <c r="DS246" s="306" t="s">
        <v>471</v>
      </c>
      <c r="DT246" s="306" t="s">
        <v>471</v>
      </c>
      <c r="DU246" s="306" t="s">
        <v>471</v>
      </c>
      <c r="DV246" s="306" t="s">
        <v>471</v>
      </c>
      <c r="DW246" s="306" t="s">
        <v>471</v>
      </c>
      <c r="DX246" s="306" t="s">
        <v>471</v>
      </c>
      <c r="DY246" s="306" t="s">
        <v>471</v>
      </c>
      <c r="DZ246" s="306" t="s">
        <v>471</v>
      </c>
      <c r="EA246" s="306" t="s">
        <v>471</v>
      </c>
      <c r="EB246" s="302">
        <f t="shared" ref="EB246" si="374">AA246+AV246+BQ246+CL246+DG246</f>
        <v>0</v>
      </c>
      <c r="EC246" s="302">
        <f t="shared" ref="EC246" si="375">AB246+AW246+BR246+CM246+DH246</f>
        <v>0</v>
      </c>
      <c r="ED246" s="302">
        <f t="shared" ref="ED246" si="376">AC246+AX246+BS246+CN246+DI246</f>
        <v>0</v>
      </c>
      <c r="EE246" s="302">
        <f t="shared" ref="EE246" si="377">AD246+AY246+BT246+CO246+DJ246</f>
        <v>983720.78</v>
      </c>
      <c r="EF246" s="302">
        <f t="shared" ref="EF246" si="378">AE246+AZ246+BU246+CP246+DK246</f>
        <v>983720.78</v>
      </c>
      <c r="EG246" s="302">
        <f t="shared" ref="EG246" si="379">AF246+BA246+BV246+CQ246+DL246</f>
        <v>983720.78</v>
      </c>
    </row>
    <row r="247" spans="1:138" ht="72" x14ac:dyDescent="0.25">
      <c r="A247" s="326" t="s">
        <v>671</v>
      </c>
      <c r="B247" s="61"/>
      <c r="C247" s="16" t="s">
        <v>488</v>
      </c>
      <c r="D247" s="196"/>
      <c r="E247" s="197"/>
      <c r="F247" s="98"/>
      <c r="G247" s="98"/>
      <c r="H247" s="98"/>
      <c r="I247" s="220"/>
      <c r="J247" s="220"/>
      <c r="K247" s="220"/>
      <c r="L247" s="198" t="s">
        <v>471</v>
      </c>
      <c r="M247" s="198" t="s">
        <v>471</v>
      </c>
      <c r="N247" s="198" t="s">
        <v>471</v>
      </c>
      <c r="O247" s="198" t="s">
        <v>471</v>
      </c>
      <c r="P247" s="198" t="s">
        <v>471</v>
      </c>
      <c r="Q247" s="198" t="s">
        <v>471</v>
      </c>
      <c r="R247" s="198" t="s">
        <v>471</v>
      </c>
      <c r="S247" s="198" t="s">
        <v>471</v>
      </c>
      <c r="T247" s="198" t="s">
        <v>471</v>
      </c>
      <c r="U247" s="198" t="s">
        <v>471</v>
      </c>
      <c r="V247" s="198" t="s">
        <v>471</v>
      </c>
      <c r="W247" s="198" t="s">
        <v>471</v>
      </c>
      <c r="X247" s="198" t="s">
        <v>471</v>
      </c>
      <c r="Y247" s="198" t="s">
        <v>471</v>
      </c>
      <c r="Z247" s="198" t="s">
        <v>471</v>
      </c>
      <c r="AA247" s="219"/>
      <c r="AB247" s="219"/>
      <c r="AC247" s="219"/>
      <c r="AD247" s="219">
        <v>66308400</v>
      </c>
      <c r="AE247" s="219">
        <v>69148500</v>
      </c>
      <c r="AF247" s="219">
        <v>72263900</v>
      </c>
      <c r="AG247" s="198" t="s">
        <v>471</v>
      </c>
      <c r="AH247" s="198" t="s">
        <v>471</v>
      </c>
      <c r="AI247" s="198" t="s">
        <v>471</v>
      </c>
      <c r="AJ247" s="198" t="s">
        <v>471</v>
      </c>
      <c r="AK247" s="198" t="s">
        <v>471</v>
      </c>
      <c r="AL247" s="198" t="s">
        <v>471</v>
      </c>
      <c r="AM247" s="198" t="s">
        <v>471</v>
      </c>
      <c r="AN247" s="198" t="s">
        <v>471</v>
      </c>
      <c r="AO247" s="198" t="s">
        <v>471</v>
      </c>
      <c r="AP247" s="198" t="s">
        <v>471</v>
      </c>
      <c r="AQ247" s="198" t="s">
        <v>471</v>
      </c>
      <c r="AR247" s="198" t="s">
        <v>471</v>
      </c>
      <c r="AS247" s="198" t="s">
        <v>471</v>
      </c>
      <c r="AT247" s="198" t="s">
        <v>471</v>
      </c>
      <c r="AU247" s="198" t="s">
        <v>471</v>
      </c>
      <c r="AV247" s="219"/>
      <c r="AW247" s="219"/>
      <c r="AX247" s="219"/>
      <c r="AY247" s="219">
        <v>52654500</v>
      </c>
      <c r="AZ247" s="219">
        <v>54931200</v>
      </c>
      <c r="BA247" s="219">
        <v>57158900</v>
      </c>
      <c r="BB247" s="198" t="s">
        <v>471</v>
      </c>
      <c r="BC247" s="198" t="s">
        <v>471</v>
      </c>
      <c r="BD247" s="198" t="s">
        <v>471</v>
      </c>
      <c r="BE247" s="198" t="s">
        <v>471</v>
      </c>
      <c r="BF247" s="198" t="s">
        <v>471</v>
      </c>
      <c r="BG247" s="198" t="s">
        <v>471</v>
      </c>
      <c r="BH247" s="198" t="s">
        <v>471</v>
      </c>
      <c r="BI247" s="198" t="s">
        <v>471</v>
      </c>
      <c r="BJ247" s="198" t="s">
        <v>471</v>
      </c>
      <c r="BK247" s="198" t="s">
        <v>471</v>
      </c>
      <c r="BL247" s="198" t="s">
        <v>471</v>
      </c>
      <c r="BM247" s="198" t="s">
        <v>471</v>
      </c>
      <c r="BN247" s="198" t="s">
        <v>471</v>
      </c>
      <c r="BO247" s="198" t="s">
        <v>471</v>
      </c>
      <c r="BP247" s="198" t="s">
        <v>471</v>
      </c>
      <c r="BQ247" s="219"/>
      <c r="BR247" s="219"/>
      <c r="BS247" s="219"/>
      <c r="BT247" s="219">
        <v>45224400</v>
      </c>
      <c r="BU247" s="219">
        <v>45741000</v>
      </c>
      <c r="BV247" s="219">
        <v>47319700</v>
      </c>
      <c r="BW247" s="198" t="s">
        <v>471</v>
      </c>
      <c r="BX247" s="198" t="s">
        <v>471</v>
      </c>
      <c r="BY247" s="198" t="s">
        <v>471</v>
      </c>
      <c r="BZ247" s="198" t="s">
        <v>471</v>
      </c>
      <c r="CA247" s="198" t="s">
        <v>471</v>
      </c>
      <c r="CB247" s="198" t="s">
        <v>471</v>
      </c>
      <c r="CC247" s="198" t="s">
        <v>471</v>
      </c>
      <c r="CD247" s="198" t="s">
        <v>471</v>
      </c>
      <c r="CE247" s="198" t="s">
        <v>471</v>
      </c>
      <c r="CF247" s="198" t="s">
        <v>471</v>
      </c>
      <c r="CG247" s="198" t="s">
        <v>471</v>
      </c>
      <c r="CH247" s="198" t="s">
        <v>471</v>
      </c>
      <c r="CI247" s="198" t="s">
        <v>471</v>
      </c>
      <c r="CJ247" s="198" t="s">
        <v>471</v>
      </c>
      <c r="CK247" s="198" t="s">
        <v>471</v>
      </c>
      <c r="CL247" s="219"/>
      <c r="CM247" s="219"/>
      <c r="CN247" s="219"/>
      <c r="CO247" s="219">
        <v>12796000</v>
      </c>
      <c r="CP247" s="219">
        <v>13036500</v>
      </c>
      <c r="CQ247" s="219">
        <v>13598300</v>
      </c>
      <c r="CR247" s="198" t="s">
        <v>471</v>
      </c>
      <c r="CS247" s="198" t="s">
        <v>471</v>
      </c>
      <c r="CT247" s="198" t="s">
        <v>471</v>
      </c>
      <c r="CU247" s="198" t="s">
        <v>471</v>
      </c>
      <c r="CV247" s="198" t="s">
        <v>471</v>
      </c>
      <c r="CW247" s="198" t="s">
        <v>471</v>
      </c>
      <c r="CX247" s="198" t="s">
        <v>471</v>
      </c>
      <c r="CY247" s="198" t="s">
        <v>471</v>
      </c>
      <c r="CZ247" s="198" t="s">
        <v>471</v>
      </c>
      <c r="DA247" s="198" t="s">
        <v>471</v>
      </c>
      <c r="DB247" s="198" t="s">
        <v>471</v>
      </c>
      <c r="DC247" s="198" t="s">
        <v>471</v>
      </c>
      <c r="DD247" s="198" t="s">
        <v>471</v>
      </c>
      <c r="DE247" s="198" t="s">
        <v>471</v>
      </c>
      <c r="DF247" s="198" t="s">
        <v>471</v>
      </c>
      <c r="DG247" s="219"/>
      <c r="DH247" s="219"/>
      <c r="DI247" s="219"/>
      <c r="DJ247" s="219">
        <v>7206400</v>
      </c>
      <c r="DK247" s="219">
        <v>7328500</v>
      </c>
      <c r="DL247" s="219">
        <v>7645500</v>
      </c>
      <c r="DM247" s="198" t="s">
        <v>471</v>
      </c>
      <c r="DN247" s="198" t="s">
        <v>471</v>
      </c>
      <c r="DO247" s="198" t="s">
        <v>471</v>
      </c>
      <c r="DP247" s="198" t="s">
        <v>471</v>
      </c>
      <c r="DQ247" s="198" t="s">
        <v>471</v>
      </c>
      <c r="DR247" s="198" t="s">
        <v>471</v>
      </c>
      <c r="DS247" s="198" t="s">
        <v>471</v>
      </c>
      <c r="DT247" s="198" t="s">
        <v>471</v>
      </c>
      <c r="DU247" s="198" t="s">
        <v>471</v>
      </c>
      <c r="DV247" s="198" t="s">
        <v>471</v>
      </c>
      <c r="DW247" s="198" t="s">
        <v>471</v>
      </c>
      <c r="DX247" s="198" t="s">
        <v>471</v>
      </c>
      <c r="DY247" s="198" t="s">
        <v>471</v>
      </c>
      <c r="DZ247" s="198" t="s">
        <v>471</v>
      </c>
      <c r="EA247" s="198" t="s">
        <v>471</v>
      </c>
      <c r="EB247" s="231">
        <f t="shared" si="355"/>
        <v>0</v>
      </c>
      <c r="EC247" s="231">
        <f t="shared" si="355"/>
        <v>0</v>
      </c>
      <c r="ED247" s="231">
        <f t="shared" si="355"/>
        <v>0</v>
      </c>
      <c r="EE247" s="231">
        <f t="shared" si="355"/>
        <v>184189700</v>
      </c>
      <c r="EF247" s="231">
        <f t="shared" si="355"/>
        <v>190185700</v>
      </c>
      <c r="EG247" s="231">
        <f t="shared" si="355"/>
        <v>197986300</v>
      </c>
    </row>
    <row r="248" spans="1:138" s="855" customFormat="1" ht="12.75" hidden="1" x14ac:dyDescent="0.25">
      <c r="A248" s="855" t="s">
        <v>1188</v>
      </c>
      <c r="B248" s="856"/>
      <c r="J248" s="857"/>
      <c r="K248" s="857"/>
      <c r="L248" s="857"/>
      <c r="AD248" s="860">
        <f>AD246-AD242</f>
        <v>11816.87</v>
      </c>
      <c r="AE248" s="860">
        <f t="shared" ref="AE248:AF248" si="380">AE246-AE242</f>
        <v>11816.87</v>
      </c>
      <c r="AF248" s="860">
        <f t="shared" si="380"/>
        <v>11816.87</v>
      </c>
      <c r="AG248" s="857"/>
      <c r="AY248" s="860">
        <f t="shared" ref="AY248:CQ248" si="381">AY246-AY242</f>
        <v>4197.25</v>
      </c>
      <c r="AZ248" s="860">
        <f t="shared" si="381"/>
        <v>4197.25</v>
      </c>
      <c r="BA248" s="860">
        <f t="shared" si="381"/>
        <v>4197.25</v>
      </c>
      <c r="BB248" s="857"/>
      <c r="BT248" s="860">
        <f t="shared" ref="BT248" si="382">BT246-BT242</f>
        <v>0</v>
      </c>
      <c r="BU248" s="860">
        <f t="shared" si="381"/>
        <v>0</v>
      </c>
      <c r="BV248" s="860">
        <f t="shared" si="381"/>
        <v>0</v>
      </c>
      <c r="BW248" s="857"/>
      <c r="CO248" s="860">
        <f t="shared" ref="CO248" si="383">CO246-CO242</f>
        <v>0</v>
      </c>
      <c r="CP248" s="860">
        <f t="shared" si="381"/>
        <v>0</v>
      </c>
      <c r="CQ248" s="860">
        <f t="shared" si="381"/>
        <v>0</v>
      </c>
      <c r="CR248" s="857"/>
      <c r="DJ248" s="860">
        <f t="shared" ref="DJ248:EG248" si="384">DJ246-DJ242</f>
        <v>0</v>
      </c>
      <c r="DK248" s="860">
        <f t="shared" si="384"/>
        <v>0</v>
      </c>
      <c r="DL248" s="860">
        <f t="shared" si="384"/>
        <v>0</v>
      </c>
      <c r="DM248" s="857"/>
      <c r="EE248" s="860">
        <f t="shared" ref="EE248" si="385">EE246-EE242</f>
        <v>16014.12</v>
      </c>
      <c r="EF248" s="860">
        <f t="shared" si="384"/>
        <v>16014.12</v>
      </c>
      <c r="EG248" s="860">
        <f t="shared" si="384"/>
        <v>16014.12</v>
      </c>
    </row>
    <row r="249" spans="1:138" s="232" customFormat="1" ht="12.75" x14ac:dyDescent="0.25">
      <c r="B249" s="322"/>
      <c r="J249" s="233"/>
      <c r="K249" s="233"/>
      <c r="L249" s="233"/>
      <c r="AG249" s="233"/>
      <c r="BB249" s="233"/>
      <c r="BW249" s="233"/>
      <c r="CR249" s="233"/>
      <c r="DM249" s="233"/>
      <c r="EB249" s="234"/>
      <c r="EC249" s="234"/>
      <c r="ED249" s="234"/>
      <c r="EE249" s="234"/>
      <c r="EF249" s="234"/>
      <c r="EG249" s="234"/>
    </row>
    <row r="250" spans="1:138" x14ac:dyDescent="0.25">
      <c r="A250" s="1" t="s">
        <v>1184</v>
      </c>
      <c r="J250" s="81" t="s">
        <v>274</v>
      </c>
      <c r="K250" s="235"/>
      <c r="L250" s="235"/>
      <c r="M250" s="150"/>
      <c r="N250" s="150"/>
      <c r="O250" s="150"/>
      <c r="P250" s="150"/>
      <c r="Q250" s="150"/>
      <c r="R250" s="150"/>
      <c r="S250" s="150"/>
      <c r="T250" s="150"/>
      <c r="U250" s="150"/>
      <c r="V250" s="150"/>
      <c r="W250" s="150"/>
      <c r="X250" s="150"/>
      <c r="Y250" s="150"/>
      <c r="Z250" s="150"/>
      <c r="AA250" s="150"/>
      <c r="AB250" s="150"/>
      <c r="AC250" s="150"/>
      <c r="AD250" s="150"/>
      <c r="AE250" s="150"/>
      <c r="AF250" s="150"/>
      <c r="AG250" s="235"/>
      <c r="AH250" s="150"/>
      <c r="AI250" s="150"/>
      <c r="AJ250" s="150"/>
      <c r="AK250" s="150"/>
      <c r="AL250" s="150"/>
      <c r="AM250" s="150"/>
      <c r="AN250" s="150"/>
      <c r="AO250" s="150"/>
      <c r="AP250" s="232" t="s">
        <v>661</v>
      </c>
      <c r="AQ250" s="232"/>
      <c r="AR250" s="232"/>
      <c r="AS250" s="232"/>
      <c r="AT250" s="232"/>
      <c r="AU250" s="232"/>
      <c r="AV250" s="232"/>
      <c r="AW250" s="232" t="s">
        <v>662</v>
      </c>
      <c r="AX250" s="150"/>
      <c r="AY250" s="150"/>
      <c r="AZ250" s="150"/>
      <c r="BA250" s="150"/>
      <c r="BB250" s="235"/>
      <c r="BC250" s="150"/>
      <c r="BD250" s="150"/>
      <c r="BE250" s="150"/>
      <c r="BF250" s="150"/>
      <c r="BG250" s="150"/>
      <c r="BH250" s="150"/>
      <c r="BI250" s="150"/>
      <c r="BJ250" s="150"/>
      <c r="BK250" s="150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150"/>
      <c r="BV250" s="150"/>
      <c r="BW250" s="235"/>
      <c r="BX250" s="150"/>
      <c r="BY250" s="150"/>
      <c r="BZ250" s="150"/>
      <c r="CA250" s="150"/>
      <c r="CB250" s="150"/>
      <c r="CC250" s="150"/>
      <c r="CD250" s="150"/>
      <c r="CE250" s="150"/>
      <c r="CF250" s="150"/>
      <c r="CG250" s="150"/>
      <c r="CH250" s="150"/>
      <c r="CI250" s="150"/>
      <c r="CJ250" s="150"/>
      <c r="CK250" s="150"/>
      <c r="CL250" s="150"/>
      <c r="CM250" s="150"/>
      <c r="CN250" s="150"/>
      <c r="CO250" s="150"/>
      <c r="CP250" s="150"/>
      <c r="CQ250" s="150"/>
      <c r="CR250" s="235"/>
      <c r="CS250" s="150"/>
      <c r="CT250" s="150"/>
      <c r="CU250" s="150"/>
      <c r="CV250" s="150"/>
      <c r="CW250" s="150"/>
      <c r="CX250" s="150"/>
      <c r="CY250" s="150"/>
      <c r="CZ250" s="150"/>
      <c r="DA250" s="150"/>
      <c r="DB250" s="150"/>
      <c r="DC250" s="150"/>
      <c r="DD250" s="150"/>
      <c r="DE250" s="150"/>
      <c r="DF250" s="150"/>
      <c r="DG250" s="150"/>
      <c r="DH250" s="150"/>
      <c r="DI250" s="150"/>
      <c r="DJ250" s="150"/>
      <c r="DK250" s="150"/>
      <c r="DL250" s="150"/>
      <c r="DM250" s="235"/>
      <c r="DN250" s="150"/>
      <c r="DO250" s="150"/>
      <c r="DP250" s="150"/>
      <c r="DQ250" s="150"/>
      <c r="DR250" s="150"/>
      <c r="DS250" s="150"/>
      <c r="DT250" s="150"/>
      <c r="DU250" s="150"/>
      <c r="DV250" s="150"/>
      <c r="DW250" s="150"/>
      <c r="DX250" s="150"/>
      <c r="DY250" s="150"/>
      <c r="DZ250" s="150"/>
      <c r="EA250" s="150"/>
      <c r="EB250" s="150"/>
      <c r="EC250" s="150"/>
      <c r="ED250" s="150"/>
      <c r="EE250" s="150"/>
      <c r="EF250" s="150"/>
      <c r="EG250" s="150"/>
    </row>
    <row r="251" spans="1:138" x14ac:dyDescent="0.25">
      <c r="I251" s="150"/>
      <c r="J251" s="235"/>
      <c r="K251" s="235"/>
      <c r="L251" s="235"/>
      <c r="M251" s="150"/>
      <c r="N251" s="150"/>
      <c r="O251" s="150"/>
      <c r="P251" s="150"/>
      <c r="Q251" s="150"/>
      <c r="R251" s="150"/>
      <c r="S251" s="150"/>
      <c r="T251" s="150"/>
      <c r="U251" s="150"/>
      <c r="V251" s="150"/>
      <c r="W251" s="150"/>
      <c r="X251" s="150"/>
      <c r="Y251" s="150"/>
      <c r="Z251" s="150"/>
      <c r="AA251" s="150"/>
      <c r="AB251" s="150"/>
      <c r="AC251" s="150"/>
      <c r="AD251" s="150"/>
      <c r="AE251" s="150"/>
      <c r="AF251" s="150"/>
      <c r="AG251" s="235"/>
      <c r="AH251" s="150"/>
      <c r="AI251" s="150"/>
      <c r="AJ251" s="150"/>
      <c r="AK251" s="150"/>
      <c r="AL251" s="150"/>
      <c r="AM251" s="150"/>
      <c r="AN251" s="150"/>
      <c r="AO251" s="150"/>
      <c r="AW251" s="150"/>
      <c r="AX251" s="150"/>
      <c r="AY251" s="150"/>
      <c r="AZ251" s="150"/>
      <c r="BA251" s="150"/>
      <c r="BB251" s="235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235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235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235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</row>
    <row r="252" spans="1:138" x14ac:dyDescent="0.25">
      <c r="A252" s="1" t="s">
        <v>1185</v>
      </c>
      <c r="I252" s="150"/>
      <c r="J252" s="235"/>
      <c r="K252" s="235"/>
      <c r="L252" s="235"/>
      <c r="M252" s="150"/>
      <c r="N252" s="150"/>
      <c r="O252" s="150"/>
      <c r="P252" s="150"/>
      <c r="Q252" s="150"/>
      <c r="R252" s="150"/>
      <c r="S252" s="150"/>
      <c r="T252" s="150"/>
      <c r="U252" s="150"/>
      <c r="V252" s="150"/>
      <c r="W252" s="150"/>
      <c r="X252" s="150"/>
      <c r="Y252" s="150"/>
      <c r="Z252" s="150"/>
      <c r="AA252" s="150"/>
      <c r="AB252" s="150"/>
      <c r="AC252" s="150"/>
      <c r="AD252" s="150"/>
      <c r="AE252" s="150"/>
      <c r="AF252" s="150"/>
      <c r="AG252" s="235"/>
      <c r="AH252" s="150"/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50"/>
      <c r="AZ252" s="150"/>
      <c r="BA252" s="150"/>
      <c r="BB252" s="235"/>
      <c r="BC252" s="150"/>
      <c r="BD252" s="150"/>
      <c r="BE252" s="150"/>
      <c r="BF252" s="150"/>
      <c r="BG252" s="150"/>
      <c r="BH252" s="150"/>
      <c r="BI252" s="150"/>
      <c r="BJ252" s="150"/>
      <c r="BK252" s="150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150"/>
      <c r="BV252" s="150"/>
      <c r="BW252" s="235"/>
      <c r="BX252" s="150"/>
      <c r="BY252" s="150"/>
      <c r="BZ252" s="150"/>
      <c r="CA252" s="150"/>
      <c r="CB252" s="150"/>
      <c r="CC252" s="150"/>
      <c r="CD252" s="150"/>
      <c r="CE252" s="150"/>
      <c r="CF252" s="150"/>
      <c r="CG252" s="150"/>
      <c r="CH252" s="150"/>
      <c r="CI252" s="150"/>
      <c r="CJ252" s="150"/>
      <c r="CK252" s="150"/>
      <c r="CL252" s="150"/>
      <c r="CM252" s="150"/>
      <c r="CN252" s="150"/>
      <c r="CO252" s="150"/>
      <c r="CP252" s="150"/>
      <c r="CQ252" s="150"/>
      <c r="CR252" s="235"/>
      <c r="CS252" s="150"/>
      <c r="CT252" s="150"/>
      <c r="CU252" s="150"/>
      <c r="CV252" s="150"/>
      <c r="CW252" s="150"/>
      <c r="CX252" s="150"/>
      <c r="CY252" s="150"/>
      <c r="CZ252" s="150"/>
      <c r="DA252" s="150"/>
      <c r="DB252" s="150"/>
      <c r="DC252" s="150"/>
      <c r="DD252" s="150"/>
      <c r="DE252" s="150"/>
      <c r="DF252" s="150"/>
      <c r="DG252" s="150"/>
      <c r="DH252" s="150"/>
      <c r="DI252" s="150"/>
      <c r="DJ252" s="150"/>
      <c r="DK252" s="150"/>
      <c r="DL252" s="150"/>
      <c r="DM252" s="235"/>
      <c r="DN252" s="150"/>
      <c r="DO252" s="150"/>
      <c r="DP252" s="150"/>
      <c r="DQ252" s="150"/>
      <c r="DR252" s="150"/>
      <c r="DS252" s="150"/>
      <c r="DT252" s="150"/>
      <c r="DU252" s="150"/>
      <c r="DV252" s="150"/>
      <c r="DW252" s="150"/>
      <c r="DX252" s="150"/>
      <c r="DY252" s="150"/>
      <c r="DZ252" s="150"/>
      <c r="EA252" s="150"/>
      <c r="EB252" s="150"/>
      <c r="EC252" s="150"/>
      <c r="ED252" s="150"/>
      <c r="EE252" s="150"/>
      <c r="EF252" s="150"/>
      <c r="EG252" s="150"/>
    </row>
    <row r="253" spans="1:138" x14ac:dyDescent="0.25">
      <c r="A253" s="1018" t="s">
        <v>0</v>
      </c>
      <c r="B253" s="1020" t="s">
        <v>1</v>
      </c>
      <c r="C253" s="183"/>
      <c r="D253" s="184"/>
      <c r="E253" s="185"/>
      <c r="F253" s="1022" t="s">
        <v>501</v>
      </c>
      <c r="G253" s="1023"/>
      <c r="H253" s="1023"/>
      <c r="I253" s="1023"/>
      <c r="J253" s="1023"/>
      <c r="K253" s="1024"/>
      <c r="L253" s="768" t="s">
        <v>359</v>
      </c>
      <c r="M253" s="186"/>
      <c r="N253" s="186"/>
      <c r="O253" s="186"/>
      <c r="P253" s="186"/>
      <c r="Q253" s="186"/>
      <c r="R253" s="186"/>
      <c r="S253" s="186"/>
      <c r="T253" s="186"/>
      <c r="U253" s="186"/>
      <c r="V253" s="186"/>
      <c r="W253" s="186"/>
      <c r="X253" s="186"/>
      <c r="Y253" s="186"/>
      <c r="Z253" s="186"/>
      <c r="AA253" s="186"/>
      <c r="AB253" s="186"/>
      <c r="AC253" s="186"/>
      <c r="AD253" s="186"/>
      <c r="AE253" s="186"/>
      <c r="AF253" s="187"/>
      <c r="AG253" s="1025" t="s">
        <v>61</v>
      </c>
      <c r="AH253" s="1026"/>
      <c r="AI253" s="1026"/>
      <c r="AJ253" s="1026"/>
      <c r="AK253" s="1026"/>
      <c r="AL253" s="1026"/>
      <c r="AM253" s="1026"/>
      <c r="AN253" s="1026"/>
      <c r="AO253" s="1026"/>
      <c r="AP253" s="1026"/>
      <c r="AQ253" s="1026"/>
      <c r="AR253" s="1026"/>
      <c r="AS253" s="1026"/>
      <c r="AT253" s="1026"/>
      <c r="AU253" s="1026"/>
      <c r="AV253" s="1026"/>
      <c r="AW253" s="1026"/>
      <c r="AX253" s="1026"/>
      <c r="AY253" s="1026"/>
      <c r="AZ253" s="1026"/>
      <c r="BA253" s="1027"/>
      <c r="BB253" s="768" t="s">
        <v>360</v>
      </c>
      <c r="BC253" s="186"/>
      <c r="BD253" s="186"/>
      <c r="BE253" s="186"/>
      <c r="BF253" s="186"/>
      <c r="BG253" s="186"/>
      <c r="BH253" s="186"/>
      <c r="BI253" s="186"/>
      <c r="BJ253" s="186"/>
      <c r="BK253" s="186"/>
      <c r="BL253" s="186"/>
      <c r="BM253" s="186"/>
      <c r="BN253" s="186"/>
      <c r="BO253" s="186"/>
      <c r="BP253" s="186"/>
      <c r="BQ253" s="186"/>
      <c r="BR253" s="186"/>
      <c r="BS253" s="186"/>
      <c r="BT253" s="186"/>
      <c r="BU253" s="186"/>
      <c r="BV253" s="187"/>
      <c r="BW253" s="768" t="s">
        <v>287</v>
      </c>
      <c r="BX253" s="186"/>
      <c r="BY253" s="186"/>
      <c r="BZ253" s="186"/>
      <c r="CA253" s="186"/>
      <c r="CB253" s="186"/>
      <c r="CC253" s="186"/>
      <c r="CD253" s="186"/>
      <c r="CE253" s="186"/>
      <c r="CF253" s="186"/>
      <c r="CG253" s="186"/>
      <c r="CH253" s="186"/>
      <c r="CI253" s="186"/>
      <c r="CJ253" s="186"/>
      <c r="CK253" s="186"/>
      <c r="CL253" s="186"/>
      <c r="CM253" s="186"/>
      <c r="CN253" s="186"/>
      <c r="CO253" s="186"/>
      <c r="CP253" s="186"/>
      <c r="CQ253" s="187"/>
      <c r="CR253" s="768" t="s">
        <v>286</v>
      </c>
      <c r="CS253" s="186"/>
      <c r="CT253" s="186"/>
      <c r="CU253" s="186"/>
      <c r="CV253" s="186"/>
      <c r="CW253" s="186"/>
      <c r="CX253" s="186"/>
      <c r="CY253" s="186"/>
      <c r="CZ253" s="186"/>
      <c r="DA253" s="186"/>
      <c r="DB253" s="186"/>
      <c r="DC253" s="186"/>
      <c r="DD253" s="186"/>
      <c r="DE253" s="186"/>
      <c r="DF253" s="186"/>
      <c r="DG253" s="186"/>
      <c r="DH253" s="186"/>
      <c r="DI253" s="186"/>
      <c r="DJ253" s="186"/>
      <c r="DK253" s="186"/>
      <c r="DL253" s="187"/>
      <c r="DM253" s="768" t="s">
        <v>482</v>
      </c>
      <c r="DN253" s="186"/>
      <c r="DO253" s="186"/>
      <c r="DP253" s="186"/>
      <c r="DQ253" s="186"/>
      <c r="DR253" s="186"/>
      <c r="DS253" s="186"/>
      <c r="DT253" s="186"/>
      <c r="DU253" s="186"/>
      <c r="DV253" s="186"/>
      <c r="DW253" s="186"/>
      <c r="DX253" s="186"/>
      <c r="DY253" s="186"/>
      <c r="DZ253" s="186"/>
      <c r="EA253" s="186"/>
      <c r="EB253" s="186"/>
      <c r="EC253" s="186"/>
      <c r="ED253" s="186"/>
      <c r="EE253" s="186"/>
      <c r="EF253" s="186"/>
      <c r="EG253" s="187"/>
    </row>
    <row r="254" spans="1:138" ht="44.25" customHeight="1" x14ac:dyDescent="0.25">
      <c r="A254" s="1019"/>
      <c r="B254" s="1021"/>
      <c r="C254" s="188"/>
      <c r="D254" s="189"/>
      <c r="E254" s="190"/>
      <c r="F254" s="1028" t="s">
        <v>474</v>
      </c>
      <c r="G254" s="1029"/>
      <c r="H254" s="1030"/>
      <c r="I254" s="1028" t="s">
        <v>475</v>
      </c>
      <c r="J254" s="1029"/>
      <c r="K254" s="1030"/>
      <c r="L254" s="1015" t="s">
        <v>476</v>
      </c>
      <c r="M254" s="1016"/>
      <c r="N254" s="1017"/>
      <c r="O254" s="1015" t="s">
        <v>477</v>
      </c>
      <c r="P254" s="1016"/>
      <c r="Q254" s="1017"/>
      <c r="R254" s="1015" t="s">
        <v>478</v>
      </c>
      <c r="S254" s="1016"/>
      <c r="T254" s="1017"/>
      <c r="U254" s="1015" t="s">
        <v>673</v>
      </c>
      <c r="V254" s="1016"/>
      <c r="W254" s="1017"/>
      <c r="X254" s="1015" t="s">
        <v>674</v>
      </c>
      <c r="Y254" s="1016"/>
      <c r="Z254" s="1017"/>
      <c r="AA254" s="1015" t="s">
        <v>675</v>
      </c>
      <c r="AB254" s="1016"/>
      <c r="AC254" s="1017"/>
      <c r="AD254" s="1015" t="s">
        <v>676</v>
      </c>
      <c r="AE254" s="1016"/>
      <c r="AF254" s="1017"/>
      <c r="AG254" s="1015" t="s">
        <v>476</v>
      </c>
      <c r="AH254" s="1016"/>
      <c r="AI254" s="1017"/>
      <c r="AJ254" s="1015" t="s">
        <v>477</v>
      </c>
      <c r="AK254" s="1016"/>
      <c r="AL254" s="1017"/>
      <c r="AM254" s="1015" t="s">
        <v>478</v>
      </c>
      <c r="AN254" s="1016"/>
      <c r="AO254" s="1017"/>
      <c r="AP254" s="1015" t="s">
        <v>673</v>
      </c>
      <c r="AQ254" s="1016"/>
      <c r="AR254" s="1017"/>
      <c r="AS254" s="1015" t="s">
        <v>674</v>
      </c>
      <c r="AT254" s="1016"/>
      <c r="AU254" s="1017"/>
      <c r="AV254" s="1015" t="s">
        <v>675</v>
      </c>
      <c r="AW254" s="1016"/>
      <c r="AX254" s="1017"/>
      <c r="AY254" s="1015" t="s">
        <v>676</v>
      </c>
      <c r="AZ254" s="1016"/>
      <c r="BA254" s="1017"/>
      <c r="BB254" s="1015" t="s">
        <v>476</v>
      </c>
      <c r="BC254" s="1016"/>
      <c r="BD254" s="1017"/>
      <c r="BE254" s="1015" t="s">
        <v>477</v>
      </c>
      <c r="BF254" s="1016"/>
      <c r="BG254" s="1017"/>
      <c r="BH254" s="1015" t="s">
        <v>478</v>
      </c>
      <c r="BI254" s="1016"/>
      <c r="BJ254" s="1017"/>
      <c r="BK254" s="1015" t="s">
        <v>673</v>
      </c>
      <c r="BL254" s="1016"/>
      <c r="BM254" s="1017"/>
      <c r="BN254" s="1015" t="s">
        <v>674</v>
      </c>
      <c r="BO254" s="1016"/>
      <c r="BP254" s="1017"/>
      <c r="BQ254" s="1015" t="s">
        <v>675</v>
      </c>
      <c r="BR254" s="1016"/>
      <c r="BS254" s="1017"/>
      <c r="BT254" s="1015" t="s">
        <v>676</v>
      </c>
      <c r="BU254" s="1016"/>
      <c r="BV254" s="1017"/>
      <c r="BW254" s="1015" t="s">
        <v>476</v>
      </c>
      <c r="BX254" s="1016"/>
      <c r="BY254" s="1017"/>
      <c r="BZ254" s="1015" t="s">
        <v>477</v>
      </c>
      <c r="CA254" s="1016"/>
      <c r="CB254" s="1017"/>
      <c r="CC254" s="1015" t="s">
        <v>478</v>
      </c>
      <c r="CD254" s="1016"/>
      <c r="CE254" s="1017"/>
      <c r="CF254" s="1015" t="s">
        <v>673</v>
      </c>
      <c r="CG254" s="1016"/>
      <c r="CH254" s="1017"/>
      <c r="CI254" s="1015" t="s">
        <v>674</v>
      </c>
      <c r="CJ254" s="1016"/>
      <c r="CK254" s="1017"/>
      <c r="CL254" s="1015" t="s">
        <v>675</v>
      </c>
      <c r="CM254" s="1016"/>
      <c r="CN254" s="1017"/>
      <c r="CO254" s="1015" t="s">
        <v>676</v>
      </c>
      <c r="CP254" s="1016"/>
      <c r="CQ254" s="1017"/>
      <c r="CR254" s="1015" t="s">
        <v>476</v>
      </c>
      <c r="CS254" s="1016"/>
      <c r="CT254" s="1017"/>
      <c r="CU254" s="1015" t="s">
        <v>477</v>
      </c>
      <c r="CV254" s="1016"/>
      <c r="CW254" s="1017"/>
      <c r="CX254" s="1015" t="s">
        <v>478</v>
      </c>
      <c r="CY254" s="1016"/>
      <c r="CZ254" s="1017"/>
      <c r="DA254" s="1015" t="s">
        <v>673</v>
      </c>
      <c r="DB254" s="1016"/>
      <c r="DC254" s="1017"/>
      <c r="DD254" s="1015" t="s">
        <v>674</v>
      </c>
      <c r="DE254" s="1016"/>
      <c r="DF254" s="1017"/>
      <c r="DG254" s="1015" t="s">
        <v>675</v>
      </c>
      <c r="DH254" s="1016"/>
      <c r="DI254" s="1017"/>
      <c r="DJ254" s="1015" t="s">
        <v>676</v>
      </c>
      <c r="DK254" s="1016"/>
      <c r="DL254" s="1017"/>
      <c r="DM254" s="1015" t="s">
        <v>476</v>
      </c>
      <c r="DN254" s="1016"/>
      <c r="DO254" s="1017"/>
      <c r="DP254" s="1015" t="s">
        <v>477</v>
      </c>
      <c r="DQ254" s="1016"/>
      <c r="DR254" s="1017"/>
      <c r="DS254" s="1015" t="s">
        <v>478</v>
      </c>
      <c r="DT254" s="1016"/>
      <c r="DU254" s="1017"/>
      <c r="DV254" s="1015" t="s">
        <v>673</v>
      </c>
      <c r="DW254" s="1016"/>
      <c r="DX254" s="1017"/>
      <c r="DY254" s="1015" t="s">
        <v>674</v>
      </c>
      <c r="DZ254" s="1016"/>
      <c r="EA254" s="1017"/>
      <c r="EB254" s="1015" t="s">
        <v>675</v>
      </c>
      <c r="EC254" s="1016"/>
      <c r="ED254" s="1017"/>
      <c r="EE254" s="1015" t="s">
        <v>676</v>
      </c>
      <c r="EF254" s="1016"/>
      <c r="EG254" s="1017"/>
    </row>
    <row r="255" spans="1:138" x14ac:dyDescent="0.25">
      <c r="A255" s="182"/>
      <c r="B255" s="316"/>
      <c r="C255" s="262"/>
      <c r="D255" s="766"/>
      <c r="E255" s="765"/>
      <c r="F255" s="182">
        <v>2024</v>
      </c>
      <c r="G255" s="182">
        <v>2025</v>
      </c>
      <c r="H255" s="182">
        <v>2026</v>
      </c>
      <c r="I255" s="182">
        <v>2024</v>
      </c>
      <c r="J255" s="182">
        <v>2025</v>
      </c>
      <c r="K255" s="182">
        <v>2026</v>
      </c>
      <c r="L255" s="182">
        <v>2024</v>
      </c>
      <c r="M255" s="182">
        <v>2025</v>
      </c>
      <c r="N255" s="182">
        <v>2026</v>
      </c>
      <c r="O255" s="182">
        <v>2024</v>
      </c>
      <c r="P255" s="182">
        <v>2025</v>
      </c>
      <c r="Q255" s="182">
        <v>2026</v>
      </c>
      <c r="R255" s="182">
        <v>2024</v>
      </c>
      <c r="S255" s="182">
        <v>2025</v>
      </c>
      <c r="T255" s="182">
        <v>2026</v>
      </c>
      <c r="U255" s="182">
        <v>2024</v>
      </c>
      <c r="V255" s="182">
        <v>2025</v>
      </c>
      <c r="W255" s="182">
        <v>2026</v>
      </c>
      <c r="X255" s="182">
        <v>2024</v>
      </c>
      <c r="Y255" s="182">
        <v>2025</v>
      </c>
      <c r="Z255" s="182">
        <v>2026</v>
      </c>
      <c r="AA255" s="182">
        <v>2024</v>
      </c>
      <c r="AB255" s="182">
        <v>2025</v>
      </c>
      <c r="AC255" s="182">
        <v>2026</v>
      </c>
      <c r="AD255" s="182">
        <v>2024</v>
      </c>
      <c r="AE255" s="182">
        <v>2025</v>
      </c>
      <c r="AF255" s="182">
        <v>2026</v>
      </c>
      <c r="AG255" s="182">
        <v>2024</v>
      </c>
      <c r="AH255" s="182">
        <v>2025</v>
      </c>
      <c r="AI255" s="182">
        <v>2026</v>
      </c>
      <c r="AJ255" s="182">
        <v>2024</v>
      </c>
      <c r="AK255" s="182">
        <v>2025</v>
      </c>
      <c r="AL255" s="182">
        <v>2026</v>
      </c>
      <c r="AM255" s="182">
        <v>2024</v>
      </c>
      <c r="AN255" s="182">
        <v>2025</v>
      </c>
      <c r="AO255" s="182">
        <v>2026</v>
      </c>
      <c r="AP255" s="182">
        <v>2024</v>
      </c>
      <c r="AQ255" s="182">
        <v>2025</v>
      </c>
      <c r="AR255" s="182">
        <v>2026</v>
      </c>
      <c r="AS255" s="182">
        <v>2024</v>
      </c>
      <c r="AT255" s="182">
        <v>2025</v>
      </c>
      <c r="AU255" s="182">
        <v>2026</v>
      </c>
      <c r="AV255" s="182">
        <v>2024</v>
      </c>
      <c r="AW255" s="182">
        <v>2025</v>
      </c>
      <c r="AX255" s="182">
        <v>2026</v>
      </c>
      <c r="AY255" s="182">
        <v>2024</v>
      </c>
      <c r="AZ255" s="182">
        <v>2025</v>
      </c>
      <c r="BA255" s="182">
        <v>2026</v>
      </c>
      <c r="BB255" s="182">
        <v>2024</v>
      </c>
      <c r="BC255" s="182">
        <v>2025</v>
      </c>
      <c r="BD255" s="182">
        <v>2026</v>
      </c>
      <c r="BE255" s="182">
        <v>2024</v>
      </c>
      <c r="BF255" s="182">
        <v>2025</v>
      </c>
      <c r="BG255" s="182">
        <v>2026</v>
      </c>
      <c r="BH255" s="182">
        <v>2024</v>
      </c>
      <c r="BI255" s="182">
        <v>2025</v>
      </c>
      <c r="BJ255" s="182">
        <v>2026</v>
      </c>
      <c r="BK255" s="182">
        <v>2024</v>
      </c>
      <c r="BL255" s="182">
        <v>2025</v>
      </c>
      <c r="BM255" s="182">
        <v>2026</v>
      </c>
      <c r="BN255" s="182">
        <v>2024</v>
      </c>
      <c r="BO255" s="182">
        <v>2025</v>
      </c>
      <c r="BP255" s="182">
        <v>2026</v>
      </c>
      <c r="BQ255" s="182">
        <v>2024</v>
      </c>
      <c r="BR255" s="182">
        <v>2025</v>
      </c>
      <c r="BS255" s="182">
        <v>2026</v>
      </c>
      <c r="BT255" s="182">
        <v>2024</v>
      </c>
      <c r="BU255" s="182">
        <v>2025</v>
      </c>
      <c r="BV255" s="182">
        <v>2026</v>
      </c>
      <c r="BW255" s="182">
        <v>2024</v>
      </c>
      <c r="BX255" s="182">
        <v>2025</v>
      </c>
      <c r="BY255" s="182">
        <v>2026</v>
      </c>
      <c r="BZ255" s="182">
        <v>2024</v>
      </c>
      <c r="CA255" s="182">
        <v>2025</v>
      </c>
      <c r="CB255" s="182">
        <v>2026</v>
      </c>
      <c r="CC255" s="182">
        <v>2024</v>
      </c>
      <c r="CD255" s="182">
        <v>2025</v>
      </c>
      <c r="CE255" s="182">
        <v>2026</v>
      </c>
      <c r="CF255" s="182">
        <v>2024</v>
      </c>
      <c r="CG255" s="182">
        <v>2025</v>
      </c>
      <c r="CH255" s="182">
        <v>2026</v>
      </c>
      <c r="CI255" s="182">
        <v>2024</v>
      </c>
      <c r="CJ255" s="182">
        <v>2025</v>
      </c>
      <c r="CK255" s="182">
        <v>2026</v>
      </c>
      <c r="CL255" s="182">
        <v>2024</v>
      </c>
      <c r="CM255" s="182">
        <v>2025</v>
      </c>
      <c r="CN255" s="182">
        <v>2026</v>
      </c>
      <c r="CO255" s="182">
        <v>2024</v>
      </c>
      <c r="CP255" s="182">
        <v>2025</v>
      </c>
      <c r="CQ255" s="182">
        <v>2026</v>
      </c>
      <c r="CR255" s="182">
        <v>2024</v>
      </c>
      <c r="CS255" s="182">
        <v>2025</v>
      </c>
      <c r="CT255" s="182">
        <v>2026</v>
      </c>
      <c r="CU255" s="182">
        <v>2024</v>
      </c>
      <c r="CV255" s="182">
        <v>2025</v>
      </c>
      <c r="CW255" s="182">
        <v>2026</v>
      </c>
      <c r="CX255" s="182">
        <v>2024</v>
      </c>
      <c r="CY255" s="182">
        <v>2025</v>
      </c>
      <c r="CZ255" s="182">
        <v>2026</v>
      </c>
      <c r="DA255" s="182">
        <v>2024</v>
      </c>
      <c r="DB255" s="182">
        <v>2025</v>
      </c>
      <c r="DC255" s="182">
        <v>2026</v>
      </c>
      <c r="DD255" s="182">
        <v>2024</v>
      </c>
      <c r="DE255" s="182">
        <v>2025</v>
      </c>
      <c r="DF255" s="182">
        <v>2026</v>
      </c>
      <c r="DG255" s="182">
        <v>2024</v>
      </c>
      <c r="DH255" s="182">
        <v>2025</v>
      </c>
      <c r="DI255" s="182">
        <v>2026</v>
      </c>
      <c r="DJ255" s="182">
        <v>2024</v>
      </c>
      <c r="DK255" s="182">
        <v>2025</v>
      </c>
      <c r="DL255" s="182">
        <v>2026</v>
      </c>
      <c r="DM255" s="182">
        <v>2024</v>
      </c>
      <c r="DN255" s="182">
        <v>2025</v>
      </c>
      <c r="DO255" s="182">
        <v>2026</v>
      </c>
      <c r="DP255" s="182">
        <v>2024</v>
      </c>
      <c r="DQ255" s="182">
        <v>2025</v>
      </c>
      <c r="DR255" s="182">
        <v>2026</v>
      </c>
      <c r="DS255" s="182">
        <v>2024</v>
      </c>
      <c r="DT255" s="182">
        <v>2025</v>
      </c>
      <c r="DU255" s="182">
        <v>2026</v>
      </c>
      <c r="DV255" s="182">
        <v>2024</v>
      </c>
      <c r="DW255" s="182">
        <v>2025</v>
      </c>
      <c r="DX255" s="182">
        <v>2026</v>
      </c>
      <c r="DY255" s="182">
        <v>2024</v>
      </c>
      <c r="DZ255" s="182">
        <v>2025</v>
      </c>
      <c r="EA255" s="182">
        <v>2026</v>
      </c>
      <c r="EB255" s="182">
        <v>2024</v>
      </c>
      <c r="EC255" s="182">
        <v>2025</v>
      </c>
      <c r="ED255" s="182">
        <v>2026</v>
      </c>
      <c r="EE255" s="182">
        <v>2024</v>
      </c>
      <c r="EF255" s="182">
        <v>2025</v>
      </c>
      <c r="EG255" s="182">
        <v>2026</v>
      </c>
    </row>
    <row r="256" spans="1:138" x14ac:dyDescent="0.25">
      <c r="A256" s="3"/>
      <c r="B256" s="312"/>
      <c r="C256" s="3"/>
      <c r="D256" s="767"/>
      <c r="E256" s="191"/>
      <c r="F256" s="192"/>
      <c r="G256" s="191"/>
      <c r="H256" s="193"/>
      <c r="I256" s="191"/>
      <c r="J256" s="191"/>
      <c r="K256" s="191"/>
      <c r="L256" s="192"/>
      <c r="M256" s="191"/>
      <c r="N256" s="191"/>
      <c r="O256" s="192"/>
      <c r="P256" s="191"/>
      <c r="Q256" s="191"/>
      <c r="R256" s="191"/>
      <c r="S256" s="191"/>
      <c r="T256" s="191"/>
      <c r="U256" s="192"/>
      <c r="V256" s="191"/>
      <c r="W256" s="191"/>
      <c r="X256" s="191"/>
      <c r="Y256" s="191"/>
      <c r="Z256" s="191"/>
      <c r="AA256" s="192"/>
      <c r="AB256" s="191"/>
      <c r="AC256" s="191"/>
      <c r="AD256" s="191"/>
      <c r="AE256" s="191"/>
      <c r="AF256" s="191"/>
      <c r="AG256" s="192"/>
      <c r="AH256" s="191"/>
      <c r="AI256" s="191"/>
      <c r="AJ256" s="192"/>
      <c r="AK256" s="191"/>
      <c r="AL256" s="191"/>
      <c r="AM256" s="191"/>
      <c r="AN256" s="191"/>
      <c r="AO256" s="191"/>
      <c r="AP256" s="192"/>
      <c r="AQ256" s="191"/>
      <c r="AR256" s="191"/>
      <c r="AS256" s="191"/>
      <c r="AT256" s="191"/>
      <c r="AU256" s="191"/>
      <c r="AV256" s="192"/>
      <c r="AW256" s="191"/>
      <c r="AX256" s="191"/>
      <c r="AY256" s="191"/>
      <c r="AZ256" s="191"/>
      <c r="BA256" s="191"/>
      <c r="BB256" s="192"/>
      <c r="BC256" s="191"/>
      <c r="BD256" s="191"/>
      <c r="BE256" s="192"/>
      <c r="BF256" s="191"/>
      <c r="BG256" s="191"/>
      <c r="BH256" s="191"/>
      <c r="BI256" s="191"/>
      <c r="BJ256" s="191"/>
      <c r="BK256" s="192"/>
      <c r="BL256" s="191"/>
      <c r="BM256" s="191"/>
      <c r="BN256" s="191"/>
      <c r="BO256" s="191"/>
      <c r="BP256" s="191"/>
      <c r="BQ256" s="192"/>
      <c r="BR256" s="191"/>
      <c r="BS256" s="191"/>
      <c r="BT256" s="191"/>
      <c r="BU256" s="191"/>
      <c r="BV256" s="191"/>
      <c r="BW256" s="192"/>
      <c r="BX256" s="191"/>
      <c r="BY256" s="191"/>
      <c r="BZ256" s="192"/>
      <c r="CA256" s="191"/>
      <c r="CB256" s="191"/>
      <c r="CC256" s="191"/>
      <c r="CD256" s="191"/>
      <c r="CE256" s="191"/>
      <c r="CF256" s="192"/>
      <c r="CG256" s="191"/>
      <c r="CH256" s="191"/>
      <c r="CI256" s="191"/>
      <c r="CJ256" s="191"/>
      <c r="CK256" s="191"/>
      <c r="CL256" s="192"/>
      <c r="CM256" s="191"/>
      <c r="CN256" s="191"/>
      <c r="CO256" s="191"/>
      <c r="CP256" s="191"/>
      <c r="CQ256" s="191"/>
      <c r="CR256" s="192"/>
      <c r="CS256" s="191"/>
      <c r="CT256" s="191"/>
      <c r="CU256" s="192"/>
      <c r="CV256" s="191"/>
      <c r="CW256" s="191"/>
      <c r="CX256" s="191"/>
      <c r="CY256" s="191"/>
      <c r="CZ256" s="191"/>
      <c r="DA256" s="192"/>
      <c r="DB256" s="191"/>
      <c r="DC256" s="191"/>
      <c r="DD256" s="191"/>
      <c r="DE256" s="191"/>
      <c r="DF256" s="191"/>
      <c r="DG256" s="192"/>
      <c r="DH256" s="191"/>
      <c r="DI256" s="191"/>
      <c r="DJ256" s="191"/>
      <c r="DK256" s="191"/>
      <c r="DL256" s="191"/>
      <c r="DM256" s="192"/>
      <c r="DN256" s="191"/>
      <c r="DO256" s="191"/>
      <c r="DP256" s="192"/>
      <c r="DQ256" s="191"/>
      <c r="DR256" s="191"/>
      <c r="DS256" s="191"/>
      <c r="DT256" s="191"/>
      <c r="DU256" s="191"/>
      <c r="DV256" s="192"/>
      <c r="DW256" s="191"/>
      <c r="DX256" s="191"/>
      <c r="DY256" s="191"/>
      <c r="DZ256" s="191"/>
      <c r="EA256" s="191"/>
      <c r="EB256" s="192"/>
      <c r="EC256" s="191"/>
      <c r="ED256" s="191"/>
      <c r="EE256" s="191"/>
      <c r="EF256" s="191"/>
      <c r="EG256" s="191"/>
    </row>
    <row r="257" spans="1:137" ht="25.5" x14ac:dyDescent="0.25">
      <c r="A257" s="194" t="s">
        <v>473</v>
      </c>
      <c r="B257" s="317"/>
      <c r="C257" s="195"/>
      <c r="D257" s="195"/>
      <c r="E257" s="195"/>
      <c r="F257" s="195"/>
      <c r="G257" s="195"/>
      <c r="H257" s="195"/>
      <c r="I257" s="195"/>
      <c r="J257" s="195"/>
      <c r="K257" s="195"/>
      <c r="L257" s="195"/>
      <c r="M257" s="195"/>
      <c r="N257" s="195"/>
      <c r="O257" s="195"/>
      <c r="P257" s="195"/>
      <c r="Q257" s="195"/>
      <c r="R257" s="195"/>
      <c r="S257" s="195"/>
      <c r="T257" s="195"/>
      <c r="U257" s="195"/>
      <c r="V257" s="195"/>
      <c r="W257" s="195"/>
      <c r="X257" s="195"/>
      <c r="Y257" s="195"/>
      <c r="Z257" s="195"/>
      <c r="AA257" s="195"/>
      <c r="AB257" s="195"/>
      <c r="AC257" s="195"/>
      <c r="AD257" s="195"/>
      <c r="AE257" s="195"/>
      <c r="AF257" s="195"/>
      <c r="AG257" s="195"/>
      <c r="AH257" s="195"/>
      <c r="AI257" s="195"/>
      <c r="AJ257" s="195"/>
      <c r="AK257" s="195"/>
      <c r="AL257" s="195"/>
      <c r="AM257" s="195"/>
      <c r="AN257" s="195"/>
      <c r="AO257" s="195"/>
      <c r="AP257" s="195"/>
      <c r="AQ257" s="195"/>
      <c r="AR257" s="195"/>
      <c r="AS257" s="195"/>
      <c r="AT257" s="195"/>
      <c r="AU257" s="195"/>
      <c r="AV257" s="195"/>
      <c r="AW257" s="195"/>
      <c r="AX257" s="195"/>
      <c r="AY257" s="195"/>
      <c r="AZ257" s="195"/>
      <c r="BA257" s="195"/>
      <c r="BB257" s="195"/>
      <c r="BC257" s="195"/>
      <c r="BD257" s="195"/>
      <c r="BE257" s="195"/>
      <c r="BF257" s="195"/>
      <c r="BG257" s="195"/>
      <c r="BH257" s="195"/>
      <c r="BI257" s="195"/>
      <c r="BJ257" s="195"/>
      <c r="BK257" s="195"/>
      <c r="BL257" s="195"/>
      <c r="BM257" s="195"/>
      <c r="BN257" s="195"/>
      <c r="BO257" s="195"/>
      <c r="BP257" s="195"/>
      <c r="BQ257" s="195"/>
      <c r="BR257" s="195"/>
      <c r="BS257" s="195"/>
      <c r="BT257" s="195"/>
      <c r="BU257" s="195"/>
      <c r="BV257" s="195"/>
      <c r="BW257" s="195"/>
      <c r="BX257" s="195"/>
      <c r="BY257" s="195"/>
      <c r="BZ257" s="195"/>
      <c r="CA257" s="195"/>
      <c r="CB257" s="195"/>
      <c r="CC257" s="195"/>
      <c r="CD257" s="195"/>
      <c r="CE257" s="195"/>
      <c r="CF257" s="195"/>
      <c r="CG257" s="195"/>
      <c r="CH257" s="195"/>
      <c r="CI257" s="195"/>
      <c r="CJ257" s="195"/>
      <c r="CK257" s="195"/>
      <c r="CL257" s="195"/>
      <c r="CM257" s="195"/>
      <c r="CN257" s="195"/>
      <c r="CO257" s="195"/>
      <c r="CP257" s="195"/>
      <c r="CQ257" s="195"/>
      <c r="CR257" s="195"/>
      <c r="CS257" s="195"/>
      <c r="CT257" s="195"/>
      <c r="CU257" s="195"/>
      <c r="CV257" s="195"/>
      <c r="CW257" s="195"/>
      <c r="CX257" s="195"/>
      <c r="CY257" s="195"/>
      <c r="CZ257" s="195"/>
      <c r="DA257" s="195"/>
      <c r="DB257" s="195"/>
      <c r="DC257" s="195"/>
      <c r="DD257" s="195"/>
      <c r="DE257" s="195"/>
      <c r="DF257" s="195"/>
      <c r="DG257" s="195"/>
      <c r="DH257" s="195"/>
      <c r="DI257" s="195"/>
      <c r="DJ257" s="195"/>
      <c r="DK257" s="195"/>
      <c r="DL257" s="195"/>
      <c r="DM257" s="195"/>
      <c r="DN257" s="195"/>
      <c r="DO257" s="195"/>
      <c r="DP257" s="195"/>
      <c r="DQ257" s="195"/>
      <c r="DR257" s="195"/>
      <c r="DS257" s="195"/>
      <c r="DT257" s="195"/>
      <c r="DU257" s="195"/>
      <c r="DV257" s="195"/>
      <c r="DW257" s="195"/>
      <c r="DX257" s="195"/>
      <c r="DY257" s="195"/>
      <c r="DZ257" s="195"/>
      <c r="EA257" s="195"/>
      <c r="EB257" s="195"/>
      <c r="EC257" s="195"/>
      <c r="ED257" s="195"/>
      <c r="EE257" s="195"/>
      <c r="EF257" s="195"/>
      <c r="EG257" s="195"/>
    </row>
    <row r="258" spans="1:137" x14ac:dyDescent="0.25">
      <c r="A258" s="196" t="s">
        <v>479</v>
      </c>
      <c r="B258" s="59"/>
      <c r="C258" s="16" t="s">
        <v>483</v>
      </c>
      <c r="D258" s="196"/>
      <c r="E258" s="197"/>
      <c r="F258" s="198" t="s">
        <v>471</v>
      </c>
      <c r="G258" s="198" t="s">
        <v>471</v>
      </c>
      <c r="H258" s="198" t="s">
        <v>471</v>
      </c>
      <c r="I258" s="198" t="s">
        <v>471</v>
      </c>
      <c r="J258" s="198" t="s">
        <v>471</v>
      </c>
      <c r="K258" s="198" t="s">
        <v>471</v>
      </c>
      <c r="L258" s="98">
        <f t="shared" ref="L258:T258" si="386">SUM(L259:L267)</f>
        <v>270828</v>
      </c>
      <c r="M258" s="98">
        <f t="shared" si="386"/>
        <v>270828</v>
      </c>
      <c r="N258" s="98">
        <f t="shared" si="386"/>
        <v>270828</v>
      </c>
      <c r="O258" s="98">
        <f t="shared" si="386"/>
        <v>0</v>
      </c>
      <c r="P258" s="98">
        <f t="shared" si="386"/>
        <v>0</v>
      </c>
      <c r="Q258" s="98">
        <f t="shared" si="386"/>
        <v>0</v>
      </c>
      <c r="R258" s="98">
        <f t="shared" si="386"/>
        <v>36615699.359999999</v>
      </c>
      <c r="S258" s="98">
        <f t="shared" si="386"/>
        <v>38601837.359999999</v>
      </c>
      <c r="T258" s="98">
        <f t="shared" si="386"/>
        <v>40628665.799999997</v>
      </c>
      <c r="U258" s="198" t="s">
        <v>471</v>
      </c>
      <c r="V258" s="198" t="s">
        <v>471</v>
      </c>
      <c r="W258" s="198" t="s">
        <v>471</v>
      </c>
      <c r="X258" s="198" t="s">
        <v>471</v>
      </c>
      <c r="Y258" s="198" t="s">
        <v>471</v>
      </c>
      <c r="Z258" s="198" t="s">
        <v>471</v>
      </c>
      <c r="AA258" s="98">
        <f t="shared" ref="AA258:AO258" si="387">SUM(AA259:AA267)</f>
        <v>0</v>
      </c>
      <c r="AB258" s="98">
        <f t="shared" si="387"/>
        <v>0</v>
      </c>
      <c r="AC258" s="98">
        <f t="shared" si="387"/>
        <v>0</v>
      </c>
      <c r="AD258" s="98">
        <f t="shared" si="387"/>
        <v>38104470.859999999</v>
      </c>
      <c r="AE258" s="98">
        <f t="shared" si="387"/>
        <v>39753762.310000002</v>
      </c>
      <c r="AF258" s="98">
        <f t="shared" si="387"/>
        <v>41562651.340000004</v>
      </c>
      <c r="AG258" s="98">
        <f t="shared" si="387"/>
        <v>239536</v>
      </c>
      <c r="AH258" s="98">
        <f t="shared" si="387"/>
        <v>239536</v>
      </c>
      <c r="AI258" s="98">
        <f t="shared" si="387"/>
        <v>239536</v>
      </c>
      <c r="AJ258" s="98">
        <f t="shared" si="387"/>
        <v>0</v>
      </c>
      <c r="AK258" s="98">
        <f t="shared" si="387"/>
        <v>0</v>
      </c>
      <c r="AL258" s="98">
        <f t="shared" si="387"/>
        <v>0</v>
      </c>
      <c r="AM258" s="98">
        <f t="shared" si="387"/>
        <v>30582256.800000001</v>
      </c>
      <c r="AN258" s="98">
        <f t="shared" si="387"/>
        <v>32266675.600000001</v>
      </c>
      <c r="AO258" s="98">
        <f t="shared" si="387"/>
        <v>33983752.960000001</v>
      </c>
      <c r="AP258" s="198" t="s">
        <v>471</v>
      </c>
      <c r="AQ258" s="198" t="s">
        <v>471</v>
      </c>
      <c r="AR258" s="198" t="s">
        <v>471</v>
      </c>
      <c r="AS258" s="198" t="s">
        <v>471</v>
      </c>
      <c r="AT258" s="198" t="s">
        <v>471</v>
      </c>
      <c r="AU258" s="198" t="s">
        <v>471</v>
      </c>
      <c r="AV258" s="98">
        <f t="shared" ref="AV258:BJ258" si="388">SUM(AV259:AV267)</f>
        <v>0</v>
      </c>
      <c r="AW258" s="98">
        <f t="shared" si="388"/>
        <v>0</v>
      </c>
      <c r="AX258" s="98">
        <f t="shared" si="388"/>
        <v>0</v>
      </c>
      <c r="AY258" s="98">
        <f t="shared" si="388"/>
        <v>37033968.299999997</v>
      </c>
      <c r="AZ258" s="98">
        <f t="shared" si="388"/>
        <v>38633064.939999998</v>
      </c>
      <c r="BA258" s="98">
        <f t="shared" si="388"/>
        <v>40198007.509999998</v>
      </c>
      <c r="BB258" s="98">
        <f t="shared" si="388"/>
        <v>171180</v>
      </c>
      <c r="BC258" s="98">
        <f t="shared" si="388"/>
        <v>171180</v>
      </c>
      <c r="BD258" s="98">
        <f t="shared" si="388"/>
        <v>171180</v>
      </c>
      <c r="BE258" s="98">
        <f t="shared" si="388"/>
        <v>0</v>
      </c>
      <c r="BF258" s="98">
        <f t="shared" si="388"/>
        <v>0</v>
      </c>
      <c r="BG258" s="98">
        <f t="shared" si="388"/>
        <v>0</v>
      </c>
      <c r="BH258" s="98">
        <f t="shared" si="388"/>
        <v>21369125.52</v>
      </c>
      <c r="BI258" s="98">
        <f t="shared" si="388"/>
        <v>22553816.039999999</v>
      </c>
      <c r="BJ258" s="98">
        <f t="shared" si="388"/>
        <v>23759874.359999999</v>
      </c>
      <c r="BK258" s="198" t="s">
        <v>471</v>
      </c>
      <c r="BL258" s="198" t="s">
        <v>471</v>
      </c>
      <c r="BM258" s="198" t="s">
        <v>471</v>
      </c>
      <c r="BN258" s="198" t="s">
        <v>471</v>
      </c>
      <c r="BO258" s="198" t="s">
        <v>471</v>
      </c>
      <c r="BP258" s="198" t="s">
        <v>471</v>
      </c>
      <c r="BQ258" s="98">
        <f t="shared" ref="BQ258:CE258" si="389">SUM(BQ259:BQ267)</f>
        <v>0</v>
      </c>
      <c r="BR258" s="98">
        <f t="shared" si="389"/>
        <v>0</v>
      </c>
      <c r="BS258" s="98">
        <f t="shared" si="389"/>
        <v>0</v>
      </c>
      <c r="BT258" s="98">
        <f t="shared" si="389"/>
        <v>32352096.559999999</v>
      </c>
      <c r="BU258" s="98">
        <f t="shared" si="389"/>
        <v>32723020.829999998</v>
      </c>
      <c r="BV258" s="98">
        <f t="shared" si="389"/>
        <v>33857500.909999996</v>
      </c>
      <c r="BW258" s="98">
        <f t="shared" si="389"/>
        <v>125856</v>
      </c>
      <c r="BX258" s="98">
        <f t="shared" si="389"/>
        <v>125856</v>
      </c>
      <c r="BY258" s="98">
        <f t="shared" si="389"/>
        <v>125856</v>
      </c>
      <c r="BZ258" s="98">
        <f t="shared" si="389"/>
        <v>0</v>
      </c>
      <c r="CA258" s="98">
        <f t="shared" si="389"/>
        <v>0</v>
      </c>
      <c r="CB258" s="98">
        <f t="shared" si="389"/>
        <v>0</v>
      </c>
      <c r="CC258" s="98">
        <f t="shared" si="389"/>
        <v>11460447.359999999</v>
      </c>
      <c r="CD258" s="98">
        <f t="shared" si="389"/>
        <v>12161465.279999999</v>
      </c>
      <c r="CE258" s="98">
        <f t="shared" si="389"/>
        <v>12871293.119999999</v>
      </c>
      <c r="CF258" s="198" t="s">
        <v>471</v>
      </c>
      <c r="CG258" s="198" t="s">
        <v>471</v>
      </c>
      <c r="CH258" s="198" t="s">
        <v>471</v>
      </c>
      <c r="CI258" s="198" t="s">
        <v>471</v>
      </c>
      <c r="CJ258" s="198" t="s">
        <v>471</v>
      </c>
      <c r="CK258" s="198" t="s">
        <v>471</v>
      </c>
      <c r="CL258" s="98">
        <f t="shared" ref="CL258:CZ258" si="390">SUM(CL259:CL267)</f>
        <v>0</v>
      </c>
      <c r="CM258" s="98">
        <f t="shared" si="390"/>
        <v>0</v>
      </c>
      <c r="CN258" s="98">
        <f t="shared" si="390"/>
        <v>0</v>
      </c>
      <c r="CO258" s="98">
        <f t="shared" si="390"/>
        <v>10905388.66</v>
      </c>
      <c r="CP258" s="98">
        <f t="shared" si="390"/>
        <v>11110558.99</v>
      </c>
      <c r="CQ258" s="98">
        <f t="shared" si="390"/>
        <v>11589830.050000001</v>
      </c>
      <c r="CR258" s="98">
        <f t="shared" si="390"/>
        <v>84888</v>
      </c>
      <c r="CS258" s="98">
        <f t="shared" si="390"/>
        <v>84888</v>
      </c>
      <c r="CT258" s="98">
        <f t="shared" si="390"/>
        <v>84888</v>
      </c>
      <c r="CU258" s="98">
        <f t="shared" si="390"/>
        <v>0</v>
      </c>
      <c r="CV258" s="98">
        <f t="shared" si="390"/>
        <v>0</v>
      </c>
      <c r="CW258" s="98">
        <f t="shared" si="390"/>
        <v>0</v>
      </c>
      <c r="CX258" s="98">
        <f t="shared" si="390"/>
        <v>13765438.08</v>
      </c>
      <c r="CY258" s="98">
        <f t="shared" si="390"/>
        <v>14480195.039999999</v>
      </c>
      <c r="CZ258" s="98">
        <f t="shared" si="390"/>
        <v>15211080.720000001</v>
      </c>
      <c r="DA258" s="198" t="s">
        <v>471</v>
      </c>
      <c r="DB258" s="198" t="s">
        <v>471</v>
      </c>
      <c r="DC258" s="198" t="s">
        <v>471</v>
      </c>
      <c r="DD258" s="198" t="s">
        <v>471</v>
      </c>
      <c r="DE258" s="198" t="s">
        <v>471</v>
      </c>
      <c r="DF258" s="198" t="s">
        <v>471</v>
      </c>
      <c r="DG258" s="98">
        <f t="shared" ref="DG258:DU258" si="391">SUM(DG259:DG267)</f>
        <v>0</v>
      </c>
      <c r="DH258" s="98">
        <f t="shared" si="391"/>
        <v>0</v>
      </c>
      <c r="DI258" s="98">
        <f t="shared" si="391"/>
        <v>0</v>
      </c>
      <c r="DJ258" s="98">
        <f t="shared" si="391"/>
        <v>6373749.4699999997</v>
      </c>
      <c r="DK258" s="98">
        <f t="shared" si="391"/>
        <v>6481986.9800000004</v>
      </c>
      <c r="DL258" s="98">
        <f t="shared" si="391"/>
        <v>6762996.7599999998</v>
      </c>
      <c r="DM258" s="98">
        <f t="shared" si="391"/>
        <v>892288</v>
      </c>
      <c r="DN258" s="98">
        <f t="shared" si="391"/>
        <v>892288</v>
      </c>
      <c r="DO258" s="98">
        <f t="shared" si="391"/>
        <v>892288</v>
      </c>
      <c r="DP258" s="98">
        <f t="shared" si="391"/>
        <v>0</v>
      </c>
      <c r="DQ258" s="98">
        <f t="shared" si="391"/>
        <v>0</v>
      </c>
      <c r="DR258" s="98">
        <f t="shared" si="391"/>
        <v>0</v>
      </c>
      <c r="DS258" s="98">
        <f t="shared" si="391"/>
        <v>113792967.12</v>
      </c>
      <c r="DT258" s="98">
        <f t="shared" si="391"/>
        <v>120063989.31999999</v>
      </c>
      <c r="DU258" s="98">
        <f t="shared" si="391"/>
        <v>126454666.95999999</v>
      </c>
      <c r="DV258" s="198" t="s">
        <v>471</v>
      </c>
      <c r="DW258" s="198" t="s">
        <v>471</v>
      </c>
      <c r="DX258" s="198" t="s">
        <v>471</v>
      </c>
      <c r="DY258" s="198" t="s">
        <v>471</v>
      </c>
      <c r="DZ258" s="198" t="s">
        <v>471</v>
      </c>
      <c r="EA258" s="198" t="s">
        <v>471</v>
      </c>
      <c r="EB258" s="98">
        <f t="shared" ref="EB258:EG258" si="392">SUM(EB259:EB267)</f>
        <v>0</v>
      </c>
      <c r="EC258" s="98">
        <f t="shared" si="392"/>
        <v>0</v>
      </c>
      <c r="ED258" s="98">
        <f t="shared" si="392"/>
        <v>0</v>
      </c>
      <c r="EE258" s="98">
        <f t="shared" si="392"/>
        <v>126197703.17</v>
      </c>
      <c r="EF258" s="98">
        <f t="shared" si="392"/>
        <v>130335721.5</v>
      </c>
      <c r="EG258" s="98">
        <f t="shared" si="392"/>
        <v>135715828.03</v>
      </c>
    </row>
    <row r="259" spans="1:137" x14ac:dyDescent="0.25">
      <c r="A259" s="12" t="s">
        <v>52</v>
      </c>
      <c r="B259" s="315" t="s">
        <v>822</v>
      </c>
      <c r="C259" s="5"/>
      <c r="D259" s="199"/>
      <c r="E259" s="200"/>
      <c r="F259" s="71"/>
      <c r="G259" s="71"/>
      <c r="H259" s="71"/>
      <c r="I259" s="76">
        <f t="shared" ref="I259:K267" si="393">I228</f>
        <v>119.77</v>
      </c>
      <c r="J259" s="76">
        <f t="shared" si="393"/>
        <v>126.49</v>
      </c>
      <c r="K259" s="76">
        <f t="shared" si="393"/>
        <v>133.32</v>
      </c>
      <c r="L259" s="156">
        <f>'1.4. часы и места для МЗ и СЗ'!Q20</f>
        <v>4464</v>
      </c>
      <c r="M259" s="156">
        <f>L259</f>
        <v>4464</v>
      </c>
      <c r="N259" s="156">
        <f>L259</f>
        <v>4464</v>
      </c>
      <c r="O259" s="76">
        <f t="shared" ref="O259:O267" si="394">$F259*L259</f>
        <v>0</v>
      </c>
      <c r="P259" s="76">
        <f t="shared" ref="P259:P267" si="395">$G259*M259</f>
        <v>0</v>
      </c>
      <c r="Q259" s="76">
        <f t="shared" ref="Q259:Q267" si="396">$H259*N259</f>
        <v>0</v>
      </c>
      <c r="R259" s="76">
        <f t="shared" ref="R259:R267" si="397">$I259*L259</f>
        <v>534653.28</v>
      </c>
      <c r="S259" s="76">
        <f t="shared" ref="S259:S267" si="398">$J259*M259</f>
        <v>564651.36</v>
      </c>
      <c r="T259" s="76">
        <f t="shared" ref="T259:T267" si="399">$K259*N259</f>
        <v>595140.48</v>
      </c>
      <c r="U259" s="221">
        <f t="shared" ref="U259:U267" si="400">$F259*U$239</f>
        <v>0</v>
      </c>
      <c r="V259" s="221">
        <f t="shared" ref="V259:V267" si="401">$G259*V$239</f>
        <v>0</v>
      </c>
      <c r="W259" s="221">
        <f t="shared" ref="W259:W267" si="402">$H259*W$239</f>
        <v>0</v>
      </c>
      <c r="X259" s="221">
        <f t="shared" ref="X259:X267" si="403">$I259*X$239</f>
        <v>124.63977351139999</v>
      </c>
      <c r="Y259" s="221">
        <f t="shared" ref="Y259:Y267" si="404">$J259*Y$239</f>
        <v>130.2646127429</v>
      </c>
      <c r="Z259" s="221">
        <f t="shared" ref="Z259:Z267" si="405">$K259*Z$239</f>
        <v>136.38480538210001</v>
      </c>
      <c r="AA259" s="76">
        <f t="shared" ref="AA259:AA267" si="406">L259*U259</f>
        <v>0</v>
      </c>
      <c r="AB259" s="76">
        <f t="shared" ref="AB259:AB267" si="407">M259*V259</f>
        <v>0</v>
      </c>
      <c r="AC259" s="76">
        <f t="shared" ref="AC259:AC267" si="408">N259*W259</f>
        <v>0</v>
      </c>
      <c r="AD259" s="76">
        <f t="shared" ref="AD259:AD267" si="409">L259*X259</f>
        <v>556391.94999999995</v>
      </c>
      <c r="AE259" s="76">
        <f t="shared" ref="AE259:AE267" si="410">M259*Y259</f>
        <v>581501.23</v>
      </c>
      <c r="AF259" s="76">
        <f t="shared" ref="AF259:AF267" si="411">N259*Z259</f>
        <v>608821.77</v>
      </c>
      <c r="AG259" s="156">
        <f>'1.4. часы и места для МЗ и СЗ'!Q59</f>
        <v>0</v>
      </c>
      <c r="AH259" s="156">
        <f>AG259</f>
        <v>0</v>
      </c>
      <c r="AI259" s="156">
        <f>AG259</f>
        <v>0</v>
      </c>
      <c r="AJ259" s="76">
        <f t="shared" ref="AJ259:AJ267" si="412">$F259*AG259</f>
        <v>0</v>
      </c>
      <c r="AK259" s="76">
        <f t="shared" ref="AK259:AK267" si="413">$G259*AH259</f>
        <v>0</v>
      </c>
      <c r="AL259" s="76">
        <f t="shared" ref="AL259:AL267" si="414">$H259*AI259</f>
        <v>0</v>
      </c>
      <c r="AM259" s="76">
        <f t="shared" ref="AM259:AM267" si="415">$I259*AG259</f>
        <v>0</v>
      </c>
      <c r="AN259" s="76">
        <f t="shared" ref="AN259:AN267" si="416">$J259*AH259</f>
        <v>0</v>
      </c>
      <c r="AO259" s="76">
        <f t="shared" ref="AO259:AO267" si="417">$K259*AI259</f>
        <v>0</v>
      </c>
      <c r="AP259" s="221">
        <f t="shared" ref="AP259:AP267" si="418">$F259*AP$239</f>
        <v>0</v>
      </c>
      <c r="AQ259" s="221">
        <f t="shared" ref="AQ259:AQ267" si="419">$G259*AQ$239</f>
        <v>0</v>
      </c>
      <c r="AR259" s="221">
        <f t="shared" ref="AR259:AR267" si="420">$H259*AR$239</f>
        <v>0</v>
      </c>
      <c r="AS259" s="221">
        <f t="shared" ref="AS259:AS267" si="421">$I259*AS$239</f>
        <v>145.03698704479999</v>
      </c>
      <c r="AT259" s="221">
        <f t="shared" ref="AT259:AT267" si="422">$J259*AT$239</f>
        <v>151.4471600839</v>
      </c>
      <c r="AU259" s="221">
        <f t="shared" ref="AU259:AU267" si="423">$K259*AU$239</f>
        <v>157.69883823239999</v>
      </c>
      <c r="AV259" s="76">
        <f t="shared" ref="AV259:AV267" si="424">AG259*AP259</f>
        <v>0</v>
      </c>
      <c r="AW259" s="76">
        <f t="shared" ref="AW259:AW267" si="425">AH259*AQ259</f>
        <v>0</v>
      </c>
      <c r="AX259" s="76">
        <f t="shared" ref="AX259:AX267" si="426">AI259*AR259</f>
        <v>0</v>
      </c>
      <c r="AY259" s="76">
        <f t="shared" ref="AY259:AY267" si="427">AG259*AS259</f>
        <v>0</v>
      </c>
      <c r="AZ259" s="76">
        <f t="shared" ref="AZ259:AZ267" si="428">AH259*AT259</f>
        <v>0</v>
      </c>
      <c r="BA259" s="76">
        <f t="shared" ref="BA259:BA267" si="429">AI259*AU259</f>
        <v>0</v>
      </c>
      <c r="BB259" s="156">
        <f>'1.4. часы и места для МЗ и СЗ'!Q72</f>
        <v>83448</v>
      </c>
      <c r="BC259" s="156">
        <f>BB259</f>
        <v>83448</v>
      </c>
      <c r="BD259" s="156">
        <f>BB259</f>
        <v>83448</v>
      </c>
      <c r="BE259" s="76">
        <f t="shared" ref="BE259:BE267" si="430">$F259*BB259</f>
        <v>0</v>
      </c>
      <c r="BF259" s="76">
        <f t="shared" ref="BF259:BF267" si="431">$G259*BC259</f>
        <v>0</v>
      </c>
      <c r="BG259" s="76">
        <f t="shared" ref="BG259:BG267" si="432">$H259*BD259</f>
        <v>0</v>
      </c>
      <c r="BH259" s="76">
        <f t="shared" ref="BH259:BH267" si="433">$I259*BB259</f>
        <v>9994566.9600000009</v>
      </c>
      <c r="BI259" s="76">
        <f t="shared" ref="BI259:BI267" si="434">$J259*BC259</f>
        <v>10555337.52</v>
      </c>
      <c r="BJ259" s="76">
        <f t="shared" ref="BJ259:BJ267" si="435">$K259*BD259</f>
        <v>11125287.359999999</v>
      </c>
      <c r="BK259" s="221">
        <f t="shared" ref="BK259:BK267" si="436">$F259*BK$239</f>
        <v>0</v>
      </c>
      <c r="BL259" s="221">
        <f t="shared" ref="BL259:BL267" si="437">$G259*BL$239</f>
        <v>0</v>
      </c>
      <c r="BM259" s="221">
        <f t="shared" ref="BM259:BM267" si="438">$H259*BM$239</f>
        <v>0</v>
      </c>
      <c r="BN259" s="221">
        <f t="shared" ref="BN259:BN267" si="439">$I259*BN$239</f>
        <v>181.32752323049999</v>
      </c>
      <c r="BO259" s="221">
        <f t="shared" ref="BO259:BO267" si="440">$J259*BO$239</f>
        <v>183.52259755040001</v>
      </c>
      <c r="BP259" s="221">
        <f t="shared" ref="BP259:BP267" si="441">$K259*BP$239</f>
        <v>189.9792042329</v>
      </c>
      <c r="BQ259" s="76">
        <f t="shared" ref="BQ259:BQ267" si="442">BB259*BK259</f>
        <v>0</v>
      </c>
      <c r="BR259" s="76">
        <f t="shared" ref="BR259:BR267" si="443">BC259*BL259</f>
        <v>0</v>
      </c>
      <c r="BS259" s="76">
        <f t="shared" ref="BS259:BS267" si="444">BD259*BM259</f>
        <v>0</v>
      </c>
      <c r="BT259" s="76">
        <f t="shared" ref="BT259:BT267" si="445">BB259*BN259</f>
        <v>15131419.16</v>
      </c>
      <c r="BU259" s="76">
        <f t="shared" ref="BU259:BU267" si="446">BC259*BO259</f>
        <v>15314593.720000001</v>
      </c>
      <c r="BV259" s="76">
        <f t="shared" ref="BV259:BV267" si="447">BD259*BP259</f>
        <v>15853384.630000001</v>
      </c>
      <c r="BW259" s="156">
        <f>'1.4. часы и места для МЗ и СЗ'!Q33</f>
        <v>0</v>
      </c>
      <c r="BX259" s="156">
        <f>BW259</f>
        <v>0</v>
      </c>
      <c r="BY259" s="156">
        <f>BW259</f>
        <v>0</v>
      </c>
      <c r="BZ259" s="76">
        <f t="shared" ref="BZ259:BZ267" si="448">$F259*BW259</f>
        <v>0</v>
      </c>
      <c r="CA259" s="76">
        <f t="shared" ref="CA259:CA267" si="449">$G259*BX259</f>
        <v>0</v>
      </c>
      <c r="CB259" s="76">
        <f t="shared" ref="CB259:CB267" si="450">$H259*BY259</f>
        <v>0</v>
      </c>
      <c r="CC259" s="76">
        <f t="shared" ref="CC259:CC267" si="451">$I259*BW259</f>
        <v>0</v>
      </c>
      <c r="CD259" s="76">
        <f t="shared" ref="CD259:CD267" si="452">$J259*BX259</f>
        <v>0</v>
      </c>
      <c r="CE259" s="76">
        <f t="shared" ref="CE259:CE267" si="453">$K259*BY259</f>
        <v>0</v>
      </c>
      <c r="CF259" s="221">
        <f t="shared" ref="CF259:CF267" si="454">$F259*CF$239</f>
        <v>0</v>
      </c>
      <c r="CG259" s="221">
        <f t="shared" ref="CG259:CG267" si="455">$G259*CG$239</f>
        <v>0</v>
      </c>
      <c r="CH259" s="221">
        <f t="shared" ref="CH259:CH267" si="456">$H259*CH$239</f>
        <v>0</v>
      </c>
      <c r="CI259" s="221">
        <f t="shared" ref="CI259:CI267" si="457">$I259*CI$239</f>
        <v>113.9692333787</v>
      </c>
      <c r="CJ259" s="221">
        <f t="shared" ref="CJ259:CJ267" si="458">$J259*CJ$239</f>
        <v>115.5596446624</v>
      </c>
      <c r="CK259" s="221">
        <f t="shared" ref="CK259:CK267" si="459">$K259*CK$239</f>
        <v>120.046690517</v>
      </c>
      <c r="CL259" s="76">
        <f t="shared" ref="CL259:CL267" si="460">BW259*CF259</f>
        <v>0</v>
      </c>
      <c r="CM259" s="76">
        <f t="shared" ref="CM259:CM267" si="461">BX259*CG259</f>
        <v>0</v>
      </c>
      <c r="CN259" s="76">
        <f t="shared" ref="CN259:CN267" si="462">BY259*CH259</f>
        <v>0</v>
      </c>
      <c r="CO259" s="76">
        <f t="shared" ref="CO259:CO267" si="463">BW259*CI259</f>
        <v>0</v>
      </c>
      <c r="CP259" s="76">
        <f t="shared" ref="CP259:CP267" si="464">BX259*CJ259</f>
        <v>0</v>
      </c>
      <c r="CQ259" s="76">
        <f t="shared" ref="CQ259:CQ267" si="465">BY259*CK259</f>
        <v>0</v>
      </c>
      <c r="CR259" s="156">
        <f>'1.4. часы и места для МЗ и СЗ'!Q46</f>
        <v>0</v>
      </c>
      <c r="CS259" s="156">
        <f>CR259</f>
        <v>0</v>
      </c>
      <c r="CT259" s="156">
        <f>CR259</f>
        <v>0</v>
      </c>
      <c r="CU259" s="76">
        <f t="shared" ref="CU259:CU267" si="466">$F259*CR259</f>
        <v>0</v>
      </c>
      <c r="CV259" s="76">
        <f t="shared" ref="CV259:CV267" si="467">$G259*CS259</f>
        <v>0</v>
      </c>
      <c r="CW259" s="76">
        <f t="shared" ref="CW259:CW267" si="468">$H259*CT259</f>
        <v>0</v>
      </c>
      <c r="CX259" s="76">
        <f t="shared" ref="CX259:CX267" si="469">$I259*CR259</f>
        <v>0</v>
      </c>
      <c r="CY259" s="76">
        <f t="shared" ref="CY259:CY267" si="470">$J259*CS259</f>
        <v>0</v>
      </c>
      <c r="CZ259" s="76">
        <f t="shared" ref="CZ259:CZ267" si="471">$K259*CT259</f>
        <v>0</v>
      </c>
      <c r="DA259" s="221">
        <f t="shared" ref="DA259:DA267" si="472">$F259*DA$239</f>
        <v>0</v>
      </c>
      <c r="DB259" s="221">
        <f t="shared" ref="DB259:DB267" si="473">$G259*DB$239</f>
        <v>0</v>
      </c>
      <c r="DC259" s="221">
        <f t="shared" ref="DC259:DC267" si="474">$H259*DC$239</f>
        <v>0</v>
      </c>
      <c r="DD259" s="221">
        <f t="shared" ref="DD259:DD267" si="475">$I259*DD$239</f>
        <v>55.456569488699998</v>
      </c>
      <c r="DE259" s="221">
        <f t="shared" ref="DE259:DE267" si="476">$J259*DE$239</f>
        <v>56.622616707699997</v>
      </c>
      <c r="DF259" s="221">
        <f t="shared" ref="DF259:DF267" si="477">$K259*DF$239</f>
        <v>59.275389068300001</v>
      </c>
      <c r="DG259" s="76">
        <f t="shared" ref="DG259:DG267" si="478">CR259*DA259</f>
        <v>0</v>
      </c>
      <c r="DH259" s="76">
        <f t="shared" ref="DH259:DH267" si="479">CS259*DB259</f>
        <v>0</v>
      </c>
      <c r="DI259" s="76">
        <f t="shared" ref="DI259:DI267" si="480">CT259*DC259</f>
        <v>0</v>
      </c>
      <c r="DJ259" s="76">
        <f t="shared" ref="DJ259:DJ267" si="481">CR259*DD259</f>
        <v>0</v>
      </c>
      <c r="DK259" s="76">
        <f t="shared" ref="DK259:DK267" si="482">CS259*DE259</f>
        <v>0</v>
      </c>
      <c r="DL259" s="76">
        <f t="shared" ref="DL259:DL267" si="483">CT259*DF259</f>
        <v>0</v>
      </c>
      <c r="DM259" s="181">
        <f>L259+AG259+BB259+BW259+CR259</f>
        <v>87912</v>
      </c>
      <c r="DN259" s="181">
        <f t="shared" ref="DN259:DN267" si="484">M259+AH259+BC259+BX259+CS259</f>
        <v>87912</v>
      </c>
      <c r="DO259" s="181">
        <f t="shared" ref="DO259:DO267" si="485">N259+AI259+BD259+BY259+CT259</f>
        <v>87912</v>
      </c>
      <c r="DP259" s="76">
        <f t="shared" ref="DP259:DP267" si="486">$F259*DM259</f>
        <v>0</v>
      </c>
      <c r="DQ259" s="76">
        <f t="shared" ref="DQ259:DQ267" si="487">$G259*DN259</f>
        <v>0</v>
      </c>
      <c r="DR259" s="76">
        <f t="shared" ref="DR259:DR267" si="488">$H259*DO259</f>
        <v>0</v>
      </c>
      <c r="DS259" s="76">
        <f t="shared" ref="DS259:DS267" si="489">$I259*DM259</f>
        <v>10529220.24</v>
      </c>
      <c r="DT259" s="76">
        <f t="shared" ref="DT259:DT267" si="490">$J259*DN259</f>
        <v>11119988.880000001</v>
      </c>
      <c r="DU259" s="76">
        <f t="shared" ref="DU259:DU267" si="491">$K259*DO259</f>
        <v>11720427.84</v>
      </c>
      <c r="DV259" s="221">
        <f t="shared" ref="DV259:DV267" si="492">$F259*DV$239</f>
        <v>0</v>
      </c>
      <c r="DW259" s="221">
        <f t="shared" ref="DW259:DW267" si="493">$G259*DW$239</f>
        <v>0</v>
      </c>
      <c r="DX259" s="221">
        <f t="shared" ref="DX259:DX267" si="494">$H259*DX$239</f>
        <v>0</v>
      </c>
      <c r="DY259" s="221">
        <f t="shared" ref="DY259:DY267" si="495">$I259*DY$239</f>
        <v>132.8263010551</v>
      </c>
      <c r="DZ259" s="221">
        <f t="shared" ref="DZ259:DZ267" si="496">$J259*DZ$239</f>
        <v>137.3114911879</v>
      </c>
      <c r="EA259" s="221">
        <f t="shared" ref="EA259:EA267" si="497">$K259*EA$239</f>
        <v>143.08395749330001</v>
      </c>
      <c r="EB259" s="76">
        <f t="shared" ref="EB259:EB267" si="498">DM259*DV259</f>
        <v>0</v>
      </c>
      <c r="EC259" s="76">
        <f t="shared" ref="EC259:EC267" si="499">DN259*DW259</f>
        <v>0</v>
      </c>
      <c r="ED259" s="76">
        <f t="shared" ref="ED259:ED267" si="500">DO259*DX259</f>
        <v>0</v>
      </c>
      <c r="EE259" s="76">
        <f t="shared" ref="EE259:EE267" si="501">DM259*DY259</f>
        <v>11677025.779999999</v>
      </c>
      <c r="EF259" s="76">
        <f t="shared" ref="EF259:EF267" si="502">DN259*DZ259</f>
        <v>12071327.810000001</v>
      </c>
      <c r="EG259" s="76">
        <f t="shared" ref="EG259:EG267" si="503">DO259*EA259</f>
        <v>12578796.869999999</v>
      </c>
    </row>
    <row r="260" spans="1:137" x14ac:dyDescent="0.25">
      <c r="A260" s="12" t="s">
        <v>53</v>
      </c>
      <c r="B260" s="315" t="s">
        <v>819</v>
      </c>
      <c r="C260" s="5"/>
      <c r="D260" s="199"/>
      <c r="E260" s="200"/>
      <c r="F260" s="71"/>
      <c r="G260" s="71"/>
      <c r="H260" s="71"/>
      <c r="I260" s="76">
        <f t="shared" si="393"/>
        <v>91.06</v>
      </c>
      <c r="J260" s="76">
        <f t="shared" si="393"/>
        <v>96.63</v>
      </c>
      <c r="K260" s="76">
        <f t="shared" si="393"/>
        <v>102.27</v>
      </c>
      <c r="L260" s="156">
        <f>'1.4. часы и места для МЗ и СЗ'!Q21</f>
        <v>14112</v>
      </c>
      <c r="M260" s="156">
        <f t="shared" ref="M260:M267" si="504">L260</f>
        <v>14112</v>
      </c>
      <c r="N260" s="156">
        <f t="shared" ref="N260:N267" si="505">L260</f>
        <v>14112</v>
      </c>
      <c r="O260" s="76">
        <f t="shared" si="394"/>
        <v>0</v>
      </c>
      <c r="P260" s="76">
        <f t="shared" si="395"/>
        <v>0</v>
      </c>
      <c r="Q260" s="76">
        <f t="shared" si="396"/>
        <v>0</v>
      </c>
      <c r="R260" s="76">
        <f t="shared" si="397"/>
        <v>1285038.72</v>
      </c>
      <c r="S260" s="76">
        <f t="shared" si="398"/>
        <v>1363642.56</v>
      </c>
      <c r="T260" s="76">
        <f t="shared" si="399"/>
        <v>1443234.24</v>
      </c>
      <c r="U260" s="221">
        <f t="shared" si="400"/>
        <v>0</v>
      </c>
      <c r="V260" s="221">
        <f t="shared" si="401"/>
        <v>0</v>
      </c>
      <c r="W260" s="221">
        <f t="shared" si="402"/>
        <v>0</v>
      </c>
      <c r="X260" s="221">
        <f t="shared" si="403"/>
        <v>94.762442815</v>
      </c>
      <c r="Y260" s="221">
        <f t="shared" si="404"/>
        <v>99.513554663199997</v>
      </c>
      <c r="Z260" s="221">
        <f t="shared" si="405"/>
        <v>104.62101745</v>
      </c>
      <c r="AA260" s="76">
        <f t="shared" si="406"/>
        <v>0</v>
      </c>
      <c r="AB260" s="76">
        <f t="shared" si="407"/>
        <v>0</v>
      </c>
      <c r="AC260" s="76">
        <f t="shared" si="408"/>
        <v>0</v>
      </c>
      <c r="AD260" s="76">
        <f t="shared" si="409"/>
        <v>1337287.5900000001</v>
      </c>
      <c r="AE260" s="76">
        <f t="shared" si="410"/>
        <v>1404335.28</v>
      </c>
      <c r="AF260" s="76">
        <f t="shared" si="411"/>
        <v>1476411.8</v>
      </c>
      <c r="AG260" s="156">
        <f>'1.4. часы и места для МЗ и СЗ'!Q60</f>
        <v>0</v>
      </c>
      <c r="AH260" s="156">
        <f t="shared" ref="AH260:AH267" si="506">AG260</f>
        <v>0</v>
      </c>
      <c r="AI260" s="156">
        <f t="shared" ref="AI260:AI267" si="507">AG260</f>
        <v>0</v>
      </c>
      <c r="AJ260" s="76">
        <f t="shared" si="412"/>
        <v>0</v>
      </c>
      <c r="AK260" s="76">
        <f t="shared" si="413"/>
        <v>0</v>
      </c>
      <c r="AL260" s="76">
        <f t="shared" si="414"/>
        <v>0</v>
      </c>
      <c r="AM260" s="76">
        <f t="shared" si="415"/>
        <v>0</v>
      </c>
      <c r="AN260" s="76">
        <f t="shared" si="416"/>
        <v>0</v>
      </c>
      <c r="AO260" s="76">
        <f t="shared" si="417"/>
        <v>0</v>
      </c>
      <c r="AP260" s="221">
        <f t="shared" si="418"/>
        <v>0</v>
      </c>
      <c r="AQ260" s="221">
        <f t="shared" si="419"/>
        <v>0</v>
      </c>
      <c r="AR260" s="221">
        <f t="shared" si="420"/>
        <v>0</v>
      </c>
      <c r="AS260" s="221">
        <f t="shared" si="421"/>
        <v>110.2702516515</v>
      </c>
      <c r="AT260" s="221">
        <f t="shared" si="422"/>
        <v>115.695620831</v>
      </c>
      <c r="AU260" s="221">
        <f t="shared" si="423"/>
        <v>120.97104849999999</v>
      </c>
      <c r="AV260" s="76">
        <f t="shared" si="424"/>
        <v>0</v>
      </c>
      <c r="AW260" s="76">
        <f t="shared" si="425"/>
        <v>0</v>
      </c>
      <c r="AX260" s="76">
        <f t="shared" si="426"/>
        <v>0</v>
      </c>
      <c r="AY260" s="76">
        <f t="shared" si="427"/>
        <v>0</v>
      </c>
      <c r="AZ260" s="76">
        <f t="shared" si="428"/>
        <v>0</v>
      </c>
      <c r="BA260" s="76">
        <f t="shared" si="429"/>
        <v>0</v>
      </c>
      <c r="BB260" s="156">
        <f>'1.4. часы и места для МЗ и СЗ'!Q73</f>
        <v>14616</v>
      </c>
      <c r="BC260" s="156">
        <f t="shared" ref="BC260:BC267" si="508">BB260</f>
        <v>14616</v>
      </c>
      <c r="BD260" s="156">
        <f t="shared" ref="BD260:BD267" si="509">BB260</f>
        <v>14616</v>
      </c>
      <c r="BE260" s="76">
        <f t="shared" si="430"/>
        <v>0</v>
      </c>
      <c r="BF260" s="76">
        <f t="shared" si="431"/>
        <v>0</v>
      </c>
      <c r="BG260" s="76">
        <f t="shared" si="432"/>
        <v>0</v>
      </c>
      <c r="BH260" s="76">
        <f t="shared" si="433"/>
        <v>1330932.96</v>
      </c>
      <c r="BI260" s="76">
        <f t="shared" si="434"/>
        <v>1412344.08</v>
      </c>
      <c r="BJ260" s="76">
        <f t="shared" si="435"/>
        <v>1494778.32</v>
      </c>
      <c r="BK260" s="221">
        <f t="shared" si="436"/>
        <v>0</v>
      </c>
      <c r="BL260" s="221">
        <f t="shared" si="437"/>
        <v>0</v>
      </c>
      <c r="BM260" s="221">
        <f t="shared" si="438"/>
        <v>0</v>
      </c>
      <c r="BN260" s="221">
        <f t="shared" si="439"/>
        <v>137.86160361829999</v>
      </c>
      <c r="BO260" s="221">
        <f t="shared" si="440"/>
        <v>140.1991351197</v>
      </c>
      <c r="BP260" s="221">
        <f t="shared" si="441"/>
        <v>145.73337246400001</v>
      </c>
      <c r="BQ260" s="76">
        <f t="shared" si="442"/>
        <v>0</v>
      </c>
      <c r="BR260" s="76">
        <f t="shared" si="443"/>
        <v>0</v>
      </c>
      <c r="BS260" s="76">
        <f t="shared" si="444"/>
        <v>0</v>
      </c>
      <c r="BT260" s="76">
        <f t="shared" si="445"/>
        <v>2014985.2</v>
      </c>
      <c r="BU260" s="76">
        <f t="shared" si="446"/>
        <v>2049150.56</v>
      </c>
      <c r="BV260" s="76">
        <f t="shared" si="447"/>
        <v>2130038.9700000002</v>
      </c>
      <c r="BW260" s="156">
        <f>'1.4. часы и места для МЗ и СЗ'!Q34</f>
        <v>125856</v>
      </c>
      <c r="BX260" s="156">
        <f t="shared" ref="BX260:BX267" si="510">BW260</f>
        <v>125856</v>
      </c>
      <c r="BY260" s="156">
        <f t="shared" ref="BY260:BY267" si="511">BW260</f>
        <v>125856</v>
      </c>
      <c r="BZ260" s="76">
        <f t="shared" si="448"/>
        <v>0</v>
      </c>
      <c r="CA260" s="76">
        <f t="shared" si="449"/>
        <v>0</v>
      </c>
      <c r="CB260" s="76">
        <f t="shared" si="450"/>
        <v>0</v>
      </c>
      <c r="CC260" s="76">
        <f t="shared" si="451"/>
        <v>11460447.359999999</v>
      </c>
      <c r="CD260" s="76">
        <f t="shared" si="452"/>
        <v>12161465.279999999</v>
      </c>
      <c r="CE260" s="76">
        <f t="shared" si="453"/>
        <v>12871293.119999999</v>
      </c>
      <c r="CF260" s="221">
        <f t="shared" si="454"/>
        <v>0</v>
      </c>
      <c r="CG260" s="221">
        <f t="shared" si="455"/>
        <v>0</v>
      </c>
      <c r="CH260" s="221">
        <f t="shared" si="456"/>
        <v>0</v>
      </c>
      <c r="CI260" s="221">
        <f t="shared" si="457"/>
        <v>86.649731915000004</v>
      </c>
      <c r="CJ260" s="221">
        <f t="shared" si="458"/>
        <v>88.279930933100005</v>
      </c>
      <c r="CK260" s="221">
        <f t="shared" si="459"/>
        <v>92.088021596000004</v>
      </c>
      <c r="CL260" s="76">
        <f t="shared" si="460"/>
        <v>0</v>
      </c>
      <c r="CM260" s="76">
        <f t="shared" si="461"/>
        <v>0</v>
      </c>
      <c r="CN260" s="76">
        <f t="shared" si="462"/>
        <v>0</v>
      </c>
      <c r="CO260" s="76">
        <f t="shared" si="463"/>
        <v>10905388.66</v>
      </c>
      <c r="CP260" s="76">
        <f t="shared" si="464"/>
        <v>11110558.99</v>
      </c>
      <c r="CQ260" s="76">
        <f t="shared" si="465"/>
        <v>11589830.050000001</v>
      </c>
      <c r="CR260" s="156">
        <f>'1.4. часы и места для МЗ и СЗ'!Q47</f>
        <v>0</v>
      </c>
      <c r="CS260" s="156">
        <f t="shared" ref="CS260:CS267" si="512">CR260</f>
        <v>0</v>
      </c>
      <c r="CT260" s="156">
        <f t="shared" ref="CT260:CT267" si="513">CR260</f>
        <v>0</v>
      </c>
      <c r="CU260" s="76">
        <f t="shared" si="466"/>
        <v>0</v>
      </c>
      <c r="CV260" s="76">
        <f t="shared" si="467"/>
        <v>0</v>
      </c>
      <c r="CW260" s="76">
        <f t="shared" si="468"/>
        <v>0</v>
      </c>
      <c r="CX260" s="76">
        <f t="shared" si="469"/>
        <v>0</v>
      </c>
      <c r="CY260" s="76">
        <f t="shared" si="470"/>
        <v>0</v>
      </c>
      <c r="CZ260" s="76">
        <f t="shared" si="471"/>
        <v>0</v>
      </c>
      <c r="DA260" s="221">
        <f t="shared" si="472"/>
        <v>0</v>
      </c>
      <c r="DB260" s="221">
        <f t="shared" si="473"/>
        <v>0</v>
      </c>
      <c r="DC260" s="221">
        <f t="shared" si="474"/>
        <v>0</v>
      </c>
      <c r="DD260" s="221">
        <f t="shared" si="475"/>
        <v>42.1631061004</v>
      </c>
      <c r="DE260" s="221">
        <f t="shared" si="476"/>
        <v>43.2559368525</v>
      </c>
      <c r="DF260" s="221">
        <f t="shared" si="477"/>
        <v>45.470252325300002</v>
      </c>
      <c r="DG260" s="76">
        <f t="shared" si="478"/>
        <v>0</v>
      </c>
      <c r="DH260" s="76">
        <f t="shared" si="479"/>
        <v>0</v>
      </c>
      <c r="DI260" s="76">
        <f t="shared" si="480"/>
        <v>0</v>
      </c>
      <c r="DJ260" s="76">
        <f t="shared" si="481"/>
        <v>0</v>
      </c>
      <c r="DK260" s="76">
        <f t="shared" si="482"/>
        <v>0</v>
      </c>
      <c r="DL260" s="76">
        <f t="shared" si="483"/>
        <v>0</v>
      </c>
      <c r="DM260" s="181">
        <f t="shared" ref="DM260:DM267" si="514">L260+AG260+BB260+BW260+CR260</f>
        <v>154584</v>
      </c>
      <c r="DN260" s="181">
        <f t="shared" si="484"/>
        <v>154584</v>
      </c>
      <c r="DO260" s="181">
        <f t="shared" si="485"/>
        <v>154584</v>
      </c>
      <c r="DP260" s="76">
        <f t="shared" si="486"/>
        <v>0</v>
      </c>
      <c r="DQ260" s="76">
        <f t="shared" si="487"/>
        <v>0</v>
      </c>
      <c r="DR260" s="76">
        <f t="shared" si="488"/>
        <v>0</v>
      </c>
      <c r="DS260" s="76">
        <f t="shared" si="489"/>
        <v>14076419.039999999</v>
      </c>
      <c r="DT260" s="76">
        <f t="shared" si="490"/>
        <v>14937451.92</v>
      </c>
      <c r="DU260" s="76">
        <f t="shared" si="491"/>
        <v>15809305.68</v>
      </c>
      <c r="DV260" s="221">
        <f t="shared" si="492"/>
        <v>0</v>
      </c>
      <c r="DW260" s="221">
        <f t="shared" si="493"/>
        <v>0</v>
      </c>
      <c r="DX260" s="221">
        <f t="shared" si="494"/>
        <v>0</v>
      </c>
      <c r="DY260" s="221">
        <f t="shared" si="495"/>
        <v>100.98658240020001</v>
      </c>
      <c r="DZ260" s="221">
        <f t="shared" si="496"/>
        <v>104.8969040516</v>
      </c>
      <c r="EA260" s="221">
        <f t="shared" si="497"/>
        <v>109.7599484911</v>
      </c>
      <c r="EB260" s="76">
        <f t="shared" si="498"/>
        <v>0</v>
      </c>
      <c r="EC260" s="76">
        <f t="shared" si="499"/>
        <v>0</v>
      </c>
      <c r="ED260" s="76">
        <f t="shared" si="500"/>
        <v>0</v>
      </c>
      <c r="EE260" s="76">
        <f t="shared" si="501"/>
        <v>15610909.85</v>
      </c>
      <c r="EF260" s="76">
        <f t="shared" si="502"/>
        <v>16215383.02</v>
      </c>
      <c r="EG260" s="76">
        <f t="shared" si="503"/>
        <v>16967131.879999999</v>
      </c>
    </row>
    <row r="261" spans="1:137" x14ac:dyDescent="0.25">
      <c r="A261" s="12" t="s">
        <v>51</v>
      </c>
      <c r="B261" s="315" t="s">
        <v>817</v>
      </c>
      <c r="C261" s="5"/>
      <c r="D261" s="199"/>
      <c r="E261" s="200"/>
      <c r="F261" s="71"/>
      <c r="G261" s="71"/>
      <c r="H261" s="71"/>
      <c r="I261" s="76">
        <f t="shared" si="393"/>
        <v>119.84</v>
      </c>
      <c r="J261" s="76">
        <f t="shared" si="393"/>
        <v>126.56</v>
      </c>
      <c r="K261" s="76">
        <f t="shared" si="393"/>
        <v>133.38999999999999</v>
      </c>
      <c r="L261" s="156">
        <f>'1.4. часы и места для МЗ и СЗ'!Q24</f>
        <v>21312</v>
      </c>
      <c r="M261" s="156">
        <f t="shared" si="504"/>
        <v>21312</v>
      </c>
      <c r="N261" s="156">
        <f t="shared" si="505"/>
        <v>21312</v>
      </c>
      <c r="O261" s="76">
        <f t="shared" si="394"/>
        <v>0</v>
      </c>
      <c r="P261" s="76">
        <f t="shared" si="395"/>
        <v>0</v>
      </c>
      <c r="Q261" s="76">
        <f t="shared" si="396"/>
        <v>0</v>
      </c>
      <c r="R261" s="76">
        <f t="shared" si="397"/>
        <v>2554030.0800000001</v>
      </c>
      <c r="S261" s="76">
        <f t="shared" si="398"/>
        <v>2697246.7200000002</v>
      </c>
      <c r="T261" s="76">
        <f t="shared" si="399"/>
        <v>2842807.68</v>
      </c>
      <c r="U261" s="221">
        <f t="shared" si="400"/>
        <v>0</v>
      </c>
      <c r="V261" s="221">
        <f t="shared" si="401"/>
        <v>0</v>
      </c>
      <c r="W261" s="221">
        <f t="shared" si="402"/>
        <v>0</v>
      </c>
      <c r="X261" s="221">
        <f t="shared" si="403"/>
        <v>124.7126196678</v>
      </c>
      <c r="Y261" s="221">
        <f t="shared" si="404"/>
        <v>130.3367016265</v>
      </c>
      <c r="Z261" s="221">
        <f t="shared" si="405"/>
        <v>136.45641456589999</v>
      </c>
      <c r="AA261" s="76">
        <f t="shared" si="406"/>
        <v>0</v>
      </c>
      <c r="AB261" s="76">
        <f t="shared" si="407"/>
        <v>0</v>
      </c>
      <c r="AC261" s="76">
        <f t="shared" si="408"/>
        <v>0</v>
      </c>
      <c r="AD261" s="76">
        <f t="shared" si="409"/>
        <v>2657875.35</v>
      </c>
      <c r="AE261" s="76">
        <f t="shared" si="410"/>
        <v>2777735.79</v>
      </c>
      <c r="AF261" s="76">
        <f t="shared" si="411"/>
        <v>2908159.11</v>
      </c>
      <c r="AG261" s="156">
        <f>'1.4. часы и места для МЗ и СЗ'!Q63</f>
        <v>45512</v>
      </c>
      <c r="AH261" s="156">
        <f t="shared" si="506"/>
        <v>45512</v>
      </c>
      <c r="AI261" s="156">
        <f t="shared" si="507"/>
        <v>45512</v>
      </c>
      <c r="AJ261" s="76">
        <f t="shared" si="412"/>
        <v>0</v>
      </c>
      <c r="AK261" s="76">
        <f t="shared" si="413"/>
        <v>0</v>
      </c>
      <c r="AL261" s="76">
        <f t="shared" si="414"/>
        <v>0</v>
      </c>
      <c r="AM261" s="76">
        <f t="shared" si="415"/>
        <v>5454158.0800000001</v>
      </c>
      <c r="AN261" s="76">
        <f t="shared" si="416"/>
        <v>5759998.7199999997</v>
      </c>
      <c r="AO261" s="76">
        <f t="shared" si="417"/>
        <v>6070845.6799999997</v>
      </c>
      <c r="AP261" s="221">
        <f t="shared" si="418"/>
        <v>0</v>
      </c>
      <c r="AQ261" s="221">
        <f t="shared" si="419"/>
        <v>0</v>
      </c>
      <c r="AR261" s="221">
        <f t="shared" si="420"/>
        <v>0</v>
      </c>
      <c r="AS261" s="221">
        <f t="shared" si="421"/>
        <v>145.1217544248</v>
      </c>
      <c r="AT261" s="221">
        <f t="shared" si="422"/>
        <v>151.530971462</v>
      </c>
      <c r="AU261" s="221">
        <f t="shared" si="423"/>
        <v>157.78163840249999</v>
      </c>
      <c r="AV261" s="76">
        <f t="shared" si="424"/>
        <v>0</v>
      </c>
      <c r="AW261" s="76">
        <f t="shared" si="425"/>
        <v>0</v>
      </c>
      <c r="AX261" s="76">
        <f t="shared" si="426"/>
        <v>0</v>
      </c>
      <c r="AY261" s="76">
        <f t="shared" si="427"/>
        <v>6604781.29</v>
      </c>
      <c r="AZ261" s="76">
        <f t="shared" si="428"/>
        <v>6896477.5700000003</v>
      </c>
      <c r="BA261" s="76">
        <f t="shared" si="429"/>
        <v>7180957.9299999997</v>
      </c>
      <c r="BB261" s="156">
        <f>'1.4. часы и места для МЗ и СЗ'!$Q$76</f>
        <v>12960</v>
      </c>
      <c r="BC261" s="156">
        <f t="shared" si="508"/>
        <v>12960</v>
      </c>
      <c r="BD261" s="156">
        <f t="shared" si="509"/>
        <v>12960</v>
      </c>
      <c r="BE261" s="76">
        <f t="shared" si="430"/>
        <v>0</v>
      </c>
      <c r="BF261" s="76">
        <f t="shared" si="431"/>
        <v>0</v>
      </c>
      <c r="BG261" s="76">
        <f t="shared" si="432"/>
        <v>0</v>
      </c>
      <c r="BH261" s="76">
        <f t="shared" si="433"/>
        <v>1553126.3999999999</v>
      </c>
      <c r="BI261" s="76">
        <f t="shared" si="434"/>
        <v>1640217.6000000001</v>
      </c>
      <c r="BJ261" s="76">
        <f t="shared" si="435"/>
        <v>1728734.4</v>
      </c>
      <c r="BK261" s="221">
        <f t="shared" si="436"/>
        <v>0</v>
      </c>
      <c r="BL261" s="221">
        <f t="shared" si="437"/>
        <v>0</v>
      </c>
      <c r="BM261" s="221">
        <f t="shared" si="438"/>
        <v>0</v>
      </c>
      <c r="BN261" s="221">
        <f t="shared" si="439"/>
        <v>181.43350074259999</v>
      </c>
      <c r="BO261" s="221">
        <f t="shared" si="440"/>
        <v>183.62415958560001</v>
      </c>
      <c r="BP261" s="221">
        <f t="shared" si="441"/>
        <v>190.0789532901</v>
      </c>
      <c r="BQ261" s="76">
        <f t="shared" si="442"/>
        <v>0</v>
      </c>
      <c r="BR261" s="76">
        <f t="shared" si="443"/>
        <v>0</v>
      </c>
      <c r="BS261" s="76">
        <f t="shared" si="444"/>
        <v>0</v>
      </c>
      <c r="BT261" s="76">
        <f t="shared" si="445"/>
        <v>2351378.17</v>
      </c>
      <c r="BU261" s="76">
        <f t="shared" si="446"/>
        <v>2379769.11</v>
      </c>
      <c r="BV261" s="76">
        <f t="shared" si="447"/>
        <v>2463423.23</v>
      </c>
      <c r="BW261" s="156">
        <f>'1.4. часы и места для МЗ и СЗ'!Q37</f>
        <v>0</v>
      </c>
      <c r="BX261" s="156">
        <f t="shared" si="510"/>
        <v>0</v>
      </c>
      <c r="BY261" s="156">
        <f t="shared" si="511"/>
        <v>0</v>
      </c>
      <c r="BZ261" s="76">
        <f t="shared" si="448"/>
        <v>0</v>
      </c>
      <c r="CA261" s="76">
        <f t="shared" si="449"/>
        <v>0</v>
      </c>
      <c r="CB261" s="76">
        <f t="shared" si="450"/>
        <v>0</v>
      </c>
      <c r="CC261" s="76">
        <f t="shared" si="451"/>
        <v>0</v>
      </c>
      <c r="CD261" s="76">
        <f t="shared" si="452"/>
        <v>0</v>
      </c>
      <c r="CE261" s="76">
        <f t="shared" si="453"/>
        <v>0</v>
      </c>
      <c r="CF261" s="221">
        <f t="shared" si="454"/>
        <v>0</v>
      </c>
      <c r="CG261" s="221">
        <f t="shared" si="455"/>
        <v>0</v>
      </c>
      <c r="CH261" s="221">
        <f t="shared" si="456"/>
        <v>0</v>
      </c>
      <c r="CI261" s="221">
        <f t="shared" si="457"/>
        <v>114.0358431001</v>
      </c>
      <c r="CJ261" s="221">
        <f t="shared" si="458"/>
        <v>115.6235957662</v>
      </c>
      <c r="CK261" s="221">
        <f t="shared" si="459"/>
        <v>120.1097213326</v>
      </c>
      <c r="CL261" s="76">
        <f t="shared" si="460"/>
        <v>0</v>
      </c>
      <c r="CM261" s="76">
        <f t="shared" si="461"/>
        <v>0</v>
      </c>
      <c r="CN261" s="76">
        <f t="shared" si="462"/>
        <v>0</v>
      </c>
      <c r="CO261" s="76">
        <f t="shared" si="463"/>
        <v>0</v>
      </c>
      <c r="CP261" s="76">
        <f t="shared" si="464"/>
        <v>0</v>
      </c>
      <c r="CQ261" s="76">
        <f t="shared" si="465"/>
        <v>0</v>
      </c>
      <c r="CR261" s="156">
        <f>'1.4. часы и места для МЗ и СЗ'!Q50</f>
        <v>0</v>
      </c>
      <c r="CS261" s="156">
        <f t="shared" si="512"/>
        <v>0</v>
      </c>
      <c r="CT261" s="156">
        <f t="shared" si="513"/>
        <v>0</v>
      </c>
      <c r="CU261" s="76">
        <f t="shared" si="466"/>
        <v>0</v>
      </c>
      <c r="CV261" s="76">
        <f t="shared" si="467"/>
        <v>0</v>
      </c>
      <c r="CW261" s="76">
        <f t="shared" si="468"/>
        <v>0</v>
      </c>
      <c r="CX261" s="76">
        <f t="shared" si="469"/>
        <v>0</v>
      </c>
      <c r="CY261" s="76">
        <f t="shared" si="470"/>
        <v>0</v>
      </c>
      <c r="CZ261" s="76">
        <f t="shared" si="471"/>
        <v>0</v>
      </c>
      <c r="DA261" s="221">
        <f t="shared" si="472"/>
        <v>0</v>
      </c>
      <c r="DB261" s="221">
        <f t="shared" si="473"/>
        <v>0</v>
      </c>
      <c r="DC261" s="221">
        <f t="shared" si="474"/>
        <v>0</v>
      </c>
      <c r="DD261" s="221">
        <f t="shared" si="475"/>
        <v>55.488981276799997</v>
      </c>
      <c r="DE261" s="221">
        <f t="shared" si="476"/>
        <v>56.653951858100001</v>
      </c>
      <c r="DF261" s="221">
        <f t="shared" si="477"/>
        <v>59.306511759800003</v>
      </c>
      <c r="DG261" s="76">
        <f t="shared" si="478"/>
        <v>0</v>
      </c>
      <c r="DH261" s="76">
        <f t="shared" si="479"/>
        <v>0</v>
      </c>
      <c r="DI261" s="76">
        <f t="shared" si="480"/>
        <v>0</v>
      </c>
      <c r="DJ261" s="76">
        <f t="shared" si="481"/>
        <v>0</v>
      </c>
      <c r="DK261" s="76">
        <f t="shared" si="482"/>
        <v>0</v>
      </c>
      <c r="DL261" s="76">
        <f t="shared" si="483"/>
        <v>0</v>
      </c>
      <c r="DM261" s="181">
        <f t="shared" si="514"/>
        <v>79784</v>
      </c>
      <c r="DN261" s="181">
        <f t="shared" si="484"/>
        <v>79784</v>
      </c>
      <c r="DO261" s="181">
        <f t="shared" si="485"/>
        <v>79784</v>
      </c>
      <c r="DP261" s="76">
        <f t="shared" si="486"/>
        <v>0</v>
      </c>
      <c r="DQ261" s="76">
        <f t="shared" si="487"/>
        <v>0</v>
      </c>
      <c r="DR261" s="76">
        <f t="shared" si="488"/>
        <v>0</v>
      </c>
      <c r="DS261" s="76">
        <f t="shared" si="489"/>
        <v>9561314.5600000005</v>
      </c>
      <c r="DT261" s="76">
        <f t="shared" si="490"/>
        <v>10097463.039999999</v>
      </c>
      <c r="DU261" s="76">
        <f t="shared" si="491"/>
        <v>10642387.76</v>
      </c>
      <c r="DV261" s="221">
        <f t="shared" si="492"/>
        <v>0</v>
      </c>
      <c r="DW261" s="221">
        <f t="shared" si="493"/>
        <v>0</v>
      </c>
      <c r="DX261" s="221">
        <f t="shared" si="494"/>
        <v>0</v>
      </c>
      <c r="DY261" s="221">
        <f t="shared" si="495"/>
        <v>132.90393185639999</v>
      </c>
      <c r="DZ261" s="221">
        <f t="shared" si="496"/>
        <v>137.38747983819999</v>
      </c>
      <c r="EA261" s="221">
        <f t="shared" si="497"/>
        <v>143.15908408359999</v>
      </c>
      <c r="EB261" s="76">
        <f t="shared" si="498"/>
        <v>0</v>
      </c>
      <c r="EC261" s="76">
        <f t="shared" si="499"/>
        <v>0</v>
      </c>
      <c r="ED261" s="76">
        <f t="shared" si="500"/>
        <v>0</v>
      </c>
      <c r="EE261" s="76">
        <f t="shared" si="501"/>
        <v>10603607.300000001</v>
      </c>
      <c r="EF261" s="76">
        <f t="shared" si="502"/>
        <v>10961322.689999999</v>
      </c>
      <c r="EG261" s="76">
        <f t="shared" si="503"/>
        <v>11421804.359999999</v>
      </c>
    </row>
    <row r="262" spans="1:137" x14ac:dyDescent="0.25">
      <c r="A262" s="12" t="s">
        <v>54</v>
      </c>
      <c r="B262" s="315" t="s">
        <v>823</v>
      </c>
      <c r="C262" s="5"/>
      <c r="D262" s="199"/>
      <c r="E262" s="200"/>
      <c r="F262" s="71"/>
      <c r="G262" s="71"/>
      <c r="H262" s="71"/>
      <c r="I262" s="76">
        <f t="shared" si="393"/>
        <v>146.1</v>
      </c>
      <c r="J262" s="76">
        <f t="shared" si="393"/>
        <v>153.87</v>
      </c>
      <c r="K262" s="76">
        <f t="shared" si="393"/>
        <v>161.81</v>
      </c>
      <c r="L262" s="156">
        <f>'1.4. часы и места для МЗ и СЗ'!Q22</f>
        <v>161964</v>
      </c>
      <c r="M262" s="156">
        <f t="shared" si="504"/>
        <v>161964</v>
      </c>
      <c r="N262" s="156">
        <f t="shared" si="505"/>
        <v>161964</v>
      </c>
      <c r="O262" s="76">
        <f t="shared" si="394"/>
        <v>0</v>
      </c>
      <c r="P262" s="76">
        <f t="shared" si="395"/>
        <v>0</v>
      </c>
      <c r="Q262" s="76">
        <f t="shared" si="396"/>
        <v>0</v>
      </c>
      <c r="R262" s="76">
        <f t="shared" si="397"/>
        <v>23662940.399999999</v>
      </c>
      <c r="S262" s="76">
        <f t="shared" si="398"/>
        <v>24921400.68</v>
      </c>
      <c r="T262" s="76">
        <f t="shared" si="399"/>
        <v>26207394.84</v>
      </c>
      <c r="U262" s="221">
        <f t="shared" si="400"/>
        <v>0</v>
      </c>
      <c r="V262" s="221">
        <f t="shared" si="401"/>
        <v>0</v>
      </c>
      <c r="W262" s="221">
        <f t="shared" si="402"/>
        <v>0</v>
      </c>
      <c r="X262" s="221">
        <f t="shared" si="403"/>
        <v>152.040334892</v>
      </c>
      <c r="Y262" s="221">
        <f t="shared" si="404"/>
        <v>158.4616646593</v>
      </c>
      <c r="Z262" s="221">
        <f t="shared" si="405"/>
        <v>165.529743166</v>
      </c>
      <c r="AA262" s="76">
        <f t="shared" si="406"/>
        <v>0</v>
      </c>
      <c r="AB262" s="76">
        <f t="shared" si="407"/>
        <v>0</v>
      </c>
      <c r="AC262" s="76">
        <f t="shared" si="408"/>
        <v>0</v>
      </c>
      <c r="AD262" s="76">
        <f t="shared" si="409"/>
        <v>24625060.800000001</v>
      </c>
      <c r="AE262" s="76">
        <f t="shared" si="410"/>
        <v>25665085.050000001</v>
      </c>
      <c r="AF262" s="76">
        <f t="shared" si="411"/>
        <v>26809859.32</v>
      </c>
      <c r="AG262" s="156">
        <f>'1.4. часы и места для МЗ и СЗ'!Q61</f>
        <v>93528</v>
      </c>
      <c r="AH262" s="156">
        <f t="shared" si="506"/>
        <v>93528</v>
      </c>
      <c r="AI262" s="156">
        <f t="shared" si="507"/>
        <v>93528</v>
      </c>
      <c r="AJ262" s="76">
        <f t="shared" si="412"/>
        <v>0</v>
      </c>
      <c r="AK262" s="76">
        <f t="shared" si="413"/>
        <v>0</v>
      </c>
      <c r="AL262" s="76">
        <f t="shared" si="414"/>
        <v>0</v>
      </c>
      <c r="AM262" s="76">
        <f t="shared" si="415"/>
        <v>13664440.800000001</v>
      </c>
      <c r="AN262" s="76">
        <f t="shared" si="416"/>
        <v>14391153.359999999</v>
      </c>
      <c r="AO262" s="76">
        <f t="shared" si="417"/>
        <v>15133765.68</v>
      </c>
      <c r="AP262" s="221">
        <f t="shared" si="418"/>
        <v>0</v>
      </c>
      <c r="AQ262" s="221">
        <f t="shared" si="419"/>
        <v>0</v>
      </c>
      <c r="AR262" s="221">
        <f t="shared" si="420"/>
        <v>0</v>
      </c>
      <c r="AS262" s="221">
        <f t="shared" si="421"/>
        <v>176.92163152079999</v>
      </c>
      <c r="AT262" s="221">
        <f t="shared" si="422"/>
        <v>184.22938194419999</v>
      </c>
      <c r="AU262" s="221">
        <f t="shared" si="423"/>
        <v>191.39850745859999</v>
      </c>
      <c r="AV262" s="76">
        <f t="shared" si="424"/>
        <v>0</v>
      </c>
      <c r="AW262" s="76">
        <f t="shared" si="425"/>
        <v>0</v>
      </c>
      <c r="AX262" s="76">
        <f t="shared" si="426"/>
        <v>0</v>
      </c>
      <c r="AY262" s="76">
        <f t="shared" si="427"/>
        <v>16547126.35</v>
      </c>
      <c r="AZ262" s="76">
        <f t="shared" si="428"/>
        <v>17230605.629999999</v>
      </c>
      <c r="BA262" s="76">
        <f t="shared" si="429"/>
        <v>17901119.609999999</v>
      </c>
      <c r="BB262" s="156">
        <f>'1.4. часы и места для МЗ и СЗ'!Q74</f>
        <v>42084</v>
      </c>
      <c r="BC262" s="156">
        <f t="shared" si="508"/>
        <v>42084</v>
      </c>
      <c r="BD262" s="156">
        <f t="shared" si="509"/>
        <v>42084</v>
      </c>
      <c r="BE262" s="76">
        <f t="shared" si="430"/>
        <v>0</v>
      </c>
      <c r="BF262" s="76">
        <f t="shared" si="431"/>
        <v>0</v>
      </c>
      <c r="BG262" s="76">
        <f t="shared" si="432"/>
        <v>0</v>
      </c>
      <c r="BH262" s="76">
        <f t="shared" si="433"/>
        <v>6148472.4000000004</v>
      </c>
      <c r="BI262" s="76">
        <f t="shared" si="434"/>
        <v>6475465.0800000001</v>
      </c>
      <c r="BJ262" s="76">
        <f t="shared" si="435"/>
        <v>6809612.04</v>
      </c>
      <c r="BK262" s="221">
        <f t="shared" si="436"/>
        <v>0</v>
      </c>
      <c r="BL262" s="221">
        <f t="shared" si="437"/>
        <v>0</v>
      </c>
      <c r="BM262" s="221">
        <f t="shared" si="438"/>
        <v>0</v>
      </c>
      <c r="BN262" s="221">
        <f t="shared" si="439"/>
        <v>221.19020743070001</v>
      </c>
      <c r="BO262" s="221">
        <f t="shared" si="440"/>
        <v>223.24786216359999</v>
      </c>
      <c r="BP262" s="221">
        <f t="shared" si="441"/>
        <v>230.57707048399999</v>
      </c>
      <c r="BQ262" s="76">
        <f t="shared" si="442"/>
        <v>0</v>
      </c>
      <c r="BR262" s="76">
        <f t="shared" si="443"/>
        <v>0</v>
      </c>
      <c r="BS262" s="76">
        <f t="shared" si="444"/>
        <v>0</v>
      </c>
      <c r="BT262" s="76">
        <f t="shared" si="445"/>
        <v>9308568.6899999995</v>
      </c>
      <c r="BU262" s="76">
        <f t="shared" si="446"/>
        <v>9395163.0299999993</v>
      </c>
      <c r="BV262" s="76">
        <f t="shared" si="447"/>
        <v>9703605.4299999997</v>
      </c>
      <c r="BW262" s="156">
        <f>'1.4. часы и места для МЗ и СЗ'!Q35</f>
        <v>0</v>
      </c>
      <c r="BX262" s="156">
        <f t="shared" si="510"/>
        <v>0</v>
      </c>
      <c r="BY262" s="156">
        <f t="shared" si="511"/>
        <v>0</v>
      </c>
      <c r="BZ262" s="76">
        <f t="shared" si="448"/>
        <v>0</v>
      </c>
      <c r="CA262" s="76">
        <f t="shared" si="449"/>
        <v>0</v>
      </c>
      <c r="CB262" s="76">
        <f t="shared" si="450"/>
        <v>0</v>
      </c>
      <c r="CC262" s="76">
        <f t="shared" si="451"/>
        <v>0</v>
      </c>
      <c r="CD262" s="76">
        <f t="shared" si="452"/>
        <v>0</v>
      </c>
      <c r="CE262" s="76">
        <f t="shared" si="453"/>
        <v>0</v>
      </c>
      <c r="CF262" s="221">
        <f t="shared" si="454"/>
        <v>0</v>
      </c>
      <c r="CG262" s="221">
        <f t="shared" si="455"/>
        <v>0</v>
      </c>
      <c r="CH262" s="221">
        <f t="shared" si="456"/>
        <v>0</v>
      </c>
      <c r="CI262" s="221">
        <f t="shared" si="457"/>
        <v>139.0240043135</v>
      </c>
      <c r="CJ262" s="221">
        <f t="shared" si="458"/>
        <v>140.57366214090001</v>
      </c>
      <c r="CK262" s="221">
        <f t="shared" si="459"/>
        <v>145.70023246740001</v>
      </c>
      <c r="CL262" s="76">
        <f t="shared" si="460"/>
        <v>0</v>
      </c>
      <c r="CM262" s="76">
        <f t="shared" si="461"/>
        <v>0</v>
      </c>
      <c r="CN262" s="76">
        <f t="shared" si="462"/>
        <v>0</v>
      </c>
      <c r="CO262" s="76">
        <f t="shared" si="463"/>
        <v>0</v>
      </c>
      <c r="CP262" s="76">
        <f t="shared" si="464"/>
        <v>0</v>
      </c>
      <c r="CQ262" s="76">
        <f t="shared" si="465"/>
        <v>0</v>
      </c>
      <c r="CR262" s="156">
        <f>'1.4. часы и места для МЗ и СЗ'!Q48</f>
        <v>0</v>
      </c>
      <c r="CS262" s="156">
        <f t="shared" si="512"/>
        <v>0</v>
      </c>
      <c r="CT262" s="156">
        <f t="shared" si="513"/>
        <v>0</v>
      </c>
      <c r="CU262" s="76">
        <f t="shared" si="466"/>
        <v>0</v>
      </c>
      <c r="CV262" s="76">
        <f t="shared" si="467"/>
        <v>0</v>
      </c>
      <c r="CW262" s="76">
        <f t="shared" si="468"/>
        <v>0</v>
      </c>
      <c r="CX262" s="76">
        <f t="shared" si="469"/>
        <v>0</v>
      </c>
      <c r="CY262" s="76">
        <f t="shared" si="470"/>
        <v>0</v>
      </c>
      <c r="CZ262" s="76">
        <f t="shared" si="471"/>
        <v>0</v>
      </c>
      <c r="DA262" s="221">
        <f t="shared" si="472"/>
        <v>0</v>
      </c>
      <c r="DB262" s="221">
        <f t="shared" si="473"/>
        <v>0</v>
      </c>
      <c r="DC262" s="221">
        <f t="shared" si="474"/>
        <v>0</v>
      </c>
      <c r="DD262" s="221">
        <f t="shared" si="475"/>
        <v>67.648032080700006</v>
      </c>
      <c r="DE262" s="221">
        <f t="shared" si="476"/>
        <v>68.879136950100005</v>
      </c>
      <c r="DF262" s="221">
        <f t="shared" si="477"/>
        <v>71.942324521000003</v>
      </c>
      <c r="DG262" s="76">
        <f t="shared" si="478"/>
        <v>0</v>
      </c>
      <c r="DH262" s="76">
        <f t="shared" si="479"/>
        <v>0</v>
      </c>
      <c r="DI262" s="76">
        <f t="shared" si="480"/>
        <v>0</v>
      </c>
      <c r="DJ262" s="76">
        <f t="shared" si="481"/>
        <v>0</v>
      </c>
      <c r="DK262" s="76">
        <f t="shared" si="482"/>
        <v>0</v>
      </c>
      <c r="DL262" s="76">
        <f t="shared" si="483"/>
        <v>0</v>
      </c>
      <c r="DM262" s="181">
        <f t="shared" si="514"/>
        <v>297576</v>
      </c>
      <c r="DN262" s="181">
        <f t="shared" si="484"/>
        <v>297576</v>
      </c>
      <c r="DO262" s="181">
        <f t="shared" si="485"/>
        <v>297576</v>
      </c>
      <c r="DP262" s="76">
        <f t="shared" si="486"/>
        <v>0</v>
      </c>
      <c r="DQ262" s="76">
        <f t="shared" si="487"/>
        <v>0</v>
      </c>
      <c r="DR262" s="76">
        <f t="shared" si="488"/>
        <v>0</v>
      </c>
      <c r="DS262" s="76">
        <f t="shared" si="489"/>
        <v>43475853.600000001</v>
      </c>
      <c r="DT262" s="76">
        <f t="shared" si="490"/>
        <v>45788019.119999997</v>
      </c>
      <c r="DU262" s="76">
        <f t="shared" si="491"/>
        <v>48150772.560000002</v>
      </c>
      <c r="DV262" s="221">
        <f t="shared" si="492"/>
        <v>0</v>
      </c>
      <c r="DW262" s="221">
        <f t="shared" si="493"/>
        <v>0</v>
      </c>
      <c r="DX262" s="221">
        <f t="shared" si="494"/>
        <v>0</v>
      </c>
      <c r="DY262" s="221">
        <f t="shared" si="495"/>
        <v>162.0265724651</v>
      </c>
      <c r="DZ262" s="221">
        <f t="shared" si="496"/>
        <v>167.0339089974</v>
      </c>
      <c r="EA262" s="221">
        <f t="shared" si="497"/>
        <v>173.6604797629</v>
      </c>
      <c r="EB262" s="76">
        <f t="shared" si="498"/>
        <v>0</v>
      </c>
      <c r="EC262" s="76">
        <f t="shared" si="499"/>
        <v>0</v>
      </c>
      <c r="ED262" s="76">
        <f t="shared" si="500"/>
        <v>0</v>
      </c>
      <c r="EE262" s="76">
        <f t="shared" si="501"/>
        <v>48215219.329999998</v>
      </c>
      <c r="EF262" s="76">
        <f t="shared" si="502"/>
        <v>49705282.5</v>
      </c>
      <c r="EG262" s="76">
        <f t="shared" si="503"/>
        <v>51677190.93</v>
      </c>
    </row>
    <row r="263" spans="1:137" x14ac:dyDescent="0.25">
      <c r="A263" s="12" t="s">
        <v>55</v>
      </c>
      <c r="B263" s="315" t="s">
        <v>816</v>
      </c>
      <c r="C263" s="5"/>
      <c r="D263" s="199"/>
      <c r="E263" s="200"/>
      <c r="F263" s="71"/>
      <c r="G263" s="71"/>
      <c r="H263" s="71"/>
      <c r="I263" s="76">
        <f t="shared" si="393"/>
        <v>162.16</v>
      </c>
      <c r="J263" s="76">
        <f t="shared" si="393"/>
        <v>170.58</v>
      </c>
      <c r="K263" s="76">
        <f t="shared" si="393"/>
        <v>179.19</v>
      </c>
      <c r="L263" s="156">
        <f>'1.4. часы и места для МЗ и СЗ'!Q23</f>
        <v>11376</v>
      </c>
      <c r="M263" s="156">
        <f t="shared" si="504"/>
        <v>11376</v>
      </c>
      <c r="N263" s="156">
        <f t="shared" si="505"/>
        <v>11376</v>
      </c>
      <c r="O263" s="76">
        <f t="shared" si="394"/>
        <v>0</v>
      </c>
      <c r="P263" s="76">
        <f t="shared" si="395"/>
        <v>0</v>
      </c>
      <c r="Q263" s="76">
        <f t="shared" si="396"/>
        <v>0</v>
      </c>
      <c r="R263" s="76">
        <f t="shared" si="397"/>
        <v>1844732.16</v>
      </c>
      <c r="S263" s="76">
        <f t="shared" si="398"/>
        <v>1940518.08</v>
      </c>
      <c r="T263" s="76">
        <f t="shared" si="399"/>
        <v>2038465.44</v>
      </c>
      <c r="U263" s="221">
        <f t="shared" si="400"/>
        <v>0</v>
      </c>
      <c r="V263" s="221">
        <f t="shared" si="401"/>
        <v>0</v>
      </c>
      <c r="W263" s="221">
        <f t="shared" si="402"/>
        <v>0</v>
      </c>
      <c r="X263" s="221">
        <f t="shared" si="403"/>
        <v>168.75332447700001</v>
      </c>
      <c r="Y263" s="221">
        <f t="shared" si="404"/>
        <v>175.67031102600001</v>
      </c>
      <c r="Z263" s="221">
        <f t="shared" si="405"/>
        <v>183.30928050119999</v>
      </c>
      <c r="AA263" s="76">
        <f t="shared" si="406"/>
        <v>0</v>
      </c>
      <c r="AB263" s="76">
        <f t="shared" si="407"/>
        <v>0</v>
      </c>
      <c r="AC263" s="76">
        <f t="shared" si="408"/>
        <v>0</v>
      </c>
      <c r="AD263" s="76">
        <f t="shared" si="409"/>
        <v>1919737.82</v>
      </c>
      <c r="AE263" s="76">
        <f t="shared" si="410"/>
        <v>1998425.46</v>
      </c>
      <c r="AF263" s="76">
        <f t="shared" si="411"/>
        <v>2085326.37</v>
      </c>
      <c r="AG263" s="156">
        <f>'1.4. часы и места для МЗ и СЗ'!Q62</f>
        <v>12816</v>
      </c>
      <c r="AH263" s="156">
        <f t="shared" si="506"/>
        <v>12816</v>
      </c>
      <c r="AI263" s="156">
        <f t="shared" si="507"/>
        <v>12816</v>
      </c>
      <c r="AJ263" s="76">
        <f t="shared" si="412"/>
        <v>0</v>
      </c>
      <c r="AK263" s="76">
        <f t="shared" si="413"/>
        <v>0</v>
      </c>
      <c r="AL263" s="76">
        <f t="shared" si="414"/>
        <v>0</v>
      </c>
      <c r="AM263" s="76">
        <f t="shared" si="415"/>
        <v>2078242.56</v>
      </c>
      <c r="AN263" s="76">
        <f t="shared" si="416"/>
        <v>2186153.2799999998</v>
      </c>
      <c r="AO263" s="76">
        <f t="shared" si="417"/>
        <v>2296499.04</v>
      </c>
      <c r="AP263" s="221">
        <f t="shared" si="418"/>
        <v>0</v>
      </c>
      <c r="AQ263" s="221">
        <f t="shared" si="419"/>
        <v>0</v>
      </c>
      <c r="AR263" s="221">
        <f t="shared" si="420"/>
        <v>0</v>
      </c>
      <c r="AS263" s="221">
        <f t="shared" si="421"/>
        <v>196.36969039979999</v>
      </c>
      <c r="AT263" s="221">
        <f t="shared" si="422"/>
        <v>204.2363551832</v>
      </c>
      <c r="AU263" s="221">
        <f t="shared" si="423"/>
        <v>211.95660683209999</v>
      </c>
      <c r="AV263" s="76">
        <f t="shared" si="424"/>
        <v>0</v>
      </c>
      <c r="AW263" s="76">
        <f t="shared" si="425"/>
        <v>0</v>
      </c>
      <c r="AX263" s="76">
        <f t="shared" si="426"/>
        <v>0</v>
      </c>
      <c r="AY263" s="76">
        <f t="shared" si="427"/>
        <v>2516673.9500000002</v>
      </c>
      <c r="AZ263" s="76">
        <f t="shared" si="428"/>
        <v>2617493.13</v>
      </c>
      <c r="BA263" s="76">
        <f t="shared" si="429"/>
        <v>2716435.87</v>
      </c>
      <c r="BB263" s="156">
        <f>'1.4. часы и места для МЗ и СЗ'!Q75</f>
        <v>0</v>
      </c>
      <c r="BC263" s="156">
        <f t="shared" si="508"/>
        <v>0</v>
      </c>
      <c r="BD263" s="156">
        <f t="shared" si="509"/>
        <v>0</v>
      </c>
      <c r="BE263" s="76">
        <f t="shared" si="430"/>
        <v>0</v>
      </c>
      <c r="BF263" s="76">
        <f t="shared" si="431"/>
        <v>0</v>
      </c>
      <c r="BG263" s="76">
        <f t="shared" si="432"/>
        <v>0</v>
      </c>
      <c r="BH263" s="76">
        <f t="shared" si="433"/>
        <v>0</v>
      </c>
      <c r="BI263" s="76">
        <f t="shared" si="434"/>
        <v>0</v>
      </c>
      <c r="BJ263" s="76">
        <f t="shared" si="435"/>
        <v>0</v>
      </c>
      <c r="BK263" s="221">
        <f t="shared" si="436"/>
        <v>0</v>
      </c>
      <c r="BL263" s="221">
        <f t="shared" si="437"/>
        <v>0</v>
      </c>
      <c r="BM263" s="221">
        <f t="shared" si="438"/>
        <v>0</v>
      </c>
      <c r="BN263" s="221">
        <f t="shared" si="439"/>
        <v>245.50447663899999</v>
      </c>
      <c r="BO263" s="221">
        <f t="shared" si="440"/>
        <v>247.49217084470001</v>
      </c>
      <c r="BP263" s="221">
        <f t="shared" si="441"/>
        <v>255.3433363824</v>
      </c>
      <c r="BQ263" s="76">
        <f t="shared" si="442"/>
        <v>0</v>
      </c>
      <c r="BR263" s="76">
        <f t="shared" si="443"/>
        <v>0</v>
      </c>
      <c r="BS263" s="76">
        <f t="shared" si="444"/>
        <v>0</v>
      </c>
      <c r="BT263" s="76">
        <f t="shared" si="445"/>
        <v>0</v>
      </c>
      <c r="BU263" s="76">
        <f t="shared" si="446"/>
        <v>0</v>
      </c>
      <c r="BV263" s="76">
        <f t="shared" si="447"/>
        <v>0</v>
      </c>
      <c r="BW263" s="156">
        <f>'1.4. часы и места для МЗ и СЗ'!Q36</f>
        <v>0</v>
      </c>
      <c r="BX263" s="156">
        <f t="shared" si="510"/>
        <v>0</v>
      </c>
      <c r="BY263" s="156">
        <f t="shared" si="511"/>
        <v>0</v>
      </c>
      <c r="BZ263" s="76">
        <f t="shared" si="448"/>
        <v>0</v>
      </c>
      <c r="CA263" s="76">
        <f t="shared" si="449"/>
        <v>0</v>
      </c>
      <c r="CB263" s="76">
        <f t="shared" si="450"/>
        <v>0</v>
      </c>
      <c r="CC263" s="76">
        <f t="shared" si="451"/>
        <v>0</v>
      </c>
      <c r="CD263" s="76">
        <f t="shared" si="452"/>
        <v>0</v>
      </c>
      <c r="CE263" s="76">
        <f t="shared" si="453"/>
        <v>0</v>
      </c>
      <c r="CF263" s="221">
        <f t="shared" si="454"/>
        <v>0</v>
      </c>
      <c r="CG263" s="221">
        <f t="shared" si="455"/>
        <v>0</v>
      </c>
      <c r="CH263" s="221">
        <f t="shared" si="456"/>
        <v>0</v>
      </c>
      <c r="CI263" s="221">
        <f t="shared" si="457"/>
        <v>154.3061775461</v>
      </c>
      <c r="CJ263" s="221">
        <f t="shared" si="458"/>
        <v>155.8397042178</v>
      </c>
      <c r="CK263" s="221">
        <f t="shared" si="459"/>
        <v>161.34988354149999</v>
      </c>
      <c r="CL263" s="76">
        <f t="shared" si="460"/>
        <v>0</v>
      </c>
      <c r="CM263" s="76">
        <f t="shared" si="461"/>
        <v>0</v>
      </c>
      <c r="CN263" s="76">
        <f t="shared" si="462"/>
        <v>0</v>
      </c>
      <c r="CO263" s="76">
        <f t="shared" si="463"/>
        <v>0</v>
      </c>
      <c r="CP263" s="76">
        <f t="shared" si="464"/>
        <v>0</v>
      </c>
      <c r="CQ263" s="76">
        <f t="shared" si="465"/>
        <v>0</v>
      </c>
      <c r="CR263" s="156">
        <f>'1.4. часы и места для МЗ и СЗ'!Q49</f>
        <v>84888</v>
      </c>
      <c r="CS263" s="156">
        <f t="shared" si="512"/>
        <v>84888</v>
      </c>
      <c r="CT263" s="156">
        <f t="shared" si="513"/>
        <v>84888</v>
      </c>
      <c r="CU263" s="76">
        <f t="shared" si="466"/>
        <v>0</v>
      </c>
      <c r="CV263" s="76">
        <f t="shared" si="467"/>
        <v>0</v>
      </c>
      <c r="CW263" s="76">
        <f t="shared" si="468"/>
        <v>0</v>
      </c>
      <c r="CX263" s="76">
        <f t="shared" si="469"/>
        <v>13765438.08</v>
      </c>
      <c r="CY263" s="76">
        <f t="shared" si="470"/>
        <v>14480195.039999999</v>
      </c>
      <c r="CZ263" s="76">
        <f t="shared" si="471"/>
        <v>15211080.720000001</v>
      </c>
      <c r="DA263" s="221">
        <f t="shared" si="472"/>
        <v>0</v>
      </c>
      <c r="DB263" s="221">
        <f t="shared" si="473"/>
        <v>0</v>
      </c>
      <c r="DC263" s="221">
        <f t="shared" si="474"/>
        <v>0</v>
      </c>
      <c r="DD263" s="221">
        <f t="shared" si="475"/>
        <v>75.084222328600006</v>
      </c>
      <c r="DE263" s="221">
        <f t="shared" si="476"/>
        <v>76.359284986999995</v>
      </c>
      <c r="DF263" s="221">
        <f t="shared" si="477"/>
        <v>79.669644218000002</v>
      </c>
      <c r="DG263" s="76">
        <f t="shared" si="478"/>
        <v>0</v>
      </c>
      <c r="DH263" s="76">
        <f t="shared" si="479"/>
        <v>0</v>
      </c>
      <c r="DI263" s="76">
        <f t="shared" si="480"/>
        <v>0</v>
      </c>
      <c r="DJ263" s="76">
        <f t="shared" si="481"/>
        <v>6373749.4699999997</v>
      </c>
      <c r="DK263" s="76">
        <f t="shared" si="482"/>
        <v>6481986.9800000004</v>
      </c>
      <c r="DL263" s="76">
        <f t="shared" si="483"/>
        <v>6762996.7599999998</v>
      </c>
      <c r="DM263" s="181">
        <f t="shared" si="514"/>
        <v>109080</v>
      </c>
      <c r="DN263" s="181">
        <f t="shared" si="484"/>
        <v>109080</v>
      </c>
      <c r="DO263" s="181">
        <f t="shared" si="485"/>
        <v>109080</v>
      </c>
      <c r="DP263" s="76">
        <f t="shared" si="486"/>
        <v>0</v>
      </c>
      <c r="DQ263" s="76">
        <f t="shared" si="487"/>
        <v>0</v>
      </c>
      <c r="DR263" s="76">
        <f t="shared" si="488"/>
        <v>0</v>
      </c>
      <c r="DS263" s="76">
        <f t="shared" si="489"/>
        <v>17688412.800000001</v>
      </c>
      <c r="DT263" s="76">
        <f t="shared" si="490"/>
        <v>18606866.399999999</v>
      </c>
      <c r="DU263" s="76">
        <f t="shared" si="491"/>
        <v>19546045.199999999</v>
      </c>
      <c r="DV263" s="221">
        <f t="shared" si="492"/>
        <v>0</v>
      </c>
      <c r="DW263" s="221">
        <f t="shared" si="493"/>
        <v>0</v>
      </c>
      <c r="DX263" s="221">
        <f t="shared" si="494"/>
        <v>0</v>
      </c>
      <c r="DY263" s="221">
        <f t="shared" si="495"/>
        <v>179.83729631040001</v>
      </c>
      <c r="DZ263" s="221">
        <f t="shared" si="496"/>
        <v>185.1734853888</v>
      </c>
      <c r="EA263" s="221">
        <f t="shared" si="497"/>
        <v>192.31333890799999</v>
      </c>
      <c r="EB263" s="76">
        <f t="shared" si="498"/>
        <v>0</v>
      </c>
      <c r="EC263" s="76">
        <f t="shared" si="499"/>
        <v>0</v>
      </c>
      <c r="ED263" s="76">
        <f t="shared" si="500"/>
        <v>0</v>
      </c>
      <c r="EE263" s="76">
        <f t="shared" si="501"/>
        <v>19616652.280000001</v>
      </c>
      <c r="EF263" s="76">
        <f t="shared" si="502"/>
        <v>20198723.789999999</v>
      </c>
      <c r="EG263" s="76">
        <f t="shared" si="503"/>
        <v>20977539.010000002</v>
      </c>
    </row>
    <row r="264" spans="1:137" ht="14.25" customHeight="1" x14ac:dyDescent="0.25">
      <c r="A264" s="12" t="s">
        <v>56</v>
      </c>
      <c r="B264" s="315" t="s">
        <v>820</v>
      </c>
      <c r="C264" s="5"/>
      <c r="D264" s="199"/>
      <c r="E264" s="200"/>
      <c r="F264" s="71"/>
      <c r="G264" s="71"/>
      <c r="H264" s="71"/>
      <c r="I264" s="76">
        <f t="shared" si="393"/>
        <v>107.71</v>
      </c>
      <c r="J264" s="76">
        <f t="shared" si="393"/>
        <v>113.94</v>
      </c>
      <c r="K264" s="76">
        <f t="shared" si="393"/>
        <v>120.28</v>
      </c>
      <c r="L264" s="156">
        <f>'1.4. часы и места для МЗ и СЗ'!Q27</f>
        <v>54576</v>
      </c>
      <c r="M264" s="156">
        <f t="shared" si="504"/>
        <v>54576</v>
      </c>
      <c r="N264" s="156">
        <f t="shared" si="505"/>
        <v>54576</v>
      </c>
      <c r="O264" s="76">
        <f t="shared" si="394"/>
        <v>0</v>
      </c>
      <c r="P264" s="76">
        <f t="shared" si="395"/>
        <v>0</v>
      </c>
      <c r="Q264" s="76">
        <f t="shared" si="396"/>
        <v>0</v>
      </c>
      <c r="R264" s="76">
        <f t="shared" si="397"/>
        <v>5878380.96</v>
      </c>
      <c r="S264" s="76">
        <f t="shared" si="398"/>
        <v>6218389.4400000004</v>
      </c>
      <c r="T264" s="76">
        <f t="shared" si="399"/>
        <v>6564401.2800000003</v>
      </c>
      <c r="U264" s="221">
        <f t="shared" si="400"/>
        <v>0</v>
      </c>
      <c r="V264" s="221">
        <f t="shared" si="401"/>
        <v>0</v>
      </c>
      <c r="W264" s="221">
        <f t="shared" si="402"/>
        <v>0</v>
      </c>
      <c r="X264" s="221">
        <f t="shared" si="403"/>
        <v>112.08942143199999</v>
      </c>
      <c r="Y264" s="221">
        <f t="shared" si="404"/>
        <v>117.34010574689999</v>
      </c>
      <c r="Z264" s="221">
        <f t="shared" si="405"/>
        <v>123.045037439</v>
      </c>
      <c r="AA264" s="76">
        <f t="shared" si="406"/>
        <v>0</v>
      </c>
      <c r="AB264" s="76">
        <f t="shared" si="407"/>
        <v>0</v>
      </c>
      <c r="AC264" s="76">
        <f t="shared" si="408"/>
        <v>0</v>
      </c>
      <c r="AD264" s="76">
        <f t="shared" si="409"/>
        <v>6117392.2599999998</v>
      </c>
      <c r="AE264" s="76">
        <f t="shared" si="410"/>
        <v>6403953.6100000003</v>
      </c>
      <c r="AF264" s="76">
        <f t="shared" si="411"/>
        <v>6715305.96</v>
      </c>
      <c r="AG264" s="156">
        <f>'1.4. часы и места для МЗ и СЗ'!Q66</f>
        <v>79496</v>
      </c>
      <c r="AH264" s="156">
        <f t="shared" si="506"/>
        <v>79496</v>
      </c>
      <c r="AI264" s="156">
        <f t="shared" si="507"/>
        <v>79496</v>
      </c>
      <c r="AJ264" s="76">
        <f t="shared" si="412"/>
        <v>0</v>
      </c>
      <c r="AK264" s="76">
        <f t="shared" si="413"/>
        <v>0</v>
      </c>
      <c r="AL264" s="76">
        <f t="shared" si="414"/>
        <v>0</v>
      </c>
      <c r="AM264" s="76">
        <f t="shared" si="415"/>
        <v>8562514.1600000001</v>
      </c>
      <c r="AN264" s="76">
        <f t="shared" si="416"/>
        <v>9057774.2400000002</v>
      </c>
      <c r="AO264" s="76">
        <f t="shared" si="417"/>
        <v>9561778.8800000008</v>
      </c>
      <c r="AP264" s="221">
        <f t="shared" si="418"/>
        <v>0</v>
      </c>
      <c r="AQ264" s="221">
        <f t="shared" si="419"/>
        <v>0</v>
      </c>
      <c r="AR264" s="221">
        <f t="shared" si="420"/>
        <v>0</v>
      </c>
      <c r="AS264" s="221">
        <f t="shared" si="421"/>
        <v>130.432778447</v>
      </c>
      <c r="AT264" s="221">
        <f t="shared" si="422"/>
        <v>136.42097731019999</v>
      </c>
      <c r="AU264" s="221">
        <f t="shared" si="423"/>
        <v>142.2743494044</v>
      </c>
      <c r="AV264" s="76">
        <f t="shared" si="424"/>
        <v>0</v>
      </c>
      <c r="AW264" s="76">
        <f t="shared" si="425"/>
        <v>0</v>
      </c>
      <c r="AX264" s="76">
        <f t="shared" si="426"/>
        <v>0</v>
      </c>
      <c r="AY264" s="76">
        <f t="shared" si="427"/>
        <v>10368884.16</v>
      </c>
      <c r="AZ264" s="76">
        <f t="shared" si="428"/>
        <v>10844922.01</v>
      </c>
      <c r="BA264" s="76">
        <f t="shared" si="429"/>
        <v>11310241.68</v>
      </c>
      <c r="BB264" s="156">
        <f>'1.4. часы и места для МЗ и СЗ'!$Q$79</f>
        <v>12096</v>
      </c>
      <c r="BC264" s="156">
        <f t="shared" si="508"/>
        <v>12096</v>
      </c>
      <c r="BD264" s="156">
        <f t="shared" si="509"/>
        <v>12096</v>
      </c>
      <c r="BE264" s="76">
        <f t="shared" si="430"/>
        <v>0</v>
      </c>
      <c r="BF264" s="76">
        <f t="shared" si="431"/>
        <v>0</v>
      </c>
      <c r="BG264" s="76">
        <f t="shared" si="432"/>
        <v>0</v>
      </c>
      <c r="BH264" s="76">
        <f t="shared" si="433"/>
        <v>1302860.1599999999</v>
      </c>
      <c r="BI264" s="76">
        <f t="shared" si="434"/>
        <v>1378218.24</v>
      </c>
      <c r="BJ264" s="76">
        <f t="shared" si="435"/>
        <v>1454906.88</v>
      </c>
      <c r="BK264" s="221">
        <f t="shared" si="436"/>
        <v>0</v>
      </c>
      <c r="BL264" s="221">
        <f t="shared" si="437"/>
        <v>0</v>
      </c>
      <c r="BM264" s="221">
        <f t="shared" si="438"/>
        <v>0</v>
      </c>
      <c r="BN264" s="221">
        <f t="shared" si="439"/>
        <v>163.06911185729999</v>
      </c>
      <c r="BO264" s="221">
        <f t="shared" si="440"/>
        <v>165.31397553080001</v>
      </c>
      <c r="BP264" s="221">
        <f t="shared" si="441"/>
        <v>171.3973798765</v>
      </c>
      <c r="BQ264" s="76">
        <f t="shared" si="442"/>
        <v>0</v>
      </c>
      <c r="BR264" s="76">
        <f t="shared" si="443"/>
        <v>0</v>
      </c>
      <c r="BS264" s="76">
        <f t="shared" si="444"/>
        <v>0</v>
      </c>
      <c r="BT264" s="76">
        <f t="shared" si="445"/>
        <v>1972483.98</v>
      </c>
      <c r="BU264" s="76">
        <f t="shared" si="446"/>
        <v>1999637.85</v>
      </c>
      <c r="BV264" s="76">
        <f t="shared" si="447"/>
        <v>2073222.71</v>
      </c>
      <c r="BW264" s="156">
        <f>'1.4. часы и места для МЗ и СЗ'!Q40</f>
        <v>0</v>
      </c>
      <c r="BX264" s="156">
        <f t="shared" si="510"/>
        <v>0</v>
      </c>
      <c r="BY264" s="156">
        <f t="shared" si="511"/>
        <v>0</v>
      </c>
      <c r="BZ264" s="76">
        <f t="shared" si="448"/>
        <v>0</v>
      </c>
      <c r="CA264" s="76">
        <f t="shared" si="449"/>
        <v>0</v>
      </c>
      <c r="CB264" s="76">
        <f t="shared" si="450"/>
        <v>0</v>
      </c>
      <c r="CC264" s="76">
        <f t="shared" si="451"/>
        <v>0</v>
      </c>
      <c r="CD264" s="76">
        <f t="shared" si="452"/>
        <v>0</v>
      </c>
      <c r="CE264" s="76">
        <f t="shared" si="453"/>
        <v>0</v>
      </c>
      <c r="CF264" s="221">
        <f t="shared" si="454"/>
        <v>0</v>
      </c>
      <c r="CG264" s="221">
        <f t="shared" si="455"/>
        <v>0</v>
      </c>
      <c r="CH264" s="221">
        <f t="shared" si="456"/>
        <v>0</v>
      </c>
      <c r="CI264" s="221">
        <f t="shared" si="457"/>
        <v>102.4933299426</v>
      </c>
      <c r="CJ264" s="221">
        <f t="shared" si="458"/>
        <v>104.0941253287</v>
      </c>
      <c r="CK264" s="221">
        <f t="shared" si="459"/>
        <v>108.30495001040001</v>
      </c>
      <c r="CL264" s="76">
        <f t="shared" si="460"/>
        <v>0</v>
      </c>
      <c r="CM264" s="76">
        <f t="shared" si="461"/>
        <v>0</v>
      </c>
      <c r="CN264" s="76">
        <f t="shared" si="462"/>
        <v>0</v>
      </c>
      <c r="CO264" s="76">
        <f t="shared" si="463"/>
        <v>0</v>
      </c>
      <c r="CP264" s="76">
        <f t="shared" si="464"/>
        <v>0</v>
      </c>
      <c r="CQ264" s="76">
        <f t="shared" si="465"/>
        <v>0</v>
      </c>
      <c r="CR264" s="156">
        <f>'1.4. часы и места для МЗ и СЗ'!Q53</f>
        <v>0</v>
      </c>
      <c r="CS264" s="156">
        <f t="shared" si="512"/>
        <v>0</v>
      </c>
      <c r="CT264" s="156">
        <f t="shared" si="513"/>
        <v>0</v>
      </c>
      <c r="CU264" s="76">
        <f t="shared" si="466"/>
        <v>0</v>
      </c>
      <c r="CV264" s="76">
        <f t="shared" si="467"/>
        <v>0</v>
      </c>
      <c r="CW264" s="76">
        <f t="shared" si="468"/>
        <v>0</v>
      </c>
      <c r="CX264" s="76">
        <f t="shared" si="469"/>
        <v>0</v>
      </c>
      <c r="CY264" s="76">
        <f t="shared" si="470"/>
        <v>0</v>
      </c>
      <c r="CZ264" s="76">
        <f t="shared" si="471"/>
        <v>0</v>
      </c>
      <c r="DA264" s="221">
        <f t="shared" si="472"/>
        <v>0</v>
      </c>
      <c r="DB264" s="221">
        <f t="shared" si="473"/>
        <v>0</v>
      </c>
      <c r="DC264" s="221">
        <f t="shared" si="474"/>
        <v>0</v>
      </c>
      <c r="DD264" s="221">
        <f t="shared" si="475"/>
        <v>49.8724814196</v>
      </c>
      <c r="DE264" s="221">
        <f t="shared" si="476"/>
        <v>51.004671892499999</v>
      </c>
      <c r="DF264" s="221">
        <f t="shared" si="477"/>
        <v>53.477676246100003</v>
      </c>
      <c r="DG264" s="76">
        <f t="shared" si="478"/>
        <v>0</v>
      </c>
      <c r="DH264" s="76">
        <f t="shared" si="479"/>
        <v>0</v>
      </c>
      <c r="DI264" s="76">
        <f t="shared" si="480"/>
        <v>0</v>
      </c>
      <c r="DJ264" s="76">
        <f t="shared" si="481"/>
        <v>0</v>
      </c>
      <c r="DK264" s="76">
        <f t="shared" si="482"/>
        <v>0</v>
      </c>
      <c r="DL264" s="76">
        <f t="shared" si="483"/>
        <v>0</v>
      </c>
      <c r="DM264" s="181">
        <f t="shared" si="514"/>
        <v>146168</v>
      </c>
      <c r="DN264" s="181">
        <f t="shared" si="484"/>
        <v>146168</v>
      </c>
      <c r="DO264" s="181">
        <f t="shared" si="485"/>
        <v>146168</v>
      </c>
      <c r="DP264" s="76">
        <f t="shared" si="486"/>
        <v>0</v>
      </c>
      <c r="DQ264" s="76">
        <f t="shared" si="487"/>
        <v>0</v>
      </c>
      <c r="DR264" s="76">
        <f t="shared" si="488"/>
        <v>0</v>
      </c>
      <c r="DS264" s="76">
        <f t="shared" si="489"/>
        <v>15743755.279999999</v>
      </c>
      <c r="DT264" s="76">
        <f t="shared" si="490"/>
        <v>16654381.92</v>
      </c>
      <c r="DU264" s="76">
        <f t="shared" si="491"/>
        <v>17581087.039999999</v>
      </c>
      <c r="DV264" s="221">
        <f t="shared" si="492"/>
        <v>0</v>
      </c>
      <c r="DW264" s="221">
        <f t="shared" si="493"/>
        <v>0</v>
      </c>
      <c r="DX264" s="221">
        <f t="shared" si="494"/>
        <v>0</v>
      </c>
      <c r="DY264" s="221">
        <f t="shared" si="495"/>
        <v>119.4516229995</v>
      </c>
      <c r="DZ264" s="221">
        <f t="shared" si="496"/>
        <v>123.68781173169999</v>
      </c>
      <c r="EA264" s="221">
        <f t="shared" si="497"/>
        <v>129.0889469494</v>
      </c>
      <c r="EB264" s="76">
        <f t="shared" si="498"/>
        <v>0</v>
      </c>
      <c r="EC264" s="76">
        <f t="shared" si="499"/>
        <v>0</v>
      </c>
      <c r="ED264" s="76">
        <f t="shared" si="500"/>
        <v>0</v>
      </c>
      <c r="EE264" s="76">
        <f t="shared" si="501"/>
        <v>17460004.829999998</v>
      </c>
      <c r="EF264" s="76">
        <f t="shared" si="502"/>
        <v>18079200.07</v>
      </c>
      <c r="EG264" s="76">
        <f t="shared" si="503"/>
        <v>18868673.199999999</v>
      </c>
    </row>
    <row r="265" spans="1:137" ht="36" x14ac:dyDescent="0.25">
      <c r="A265" s="396" t="s">
        <v>469</v>
      </c>
      <c r="B265" s="315" t="s">
        <v>818</v>
      </c>
      <c r="C265" s="5"/>
      <c r="D265" s="199"/>
      <c r="E265" s="200"/>
      <c r="F265" s="71"/>
      <c r="G265" s="71"/>
      <c r="H265" s="71"/>
      <c r="I265" s="76">
        <f t="shared" si="393"/>
        <v>100.55</v>
      </c>
      <c r="J265" s="76">
        <f t="shared" si="393"/>
        <v>106.5</v>
      </c>
      <c r="K265" s="76">
        <f t="shared" si="393"/>
        <v>112.52</v>
      </c>
      <c r="L265" s="156">
        <f>'1.4. часы и места для МЗ и СЗ'!Q29</f>
        <v>0</v>
      </c>
      <c r="M265" s="156">
        <f t="shared" si="504"/>
        <v>0</v>
      </c>
      <c r="N265" s="156">
        <f t="shared" si="505"/>
        <v>0</v>
      </c>
      <c r="O265" s="76">
        <f t="shared" ref="O265:O266" si="515">$F265*L265</f>
        <v>0</v>
      </c>
      <c r="P265" s="76">
        <f t="shared" ref="P265:P266" si="516">$G265*M265</f>
        <v>0</v>
      </c>
      <c r="Q265" s="76">
        <f t="shared" ref="Q265:Q266" si="517">$H265*N265</f>
        <v>0</v>
      </c>
      <c r="R265" s="76">
        <f t="shared" ref="R265:R266" si="518">$I265*L265</f>
        <v>0</v>
      </c>
      <c r="S265" s="76">
        <f t="shared" ref="S265:S266" si="519">$J265*M265</f>
        <v>0</v>
      </c>
      <c r="T265" s="76">
        <f t="shared" ref="T265:T266" si="520">$K265*N265</f>
        <v>0</v>
      </c>
      <c r="U265" s="221">
        <f t="shared" si="400"/>
        <v>0</v>
      </c>
      <c r="V265" s="221">
        <f t="shared" si="401"/>
        <v>0</v>
      </c>
      <c r="W265" s="221">
        <f t="shared" si="402"/>
        <v>0</v>
      </c>
      <c r="X265" s="221">
        <f t="shared" si="403"/>
        <v>104.638300297</v>
      </c>
      <c r="Y265" s="221">
        <f t="shared" si="404"/>
        <v>109.6780872569</v>
      </c>
      <c r="Z265" s="221">
        <f t="shared" si="405"/>
        <v>115.10664792679999</v>
      </c>
      <c r="AA265" s="76">
        <f t="shared" ref="AA265:AA266" si="521">L265*U265</f>
        <v>0</v>
      </c>
      <c r="AB265" s="76">
        <f t="shared" ref="AB265:AB266" si="522">M265*V265</f>
        <v>0</v>
      </c>
      <c r="AC265" s="76">
        <f t="shared" ref="AC265:AC266" si="523">N265*W265</f>
        <v>0</v>
      </c>
      <c r="AD265" s="76">
        <f t="shared" ref="AD265:AD266" si="524">L265*X265</f>
        <v>0</v>
      </c>
      <c r="AE265" s="76">
        <f t="shared" ref="AE265:AE266" si="525">M265*Y265</f>
        <v>0</v>
      </c>
      <c r="AF265" s="76">
        <f t="shared" ref="AF265:AF266" si="526">N265*Z265</f>
        <v>0</v>
      </c>
      <c r="AG265" s="156">
        <f>'1.4. часы и места для МЗ и СЗ'!Q68</f>
        <v>8184</v>
      </c>
      <c r="AH265" s="156">
        <f t="shared" si="506"/>
        <v>8184</v>
      </c>
      <c r="AI265" s="156">
        <f t="shared" si="507"/>
        <v>8184</v>
      </c>
      <c r="AJ265" s="76">
        <f t="shared" ref="AJ265:AJ266" si="527">$F265*AG265</f>
        <v>0</v>
      </c>
      <c r="AK265" s="76">
        <f t="shared" ref="AK265:AK266" si="528">$G265*AH265</f>
        <v>0</v>
      </c>
      <c r="AL265" s="76">
        <f t="shared" ref="AL265:AL266" si="529">$H265*AI265</f>
        <v>0</v>
      </c>
      <c r="AM265" s="76">
        <f t="shared" ref="AM265:AM266" si="530">$I265*AG265</f>
        <v>822901.2</v>
      </c>
      <c r="AN265" s="76">
        <f t="shared" ref="AN265:AN266" si="531">$J265*AH265</f>
        <v>871596</v>
      </c>
      <c r="AO265" s="76">
        <f t="shared" ref="AO265:AO266" si="532">$K265*AI265</f>
        <v>920863.68</v>
      </c>
      <c r="AP265" s="221">
        <f t="shared" si="418"/>
        <v>0</v>
      </c>
      <c r="AQ265" s="221">
        <f t="shared" si="419"/>
        <v>0</v>
      </c>
      <c r="AR265" s="221">
        <f t="shared" si="420"/>
        <v>0</v>
      </c>
      <c r="AS265" s="221">
        <f t="shared" si="421"/>
        <v>121.76228644370001</v>
      </c>
      <c r="AT265" s="221">
        <f t="shared" si="422"/>
        <v>127.513025132</v>
      </c>
      <c r="AU265" s="221">
        <f t="shared" si="423"/>
        <v>133.09535912019999</v>
      </c>
      <c r="AV265" s="76">
        <f t="shared" ref="AV265:AV266" si="533">AG265*AP265</f>
        <v>0</v>
      </c>
      <c r="AW265" s="76">
        <f t="shared" ref="AW265:AW266" si="534">AH265*AQ265</f>
        <v>0</v>
      </c>
      <c r="AX265" s="76">
        <f t="shared" ref="AX265:AX266" si="535">AI265*AR265</f>
        <v>0</v>
      </c>
      <c r="AY265" s="76">
        <f t="shared" ref="AY265:AY266" si="536">AG265*AS265</f>
        <v>996502.55</v>
      </c>
      <c r="AZ265" s="76">
        <f t="shared" ref="AZ265:AZ266" si="537">AH265*AT265</f>
        <v>1043566.6</v>
      </c>
      <c r="BA265" s="76">
        <f t="shared" ref="BA265:BA266" si="538">AI265*AU265</f>
        <v>1089252.42</v>
      </c>
      <c r="BB265" s="156">
        <f>'1.4. часы и места для МЗ и СЗ'!$Q$81</f>
        <v>0</v>
      </c>
      <c r="BC265" s="156">
        <f t="shared" si="508"/>
        <v>0</v>
      </c>
      <c r="BD265" s="156">
        <f t="shared" si="509"/>
        <v>0</v>
      </c>
      <c r="BE265" s="76">
        <f t="shared" ref="BE265:BE266" si="539">$F265*BB265</f>
        <v>0</v>
      </c>
      <c r="BF265" s="76">
        <f t="shared" ref="BF265:BF266" si="540">$G265*BC265</f>
        <v>0</v>
      </c>
      <c r="BG265" s="76">
        <f t="shared" ref="BG265:BG266" si="541">$H265*BD265</f>
        <v>0</v>
      </c>
      <c r="BH265" s="76">
        <f t="shared" ref="BH265:BH266" si="542">$I265*BB265</f>
        <v>0</v>
      </c>
      <c r="BI265" s="76">
        <f t="shared" ref="BI265:BI266" si="543">$J265*BC265</f>
        <v>0</v>
      </c>
      <c r="BJ265" s="76">
        <f t="shared" ref="BJ265:BJ266" si="544">$K265*BD265</f>
        <v>0</v>
      </c>
      <c r="BK265" s="221">
        <f t="shared" si="436"/>
        <v>0</v>
      </c>
      <c r="BL265" s="221">
        <f t="shared" si="437"/>
        <v>0</v>
      </c>
      <c r="BM265" s="221">
        <f t="shared" si="438"/>
        <v>0</v>
      </c>
      <c r="BN265" s="221">
        <f t="shared" si="439"/>
        <v>152.22912633230001</v>
      </c>
      <c r="BO265" s="221">
        <f t="shared" si="440"/>
        <v>154.51938207859999</v>
      </c>
      <c r="BP265" s="221">
        <f t="shared" si="441"/>
        <v>160.33948440060001</v>
      </c>
      <c r="BQ265" s="76">
        <f t="shared" ref="BQ265:BQ266" si="545">BB265*BK265</f>
        <v>0</v>
      </c>
      <c r="BR265" s="76">
        <f t="shared" ref="BR265:BR266" si="546">BC265*BL265</f>
        <v>0</v>
      </c>
      <c r="BS265" s="76">
        <f t="shared" ref="BS265:BS266" si="547">BD265*BM265</f>
        <v>0</v>
      </c>
      <c r="BT265" s="76">
        <f t="shared" ref="BT265:BT266" si="548">BB265*BN265</f>
        <v>0</v>
      </c>
      <c r="BU265" s="76">
        <f t="shared" ref="BU265:BU266" si="549">BC265*BO265</f>
        <v>0</v>
      </c>
      <c r="BV265" s="76">
        <f t="shared" ref="BV265:BV266" si="550">BD265*BP265</f>
        <v>0</v>
      </c>
      <c r="BW265" s="156">
        <f>'1.4. часы и места для МЗ и СЗ'!Q42</f>
        <v>0</v>
      </c>
      <c r="BX265" s="156">
        <f t="shared" si="510"/>
        <v>0</v>
      </c>
      <c r="BY265" s="156">
        <f t="shared" si="511"/>
        <v>0</v>
      </c>
      <c r="BZ265" s="76">
        <f t="shared" ref="BZ265:BZ266" si="551">$F265*BW265</f>
        <v>0</v>
      </c>
      <c r="CA265" s="76">
        <f t="shared" ref="CA265:CA266" si="552">$G265*BX265</f>
        <v>0</v>
      </c>
      <c r="CB265" s="76">
        <f t="shared" ref="CB265:CB266" si="553">$H265*BY265</f>
        <v>0</v>
      </c>
      <c r="CC265" s="76">
        <f t="shared" ref="CC265:CC266" si="554">$I265*BW265</f>
        <v>0</v>
      </c>
      <c r="CD265" s="76">
        <f t="shared" ref="CD265:CD266" si="555">$J265*BX265</f>
        <v>0</v>
      </c>
      <c r="CE265" s="76">
        <f t="shared" ref="CE265:CE266" si="556">$K265*BY265</f>
        <v>0</v>
      </c>
      <c r="CF265" s="221">
        <f t="shared" si="454"/>
        <v>0</v>
      </c>
      <c r="CG265" s="221">
        <f t="shared" si="455"/>
        <v>0</v>
      </c>
      <c r="CH265" s="221">
        <f t="shared" si="456"/>
        <v>0</v>
      </c>
      <c r="CI265" s="221">
        <f t="shared" si="457"/>
        <v>95.680107007000004</v>
      </c>
      <c r="CJ265" s="221">
        <f t="shared" si="458"/>
        <v>97.297036576400004</v>
      </c>
      <c r="CK265" s="221">
        <f t="shared" si="459"/>
        <v>101.3175338807</v>
      </c>
      <c r="CL265" s="76">
        <f t="shared" ref="CL265:CL266" si="557">BW265*CF265</f>
        <v>0</v>
      </c>
      <c r="CM265" s="76">
        <f t="shared" ref="CM265:CM266" si="558">BX265*CG265</f>
        <v>0</v>
      </c>
      <c r="CN265" s="76">
        <f t="shared" ref="CN265:CN266" si="559">BY265*CH265</f>
        <v>0</v>
      </c>
      <c r="CO265" s="76">
        <f t="shared" ref="CO265:CO266" si="560">BW265*CI265</f>
        <v>0</v>
      </c>
      <c r="CP265" s="76">
        <f t="shared" ref="CP265:CP266" si="561">BX265*CJ265</f>
        <v>0</v>
      </c>
      <c r="CQ265" s="76">
        <f t="shared" ref="CQ265:CQ266" si="562">BY265*CK265</f>
        <v>0</v>
      </c>
      <c r="CR265" s="156">
        <f>'1.4. часы и места для МЗ и СЗ'!Q55</f>
        <v>0</v>
      </c>
      <c r="CS265" s="156">
        <f t="shared" si="512"/>
        <v>0</v>
      </c>
      <c r="CT265" s="156">
        <f t="shared" si="513"/>
        <v>0</v>
      </c>
      <c r="CU265" s="76">
        <f t="shared" ref="CU265:CU266" si="563">$F265*CR265</f>
        <v>0</v>
      </c>
      <c r="CV265" s="76">
        <f t="shared" ref="CV265:CV266" si="564">$G265*CS265</f>
        <v>0</v>
      </c>
      <c r="CW265" s="76">
        <f t="shared" ref="CW265:CW266" si="565">$H265*CT265</f>
        <v>0</v>
      </c>
      <c r="CX265" s="76">
        <f t="shared" ref="CX265:CX266" si="566">$I265*CR265</f>
        <v>0</v>
      </c>
      <c r="CY265" s="76">
        <f t="shared" ref="CY265:CY266" si="567">$J265*CS265</f>
        <v>0</v>
      </c>
      <c r="CZ265" s="76">
        <f t="shared" ref="CZ265:CZ266" si="568">$K265*CT265</f>
        <v>0</v>
      </c>
      <c r="DA265" s="221">
        <f t="shared" si="472"/>
        <v>0</v>
      </c>
      <c r="DB265" s="221">
        <f t="shared" si="473"/>
        <v>0</v>
      </c>
      <c r="DC265" s="221">
        <f t="shared" si="474"/>
        <v>0</v>
      </c>
      <c r="DD265" s="221">
        <f t="shared" si="475"/>
        <v>46.557218519599999</v>
      </c>
      <c r="DE265" s="221">
        <f t="shared" si="476"/>
        <v>47.674193053800003</v>
      </c>
      <c r="DF265" s="221">
        <f t="shared" si="477"/>
        <v>50.0275035851</v>
      </c>
      <c r="DG265" s="76">
        <f t="shared" ref="DG265:DG266" si="569">CR265*DA265</f>
        <v>0</v>
      </c>
      <c r="DH265" s="76">
        <f t="shared" ref="DH265:DH266" si="570">CS265*DB265</f>
        <v>0</v>
      </c>
      <c r="DI265" s="76">
        <f t="shared" ref="DI265:DI266" si="571">CT265*DC265</f>
        <v>0</v>
      </c>
      <c r="DJ265" s="76">
        <f t="shared" ref="DJ265:DJ266" si="572">CR265*DD265</f>
        <v>0</v>
      </c>
      <c r="DK265" s="76">
        <f t="shared" ref="DK265:DK266" si="573">CS265*DE265</f>
        <v>0</v>
      </c>
      <c r="DL265" s="76">
        <f t="shared" ref="DL265:DL266" si="574">CT265*DF265</f>
        <v>0</v>
      </c>
      <c r="DM265" s="181">
        <f t="shared" ref="DM265:DM266" si="575">L265+AG265+BB265+BW265+CR265</f>
        <v>8184</v>
      </c>
      <c r="DN265" s="181">
        <f t="shared" ref="DN265:DN266" si="576">M265+AH265+BC265+BX265+CS265</f>
        <v>8184</v>
      </c>
      <c r="DO265" s="181">
        <f t="shared" ref="DO265:DO266" si="577">N265+AI265+BD265+BY265+CT265</f>
        <v>8184</v>
      </c>
      <c r="DP265" s="76">
        <f t="shared" ref="DP265:DP266" si="578">$F265*DM265</f>
        <v>0</v>
      </c>
      <c r="DQ265" s="76">
        <f t="shared" ref="DQ265:DQ266" si="579">$G265*DN265</f>
        <v>0</v>
      </c>
      <c r="DR265" s="76">
        <f t="shared" ref="DR265:DR266" si="580">$H265*DO265</f>
        <v>0</v>
      </c>
      <c r="DS265" s="76">
        <f t="shared" ref="DS265:DS266" si="581">$I265*DM265</f>
        <v>822901.2</v>
      </c>
      <c r="DT265" s="76">
        <f t="shared" ref="DT265:DT266" si="582">$J265*DN265</f>
        <v>871596</v>
      </c>
      <c r="DU265" s="76">
        <f t="shared" ref="DU265:DU266" si="583">$K265*DO265</f>
        <v>920863.68</v>
      </c>
      <c r="DV265" s="221">
        <f t="shared" si="492"/>
        <v>0</v>
      </c>
      <c r="DW265" s="221">
        <f t="shared" si="493"/>
        <v>0</v>
      </c>
      <c r="DX265" s="221">
        <f t="shared" si="494"/>
        <v>0</v>
      </c>
      <c r="DY265" s="221">
        <f t="shared" si="495"/>
        <v>111.5111010361</v>
      </c>
      <c r="DZ265" s="221">
        <f t="shared" si="496"/>
        <v>115.6113037514</v>
      </c>
      <c r="EA265" s="221">
        <f t="shared" si="497"/>
        <v>120.7606277913</v>
      </c>
      <c r="EB265" s="76">
        <f t="shared" ref="EB265:EB266" si="584">DM265*DV265</f>
        <v>0</v>
      </c>
      <c r="EC265" s="76">
        <f t="shared" ref="EC265:EC266" si="585">DN265*DW265</f>
        <v>0</v>
      </c>
      <c r="ED265" s="76">
        <f t="shared" ref="ED265:ED266" si="586">DO265*DX265</f>
        <v>0</v>
      </c>
      <c r="EE265" s="76">
        <f t="shared" ref="EE265:EE266" si="587">DM265*DY265</f>
        <v>912606.85</v>
      </c>
      <c r="EF265" s="76">
        <f t="shared" ref="EF265:EF266" si="588">DN265*DZ265</f>
        <v>946162.91</v>
      </c>
      <c r="EG265" s="76">
        <f t="shared" ref="EG265:EG266" si="589">DO265*EA265</f>
        <v>988304.98</v>
      </c>
    </row>
    <row r="266" spans="1:137" ht="24.75" customHeight="1" x14ac:dyDescent="0.25">
      <c r="A266" s="406" t="s">
        <v>825</v>
      </c>
      <c r="B266" s="392" t="s">
        <v>824</v>
      </c>
      <c r="C266" s="5"/>
      <c r="D266" s="199"/>
      <c r="E266" s="200"/>
      <c r="F266" s="71"/>
      <c r="G266" s="71"/>
      <c r="H266" s="71"/>
      <c r="I266" s="76">
        <f t="shared" si="393"/>
        <v>408.99</v>
      </c>
      <c r="J266" s="76">
        <f t="shared" si="393"/>
        <v>427.28</v>
      </c>
      <c r="K266" s="76">
        <f t="shared" si="393"/>
        <v>446.16</v>
      </c>
      <c r="L266" s="156">
        <f>'1.4. часы и места для МЗ и СЗ'!Q28</f>
        <v>1404</v>
      </c>
      <c r="M266" s="156">
        <f t="shared" si="504"/>
        <v>1404</v>
      </c>
      <c r="N266" s="156">
        <f t="shared" si="505"/>
        <v>1404</v>
      </c>
      <c r="O266" s="76">
        <f t="shared" si="515"/>
        <v>0</v>
      </c>
      <c r="P266" s="76">
        <f t="shared" si="516"/>
        <v>0</v>
      </c>
      <c r="Q266" s="76">
        <f t="shared" si="517"/>
        <v>0</v>
      </c>
      <c r="R266" s="76">
        <f t="shared" si="518"/>
        <v>574221.96</v>
      </c>
      <c r="S266" s="76">
        <f t="shared" si="519"/>
        <v>599901.12</v>
      </c>
      <c r="T266" s="76">
        <f t="shared" si="520"/>
        <v>626408.64</v>
      </c>
      <c r="U266" s="221">
        <f t="shared" si="400"/>
        <v>0</v>
      </c>
      <c r="V266" s="221">
        <f t="shared" si="401"/>
        <v>0</v>
      </c>
      <c r="W266" s="221">
        <f t="shared" si="402"/>
        <v>0</v>
      </c>
      <c r="X266" s="221">
        <f t="shared" si="403"/>
        <v>425.61927835379998</v>
      </c>
      <c r="Y266" s="221">
        <f t="shared" si="404"/>
        <v>440.03054575689998</v>
      </c>
      <c r="Z266" s="221">
        <f t="shared" si="405"/>
        <v>456.4164774175</v>
      </c>
      <c r="AA266" s="76">
        <f t="shared" si="521"/>
        <v>0</v>
      </c>
      <c r="AB266" s="76">
        <f t="shared" si="522"/>
        <v>0</v>
      </c>
      <c r="AC266" s="76">
        <f t="shared" si="523"/>
        <v>0</v>
      </c>
      <c r="AD266" s="76">
        <f t="shared" si="524"/>
        <v>597569.47</v>
      </c>
      <c r="AE266" s="76">
        <f t="shared" si="525"/>
        <v>617802.89</v>
      </c>
      <c r="AF266" s="76">
        <f t="shared" si="526"/>
        <v>640808.73</v>
      </c>
      <c r="AG266" s="156">
        <f>'1.4. часы и места для МЗ и СЗ'!Q67</f>
        <v>0</v>
      </c>
      <c r="AH266" s="156">
        <f t="shared" si="506"/>
        <v>0</v>
      </c>
      <c r="AI266" s="156">
        <f t="shared" si="507"/>
        <v>0</v>
      </c>
      <c r="AJ266" s="76">
        <f t="shared" si="527"/>
        <v>0</v>
      </c>
      <c r="AK266" s="76">
        <f t="shared" si="528"/>
        <v>0</v>
      </c>
      <c r="AL266" s="76">
        <f t="shared" si="529"/>
        <v>0</v>
      </c>
      <c r="AM266" s="76">
        <f t="shared" si="530"/>
        <v>0</v>
      </c>
      <c r="AN266" s="76">
        <f t="shared" si="531"/>
        <v>0</v>
      </c>
      <c r="AO266" s="76">
        <f t="shared" si="532"/>
        <v>0</v>
      </c>
      <c r="AP266" s="221">
        <f t="shared" si="418"/>
        <v>0</v>
      </c>
      <c r="AQ266" s="221">
        <f t="shared" si="419"/>
        <v>0</v>
      </c>
      <c r="AR266" s="221">
        <f t="shared" si="420"/>
        <v>0</v>
      </c>
      <c r="AS266" s="221">
        <f t="shared" si="421"/>
        <v>495.27158162699999</v>
      </c>
      <c r="AT266" s="221">
        <f t="shared" si="422"/>
        <v>511.58465144019999</v>
      </c>
      <c r="AU266" s="221">
        <f t="shared" si="423"/>
        <v>527.74462695579996</v>
      </c>
      <c r="AV266" s="76">
        <f t="shared" si="533"/>
        <v>0</v>
      </c>
      <c r="AW266" s="76">
        <f t="shared" si="534"/>
        <v>0</v>
      </c>
      <c r="AX266" s="76">
        <f t="shared" si="535"/>
        <v>0</v>
      </c>
      <c r="AY266" s="76">
        <f t="shared" si="536"/>
        <v>0</v>
      </c>
      <c r="AZ266" s="76">
        <f t="shared" si="537"/>
        <v>0</v>
      </c>
      <c r="BA266" s="76">
        <f t="shared" si="538"/>
        <v>0</v>
      </c>
      <c r="BB266" s="156">
        <f>'1.4. часы и места для МЗ и СЗ'!$Q$80</f>
        <v>0</v>
      </c>
      <c r="BC266" s="156">
        <f t="shared" si="508"/>
        <v>0</v>
      </c>
      <c r="BD266" s="156">
        <f t="shared" si="509"/>
        <v>0</v>
      </c>
      <c r="BE266" s="76">
        <f t="shared" si="539"/>
        <v>0</v>
      </c>
      <c r="BF266" s="76">
        <f t="shared" si="540"/>
        <v>0</v>
      </c>
      <c r="BG266" s="76">
        <f t="shared" si="541"/>
        <v>0</v>
      </c>
      <c r="BH266" s="76">
        <f t="shared" si="542"/>
        <v>0</v>
      </c>
      <c r="BI266" s="76">
        <f t="shared" si="543"/>
        <v>0</v>
      </c>
      <c r="BJ266" s="76">
        <f t="shared" si="544"/>
        <v>0</v>
      </c>
      <c r="BK266" s="221">
        <f t="shared" si="436"/>
        <v>0</v>
      </c>
      <c r="BL266" s="221">
        <f t="shared" si="437"/>
        <v>0</v>
      </c>
      <c r="BM266" s="221">
        <f t="shared" si="438"/>
        <v>0</v>
      </c>
      <c r="BN266" s="221">
        <f t="shared" si="439"/>
        <v>619.1963240046</v>
      </c>
      <c r="BO266" s="221">
        <f t="shared" si="440"/>
        <v>619.93466267159999</v>
      </c>
      <c r="BP266" s="221">
        <f t="shared" si="441"/>
        <v>635.77199040330004</v>
      </c>
      <c r="BQ266" s="76">
        <f t="shared" si="545"/>
        <v>0</v>
      </c>
      <c r="BR266" s="76">
        <f t="shared" si="546"/>
        <v>0</v>
      </c>
      <c r="BS266" s="76">
        <f t="shared" si="547"/>
        <v>0</v>
      </c>
      <c r="BT266" s="76">
        <f t="shared" si="548"/>
        <v>0</v>
      </c>
      <c r="BU266" s="76">
        <f t="shared" si="549"/>
        <v>0</v>
      </c>
      <c r="BV266" s="76">
        <f t="shared" si="550"/>
        <v>0</v>
      </c>
      <c r="BW266" s="156">
        <f>'1.4. часы и места для МЗ и СЗ'!Q41</f>
        <v>0</v>
      </c>
      <c r="BX266" s="156">
        <f t="shared" si="510"/>
        <v>0</v>
      </c>
      <c r="BY266" s="156">
        <f t="shared" si="511"/>
        <v>0</v>
      </c>
      <c r="BZ266" s="76">
        <f t="shared" si="551"/>
        <v>0</v>
      </c>
      <c r="CA266" s="76">
        <f t="shared" si="552"/>
        <v>0</v>
      </c>
      <c r="CB266" s="76">
        <f t="shared" si="553"/>
        <v>0</v>
      </c>
      <c r="CC266" s="76">
        <f t="shared" si="554"/>
        <v>0</v>
      </c>
      <c r="CD266" s="76">
        <f t="shared" si="555"/>
        <v>0</v>
      </c>
      <c r="CE266" s="76">
        <f t="shared" si="556"/>
        <v>0</v>
      </c>
      <c r="CF266" s="221">
        <f t="shared" si="454"/>
        <v>0</v>
      </c>
      <c r="CG266" s="221">
        <f t="shared" si="455"/>
        <v>0</v>
      </c>
      <c r="CH266" s="221">
        <f t="shared" si="456"/>
        <v>0</v>
      </c>
      <c r="CI266" s="221">
        <f t="shared" si="457"/>
        <v>389.18157100740001</v>
      </c>
      <c r="CJ266" s="221">
        <f t="shared" si="458"/>
        <v>390.35753791870002</v>
      </c>
      <c r="CK266" s="221">
        <f t="shared" si="459"/>
        <v>401.74040984909999</v>
      </c>
      <c r="CL266" s="76">
        <f t="shared" si="557"/>
        <v>0</v>
      </c>
      <c r="CM266" s="76">
        <f t="shared" si="558"/>
        <v>0</v>
      </c>
      <c r="CN266" s="76">
        <f t="shared" si="559"/>
        <v>0</v>
      </c>
      <c r="CO266" s="76">
        <f t="shared" si="560"/>
        <v>0</v>
      </c>
      <c r="CP266" s="76">
        <f t="shared" si="561"/>
        <v>0</v>
      </c>
      <c r="CQ266" s="76">
        <f t="shared" si="562"/>
        <v>0</v>
      </c>
      <c r="CR266" s="156">
        <f>'1.4. часы и места для МЗ и СЗ'!Q54</f>
        <v>0</v>
      </c>
      <c r="CS266" s="156">
        <f t="shared" si="512"/>
        <v>0</v>
      </c>
      <c r="CT266" s="156">
        <f t="shared" si="513"/>
        <v>0</v>
      </c>
      <c r="CU266" s="76">
        <f t="shared" si="563"/>
        <v>0</v>
      </c>
      <c r="CV266" s="76">
        <f t="shared" si="564"/>
        <v>0</v>
      </c>
      <c r="CW266" s="76">
        <f t="shared" si="565"/>
        <v>0</v>
      </c>
      <c r="CX266" s="76">
        <f t="shared" si="566"/>
        <v>0</v>
      </c>
      <c r="CY266" s="76">
        <f t="shared" si="567"/>
        <v>0</v>
      </c>
      <c r="CZ266" s="76">
        <f t="shared" si="568"/>
        <v>0</v>
      </c>
      <c r="DA266" s="221">
        <f t="shared" si="472"/>
        <v>0</v>
      </c>
      <c r="DB266" s="221">
        <f t="shared" si="473"/>
        <v>0</v>
      </c>
      <c r="DC266" s="221">
        <f t="shared" si="474"/>
        <v>0</v>
      </c>
      <c r="DD266" s="221">
        <f t="shared" si="475"/>
        <v>189.37281752690001</v>
      </c>
      <c r="DE266" s="221">
        <f t="shared" si="476"/>
        <v>191.26975782189999</v>
      </c>
      <c r="DF266" s="221">
        <f t="shared" si="477"/>
        <v>198.3671436146</v>
      </c>
      <c r="DG266" s="76">
        <f t="shared" si="569"/>
        <v>0</v>
      </c>
      <c r="DH266" s="76">
        <f t="shared" si="570"/>
        <v>0</v>
      </c>
      <c r="DI266" s="76">
        <f t="shared" si="571"/>
        <v>0</v>
      </c>
      <c r="DJ266" s="76">
        <f t="shared" si="572"/>
        <v>0</v>
      </c>
      <c r="DK266" s="76">
        <f t="shared" si="573"/>
        <v>0</v>
      </c>
      <c r="DL266" s="76">
        <f t="shared" si="574"/>
        <v>0</v>
      </c>
      <c r="DM266" s="181">
        <f t="shared" si="575"/>
        <v>1404</v>
      </c>
      <c r="DN266" s="181">
        <f t="shared" si="576"/>
        <v>1404</v>
      </c>
      <c r="DO266" s="181">
        <f t="shared" si="577"/>
        <v>1404</v>
      </c>
      <c r="DP266" s="76">
        <f t="shared" si="578"/>
        <v>0</v>
      </c>
      <c r="DQ266" s="76">
        <f t="shared" si="579"/>
        <v>0</v>
      </c>
      <c r="DR266" s="76">
        <f t="shared" si="580"/>
        <v>0</v>
      </c>
      <c r="DS266" s="76">
        <f t="shared" si="581"/>
        <v>574221.96</v>
      </c>
      <c r="DT266" s="76">
        <f t="shared" si="582"/>
        <v>599901.12</v>
      </c>
      <c r="DU266" s="76">
        <f t="shared" si="583"/>
        <v>626408.64</v>
      </c>
      <c r="DV266" s="221">
        <f t="shared" si="492"/>
        <v>0</v>
      </c>
      <c r="DW266" s="221">
        <f t="shared" si="493"/>
        <v>0</v>
      </c>
      <c r="DX266" s="221">
        <f t="shared" si="494"/>
        <v>0</v>
      </c>
      <c r="DY266" s="221">
        <f t="shared" si="495"/>
        <v>453.57459187209997</v>
      </c>
      <c r="DZ266" s="221">
        <f t="shared" si="496"/>
        <v>463.83472175470001</v>
      </c>
      <c r="EA266" s="221">
        <f t="shared" si="497"/>
        <v>478.83542210619999</v>
      </c>
      <c r="EB266" s="76">
        <f t="shared" si="584"/>
        <v>0</v>
      </c>
      <c r="EC266" s="76">
        <f t="shared" si="585"/>
        <v>0</v>
      </c>
      <c r="ED266" s="76">
        <f t="shared" si="586"/>
        <v>0</v>
      </c>
      <c r="EE266" s="76">
        <f t="shared" si="587"/>
        <v>636818.73</v>
      </c>
      <c r="EF266" s="76">
        <f t="shared" si="588"/>
        <v>651223.94999999995</v>
      </c>
      <c r="EG266" s="76">
        <f t="shared" si="589"/>
        <v>672284.93</v>
      </c>
    </row>
    <row r="267" spans="1:137" ht="36" x14ac:dyDescent="0.25">
      <c r="A267" s="396" t="s">
        <v>826</v>
      </c>
      <c r="B267" s="392" t="s">
        <v>821</v>
      </c>
      <c r="C267" s="5"/>
      <c r="D267" s="199"/>
      <c r="E267" s="200"/>
      <c r="F267" s="71"/>
      <c r="G267" s="71"/>
      <c r="H267" s="71"/>
      <c r="I267" s="76">
        <f t="shared" si="393"/>
        <v>173.89</v>
      </c>
      <c r="J267" s="76">
        <f t="shared" si="393"/>
        <v>182.77</v>
      </c>
      <c r="K267" s="76">
        <f t="shared" si="393"/>
        <v>191.86</v>
      </c>
      <c r="L267" s="156">
        <f>'1.4. часы и места для МЗ и СЗ'!Q30</f>
        <v>1620</v>
      </c>
      <c r="M267" s="156">
        <f t="shared" si="504"/>
        <v>1620</v>
      </c>
      <c r="N267" s="156">
        <f t="shared" si="505"/>
        <v>1620</v>
      </c>
      <c r="O267" s="76">
        <f t="shared" si="394"/>
        <v>0</v>
      </c>
      <c r="P267" s="76">
        <f t="shared" si="395"/>
        <v>0</v>
      </c>
      <c r="Q267" s="76">
        <f t="shared" si="396"/>
        <v>0</v>
      </c>
      <c r="R267" s="76">
        <f t="shared" si="397"/>
        <v>281701.8</v>
      </c>
      <c r="S267" s="76">
        <f t="shared" si="398"/>
        <v>296087.40000000002</v>
      </c>
      <c r="T267" s="76">
        <f t="shared" si="399"/>
        <v>310813.2</v>
      </c>
      <c r="U267" s="221">
        <f t="shared" si="400"/>
        <v>0</v>
      </c>
      <c r="V267" s="221">
        <f t="shared" si="401"/>
        <v>0</v>
      </c>
      <c r="W267" s="221">
        <f t="shared" si="402"/>
        <v>0</v>
      </c>
      <c r="X267" s="221">
        <f t="shared" si="403"/>
        <v>180.96025896219999</v>
      </c>
      <c r="Y267" s="221">
        <f t="shared" si="404"/>
        <v>188.2240751919</v>
      </c>
      <c r="Z267" s="221">
        <f t="shared" si="405"/>
        <v>196.27054275890001</v>
      </c>
      <c r="AA267" s="76">
        <f t="shared" si="406"/>
        <v>0</v>
      </c>
      <c r="AB267" s="76">
        <f t="shared" si="407"/>
        <v>0</v>
      </c>
      <c r="AC267" s="76">
        <f t="shared" si="408"/>
        <v>0</v>
      </c>
      <c r="AD267" s="76">
        <f t="shared" si="409"/>
        <v>293155.62</v>
      </c>
      <c r="AE267" s="76">
        <f t="shared" si="410"/>
        <v>304923</v>
      </c>
      <c r="AF267" s="76">
        <f t="shared" si="411"/>
        <v>317958.28000000003</v>
      </c>
      <c r="AG267" s="156">
        <f>'1.4. часы и места для МЗ и СЗ'!Q69</f>
        <v>0</v>
      </c>
      <c r="AH267" s="156">
        <f t="shared" si="506"/>
        <v>0</v>
      </c>
      <c r="AI267" s="156">
        <f t="shared" si="507"/>
        <v>0</v>
      </c>
      <c r="AJ267" s="76">
        <f t="shared" si="412"/>
        <v>0</v>
      </c>
      <c r="AK267" s="76">
        <f t="shared" si="413"/>
        <v>0</v>
      </c>
      <c r="AL267" s="76">
        <f t="shared" si="414"/>
        <v>0</v>
      </c>
      <c r="AM267" s="76">
        <f t="shared" si="415"/>
        <v>0</v>
      </c>
      <c r="AN267" s="76">
        <f t="shared" si="416"/>
        <v>0</v>
      </c>
      <c r="AO267" s="76">
        <f t="shared" si="417"/>
        <v>0</v>
      </c>
      <c r="AP267" s="221">
        <f t="shared" si="418"/>
        <v>0</v>
      </c>
      <c r="AQ267" s="221">
        <f t="shared" si="419"/>
        <v>0</v>
      </c>
      <c r="AR267" s="221">
        <f t="shared" si="420"/>
        <v>0</v>
      </c>
      <c r="AS267" s="221">
        <f t="shared" si="421"/>
        <v>210.57428134950001</v>
      </c>
      <c r="AT267" s="221">
        <f t="shared" si="422"/>
        <v>218.83150801279999</v>
      </c>
      <c r="AU267" s="221">
        <f t="shared" si="423"/>
        <v>226.94343761819999</v>
      </c>
      <c r="AV267" s="76">
        <f t="shared" si="424"/>
        <v>0</v>
      </c>
      <c r="AW267" s="76">
        <f t="shared" si="425"/>
        <v>0</v>
      </c>
      <c r="AX267" s="76">
        <f t="shared" si="426"/>
        <v>0</v>
      </c>
      <c r="AY267" s="76">
        <f t="shared" si="427"/>
        <v>0</v>
      </c>
      <c r="AZ267" s="76">
        <f t="shared" si="428"/>
        <v>0</v>
      </c>
      <c r="BA267" s="76">
        <f t="shared" si="429"/>
        <v>0</v>
      </c>
      <c r="BB267" s="156">
        <f>'1.4. часы и места для МЗ и СЗ'!$Q$82</f>
        <v>5976</v>
      </c>
      <c r="BC267" s="156">
        <f t="shared" si="508"/>
        <v>5976</v>
      </c>
      <c r="BD267" s="156">
        <f t="shared" si="509"/>
        <v>5976</v>
      </c>
      <c r="BE267" s="76">
        <f t="shared" si="430"/>
        <v>0</v>
      </c>
      <c r="BF267" s="76">
        <f t="shared" si="431"/>
        <v>0</v>
      </c>
      <c r="BG267" s="76">
        <f t="shared" si="432"/>
        <v>0</v>
      </c>
      <c r="BH267" s="76">
        <f t="shared" si="433"/>
        <v>1039166.64</v>
      </c>
      <c r="BI267" s="76">
        <f t="shared" si="434"/>
        <v>1092233.52</v>
      </c>
      <c r="BJ267" s="76">
        <f t="shared" si="435"/>
        <v>1146555.3600000001</v>
      </c>
      <c r="BK267" s="221">
        <f t="shared" si="436"/>
        <v>0</v>
      </c>
      <c r="BL267" s="221">
        <f t="shared" si="437"/>
        <v>0</v>
      </c>
      <c r="BM267" s="221">
        <f t="shared" si="438"/>
        <v>0</v>
      </c>
      <c r="BN267" s="221">
        <f t="shared" si="439"/>
        <v>263.2632797407</v>
      </c>
      <c r="BO267" s="221">
        <f t="shared" si="440"/>
        <v>265.17847382629998</v>
      </c>
      <c r="BP267" s="221">
        <f t="shared" si="441"/>
        <v>273.39791572249999</v>
      </c>
      <c r="BQ267" s="76">
        <f t="shared" si="442"/>
        <v>0</v>
      </c>
      <c r="BR267" s="76">
        <f t="shared" si="443"/>
        <v>0</v>
      </c>
      <c r="BS267" s="76">
        <f t="shared" si="444"/>
        <v>0</v>
      </c>
      <c r="BT267" s="76">
        <f t="shared" si="445"/>
        <v>1573261.36</v>
      </c>
      <c r="BU267" s="76">
        <f t="shared" si="446"/>
        <v>1584706.5600000001</v>
      </c>
      <c r="BV267" s="76">
        <f t="shared" si="447"/>
        <v>1633825.94</v>
      </c>
      <c r="BW267" s="156">
        <f>'1.4. часы и места для МЗ и СЗ'!Q43</f>
        <v>0</v>
      </c>
      <c r="BX267" s="156">
        <f t="shared" si="510"/>
        <v>0</v>
      </c>
      <c r="BY267" s="156">
        <f t="shared" si="511"/>
        <v>0</v>
      </c>
      <c r="BZ267" s="76">
        <f t="shared" si="448"/>
        <v>0</v>
      </c>
      <c r="CA267" s="76">
        <f t="shared" si="449"/>
        <v>0</v>
      </c>
      <c r="CB267" s="76">
        <f t="shared" si="450"/>
        <v>0</v>
      </c>
      <c r="CC267" s="76">
        <f t="shared" si="451"/>
        <v>0</v>
      </c>
      <c r="CD267" s="76">
        <f t="shared" si="452"/>
        <v>0</v>
      </c>
      <c r="CE267" s="76">
        <f t="shared" si="453"/>
        <v>0</v>
      </c>
      <c r="CF267" s="221">
        <f t="shared" si="454"/>
        <v>0</v>
      </c>
      <c r="CG267" s="221">
        <f t="shared" si="455"/>
        <v>0</v>
      </c>
      <c r="CH267" s="221">
        <f t="shared" si="456"/>
        <v>0</v>
      </c>
      <c r="CI267" s="221">
        <f t="shared" si="457"/>
        <v>165.46806372399999</v>
      </c>
      <c r="CJ267" s="221">
        <f t="shared" si="458"/>
        <v>166.9763321602</v>
      </c>
      <c r="CK267" s="221">
        <f t="shared" si="459"/>
        <v>172.75846116560001</v>
      </c>
      <c r="CL267" s="76">
        <f t="shared" si="460"/>
        <v>0</v>
      </c>
      <c r="CM267" s="76">
        <f t="shared" si="461"/>
        <v>0</v>
      </c>
      <c r="CN267" s="76">
        <f t="shared" si="462"/>
        <v>0</v>
      </c>
      <c r="CO267" s="76">
        <f t="shared" si="463"/>
        <v>0</v>
      </c>
      <c r="CP267" s="76">
        <f t="shared" si="464"/>
        <v>0</v>
      </c>
      <c r="CQ267" s="76">
        <f t="shared" si="465"/>
        <v>0</v>
      </c>
      <c r="CR267" s="156">
        <f>'1.4. часы и места для МЗ и СЗ'!Q56</f>
        <v>0</v>
      </c>
      <c r="CS267" s="156">
        <f t="shared" si="512"/>
        <v>0</v>
      </c>
      <c r="CT267" s="156">
        <f t="shared" si="513"/>
        <v>0</v>
      </c>
      <c r="CU267" s="76">
        <f t="shared" si="466"/>
        <v>0</v>
      </c>
      <c r="CV267" s="76">
        <f t="shared" si="467"/>
        <v>0</v>
      </c>
      <c r="CW267" s="76">
        <f t="shared" si="468"/>
        <v>0</v>
      </c>
      <c r="CX267" s="76">
        <f t="shared" si="469"/>
        <v>0</v>
      </c>
      <c r="CY267" s="76">
        <f t="shared" si="470"/>
        <v>0</v>
      </c>
      <c r="CZ267" s="76">
        <f t="shared" si="471"/>
        <v>0</v>
      </c>
      <c r="DA267" s="221">
        <f t="shared" si="472"/>
        <v>0</v>
      </c>
      <c r="DB267" s="221">
        <f t="shared" si="473"/>
        <v>0</v>
      </c>
      <c r="DC267" s="221">
        <f t="shared" si="474"/>
        <v>0</v>
      </c>
      <c r="DD267" s="221">
        <f t="shared" si="475"/>
        <v>80.515511967899997</v>
      </c>
      <c r="DE267" s="221">
        <f t="shared" si="476"/>
        <v>81.816077600400007</v>
      </c>
      <c r="DF267" s="221">
        <f t="shared" si="477"/>
        <v>85.302851384899995</v>
      </c>
      <c r="DG267" s="76">
        <f t="shared" si="478"/>
        <v>0</v>
      </c>
      <c r="DH267" s="76">
        <f t="shared" si="479"/>
        <v>0</v>
      </c>
      <c r="DI267" s="76">
        <f t="shared" si="480"/>
        <v>0</v>
      </c>
      <c r="DJ267" s="76">
        <f t="shared" si="481"/>
        <v>0</v>
      </c>
      <c r="DK267" s="76">
        <f t="shared" si="482"/>
        <v>0</v>
      </c>
      <c r="DL267" s="76">
        <f t="shared" si="483"/>
        <v>0</v>
      </c>
      <c r="DM267" s="181">
        <f t="shared" si="514"/>
        <v>7596</v>
      </c>
      <c r="DN267" s="181">
        <f t="shared" si="484"/>
        <v>7596</v>
      </c>
      <c r="DO267" s="181">
        <f t="shared" si="485"/>
        <v>7596</v>
      </c>
      <c r="DP267" s="76">
        <f t="shared" si="486"/>
        <v>0</v>
      </c>
      <c r="DQ267" s="76">
        <f t="shared" si="487"/>
        <v>0</v>
      </c>
      <c r="DR267" s="76">
        <f t="shared" si="488"/>
        <v>0</v>
      </c>
      <c r="DS267" s="76">
        <f t="shared" si="489"/>
        <v>1320868.44</v>
      </c>
      <c r="DT267" s="76">
        <f t="shared" si="490"/>
        <v>1388320.92</v>
      </c>
      <c r="DU267" s="76">
        <f t="shared" si="491"/>
        <v>1457368.56</v>
      </c>
      <c r="DV267" s="221">
        <f t="shared" si="492"/>
        <v>0</v>
      </c>
      <c r="DW267" s="221">
        <f t="shared" si="493"/>
        <v>0</v>
      </c>
      <c r="DX267" s="221">
        <f t="shared" si="494"/>
        <v>0</v>
      </c>
      <c r="DY267" s="221">
        <f t="shared" si="495"/>
        <v>192.84600058839999</v>
      </c>
      <c r="DZ267" s="221">
        <f t="shared" si="496"/>
        <v>198.40636607170001</v>
      </c>
      <c r="EA267" s="221">
        <f t="shared" si="497"/>
        <v>205.91125176009999</v>
      </c>
      <c r="EB267" s="76">
        <f t="shared" si="498"/>
        <v>0</v>
      </c>
      <c r="EC267" s="76">
        <f t="shared" si="499"/>
        <v>0</v>
      </c>
      <c r="ED267" s="76">
        <f t="shared" si="500"/>
        <v>0</v>
      </c>
      <c r="EE267" s="76">
        <f t="shared" si="501"/>
        <v>1464858.22</v>
      </c>
      <c r="EF267" s="76">
        <f t="shared" si="502"/>
        <v>1507094.76</v>
      </c>
      <c r="EG267" s="76">
        <f t="shared" si="503"/>
        <v>1564101.87</v>
      </c>
    </row>
    <row r="268" spans="1:137" x14ac:dyDescent="0.25">
      <c r="A268" s="194" t="s">
        <v>480</v>
      </c>
      <c r="B268" s="318"/>
      <c r="C268" s="201"/>
      <c r="D268" s="202"/>
      <c r="E268" s="203"/>
      <c r="F268" s="203"/>
      <c r="G268" s="203"/>
      <c r="H268" s="203"/>
      <c r="I268" s="204"/>
      <c r="J268" s="204"/>
      <c r="K268" s="204"/>
      <c r="L268" s="204"/>
      <c r="M268" s="204"/>
      <c r="N268" s="204"/>
      <c r="O268" s="204"/>
      <c r="P268" s="204"/>
      <c r="Q268" s="204"/>
      <c r="R268" s="204"/>
      <c r="S268" s="204"/>
      <c r="T268" s="204"/>
      <c r="U268" s="204"/>
      <c r="V268" s="204"/>
      <c r="W268" s="204"/>
      <c r="X268" s="204"/>
      <c r="Y268" s="204"/>
      <c r="Z268" s="204"/>
      <c r="AA268" s="204"/>
      <c r="AB268" s="204"/>
      <c r="AC268" s="204"/>
      <c r="AD268" s="204"/>
      <c r="AE268" s="204"/>
      <c r="AF268" s="204"/>
      <c r="AG268" s="204"/>
      <c r="AH268" s="204"/>
      <c r="AI268" s="204"/>
      <c r="AJ268" s="204"/>
      <c r="AK268" s="204"/>
      <c r="AL268" s="204"/>
      <c r="AM268" s="204"/>
      <c r="AN268" s="204"/>
      <c r="AO268" s="204"/>
      <c r="AP268" s="204"/>
      <c r="AQ268" s="204"/>
      <c r="AR268" s="204"/>
      <c r="AS268" s="204"/>
      <c r="AT268" s="204"/>
      <c r="AU268" s="204"/>
      <c r="AV268" s="204"/>
      <c r="AW268" s="204"/>
      <c r="AX268" s="204"/>
      <c r="AY268" s="204"/>
      <c r="AZ268" s="204"/>
      <c r="BA268" s="204"/>
      <c r="BB268" s="204"/>
      <c r="BC268" s="204"/>
      <c r="BD268" s="204"/>
      <c r="BE268" s="204"/>
      <c r="BF268" s="204"/>
      <c r="BG268" s="204"/>
      <c r="BH268" s="204"/>
      <c r="BI268" s="204"/>
      <c r="BJ268" s="204"/>
      <c r="BK268" s="204"/>
      <c r="BL268" s="204"/>
      <c r="BM268" s="204"/>
      <c r="BN268" s="204"/>
      <c r="BO268" s="204"/>
      <c r="BP268" s="204"/>
      <c r="BQ268" s="204"/>
      <c r="BR268" s="204"/>
      <c r="BS268" s="204"/>
      <c r="BT268" s="204"/>
      <c r="BU268" s="204"/>
      <c r="BV268" s="204"/>
      <c r="BW268" s="204"/>
      <c r="BX268" s="204"/>
      <c r="BY268" s="204"/>
      <c r="BZ268" s="204"/>
      <c r="CA268" s="204"/>
      <c r="CB268" s="204"/>
      <c r="CC268" s="204"/>
      <c r="CD268" s="204"/>
      <c r="CE268" s="204"/>
      <c r="CF268" s="204"/>
      <c r="CG268" s="204"/>
      <c r="CH268" s="204"/>
      <c r="CI268" s="204"/>
      <c r="CJ268" s="204"/>
      <c r="CK268" s="204"/>
      <c r="CL268" s="204"/>
      <c r="CM268" s="204"/>
      <c r="CN268" s="204"/>
      <c r="CO268" s="204"/>
      <c r="CP268" s="204"/>
      <c r="CQ268" s="204"/>
      <c r="CR268" s="204"/>
      <c r="CS268" s="204"/>
      <c r="CT268" s="204"/>
      <c r="CU268" s="204"/>
      <c r="CV268" s="204"/>
      <c r="CW268" s="204"/>
      <c r="CX268" s="204"/>
      <c r="CY268" s="204"/>
      <c r="CZ268" s="204"/>
      <c r="DA268" s="204"/>
      <c r="DB268" s="204"/>
      <c r="DC268" s="204"/>
      <c r="DD268" s="204"/>
      <c r="DE268" s="204"/>
      <c r="DF268" s="204"/>
      <c r="DG268" s="204"/>
      <c r="DH268" s="204"/>
      <c r="DI268" s="204"/>
      <c r="DJ268" s="204"/>
      <c r="DK268" s="204"/>
      <c r="DL268" s="204"/>
      <c r="DM268" s="204"/>
      <c r="DN268" s="204"/>
      <c r="DO268" s="204"/>
      <c r="DP268" s="204"/>
      <c r="DQ268" s="204"/>
      <c r="DR268" s="204"/>
      <c r="DS268" s="204"/>
      <c r="DT268" s="204"/>
      <c r="DU268" s="204"/>
      <c r="DV268" s="204"/>
      <c r="DW268" s="204"/>
      <c r="DX268" s="204"/>
      <c r="DY268" s="204"/>
      <c r="DZ268" s="204"/>
      <c r="EA268" s="204"/>
      <c r="EB268" s="204"/>
      <c r="EC268" s="204"/>
      <c r="ED268" s="204"/>
      <c r="EE268" s="204"/>
      <c r="EF268" s="204"/>
      <c r="EG268" s="204"/>
    </row>
    <row r="269" spans="1:137" ht="24" x14ac:dyDescent="0.25">
      <c r="A269" s="17" t="s">
        <v>1162</v>
      </c>
      <c r="B269" s="319"/>
      <c r="C269" s="205" t="s">
        <v>484</v>
      </c>
      <c r="D269" s="196"/>
      <c r="E269" s="197"/>
      <c r="F269" s="206"/>
      <c r="G269" s="206"/>
      <c r="H269" s="206"/>
      <c r="I269" s="207"/>
      <c r="J269" s="207"/>
      <c r="K269" s="207"/>
      <c r="L269" s="198" t="s">
        <v>471</v>
      </c>
      <c r="M269" s="198" t="s">
        <v>471</v>
      </c>
      <c r="N269" s="198" t="s">
        <v>471</v>
      </c>
      <c r="O269" s="206">
        <f t="shared" ref="O269:T269" si="590">O258</f>
        <v>0</v>
      </c>
      <c r="P269" s="206">
        <f t="shared" si="590"/>
        <v>0</v>
      </c>
      <c r="Q269" s="206">
        <f t="shared" si="590"/>
        <v>0</v>
      </c>
      <c r="R269" s="206">
        <f t="shared" si="590"/>
        <v>36615699.359999999</v>
      </c>
      <c r="S269" s="206">
        <f t="shared" si="590"/>
        <v>38601837.359999999</v>
      </c>
      <c r="T269" s="206">
        <f t="shared" si="590"/>
        <v>40628665.799999997</v>
      </c>
      <c r="U269" s="198" t="s">
        <v>471</v>
      </c>
      <c r="V269" s="198" t="s">
        <v>471</v>
      </c>
      <c r="W269" s="198" t="s">
        <v>471</v>
      </c>
      <c r="X269" s="198" t="s">
        <v>471</v>
      </c>
      <c r="Y269" s="198" t="s">
        <v>471</v>
      </c>
      <c r="Z269" s="198" t="s">
        <v>471</v>
      </c>
      <c r="AA269" s="198" t="s">
        <v>471</v>
      </c>
      <c r="AB269" s="198" t="s">
        <v>471</v>
      </c>
      <c r="AC269" s="198" t="s">
        <v>471</v>
      </c>
      <c r="AD269" s="198" t="s">
        <v>471</v>
      </c>
      <c r="AE269" s="198" t="s">
        <v>471</v>
      </c>
      <c r="AF269" s="198" t="s">
        <v>471</v>
      </c>
      <c r="AG269" s="198" t="s">
        <v>471</v>
      </c>
      <c r="AH269" s="198" t="s">
        <v>471</v>
      </c>
      <c r="AI269" s="198" t="s">
        <v>471</v>
      </c>
      <c r="AJ269" s="206">
        <f t="shared" ref="AJ269:AO269" si="591">AJ258</f>
        <v>0</v>
      </c>
      <c r="AK269" s="206">
        <f t="shared" si="591"/>
        <v>0</v>
      </c>
      <c r="AL269" s="206">
        <f t="shared" si="591"/>
        <v>0</v>
      </c>
      <c r="AM269" s="206">
        <f t="shared" si="591"/>
        <v>30582256.800000001</v>
      </c>
      <c r="AN269" s="206">
        <f t="shared" si="591"/>
        <v>32266675.600000001</v>
      </c>
      <c r="AO269" s="206">
        <f t="shared" si="591"/>
        <v>33983752.960000001</v>
      </c>
      <c r="AP269" s="198" t="s">
        <v>471</v>
      </c>
      <c r="AQ269" s="198" t="s">
        <v>471</v>
      </c>
      <c r="AR269" s="198" t="s">
        <v>471</v>
      </c>
      <c r="AS269" s="198" t="s">
        <v>471</v>
      </c>
      <c r="AT269" s="198" t="s">
        <v>471</v>
      </c>
      <c r="AU269" s="198" t="s">
        <v>471</v>
      </c>
      <c r="AV269" s="198" t="s">
        <v>471</v>
      </c>
      <c r="AW269" s="198" t="s">
        <v>471</v>
      </c>
      <c r="AX269" s="198" t="s">
        <v>471</v>
      </c>
      <c r="AY269" s="198" t="s">
        <v>471</v>
      </c>
      <c r="AZ269" s="198" t="s">
        <v>471</v>
      </c>
      <c r="BA269" s="198" t="s">
        <v>471</v>
      </c>
      <c r="BB269" s="198" t="s">
        <v>471</v>
      </c>
      <c r="BC269" s="198" t="s">
        <v>471</v>
      </c>
      <c r="BD269" s="198" t="s">
        <v>471</v>
      </c>
      <c r="BE269" s="206">
        <f t="shared" ref="BE269:BJ269" si="592">BE258</f>
        <v>0</v>
      </c>
      <c r="BF269" s="206">
        <f t="shared" si="592"/>
        <v>0</v>
      </c>
      <c r="BG269" s="206">
        <f t="shared" si="592"/>
        <v>0</v>
      </c>
      <c r="BH269" s="206">
        <f t="shared" si="592"/>
        <v>21369125.52</v>
      </c>
      <c r="BI269" s="206">
        <f t="shared" si="592"/>
        <v>22553816.039999999</v>
      </c>
      <c r="BJ269" s="206">
        <f t="shared" si="592"/>
        <v>23759874.359999999</v>
      </c>
      <c r="BK269" s="198" t="s">
        <v>471</v>
      </c>
      <c r="BL269" s="198" t="s">
        <v>471</v>
      </c>
      <c r="BM269" s="198" t="s">
        <v>471</v>
      </c>
      <c r="BN269" s="198" t="s">
        <v>471</v>
      </c>
      <c r="BO269" s="198" t="s">
        <v>471</v>
      </c>
      <c r="BP269" s="198" t="s">
        <v>471</v>
      </c>
      <c r="BQ269" s="198" t="s">
        <v>471</v>
      </c>
      <c r="BR269" s="198" t="s">
        <v>471</v>
      </c>
      <c r="BS269" s="198" t="s">
        <v>471</v>
      </c>
      <c r="BT269" s="198" t="s">
        <v>471</v>
      </c>
      <c r="BU269" s="198" t="s">
        <v>471</v>
      </c>
      <c r="BV269" s="198" t="s">
        <v>471</v>
      </c>
      <c r="BW269" s="198" t="s">
        <v>471</v>
      </c>
      <c r="BX269" s="198" t="s">
        <v>471</v>
      </c>
      <c r="BY269" s="198" t="s">
        <v>471</v>
      </c>
      <c r="BZ269" s="206">
        <f t="shared" ref="BZ269:CE269" si="593">BZ258</f>
        <v>0</v>
      </c>
      <c r="CA269" s="206">
        <f t="shared" si="593"/>
        <v>0</v>
      </c>
      <c r="CB269" s="206">
        <f t="shared" si="593"/>
        <v>0</v>
      </c>
      <c r="CC269" s="206">
        <f t="shared" si="593"/>
        <v>11460447.359999999</v>
      </c>
      <c r="CD269" s="206">
        <f t="shared" si="593"/>
        <v>12161465.279999999</v>
      </c>
      <c r="CE269" s="206">
        <f t="shared" si="593"/>
        <v>12871293.119999999</v>
      </c>
      <c r="CF269" s="198" t="s">
        <v>471</v>
      </c>
      <c r="CG269" s="198" t="s">
        <v>471</v>
      </c>
      <c r="CH269" s="198" t="s">
        <v>471</v>
      </c>
      <c r="CI269" s="198" t="s">
        <v>471</v>
      </c>
      <c r="CJ269" s="198" t="s">
        <v>471</v>
      </c>
      <c r="CK269" s="198" t="s">
        <v>471</v>
      </c>
      <c r="CL269" s="198" t="s">
        <v>471</v>
      </c>
      <c r="CM269" s="198" t="s">
        <v>471</v>
      </c>
      <c r="CN269" s="198" t="s">
        <v>471</v>
      </c>
      <c r="CO269" s="198" t="s">
        <v>471</v>
      </c>
      <c r="CP269" s="198" t="s">
        <v>471</v>
      </c>
      <c r="CQ269" s="198" t="s">
        <v>471</v>
      </c>
      <c r="CR269" s="198" t="s">
        <v>471</v>
      </c>
      <c r="CS269" s="198" t="s">
        <v>471</v>
      </c>
      <c r="CT269" s="198" t="s">
        <v>471</v>
      </c>
      <c r="CU269" s="206">
        <f t="shared" ref="CU269:CZ269" si="594">CU258</f>
        <v>0</v>
      </c>
      <c r="CV269" s="206">
        <f t="shared" si="594"/>
        <v>0</v>
      </c>
      <c r="CW269" s="206">
        <f t="shared" si="594"/>
        <v>0</v>
      </c>
      <c r="CX269" s="206">
        <f t="shared" si="594"/>
        <v>13765438.08</v>
      </c>
      <c r="CY269" s="206">
        <f t="shared" si="594"/>
        <v>14480195.039999999</v>
      </c>
      <c r="CZ269" s="206">
        <f t="shared" si="594"/>
        <v>15211080.720000001</v>
      </c>
      <c r="DA269" s="198" t="s">
        <v>471</v>
      </c>
      <c r="DB269" s="198" t="s">
        <v>471</v>
      </c>
      <c r="DC269" s="198" t="s">
        <v>471</v>
      </c>
      <c r="DD269" s="198" t="s">
        <v>471</v>
      </c>
      <c r="DE269" s="198" t="s">
        <v>471</v>
      </c>
      <c r="DF269" s="198" t="s">
        <v>471</v>
      </c>
      <c r="DG269" s="198" t="s">
        <v>471</v>
      </c>
      <c r="DH269" s="198" t="s">
        <v>471</v>
      </c>
      <c r="DI269" s="198" t="s">
        <v>471</v>
      </c>
      <c r="DJ269" s="198" t="s">
        <v>471</v>
      </c>
      <c r="DK269" s="198" t="s">
        <v>471</v>
      </c>
      <c r="DL269" s="198" t="s">
        <v>471</v>
      </c>
      <c r="DM269" s="198" t="s">
        <v>471</v>
      </c>
      <c r="DN269" s="198" t="s">
        <v>471</v>
      </c>
      <c r="DO269" s="198" t="s">
        <v>471</v>
      </c>
      <c r="DP269" s="206">
        <f t="shared" ref="DP269:DU269" si="595">DP258</f>
        <v>0</v>
      </c>
      <c r="DQ269" s="206">
        <f t="shared" si="595"/>
        <v>0</v>
      </c>
      <c r="DR269" s="206">
        <f t="shared" si="595"/>
        <v>0</v>
      </c>
      <c r="DS269" s="206">
        <f t="shared" si="595"/>
        <v>113792967.12</v>
      </c>
      <c r="DT269" s="206">
        <f t="shared" si="595"/>
        <v>120063989.31999999</v>
      </c>
      <c r="DU269" s="206">
        <f t="shared" si="595"/>
        <v>126454666.95999999</v>
      </c>
      <c r="DV269" s="198" t="s">
        <v>471</v>
      </c>
      <c r="DW269" s="198" t="s">
        <v>471</v>
      </c>
      <c r="DX269" s="198" t="s">
        <v>471</v>
      </c>
      <c r="DY269" s="198" t="s">
        <v>471</v>
      </c>
      <c r="DZ269" s="198" t="s">
        <v>471</v>
      </c>
      <c r="EA269" s="198" t="s">
        <v>471</v>
      </c>
      <c r="EB269" s="198" t="s">
        <v>471</v>
      </c>
      <c r="EC269" s="198" t="s">
        <v>471</v>
      </c>
      <c r="ED269" s="198" t="s">
        <v>471</v>
      </c>
      <c r="EE269" s="198" t="s">
        <v>471</v>
      </c>
      <c r="EF269" s="198" t="s">
        <v>471</v>
      </c>
      <c r="EG269" s="198" t="s">
        <v>471</v>
      </c>
    </row>
    <row r="270" spans="1:137" x14ac:dyDescent="0.25">
      <c r="A270" s="323" t="s">
        <v>669</v>
      </c>
      <c r="B270" s="320"/>
      <c r="C270" s="209" t="s">
        <v>485</v>
      </c>
      <c r="D270" s="210"/>
      <c r="E270" s="208"/>
      <c r="F270" s="211"/>
      <c r="G270" s="211"/>
      <c r="H270" s="211"/>
      <c r="I270" s="211"/>
      <c r="J270" s="211"/>
      <c r="K270" s="211"/>
      <c r="L270" s="198" t="s">
        <v>471</v>
      </c>
      <c r="M270" s="198" t="s">
        <v>471</v>
      </c>
      <c r="N270" s="198" t="s">
        <v>471</v>
      </c>
      <c r="O270" s="198" t="s">
        <v>471</v>
      </c>
      <c r="P270" s="198" t="s">
        <v>471</v>
      </c>
      <c r="Q270" s="198" t="s">
        <v>471</v>
      </c>
      <c r="R270" s="198" t="s">
        <v>471</v>
      </c>
      <c r="S270" s="198" t="s">
        <v>471</v>
      </c>
      <c r="T270" s="198" t="s">
        <v>471</v>
      </c>
      <c r="U270" s="211">
        <f t="shared" ref="U270:Z270" si="596">IF(O269=0,0,(AA276-AA273)/O269)</f>
        <v>0</v>
      </c>
      <c r="V270" s="211">
        <f t="shared" si="596"/>
        <v>0</v>
      </c>
      <c r="W270" s="211">
        <f t="shared" si="596"/>
        <v>0</v>
      </c>
      <c r="X270" s="211">
        <f t="shared" si="596"/>
        <v>1.1564914127000001</v>
      </c>
      <c r="Y270" s="211">
        <f t="shared" si="596"/>
        <v>1.1705619464999999</v>
      </c>
      <c r="Z270" s="211">
        <f t="shared" si="596"/>
        <v>1.1888463706000001</v>
      </c>
      <c r="AA270" s="198" t="s">
        <v>471</v>
      </c>
      <c r="AB270" s="198" t="s">
        <v>471</v>
      </c>
      <c r="AC270" s="198" t="s">
        <v>471</v>
      </c>
      <c r="AD270" s="198" t="s">
        <v>471</v>
      </c>
      <c r="AE270" s="198" t="s">
        <v>471</v>
      </c>
      <c r="AF270" s="198" t="s">
        <v>471</v>
      </c>
      <c r="AG270" s="198" t="s">
        <v>471</v>
      </c>
      <c r="AH270" s="198" t="s">
        <v>471</v>
      </c>
      <c r="AI270" s="198" t="s">
        <v>471</v>
      </c>
      <c r="AJ270" s="198" t="s">
        <v>471</v>
      </c>
      <c r="AK270" s="198" t="s">
        <v>471</v>
      </c>
      <c r="AL270" s="198" t="s">
        <v>471</v>
      </c>
      <c r="AM270" s="198" t="s">
        <v>471</v>
      </c>
      <c r="AN270" s="198" t="s">
        <v>471</v>
      </c>
      <c r="AO270" s="198" t="s">
        <v>471</v>
      </c>
      <c r="AP270" s="211">
        <f t="shared" ref="AP270:AU270" si="597">IF(AJ269=0,0,(AV276-AV273)/AJ269)</f>
        <v>0</v>
      </c>
      <c r="AQ270" s="211">
        <f t="shared" si="597"/>
        <v>0</v>
      </c>
      <c r="AR270" s="211">
        <f t="shared" si="597"/>
        <v>0</v>
      </c>
      <c r="AS270" s="211">
        <f t="shared" si="597"/>
        <v>1.3045740307</v>
      </c>
      <c r="AT270" s="211">
        <f t="shared" si="597"/>
        <v>1.3070301553000001</v>
      </c>
      <c r="AU270" s="211">
        <f t="shared" si="597"/>
        <v>1.3065336860000001</v>
      </c>
      <c r="AV270" s="198" t="s">
        <v>471</v>
      </c>
      <c r="AW270" s="198" t="s">
        <v>471</v>
      </c>
      <c r="AX270" s="198" t="s">
        <v>471</v>
      </c>
      <c r="AY270" s="198" t="s">
        <v>471</v>
      </c>
      <c r="AZ270" s="198" t="s">
        <v>471</v>
      </c>
      <c r="BA270" s="198" t="s">
        <v>471</v>
      </c>
      <c r="BB270" s="198" t="s">
        <v>471</v>
      </c>
      <c r="BC270" s="198" t="s">
        <v>471</v>
      </c>
      <c r="BD270" s="198" t="s">
        <v>471</v>
      </c>
      <c r="BE270" s="198" t="s">
        <v>471</v>
      </c>
      <c r="BF270" s="198" t="s">
        <v>471</v>
      </c>
      <c r="BG270" s="198" t="s">
        <v>471</v>
      </c>
      <c r="BH270" s="198" t="s">
        <v>471</v>
      </c>
      <c r="BI270" s="198" t="s">
        <v>471</v>
      </c>
      <c r="BJ270" s="198" t="s">
        <v>471</v>
      </c>
      <c r="BK270" s="211">
        <f t="shared" ref="BK270:BP270" si="598">IF(BE269=0,0,(BQ276-BQ273)/BE269)</f>
        <v>0</v>
      </c>
      <c r="BL270" s="211">
        <f t="shared" si="598"/>
        <v>0</v>
      </c>
      <c r="BM270" s="211">
        <f t="shared" si="598"/>
        <v>0</v>
      </c>
      <c r="BN270" s="211">
        <f t="shared" si="598"/>
        <v>1.7285450378</v>
      </c>
      <c r="BO270" s="211">
        <f t="shared" si="598"/>
        <v>1.6606544903</v>
      </c>
      <c r="BP270" s="211">
        <f t="shared" si="598"/>
        <v>1.6428157527</v>
      </c>
      <c r="BQ270" s="198" t="s">
        <v>471</v>
      </c>
      <c r="BR270" s="198" t="s">
        <v>471</v>
      </c>
      <c r="BS270" s="198" t="s">
        <v>471</v>
      </c>
      <c r="BT270" s="198" t="s">
        <v>471</v>
      </c>
      <c r="BU270" s="198" t="s">
        <v>471</v>
      </c>
      <c r="BV270" s="198" t="s">
        <v>471</v>
      </c>
      <c r="BW270" s="198" t="s">
        <v>471</v>
      </c>
      <c r="BX270" s="198" t="s">
        <v>471</v>
      </c>
      <c r="BY270" s="198" t="s">
        <v>471</v>
      </c>
      <c r="BZ270" s="198" t="s">
        <v>471</v>
      </c>
      <c r="CA270" s="198" t="s">
        <v>471</v>
      </c>
      <c r="CB270" s="198" t="s">
        <v>471</v>
      </c>
      <c r="CC270" s="198" t="s">
        <v>471</v>
      </c>
      <c r="CD270" s="198" t="s">
        <v>471</v>
      </c>
      <c r="CE270" s="198" t="s">
        <v>471</v>
      </c>
      <c r="CF270" s="211">
        <f t="shared" ref="CF270:CK270" si="599">IF(BZ269=0,0,(CL276-CL273)/BZ269)</f>
        <v>0</v>
      </c>
      <c r="CG270" s="211">
        <f t="shared" si="599"/>
        <v>0</v>
      </c>
      <c r="CH270" s="211">
        <f t="shared" si="599"/>
        <v>0</v>
      </c>
      <c r="CI270" s="211">
        <f t="shared" si="599"/>
        <v>0.83269288100000005</v>
      </c>
      <c r="CJ270" s="211">
        <f t="shared" si="599"/>
        <v>0.80446991420000002</v>
      </c>
      <c r="CK270" s="211">
        <f t="shared" si="599"/>
        <v>0.80375241500000005</v>
      </c>
      <c r="CL270" s="198" t="s">
        <v>471</v>
      </c>
      <c r="CM270" s="198" t="s">
        <v>471</v>
      </c>
      <c r="CN270" s="198" t="s">
        <v>471</v>
      </c>
      <c r="CO270" s="198" t="s">
        <v>471</v>
      </c>
      <c r="CP270" s="198" t="s">
        <v>471</v>
      </c>
      <c r="CQ270" s="198" t="s">
        <v>471</v>
      </c>
      <c r="CR270" s="198" t="s">
        <v>471</v>
      </c>
      <c r="CS270" s="198" t="s">
        <v>471</v>
      </c>
      <c r="CT270" s="198" t="s">
        <v>471</v>
      </c>
      <c r="CU270" s="198" t="s">
        <v>471</v>
      </c>
      <c r="CV270" s="198" t="s">
        <v>471</v>
      </c>
      <c r="CW270" s="198" t="s">
        <v>471</v>
      </c>
      <c r="CX270" s="198" t="s">
        <v>471</v>
      </c>
      <c r="CY270" s="198" t="s">
        <v>471</v>
      </c>
      <c r="CZ270" s="198" t="s">
        <v>471</v>
      </c>
      <c r="DA270" s="211">
        <f t="shared" ref="DA270:DF270" si="600">IF(CU269=0,0,(DG276-DG273)/CU269)</f>
        <v>0</v>
      </c>
      <c r="DB270" s="211">
        <f t="shared" si="600"/>
        <v>0</v>
      </c>
      <c r="DC270" s="211">
        <f t="shared" si="600"/>
        <v>0</v>
      </c>
      <c r="DD270" s="211">
        <f t="shared" si="600"/>
        <v>0.46051710470000001</v>
      </c>
      <c r="DE270" s="211">
        <f t="shared" si="600"/>
        <v>0.44621772510000002</v>
      </c>
      <c r="DF270" s="211">
        <f t="shared" si="600"/>
        <v>0.4456172323</v>
      </c>
      <c r="DG270" s="198" t="s">
        <v>471</v>
      </c>
      <c r="DH270" s="198" t="s">
        <v>471</v>
      </c>
      <c r="DI270" s="198" t="s">
        <v>471</v>
      </c>
      <c r="DJ270" s="198" t="s">
        <v>471</v>
      </c>
      <c r="DK270" s="198" t="s">
        <v>471</v>
      </c>
      <c r="DL270" s="198" t="s">
        <v>471</v>
      </c>
      <c r="DM270" s="198" t="s">
        <v>471</v>
      </c>
      <c r="DN270" s="198" t="s">
        <v>471</v>
      </c>
      <c r="DO270" s="198" t="s">
        <v>471</v>
      </c>
      <c r="DP270" s="198" t="s">
        <v>471</v>
      </c>
      <c r="DQ270" s="198" t="s">
        <v>471</v>
      </c>
      <c r="DR270" s="198" t="s">
        <v>471</v>
      </c>
      <c r="DS270" s="198" t="s">
        <v>471</v>
      </c>
      <c r="DT270" s="198" t="s">
        <v>471</v>
      </c>
      <c r="DU270" s="198" t="s">
        <v>471</v>
      </c>
      <c r="DV270" s="211">
        <f t="shared" ref="DV270:EA270" si="601">IF(DP269=0,0,(EB276-EB273)/DP269)</f>
        <v>0</v>
      </c>
      <c r="DW270" s="211">
        <f t="shared" si="601"/>
        <v>0</v>
      </c>
      <c r="DX270" s="211">
        <f t="shared" si="601"/>
        <v>0</v>
      </c>
      <c r="DY270" s="211">
        <f t="shared" si="601"/>
        <v>1.1869126169999999</v>
      </c>
      <c r="DZ270" s="211">
        <f t="shared" si="601"/>
        <v>1.1748594161999999</v>
      </c>
      <c r="EA270" s="211">
        <f t="shared" si="601"/>
        <v>1.1771721201000001</v>
      </c>
      <c r="EB270" s="198" t="s">
        <v>471</v>
      </c>
      <c r="EC270" s="198" t="s">
        <v>471</v>
      </c>
      <c r="ED270" s="198" t="s">
        <v>471</v>
      </c>
      <c r="EE270" s="198" t="s">
        <v>471</v>
      </c>
      <c r="EF270" s="198" t="s">
        <v>471</v>
      </c>
      <c r="EG270" s="198" t="s">
        <v>471</v>
      </c>
    </row>
    <row r="271" spans="1:137" ht="24" x14ac:dyDescent="0.25">
      <c r="A271" s="324" t="s">
        <v>670</v>
      </c>
      <c r="B271" s="319"/>
      <c r="C271" s="205" t="s">
        <v>486</v>
      </c>
      <c r="D271" s="196"/>
      <c r="E271" s="197"/>
      <c r="F271" s="206"/>
      <c r="G271" s="206"/>
      <c r="H271" s="206"/>
      <c r="I271" s="207"/>
      <c r="J271" s="207"/>
      <c r="K271" s="207"/>
      <c r="L271" s="198" t="s">
        <v>471</v>
      </c>
      <c r="M271" s="198" t="s">
        <v>471</v>
      </c>
      <c r="N271" s="198" t="s">
        <v>471</v>
      </c>
      <c r="O271" s="198" t="s">
        <v>471</v>
      </c>
      <c r="P271" s="198" t="s">
        <v>471</v>
      </c>
      <c r="Q271" s="198" t="s">
        <v>471</v>
      </c>
      <c r="R271" s="198" t="s">
        <v>471</v>
      </c>
      <c r="S271" s="198" t="s">
        <v>471</v>
      </c>
      <c r="T271" s="198" t="s">
        <v>471</v>
      </c>
      <c r="U271" s="198" t="s">
        <v>471</v>
      </c>
      <c r="V271" s="198" t="s">
        <v>471</v>
      </c>
      <c r="W271" s="198" t="s">
        <v>471</v>
      </c>
      <c r="X271" s="198" t="s">
        <v>471</v>
      </c>
      <c r="Y271" s="198" t="s">
        <v>471</v>
      </c>
      <c r="Z271" s="198" t="s">
        <v>471</v>
      </c>
      <c r="AA271" s="206">
        <f t="shared" ref="AA271:AF271" si="602">AA258</f>
        <v>0</v>
      </c>
      <c r="AB271" s="206">
        <f t="shared" si="602"/>
        <v>0</v>
      </c>
      <c r="AC271" s="206">
        <f t="shared" si="602"/>
        <v>0</v>
      </c>
      <c r="AD271" s="206">
        <f t="shared" si="602"/>
        <v>38104470.859999999</v>
      </c>
      <c r="AE271" s="206">
        <f t="shared" si="602"/>
        <v>39753762.310000002</v>
      </c>
      <c r="AF271" s="206">
        <f t="shared" si="602"/>
        <v>41562651.340000004</v>
      </c>
      <c r="AG271" s="198" t="s">
        <v>471</v>
      </c>
      <c r="AH271" s="198" t="s">
        <v>471</v>
      </c>
      <c r="AI271" s="198" t="s">
        <v>471</v>
      </c>
      <c r="AJ271" s="198" t="s">
        <v>471</v>
      </c>
      <c r="AK271" s="198" t="s">
        <v>471</v>
      </c>
      <c r="AL271" s="198" t="s">
        <v>471</v>
      </c>
      <c r="AM271" s="198" t="s">
        <v>471</v>
      </c>
      <c r="AN271" s="198" t="s">
        <v>471</v>
      </c>
      <c r="AO271" s="198" t="s">
        <v>471</v>
      </c>
      <c r="AP271" s="198" t="s">
        <v>471</v>
      </c>
      <c r="AQ271" s="198" t="s">
        <v>471</v>
      </c>
      <c r="AR271" s="198" t="s">
        <v>471</v>
      </c>
      <c r="AS271" s="198" t="s">
        <v>471</v>
      </c>
      <c r="AT271" s="198" t="s">
        <v>471</v>
      </c>
      <c r="AU271" s="198" t="s">
        <v>471</v>
      </c>
      <c r="AV271" s="206">
        <f t="shared" ref="AV271:BA271" si="603">AV258</f>
        <v>0</v>
      </c>
      <c r="AW271" s="206">
        <f t="shared" si="603"/>
        <v>0</v>
      </c>
      <c r="AX271" s="206">
        <f t="shared" si="603"/>
        <v>0</v>
      </c>
      <c r="AY271" s="206">
        <f t="shared" si="603"/>
        <v>37033968.299999997</v>
      </c>
      <c r="AZ271" s="206">
        <f t="shared" si="603"/>
        <v>38633064.939999998</v>
      </c>
      <c r="BA271" s="206">
        <f t="shared" si="603"/>
        <v>40198007.509999998</v>
      </c>
      <c r="BB271" s="198" t="s">
        <v>471</v>
      </c>
      <c r="BC271" s="198" t="s">
        <v>471</v>
      </c>
      <c r="BD271" s="198" t="s">
        <v>471</v>
      </c>
      <c r="BE271" s="198" t="s">
        <v>471</v>
      </c>
      <c r="BF271" s="198" t="s">
        <v>471</v>
      </c>
      <c r="BG271" s="198" t="s">
        <v>471</v>
      </c>
      <c r="BH271" s="198" t="s">
        <v>471</v>
      </c>
      <c r="BI271" s="198" t="s">
        <v>471</v>
      </c>
      <c r="BJ271" s="198" t="s">
        <v>471</v>
      </c>
      <c r="BK271" s="198" t="s">
        <v>471</v>
      </c>
      <c r="BL271" s="198" t="s">
        <v>471</v>
      </c>
      <c r="BM271" s="198" t="s">
        <v>471</v>
      </c>
      <c r="BN271" s="198" t="s">
        <v>471</v>
      </c>
      <c r="BO271" s="198" t="s">
        <v>471</v>
      </c>
      <c r="BP271" s="198" t="s">
        <v>471</v>
      </c>
      <c r="BQ271" s="206">
        <f t="shared" ref="BQ271:BV271" si="604">BQ258</f>
        <v>0</v>
      </c>
      <c r="BR271" s="206">
        <f t="shared" si="604"/>
        <v>0</v>
      </c>
      <c r="BS271" s="206">
        <f t="shared" si="604"/>
        <v>0</v>
      </c>
      <c r="BT271" s="206">
        <f t="shared" si="604"/>
        <v>32352096.559999999</v>
      </c>
      <c r="BU271" s="206">
        <f t="shared" si="604"/>
        <v>32723020.829999998</v>
      </c>
      <c r="BV271" s="206">
        <f t="shared" si="604"/>
        <v>33857500.909999996</v>
      </c>
      <c r="BW271" s="198" t="s">
        <v>471</v>
      </c>
      <c r="BX271" s="198" t="s">
        <v>471</v>
      </c>
      <c r="BY271" s="198" t="s">
        <v>471</v>
      </c>
      <c r="BZ271" s="198" t="s">
        <v>471</v>
      </c>
      <c r="CA271" s="198" t="s">
        <v>471</v>
      </c>
      <c r="CB271" s="198" t="s">
        <v>471</v>
      </c>
      <c r="CC271" s="198" t="s">
        <v>471</v>
      </c>
      <c r="CD271" s="198" t="s">
        <v>471</v>
      </c>
      <c r="CE271" s="198" t="s">
        <v>471</v>
      </c>
      <c r="CF271" s="198" t="s">
        <v>471</v>
      </c>
      <c r="CG271" s="198" t="s">
        <v>471</v>
      </c>
      <c r="CH271" s="198" t="s">
        <v>471</v>
      </c>
      <c r="CI271" s="198" t="s">
        <v>471</v>
      </c>
      <c r="CJ271" s="198" t="s">
        <v>471</v>
      </c>
      <c r="CK271" s="198" t="s">
        <v>471</v>
      </c>
      <c r="CL271" s="206">
        <f t="shared" ref="CL271:CQ271" si="605">CL258</f>
        <v>0</v>
      </c>
      <c r="CM271" s="206">
        <f t="shared" si="605"/>
        <v>0</v>
      </c>
      <c r="CN271" s="206">
        <f t="shared" si="605"/>
        <v>0</v>
      </c>
      <c r="CO271" s="206">
        <f t="shared" si="605"/>
        <v>10905388.66</v>
      </c>
      <c r="CP271" s="206">
        <f t="shared" si="605"/>
        <v>11110558.99</v>
      </c>
      <c r="CQ271" s="206">
        <f t="shared" si="605"/>
        <v>11589830.050000001</v>
      </c>
      <c r="CR271" s="198" t="s">
        <v>471</v>
      </c>
      <c r="CS271" s="198" t="s">
        <v>471</v>
      </c>
      <c r="CT271" s="198" t="s">
        <v>471</v>
      </c>
      <c r="CU271" s="198" t="s">
        <v>471</v>
      </c>
      <c r="CV271" s="198" t="s">
        <v>471</v>
      </c>
      <c r="CW271" s="198" t="s">
        <v>471</v>
      </c>
      <c r="CX271" s="198" t="s">
        <v>471</v>
      </c>
      <c r="CY271" s="198" t="s">
        <v>471</v>
      </c>
      <c r="CZ271" s="198" t="s">
        <v>471</v>
      </c>
      <c r="DA271" s="198" t="s">
        <v>471</v>
      </c>
      <c r="DB271" s="198" t="s">
        <v>471</v>
      </c>
      <c r="DC271" s="198" t="s">
        <v>471</v>
      </c>
      <c r="DD271" s="198" t="s">
        <v>471</v>
      </c>
      <c r="DE271" s="198" t="s">
        <v>471</v>
      </c>
      <c r="DF271" s="198" t="s">
        <v>471</v>
      </c>
      <c r="DG271" s="206">
        <f t="shared" ref="DG271:DL271" si="606">DG258</f>
        <v>0</v>
      </c>
      <c r="DH271" s="206">
        <f t="shared" si="606"/>
        <v>0</v>
      </c>
      <c r="DI271" s="206">
        <f t="shared" si="606"/>
        <v>0</v>
      </c>
      <c r="DJ271" s="206">
        <f t="shared" si="606"/>
        <v>6373749.4699999997</v>
      </c>
      <c r="DK271" s="206">
        <f t="shared" si="606"/>
        <v>6481986.9800000004</v>
      </c>
      <c r="DL271" s="206">
        <f t="shared" si="606"/>
        <v>6762996.7599999998</v>
      </c>
      <c r="DM271" s="198" t="s">
        <v>471</v>
      </c>
      <c r="DN271" s="198" t="s">
        <v>471</v>
      </c>
      <c r="DO271" s="198" t="s">
        <v>471</v>
      </c>
      <c r="DP271" s="198" t="s">
        <v>471</v>
      </c>
      <c r="DQ271" s="198" t="s">
        <v>471</v>
      </c>
      <c r="DR271" s="198" t="s">
        <v>471</v>
      </c>
      <c r="DS271" s="198" t="s">
        <v>471</v>
      </c>
      <c r="DT271" s="198" t="s">
        <v>471</v>
      </c>
      <c r="DU271" s="198" t="s">
        <v>471</v>
      </c>
      <c r="DV271" s="198" t="s">
        <v>471</v>
      </c>
      <c r="DW271" s="198" t="s">
        <v>471</v>
      </c>
      <c r="DX271" s="198" t="s">
        <v>471</v>
      </c>
      <c r="DY271" s="198" t="s">
        <v>471</v>
      </c>
      <c r="DZ271" s="198" t="s">
        <v>471</v>
      </c>
      <c r="EA271" s="198" t="s">
        <v>471</v>
      </c>
      <c r="EB271" s="206">
        <f t="shared" ref="EB271:EG271" si="607">EB258</f>
        <v>0</v>
      </c>
      <c r="EC271" s="206">
        <f t="shared" si="607"/>
        <v>0</v>
      </c>
      <c r="ED271" s="206">
        <f t="shared" si="607"/>
        <v>0</v>
      </c>
      <c r="EE271" s="206">
        <f t="shared" si="607"/>
        <v>126197703.17</v>
      </c>
      <c r="EF271" s="206">
        <f t="shared" si="607"/>
        <v>130335721.5</v>
      </c>
      <c r="EG271" s="206">
        <f t="shared" si="607"/>
        <v>135715828.03</v>
      </c>
    </row>
    <row r="272" spans="1:137" x14ac:dyDescent="0.25">
      <c r="A272" s="212" t="s">
        <v>481</v>
      </c>
      <c r="B272" s="321"/>
      <c r="C272" s="213"/>
      <c r="D272" s="212"/>
      <c r="E272" s="214"/>
      <c r="F272" s="215"/>
      <c r="G272" s="215"/>
      <c r="H272" s="215"/>
      <c r="I272" s="215"/>
      <c r="J272" s="215"/>
      <c r="K272" s="215"/>
      <c r="L272" s="215"/>
      <c r="M272" s="215"/>
      <c r="N272" s="215"/>
      <c r="O272" s="215"/>
      <c r="P272" s="215"/>
      <c r="Q272" s="215"/>
      <c r="R272" s="215"/>
      <c r="S272" s="215"/>
      <c r="T272" s="215"/>
      <c r="U272" s="215"/>
      <c r="V272" s="215"/>
      <c r="W272" s="215"/>
      <c r="X272" s="215"/>
      <c r="Y272" s="215"/>
      <c r="Z272" s="215"/>
      <c r="AA272" s="215">
        <f t="shared" ref="AA272:AF272" si="608">AA276-AA273-AA271</f>
        <v>0</v>
      </c>
      <c r="AB272" s="215">
        <f t="shared" si="608"/>
        <v>0</v>
      </c>
      <c r="AC272" s="215">
        <f t="shared" si="608"/>
        <v>0</v>
      </c>
      <c r="AD272" s="215">
        <f t="shared" si="608"/>
        <v>4241271.0199999996</v>
      </c>
      <c r="AE272" s="215">
        <f t="shared" si="608"/>
        <v>5432079.5700000003</v>
      </c>
      <c r="AF272" s="215">
        <f t="shared" si="608"/>
        <v>6738590.54</v>
      </c>
      <c r="AG272" s="215"/>
      <c r="AH272" s="215"/>
      <c r="AI272" s="215"/>
      <c r="AJ272" s="215"/>
      <c r="AK272" s="215"/>
      <c r="AL272" s="215"/>
      <c r="AM272" s="215"/>
      <c r="AN272" s="215"/>
      <c r="AO272" s="215"/>
      <c r="AP272" s="215"/>
      <c r="AQ272" s="215"/>
      <c r="AR272" s="215"/>
      <c r="AS272" s="215"/>
      <c r="AT272" s="215"/>
      <c r="AU272" s="215"/>
      <c r="AV272" s="215">
        <f t="shared" ref="AV272:BA272" si="609">AV276-AV273-AV271</f>
        <v>0</v>
      </c>
      <c r="AW272" s="215">
        <f t="shared" si="609"/>
        <v>0</v>
      </c>
      <c r="AX272" s="215">
        <f t="shared" si="609"/>
        <v>0</v>
      </c>
      <c r="AY272" s="215">
        <f t="shared" si="609"/>
        <v>2862849.72</v>
      </c>
      <c r="AZ272" s="215">
        <f t="shared" si="609"/>
        <v>3540453.08</v>
      </c>
      <c r="BA272" s="215">
        <f t="shared" si="609"/>
        <v>4202910.51</v>
      </c>
      <c r="BB272" s="215"/>
      <c r="BC272" s="215"/>
      <c r="BD272" s="215"/>
      <c r="BE272" s="215"/>
      <c r="BF272" s="215"/>
      <c r="BG272" s="215"/>
      <c r="BH272" s="215"/>
      <c r="BI272" s="215"/>
      <c r="BJ272" s="215"/>
      <c r="BK272" s="215"/>
      <c r="BL272" s="215"/>
      <c r="BM272" s="215"/>
      <c r="BN272" s="215"/>
      <c r="BO272" s="215"/>
      <c r="BP272" s="215"/>
      <c r="BQ272" s="215">
        <f t="shared" ref="BQ272:BV272" si="610">BQ276-BQ273-BQ271</f>
        <v>0</v>
      </c>
      <c r="BR272" s="215">
        <f t="shared" si="610"/>
        <v>0</v>
      </c>
      <c r="BS272" s="215">
        <f t="shared" si="610"/>
        <v>0</v>
      </c>
      <c r="BT272" s="215">
        <f t="shared" si="610"/>
        <v>4585399.32</v>
      </c>
      <c r="BU272" s="215">
        <f t="shared" si="610"/>
        <v>4731075.05</v>
      </c>
      <c r="BV272" s="215">
        <f t="shared" si="610"/>
        <v>5175594.97</v>
      </c>
      <c r="BW272" s="215"/>
      <c r="BX272" s="215"/>
      <c r="BY272" s="215"/>
      <c r="BZ272" s="215"/>
      <c r="CA272" s="215"/>
      <c r="CB272" s="215"/>
      <c r="CC272" s="215"/>
      <c r="CD272" s="215"/>
      <c r="CE272" s="215"/>
      <c r="CF272" s="215"/>
      <c r="CG272" s="215"/>
      <c r="CH272" s="215"/>
      <c r="CI272" s="215"/>
      <c r="CJ272" s="215"/>
      <c r="CK272" s="215"/>
      <c r="CL272" s="215">
        <f t="shared" ref="CL272:CQ272" si="611">CL276-CL273-CL271</f>
        <v>0</v>
      </c>
      <c r="CM272" s="215">
        <f t="shared" si="611"/>
        <v>0</v>
      </c>
      <c r="CN272" s="215">
        <f t="shared" si="611"/>
        <v>0</v>
      </c>
      <c r="CO272" s="215">
        <f t="shared" si="611"/>
        <v>-1362355.73</v>
      </c>
      <c r="CP272" s="215">
        <f t="shared" si="611"/>
        <v>-1327026.06</v>
      </c>
      <c r="CQ272" s="215">
        <f t="shared" si="611"/>
        <v>-1244497.1200000001</v>
      </c>
      <c r="CR272" s="215"/>
      <c r="CS272" s="215"/>
      <c r="CT272" s="215"/>
      <c r="CU272" s="215"/>
      <c r="CV272" s="215"/>
      <c r="CW272" s="215"/>
      <c r="CX272" s="215"/>
      <c r="CY272" s="215"/>
      <c r="CZ272" s="215"/>
      <c r="DA272" s="215"/>
      <c r="DB272" s="215"/>
      <c r="DC272" s="215"/>
      <c r="DD272" s="215"/>
      <c r="DE272" s="215"/>
      <c r="DF272" s="215"/>
      <c r="DG272" s="215">
        <f t="shared" ref="DG272:DL272" si="612">DG276-DG273-DG271</f>
        <v>0</v>
      </c>
      <c r="DH272" s="215">
        <f t="shared" si="612"/>
        <v>0</v>
      </c>
      <c r="DI272" s="215">
        <f t="shared" si="612"/>
        <v>0</v>
      </c>
      <c r="DJ272" s="215">
        <f t="shared" si="612"/>
        <v>-34529.78</v>
      </c>
      <c r="DK272" s="215">
        <f t="shared" si="612"/>
        <v>-20667.29</v>
      </c>
      <c r="DL272" s="215">
        <f t="shared" si="612"/>
        <v>15322.93</v>
      </c>
      <c r="DM272" s="215"/>
      <c r="DN272" s="215"/>
      <c r="DO272" s="215"/>
      <c r="DP272" s="215"/>
      <c r="DQ272" s="215"/>
      <c r="DR272" s="215"/>
      <c r="DS272" s="215"/>
      <c r="DT272" s="215"/>
      <c r="DU272" s="215"/>
      <c r="DV272" s="215"/>
      <c r="DW272" s="215"/>
      <c r="DX272" s="215"/>
      <c r="DY272" s="215"/>
      <c r="DZ272" s="215"/>
      <c r="EA272" s="215"/>
      <c r="EB272" s="215">
        <f t="shared" ref="EB272:EG272" si="613">EB276-EB273-EB271</f>
        <v>0</v>
      </c>
      <c r="EC272" s="215">
        <f t="shared" si="613"/>
        <v>0</v>
      </c>
      <c r="ED272" s="215">
        <f t="shared" si="613"/>
        <v>0</v>
      </c>
      <c r="EE272" s="215">
        <f t="shared" si="613"/>
        <v>8864605.2300000004</v>
      </c>
      <c r="EF272" s="215">
        <f t="shared" si="613"/>
        <v>10722586.9</v>
      </c>
      <c r="EG272" s="215">
        <f t="shared" si="613"/>
        <v>13143080.369999999</v>
      </c>
    </row>
    <row r="273" spans="1:137" ht="51" customHeight="1" x14ac:dyDescent="0.25">
      <c r="A273" s="17" t="s">
        <v>654</v>
      </c>
      <c r="B273" s="319"/>
      <c r="C273" s="216" t="s">
        <v>487</v>
      </c>
      <c r="D273" s="196" t="s">
        <v>668</v>
      </c>
      <c r="E273" s="197"/>
      <c r="F273" s="217"/>
      <c r="G273" s="217"/>
      <c r="H273" s="217"/>
      <c r="I273" s="218"/>
      <c r="J273" s="218"/>
      <c r="K273" s="218"/>
      <c r="L273" s="198" t="s">
        <v>471</v>
      </c>
      <c r="M273" s="198" t="s">
        <v>471</v>
      </c>
      <c r="N273" s="198" t="s">
        <v>471</v>
      </c>
      <c r="O273" s="198" t="s">
        <v>471</v>
      </c>
      <c r="P273" s="198" t="s">
        <v>471</v>
      </c>
      <c r="Q273" s="198" t="s">
        <v>471</v>
      </c>
      <c r="R273" s="198" t="s">
        <v>471</v>
      </c>
      <c r="S273" s="198" t="s">
        <v>471</v>
      </c>
      <c r="T273" s="198" t="s">
        <v>471</v>
      </c>
      <c r="U273" s="198" t="s">
        <v>471</v>
      </c>
      <c r="V273" s="198" t="s">
        <v>471</v>
      </c>
      <c r="W273" s="198" t="s">
        <v>471</v>
      </c>
      <c r="X273" s="198" t="s">
        <v>471</v>
      </c>
      <c r="Y273" s="198" t="s">
        <v>471</v>
      </c>
      <c r="Z273" s="198" t="s">
        <v>471</v>
      </c>
      <c r="AA273" s="217"/>
      <c r="AB273" s="217"/>
      <c r="AC273" s="217"/>
      <c r="AD273" s="217">
        <f>AD275*AD274</f>
        <v>359558.12</v>
      </c>
      <c r="AE273" s="217">
        <f>AE275*AE274</f>
        <v>359558.12</v>
      </c>
      <c r="AF273" s="217">
        <f>AF275*AF274</f>
        <v>359558.12</v>
      </c>
      <c r="AG273" s="198" t="s">
        <v>471</v>
      </c>
      <c r="AH273" s="198" t="s">
        <v>471</v>
      </c>
      <c r="AI273" s="198" t="s">
        <v>471</v>
      </c>
      <c r="AJ273" s="198" t="s">
        <v>471</v>
      </c>
      <c r="AK273" s="198" t="s">
        <v>471</v>
      </c>
      <c r="AL273" s="198" t="s">
        <v>471</v>
      </c>
      <c r="AM273" s="198" t="s">
        <v>471</v>
      </c>
      <c r="AN273" s="198" t="s">
        <v>471</v>
      </c>
      <c r="AO273" s="198" t="s">
        <v>471</v>
      </c>
      <c r="AP273" s="198" t="s">
        <v>471</v>
      </c>
      <c r="AQ273" s="198" t="s">
        <v>471</v>
      </c>
      <c r="AR273" s="198" t="s">
        <v>471</v>
      </c>
      <c r="AS273" s="198" t="s">
        <v>471</v>
      </c>
      <c r="AT273" s="198" t="s">
        <v>471</v>
      </c>
      <c r="AU273" s="198" t="s">
        <v>471</v>
      </c>
      <c r="AV273" s="217"/>
      <c r="AW273" s="217"/>
      <c r="AX273" s="217"/>
      <c r="AY273" s="217">
        <f>AY275*AY274</f>
        <v>65481.98</v>
      </c>
      <c r="AZ273" s="217">
        <f>AZ275*AZ274</f>
        <v>65481.98</v>
      </c>
      <c r="BA273" s="217">
        <f>BA275*BA274</f>
        <v>65481.98</v>
      </c>
      <c r="BB273" s="198" t="s">
        <v>471</v>
      </c>
      <c r="BC273" s="198" t="s">
        <v>471</v>
      </c>
      <c r="BD273" s="198" t="s">
        <v>471</v>
      </c>
      <c r="BE273" s="198" t="s">
        <v>471</v>
      </c>
      <c r="BF273" s="198" t="s">
        <v>471</v>
      </c>
      <c r="BG273" s="198" t="s">
        <v>471</v>
      </c>
      <c r="BH273" s="198" t="s">
        <v>471</v>
      </c>
      <c r="BI273" s="198" t="s">
        <v>471</v>
      </c>
      <c r="BJ273" s="198" t="s">
        <v>471</v>
      </c>
      <c r="BK273" s="198" t="s">
        <v>471</v>
      </c>
      <c r="BL273" s="198" t="s">
        <v>471</v>
      </c>
      <c r="BM273" s="198" t="s">
        <v>471</v>
      </c>
      <c r="BN273" s="198" t="s">
        <v>471</v>
      </c>
      <c r="BO273" s="198" t="s">
        <v>471</v>
      </c>
      <c r="BP273" s="198" t="s">
        <v>471</v>
      </c>
      <c r="BQ273" s="217"/>
      <c r="BR273" s="217"/>
      <c r="BS273" s="217"/>
      <c r="BT273" s="217">
        <f>BT275*BT274</f>
        <v>163104.12</v>
      </c>
      <c r="BU273" s="217">
        <f>BU275*BU274</f>
        <v>163104.12</v>
      </c>
      <c r="BV273" s="217">
        <f>BV275*BV274</f>
        <v>163104.12</v>
      </c>
      <c r="BW273" s="198" t="s">
        <v>471</v>
      </c>
      <c r="BX273" s="198" t="s">
        <v>471</v>
      </c>
      <c r="BY273" s="198" t="s">
        <v>471</v>
      </c>
      <c r="BZ273" s="198" t="s">
        <v>471</v>
      </c>
      <c r="CA273" s="198" t="s">
        <v>471</v>
      </c>
      <c r="CB273" s="198" t="s">
        <v>471</v>
      </c>
      <c r="CC273" s="198" t="s">
        <v>471</v>
      </c>
      <c r="CD273" s="198" t="s">
        <v>471</v>
      </c>
      <c r="CE273" s="198" t="s">
        <v>471</v>
      </c>
      <c r="CF273" s="198" t="s">
        <v>471</v>
      </c>
      <c r="CG273" s="198" t="s">
        <v>471</v>
      </c>
      <c r="CH273" s="198" t="s">
        <v>471</v>
      </c>
      <c r="CI273" s="198" t="s">
        <v>471</v>
      </c>
      <c r="CJ273" s="198" t="s">
        <v>471</v>
      </c>
      <c r="CK273" s="198" t="s">
        <v>471</v>
      </c>
      <c r="CL273" s="217"/>
      <c r="CM273" s="217"/>
      <c r="CN273" s="217"/>
      <c r="CO273" s="217">
        <f>CO275*CO274</f>
        <v>10867.07</v>
      </c>
      <c r="CP273" s="217">
        <f>CP275*CP274</f>
        <v>10867.07</v>
      </c>
      <c r="CQ273" s="217">
        <f>CQ275*CQ274</f>
        <v>10867.07</v>
      </c>
      <c r="CR273" s="198" t="s">
        <v>471</v>
      </c>
      <c r="CS273" s="198" t="s">
        <v>471</v>
      </c>
      <c r="CT273" s="198" t="s">
        <v>471</v>
      </c>
      <c r="CU273" s="198" t="s">
        <v>471</v>
      </c>
      <c r="CV273" s="198" t="s">
        <v>471</v>
      </c>
      <c r="CW273" s="198" t="s">
        <v>471</v>
      </c>
      <c r="CX273" s="198" t="s">
        <v>471</v>
      </c>
      <c r="CY273" s="198" t="s">
        <v>471</v>
      </c>
      <c r="CZ273" s="198" t="s">
        <v>471</v>
      </c>
      <c r="DA273" s="198" t="s">
        <v>471</v>
      </c>
      <c r="DB273" s="198" t="s">
        <v>471</v>
      </c>
      <c r="DC273" s="198" t="s">
        <v>471</v>
      </c>
      <c r="DD273" s="198" t="s">
        <v>471</v>
      </c>
      <c r="DE273" s="198" t="s">
        <v>471</v>
      </c>
      <c r="DF273" s="198" t="s">
        <v>471</v>
      </c>
      <c r="DG273" s="217"/>
      <c r="DH273" s="217"/>
      <c r="DI273" s="217"/>
      <c r="DJ273" s="217">
        <f>DJ275*DJ274</f>
        <v>14480.31</v>
      </c>
      <c r="DK273" s="217">
        <f>DK275*DK274</f>
        <v>14480.31</v>
      </c>
      <c r="DL273" s="217">
        <f>DL275*DL274</f>
        <v>14480.31</v>
      </c>
      <c r="DM273" s="198" t="s">
        <v>471</v>
      </c>
      <c r="DN273" s="198" t="s">
        <v>471</v>
      </c>
      <c r="DO273" s="198" t="s">
        <v>471</v>
      </c>
      <c r="DP273" s="198" t="s">
        <v>471</v>
      </c>
      <c r="DQ273" s="198" t="s">
        <v>471</v>
      </c>
      <c r="DR273" s="198" t="s">
        <v>471</v>
      </c>
      <c r="DS273" s="198" t="s">
        <v>471</v>
      </c>
      <c r="DT273" s="198" t="s">
        <v>471</v>
      </c>
      <c r="DU273" s="198" t="s">
        <v>471</v>
      </c>
      <c r="DV273" s="198" t="s">
        <v>471</v>
      </c>
      <c r="DW273" s="198" t="s">
        <v>471</v>
      </c>
      <c r="DX273" s="198" t="s">
        <v>471</v>
      </c>
      <c r="DY273" s="198" t="s">
        <v>471</v>
      </c>
      <c r="DZ273" s="198" t="s">
        <v>471</v>
      </c>
      <c r="EA273" s="198" t="s">
        <v>471</v>
      </c>
      <c r="EB273" s="217">
        <f t="shared" ref="EB273" si="614">AA273+AV273+BQ273+CL273+DG273</f>
        <v>0</v>
      </c>
      <c r="EC273" s="217">
        <f t="shared" ref="EC273" si="615">AB273+AW273+BR273+CM273+DH273</f>
        <v>0</v>
      </c>
      <c r="ED273" s="217">
        <f t="shared" ref="ED273" si="616">AC273+AX273+BS273+CN273+DI273</f>
        <v>0</v>
      </c>
      <c r="EE273" s="217">
        <f t="shared" ref="EE273" si="617">AD273+AY273+BT273+CO273+DJ273</f>
        <v>613491.6</v>
      </c>
      <c r="EF273" s="217">
        <f t="shared" ref="EF273" si="618">AE273+AZ273+BU273+CP273+DK273</f>
        <v>613491.6</v>
      </c>
      <c r="EG273" s="217">
        <f t="shared" ref="EG273" si="619">AF273+BA273+BV273+CQ273+DL273</f>
        <v>613491.6</v>
      </c>
    </row>
    <row r="274" spans="1:137" s="308" customFormat="1" x14ac:dyDescent="0.25">
      <c r="A274" s="210" t="s">
        <v>655</v>
      </c>
      <c r="B274" s="59"/>
      <c r="C274" s="303" t="s">
        <v>663</v>
      </c>
      <c r="D274" s="210" t="s">
        <v>667</v>
      </c>
      <c r="E274" s="208"/>
      <c r="F274" s="849"/>
      <c r="G274" s="849"/>
      <c r="H274" s="849"/>
      <c r="I274" s="852"/>
      <c r="J274" s="852"/>
      <c r="K274" s="852"/>
      <c r="L274" s="850"/>
      <c r="M274" s="850"/>
      <c r="N274" s="850"/>
      <c r="O274" s="850"/>
      <c r="P274" s="850"/>
      <c r="Q274" s="850"/>
      <c r="R274" s="850"/>
      <c r="S274" s="850"/>
      <c r="T274" s="850"/>
      <c r="U274" s="850"/>
      <c r="V274" s="850"/>
      <c r="W274" s="850"/>
      <c r="X274" s="850"/>
      <c r="Y274" s="850"/>
      <c r="Z274" s="850"/>
      <c r="AA274" s="851"/>
      <c r="AB274" s="851"/>
      <c r="AC274" s="851"/>
      <c r="AD274" s="851">
        <f>AD243</f>
        <v>0.98122950480000004</v>
      </c>
      <c r="AE274" s="851">
        <f>AE243</f>
        <v>0.98122950480000004</v>
      </c>
      <c r="AF274" s="851">
        <f>AF243</f>
        <v>0.98122950480000004</v>
      </c>
      <c r="AG274" s="850"/>
      <c r="AH274" s="850"/>
      <c r="AI274" s="850"/>
      <c r="AJ274" s="850"/>
      <c r="AK274" s="850"/>
      <c r="AL274" s="850"/>
      <c r="AM274" s="850"/>
      <c r="AN274" s="850"/>
      <c r="AO274" s="850"/>
      <c r="AP274" s="850"/>
      <c r="AQ274" s="850"/>
      <c r="AR274" s="850"/>
      <c r="AS274" s="850"/>
      <c r="AT274" s="850"/>
      <c r="AU274" s="850"/>
      <c r="AV274" s="851"/>
      <c r="AW274" s="851"/>
      <c r="AX274" s="851"/>
      <c r="AY274" s="851">
        <f>AY243</f>
        <v>0.95716725619999998</v>
      </c>
      <c r="AZ274" s="851">
        <f>AZ243</f>
        <v>0.95716725619999998</v>
      </c>
      <c r="BA274" s="851">
        <f>BA243</f>
        <v>0.95716725619999998</v>
      </c>
      <c r="BB274" s="850"/>
      <c r="BC274" s="850"/>
      <c r="BD274" s="850"/>
      <c r="BE274" s="850"/>
      <c r="BF274" s="850"/>
      <c r="BG274" s="850"/>
      <c r="BH274" s="850"/>
      <c r="BI274" s="850"/>
      <c r="BJ274" s="850"/>
      <c r="BK274" s="850"/>
      <c r="BL274" s="850"/>
      <c r="BM274" s="850"/>
      <c r="BN274" s="850"/>
      <c r="BO274" s="850"/>
      <c r="BP274" s="850"/>
      <c r="BQ274" s="851"/>
      <c r="BR274" s="851"/>
      <c r="BS274" s="851"/>
      <c r="BT274" s="851">
        <f>BT243</f>
        <v>1</v>
      </c>
      <c r="BU274" s="851">
        <f>BU243</f>
        <v>1</v>
      </c>
      <c r="BV274" s="851">
        <f>BV243</f>
        <v>1</v>
      </c>
      <c r="BW274" s="850"/>
      <c r="BX274" s="850"/>
      <c r="BY274" s="850"/>
      <c r="BZ274" s="850"/>
      <c r="CA274" s="850"/>
      <c r="CB274" s="850"/>
      <c r="CC274" s="850"/>
      <c r="CD274" s="850"/>
      <c r="CE274" s="850"/>
      <c r="CF274" s="850"/>
      <c r="CG274" s="850"/>
      <c r="CH274" s="850"/>
      <c r="CI274" s="850"/>
      <c r="CJ274" s="850"/>
      <c r="CK274" s="850"/>
      <c r="CL274" s="851"/>
      <c r="CM274" s="851"/>
      <c r="CN274" s="851"/>
      <c r="CO274" s="851">
        <f>CO243</f>
        <v>1</v>
      </c>
      <c r="CP274" s="851">
        <f>CP243</f>
        <v>1</v>
      </c>
      <c r="CQ274" s="851">
        <f>CQ243</f>
        <v>1</v>
      </c>
      <c r="CR274" s="850"/>
      <c r="CS274" s="850"/>
      <c r="CT274" s="850"/>
      <c r="CU274" s="850"/>
      <c r="CV274" s="850"/>
      <c r="CW274" s="850"/>
      <c r="CX274" s="850"/>
      <c r="CY274" s="850"/>
      <c r="CZ274" s="850"/>
      <c r="DA274" s="850"/>
      <c r="DB274" s="850"/>
      <c r="DC274" s="850"/>
      <c r="DD274" s="850"/>
      <c r="DE274" s="850"/>
      <c r="DF274" s="850"/>
      <c r="DG274" s="851"/>
      <c r="DH274" s="851"/>
      <c r="DI274" s="851"/>
      <c r="DJ274" s="851">
        <f>DJ243</f>
        <v>1</v>
      </c>
      <c r="DK274" s="851">
        <f>DK243</f>
        <v>1</v>
      </c>
      <c r="DL274" s="851">
        <f>DL243</f>
        <v>1</v>
      </c>
      <c r="DM274" s="850"/>
      <c r="DN274" s="850"/>
      <c r="DO274" s="850"/>
      <c r="DP274" s="850"/>
      <c r="DQ274" s="850"/>
      <c r="DR274" s="850"/>
      <c r="DS274" s="850"/>
      <c r="DT274" s="850"/>
      <c r="DU274" s="850"/>
      <c r="DV274" s="850"/>
      <c r="DW274" s="850"/>
      <c r="DX274" s="850"/>
      <c r="DY274" s="850"/>
      <c r="DZ274" s="850"/>
      <c r="EA274" s="850"/>
      <c r="EB274" s="851"/>
      <c r="EC274" s="851"/>
      <c r="ED274" s="851"/>
      <c r="EE274" s="851">
        <f>EE243</f>
        <v>0.98116735659999998</v>
      </c>
      <c r="EF274" s="851">
        <f>EF243</f>
        <v>0.98116735659999998</v>
      </c>
      <c r="EG274" s="851">
        <f>EG243</f>
        <v>0.98116735659999998</v>
      </c>
    </row>
    <row r="275" spans="1:137" s="308" customFormat="1" ht="48" x14ac:dyDescent="0.25">
      <c r="A275" s="11" t="s">
        <v>472</v>
      </c>
      <c r="B275" s="320" t="s">
        <v>1189</v>
      </c>
      <c r="C275" s="303" t="s">
        <v>666</v>
      </c>
      <c r="D275" s="210"/>
      <c r="E275" s="208"/>
      <c r="F275" s="849"/>
      <c r="G275" s="849"/>
      <c r="H275" s="849"/>
      <c r="I275" s="852"/>
      <c r="J275" s="852"/>
      <c r="K275" s="852"/>
      <c r="L275" s="850" t="s">
        <v>471</v>
      </c>
      <c r="M275" s="850" t="s">
        <v>471</v>
      </c>
      <c r="N275" s="850" t="s">
        <v>471</v>
      </c>
      <c r="O275" s="850" t="s">
        <v>471</v>
      </c>
      <c r="P275" s="850" t="s">
        <v>471</v>
      </c>
      <c r="Q275" s="850" t="s">
        <v>471</v>
      </c>
      <c r="R275" s="850" t="s">
        <v>471</v>
      </c>
      <c r="S275" s="850" t="s">
        <v>471</v>
      </c>
      <c r="T275" s="850" t="s">
        <v>471</v>
      </c>
      <c r="U275" s="850" t="s">
        <v>471</v>
      </c>
      <c r="V275" s="850" t="s">
        <v>471</v>
      </c>
      <c r="W275" s="850" t="s">
        <v>471</v>
      </c>
      <c r="X275" s="850" t="s">
        <v>471</v>
      </c>
      <c r="Y275" s="850" t="s">
        <v>471</v>
      </c>
      <c r="Z275" s="850" t="s">
        <v>471</v>
      </c>
      <c r="AA275" s="852"/>
      <c r="AB275" s="852"/>
      <c r="AC275" s="852"/>
      <c r="AD275" s="849">
        <f>AD246/L227*L258</f>
        <v>366436.31</v>
      </c>
      <c r="AE275" s="849">
        <f>AE246/M227*M258</f>
        <v>366436.31</v>
      </c>
      <c r="AF275" s="849">
        <f>AF246/N227*N258</f>
        <v>366436.31</v>
      </c>
      <c r="AG275" s="850" t="s">
        <v>471</v>
      </c>
      <c r="AH275" s="850" t="s">
        <v>471</v>
      </c>
      <c r="AI275" s="850" t="s">
        <v>471</v>
      </c>
      <c r="AJ275" s="850" t="s">
        <v>471</v>
      </c>
      <c r="AK275" s="850" t="s">
        <v>471</v>
      </c>
      <c r="AL275" s="850" t="s">
        <v>471</v>
      </c>
      <c r="AM275" s="850" t="s">
        <v>471</v>
      </c>
      <c r="AN275" s="850" t="s">
        <v>471</v>
      </c>
      <c r="AO275" s="850" t="s">
        <v>471</v>
      </c>
      <c r="AP275" s="850" t="s">
        <v>471</v>
      </c>
      <c r="AQ275" s="850" t="s">
        <v>471</v>
      </c>
      <c r="AR275" s="850" t="s">
        <v>471</v>
      </c>
      <c r="AS275" s="850" t="s">
        <v>471</v>
      </c>
      <c r="AT275" s="850" t="s">
        <v>471</v>
      </c>
      <c r="AU275" s="850" t="s">
        <v>471</v>
      </c>
      <c r="AV275" s="852"/>
      <c r="AW275" s="852"/>
      <c r="AX275" s="852"/>
      <c r="AY275" s="849">
        <f>AY246/AG227*AG258</f>
        <v>68412.27</v>
      </c>
      <c r="AZ275" s="849">
        <f>AZ246/AH227*AH258</f>
        <v>68412.27</v>
      </c>
      <c r="BA275" s="849">
        <f>BA246/AI227*AI258</f>
        <v>68412.27</v>
      </c>
      <c r="BB275" s="850" t="s">
        <v>471</v>
      </c>
      <c r="BC275" s="850" t="s">
        <v>471</v>
      </c>
      <c r="BD275" s="850" t="s">
        <v>471</v>
      </c>
      <c r="BE275" s="850" t="s">
        <v>471</v>
      </c>
      <c r="BF275" s="850" t="s">
        <v>471</v>
      </c>
      <c r="BG275" s="850" t="s">
        <v>471</v>
      </c>
      <c r="BH275" s="850" t="s">
        <v>471</v>
      </c>
      <c r="BI275" s="850" t="s">
        <v>471</v>
      </c>
      <c r="BJ275" s="850" t="s">
        <v>471</v>
      </c>
      <c r="BK275" s="850" t="s">
        <v>471</v>
      </c>
      <c r="BL275" s="850" t="s">
        <v>471</v>
      </c>
      <c r="BM275" s="850" t="s">
        <v>471</v>
      </c>
      <c r="BN275" s="850" t="s">
        <v>471</v>
      </c>
      <c r="BO275" s="850" t="s">
        <v>471</v>
      </c>
      <c r="BP275" s="850" t="s">
        <v>471</v>
      </c>
      <c r="BQ275" s="852"/>
      <c r="BR275" s="852"/>
      <c r="BS275" s="852"/>
      <c r="BT275" s="849">
        <f>BT246/BB227*BB258</f>
        <v>163104.12</v>
      </c>
      <c r="BU275" s="849">
        <f>BU246/BC227*BC258</f>
        <v>163104.12</v>
      </c>
      <c r="BV275" s="849">
        <f>BV246/BD227*BD258</f>
        <v>163104.12</v>
      </c>
      <c r="BW275" s="850" t="s">
        <v>471</v>
      </c>
      <c r="BX275" s="850" t="s">
        <v>471</v>
      </c>
      <c r="BY275" s="850" t="s">
        <v>471</v>
      </c>
      <c r="BZ275" s="850" t="s">
        <v>471</v>
      </c>
      <c r="CA275" s="850" t="s">
        <v>471</v>
      </c>
      <c r="CB275" s="850" t="s">
        <v>471</v>
      </c>
      <c r="CC275" s="850" t="s">
        <v>471</v>
      </c>
      <c r="CD275" s="850" t="s">
        <v>471</v>
      </c>
      <c r="CE275" s="850" t="s">
        <v>471</v>
      </c>
      <c r="CF275" s="850" t="s">
        <v>471</v>
      </c>
      <c r="CG275" s="850" t="s">
        <v>471</v>
      </c>
      <c r="CH275" s="850" t="s">
        <v>471</v>
      </c>
      <c r="CI275" s="850" t="s">
        <v>471</v>
      </c>
      <c r="CJ275" s="850" t="s">
        <v>471</v>
      </c>
      <c r="CK275" s="850" t="s">
        <v>471</v>
      </c>
      <c r="CL275" s="852"/>
      <c r="CM275" s="852"/>
      <c r="CN275" s="852"/>
      <c r="CO275" s="849">
        <f>CO246/BW227*BW258</f>
        <v>10867.07</v>
      </c>
      <c r="CP275" s="849">
        <f>CP246/BX227*BX258</f>
        <v>10867.07</v>
      </c>
      <c r="CQ275" s="849">
        <f>CQ246/BY227*BY258</f>
        <v>10867.07</v>
      </c>
      <c r="CR275" s="850" t="s">
        <v>471</v>
      </c>
      <c r="CS275" s="850" t="s">
        <v>471</v>
      </c>
      <c r="CT275" s="850" t="s">
        <v>471</v>
      </c>
      <c r="CU275" s="850" t="s">
        <v>471</v>
      </c>
      <c r="CV275" s="850" t="s">
        <v>471</v>
      </c>
      <c r="CW275" s="850" t="s">
        <v>471</v>
      </c>
      <c r="CX275" s="850" t="s">
        <v>471</v>
      </c>
      <c r="CY275" s="850" t="s">
        <v>471</v>
      </c>
      <c r="CZ275" s="850" t="s">
        <v>471</v>
      </c>
      <c r="DA275" s="850" t="s">
        <v>471</v>
      </c>
      <c r="DB275" s="850" t="s">
        <v>471</v>
      </c>
      <c r="DC275" s="850" t="s">
        <v>471</v>
      </c>
      <c r="DD275" s="850" t="s">
        <v>471</v>
      </c>
      <c r="DE275" s="850" t="s">
        <v>471</v>
      </c>
      <c r="DF275" s="850" t="s">
        <v>471</v>
      </c>
      <c r="DG275" s="852"/>
      <c r="DH275" s="852"/>
      <c r="DI275" s="852"/>
      <c r="DJ275" s="849">
        <f>DJ246/CR227*CR258</f>
        <v>14480.31</v>
      </c>
      <c r="DK275" s="849">
        <f>DK246/CS227*CS258</f>
        <v>14480.31</v>
      </c>
      <c r="DL275" s="849">
        <f>DL246/CT227*CT258</f>
        <v>14480.31</v>
      </c>
      <c r="DM275" s="850" t="s">
        <v>471</v>
      </c>
      <c r="DN275" s="850" t="s">
        <v>471</v>
      </c>
      <c r="DO275" s="850" t="s">
        <v>471</v>
      </c>
      <c r="DP275" s="850" t="s">
        <v>471</v>
      </c>
      <c r="DQ275" s="850" t="s">
        <v>471</v>
      </c>
      <c r="DR275" s="850" t="s">
        <v>471</v>
      </c>
      <c r="DS275" s="850" t="s">
        <v>471</v>
      </c>
      <c r="DT275" s="850" t="s">
        <v>471</v>
      </c>
      <c r="DU275" s="850" t="s">
        <v>471</v>
      </c>
      <c r="DV275" s="850" t="s">
        <v>471</v>
      </c>
      <c r="DW275" s="850" t="s">
        <v>471</v>
      </c>
      <c r="DX275" s="850" t="s">
        <v>471</v>
      </c>
      <c r="DY275" s="850" t="s">
        <v>471</v>
      </c>
      <c r="DZ275" s="850" t="s">
        <v>471</v>
      </c>
      <c r="EA275" s="850" t="s">
        <v>471</v>
      </c>
      <c r="EB275" s="849">
        <f t="shared" ref="EB275:EB276" si="620">AA275+AV275+BQ275+CL275+DG275</f>
        <v>0</v>
      </c>
      <c r="EC275" s="849">
        <f t="shared" ref="EC275:EC276" si="621">AB275+AW275+BR275+CM275+DH275</f>
        <v>0</v>
      </c>
      <c r="ED275" s="849">
        <f t="shared" ref="ED275:ED276" si="622">AC275+AX275+BS275+CN275+DI275</f>
        <v>0</v>
      </c>
      <c r="EE275" s="849">
        <f t="shared" ref="EE275:EE276" si="623">AD275+AY275+BT275+CO275+DJ275</f>
        <v>623300.07999999996</v>
      </c>
      <c r="EF275" s="849">
        <f t="shared" ref="EF275:EF276" si="624">AE275+AZ275+BU275+CP275+DK275</f>
        <v>623300.07999999996</v>
      </c>
      <c r="EG275" s="849">
        <f t="shared" ref="EG275:EG276" si="625">AF275+BA275+BV275+CQ275+DL275</f>
        <v>623300.07999999996</v>
      </c>
    </row>
    <row r="276" spans="1:137" ht="72" x14ac:dyDescent="0.25">
      <c r="A276" s="326" t="s">
        <v>671</v>
      </c>
      <c r="B276" s="61"/>
      <c r="C276" s="16" t="s">
        <v>488</v>
      </c>
      <c r="D276" s="196"/>
      <c r="E276" s="197"/>
      <c r="F276" s="98"/>
      <c r="G276" s="98"/>
      <c r="H276" s="98"/>
      <c r="I276" s="220"/>
      <c r="J276" s="220"/>
      <c r="K276" s="220"/>
      <c r="L276" s="198" t="s">
        <v>471</v>
      </c>
      <c r="M276" s="198" t="s">
        <v>471</v>
      </c>
      <c r="N276" s="198" t="s">
        <v>471</v>
      </c>
      <c r="O276" s="198" t="s">
        <v>471</v>
      </c>
      <c r="P276" s="198" t="s">
        <v>471</v>
      </c>
      <c r="Q276" s="198" t="s">
        <v>471</v>
      </c>
      <c r="R276" s="198" t="s">
        <v>471</v>
      </c>
      <c r="S276" s="198" t="s">
        <v>471</v>
      </c>
      <c r="T276" s="198" t="s">
        <v>471</v>
      </c>
      <c r="U276" s="198" t="s">
        <v>471</v>
      </c>
      <c r="V276" s="198" t="s">
        <v>471</v>
      </c>
      <c r="W276" s="198" t="s">
        <v>471</v>
      </c>
      <c r="X276" s="198" t="s">
        <v>471</v>
      </c>
      <c r="Y276" s="198" t="s">
        <v>471</v>
      </c>
      <c r="Z276" s="198" t="s">
        <v>471</v>
      </c>
      <c r="AA276" s="219"/>
      <c r="AB276" s="219"/>
      <c r="AC276" s="219"/>
      <c r="AD276" s="219">
        <v>42705300</v>
      </c>
      <c r="AE276" s="219">
        <v>45545400</v>
      </c>
      <c r="AF276" s="219">
        <v>48660800</v>
      </c>
      <c r="AG276" s="198" t="s">
        <v>471</v>
      </c>
      <c r="AH276" s="198" t="s">
        <v>471</v>
      </c>
      <c r="AI276" s="198" t="s">
        <v>471</v>
      </c>
      <c r="AJ276" s="198" t="s">
        <v>471</v>
      </c>
      <c r="AK276" s="198" t="s">
        <v>471</v>
      </c>
      <c r="AL276" s="198" t="s">
        <v>471</v>
      </c>
      <c r="AM276" s="198" t="s">
        <v>471</v>
      </c>
      <c r="AN276" s="198" t="s">
        <v>471</v>
      </c>
      <c r="AO276" s="198" t="s">
        <v>471</v>
      </c>
      <c r="AP276" s="198" t="s">
        <v>471</v>
      </c>
      <c r="AQ276" s="198" t="s">
        <v>471</v>
      </c>
      <c r="AR276" s="198" t="s">
        <v>471</v>
      </c>
      <c r="AS276" s="198" t="s">
        <v>471</v>
      </c>
      <c r="AT276" s="198" t="s">
        <v>471</v>
      </c>
      <c r="AU276" s="198" t="s">
        <v>471</v>
      </c>
      <c r="AV276" s="219"/>
      <c r="AW276" s="219"/>
      <c r="AX276" s="219"/>
      <c r="AY276" s="219">
        <v>39962300</v>
      </c>
      <c r="AZ276" s="219">
        <v>42239000</v>
      </c>
      <c r="BA276" s="219">
        <v>44466400</v>
      </c>
      <c r="BB276" s="198" t="s">
        <v>471</v>
      </c>
      <c r="BC276" s="198" t="s">
        <v>471</v>
      </c>
      <c r="BD276" s="198" t="s">
        <v>471</v>
      </c>
      <c r="BE276" s="198" t="s">
        <v>471</v>
      </c>
      <c r="BF276" s="198" t="s">
        <v>471</v>
      </c>
      <c r="BG276" s="198" t="s">
        <v>471</v>
      </c>
      <c r="BH276" s="198" t="s">
        <v>471</v>
      </c>
      <c r="BI276" s="198" t="s">
        <v>471</v>
      </c>
      <c r="BJ276" s="198" t="s">
        <v>471</v>
      </c>
      <c r="BK276" s="198" t="s">
        <v>471</v>
      </c>
      <c r="BL276" s="198" t="s">
        <v>471</v>
      </c>
      <c r="BM276" s="198" t="s">
        <v>471</v>
      </c>
      <c r="BN276" s="198" t="s">
        <v>471</v>
      </c>
      <c r="BO276" s="198" t="s">
        <v>471</v>
      </c>
      <c r="BP276" s="198" t="s">
        <v>471</v>
      </c>
      <c r="BQ276" s="219"/>
      <c r="BR276" s="219"/>
      <c r="BS276" s="219"/>
      <c r="BT276" s="219">
        <v>37100600</v>
      </c>
      <c r="BU276" s="219">
        <v>37617200</v>
      </c>
      <c r="BV276" s="219">
        <v>39196200</v>
      </c>
      <c r="BW276" s="198" t="s">
        <v>471</v>
      </c>
      <c r="BX276" s="198" t="s">
        <v>471</v>
      </c>
      <c r="BY276" s="198" t="s">
        <v>471</v>
      </c>
      <c r="BZ276" s="198" t="s">
        <v>471</v>
      </c>
      <c r="CA276" s="198" t="s">
        <v>471</v>
      </c>
      <c r="CB276" s="198" t="s">
        <v>471</v>
      </c>
      <c r="CC276" s="198" t="s">
        <v>471</v>
      </c>
      <c r="CD276" s="198" t="s">
        <v>471</v>
      </c>
      <c r="CE276" s="198" t="s">
        <v>471</v>
      </c>
      <c r="CF276" s="198" t="s">
        <v>471</v>
      </c>
      <c r="CG276" s="198" t="s">
        <v>471</v>
      </c>
      <c r="CH276" s="198" t="s">
        <v>471</v>
      </c>
      <c r="CI276" s="198" t="s">
        <v>471</v>
      </c>
      <c r="CJ276" s="198" t="s">
        <v>471</v>
      </c>
      <c r="CK276" s="198" t="s">
        <v>471</v>
      </c>
      <c r="CL276" s="219"/>
      <c r="CM276" s="219"/>
      <c r="CN276" s="219"/>
      <c r="CO276" s="219">
        <v>9553900</v>
      </c>
      <c r="CP276" s="219">
        <v>9794400</v>
      </c>
      <c r="CQ276" s="219">
        <v>10356200</v>
      </c>
      <c r="CR276" s="198" t="s">
        <v>471</v>
      </c>
      <c r="CS276" s="198" t="s">
        <v>471</v>
      </c>
      <c r="CT276" s="198" t="s">
        <v>471</v>
      </c>
      <c r="CU276" s="198" t="s">
        <v>471</v>
      </c>
      <c r="CV276" s="198" t="s">
        <v>471</v>
      </c>
      <c r="CW276" s="198" t="s">
        <v>471</v>
      </c>
      <c r="CX276" s="198" t="s">
        <v>471</v>
      </c>
      <c r="CY276" s="198" t="s">
        <v>471</v>
      </c>
      <c r="CZ276" s="198" t="s">
        <v>471</v>
      </c>
      <c r="DA276" s="198" t="s">
        <v>471</v>
      </c>
      <c r="DB276" s="198" t="s">
        <v>471</v>
      </c>
      <c r="DC276" s="198" t="s">
        <v>471</v>
      </c>
      <c r="DD276" s="198" t="s">
        <v>471</v>
      </c>
      <c r="DE276" s="198" t="s">
        <v>471</v>
      </c>
      <c r="DF276" s="198" t="s">
        <v>471</v>
      </c>
      <c r="DG276" s="219"/>
      <c r="DH276" s="219"/>
      <c r="DI276" s="219"/>
      <c r="DJ276" s="219">
        <v>6353700</v>
      </c>
      <c r="DK276" s="219">
        <v>6475800</v>
      </c>
      <c r="DL276" s="219">
        <v>6792800</v>
      </c>
      <c r="DM276" s="198" t="s">
        <v>471</v>
      </c>
      <c r="DN276" s="198" t="s">
        <v>471</v>
      </c>
      <c r="DO276" s="198" t="s">
        <v>471</v>
      </c>
      <c r="DP276" s="198" t="s">
        <v>471</v>
      </c>
      <c r="DQ276" s="198" t="s">
        <v>471</v>
      </c>
      <c r="DR276" s="198" t="s">
        <v>471</v>
      </c>
      <c r="DS276" s="198" t="s">
        <v>471</v>
      </c>
      <c r="DT276" s="198" t="s">
        <v>471</v>
      </c>
      <c r="DU276" s="198" t="s">
        <v>471</v>
      </c>
      <c r="DV276" s="198" t="s">
        <v>471</v>
      </c>
      <c r="DW276" s="198" t="s">
        <v>471</v>
      </c>
      <c r="DX276" s="198" t="s">
        <v>471</v>
      </c>
      <c r="DY276" s="198" t="s">
        <v>471</v>
      </c>
      <c r="DZ276" s="198" t="s">
        <v>471</v>
      </c>
      <c r="EA276" s="198" t="s">
        <v>471</v>
      </c>
      <c r="EB276" s="231">
        <f t="shared" si="620"/>
        <v>0</v>
      </c>
      <c r="EC276" s="231">
        <f t="shared" si="621"/>
        <v>0</v>
      </c>
      <c r="ED276" s="231">
        <f t="shared" si="622"/>
        <v>0</v>
      </c>
      <c r="EE276" s="231">
        <f t="shared" si="623"/>
        <v>135675800</v>
      </c>
      <c r="EF276" s="231">
        <f t="shared" si="624"/>
        <v>141671800</v>
      </c>
      <c r="EG276" s="231">
        <f t="shared" si="625"/>
        <v>149472400</v>
      </c>
    </row>
    <row r="277" spans="1:137" s="232" customFormat="1" ht="12.75" x14ac:dyDescent="0.25">
      <c r="B277" s="322"/>
      <c r="J277" s="233"/>
      <c r="K277" s="233"/>
      <c r="L277" s="233"/>
      <c r="AG277" s="233"/>
      <c r="BB277" s="233"/>
      <c r="BW277" s="233"/>
      <c r="CR277" s="233"/>
      <c r="DM277" s="233"/>
      <c r="EB277" s="234"/>
      <c r="EC277" s="234"/>
      <c r="ED277" s="234"/>
      <c r="EE277" s="234"/>
      <c r="EF277" s="234"/>
      <c r="EG277" s="234"/>
    </row>
    <row r="278" spans="1:137" x14ac:dyDescent="0.25">
      <c r="A278" s="1" t="s">
        <v>1184</v>
      </c>
      <c r="J278" s="81" t="s">
        <v>274</v>
      </c>
      <c r="K278" s="235"/>
      <c r="L278" s="235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50"/>
      <c r="AC278" s="150"/>
      <c r="AD278" s="150"/>
      <c r="AE278" s="150"/>
      <c r="AF278" s="150"/>
      <c r="AG278" s="235"/>
      <c r="AH278" s="150"/>
      <c r="AI278" s="150"/>
      <c r="AJ278" s="150"/>
      <c r="AK278" s="150"/>
      <c r="AL278" s="150"/>
      <c r="AM278" s="150"/>
      <c r="AN278" s="150"/>
      <c r="AO278" s="150"/>
      <c r="AP278" s="232" t="s">
        <v>661</v>
      </c>
      <c r="AQ278" s="232"/>
      <c r="AR278" s="232"/>
      <c r="AS278" s="232"/>
      <c r="AT278" s="232"/>
      <c r="AU278" s="232"/>
      <c r="AV278" s="232"/>
      <c r="AW278" s="232" t="s">
        <v>662</v>
      </c>
      <c r="AX278" s="150"/>
      <c r="AY278" s="150"/>
      <c r="AZ278" s="150"/>
      <c r="BA278" s="150"/>
      <c r="BB278" s="235"/>
      <c r="BC278" s="150"/>
      <c r="BD278" s="150"/>
      <c r="BE278" s="150"/>
      <c r="BF278" s="150"/>
      <c r="BG278" s="150"/>
      <c r="BH278" s="150"/>
      <c r="BI278" s="150"/>
      <c r="BJ278" s="150"/>
      <c r="BK278" s="150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150"/>
      <c r="BV278" s="150"/>
      <c r="BW278" s="235"/>
      <c r="BX278" s="150"/>
      <c r="BY278" s="150"/>
      <c r="BZ278" s="150"/>
      <c r="CA278" s="150"/>
      <c r="CB278" s="150"/>
      <c r="CC278" s="150"/>
      <c r="CD278" s="150"/>
      <c r="CE278" s="150"/>
      <c r="CF278" s="150"/>
      <c r="CG278" s="150"/>
      <c r="CH278" s="150"/>
      <c r="CI278" s="150"/>
      <c r="CJ278" s="150"/>
      <c r="CK278" s="150"/>
      <c r="CL278" s="150"/>
      <c r="CM278" s="150"/>
      <c r="CN278" s="150"/>
      <c r="CO278" s="150"/>
      <c r="CP278" s="150"/>
      <c r="CQ278" s="150"/>
      <c r="CR278" s="235"/>
      <c r="CS278" s="150"/>
      <c r="CT278" s="150"/>
      <c r="CU278" s="150"/>
      <c r="CV278" s="150"/>
      <c r="CW278" s="150"/>
      <c r="CX278" s="150"/>
      <c r="CY278" s="150"/>
      <c r="CZ278" s="150"/>
      <c r="DA278" s="150"/>
      <c r="DB278" s="150"/>
      <c r="DC278" s="150"/>
      <c r="DD278" s="150"/>
      <c r="DE278" s="150"/>
      <c r="DF278" s="150"/>
      <c r="DG278" s="150"/>
      <c r="DH278" s="150"/>
      <c r="DI278" s="150"/>
      <c r="DJ278" s="150"/>
      <c r="DK278" s="150"/>
      <c r="DL278" s="150"/>
      <c r="DM278" s="235"/>
      <c r="DN278" s="150"/>
      <c r="DO278" s="150"/>
      <c r="DP278" s="150"/>
      <c r="DQ278" s="150"/>
      <c r="DR278" s="150"/>
      <c r="DS278" s="150"/>
      <c r="DT278" s="150"/>
      <c r="DU278" s="150"/>
      <c r="DV278" s="150"/>
      <c r="DW278" s="150"/>
      <c r="DX278" s="150"/>
      <c r="DY278" s="150"/>
      <c r="DZ278" s="150"/>
      <c r="EA278" s="150"/>
      <c r="EB278" s="150"/>
      <c r="EC278" s="150"/>
      <c r="ED278" s="150"/>
      <c r="EE278" s="150"/>
      <c r="EF278" s="150"/>
      <c r="EG278" s="150"/>
    </row>
    <row r="279" spans="1:137" x14ac:dyDescent="0.25">
      <c r="I279" s="150"/>
      <c r="J279" s="235"/>
      <c r="K279" s="235"/>
      <c r="L279" s="235"/>
      <c r="M279" s="150"/>
      <c r="N279" s="150"/>
      <c r="O279" s="150"/>
      <c r="P279" s="150"/>
      <c r="Q279" s="150"/>
      <c r="R279" s="150"/>
      <c r="S279" s="150"/>
      <c r="T279" s="150"/>
      <c r="U279" s="150"/>
      <c r="V279" s="150"/>
      <c r="W279" s="150"/>
      <c r="X279" s="150"/>
      <c r="Y279" s="150"/>
      <c r="Z279" s="150"/>
      <c r="AA279" s="150"/>
      <c r="AB279" s="150"/>
      <c r="AC279" s="150"/>
      <c r="AD279" s="150"/>
      <c r="AE279" s="150"/>
      <c r="AF279" s="150"/>
      <c r="AG279" s="235"/>
      <c r="AH279" s="150"/>
      <c r="AI279" s="150"/>
      <c r="AJ279" s="150"/>
      <c r="AK279" s="150"/>
      <c r="AL279" s="150"/>
      <c r="AM279" s="150"/>
      <c r="AN279" s="150"/>
      <c r="AO279" s="150"/>
      <c r="AW279" s="150"/>
      <c r="AX279" s="150"/>
      <c r="AY279" s="150"/>
      <c r="AZ279" s="150"/>
      <c r="BA279" s="150"/>
      <c r="BB279" s="235"/>
      <c r="BC279" s="150"/>
      <c r="BD279" s="150"/>
      <c r="BE279" s="150"/>
      <c r="BF279" s="150"/>
      <c r="BG279" s="150"/>
      <c r="BH279" s="150"/>
      <c r="BI279" s="150"/>
      <c r="BJ279" s="150"/>
      <c r="BK279" s="150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150"/>
      <c r="BV279" s="150"/>
      <c r="BW279" s="235"/>
      <c r="BX279" s="150"/>
      <c r="BY279" s="150"/>
      <c r="BZ279" s="150"/>
      <c r="CA279" s="150"/>
      <c r="CB279" s="150"/>
      <c r="CC279" s="150"/>
      <c r="CD279" s="150"/>
      <c r="CE279" s="150"/>
      <c r="CF279" s="150"/>
      <c r="CG279" s="150"/>
      <c r="CH279" s="150"/>
      <c r="CI279" s="150"/>
      <c r="CJ279" s="150"/>
      <c r="CK279" s="150"/>
      <c r="CL279" s="150"/>
      <c r="CM279" s="150"/>
      <c r="CN279" s="150"/>
      <c r="CO279" s="150"/>
      <c r="CP279" s="150"/>
      <c r="CQ279" s="150"/>
      <c r="CR279" s="235"/>
      <c r="CS279" s="150"/>
      <c r="CT279" s="150"/>
      <c r="CU279" s="150"/>
      <c r="CV279" s="150"/>
      <c r="CW279" s="150"/>
      <c r="CX279" s="150"/>
      <c r="CY279" s="150"/>
      <c r="CZ279" s="150"/>
      <c r="DA279" s="150"/>
      <c r="DB279" s="150"/>
      <c r="DC279" s="150"/>
      <c r="DD279" s="150"/>
      <c r="DE279" s="150"/>
      <c r="DF279" s="150"/>
      <c r="DG279" s="150"/>
      <c r="DH279" s="150"/>
      <c r="DI279" s="150"/>
      <c r="DJ279" s="150"/>
      <c r="DK279" s="150"/>
      <c r="DL279" s="150"/>
      <c r="DM279" s="235"/>
      <c r="DN279" s="150"/>
      <c r="DO279" s="150"/>
      <c r="DP279" s="150"/>
      <c r="DQ279" s="150"/>
      <c r="DR279" s="150"/>
      <c r="DS279" s="150"/>
      <c r="DT279" s="150"/>
      <c r="DU279" s="150"/>
      <c r="DV279" s="150"/>
      <c r="DW279" s="150"/>
      <c r="DX279" s="150"/>
      <c r="DY279" s="150"/>
      <c r="DZ279" s="150"/>
      <c r="EA279" s="150"/>
      <c r="EB279" s="150"/>
      <c r="EC279" s="150"/>
      <c r="ED279" s="150"/>
      <c r="EE279" s="150"/>
      <c r="EF279" s="150"/>
      <c r="EG279" s="150"/>
    </row>
    <row r="280" spans="1:137" x14ac:dyDescent="0.25">
      <c r="A280" s="1" t="s">
        <v>1186</v>
      </c>
      <c r="I280" s="150"/>
      <c r="J280" s="235"/>
      <c r="K280" s="235"/>
      <c r="L280" s="235"/>
      <c r="M280" s="150"/>
      <c r="N280" s="150"/>
      <c r="O280" s="150"/>
      <c r="P280" s="150"/>
      <c r="Q280" s="150"/>
      <c r="R280" s="150"/>
      <c r="S280" s="150"/>
      <c r="T280" s="150"/>
      <c r="U280" s="150"/>
      <c r="V280" s="150"/>
      <c r="W280" s="150"/>
      <c r="X280" s="150"/>
      <c r="Y280" s="150"/>
      <c r="Z280" s="150"/>
      <c r="AA280" s="150"/>
      <c r="AB280" s="150"/>
      <c r="AC280" s="150"/>
      <c r="AD280" s="150"/>
      <c r="AE280" s="150"/>
      <c r="AF280" s="150"/>
      <c r="AG280" s="235"/>
      <c r="AH280" s="150"/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235"/>
      <c r="BC280" s="150"/>
      <c r="BD280" s="150"/>
      <c r="BE280" s="150"/>
      <c r="BF280" s="150"/>
      <c r="BG280" s="150"/>
      <c r="BH280" s="150"/>
      <c r="BI280" s="150"/>
      <c r="BJ280" s="150"/>
      <c r="BK280" s="150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150"/>
      <c r="BV280" s="150"/>
      <c r="BW280" s="235"/>
      <c r="BX280" s="150"/>
      <c r="BY280" s="150"/>
      <c r="BZ280" s="150"/>
      <c r="CA280" s="150"/>
      <c r="CB280" s="150"/>
      <c r="CC280" s="150"/>
      <c r="CD280" s="150"/>
      <c r="CE280" s="150"/>
      <c r="CF280" s="150"/>
      <c r="CG280" s="150"/>
      <c r="CH280" s="150"/>
      <c r="CI280" s="150"/>
      <c r="CJ280" s="150"/>
      <c r="CK280" s="150"/>
      <c r="CL280" s="150"/>
      <c r="CM280" s="150"/>
      <c r="CN280" s="150"/>
      <c r="CO280" s="150"/>
      <c r="CP280" s="150"/>
      <c r="CQ280" s="150"/>
      <c r="CR280" s="235"/>
      <c r="CS280" s="150"/>
      <c r="CT280" s="150"/>
      <c r="CU280" s="150"/>
      <c r="CV280" s="150"/>
      <c r="CW280" s="150"/>
      <c r="CX280" s="150"/>
      <c r="CY280" s="150"/>
      <c r="CZ280" s="150"/>
      <c r="DA280" s="150"/>
      <c r="DB280" s="150"/>
      <c r="DC280" s="150"/>
      <c r="DD280" s="150"/>
      <c r="DE280" s="150"/>
      <c r="DF280" s="150"/>
      <c r="DG280" s="150"/>
      <c r="DH280" s="150"/>
      <c r="DI280" s="150"/>
      <c r="DJ280" s="150"/>
      <c r="DK280" s="150"/>
      <c r="DL280" s="150"/>
      <c r="DM280" s="235"/>
      <c r="DN280" s="150"/>
      <c r="DO280" s="150"/>
      <c r="DP280" s="150"/>
      <c r="DQ280" s="150"/>
      <c r="DR280" s="150"/>
      <c r="DS280" s="150"/>
      <c r="DT280" s="150"/>
      <c r="DU280" s="150"/>
      <c r="DV280" s="150"/>
      <c r="DW280" s="150"/>
      <c r="DX280" s="150"/>
      <c r="DY280" s="150"/>
      <c r="DZ280" s="150"/>
      <c r="EA280" s="150"/>
      <c r="EB280" s="150"/>
      <c r="EC280" s="150"/>
      <c r="ED280" s="150"/>
      <c r="EE280" s="150"/>
      <c r="EF280" s="150"/>
      <c r="EG280" s="150"/>
    </row>
    <row r="281" spans="1:137" x14ac:dyDescent="0.25">
      <c r="A281" s="1018" t="s">
        <v>0</v>
      </c>
      <c r="B281" s="1020" t="s">
        <v>1</v>
      </c>
      <c r="C281" s="183"/>
      <c r="D281" s="184"/>
      <c r="E281" s="185"/>
      <c r="F281" s="1022" t="s">
        <v>501</v>
      </c>
      <c r="G281" s="1023"/>
      <c r="H281" s="1023"/>
      <c r="I281" s="1023"/>
      <c r="J281" s="1023"/>
      <c r="K281" s="1024"/>
      <c r="L281" s="768" t="s">
        <v>359</v>
      </c>
      <c r="M281" s="186"/>
      <c r="N281" s="186"/>
      <c r="O281" s="186"/>
      <c r="P281" s="186"/>
      <c r="Q281" s="186"/>
      <c r="R281" s="186"/>
      <c r="S281" s="186"/>
      <c r="T281" s="186"/>
      <c r="U281" s="186"/>
      <c r="V281" s="186"/>
      <c r="W281" s="186"/>
      <c r="X281" s="186"/>
      <c r="Y281" s="186"/>
      <c r="Z281" s="186"/>
      <c r="AA281" s="186"/>
      <c r="AB281" s="186"/>
      <c r="AC281" s="186"/>
      <c r="AD281" s="186"/>
      <c r="AE281" s="186"/>
      <c r="AF281" s="187"/>
      <c r="AG281" s="1025" t="s">
        <v>61</v>
      </c>
      <c r="AH281" s="1026"/>
      <c r="AI281" s="1026"/>
      <c r="AJ281" s="1026"/>
      <c r="AK281" s="1026"/>
      <c r="AL281" s="1026"/>
      <c r="AM281" s="1026"/>
      <c r="AN281" s="1026"/>
      <c r="AO281" s="1026"/>
      <c r="AP281" s="1026"/>
      <c r="AQ281" s="1026"/>
      <c r="AR281" s="1026"/>
      <c r="AS281" s="1026"/>
      <c r="AT281" s="1026"/>
      <c r="AU281" s="1026"/>
      <c r="AV281" s="1026"/>
      <c r="AW281" s="1026"/>
      <c r="AX281" s="1026"/>
      <c r="AY281" s="1026"/>
      <c r="AZ281" s="1026"/>
      <c r="BA281" s="1027"/>
      <c r="BB281" s="768" t="s">
        <v>360</v>
      </c>
      <c r="BC281" s="186"/>
      <c r="BD281" s="186"/>
      <c r="BE281" s="186"/>
      <c r="BF281" s="186"/>
      <c r="BG281" s="186"/>
      <c r="BH281" s="186"/>
      <c r="BI281" s="186"/>
      <c r="BJ281" s="186"/>
      <c r="BK281" s="186"/>
      <c r="BL281" s="186"/>
      <c r="BM281" s="186"/>
      <c r="BN281" s="186"/>
      <c r="BO281" s="186"/>
      <c r="BP281" s="186"/>
      <c r="BQ281" s="186"/>
      <c r="BR281" s="186"/>
      <c r="BS281" s="186"/>
      <c r="BT281" s="186"/>
      <c r="BU281" s="186"/>
      <c r="BV281" s="187"/>
      <c r="BW281" s="768" t="s">
        <v>287</v>
      </c>
      <c r="BX281" s="186"/>
      <c r="BY281" s="186"/>
      <c r="BZ281" s="186"/>
      <c r="CA281" s="186"/>
      <c r="CB281" s="186"/>
      <c r="CC281" s="186"/>
      <c r="CD281" s="186"/>
      <c r="CE281" s="186"/>
      <c r="CF281" s="186"/>
      <c r="CG281" s="186"/>
      <c r="CH281" s="186"/>
      <c r="CI281" s="186"/>
      <c r="CJ281" s="186"/>
      <c r="CK281" s="186"/>
      <c r="CL281" s="186"/>
      <c r="CM281" s="186"/>
      <c r="CN281" s="186"/>
      <c r="CO281" s="186"/>
      <c r="CP281" s="186"/>
      <c r="CQ281" s="187"/>
      <c r="CR281" s="768" t="s">
        <v>286</v>
      </c>
      <c r="CS281" s="186"/>
      <c r="CT281" s="186"/>
      <c r="CU281" s="186"/>
      <c r="CV281" s="186"/>
      <c r="CW281" s="186"/>
      <c r="CX281" s="186"/>
      <c r="CY281" s="186"/>
      <c r="CZ281" s="186"/>
      <c r="DA281" s="186"/>
      <c r="DB281" s="186"/>
      <c r="DC281" s="186"/>
      <c r="DD281" s="186"/>
      <c r="DE281" s="186"/>
      <c r="DF281" s="186"/>
      <c r="DG281" s="186"/>
      <c r="DH281" s="186"/>
      <c r="DI281" s="186"/>
      <c r="DJ281" s="186"/>
      <c r="DK281" s="186"/>
      <c r="DL281" s="187"/>
      <c r="DM281" s="768" t="s">
        <v>482</v>
      </c>
      <c r="DN281" s="186"/>
      <c r="DO281" s="186"/>
      <c r="DP281" s="186"/>
      <c r="DQ281" s="186"/>
      <c r="DR281" s="186"/>
      <c r="DS281" s="186"/>
      <c r="DT281" s="186"/>
      <c r="DU281" s="186"/>
      <c r="DV281" s="186"/>
      <c r="DW281" s="186"/>
      <c r="DX281" s="186"/>
      <c r="DY281" s="186"/>
      <c r="DZ281" s="186"/>
      <c r="EA281" s="186"/>
      <c r="EB281" s="186"/>
      <c r="EC281" s="186"/>
      <c r="ED281" s="186"/>
      <c r="EE281" s="186"/>
      <c r="EF281" s="186"/>
      <c r="EG281" s="187"/>
    </row>
    <row r="282" spans="1:137" ht="44.25" customHeight="1" x14ac:dyDescent="0.25">
      <c r="A282" s="1019"/>
      <c r="B282" s="1021"/>
      <c r="C282" s="188"/>
      <c r="D282" s="189"/>
      <c r="E282" s="190"/>
      <c r="F282" s="1028" t="s">
        <v>474</v>
      </c>
      <c r="G282" s="1029"/>
      <c r="H282" s="1030"/>
      <c r="I282" s="1028" t="s">
        <v>475</v>
      </c>
      <c r="J282" s="1029"/>
      <c r="K282" s="1030"/>
      <c r="L282" s="1015" t="s">
        <v>476</v>
      </c>
      <c r="M282" s="1016"/>
      <c r="N282" s="1017"/>
      <c r="O282" s="1015" t="s">
        <v>477</v>
      </c>
      <c r="P282" s="1016"/>
      <c r="Q282" s="1017"/>
      <c r="R282" s="1015" t="s">
        <v>478</v>
      </c>
      <c r="S282" s="1016"/>
      <c r="T282" s="1017"/>
      <c r="U282" s="1015" t="s">
        <v>673</v>
      </c>
      <c r="V282" s="1016"/>
      <c r="W282" s="1017"/>
      <c r="X282" s="1015" t="s">
        <v>674</v>
      </c>
      <c r="Y282" s="1016"/>
      <c r="Z282" s="1017"/>
      <c r="AA282" s="1015" t="s">
        <v>675</v>
      </c>
      <c r="AB282" s="1016"/>
      <c r="AC282" s="1017"/>
      <c r="AD282" s="1015" t="s">
        <v>676</v>
      </c>
      <c r="AE282" s="1016"/>
      <c r="AF282" s="1017"/>
      <c r="AG282" s="1015" t="s">
        <v>476</v>
      </c>
      <c r="AH282" s="1016"/>
      <c r="AI282" s="1017"/>
      <c r="AJ282" s="1015" t="s">
        <v>477</v>
      </c>
      <c r="AK282" s="1016"/>
      <c r="AL282" s="1017"/>
      <c r="AM282" s="1015" t="s">
        <v>478</v>
      </c>
      <c r="AN282" s="1016"/>
      <c r="AO282" s="1017"/>
      <c r="AP282" s="1015" t="s">
        <v>673</v>
      </c>
      <c r="AQ282" s="1016"/>
      <c r="AR282" s="1017"/>
      <c r="AS282" s="1015" t="s">
        <v>674</v>
      </c>
      <c r="AT282" s="1016"/>
      <c r="AU282" s="1017"/>
      <c r="AV282" s="1015" t="s">
        <v>675</v>
      </c>
      <c r="AW282" s="1016"/>
      <c r="AX282" s="1017"/>
      <c r="AY282" s="1015" t="s">
        <v>676</v>
      </c>
      <c r="AZ282" s="1016"/>
      <c r="BA282" s="1017"/>
      <c r="BB282" s="1015" t="s">
        <v>476</v>
      </c>
      <c r="BC282" s="1016"/>
      <c r="BD282" s="1017"/>
      <c r="BE282" s="1015" t="s">
        <v>477</v>
      </c>
      <c r="BF282" s="1016"/>
      <c r="BG282" s="1017"/>
      <c r="BH282" s="1015" t="s">
        <v>478</v>
      </c>
      <c r="BI282" s="1016"/>
      <c r="BJ282" s="1017"/>
      <c r="BK282" s="1015" t="s">
        <v>673</v>
      </c>
      <c r="BL282" s="1016"/>
      <c r="BM282" s="1017"/>
      <c r="BN282" s="1015" t="s">
        <v>674</v>
      </c>
      <c r="BO282" s="1016"/>
      <c r="BP282" s="1017"/>
      <c r="BQ282" s="1015" t="s">
        <v>675</v>
      </c>
      <c r="BR282" s="1016"/>
      <c r="BS282" s="1017"/>
      <c r="BT282" s="1015" t="s">
        <v>676</v>
      </c>
      <c r="BU282" s="1016"/>
      <c r="BV282" s="1017"/>
      <c r="BW282" s="1015" t="s">
        <v>476</v>
      </c>
      <c r="BX282" s="1016"/>
      <c r="BY282" s="1017"/>
      <c r="BZ282" s="1015" t="s">
        <v>477</v>
      </c>
      <c r="CA282" s="1016"/>
      <c r="CB282" s="1017"/>
      <c r="CC282" s="1015" t="s">
        <v>478</v>
      </c>
      <c r="CD282" s="1016"/>
      <c r="CE282" s="1017"/>
      <c r="CF282" s="1015" t="s">
        <v>673</v>
      </c>
      <c r="CG282" s="1016"/>
      <c r="CH282" s="1017"/>
      <c r="CI282" s="1015" t="s">
        <v>674</v>
      </c>
      <c r="CJ282" s="1016"/>
      <c r="CK282" s="1017"/>
      <c r="CL282" s="1015" t="s">
        <v>675</v>
      </c>
      <c r="CM282" s="1016"/>
      <c r="CN282" s="1017"/>
      <c r="CO282" s="1015" t="s">
        <v>676</v>
      </c>
      <c r="CP282" s="1016"/>
      <c r="CQ282" s="1017"/>
      <c r="CR282" s="1015" t="s">
        <v>476</v>
      </c>
      <c r="CS282" s="1016"/>
      <c r="CT282" s="1017"/>
      <c r="CU282" s="1015" t="s">
        <v>477</v>
      </c>
      <c r="CV282" s="1016"/>
      <c r="CW282" s="1017"/>
      <c r="CX282" s="1015" t="s">
        <v>478</v>
      </c>
      <c r="CY282" s="1016"/>
      <c r="CZ282" s="1017"/>
      <c r="DA282" s="1015" t="s">
        <v>673</v>
      </c>
      <c r="DB282" s="1016"/>
      <c r="DC282" s="1017"/>
      <c r="DD282" s="1015" t="s">
        <v>674</v>
      </c>
      <c r="DE282" s="1016"/>
      <c r="DF282" s="1017"/>
      <c r="DG282" s="1015" t="s">
        <v>675</v>
      </c>
      <c r="DH282" s="1016"/>
      <c r="DI282" s="1017"/>
      <c r="DJ282" s="1015" t="s">
        <v>676</v>
      </c>
      <c r="DK282" s="1016"/>
      <c r="DL282" s="1017"/>
      <c r="DM282" s="1015" t="s">
        <v>476</v>
      </c>
      <c r="DN282" s="1016"/>
      <c r="DO282" s="1017"/>
      <c r="DP282" s="1015" t="s">
        <v>477</v>
      </c>
      <c r="DQ282" s="1016"/>
      <c r="DR282" s="1017"/>
      <c r="DS282" s="1015" t="s">
        <v>478</v>
      </c>
      <c r="DT282" s="1016"/>
      <c r="DU282" s="1017"/>
      <c r="DV282" s="1015" t="s">
        <v>673</v>
      </c>
      <c r="DW282" s="1016"/>
      <c r="DX282" s="1017"/>
      <c r="DY282" s="1015" t="s">
        <v>674</v>
      </c>
      <c r="DZ282" s="1016"/>
      <c r="EA282" s="1017"/>
      <c r="EB282" s="1015" t="s">
        <v>675</v>
      </c>
      <c r="EC282" s="1016"/>
      <c r="ED282" s="1017"/>
      <c r="EE282" s="1015" t="s">
        <v>676</v>
      </c>
      <c r="EF282" s="1016"/>
      <c r="EG282" s="1017"/>
    </row>
    <row r="283" spans="1:137" x14ac:dyDescent="0.25">
      <c r="A283" s="182"/>
      <c r="B283" s="316"/>
      <c r="C283" s="262"/>
      <c r="D283" s="766"/>
      <c r="E283" s="765"/>
      <c r="F283" s="182">
        <v>2024</v>
      </c>
      <c r="G283" s="182">
        <v>2025</v>
      </c>
      <c r="H283" s="182">
        <v>2026</v>
      </c>
      <c r="I283" s="182">
        <v>2024</v>
      </c>
      <c r="J283" s="182">
        <v>2025</v>
      </c>
      <c r="K283" s="182">
        <v>2026</v>
      </c>
      <c r="L283" s="182">
        <v>2024</v>
      </c>
      <c r="M283" s="182">
        <v>2025</v>
      </c>
      <c r="N283" s="182">
        <v>2026</v>
      </c>
      <c r="O283" s="182">
        <v>2024</v>
      </c>
      <c r="P283" s="182">
        <v>2025</v>
      </c>
      <c r="Q283" s="182">
        <v>2026</v>
      </c>
      <c r="R283" s="182">
        <v>2024</v>
      </c>
      <c r="S283" s="182">
        <v>2025</v>
      </c>
      <c r="T283" s="182">
        <v>2026</v>
      </c>
      <c r="U283" s="182">
        <v>2024</v>
      </c>
      <c r="V283" s="182">
        <v>2025</v>
      </c>
      <c r="W283" s="182">
        <v>2026</v>
      </c>
      <c r="X283" s="182">
        <v>2024</v>
      </c>
      <c r="Y283" s="182">
        <v>2025</v>
      </c>
      <c r="Z283" s="182">
        <v>2026</v>
      </c>
      <c r="AA283" s="182">
        <v>2024</v>
      </c>
      <c r="AB283" s="182">
        <v>2025</v>
      </c>
      <c r="AC283" s="182">
        <v>2026</v>
      </c>
      <c r="AD283" s="182">
        <v>2024</v>
      </c>
      <c r="AE283" s="182">
        <v>2025</v>
      </c>
      <c r="AF283" s="182">
        <v>2026</v>
      </c>
      <c r="AG283" s="182">
        <v>2024</v>
      </c>
      <c r="AH283" s="182">
        <v>2025</v>
      </c>
      <c r="AI283" s="182">
        <v>2026</v>
      </c>
      <c r="AJ283" s="182">
        <v>2024</v>
      </c>
      <c r="AK283" s="182">
        <v>2025</v>
      </c>
      <c r="AL283" s="182">
        <v>2026</v>
      </c>
      <c r="AM283" s="182">
        <v>2024</v>
      </c>
      <c r="AN283" s="182">
        <v>2025</v>
      </c>
      <c r="AO283" s="182">
        <v>2026</v>
      </c>
      <c r="AP283" s="182">
        <v>2024</v>
      </c>
      <c r="AQ283" s="182">
        <v>2025</v>
      </c>
      <c r="AR283" s="182">
        <v>2026</v>
      </c>
      <c r="AS283" s="182">
        <v>2024</v>
      </c>
      <c r="AT283" s="182">
        <v>2025</v>
      </c>
      <c r="AU283" s="182">
        <v>2026</v>
      </c>
      <c r="AV283" s="182">
        <v>2024</v>
      </c>
      <c r="AW283" s="182">
        <v>2025</v>
      </c>
      <c r="AX283" s="182">
        <v>2026</v>
      </c>
      <c r="AY283" s="182">
        <v>2024</v>
      </c>
      <c r="AZ283" s="182">
        <v>2025</v>
      </c>
      <c r="BA283" s="182">
        <v>2026</v>
      </c>
      <c r="BB283" s="182">
        <v>2024</v>
      </c>
      <c r="BC283" s="182">
        <v>2025</v>
      </c>
      <c r="BD283" s="182">
        <v>2026</v>
      </c>
      <c r="BE283" s="182">
        <v>2024</v>
      </c>
      <c r="BF283" s="182">
        <v>2025</v>
      </c>
      <c r="BG283" s="182">
        <v>2026</v>
      </c>
      <c r="BH283" s="182">
        <v>2024</v>
      </c>
      <c r="BI283" s="182">
        <v>2025</v>
      </c>
      <c r="BJ283" s="182">
        <v>2026</v>
      </c>
      <c r="BK283" s="182">
        <v>2024</v>
      </c>
      <c r="BL283" s="182">
        <v>2025</v>
      </c>
      <c r="BM283" s="182">
        <v>2026</v>
      </c>
      <c r="BN283" s="182">
        <v>2024</v>
      </c>
      <c r="BO283" s="182">
        <v>2025</v>
      </c>
      <c r="BP283" s="182">
        <v>2026</v>
      </c>
      <c r="BQ283" s="182">
        <v>2024</v>
      </c>
      <c r="BR283" s="182">
        <v>2025</v>
      </c>
      <c r="BS283" s="182">
        <v>2026</v>
      </c>
      <c r="BT283" s="182">
        <v>2024</v>
      </c>
      <c r="BU283" s="182">
        <v>2025</v>
      </c>
      <c r="BV283" s="182">
        <v>2026</v>
      </c>
      <c r="BW283" s="182">
        <v>2024</v>
      </c>
      <c r="BX283" s="182">
        <v>2025</v>
      </c>
      <c r="BY283" s="182">
        <v>2026</v>
      </c>
      <c r="BZ283" s="182">
        <v>2024</v>
      </c>
      <c r="CA283" s="182">
        <v>2025</v>
      </c>
      <c r="CB283" s="182">
        <v>2026</v>
      </c>
      <c r="CC283" s="182">
        <v>2024</v>
      </c>
      <c r="CD283" s="182">
        <v>2025</v>
      </c>
      <c r="CE283" s="182">
        <v>2026</v>
      </c>
      <c r="CF283" s="182">
        <v>2024</v>
      </c>
      <c r="CG283" s="182">
        <v>2025</v>
      </c>
      <c r="CH283" s="182">
        <v>2026</v>
      </c>
      <c r="CI283" s="182">
        <v>2024</v>
      </c>
      <c r="CJ283" s="182">
        <v>2025</v>
      </c>
      <c r="CK283" s="182">
        <v>2026</v>
      </c>
      <c r="CL283" s="182">
        <v>2024</v>
      </c>
      <c r="CM283" s="182">
        <v>2025</v>
      </c>
      <c r="CN283" s="182">
        <v>2026</v>
      </c>
      <c r="CO283" s="182">
        <v>2024</v>
      </c>
      <c r="CP283" s="182">
        <v>2025</v>
      </c>
      <c r="CQ283" s="182">
        <v>2026</v>
      </c>
      <c r="CR283" s="182">
        <v>2024</v>
      </c>
      <c r="CS283" s="182">
        <v>2025</v>
      </c>
      <c r="CT283" s="182">
        <v>2026</v>
      </c>
      <c r="CU283" s="182">
        <v>2024</v>
      </c>
      <c r="CV283" s="182">
        <v>2025</v>
      </c>
      <c r="CW283" s="182">
        <v>2026</v>
      </c>
      <c r="CX283" s="182">
        <v>2024</v>
      </c>
      <c r="CY283" s="182">
        <v>2025</v>
      </c>
      <c r="CZ283" s="182">
        <v>2026</v>
      </c>
      <c r="DA283" s="182">
        <v>2024</v>
      </c>
      <c r="DB283" s="182">
        <v>2025</v>
      </c>
      <c r="DC283" s="182">
        <v>2026</v>
      </c>
      <c r="DD283" s="182">
        <v>2024</v>
      </c>
      <c r="DE283" s="182">
        <v>2025</v>
      </c>
      <c r="DF283" s="182">
        <v>2026</v>
      </c>
      <c r="DG283" s="182">
        <v>2024</v>
      </c>
      <c r="DH283" s="182">
        <v>2025</v>
      </c>
      <c r="DI283" s="182">
        <v>2026</v>
      </c>
      <c r="DJ283" s="182">
        <v>2024</v>
      </c>
      <c r="DK283" s="182">
        <v>2025</v>
      </c>
      <c r="DL283" s="182">
        <v>2026</v>
      </c>
      <c r="DM283" s="182">
        <v>2024</v>
      </c>
      <c r="DN283" s="182">
        <v>2025</v>
      </c>
      <c r="DO283" s="182">
        <v>2026</v>
      </c>
      <c r="DP283" s="182">
        <v>2024</v>
      </c>
      <c r="DQ283" s="182">
        <v>2025</v>
      </c>
      <c r="DR283" s="182">
        <v>2026</v>
      </c>
      <c r="DS283" s="182">
        <v>2024</v>
      </c>
      <c r="DT283" s="182">
        <v>2025</v>
      </c>
      <c r="DU283" s="182">
        <v>2026</v>
      </c>
      <c r="DV283" s="182">
        <v>2024</v>
      </c>
      <c r="DW283" s="182">
        <v>2025</v>
      </c>
      <c r="DX283" s="182">
        <v>2026</v>
      </c>
      <c r="DY283" s="182">
        <v>2024</v>
      </c>
      <c r="DZ283" s="182">
        <v>2025</v>
      </c>
      <c r="EA283" s="182">
        <v>2026</v>
      </c>
      <c r="EB283" s="182">
        <v>2024</v>
      </c>
      <c r="EC283" s="182">
        <v>2025</v>
      </c>
      <c r="ED283" s="182">
        <v>2026</v>
      </c>
      <c r="EE283" s="182">
        <v>2024</v>
      </c>
      <c r="EF283" s="182">
        <v>2025</v>
      </c>
      <c r="EG283" s="182">
        <v>2026</v>
      </c>
    </row>
    <row r="284" spans="1:137" x14ac:dyDescent="0.25">
      <c r="A284" s="3"/>
      <c r="B284" s="312"/>
      <c r="C284" s="3"/>
      <c r="D284" s="767"/>
      <c r="E284" s="191"/>
      <c r="F284" s="192"/>
      <c r="G284" s="191"/>
      <c r="H284" s="193"/>
      <c r="I284" s="191"/>
      <c r="J284" s="191"/>
      <c r="K284" s="191"/>
      <c r="L284" s="192"/>
      <c r="M284" s="191"/>
      <c r="N284" s="191"/>
      <c r="O284" s="192"/>
      <c r="P284" s="191"/>
      <c r="Q284" s="191"/>
      <c r="R284" s="191"/>
      <c r="S284" s="191"/>
      <c r="T284" s="191"/>
      <c r="U284" s="192"/>
      <c r="V284" s="191"/>
      <c r="W284" s="191"/>
      <c r="X284" s="191"/>
      <c r="Y284" s="191"/>
      <c r="Z284" s="191"/>
      <c r="AA284" s="192"/>
      <c r="AB284" s="191"/>
      <c r="AC284" s="191"/>
      <c r="AD284" s="191"/>
      <c r="AE284" s="191"/>
      <c r="AF284" s="191"/>
      <c r="AG284" s="192"/>
      <c r="AH284" s="191"/>
      <c r="AI284" s="191"/>
      <c r="AJ284" s="192"/>
      <c r="AK284" s="191"/>
      <c r="AL284" s="191"/>
      <c r="AM284" s="191"/>
      <c r="AN284" s="191"/>
      <c r="AO284" s="191"/>
      <c r="AP284" s="192"/>
      <c r="AQ284" s="191"/>
      <c r="AR284" s="191"/>
      <c r="AS284" s="191"/>
      <c r="AT284" s="191"/>
      <c r="AU284" s="191"/>
      <c r="AV284" s="192"/>
      <c r="AW284" s="191"/>
      <c r="AX284" s="191"/>
      <c r="AY284" s="191"/>
      <c r="AZ284" s="191"/>
      <c r="BA284" s="191"/>
      <c r="BB284" s="192"/>
      <c r="BC284" s="191"/>
      <c r="BD284" s="191"/>
      <c r="BE284" s="192"/>
      <c r="BF284" s="191"/>
      <c r="BG284" s="191"/>
      <c r="BH284" s="191"/>
      <c r="BI284" s="191"/>
      <c r="BJ284" s="191"/>
      <c r="BK284" s="192"/>
      <c r="BL284" s="191"/>
      <c r="BM284" s="191"/>
      <c r="BN284" s="191"/>
      <c r="BO284" s="191"/>
      <c r="BP284" s="191"/>
      <c r="BQ284" s="192"/>
      <c r="BR284" s="191"/>
      <c r="BS284" s="191"/>
      <c r="BT284" s="191"/>
      <c r="BU284" s="191"/>
      <c r="BV284" s="191"/>
      <c r="BW284" s="192"/>
      <c r="BX284" s="191"/>
      <c r="BY284" s="191"/>
      <c r="BZ284" s="192"/>
      <c r="CA284" s="191"/>
      <c r="CB284" s="191"/>
      <c r="CC284" s="191"/>
      <c r="CD284" s="191"/>
      <c r="CE284" s="191"/>
      <c r="CF284" s="192"/>
      <c r="CG284" s="191"/>
      <c r="CH284" s="191"/>
      <c r="CI284" s="191"/>
      <c r="CJ284" s="191"/>
      <c r="CK284" s="191"/>
      <c r="CL284" s="192"/>
      <c r="CM284" s="191"/>
      <c r="CN284" s="191"/>
      <c r="CO284" s="191"/>
      <c r="CP284" s="191"/>
      <c r="CQ284" s="191"/>
      <c r="CR284" s="192"/>
      <c r="CS284" s="191"/>
      <c r="CT284" s="191"/>
      <c r="CU284" s="192"/>
      <c r="CV284" s="191"/>
      <c r="CW284" s="191"/>
      <c r="CX284" s="191"/>
      <c r="CY284" s="191"/>
      <c r="CZ284" s="191"/>
      <c r="DA284" s="192"/>
      <c r="DB284" s="191"/>
      <c r="DC284" s="191"/>
      <c r="DD284" s="191"/>
      <c r="DE284" s="191"/>
      <c r="DF284" s="191"/>
      <c r="DG284" s="192"/>
      <c r="DH284" s="191"/>
      <c r="DI284" s="191"/>
      <c r="DJ284" s="191"/>
      <c r="DK284" s="191"/>
      <c r="DL284" s="191"/>
      <c r="DM284" s="192"/>
      <c r="DN284" s="191"/>
      <c r="DO284" s="191"/>
      <c r="DP284" s="192"/>
      <c r="DQ284" s="191"/>
      <c r="DR284" s="191"/>
      <c r="DS284" s="191"/>
      <c r="DT284" s="191"/>
      <c r="DU284" s="191"/>
      <c r="DV284" s="192"/>
      <c r="DW284" s="191"/>
      <c r="DX284" s="191"/>
      <c r="DY284" s="191"/>
      <c r="DZ284" s="191"/>
      <c r="EA284" s="191"/>
      <c r="EB284" s="192"/>
      <c r="EC284" s="191"/>
      <c r="ED284" s="191"/>
      <c r="EE284" s="191"/>
      <c r="EF284" s="191"/>
      <c r="EG284" s="191"/>
    </row>
    <row r="285" spans="1:137" ht="25.5" x14ac:dyDescent="0.25">
      <c r="A285" s="194" t="s">
        <v>473</v>
      </c>
      <c r="B285" s="317"/>
      <c r="C285" s="195"/>
      <c r="D285" s="195"/>
      <c r="E285" s="195"/>
      <c r="F285" s="195"/>
      <c r="G285" s="195"/>
      <c r="H285" s="195"/>
      <c r="I285" s="195"/>
      <c r="J285" s="195"/>
      <c r="K285" s="195"/>
      <c r="L285" s="195"/>
      <c r="M285" s="195"/>
      <c r="N285" s="195"/>
      <c r="O285" s="195"/>
      <c r="P285" s="195"/>
      <c r="Q285" s="195"/>
      <c r="R285" s="195"/>
      <c r="S285" s="195"/>
      <c r="T285" s="195"/>
      <c r="U285" s="195"/>
      <c r="V285" s="195"/>
      <c r="W285" s="195"/>
      <c r="X285" s="195"/>
      <c r="Y285" s="195"/>
      <c r="Z285" s="195"/>
      <c r="AA285" s="195"/>
      <c r="AB285" s="195"/>
      <c r="AC285" s="195"/>
      <c r="AD285" s="195"/>
      <c r="AE285" s="195"/>
      <c r="AF285" s="195"/>
      <c r="AG285" s="195"/>
      <c r="AH285" s="195"/>
      <c r="AI285" s="195"/>
      <c r="AJ285" s="195"/>
      <c r="AK285" s="195"/>
      <c r="AL285" s="195"/>
      <c r="AM285" s="195"/>
      <c r="AN285" s="195"/>
      <c r="AO285" s="195"/>
      <c r="AP285" s="195"/>
      <c r="AQ285" s="195"/>
      <c r="AR285" s="195"/>
      <c r="AS285" s="195"/>
      <c r="AT285" s="195"/>
      <c r="AU285" s="195"/>
      <c r="AV285" s="195"/>
      <c r="AW285" s="195"/>
      <c r="AX285" s="195"/>
      <c r="AY285" s="195"/>
      <c r="AZ285" s="195"/>
      <c r="BA285" s="195"/>
      <c r="BB285" s="195"/>
      <c r="BC285" s="195"/>
      <c r="BD285" s="195"/>
      <c r="BE285" s="195"/>
      <c r="BF285" s="195"/>
      <c r="BG285" s="195"/>
      <c r="BH285" s="195"/>
      <c r="BI285" s="195"/>
      <c r="BJ285" s="195"/>
      <c r="BK285" s="195"/>
      <c r="BL285" s="195"/>
      <c r="BM285" s="195"/>
      <c r="BN285" s="195"/>
      <c r="BO285" s="195"/>
      <c r="BP285" s="195"/>
      <c r="BQ285" s="195"/>
      <c r="BR285" s="195"/>
      <c r="BS285" s="195"/>
      <c r="BT285" s="195"/>
      <c r="BU285" s="195"/>
      <c r="BV285" s="195"/>
      <c r="BW285" s="195"/>
      <c r="BX285" s="195"/>
      <c r="BY285" s="195"/>
      <c r="BZ285" s="195"/>
      <c r="CA285" s="195"/>
      <c r="CB285" s="195"/>
      <c r="CC285" s="195"/>
      <c r="CD285" s="195"/>
      <c r="CE285" s="195"/>
      <c r="CF285" s="195"/>
      <c r="CG285" s="195"/>
      <c r="CH285" s="195"/>
      <c r="CI285" s="195"/>
      <c r="CJ285" s="195"/>
      <c r="CK285" s="195"/>
      <c r="CL285" s="195"/>
      <c r="CM285" s="195"/>
      <c r="CN285" s="195"/>
      <c r="CO285" s="195"/>
      <c r="CP285" s="195"/>
      <c r="CQ285" s="195"/>
      <c r="CR285" s="195"/>
      <c r="CS285" s="195"/>
      <c r="CT285" s="195"/>
      <c r="CU285" s="195"/>
      <c r="CV285" s="195"/>
      <c r="CW285" s="195"/>
      <c r="CX285" s="195"/>
      <c r="CY285" s="195"/>
      <c r="CZ285" s="195"/>
      <c r="DA285" s="195"/>
      <c r="DB285" s="195"/>
      <c r="DC285" s="195"/>
      <c r="DD285" s="195"/>
      <c r="DE285" s="195"/>
      <c r="DF285" s="195"/>
      <c r="DG285" s="195"/>
      <c r="DH285" s="195"/>
      <c r="DI285" s="195"/>
      <c r="DJ285" s="195"/>
      <c r="DK285" s="195"/>
      <c r="DL285" s="195"/>
      <c r="DM285" s="195"/>
      <c r="DN285" s="195"/>
      <c r="DO285" s="195"/>
      <c r="DP285" s="195"/>
      <c r="DQ285" s="195"/>
      <c r="DR285" s="195"/>
      <c r="DS285" s="195"/>
      <c r="DT285" s="195"/>
      <c r="DU285" s="195"/>
      <c r="DV285" s="195"/>
      <c r="DW285" s="195"/>
      <c r="DX285" s="195"/>
      <c r="DY285" s="195"/>
      <c r="DZ285" s="195"/>
      <c r="EA285" s="195"/>
      <c r="EB285" s="195"/>
      <c r="EC285" s="195"/>
      <c r="ED285" s="195"/>
      <c r="EE285" s="195"/>
      <c r="EF285" s="195"/>
      <c r="EG285" s="195"/>
    </row>
    <row r="286" spans="1:137" x14ac:dyDescent="0.25">
      <c r="A286" s="196" t="s">
        <v>479</v>
      </c>
      <c r="B286" s="59"/>
      <c r="C286" s="16" t="s">
        <v>483</v>
      </c>
      <c r="D286" s="196"/>
      <c r="E286" s="197"/>
      <c r="F286" s="198" t="s">
        <v>471</v>
      </c>
      <c r="G286" s="198" t="s">
        <v>471</v>
      </c>
      <c r="H286" s="198" t="s">
        <v>471</v>
      </c>
      <c r="I286" s="198" t="s">
        <v>471</v>
      </c>
      <c r="J286" s="198" t="s">
        <v>471</v>
      </c>
      <c r="K286" s="198" t="s">
        <v>471</v>
      </c>
      <c r="L286" s="98">
        <f t="shared" ref="L286:T286" si="626">SUM(L287:L295)</f>
        <v>194460</v>
      </c>
      <c r="M286" s="98">
        <f t="shared" si="626"/>
        <v>194460</v>
      </c>
      <c r="N286" s="98">
        <f t="shared" si="626"/>
        <v>194460</v>
      </c>
      <c r="O286" s="98">
        <f t="shared" si="626"/>
        <v>0</v>
      </c>
      <c r="P286" s="98">
        <f t="shared" si="626"/>
        <v>0</v>
      </c>
      <c r="Q286" s="98">
        <f t="shared" si="626"/>
        <v>0</v>
      </c>
      <c r="R286" s="98">
        <f t="shared" si="626"/>
        <v>26508386.52</v>
      </c>
      <c r="S286" s="98">
        <f t="shared" si="626"/>
        <v>27943152.48</v>
      </c>
      <c r="T286" s="98">
        <f t="shared" si="626"/>
        <v>29407491.120000001</v>
      </c>
      <c r="U286" s="198" t="s">
        <v>471</v>
      </c>
      <c r="V286" s="198" t="s">
        <v>471</v>
      </c>
      <c r="W286" s="198" t="s">
        <v>471</v>
      </c>
      <c r="X286" s="198" t="s">
        <v>471</v>
      </c>
      <c r="Y286" s="198" t="s">
        <v>471</v>
      </c>
      <c r="Z286" s="198" t="s">
        <v>471</v>
      </c>
      <c r="AA286" s="98">
        <f t="shared" ref="AA286:AO286" si="627">SUM(AA287:AA295)</f>
        <v>0</v>
      </c>
      <c r="AB286" s="98">
        <f t="shared" si="627"/>
        <v>0</v>
      </c>
      <c r="AC286" s="98">
        <f t="shared" si="627"/>
        <v>0</v>
      </c>
      <c r="AD286" s="98">
        <f t="shared" si="627"/>
        <v>27586201</v>
      </c>
      <c r="AE286" s="98">
        <f t="shared" si="627"/>
        <v>28777009.539999999</v>
      </c>
      <c r="AF286" s="98">
        <f t="shared" si="627"/>
        <v>30083520.489999998</v>
      </c>
      <c r="AG286" s="98">
        <f t="shared" si="627"/>
        <v>103568</v>
      </c>
      <c r="AH286" s="98">
        <f t="shared" si="627"/>
        <v>103568</v>
      </c>
      <c r="AI286" s="98">
        <f t="shared" si="627"/>
        <v>103568</v>
      </c>
      <c r="AJ286" s="98">
        <f t="shared" si="627"/>
        <v>0</v>
      </c>
      <c r="AK286" s="98">
        <f t="shared" si="627"/>
        <v>0</v>
      </c>
      <c r="AL286" s="98">
        <f t="shared" si="627"/>
        <v>0</v>
      </c>
      <c r="AM286" s="98">
        <f t="shared" si="627"/>
        <v>12821814.4</v>
      </c>
      <c r="AN286" s="98">
        <f t="shared" si="627"/>
        <v>13534007.84</v>
      </c>
      <c r="AO286" s="98">
        <f t="shared" si="627"/>
        <v>14259594.720000001</v>
      </c>
      <c r="AP286" s="198" t="s">
        <v>471</v>
      </c>
      <c r="AQ286" s="198" t="s">
        <v>471</v>
      </c>
      <c r="AR286" s="198" t="s">
        <v>471</v>
      </c>
      <c r="AS286" s="198" t="s">
        <v>471</v>
      </c>
      <c r="AT286" s="198" t="s">
        <v>471</v>
      </c>
      <c r="AU286" s="198" t="s">
        <v>471</v>
      </c>
      <c r="AV286" s="98">
        <f t="shared" ref="AV286:BJ286" si="628">SUM(AV287:AV295)</f>
        <v>0</v>
      </c>
      <c r="AW286" s="98">
        <f t="shared" si="628"/>
        <v>0</v>
      </c>
      <c r="AX286" s="98">
        <f t="shared" si="628"/>
        <v>0</v>
      </c>
      <c r="AY286" s="98">
        <f t="shared" si="628"/>
        <v>15526737.32</v>
      </c>
      <c r="AZ286" s="98">
        <f t="shared" si="628"/>
        <v>16204340.66</v>
      </c>
      <c r="BA286" s="98">
        <f t="shared" si="628"/>
        <v>16867098.109999999</v>
      </c>
      <c r="BB286" s="98">
        <f t="shared" si="628"/>
        <v>67176</v>
      </c>
      <c r="BC286" s="98">
        <f t="shared" si="628"/>
        <v>67176</v>
      </c>
      <c r="BD286" s="98">
        <f t="shared" si="628"/>
        <v>67176</v>
      </c>
      <c r="BE286" s="98">
        <f t="shared" si="628"/>
        <v>0</v>
      </c>
      <c r="BF286" s="98">
        <f t="shared" si="628"/>
        <v>0</v>
      </c>
      <c r="BG286" s="98">
        <f t="shared" si="628"/>
        <v>0</v>
      </c>
      <c r="BH286" s="98">
        <f t="shared" si="628"/>
        <v>8352370.7999999998</v>
      </c>
      <c r="BI286" s="98">
        <f t="shared" si="628"/>
        <v>8815900.3200000003</v>
      </c>
      <c r="BJ286" s="98">
        <f t="shared" si="628"/>
        <v>9287868.9600000009</v>
      </c>
      <c r="BK286" s="198" t="s">
        <v>471</v>
      </c>
      <c r="BL286" s="198" t="s">
        <v>471</v>
      </c>
      <c r="BM286" s="198" t="s">
        <v>471</v>
      </c>
      <c r="BN286" s="198" t="s">
        <v>471</v>
      </c>
      <c r="BO286" s="198" t="s">
        <v>471</v>
      </c>
      <c r="BP286" s="198" t="s">
        <v>471</v>
      </c>
      <c r="BQ286" s="98">
        <f t="shared" ref="BQ286:CE286" si="629">SUM(BQ287:BQ295)</f>
        <v>0</v>
      </c>
      <c r="BR286" s="98">
        <f t="shared" si="629"/>
        <v>0</v>
      </c>
      <c r="BS286" s="98">
        <f t="shared" si="629"/>
        <v>0</v>
      </c>
      <c r="BT286" s="98">
        <f t="shared" si="629"/>
        <v>12645192.529999999</v>
      </c>
      <c r="BU286" s="98">
        <f t="shared" si="629"/>
        <v>12790868.26</v>
      </c>
      <c r="BV286" s="98">
        <f t="shared" si="629"/>
        <v>13235088.16</v>
      </c>
      <c r="BW286" s="98">
        <f t="shared" si="629"/>
        <v>21672</v>
      </c>
      <c r="BX286" s="98">
        <f t="shared" si="629"/>
        <v>21672</v>
      </c>
      <c r="BY286" s="98">
        <f t="shared" si="629"/>
        <v>21672</v>
      </c>
      <c r="BZ286" s="98">
        <f t="shared" si="629"/>
        <v>0</v>
      </c>
      <c r="CA286" s="98">
        <f t="shared" si="629"/>
        <v>0</v>
      </c>
      <c r="CB286" s="98">
        <f t="shared" si="629"/>
        <v>0</v>
      </c>
      <c r="CC286" s="98">
        <f t="shared" si="629"/>
        <v>1973452.32</v>
      </c>
      <c r="CD286" s="98">
        <f t="shared" si="629"/>
        <v>2094165.36</v>
      </c>
      <c r="CE286" s="98">
        <f t="shared" si="629"/>
        <v>2216395.44</v>
      </c>
      <c r="CF286" s="198" t="s">
        <v>471</v>
      </c>
      <c r="CG286" s="198" t="s">
        <v>471</v>
      </c>
      <c r="CH286" s="198" t="s">
        <v>471</v>
      </c>
      <c r="CI286" s="198" t="s">
        <v>471</v>
      </c>
      <c r="CJ286" s="198" t="s">
        <v>471</v>
      </c>
      <c r="CK286" s="198" t="s">
        <v>471</v>
      </c>
      <c r="CL286" s="98">
        <f t="shared" ref="CL286:CZ286" si="630">SUM(CL287:CL295)</f>
        <v>0</v>
      </c>
      <c r="CM286" s="98">
        <f t="shared" si="630"/>
        <v>0</v>
      </c>
      <c r="CN286" s="98">
        <f t="shared" si="630"/>
        <v>0</v>
      </c>
      <c r="CO286" s="98">
        <f t="shared" si="630"/>
        <v>1877872.99</v>
      </c>
      <c r="CP286" s="98">
        <f t="shared" si="630"/>
        <v>1913202.66</v>
      </c>
      <c r="CQ286" s="98">
        <f t="shared" si="630"/>
        <v>1995731.6</v>
      </c>
      <c r="CR286" s="98">
        <f t="shared" si="630"/>
        <v>10872</v>
      </c>
      <c r="CS286" s="98">
        <f t="shared" si="630"/>
        <v>10872</v>
      </c>
      <c r="CT286" s="98">
        <f t="shared" si="630"/>
        <v>10872</v>
      </c>
      <c r="CU286" s="98">
        <f t="shared" si="630"/>
        <v>0</v>
      </c>
      <c r="CV286" s="98">
        <f t="shared" si="630"/>
        <v>0</v>
      </c>
      <c r="CW286" s="98">
        <f t="shared" si="630"/>
        <v>0</v>
      </c>
      <c r="CX286" s="98">
        <f t="shared" si="630"/>
        <v>1763003.52</v>
      </c>
      <c r="CY286" s="98">
        <f t="shared" si="630"/>
        <v>1854545.76</v>
      </c>
      <c r="CZ286" s="98">
        <f t="shared" si="630"/>
        <v>1948153.68</v>
      </c>
      <c r="DA286" s="198" t="s">
        <v>471</v>
      </c>
      <c r="DB286" s="198" t="s">
        <v>471</v>
      </c>
      <c r="DC286" s="198" t="s">
        <v>471</v>
      </c>
      <c r="DD286" s="198" t="s">
        <v>471</v>
      </c>
      <c r="DE286" s="198" t="s">
        <v>471</v>
      </c>
      <c r="DF286" s="198" t="s">
        <v>471</v>
      </c>
      <c r="DG286" s="98">
        <f t="shared" ref="DG286:DU286" si="631">SUM(DG287:DG295)</f>
        <v>0</v>
      </c>
      <c r="DH286" s="98">
        <f t="shared" si="631"/>
        <v>0</v>
      </c>
      <c r="DI286" s="98">
        <f t="shared" si="631"/>
        <v>0</v>
      </c>
      <c r="DJ286" s="98">
        <f t="shared" si="631"/>
        <v>816315.67</v>
      </c>
      <c r="DK286" s="98">
        <f t="shared" si="631"/>
        <v>830178.15</v>
      </c>
      <c r="DL286" s="98">
        <f t="shared" si="631"/>
        <v>866168.37</v>
      </c>
      <c r="DM286" s="98">
        <f t="shared" si="631"/>
        <v>397748</v>
      </c>
      <c r="DN286" s="98">
        <f t="shared" si="631"/>
        <v>397748</v>
      </c>
      <c r="DO286" s="98">
        <f t="shared" si="631"/>
        <v>397748</v>
      </c>
      <c r="DP286" s="98">
        <f t="shared" si="631"/>
        <v>0</v>
      </c>
      <c r="DQ286" s="98">
        <f t="shared" si="631"/>
        <v>0</v>
      </c>
      <c r="DR286" s="98">
        <f t="shared" si="631"/>
        <v>0</v>
      </c>
      <c r="DS286" s="98">
        <f t="shared" si="631"/>
        <v>51419027.560000002</v>
      </c>
      <c r="DT286" s="98">
        <f t="shared" si="631"/>
        <v>54241771.759999998</v>
      </c>
      <c r="DU286" s="98">
        <f t="shared" si="631"/>
        <v>57119503.920000002</v>
      </c>
      <c r="DV286" s="198" t="s">
        <v>471</v>
      </c>
      <c r="DW286" s="198" t="s">
        <v>471</v>
      </c>
      <c r="DX286" s="198" t="s">
        <v>471</v>
      </c>
      <c r="DY286" s="198" t="s">
        <v>471</v>
      </c>
      <c r="DZ286" s="198" t="s">
        <v>471</v>
      </c>
      <c r="EA286" s="198" t="s">
        <v>471</v>
      </c>
      <c r="EB286" s="98">
        <f t="shared" ref="EB286:EG286" si="632">SUM(EB287:EB295)</f>
        <v>0</v>
      </c>
      <c r="EC286" s="98">
        <f t="shared" si="632"/>
        <v>0</v>
      </c>
      <c r="ED286" s="98">
        <f t="shared" si="632"/>
        <v>0</v>
      </c>
      <c r="EE286" s="98">
        <f t="shared" si="632"/>
        <v>57024290.18</v>
      </c>
      <c r="EF286" s="98">
        <f t="shared" si="632"/>
        <v>58882271.850000001</v>
      </c>
      <c r="EG286" s="98">
        <f t="shared" si="632"/>
        <v>61302765.310000002</v>
      </c>
    </row>
    <row r="287" spans="1:137" x14ac:dyDescent="0.25">
      <c r="A287" s="12" t="s">
        <v>52</v>
      </c>
      <c r="B287" s="315" t="s">
        <v>822</v>
      </c>
      <c r="C287" s="5"/>
      <c r="D287" s="199"/>
      <c r="E287" s="200"/>
      <c r="F287" s="71"/>
      <c r="G287" s="71"/>
      <c r="H287" s="71"/>
      <c r="I287" s="76">
        <f t="shared" ref="I287:K295" si="633">I228</f>
        <v>119.77</v>
      </c>
      <c r="J287" s="76">
        <f t="shared" si="633"/>
        <v>126.49</v>
      </c>
      <c r="K287" s="76">
        <f t="shared" si="633"/>
        <v>133.32</v>
      </c>
      <c r="L287" s="156">
        <f>'1.4. часы и места для МЗ и СЗ'!E20</f>
        <v>7920</v>
      </c>
      <c r="M287" s="156">
        <f t="shared" ref="M287:M295" si="634">L287</f>
        <v>7920</v>
      </c>
      <c r="N287" s="156">
        <f t="shared" ref="N287:N295" si="635">L287</f>
        <v>7920</v>
      </c>
      <c r="O287" s="76">
        <f t="shared" ref="O287:O295" si="636">$F287*L287</f>
        <v>0</v>
      </c>
      <c r="P287" s="76">
        <f t="shared" ref="P287:P295" si="637">$G287*M287</f>
        <v>0</v>
      </c>
      <c r="Q287" s="76">
        <f t="shared" ref="Q287:Q295" si="638">$H287*N287</f>
        <v>0</v>
      </c>
      <c r="R287" s="76">
        <f t="shared" ref="R287:R295" si="639">$I287*L287</f>
        <v>948578.4</v>
      </c>
      <c r="S287" s="76">
        <f t="shared" ref="S287:S295" si="640">$J287*M287</f>
        <v>1001800.8</v>
      </c>
      <c r="T287" s="76">
        <f t="shared" ref="T287:T295" si="641">$K287*N287</f>
        <v>1055894.3999999999</v>
      </c>
      <c r="U287" s="221">
        <f t="shared" ref="U287:U295" si="642">$F287*U$239</f>
        <v>0</v>
      </c>
      <c r="V287" s="221">
        <f t="shared" ref="V287:V295" si="643">$G287*V$239</f>
        <v>0</v>
      </c>
      <c r="W287" s="221">
        <f t="shared" ref="W287:W295" si="644">$H287*W$239</f>
        <v>0</v>
      </c>
      <c r="X287" s="221">
        <f t="shared" ref="X287:X295" si="645">$I287*X$239</f>
        <v>124.63977351139999</v>
      </c>
      <c r="Y287" s="221">
        <f t="shared" ref="Y287:Y295" si="646">$J287*Y$239</f>
        <v>130.2646127429</v>
      </c>
      <c r="Z287" s="221">
        <f t="shared" ref="Z287:Z295" si="647">$K287*Z$239</f>
        <v>136.38480538210001</v>
      </c>
      <c r="AA287" s="76">
        <f t="shared" ref="AA287:AA295" si="648">L287*U287</f>
        <v>0</v>
      </c>
      <c r="AB287" s="76">
        <f t="shared" ref="AB287:AB295" si="649">M287*V287</f>
        <v>0</v>
      </c>
      <c r="AC287" s="76">
        <f t="shared" ref="AC287:AC295" si="650">N287*W287</f>
        <v>0</v>
      </c>
      <c r="AD287" s="76">
        <f t="shared" ref="AD287:AD295" si="651">L287*X287</f>
        <v>987147.01</v>
      </c>
      <c r="AE287" s="76">
        <f t="shared" ref="AE287:AE295" si="652">M287*Y287</f>
        <v>1031695.73</v>
      </c>
      <c r="AF287" s="76">
        <f t="shared" ref="AF287:AF295" si="653">N287*Z287</f>
        <v>1080167.6599999999</v>
      </c>
      <c r="AG287" s="156">
        <f>'1.4. часы и места для МЗ и СЗ'!E59</f>
        <v>0</v>
      </c>
      <c r="AH287" s="156">
        <f>AG287</f>
        <v>0</v>
      </c>
      <c r="AI287" s="156">
        <f>AG287</f>
        <v>0</v>
      </c>
      <c r="AJ287" s="76">
        <f t="shared" ref="AJ287:AJ295" si="654">$F287*AG287</f>
        <v>0</v>
      </c>
      <c r="AK287" s="76">
        <f t="shared" ref="AK287:AK295" si="655">$G287*AH287</f>
        <v>0</v>
      </c>
      <c r="AL287" s="76">
        <f t="shared" ref="AL287:AL295" si="656">$H287*AI287</f>
        <v>0</v>
      </c>
      <c r="AM287" s="76">
        <f t="shared" ref="AM287:AM295" si="657">$I287*AG287</f>
        <v>0</v>
      </c>
      <c r="AN287" s="76">
        <f t="shared" ref="AN287:AN295" si="658">$J287*AH287</f>
        <v>0</v>
      </c>
      <c r="AO287" s="76">
        <f t="shared" ref="AO287:AO295" si="659">$K287*AI287</f>
        <v>0</v>
      </c>
      <c r="AP287" s="221">
        <f t="shared" ref="AP287:AP295" si="660">$F287*AP$239</f>
        <v>0</v>
      </c>
      <c r="AQ287" s="221">
        <f t="shared" ref="AQ287:AQ295" si="661">$G287*AQ$239</f>
        <v>0</v>
      </c>
      <c r="AR287" s="221">
        <f t="shared" ref="AR287:AR295" si="662">$H287*AR$239</f>
        <v>0</v>
      </c>
      <c r="AS287" s="221">
        <f t="shared" ref="AS287:AS295" si="663">$I287*AS$239</f>
        <v>145.03698704479999</v>
      </c>
      <c r="AT287" s="221">
        <f t="shared" ref="AT287:AT295" si="664">$J287*AT$239</f>
        <v>151.4471600839</v>
      </c>
      <c r="AU287" s="221">
        <f t="shared" ref="AU287:AU295" si="665">$K287*AU$239</f>
        <v>157.69883823239999</v>
      </c>
      <c r="AV287" s="76">
        <f t="shared" ref="AV287:AV295" si="666">AG287*AP287</f>
        <v>0</v>
      </c>
      <c r="AW287" s="76">
        <f t="shared" ref="AW287:AW295" si="667">AH287*AQ287</f>
        <v>0</v>
      </c>
      <c r="AX287" s="76">
        <f t="shared" ref="AX287:AX295" si="668">AI287*AR287</f>
        <v>0</v>
      </c>
      <c r="AY287" s="76">
        <f t="shared" ref="AY287:AY295" si="669">AG287*AS287</f>
        <v>0</v>
      </c>
      <c r="AZ287" s="76">
        <f t="shared" ref="AZ287:AZ295" si="670">AH287*AT287</f>
        <v>0</v>
      </c>
      <c r="BA287" s="76">
        <f t="shared" ref="BA287:BA295" si="671">AI287*AU287</f>
        <v>0</v>
      </c>
      <c r="BB287" s="156">
        <f>'1.4. часы и места для МЗ и СЗ'!E72</f>
        <v>29880</v>
      </c>
      <c r="BC287" s="156">
        <f>BB287</f>
        <v>29880</v>
      </c>
      <c r="BD287" s="156">
        <f>BB287</f>
        <v>29880</v>
      </c>
      <c r="BE287" s="76">
        <f t="shared" ref="BE287:BE295" si="672">$F287*BB287</f>
        <v>0</v>
      </c>
      <c r="BF287" s="76">
        <f t="shared" ref="BF287:BF295" si="673">$G287*BC287</f>
        <v>0</v>
      </c>
      <c r="BG287" s="76">
        <f t="shared" ref="BG287:BG295" si="674">$H287*BD287</f>
        <v>0</v>
      </c>
      <c r="BH287" s="76">
        <f t="shared" ref="BH287:BH295" si="675">$I287*BB287</f>
        <v>3578727.6</v>
      </c>
      <c r="BI287" s="76">
        <f t="shared" ref="BI287:BI295" si="676">$J287*BC287</f>
        <v>3779521.2</v>
      </c>
      <c r="BJ287" s="76">
        <f t="shared" ref="BJ287:BJ295" si="677">$K287*BD287</f>
        <v>3983601.6</v>
      </c>
      <c r="BK287" s="221">
        <f t="shared" ref="BK287:BK295" si="678">$F287*BK$239</f>
        <v>0</v>
      </c>
      <c r="BL287" s="221">
        <f t="shared" ref="BL287:BL295" si="679">$G287*BL$239</f>
        <v>0</v>
      </c>
      <c r="BM287" s="221">
        <f t="shared" ref="BM287:BM295" si="680">$H287*BM$239</f>
        <v>0</v>
      </c>
      <c r="BN287" s="221">
        <f t="shared" ref="BN287:BN295" si="681">$I287*BN$239</f>
        <v>181.32752323049999</v>
      </c>
      <c r="BO287" s="221">
        <f t="shared" ref="BO287:BO295" si="682">$J287*BO$239</f>
        <v>183.52259755040001</v>
      </c>
      <c r="BP287" s="221">
        <f t="shared" ref="BP287:BP295" si="683">$K287*BP$239</f>
        <v>189.9792042329</v>
      </c>
      <c r="BQ287" s="76">
        <f t="shared" ref="BQ287:BQ295" si="684">BB287*BK287</f>
        <v>0</v>
      </c>
      <c r="BR287" s="76">
        <f t="shared" ref="BR287:BR295" si="685">BC287*BL287</f>
        <v>0</v>
      </c>
      <c r="BS287" s="76">
        <f t="shared" ref="BS287:BS295" si="686">BD287*BM287</f>
        <v>0</v>
      </c>
      <c r="BT287" s="76">
        <f t="shared" ref="BT287:BT295" si="687">BB287*BN287</f>
        <v>5418066.3899999997</v>
      </c>
      <c r="BU287" s="76">
        <f t="shared" ref="BU287:BU295" si="688">BC287*BO287</f>
        <v>5483655.21</v>
      </c>
      <c r="BV287" s="76">
        <f t="shared" ref="BV287:BV295" si="689">BD287*BP287</f>
        <v>5676578.6200000001</v>
      </c>
      <c r="BW287" s="156">
        <f>'1.4. часы и места для МЗ и СЗ'!E33</f>
        <v>0</v>
      </c>
      <c r="BX287" s="156">
        <f>BW287</f>
        <v>0</v>
      </c>
      <c r="BY287" s="156">
        <f>BW287</f>
        <v>0</v>
      </c>
      <c r="BZ287" s="76">
        <f t="shared" ref="BZ287:BZ295" si="690">$F287*BW287</f>
        <v>0</v>
      </c>
      <c r="CA287" s="76">
        <f t="shared" ref="CA287:CA295" si="691">$G287*BX287</f>
        <v>0</v>
      </c>
      <c r="CB287" s="76">
        <f t="shared" ref="CB287:CB295" si="692">$H287*BY287</f>
        <v>0</v>
      </c>
      <c r="CC287" s="76">
        <f t="shared" ref="CC287:CC295" si="693">$I287*BW287</f>
        <v>0</v>
      </c>
      <c r="CD287" s="76">
        <f t="shared" ref="CD287:CD295" si="694">$J287*BX287</f>
        <v>0</v>
      </c>
      <c r="CE287" s="76">
        <f t="shared" ref="CE287:CE295" si="695">$K287*BY287</f>
        <v>0</v>
      </c>
      <c r="CF287" s="221">
        <f t="shared" ref="CF287:CF295" si="696">$F287*CF$239</f>
        <v>0</v>
      </c>
      <c r="CG287" s="221">
        <f t="shared" ref="CG287:CG295" si="697">$G287*CG$239</f>
        <v>0</v>
      </c>
      <c r="CH287" s="221">
        <f t="shared" ref="CH287:CH295" si="698">$H287*CH$239</f>
        <v>0</v>
      </c>
      <c r="CI287" s="221">
        <f t="shared" ref="CI287:CI295" si="699">$I287*CI$239</f>
        <v>113.9692333787</v>
      </c>
      <c r="CJ287" s="221">
        <f t="shared" ref="CJ287:CJ295" si="700">$J287*CJ$239</f>
        <v>115.5596446624</v>
      </c>
      <c r="CK287" s="221">
        <f t="shared" ref="CK287:CK295" si="701">$K287*CK$239</f>
        <v>120.046690517</v>
      </c>
      <c r="CL287" s="76">
        <f t="shared" ref="CL287:CL295" si="702">BW287*CF287</f>
        <v>0</v>
      </c>
      <c r="CM287" s="76">
        <f t="shared" ref="CM287:CM295" si="703">BX287*CG287</f>
        <v>0</v>
      </c>
      <c r="CN287" s="76">
        <f t="shared" ref="CN287:CN295" si="704">BY287*CH287</f>
        <v>0</v>
      </c>
      <c r="CO287" s="76">
        <f t="shared" ref="CO287:CO295" si="705">BW287*CI287</f>
        <v>0</v>
      </c>
      <c r="CP287" s="76">
        <f t="shared" ref="CP287:CP295" si="706">BX287*CJ287</f>
        <v>0</v>
      </c>
      <c r="CQ287" s="76">
        <f t="shared" ref="CQ287:CQ295" si="707">BY287*CK287</f>
        <v>0</v>
      </c>
      <c r="CR287" s="156">
        <f>'1.4. часы и места для МЗ и СЗ'!E46</f>
        <v>0</v>
      </c>
      <c r="CS287" s="156">
        <f>CR287</f>
        <v>0</v>
      </c>
      <c r="CT287" s="156">
        <f>CR287</f>
        <v>0</v>
      </c>
      <c r="CU287" s="76">
        <f t="shared" ref="CU287:CU295" si="708">$F287*CR287</f>
        <v>0</v>
      </c>
      <c r="CV287" s="76">
        <f t="shared" ref="CV287:CV295" si="709">$G287*CS287</f>
        <v>0</v>
      </c>
      <c r="CW287" s="76">
        <f t="shared" ref="CW287:CW295" si="710">$H287*CT287</f>
        <v>0</v>
      </c>
      <c r="CX287" s="76">
        <f t="shared" ref="CX287:CX295" si="711">$I287*CR287</f>
        <v>0</v>
      </c>
      <c r="CY287" s="76">
        <f t="shared" ref="CY287:CY295" si="712">$J287*CS287</f>
        <v>0</v>
      </c>
      <c r="CZ287" s="76">
        <f t="shared" ref="CZ287:CZ295" si="713">$K287*CT287</f>
        <v>0</v>
      </c>
      <c r="DA287" s="221">
        <f t="shared" ref="DA287:DA295" si="714">$F287*DA$239</f>
        <v>0</v>
      </c>
      <c r="DB287" s="221">
        <f t="shared" ref="DB287:DB295" si="715">$G287*DB$239</f>
        <v>0</v>
      </c>
      <c r="DC287" s="221">
        <f t="shared" ref="DC287:DC295" si="716">$H287*DC$239</f>
        <v>0</v>
      </c>
      <c r="DD287" s="221">
        <f t="shared" ref="DD287:DD295" si="717">$I287*DD$239</f>
        <v>55.456569488699998</v>
      </c>
      <c r="DE287" s="221">
        <f t="shared" ref="DE287:DE295" si="718">$J287*DE$239</f>
        <v>56.622616707699997</v>
      </c>
      <c r="DF287" s="221">
        <f t="shared" ref="DF287:DF295" si="719">$K287*DF$239</f>
        <v>59.275389068300001</v>
      </c>
      <c r="DG287" s="76">
        <f t="shared" ref="DG287:DG295" si="720">CR287*DA287</f>
        <v>0</v>
      </c>
      <c r="DH287" s="76">
        <f t="shared" ref="DH287:DH295" si="721">CS287*DB287</f>
        <v>0</v>
      </c>
      <c r="DI287" s="76">
        <f t="shared" ref="DI287:DI295" si="722">CT287*DC287</f>
        <v>0</v>
      </c>
      <c r="DJ287" s="76">
        <f t="shared" ref="DJ287:DJ295" si="723">CR287*DD287</f>
        <v>0</v>
      </c>
      <c r="DK287" s="76">
        <f t="shared" ref="DK287:DK295" si="724">CS287*DE287</f>
        <v>0</v>
      </c>
      <c r="DL287" s="76">
        <f t="shared" ref="DL287:DL295" si="725">CT287*DF287</f>
        <v>0</v>
      </c>
      <c r="DM287" s="181">
        <f>L287+AG287+BB287+BW287+CR287</f>
        <v>37800</v>
      </c>
      <c r="DN287" s="181">
        <f t="shared" ref="DN287:DN295" si="726">M287+AH287+BC287+BX287+CS287</f>
        <v>37800</v>
      </c>
      <c r="DO287" s="181">
        <f t="shared" ref="DO287:DO295" si="727">N287+AI287+BD287+BY287+CT287</f>
        <v>37800</v>
      </c>
      <c r="DP287" s="76">
        <f t="shared" ref="DP287:DP295" si="728">$F287*DM287</f>
        <v>0</v>
      </c>
      <c r="DQ287" s="76">
        <f t="shared" ref="DQ287:DQ295" si="729">$G287*DN287</f>
        <v>0</v>
      </c>
      <c r="DR287" s="76">
        <f t="shared" ref="DR287:DR295" si="730">$H287*DO287</f>
        <v>0</v>
      </c>
      <c r="DS287" s="76">
        <f t="shared" ref="DS287:DS295" si="731">$I287*DM287</f>
        <v>4527306</v>
      </c>
      <c r="DT287" s="76">
        <f t="shared" ref="DT287:DT295" si="732">$J287*DN287</f>
        <v>4781322</v>
      </c>
      <c r="DU287" s="76">
        <f t="shared" ref="DU287:DU295" si="733">$K287*DO287</f>
        <v>5039496</v>
      </c>
      <c r="DV287" s="221">
        <f t="shared" ref="DV287:DV295" si="734">$F287*DV$239</f>
        <v>0</v>
      </c>
      <c r="DW287" s="221">
        <f t="shared" ref="DW287:DW295" si="735">$G287*DW$239</f>
        <v>0</v>
      </c>
      <c r="DX287" s="221">
        <f t="shared" ref="DX287:DX295" si="736">$H287*DX$239</f>
        <v>0</v>
      </c>
      <c r="DY287" s="221">
        <f t="shared" ref="DY287:DY295" si="737">$I287*DY$239</f>
        <v>132.8263010551</v>
      </c>
      <c r="DZ287" s="221">
        <f t="shared" ref="DZ287:DZ295" si="738">$J287*DZ$239</f>
        <v>137.3114911879</v>
      </c>
      <c r="EA287" s="221">
        <f t="shared" ref="EA287:EA295" si="739">$K287*EA$239</f>
        <v>143.08395749330001</v>
      </c>
      <c r="EB287" s="76">
        <f t="shared" ref="EB287:EB295" si="740">DM287*DV287</f>
        <v>0</v>
      </c>
      <c r="EC287" s="76">
        <f t="shared" ref="EC287:EC295" si="741">DN287*DW287</f>
        <v>0</v>
      </c>
      <c r="ED287" s="76">
        <f t="shared" ref="ED287:ED295" si="742">DO287*DX287</f>
        <v>0</v>
      </c>
      <c r="EE287" s="76">
        <f t="shared" ref="EE287:EE295" si="743">DM287*DY287</f>
        <v>5020834.18</v>
      </c>
      <c r="EF287" s="76">
        <f t="shared" ref="EF287:EF295" si="744">DN287*DZ287</f>
        <v>5190374.37</v>
      </c>
      <c r="EG287" s="76">
        <f t="shared" ref="EG287:EG295" si="745">DO287*EA287</f>
        <v>5408573.5899999999</v>
      </c>
    </row>
    <row r="288" spans="1:137" x14ac:dyDescent="0.25">
      <c r="A288" s="12" t="s">
        <v>53</v>
      </c>
      <c r="B288" s="315" t="s">
        <v>819</v>
      </c>
      <c r="C288" s="5"/>
      <c r="D288" s="199"/>
      <c r="E288" s="200"/>
      <c r="F288" s="71"/>
      <c r="G288" s="71"/>
      <c r="H288" s="71"/>
      <c r="I288" s="76">
        <f t="shared" si="633"/>
        <v>91.06</v>
      </c>
      <c r="J288" s="76">
        <f t="shared" si="633"/>
        <v>96.63</v>
      </c>
      <c r="K288" s="76">
        <f t="shared" si="633"/>
        <v>102.27</v>
      </c>
      <c r="L288" s="156">
        <f>'1.4. часы и места для МЗ и СЗ'!E21</f>
        <v>5760</v>
      </c>
      <c r="M288" s="156">
        <f t="shared" si="634"/>
        <v>5760</v>
      </c>
      <c r="N288" s="156">
        <f t="shared" si="635"/>
        <v>5760</v>
      </c>
      <c r="O288" s="76">
        <f t="shared" si="636"/>
        <v>0</v>
      </c>
      <c r="P288" s="76">
        <f t="shared" si="637"/>
        <v>0</v>
      </c>
      <c r="Q288" s="76">
        <f t="shared" si="638"/>
        <v>0</v>
      </c>
      <c r="R288" s="76">
        <f t="shared" si="639"/>
        <v>524505.59999999998</v>
      </c>
      <c r="S288" s="76">
        <f t="shared" si="640"/>
        <v>556588.80000000005</v>
      </c>
      <c r="T288" s="76">
        <f t="shared" si="641"/>
        <v>589075.19999999995</v>
      </c>
      <c r="U288" s="221">
        <f t="shared" si="642"/>
        <v>0</v>
      </c>
      <c r="V288" s="221">
        <f t="shared" si="643"/>
        <v>0</v>
      </c>
      <c r="W288" s="221">
        <f t="shared" si="644"/>
        <v>0</v>
      </c>
      <c r="X288" s="221">
        <f t="shared" si="645"/>
        <v>94.762442815</v>
      </c>
      <c r="Y288" s="221">
        <f t="shared" si="646"/>
        <v>99.513554663199997</v>
      </c>
      <c r="Z288" s="221">
        <f t="shared" si="647"/>
        <v>104.62101745</v>
      </c>
      <c r="AA288" s="76">
        <f t="shared" si="648"/>
        <v>0</v>
      </c>
      <c r="AB288" s="76">
        <f t="shared" si="649"/>
        <v>0</v>
      </c>
      <c r="AC288" s="76">
        <f t="shared" si="650"/>
        <v>0</v>
      </c>
      <c r="AD288" s="76">
        <f t="shared" si="651"/>
        <v>545831.67000000004</v>
      </c>
      <c r="AE288" s="76">
        <f t="shared" si="652"/>
        <v>573198.06999999995</v>
      </c>
      <c r="AF288" s="76">
        <f t="shared" si="653"/>
        <v>602617.06000000006</v>
      </c>
      <c r="AG288" s="156">
        <f>'1.4. часы и места для МЗ и СЗ'!E60</f>
        <v>0</v>
      </c>
      <c r="AH288" s="156">
        <f t="shared" ref="AH288:AH295" si="746">AG288</f>
        <v>0</v>
      </c>
      <c r="AI288" s="156">
        <f t="shared" ref="AI288:AI295" si="747">AG288</f>
        <v>0</v>
      </c>
      <c r="AJ288" s="76">
        <f t="shared" si="654"/>
        <v>0</v>
      </c>
      <c r="AK288" s="76">
        <f t="shared" si="655"/>
        <v>0</v>
      </c>
      <c r="AL288" s="76">
        <f t="shared" si="656"/>
        <v>0</v>
      </c>
      <c r="AM288" s="76">
        <f t="shared" si="657"/>
        <v>0</v>
      </c>
      <c r="AN288" s="76">
        <f t="shared" si="658"/>
        <v>0</v>
      </c>
      <c r="AO288" s="76">
        <f t="shared" si="659"/>
        <v>0</v>
      </c>
      <c r="AP288" s="221">
        <f t="shared" si="660"/>
        <v>0</v>
      </c>
      <c r="AQ288" s="221">
        <f t="shared" si="661"/>
        <v>0</v>
      </c>
      <c r="AR288" s="221">
        <f t="shared" si="662"/>
        <v>0</v>
      </c>
      <c r="AS288" s="221">
        <f t="shared" si="663"/>
        <v>110.2702516515</v>
      </c>
      <c r="AT288" s="221">
        <f t="shared" si="664"/>
        <v>115.695620831</v>
      </c>
      <c r="AU288" s="221">
        <f t="shared" si="665"/>
        <v>120.97104849999999</v>
      </c>
      <c r="AV288" s="76">
        <f t="shared" si="666"/>
        <v>0</v>
      </c>
      <c r="AW288" s="76">
        <f t="shared" si="667"/>
        <v>0</v>
      </c>
      <c r="AX288" s="76">
        <f t="shared" si="668"/>
        <v>0</v>
      </c>
      <c r="AY288" s="76">
        <f t="shared" si="669"/>
        <v>0</v>
      </c>
      <c r="AZ288" s="76">
        <f t="shared" si="670"/>
        <v>0</v>
      </c>
      <c r="BA288" s="76">
        <f t="shared" si="671"/>
        <v>0</v>
      </c>
      <c r="BB288" s="156">
        <f>'1.4. часы и места для МЗ и СЗ'!E73</f>
        <v>2160</v>
      </c>
      <c r="BC288" s="156">
        <f t="shared" ref="BC288:BC295" si="748">BB288</f>
        <v>2160</v>
      </c>
      <c r="BD288" s="156">
        <f t="shared" ref="BD288:BD295" si="749">BB288</f>
        <v>2160</v>
      </c>
      <c r="BE288" s="76">
        <f t="shared" si="672"/>
        <v>0</v>
      </c>
      <c r="BF288" s="76">
        <f t="shared" si="673"/>
        <v>0</v>
      </c>
      <c r="BG288" s="76">
        <f t="shared" si="674"/>
        <v>0</v>
      </c>
      <c r="BH288" s="76">
        <f t="shared" si="675"/>
        <v>196689.6</v>
      </c>
      <c r="BI288" s="76">
        <f t="shared" si="676"/>
        <v>208720.8</v>
      </c>
      <c r="BJ288" s="76">
        <f t="shared" si="677"/>
        <v>220903.2</v>
      </c>
      <c r="BK288" s="221">
        <f t="shared" si="678"/>
        <v>0</v>
      </c>
      <c r="BL288" s="221">
        <f t="shared" si="679"/>
        <v>0</v>
      </c>
      <c r="BM288" s="221">
        <f t="shared" si="680"/>
        <v>0</v>
      </c>
      <c r="BN288" s="221">
        <f t="shared" si="681"/>
        <v>137.86160361829999</v>
      </c>
      <c r="BO288" s="221">
        <f t="shared" si="682"/>
        <v>140.1991351197</v>
      </c>
      <c r="BP288" s="221">
        <f t="shared" si="683"/>
        <v>145.73337246400001</v>
      </c>
      <c r="BQ288" s="76">
        <f t="shared" si="684"/>
        <v>0</v>
      </c>
      <c r="BR288" s="76">
        <f t="shared" si="685"/>
        <v>0</v>
      </c>
      <c r="BS288" s="76">
        <f t="shared" si="686"/>
        <v>0</v>
      </c>
      <c r="BT288" s="76">
        <f t="shared" si="687"/>
        <v>297781.06</v>
      </c>
      <c r="BU288" s="76">
        <f t="shared" si="688"/>
        <v>302830.13</v>
      </c>
      <c r="BV288" s="76">
        <f t="shared" si="689"/>
        <v>314784.08</v>
      </c>
      <c r="BW288" s="156">
        <f>'1.4. часы и места для МЗ и СЗ'!E34</f>
        <v>21672</v>
      </c>
      <c r="BX288" s="156">
        <f t="shared" ref="BX288:BX295" si="750">BW288</f>
        <v>21672</v>
      </c>
      <c r="BY288" s="156">
        <f t="shared" ref="BY288:BY295" si="751">BW288</f>
        <v>21672</v>
      </c>
      <c r="BZ288" s="76">
        <f t="shared" si="690"/>
        <v>0</v>
      </c>
      <c r="CA288" s="76">
        <f t="shared" si="691"/>
        <v>0</v>
      </c>
      <c r="CB288" s="76">
        <f t="shared" si="692"/>
        <v>0</v>
      </c>
      <c r="CC288" s="76">
        <f t="shared" si="693"/>
        <v>1973452.32</v>
      </c>
      <c r="CD288" s="76">
        <f t="shared" si="694"/>
        <v>2094165.36</v>
      </c>
      <c r="CE288" s="76">
        <f t="shared" si="695"/>
        <v>2216395.44</v>
      </c>
      <c r="CF288" s="221">
        <f t="shared" si="696"/>
        <v>0</v>
      </c>
      <c r="CG288" s="221">
        <f t="shared" si="697"/>
        <v>0</v>
      </c>
      <c r="CH288" s="221">
        <f t="shared" si="698"/>
        <v>0</v>
      </c>
      <c r="CI288" s="221">
        <f t="shared" si="699"/>
        <v>86.649731915000004</v>
      </c>
      <c r="CJ288" s="221">
        <f t="shared" si="700"/>
        <v>88.279930933100005</v>
      </c>
      <c r="CK288" s="221">
        <f t="shared" si="701"/>
        <v>92.088021596000004</v>
      </c>
      <c r="CL288" s="76">
        <f t="shared" si="702"/>
        <v>0</v>
      </c>
      <c r="CM288" s="76">
        <f t="shared" si="703"/>
        <v>0</v>
      </c>
      <c r="CN288" s="76">
        <f t="shared" si="704"/>
        <v>0</v>
      </c>
      <c r="CO288" s="76">
        <f t="shared" si="705"/>
        <v>1877872.99</v>
      </c>
      <c r="CP288" s="76">
        <f t="shared" si="706"/>
        <v>1913202.66</v>
      </c>
      <c r="CQ288" s="76">
        <f t="shared" si="707"/>
        <v>1995731.6</v>
      </c>
      <c r="CR288" s="156">
        <f>'1.4. часы и места для МЗ и СЗ'!E47</f>
        <v>0</v>
      </c>
      <c r="CS288" s="156">
        <f t="shared" ref="CS288:CS295" si="752">CR288</f>
        <v>0</v>
      </c>
      <c r="CT288" s="156">
        <f t="shared" ref="CT288:CT295" si="753">CR288</f>
        <v>0</v>
      </c>
      <c r="CU288" s="76">
        <f t="shared" si="708"/>
        <v>0</v>
      </c>
      <c r="CV288" s="76">
        <f t="shared" si="709"/>
        <v>0</v>
      </c>
      <c r="CW288" s="76">
        <f t="shared" si="710"/>
        <v>0</v>
      </c>
      <c r="CX288" s="76">
        <f t="shared" si="711"/>
        <v>0</v>
      </c>
      <c r="CY288" s="76">
        <f t="shared" si="712"/>
        <v>0</v>
      </c>
      <c r="CZ288" s="76">
        <f t="shared" si="713"/>
        <v>0</v>
      </c>
      <c r="DA288" s="221">
        <f t="shared" si="714"/>
        <v>0</v>
      </c>
      <c r="DB288" s="221">
        <f t="shared" si="715"/>
        <v>0</v>
      </c>
      <c r="DC288" s="221">
        <f t="shared" si="716"/>
        <v>0</v>
      </c>
      <c r="DD288" s="221">
        <f t="shared" si="717"/>
        <v>42.1631061004</v>
      </c>
      <c r="DE288" s="221">
        <f t="shared" si="718"/>
        <v>43.2559368525</v>
      </c>
      <c r="DF288" s="221">
        <f t="shared" si="719"/>
        <v>45.470252325300002</v>
      </c>
      <c r="DG288" s="76">
        <f t="shared" si="720"/>
        <v>0</v>
      </c>
      <c r="DH288" s="76">
        <f t="shared" si="721"/>
        <v>0</v>
      </c>
      <c r="DI288" s="76">
        <f t="shared" si="722"/>
        <v>0</v>
      </c>
      <c r="DJ288" s="76">
        <f t="shared" si="723"/>
        <v>0</v>
      </c>
      <c r="DK288" s="76">
        <f t="shared" si="724"/>
        <v>0</v>
      </c>
      <c r="DL288" s="76">
        <f t="shared" si="725"/>
        <v>0</v>
      </c>
      <c r="DM288" s="181">
        <f t="shared" ref="DM288:DM295" si="754">L288+AG288+BB288+BW288+CR288</f>
        <v>29592</v>
      </c>
      <c r="DN288" s="181">
        <f t="shared" si="726"/>
        <v>29592</v>
      </c>
      <c r="DO288" s="181">
        <f t="shared" si="727"/>
        <v>29592</v>
      </c>
      <c r="DP288" s="76">
        <f t="shared" si="728"/>
        <v>0</v>
      </c>
      <c r="DQ288" s="76">
        <f t="shared" si="729"/>
        <v>0</v>
      </c>
      <c r="DR288" s="76">
        <f t="shared" si="730"/>
        <v>0</v>
      </c>
      <c r="DS288" s="76">
        <f t="shared" si="731"/>
        <v>2694647.52</v>
      </c>
      <c r="DT288" s="76">
        <f t="shared" si="732"/>
        <v>2859474.96</v>
      </c>
      <c r="DU288" s="76">
        <f t="shared" si="733"/>
        <v>3026373.84</v>
      </c>
      <c r="DV288" s="221">
        <f t="shared" si="734"/>
        <v>0</v>
      </c>
      <c r="DW288" s="221">
        <f t="shared" si="735"/>
        <v>0</v>
      </c>
      <c r="DX288" s="221">
        <f t="shared" si="736"/>
        <v>0</v>
      </c>
      <c r="DY288" s="221">
        <f t="shared" si="737"/>
        <v>100.98658240020001</v>
      </c>
      <c r="DZ288" s="221">
        <f t="shared" si="738"/>
        <v>104.8969040516</v>
      </c>
      <c r="EA288" s="221">
        <f t="shared" si="739"/>
        <v>109.7599484911</v>
      </c>
      <c r="EB288" s="76">
        <f t="shared" si="740"/>
        <v>0</v>
      </c>
      <c r="EC288" s="76">
        <f t="shared" si="741"/>
        <v>0</v>
      </c>
      <c r="ED288" s="76">
        <f t="shared" si="742"/>
        <v>0</v>
      </c>
      <c r="EE288" s="76">
        <f t="shared" si="743"/>
        <v>2988394.95</v>
      </c>
      <c r="EF288" s="76">
        <f t="shared" si="744"/>
        <v>3104109.18</v>
      </c>
      <c r="EG288" s="76">
        <f t="shared" si="745"/>
        <v>3248016.4</v>
      </c>
    </row>
    <row r="289" spans="1:137" x14ac:dyDescent="0.25">
      <c r="A289" s="12" t="s">
        <v>51</v>
      </c>
      <c r="B289" s="315" t="s">
        <v>817</v>
      </c>
      <c r="C289" s="5"/>
      <c r="D289" s="199"/>
      <c r="E289" s="200"/>
      <c r="F289" s="71"/>
      <c r="G289" s="71"/>
      <c r="H289" s="71"/>
      <c r="I289" s="76">
        <f t="shared" si="633"/>
        <v>119.84</v>
      </c>
      <c r="J289" s="76">
        <f t="shared" si="633"/>
        <v>126.56</v>
      </c>
      <c r="K289" s="76">
        <f t="shared" si="633"/>
        <v>133.38999999999999</v>
      </c>
      <c r="L289" s="156">
        <f>'1.4. часы и места для МЗ и СЗ'!E24</f>
        <v>14040</v>
      </c>
      <c r="M289" s="156">
        <f t="shared" si="634"/>
        <v>14040</v>
      </c>
      <c r="N289" s="156">
        <f t="shared" si="635"/>
        <v>14040</v>
      </c>
      <c r="O289" s="76">
        <f t="shared" si="636"/>
        <v>0</v>
      </c>
      <c r="P289" s="76">
        <f t="shared" si="637"/>
        <v>0</v>
      </c>
      <c r="Q289" s="76">
        <f t="shared" si="638"/>
        <v>0</v>
      </c>
      <c r="R289" s="76">
        <f t="shared" si="639"/>
        <v>1682553.6</v>
      </c>
      <c r="S289" s="76">
        <f t="shared" si="640"/>
        <v>1776902.4</v>
      </c>
      <c r="T289" s="76">
        <f t="shared" si="641"/>
        <v>1872795.6</v>
      </c>
      <c r="U289" s="221">
        <f t="shared" si="642"/>
        <v>0</v>
      </c>
      <c r="V289" s="221">
        <f t="shared" si="643"/>
        <v>0</v>
      </c>
      <c r="W289" s="221">
        <f t="shared" si="644"/>
        <v>0</v>
      </c>
      <c r="X289" s="221">
        <f t="shared" si="645"/>
        <v>124.7126196678</v>
      </c>
      <c r="Y289" s="221">
        <f t="shared" si="646"/>
        <v>130.3367016265</v>
      </c>
      <c r="Z289" s="221">
        <f t="shared" si="647"/>
        <v>136.45641456589999</v>
      </c>
      <c r="AA289" s="76">
        <f t="shared" si="648"/>
        <v>0</v>
      </c>
      <c r="AB289" s="76">
        <f t="shared" si="649"/>
        <v>0</v>
      </c>
      <c r="AC289" s="76">
        <f t="shared" si="650"/>
        <v>0</v>
      </c>
      <c r="AD289" s="76">
        <f t="shared" si="651"/>
        <v>1750965.18</v>
      </c>
      <c r="AE289" s="76">
        <f t="shared" si="652"/>
        <v>1829927.29</v>
      </c>
      <c r="AF289" s="76">
        <f t="shared" si="653"/>
        <v>1915848.06</v>
      </c>
      <c r="AG289" s="156">
        <f>'1.4. часы и места для МЗ и СЗ'!E63</f>
        <v>28096</v>
      </c>
      <c r="AH289" s="156">
        <f t="shared" si="746"/>
        <v>28096</v>
      </c>
      <c r="AI289" s="156">
        <f t="shared" si="747"/>
        <v>28096</v>
      </c>
      <c r="AJ289" s="76">
        <f t="shared" si="654"/>
        <v>0</v>
      </c>
      <c r="AK289" s="76">
        <f t="shared" si="655"/>
        <v>0</v>
      </c>
      <c r="AL289" s="76">
        <f t="shared" si="656"/>
        <v>0</v>
      </c>
      <c r="AM289" s="76">
        <f t="shared" si="657"/>
        <v>3367024.6400000001</v>
      </c>
      <c r="AN289" s="76">
        <f t="shared" si="658"/>
        <v>3555829.7599999998</v>
      </c>
      <c r="AO289" s="76">
        <f t="shared" si="659"/>
        <v>3747725.44</v>
      </c>
      <c r="AP289" s="221">
        <f t="shared" si="660"/>
        <v>0</v>
      </c>
      <c r="AQ289" s="221">
        <f t="shared" si="661"/>
        <v>0</v>
      </c>
      <c r="AR289" s="221">
        <f t="shared" si="662"/>
        <v>0</v>
      </c>
      <c r="AS289" s="221">
        <f t="shared" si="663"/>
        <v>145.1217544248</v>
      </c>
      <c r="AT289" s="221">
        <f t="shared" si="664"/>
        <v>151.530971462</v>
      </c>
      <c r="AU289" s="221">
        <f t="shared" si="665"/>
        <v>157.78163840249999</v>
      </c>
      <c r="AV289" s="76">
        <f t="shared" si="666"/>
        <v>0</v>
      </c>
      <c r="AW289" s="76">
        <f t="shared" si="667"/>
        <v>0</v>
      </c>
      <c r="AX289" s="76">
        <f t="shared" si="668"/>
        <v>0</v>
      </c>
      <c r="AY289" s="76">
        <f t="shared" si="669"/>
        <v>4077340.81</v>
      </c>
      <c r="AZ289" s="76">
        <f t="shared" si="670"/>
        <v>4257414.17</v>
      </c>
      <c r="BA289" s="76">
        <f t="shared" si="671"/>
        <v>4433032.91</v>
      </c>
      <c r="BB289" s="156">
        <f>'1.4. часы и места для МЗ и СЗ'!E76</f>
        <v>5400</v>
      </c>
      <c r="BC289" s="156">
        <f t="shared" si="748"/>
        <v>5400</v>
      </c>
      <c r="BD289" s="156">
        <f t="shared" si="749"/>
        <v>5400</v>
      </c>
      <c r="BE289" s="76">
        <f t="shared" si="672"/>
        <v>0</v>
      </c>
      <c r="BF289" s="76">
        <f t="shared" si="673"/>
        <v>0</v>
      </c>
      <c r="BG289" s="76">
        <f t="shared" si="674"/>
        <v>0</v>
      </c>
      <c r="BH289" s="76">
        <f t="shared" si="675"/>
        <v>647136</v>
      </c>
      <c r="BI289" s="76">
        <f t="shared" si="676"/>
        <v>683424</v>
      </c>
      <c r="BJ289" s="76">
        <f t="shared" si="677"/>
        <v>720306</v>
      </c>
      <c r="BK289" s="221">
        <f t="shared" si="678"/>
        <v>0</v>
      </c>
      <c r="BL289" s="221">
        <f t="shared" si="679"/>
        <v>0</v>
      </c>
      <c r="BM289" s="221">
        <f t="shared" si="680"/>
        <v>0</v>
      </c>
      <c r="BN289" s="221">
        <f t="shared" si="681"/>
        <v>181.43350074259999</v>
      </c>
      <c r="BO289" s="221">
        <f t="shared" si="682"/>
        <v>183.62415958560001</v>
      </c>
      <c r="BP289" s="221">
        <f t="shared" si="683"/>
        <v>190.0789532901</v>
      </c>
      <c r="BQ289" s="76">
        <f t="shared" si="684"/>
        <v>0</v>
      </c>
      <c r="BR289" s="76">
        <f t="shared" si="685"/>
        <v>0</v>
      </c>
      <c r="BS289" s="76">
        <f t="shared" si="686"/>
        <v>0</v>
      </c>
      <c r="BT289" s="76">
        <f t="shared" si="687"/>
        <v>979740.9</v>
      </c>
      <c r="BU289" s="76">
        <f t="shared" si="688"/>
        <v>991570.46</v>
      </c>
      <c r="BV289" s="76">
        <f t="shared" si="689"/>
        <v>1026426.35</v>
      </c>
      <c r="BW289" s="156">
        <f>'1.4. часы и места для МЗ и СЗ'!E37</f>
        <v>0</v>
      </c>
      <c r="BX289" s="156">
        <f t="shared" si="750"/>
        <v>0</v>
      </c>
      <c r="BY289" s="156">
        <f t="shared" si="751"/>
        <v>0</v>
      </c>
      <c r="BZ289" s="76">
        <f t="shared" si="690"/>
        <v>0</v>
      </c>
      <c r="CA289" s="76">
        <f t="shared" si="691"/>
        <v>0</v>
      </c>
      <c r="CB289" s="76">
        <f t="shared" si="692"/>
        <v>0</v>
      </c>
      <c r="CC289" s="76">
        <f t="shared" si="693"/>
        <v>0</v>
      </c>
      <c r="CD289" s="76">
        <f t="shared" si="694"/>
        <v>0</v>
      </c>
      <c r="CE289" s="76">
        <f t="shared" si="695"/>
        <v>0</v>
      </c>
      <c r="CF289" s="221">
        <f t="shared" si="696"/>
        <v>0</v>
      </c>
      <c r="CG289" s="221">
        <f t="shared" si="697"/>
        <v>0</v>
      </c>
      <c r="CH289" s="221">
        <f t="shared" si="698"/>
        <v>0</v>
      </c>
      <c r="CI289" s="221">
        <f t="shared" si="699"/>
        <v>114.0358431001</v>
      </c>
      <c r="CJ289" s="221">
        <f t="shared" si="700"/>
        <v>115.6235957662</v>
      </c>
      <c r="CK289" s="221">
        <f t="shared" si="701"/>
        <v>120.1097213326</v>
      </c>
      <c r="CL289" s="76">
        <f t="shared" si="702"/>
        <v>0</v>
      </c>
      <c r="CM289" s="76">
        <f t="shared" si="703"/>
        <v>0</v>
      </c>
      <c r="CN289" s="76">
        <f t="shared" si="704"/>
        <v>0</v>
      </c>
      <c r="CO289" s="76">
        <f t="shared" si="705"/>
        <v>0</v>
      </c>
      <c r="CP289" s="76">
        <f t="shared" si="706"/>
        <v>0</v>
      </c>
      <c r="CQ289" s="76">
        <f t="shared" si="707"/>
        <v>0</v>
      </c>
      <c r="CR289" s="156">
        <f>'1.4. часы и места для МЗ и СЗ'!E50</f>
        <v>0</v>
      </c>
      <c r="CS289" s="156">
        <f t="shared" si="752"/>
        <v>0</v>
      </c>
      <c r="CT289" s="156">
        <f t="shared" si="753"/>
        <v>0</v>
      </c>
      <c r="CU289" s="76">
        <f t="shared" si="708"/>
        <v>0</v>
      </c>
      <c r="CV289" s="76">
        <f t="shared" si="709"/>
        <v>0</v>
      </c>
      <c r="CW289" s="76">
        <f t="shared" si="710"/>
        <v>0</v>
      </c>
      <c r="CX289" s="76">
        <f t="shared" si="711"/>
        <v>0</v>
      </c>
      <c r="CY289" s="76">
        <f t="shared" si="712"/>
        <v>0</v>
      </c>
      <c r="CZ289" s="76">
        <f t="shared" si="713"/>
        <v>0</v>
      </c>
      <c r="DA289" s="221">
        <f t="shared" si="714"/>
        <v>0</v>
      </c>
      <c r="DB289" s="221">
        <f t="shared" si="715"/>
        <v>0</v>
      </c>
      <c r="DC289" s="221">
        <f t="shared" si="716"/>
        <v>0</v>
      </c>
      <c r="DD289" s="221">
        <f t="shared" si="717"/>
        <v>55.488981276799997</v>
      </c>
      <c r="DE289" s="221">
        <f t="shared" si="718"/>
        <v>56.653951858100001</v>
      </c>
      <c r="DF289" s="221">
        <f t="shared" si="719"/>
        <v>59.306511759800003</v>
      </c>
      <c r="DG289" s="76">
        <f t="shared" si="720"/>
        <v>0</v>
      </c>
      <c r="DH289" s="76">
        <f t="shared" si="721"/>
        <v>0</v>
      </c>
      <c r="DI289" s="76">
        <f t="shared" si="722"/>
        <v>0</v>
      </c>
      <c r="DJ289" s="76">
        <f t="shared" si="723"/>
        <v>0</v>
      </c>
      <c r="DK289" s="76">
        <f t="shared" si="724"/>
        <v>0</v>
      </c>
      <c r="DL289" s="76">
        <f t="shared" si="725"/>
        <v>0</v>
      </c>
      <c r="DM289" s="181">
        <f t="shared" si="754"/>
        <v>47536</v>
      </c>
      <c r="DN289" s="181">
        <f t="shared" si="726"/>
        <v>47536</v>
      </c>
      <c r="DO289" s="181">
        <f t="shared" si="727"/>
        <v>47536</v>
      </c>
      <c r="DP289" s="76">
        <f t="shared" si="728"/>
        <v>0</v>
      </c>
      <c r="DQ289" s="76">
        <f t="shared" si="729"/>
        <v>0</v>
      </c>
      <c r="DR289" s="76">
        <f t="shared" si="730"/>
        <v>0</v>
      </c>
      <c r="DS289" s="76">
        <f t="shared" si="731"/>
        <v>5696714.2400000002</v>
      </c>
      <c r="DT289" s="76">
        <f t="shared" si="732"/>
        <v>6016156.1600000001</v>
      </c>
      <c r="DU289" s="76">
        <f t="shared" si="733"/>
        <v>6340827.04</v>
      </c>
      <c r="DV289" s="221">
        <f t="shared" si="734"/>
        <v>0</v>
      </c>
      <c r="DW289" s="221">
        <f t="shared" si="735"/>
        <v>0</v>
      </c>
      <c r="DX289" s="221">
        <f t="shared" si="736"/>
        <v>0</v>
      </c>
      <c r="DY289" s="221">
        <f t="shared" si="737"/>
        <v>132.90393185639999</v>
      </c>
      <c r="DZ289" s="221">
        <f t="shared" si="738"/>
        <v>137.38747983819999</v>
      </c>
      <c r="EA289" s="221">
        <f t="shared" si="739"/>
        <v>143.15908408359999</v>
      </c>
      <c r="EB289" s="76">
        <f t="shared" si="740"/>
        <v>0</v>
      </c>
      <c r="EC289" s="76">
        <f t="shared" si="741"/>
        <v>0</v>
      </c>
      <c r="ED289" s="76">
        <f t="shared" si="742"/>
        <v>0</v>
      </c>
      <c r="EE289" s="76">
        <f t="shared" si="743"/>
        <v>6317721.2999999998</v>
      </c>
      <c r="EF289" s="76">
        <f t="shared" si="744"/>
        <v>6530851.2400000002</v>
      </c>
      <c r="EG289" s="76">
        <f t="shared" si="745"/>
        <v>6805210.2199999997</v>
      </c>
    </row>
    <row r="290" spans="1:137" x14ac:dyDescent="0.25">
      <c r="A290" s="12" t="s">
        <v>54</v>
      </c>
      <c r="B290" s="315" t="s">
        <v>823</v>
      </c>
      <c r="C290" s="5"/>
      <c r="D290" s="199"/>
      <c r="E290" s="200"/>
      <c r="F290" s="71"/>
      <c r="G290" s="71"/>
      <c r="H290" s="71"/>
      <c r="I290" s="76">
        <f t="shared" si="633"/>
        <v>146.1</v>
      </c>
      <c r="J290" s="76">
        <f t="shared" si="633"/>
        <v>153.87</v>
      </c>
      <c r="K290" s="76">
        <f t="shared" si="633"/>
        <v>161.81</v>
      </c>
      <c r="L290" s="156">
        <f>'1.4. часы и места для МЗ и СЗ'!E22</f>
        <v>110328</v>
      </c>
      <c r="M290" s="156">
        <f t="shared" si="634"/>
        <v>110328</v>
      </c>
      <c r="N290" s="156">
        <f t="shared" si="635"/>
        <v>110328</v>
      </c>
      <c r="O290" s="76">
        <f t="shared" si="636"/>
        <v>0</v>
      </c>
      <c r="P290" s="76">
        <f t="shared" si="637"/>
        <v>0</v>
      </c>
      <c r="Q290" s="76">
        <f t="shared" si="638"/>
        <v>0</v>
      </c>
      <c r="R290" s="76">
        <f t="shared" si="639"/>
        <v>16118920.800000001</v>
      </c>
      <c r="S290" s="76">
        <f t="shared" si="640"/>
        <v>16976169.359999999</v>
      </c>
      <c r="T290" s="76">
        <f t="shared" si="641"/>
        <v>17852173.68</v>
      </c>
      <c r="U290" s="221">
        <f t="shared" si="642"/>
        <v>0</v>
      </c>
      <c r="V290" s="221">
        <f t="shared" si="643"/>
        <v>0</v>
      </c>
      <c r="W290" s="221">
        <f t="shared" si="644"/>
        <v>0</v>
      </c>
      <c r="X290" s="221">
        <f t="shared" si="645"/>
        <v>152.040334892</v>
      </c>
      <c r="Y290" s="221">
        <f t="shared" si="646"/>
        <v>158.4616646593</v>
      </c>
      <c r="Z290" s="221">
        <f t="shared" si="647"/>
        <v>165.529743166</v>
      </c>
      <c r="AA290" s="76">
        <f t="shared" si="648"/>
        <v>0</v>
      </c>
      <c r="AB290" s="76">
        <f t="shared" si="649"/>
        <v>0</v>
      </c>
      <c r="AC290" s="76">
        <f t="shared" si="650"/>
        <v>0</v>
      </c>
      <c r="AD290" s="76">
        <f t="shared" si="651"/>
        <v>16774306.07</v>
      </c>
      <c r="AE290" s="76">
        <f t="shared" si="652"/>
        <v>17482758.539999999</v>
      </c>
      <c r="AF290" s="76">
        <f t="shared" si="653"/>
        <v>18262565.5</v>
      </c>
      <c r="AG290" s="156">
        <f>'1.4. часы и места для МЗ и СЗ'!E61</f>
        <v>34992</v>
      </c>
      <c r="AH290" s="156">
        <f t="shared" si="746"/>
        <v>34992</v>
      </c>
      <c r="AI290" s="156">
        <f t="shared" si="747"/>
        <v>34992</v>
      </c>
      <c r="AJ290" s="76">
        <f t="shared" si="654"/>
        <v>0</v>
      </c>
      <c r="AK290" s="76">
        <f t="shared" si="655"/>
        <v>0</v>
      </c>
      <c r="AL290" s="76">
        <f t="shared" si="656"/>
        <v>0</v>
      </c>
      <c r="AM290" s="76">
        <f t="shared" si="657"/>
        <v>5112331.2</v>
      </c>
      <c r="AN290" s="76">
        <f t="shared" si="658"/>
        <v>5384219.04</v>
      </c>
      <c r="AO290" s="76">
        <f t="shared" si="659"/>
        <v>5662055.5199999996</v>
      </c>
      <c r="AP290" s="221">
        <f t="shared" si="660"/>
        <v>0</v>
      </c>
      <c r="AQ290" s="221">
        <f t="shared" si="661"/>
        <v>0</v>
      </c>
      <c r="AR290" s="221">
        <f t="shared" si="662"/>
        <v>0</v>
      </c>
      <c r="AS290" s="221">
        <f t="shared" si="663"/>
        <v>176.92163152079999</v>
      </c>
      <c r="AT290" s="221">
        <f t="shared" si="664"/>
        <v>184.22938194419999</v>
      </c>
      <c r="AU290" s="221">
        <f t="shared" si="665"/>
        <v>191.39850745859999</v>
      </c>
      <c r="AV290" s="76">
        <f t="shared" si="666"/>
        <v>0</v>
      </c>
      <c r="AW290" s="76">
        <f t="shared" si="667"/>
        <v>0</v>
      </c>
      <c r="AX290" s="76">
        <f t="shared" si="668"/>
        <v>0</v>
      </c>
      <c r="AY290" s="76">
        <f t="shared" si="669"/>
        <v>6190841.7300000004</v>
      </c>
      <c r="AZ290" s="76">
        <f t="shared" si="670"/>
        <v>6446554.5300000003</v>
      </c>
      <c r="BA290" s="76">
        <f t="shared" si="671"/>
        <v>6697416.5700000003</v>
      </c>
      <c r="BB290" s="156">
        <f>'1.4. часы и места для МЗ и СЗ'!E74</f>
        <v>18936</v>
      </c>
      <c r="BC290" s="156">
        <f t="shared" si="748"/>
        <v>18936</v>
      </c>
      <c r="BD290" s="156">
        <f t="shared" si="749"/>
        <v>18936</v>
      </c>
      <c r="BE290" s="76">
        <f t="shared" si="672"/>
        <v>0</v>
      </c>
      <c r="BF290" s="76">
        <f t="shared" si="673"/>
        <v>0</v>
      </c>
      <c r="BG290" s="76">
        <f t="shared" si="674"/>
        <v>0</v>
      </c>
      <c r="BH290" s="76">
        <f t="shared" si="675"/>
        <v>2766549.6</v>
      </c>
      <c r="BI290" s="76">
        <f t="shared" si="676"/>
        <v>2913682.32</v>
      </c>
      <c r="BJ290" s="76">
        <f t="shared" si="677"/>
        <v>3064034.16</v>
      </c>
      <c r="BK290" s="221">
        <f t="shared" si="678"/>
        <v>0</v>
      </c>
      <c r="BL290" s="221">
        <f t="shared" si="679"/>
        <v>0</v>
      </c>
      <c r="BM290" s="221">
        <f t="shared" si="680"/>
        <v>0</v>
      </c>
      <c r="BN290" s="221">
        <f t="shared" si="681"/>
        <v>221.19020743070001</v>
      </c>
      <c r="BO290" s="221">
        <f t="shared" si="682"/>
        <v>223.24786216359999</v>
      </c>
      <c r="BP290" s="221">
        <f t="shared" si="683"/>
        <v>230.57707048399999</v>
      </c>
      <c r="BQ290" s="76">
        <f t="shared" si="684"/>
        <v>0</v>
      </c>
      <c r="BR290" s="76">
        <f t="shared" si="685"/>
        <v>0</v>
      </c>
      <c r="BS290" s="76">
        <f t="shared" si="686"/>
        <v>0</v>
      </c>
      <c r="BT290" s="76">
        <f t="shared" si="687"/>
        <v>4188457.77</v>
      </c>
      <c r="BU290" s="76">
        <f t="shared" si="688"/>
        <v>4227421.5199999996</v>
      </c>
      <c r="BV290" s="76">
        <f t="shared" si="689"/>
        <v>4366207.41</v>
      </c>
      <c r="BW290" s="156">
        <f>'1.4. часы и места для МЗ и СЗ'!E35</f>
        <v>0</v>
      </c>
      <c r="BX290" s="156">
        <f t="shared" si="750"/>
        <v>0</v>
      </c>
      <c r="BY290" s="156">
        <f t="shared" si="751"/>
        <v>0</v>
      </c>
      <c r="BZ290" s="76">
        <f t="shared" si="690"/>
        <v>0</v>
      </c>
      <c r="CA290" s="76">
        <f t="shared" si="691"/>
        <v>0</v>
      </c>
      <c r="CB290" s="76">
        <f t="shared" si="692"/>
        <v>0</v>
      </c>
      <c r="CC290" s="76">
        <f t="shared" si="693"/>
        <v>0</v>
      </c>
      <c r="CD290" s="76">
        <f t="shared" si="694"/>
        <v>0</v>
      </c>
      <c r="CE290" s="76">
        <f t="shared" si="695"/>
        <v>0</v>
      </c>
      <c r="CF290" s="221">
        <f t="shared" si="696"/>
        <v>0</v>
      </c>
      <c r="CG290" s="221">
        <f t="shared" si="697"/>
        <v>0</v>
      </c>
      <c r="CH290" s="221">
        <f t="shared" si="698"/>
        <v>0</v>
      </c>
      <c r="CI290" s="221">
        <f t="shared" si="699"/>
        <v>139.0240043135</v>
      </c>
      <c r="CJ290" s="221">
        <f t="shared" si="700"/>
        <v>140.57366214090001</v>
      </c>
      <c r="CK290" s="221">
        <f t="shared" si="701"/>
        <v>145.70023246740001</v>
      </c>
      <c r="CL290" s="76">
        <f t="shared" si="702"/>
        <v>0</v>
      </c>
      <c r="CM290" s="76">
        <f t="shared" si="703"/>
        <v>0</v>
      </c>
      <c r="CN290" s="76">
        <f t="shared" si="704"/>
        <v>0</v>
      </c>
      <c r="CO290" s="76">
        <f t="shared" si="705"/>
        <v>0</v>
      </c>
      <c r="CP290" s="76">
        <f t="shared" si="706"/>
        <v>0</v>
      </c>
      <c r="CQ290" s="76">
        <f t="shared" si="707"/>
        <v>0</v>
      </c>
      <c r="CR290" s="156">
        <f>'1.4. часы и места для МЗ и СЗ'!E48</f>
        <v>0</v>
      </c>
      <c r="CS290" s="156">
        <f t="shared" si="752"/>
        <v>0</v>
      </c>
      <c r="CT290" s="156">
        <f t="shared" si="753"/>
        <v>0</v>
      </c>
      <c r="CU290" s="76">
        <f t="shared" si="708"/>
        <v>0</v>
      </c>
      <c r="CV290" s="76">
        <f t="shared" si="709"/>
        <v>0</v>
      </c>
      <c r="CW290" s="76">
        <f t="shared" si="710"/>
        <v>0</v>
      </c>
      <c r="CX290" s="76">
        <f t="shared" si="711"/>
        <v>0</v>
      </c>
      <c r="CY290" s="76">
        <f t="shared" si="712"/>
        <v>0</v>
      </c>
      <c r="CZ290" s="76">
        <f t="shared" si="713"/>
        <v>0</v>
      </c>
      <c r="DA290" s="221">
        <f t="shared" si="714"/>
        <v>0</v>
      </c>
      <c r="DB290" s="221">
        <f t="shared" si="715"/>
        <v>0</v>
      </c>
      <c r="DC290" s="221">
        <f t="shared" si="716"/>
        <v>0</v>
      </c>
      <c r="DD290" s="221">
        <f t="shared" si="717"/>
        <v>67.648032080700006</v>
      </c>
      <c r="DE290" s="221">
        <f t="shared" si="718"/>
        <v>68.879136950100005</v>
      </c>
      <c r="DF290" s="221">
        <f t="shared" si="719"/>
        <v>71.942324521000003</v>
      </c>
      <c r="DG290" s="76">
        <f t="shared" si="720"/>
        <v>0</v>
      </c>
      <c r="DH290" s="76">
        <f t="shared" si="721"/>
        <v>0</v>
      </c>
      <c r="DI290" s="76">
        <f t="shared" si="722"/>
        <v>0</v>
      </c>
      <c r="DJ290" s="76">
        <f t="shared" si="723"/>
        <v>0</v>
      </c>
      <c r="DK290" s="76">
        <f t="shared" si="724"/>
        <v>0</v>
      </c>
      <c r="DL290" s="76">
        <f t="shared" si="725"/>
        <v>0</v>
      </c>
      <c r="DM290" s="181">
        <f t="shared" si="754"/>
        <v>164256</v>
      </c>
      <c r="DN290" s="181">
        <f t="shared" si="726"/>
        <v>164256</v>
      </c>
      <c r="DO290" s="181">
        <f t="shared" si="727"/>
        <v>164256</v>
      </c>
      <c r="DP290" s="76">
        <f t="shared" si="728"/>
        <v>0</v>
      </c>
      <c r="DQ290" s="76">
        <f t="shared" si="729"/>
        <v>0</v>
      </c>
      <c r="DR290" s="76">
        <f t="shared" si="730"/>
        <v>0</v>
      </c>
      <c r="DS290" s="76">
        <f t="shared" si="731"/>
        <v>23997801.600000001</v>
      </c>
      <c r="DT290" s="76">
        <f t="shared" si="732"/>
        <v>25274070.719999999</v>
      </c>
      <c r="DU290" s="76">
        <f t="shared" si="733"/>
        <v>26578263.359999999</v>
      </c>
      <c r="DV290" s="221">
        <f t="shared" si="734"/>
        <v>0</v>
      </c>
      <c r="DW290" s="221">
        <f t="shared" si="735"/>
        <v>0</v>
      </c>
      <c r="DX290" s="221">
        <f t="shared" si="736"/>
        <v>0</v>
      </c>
      <c r="DY290" s="221">
        <f t="shared" si="737"/>
        <v>162.0265724651</v>
      </c>
      <c r="DZ290" s="221">
        <f t="shared" si="738"/>
        <v>167.0339089974</v>
      </c>
      <c r="EA290" s="221">
        <f t="shared" si="739"/>
        <v>173.6604797629</v>
      </c>
      <c r="EB290" s="76">
        <f t="shared" si="740"/>
        <v>0</v>
      </c>
      <c r="EC290" s="76">
        <f t="shared" si="741"/>
        <v>0</v>
      </c>
      <c r="ED290" s="76">
        <f t="shared" si="742"/>
        <v>0</v>
      </c>
      <c r="EE290" s="76">
        <f t="shared" si="743"/>
        <v>26613836.690000001</v>
      </c>
      <c r="EF290" s="76">
        <f t="shared" si="744"/>
        <v>27436321.760000002</v>
      </c>
      <c r="EG290" s="76">
        <f t="shared" si="745"/>
        <v>28524775.760000002</v>
      </c>
    </row>
    <row r="291" spans="1:137" x14ac:dyDescent="0.25">
      <c r="A291" s="12" t="s">
        <v>55</v>
      </c>
      <c r="B291" s="315" t="s">
        <v>816</v>
      </c>
      <c r="C291" s="5"/>
      <c r="D291" s="199"/>
      <c r="E291" s="200"/>
      <c r="F291" s="71"/>
      <c r="G291" s="71"/>
      <c r="H291" s="71"/>
      <c r="I291" s="76">
        <f t="shared" si="633"/>
        <v>162.16</v>
      </c>
      <c r="J291" s="76">
        <f t="shared" si="633"/>
        <v>170.58</v>
      </c>
      <c r="K291" s="76">
        <f t="shared" si="633"/>
        <v>179.19</v>
      </c>
      <c r="L291" s="156">
        <f>'1.4. часы и места для МЗ и СЗ'!E23</f>
        <v>7128</v>
      </c>
      <c r="M291" s="156">
        <f t="shared" si="634"/>
        <v>7128</v>
      </c>
      <c r="N291" s="156">
        <f t="shared" si="635"/>
        <v>7128</v>
      </c>
      <c r="O291" s="76">
        <f t="shared" si="636"/>
        <v>0</v>
      </c>
      <c r="P291" s="76">
        <f t="shared" si="637"/>
        <v>0</v>
      </c>
      <c r="Q291" s="76">
        <f t="shared" si="638"/>
        <v>0</v>
      </c>
      <c r="R291" s="76">
        <f t="shared" si="639"/>
        <v>1155876.48</v>
      </c>
      <c r="S291" s="76">
        <f t="shared" si="640"/>
        <v>1215894.24</v>
      </c>
      <c r="T291" s="76">
        <f t="shared" si="641"/>
        <v>1277266.32</v>
      </c>
      <c r="U291" s="221">
        <f t="shared" si="642"/>
        <v>0</v>
      </c>
      <c r="V291" s="221">
        <f t="shared" si="643"/>
        <v>0</v>
      </c>
      <c r="W291" s="221">
        <f t="shared" si="644"/>
        <v>0</v>
      </c>
      <c r="X291" s="221">
        <f t="shared" si="645"/>
        <v>168.75332447700001</v>
      </c>
      <c r="Y291" s="221">
        <f t="shared" si="646"/>
        <v>175.67031102600001</v>
      </c>
      <c r="Z291" s="221">
        <f t="shared" si="647"/>
        <v>183.30928050119999</v>
      </c>
      <c r="AA291" s="76">
        <f t="shared" si="648"/>
        <v>0</v>
      </c>
      <c r="AB291" s="76">
        <f t="shared" si="649"/>
        <v>0</v>
      </c>
      <c r="AC291" s="76">
        <f t="shared" si="650"/>
        <v>0</v>
      </c>
      <c r="AD291" s="76">
        <f t="shared" si="651"/>
        <v>1202873.7</v>
      </c>
      <c r="AE291" s="76">
        <f t="shared" si="652"/>
        <v>1252177.98</v>
      </c>
      <c r="AF291" s="76">
        <f t="shared" si="653"/>
        <v>1306628.55</v>
      </c>
      <c r="AG291" s="156">
        <f>'1.4. часы и места для МЗ и СЗ'!E62</f>
        <v>0</v>
      </c>
      <c r="AH291" s="156">
        <f t="shared" si="746"/>
        <v>0</v>
      </c>
      <c r="AI291" s="156">
        <f t="shared" si="747"/>
        <v>0</v>
      </c>
      <c r="AJ291" s="76">
        <f t="shared" si="654"/>
        <v>0</v>
      </c>
      <c r="AK291" s="76">
        <f t="shared" si="655"/>
        <v>0</v>
      </c>
      <c r="AL291" s="76">
        <f t="shared" si="656"/>
        <v>0</v>
      </c>
      <c r="AM291" s="76">
        <f t="shared" si="657"/>
        <v>0</v>
      </c>
      <c r="AN291" s="76">
        <f t="shared" si="658"/>
        <v>0</v>
      </c>
      <c r="AO291" s="76">
        <f t="shared" si="659"/>
        <v>0</v>
      </c>
      <c r="AP291" s="221">
        <f t="shared" si="660"/>
        <v>0</v>
      </c>
      <c r="AQ291" s="221">
        <f t="shared" si="661"/>
        <v>0</v>
      </c>
      <c r="AR291" s="221">
        <f t="shared" si="662"/>
        <v>0</v>
      </c>
      <c r="AS291" s="221">
        <f t="shared" si="663"/>
        <v>196.36969039979999</v>
      </c>
      <c r="AT291" s="221">
        <f t="shared" si="664"/>
        <v>204.2363551832</v>
      </c>
      <c r="AU291" s="221">
        <f t="shared" si="665"/>
        <v>211.95660683209999</v>
      </c>
      <c r="AV291" s="76">
        <f t="shared" si="666"/>
        <v>0</v>
      </c>
      <c r="AW291" s="76">
        <f t="shared" si="667"/>
        <v>0</v>
      </c>
      <c r="AX291" s="76">
        <f t="shared" si="668"/>
        <v>0</v>
      </c>
      <c r="AY291" s="76">
        <f t="shared" si="669"/>
        <v>0</v>
      </c>
      <c r="AZ291" s="76">
        <f t="shared" si="670"/>
        <v>0</v>
      </c>
      <c r="BA291" s="76">
        <f t="shared" si="671"/>
        <v>0</v>
      </c>
      <c r="BB291" s="156">
        <f>'1.4. часы и места для МЗ и СЗ'!E75</f>
        <v>0</v>
      </c>
      <c r="BC291" s="156">
        <f t="shared" si="748"/>
        <v>0</v>
      </c>
      <c r="BD291" s="156">
        <f t="shared" si="749"/>
        <v>0</v>
      </c>
      <c r="BE291" s="76">
        <f t="shared" si="672"/>
        <v>0</v>
      </c>
      <c r="BF291" s="76">
        <f t="shared" si="673"/>
        <v>0</v>
      </c>
      <c r="BG291" s="76">
        <f t="shared" si="674"/>
        <v>0</v>
      </c>
      <c r="BH291" s="76">
        <f t="shared" si="675"/>
        <v>0</v>
      </c>
      <c r="BI291" s="76">
        <f t="shared" si="676"/>
        <v>0</v>
      </c>
      <c r="BJ291" s="76">
        <f t="shared" si="677"/>
        <v>0</v>
      </c>
      <c r="BK291" s="221">
        <f t="shared" si="678"/>
        <v>0</v>
      </c>
      <c r="BL291" s="221">
        <f t="shared" si="679"/>
        <v>0</v>
      </c>
      <c r="BM291" s="221">
        <f t="shared" si="680"/>
        <v>0</v>
      </c>
      <c r="BN291" s="221">
        <f t="shared" si="681"/>
        <v>245.50447663899999</v>
      </c>
      <c r="BO291" s="221">
        <f t="shared" si="682"/>
        <v>247.49217084470001</v>
      </c>
      <c r="BP291" s="221">
        <f t="shared" si="683"/>
        <v>255.3433363824</v>
      </c>
      <c r="BQ291" s="76">
        <f t="shared" si="684"/>
        <v>0</v>
      </c>
      <c r="BR291" s="76">
        <f t="shared" si="685"/>
        <v>0</v>
      </c>
      <c r="BS291" s="76">
        <f t="shared" si="686"/>
        <v>0</v>
      </c>
      <c r="BT291" s="76">
        <f t="shared" si="687"/>
        <v>0</v>
      </c>
      <c r="BU291" s="76">
        <f t="shared" si="688"/>
        <v>0</v>
      </c>
      <c r="BV291" s="76">
        <f t="shared" si="689"/>
        <v>0</v>
      </c>
      <c r="BW291" s="156">
        <f>'1.4. часы и места для МЗ и СЗ'!E36</f>
        <v>0</v>
      </c>
      <c r="BX291" s="156">
        <f t="shared" si="750"/>
        <v>0</v>
      </c>
      <c r="BY291" s="156">
        <f t="shared" si="751"/>
        <v>0</v>
      </c>
      <c r="BZ291" s="76">
        <f t="shared" si="690"/>
        <v>0</v>
      </c>
      <c r="CA291" s="76">
        <f t="shared" si="691"/>
        <v>0</v>
      </c>
      <c r="CB291" s="76">
        <f t="shared" si="692"/>
        <v>0</v>
      </c>
      <c r="CC291" s="76">
        <f t="shared" si="693"/>
        <v>0</v>
      </c>
      <c r="CD291" s="76">
        <f t="shared" si="694"/>
        <v>0</v>
      </c>
      <c r="CE291" s="76">
        <f t="shared" si="695"/>
        <v>0</v>
      </c>
      <c r="CF291" s="221">
        <f t="shared" si="696"/>
        <v>0</v>
      </c>
      <c r="CG291" s="221">
        <f t="shared" si="697"/>
        <v>0</v>
      </c>
      <c r="CH291" s="221">
        <f t="shared" si="698"/>
        <v>0</v>
      </c>
      <c r="CI291" s="221">
        <f t="shared" si="699"/>
        <v>154.3061775461</v>
      </c>
      <c r="CJ291" s="221">
        <f t="shared" si="700"/>
        <v>155.8397042178</v>
      </c>
      <c r="CK291" s="221">
        <f t="shared" si="701"/>
        <v>161.34988354149999</v>
      </c>
      <c r="CL291" s="76">
        <f t="shared" si="702"/>
        <v>0</v>
      </c>
      <c r="CM291" s="76">
        <f t="shared" si="703"/>
        <v>0</v>
      </c>
      <c r="CN291" s="76">
        <f t="shared" si="704"/>
        <v>0</v>
      </c>
      <c r="CO291" s="76">
        <f t="shared" si="705"/>
        <v>0</v>
      </c>
      <c r="CP291" s="76">
        <f t="shared" si="706"/>
        <v>0</v>
      </c>
      <c r="CQ291" s="76">
        <f t="shared" si="707"/>
        <v>0</v>
      </c>
      <c r="CR291" s="156">
        <f>'1.4. часы и места для МЗ и СЗ'!E49</f>
        <v>10872</v>
      </c>
      <c r="CS291" s="156">
        <f t="shared" si="752"/>
        <v>10872</v>
      </c>
      <c r="CT291" s="156">
        <f t="shared" si="753"/>
        <v>10872</v>
      </c>
      <c r="CU291" s="76">
        <f t="shared" si="708"/>
        <v>0</v>
      </c>
      <c r="CV291" s="76">
        <f t="shared" si="709"/>
        <v>0</v>
      </c>
      <c r="CW291" s="76">
        <f t="shared" si="710"/>
        <v>0</v>
      </c>
      <c r="CX291" s="76">
        <f t="shared" si="711"/>
        <v>1763003.52</v>
      </c>
      <c r="CY291" s="76">
        <f t="shared" si="712"/>
        <v>1854545.76</v>
      </c>
      <c r="CZ291" s="76">
        <f t="shared" si="713"/>
        <v>1948153.68</v>
      </c>
      <c r="DA291" s="221">
        <f t="shared" si="714"/>
        <v>0</v>
      </c>
      <c r="DB291" s="221">
        <f t="shared" si="715"/>
        <v>0</v>
      </c>
      <c r="DC291" s="221">
        <f t="shared" si="716"/>
        <v>0</v>
      </c>
      <c r="DD291" s="221">
        <f t="shared" si="717"/>
        <v>75.084222328600006</v>
      </c>
      <c r="DE291" s="221">
        <f t="shared" si="718"/>
        <v>76.359284986999995</v>
      </c>
      <c r="DF291" s="221">
        <f t="shared" si="719"/>
        <v>79.669644218000002</v>
      </c>
      <c r="DG291" s="76">
        <f t="shared" si="720"/>
        <v>0</v>
      </c>
      <c r="DH291" s="76">
        <f t="shared" si="721"/>
        <v>0</v>
      </c>
      <c r="DI291" s="76">
        <f t="shared" si="722"/>
        <v>0</v>
      </c>
      <c r="DJ291" s="76">
        <f t="shared" si="723"/>
        <v>816315.67</v>
      </c>
      <c r="DK291" s="76">
        <f t="shared" si="724"/>
        <v>830178.15</v>
      </c>
      <c r="DL291" s="76">
        <f t="shared" si="725"/>
        <v>866168.37</v>
      </c>
      <c r="DM291" s="181">
        <f t="shared" si="754"/>
        <v>18000</v>
      </c>
      <c r="DN291" s="181">
        <f t="shared" si="726"/>
        <v>18000</v>
      </c>
      <c r="DO291" s="181">
        <f t="shared" si="727"/>
        <v>18000</v>
      </c>
      <c r="DP291" s="76">
        <f t="shared" si="728"/>
        <v>0</v>
      </c>
      <c r="DQ291" s="76">
        <f t="shared" si="729"/>
        <v>0</v>
      </c>
      <c r="DR291" s="76">
        <f t="shared" si="730"/>
        <v>0</v>
      </c>
      <c r="DS291" s="76">
        <f t="shared" si="731"/>
        <v>2918880</v>
      </c>
      <c r="DT291" s="76">
        <f t="shared" si="732"/>
        <v>3070440</v>
      </c>
      <c r="DU291" s="76">
        <f t="shared" si="733"/>
        <v>3225420</v>
      </c>
      <c r="DV291" s="221">
        <f t="shared" si="734"/>
        <v>0</v>
      </c>
      <c r="DW291" s="221">
        <f t="shared" si="735"/>
        <v>0</v>
      </c>
      <c r="DX291" s="221">
        <f t="shared" si="736"/>
        <v>0</v>
      </c>
      <c r="DY291" s="221">
        <f t="shared" si="737"/>
        <v>179.83729631040001</v>
      </c>
      <c r="DZ291" s="221">
        <f t="shared" si="738"/>
        <v>185.1734853888</v>
      </c>
      <c r="EA291" s="221">
        <f t="shared" si="739"/>
        <v>192.31333890799999</v>
      </c>
      <c r="EB291" s="76">
        <f t="shared" si="740"/>
        <v>0</v>
      </c>
      <c r="EC291" s="76">
        <f t="shared" si="741"/>
        <v>0</v>
      </c>
      <c r="ED291" s="76">
        <f t="shared" si="742"/>
        <v>0</v>
      </c>
      <c r="EE291" s="76">
        <f t="shared" si="743"/>
        <v>3237071.33</v>
      </c>
      <c r="EF291" s="76">
        <f t="shared" si="744"/>
        <v>3333122.74</v>
      </c>
      <c r="EG291" s="76">
        <f t="shared" si="745"/>
        <v>3461640.1</v>
      </c>
    </row>
    <row r="292" spans="1:137" ht="14.25" customHeight="1" x14ac:dyDescent="0.25">
      <c r="A292" s="12" t="s">
        <v>56</v>
      </c>
      <c r="B292" s="315" t="s">
        <v>820</v>
      </c>
      <c r="C292" s="5"/>
      <c r="D292" s="199"/>
      <c r="E292" s="200"/>
      <c r="F292" s="71"/>
      <c r="G292" s="71"/>
      <c r="H292" s="71"/>
      <c r="I292" s="76">
        <f t="shared" si="633"/>
        <v>107.71</v>
      </c>
      <c r="J292" s="76">
        <f t="shared" si="633"/>
        <v>113.94</v>
      </c>
      <c r="K292" s="76">
        <f t="shared" si="633"/>
        <v>120.28</v>
      </c>
      <c r="L292" s="156">
        <f>'1.4. часы и места для МЗ и СЗ'!E27</f>
        <v>46224</v>
      </c>
      <c r="M292" s="156">
        <f t="shared" si="634"/>
        <v>46224</v>
      </c>
      <c r="N292" s="156">
        <f t="shared" si="635"/>
        <v>46224</v>
      </c>
      <c r="O292" s="76">
        <f t="shared" si="636"/>
        <v>0</v>
      </c>
      <c r="P292" s="76">
        <f t="shared" si="637"/>
        <v>0</v>
      </c>
      <c r="Q292" s="76">
        <f t="shared" si="638"/>
        <v>0</v>
      </c>
      <c r="R292" s="76">
        <f t="shared" si="639"/>
        <v>4978787.04</v>
      </c>
      <c r="S292" s="76">
        <f t="shared" si="640"/>
        <v>5266762.5599999996</v>
      </c>
      <c r="T292" s="76">
        <f t="shared" si="641"/>
        <v>5559822.7199999997</v>
      </c>
      <c r="U292" s="221">
        <f t="shared" si="642"/>
        <v>0</v>
      </c>
      <c r="V292" s="221">
        <f t="shared" si="643"/>
        <v>0</v>
      </c>
      <c r="W292" s="221">
        <f t="shared" si="644"/>
        <v>0</v>
      </c>
      <c r="X292" s="221">
        <f t="shared" si="645"/>
        <v>112.08942143199999</v>
      </c>
      <c r="Y292" s="221">
        <f t="shared" si="646"/>
        <v>117.34010574689999</v>
      </c>
      <c r="Z292" s="221">
        <f t="shared" si="647"/>
        <v>123.045037439</v>
      </c>
      <c r="AA292" s="76">
        <f t="shared" si="648"/>
        <v>0</v>
      </c>
      <c r="AB292" s="76">
        <f t="shared" si="649"/>
        <v>0</v>
      </c>
      <c r="AC292" s="76">
        <f t="shared" si="650"/>
        <v>0</v>
      </c>
      <c r="AD292" s="76">
        <f t="shared" si="651"/>
        <v>5181221.42</v>
      </c>
      <c r="AE292" s="76">
        <f t="shared" si="652"/>
        <v>5423929.0499999998</v>
      </c>
      <c r="AF292" s="76">
        <f t="shared" si="653"/>
        <v>5687633.8099999996</v>
      </c>
      <c r="AG292" s="156">
        <f>'1.4. часы и места для МЗ и СЗ'!E66</f>
        <v>38016</v>
      </c>
      <c r="AH292" s="156">
        <f t="shared" si="746"/>
        <v>38016</v>
      </c>
      <c r="AI292" s="156">
        <f t="shared" si="747"/>
        <v>38016</v>
      </c>
      <c r="AJ292" s="76">
        <f t="shared" si="654"/>
        <v>0</v>
      </c>
      <c r="AK292" s="76">
        <f t="shared" si="655"/>
        <v>0</v>
      </c>
      <c r="AL292" s="76">
        <f t="shared" si="656"/>
        <v>0</v>
      </c>
      <c r="AM292" s="76">
        <f t="shared" si="657"/>
        <v>4094703.36</v>
      </c>
      <c r="AN292" s="76">
        <f t="shared" si="658"/>
        <v>4331543.04</v>
      </c>
      <c r="AO292" s="76">
        <f t="shared" si="659"/>
        <v>4572564.4800000004</v>
      </c>
      <c r="AP292" s="221">
        <f t="shared" si="660"/>
        <v>0</v>
      </c>
      <c r="AQ292" s="221">
        <f t="shared" si="661"/>
        <v>0</v>
      </c>
      <c r="AR292" s="221">
        <f t="shared" si="662"/>
        <v>0</v>
      </c>
      <c r="AS292" s="221">
        <f t="shared" si="663"/>
        <v>130.432778447</v>
      </c>
      <c r="AT292" s="221">
        <f t="shared" si="664"/>
        <v>136.42097731019999</v>
      </c>
      <c r="AU292" s="221">
        <f t="shared" si="665"/>
        <v>142.2743494044</v>
      </c>
      <c r="AV292" s="76">
        <f t="shared" si="666"/>
        <v>0</v>
      </c>
      <c r="AW292" s="76">
        <f t="shared" si="667"/>
        <v>0</v>
      </c>
      <c r="AX292" s="76">
        <f t="shared" si="668"/>
        <v>0</v>
      </c>
      <c r="AY292" s="76">
        <f t="shared" si="669"/>
        <v>4958532.51</v>
      </c>
      <c r="AZ292" s="76">
        <f t="shared" si="670"/>
        <v>5186179.87</v>
      </c>
      <c r="BA292" s="76">
        <f t="shared" si="671"/>
        <v>5408701.6699999999</v>
      </c>
      <c r="BB292" s="156">
        <f>'1.4. часы и места для МЗ и СЗ'!E79</f>
        <v>10800</v>
      </c>
      <c r="BC292" s="156">
        <f t="shared" si="748"/>
        <v>10800</v>
      </c>
      <c r="BD292" s="156">
        <f t="shared" si="749"/>
        <v>10800</v>
      </c>
      <c r="BE292" s="76">
        <f t="shared" si="672"/>
        <v>0</v>
      </c>
      <c r="BF292" s="76">
        <f t="shared" si="673"/>
        <v>0</v>
      </c>
      <c r="BG292" s="76">
        <f t="shared" si="674"/>
        <v>0</v>
      </c>
      <c r="BH292" s="76">
        <f t="shared" si="675"/>
        <v>1163268</v>
      </c>
      <c r="BI292" s="76">
        <f t="shared" si="676"/>
        <v>1230552</v>
      </c>
      <c r="BJ292" s="76">
        <f t="shared" si="677"/>
        <v>1299024</v>
      </c>
      <c r="BK292" s="221">
        <f t="shared" si="678"/>
        <v>0</v>
      </c>
      <c r="BL292" s="221">
        <f t="shared" si="679"/>
        <v>0</v>
      </c>
      <c r="BM292" s="221">
        <f t="shared" si="680"/>
        <v>0</v>
      </c>
      <c r="BN292" s="221">
        <f t="shared" si="681"/>
        <v>163.06911185729999</v>
      </c>
      <c r="BO292" s="221">
        <f t="shared" si="682"/>
        <v>165.31397553080001</v>
      </c>
      <c r="BP292" s="221">
        <f t="shared" si="683"/>
        <v>171.3973798765</v>
      </c>
      <c r="BQ292" s="76">
        <f t="shared" si="684"/>
        <v>0</v>
      </c>
      <c r="BR292" s="76">
        <f t="shared" si="685"/>
        <v>0</v>
      </c>
      <c r="BS292" s="76">
        <f t="shared" si="686"/>
        <v>0</v>
      </c>
      <c r="BT292" s="76">
        <f t="shared" si="687"/>
        <v>1761146.41</v>
      </c>
      <c r="BU292" s="76">
        <f t="shared" si="688"/>
        <v>1785390.94</v>
      </c>
      <c r="BV292" s="76">
        <f t="shared" si="689"/>
        <v>1851091.7</v>
      </c>
      <c r="BW292" s="156">
        <f>'1.4. часы и места для МЗ и СЗ'!E40</f>
        <v>0</v>
      </c>
      <c r="BX292" s="156">
        <f t="shared" si="750"/>
        <v>0</v>
      </c>
      <c r="BY292" s="156">
        <f t="shared" si="751"/>
        <v>0</v>
      </c>
      <c r="BZ292" s="76">
        <f t="shared" si="690"/>
        <v>0</v>
      </c>
      <c r="CA292" s="76">
        <f t="shared" si="691"/>
        <v>0</v>
      </c>
      <c r="CB292" s="76">
        <f t="shared" si="692"/>
        <v>0</v>
      </c>
      <c r="CC292" s="76">
        <f t="shared" si="693"/>
        <v>0</v>
      </c>
      <c r="CD292" s="76">
        <f t="shared" si="694"/>
        <v>0</v>
      </c>
      <c r="CE292" s="76">
        <f t="shared" si="695"/>
        <v>0</v>
      </c>
      <c r="CF292" s="221">
        <f t="shared" si="696"/>
        <v>0</v>
      </c>
      <c r="CG292" s="221">
        <f t="shared" si="697"/>
        <v>0</v>
      </c>
      <c r="CH292" s="221">
        <f t="shared" si="698"/>
        <v>0</v>
      </c>
      <c r="CI292" s="221">
        <f t="shared" si="699"/>
        <v>102.4933299426</v>
      </c>
      <c r="CJ292" s="221">
        <f t="shared" si="700"/>
        <v>104.0941253287</v>
      </c>
      <c r="CK292" s="221">
        <f t="shared" si="701"/>
        <v>108.30495001040001</v>
      </c>
      <c r="CL292" s="76">
        <f t="shared" si="702"/>
        <v>0</v>
      </c>
      <c r="CM292" s="76">
        <f t="shared" si="703"/>
        <v>0</v>
      </c>
      <c r="CN292" s="76">
        <f t="shared" si="704"/>
        <v>0</v>
      </c>
      <c r="CO292" s="76">
        <f t="shared" si="705"/>
        <v>0</v>
      </c>
      <c r="CP292" s="76">
        <f t="shared" si="706"/>
        <v>0</v>
      </c>
      <c r="CQ292" s="76">
        <f t="shared" si="707"/>
        <v>0</v>
      </c>
      <c r="CR292" s="156">
        <f>'1.4. часы и места для МЗ и СЗ'!E53</f>
        <v>0</v>
      </c>
      <c r="CS292" s="156">
        <f t="shared" si="752"/>
        <v>0</v>
      </c>
      <c r="CT292" s="156">
        <f t="shared" si="753"/>
        <v>0</v>
      </c>
      <c r="CU292" s="76">
        <f t="shared" si="708"/>
        <v>0</v>
      </c>
      <c r="CV292" s="76">
        <f t="shared" si="709"/>
        <v>0</v>
      </c>
      <c r="CW292" s="76">
        <f t="shared" si="710"/>
        <v>0</v>
      </c>
      <c r="CX292" s="76">
        <f t="shared" si="711"/>
        <v>0</v>
      </c>
      <c r="CY292" s="76">
        <f t="shared" si="712"/>
        <v>0</v>
      </c>
      <c r="CZ292" s="76">
        <f t="shared" si="713"/>
        <v>0</v>
      </c>
      <c r="DA292" s="221">
        <f t="shared" si="714"/>
        <v>0</v>
      </c>
      <c r="DB292" s="221">
        <f t="shared" si="715"/>
        <v>0</v>
      </c>
      <c r="DC292" s="221">
        <f t="shared" si="716"/>
        <v>0</v>
      </c>
      <c r="DD292" s="221">
        <f t="shared" si="717"/>
        <v>49.8724814196</v>
      </c>
      <c r="DE292" s="221">
        <f t="shared" si="718"/>
        <v>51.004671892499999</v>
      </c>
      <c r="DF292" s="221">
        <f t="shared" si="719"/>
        <v>53.477676246100003</v>
      </c>
      <c r="DG292" s="76">
        <f t="shared" si="720"/>
        <v>0</v>
      </c>
      <c r="DH292" s="76">
        <f t="shared" si="721"/>
        <v>0</v>
      </c>
      <c r="DI292" s="76">
        <f t="shared" si="722"/>
        <v>0</v>
      </c>
      <c r="DJ292" s="76">
        <f t="shared" si="723"/>
        <v>0</v>
      </c>
      <c r="DK292" s="76">
        <f t="shared" si="724"/>
        <v>0</v>
      </c>
      <c r="DL292" s="76">
        <f t="shared" si="725"/>
        <v>0</v>
      </c>
      <c r="DM292" s="181">
        <f t="shared" si="754"/>
        <v>95040</v>
      </c>
      <c r="DN292" s="181">
        <f t="shared" si="726"/>
        <v>95040</v>
      </c>
      <c r="DO292" s="181">
        <f t="shared" si="727"/>
        <v>95040</v>
      </c>
      <c r="DP292" s="76">
        <f t="shared" si="728"/>
        <v>0</v>
      </c>
      <c r="DQ292" s="76">
        <f t="shared" si="729"/>
        <v>0</v>
      </c>
      <c r="DR292" s="76">
        <f t="shared" si="730"/>
        <v>0</v>
      </c>
      <c r="DS292" s="76">
        <f t="shared" si="731"/>
        <v>10236758.4</v>
      </c>
      <c r="DT292" s="76">
        <f t="shared" si="732"/>
        <v>10828857.6</v>
      </c>
      <c r="DU292" s="76">
        <f t="shared" si="733"/>
        <v>11431411.199999999</v>
      </c>
      <c r="DV292" s="221">
        <f t="shared" si="734"/>
        <v>0</v>
      </c>
      <c r="DW292" s="221">
        <f t="shared" si="735"/>
        <v>0</v>
      </c>
      <c r="DX292" s="221">
        <f t="shared" si="736"/>
        <v>0</v>
      </c>
      <c r="DY292" s="221">
        <f t="shared" si="737"/>
        <v>119.4516229995</v>
      </c>
      <c r="DZ292" s="221">
        <f t="shared" si="738"/>
        <v>123.68781173169999</v>
      </c>
      <c r="EA292" s="221">
        <f t="shared" si="739"/>
        <v>129.0889469494</v>
      </c>
      <c r="EB292" s="76">
        <f t="shared" si="740"/>
        <v>0</v>
      </c>
      <c r="EC292" s="76">
        <f t="shared" si="741"/>
        <v>0</v>
      </c>
      <c r="ED292" s="76">
        <f t="shared" si="742"/>
        <v>0</v>
      </c>
      <c r="EE292" s="76">
        <f t="shared" si="743"/>
        <v>11352682.25</v>
      </c>
      <c r="EF292" s="76">
        <f t="shared" si="744"/>
        <v>11755289.630000001</v>
      </c>
      <c r="EG292" s="76">
        <f t="shared" si="745"/>
        <v>12268613.52</v>
      </c>
    </row>
    <row r="293" spans="1:137" ht="36" x14ac:dyDescent="0.25">
      <c r="A293" s="396" t="s">
        <v>469</v>
      </c>
      <c r="B293" s="315" t="s">
        <v>818</v>
      </c>
      <c r="C293" s="5"/>
      <c r="D293" s="199"/>
      <c r="E293" s="200"/>
      <c r="F293" s="71"/>
      <c r="G293" s="71"/>
      <c r="H293" s="71"/>
      <c r="I293" s="76">
        <f t="shared" si="633"/>
        <v>100.55</v>
      </c>
      <c r="J293" s="76">
        <f t="shared" si="633"/>
        <v>106.5</v>
      </c>
      <c r="K293" s="76">
        <f t="shared" si="633"/>
        <v>112.52</v>
      </c>
      <c r="L293" s="156">
        <f>'1.4. часы и места для МЗ и СЗ'!I29</f>
        <v>0</v>
      </c>
      <c r="M293" s="156">
        <f t="shared" si="634"/>
        <v>0</v>
      </c>
      <c r="N293" s="156">
        <f t="shared" si="635"/>
        <v>0</v>
      </c>
      <c r="O293" s="76">
        <f t="shared" ref="O293:O294" si="755">$F293*L293</f>
        <v>0</v>
      </c>
      <c r="P293" s="76">
        <f t="shared" ref="P293:P294" si="756">$G293*M293</f>
        <v>0</v>
      </c>
      <c r="Q293" s="76">
        <f t="shared" ref="Q293:Q294" si="757">$H293*N293</f>
        <v>0</v>
      </c>
      <c r="R293" s="76">
        <f t="shared" ref="R293:R294" si="758">$I293*L293</f>
        <v>0</v>
      </c>
      <c r="S293" s="76">
        <f t="shared" ref="S293:S294" si="759">$J293*M293</f>
        <v>0</v>
      </c>
      <c r="T293" s="76">
        <f t="shared" ref="T293:T294" si="760">$K293*N293</f>
        <v>0</v>
      </c>
      <c r="U293" s="221">
        <f t="shared" si="642"/>
        <v>0</v>
      </c>
      <c r="V293" s="221">
        <f t="shared" si="643"/>
        <v>0</v>
      </c>
      <c r="W293" s="221">
        <f t="shared" si="644"/>
        <v>0</v>
      </c>
      <c r="X293" s="221">
        <f t="shared" si="645"/>
        <v>104.638300297</v>
      </c>
      <c r="Y293" s="221">
        <f t="shared" si="646"/>
        <v>109.6780872569</v>
      </c>
      <c r="Z293" s="221">
        <f t="shared" si="647"/>
        <v>115.10664792679999</v>
      </c>
      <c r="AA293" s="76">
        <f t="shared" ref="AA293:AA294" si="761">L293*U293</f>
        <v>0</v>
      </c>
      <c r="AB293" s="76">
        <f t="shared" ref="AB293:AB294" si="762">M293*V293</f>
        <v>0</v>
      </c>
      <c r="AC293" s="76">
        <f t="shared" ref="AC293:AC294" si="763">N293*W293</f>
        <v>0</v>
      </c>
      <c r="AD293" s="76">
        <f t="shared" ref="AD293:AD294" si="764">L293*X293</f>
        <v>0</v>
      </c>
      <c r="AE293" s="76">
        <f t="shared" ref="AE293:AE294" si="765">M293*Y293</f>
        <v>0</v>
      </c>
      <c r="AF293" s="76">
        <f t="shared" ref="AF293:AF294" si="766">N293*Z293</f>
        <v>0</v>
      </c>
      <c r="AG293" s="156">
        <f>'1.4. часы и места для МЗ и СЗ'!I68</f>
        <v>2464</v>
      </c>
      <c r="AH293" s="156">
        <f t="shared" si="746"/>
        <v>2464</v>
      </c>
      <c r="AI293" s="156">
        <f t="shared" si="747"/>
        <v>2464</v>
      </c>
      <c r="AJ293" s="76">
        <f t="shared" ref="AJ293:AJ294" si="767">$F293*AG293</f>
        <v>0</v>
      </c>
      <c r="AK293" s="76">
        <f t="shared" ref="AK293:AK294" si="768">$G293*AH293</f>
        <v>0</v>
      </c>
      <c r="AL293" s="76">
        <f t="shared" ref="AL293:AL294" si="769">$H293*AI293</f>
        <v>0</v>
      </c>
      <c r="AM293" s="76">
        <f t="shared" ref="AM293:AM294" si="770">$I293*AG293</f>
        <v>247755.2</v>
      </c>
      <c r="AN293" s="76">
        <f t="shared" ref="AN293:AN294" si="771">$J293*AH293</f>
        <v>262416</v>
      </c>
      <c r="AO293" s="76">
        <f t="shared" ref="AO293:AO294" si="772">$K293*AI293</f>
        <v>277249.28000000003</v>
      </c>
      <c r="AP293" s="221">
        <f t="shared" si="660"/>
        <v>0</v>
      </c>
      <c r="AQ293" s="221">
        <f t="shared" si="661"/>
        <v>0</v>
      </c>
      <c r="AR293" s="221">
        <f t="shared" si="662"/>
        <v>0</v>
      </c>
      <c r="AS293" s="221">
        <f t="shared" si="663"/>
        <v>121.76228644370001</v>
      </c>
      <c r="AT293" s="221">
        <f t="shared" si="664"/>
        <v>127.513025132</v>
      </c>
      <c r="AU293" s="221">
        <f t="shared" si="665"/>
        <v>133.09535912019999</v>
      </c>
      <c r="AV293" s="76">
        <f t="shared" ref="AV293:AV294" si="773">AG293*AP293</f>
        <v>0</v>
      </c>
      <c r="AW293" s="76">
        <f t="shared" ref="AW293:AW294" si="774">AH293*AQ293</f>
        <v>0</v>
      </c>
      <c r="AX293" s="76">
        <f t="shared" ref="AX293:AX294" si="775">AI293*AR293</f>
        <v>0</v>
      </c>
      <c r="AY293" s="76">
        <f t="shared" ref="AY293:AY294" si="776">AG293*AS293</f>
        <v>300022.27</v>
      </c>
      <c r="AZ293" s="76">
        <f t="shared" ref="AZ293:AZ294" si="777">AH293*AT293</f>
        <v>314192.09000000003</v>
      </c>
      <c r="BA293" s="76">
        <f t="shared" ref="BA293:BA294" si="778">AI293*AU293</f>
        <v>327946.96000000002</v>
      </c>
      <c r="BB293" s="156">
        <f>'1.4. часы и места для МЗ и СЗ'!I81</f>
        <v>0</v>
      </c>
      <c r="BC293" s="156">
        <f t="shared" si="748"/>
        <v>0</v>
      </c>
      <c r="BD293" s="156">
        <f t="shared" si="749"/>
        <v>0</v>
      </c>
      <c r="BE293" s="76">
        <f t="shared" ref="BE293:BE294" si="779">$F293*BB293</f>
        <v>0</v>
      </c>
      <c r="BF293" s="76">
        <f t="shared" ref="BF293:BF294" si="780">$G293*BC293</f>
        <v>0</v>
      </c>
      <c r="BG293" s="76">
        <f t="shared" ref="BG293:BG294" si="781">$H293*BD293</f>
        <v>0</v>
      </c>
      <c r="BH293" s="76">
        <f t="shared" ref="BH293:BH294" si="782">$I293*BB293</f>
        <v>0</v>
      </c>
      <c r="BI293" s="76">
        <f t="shared" ref="BI293:BI294" si="783">$J293*BC293</f>
        <v>0</v>
      </c>
      <c r="BJ293" s="76">
        <f t="shared" ref="BJ293:BJ294" si="784">$K293*BD293</f>
        <v>0</v>
      </c>
      <c r="BK293" s="221">
        <f t="shared" si="678"/>
        <v>0</v>
      </c>
      <c r="BL293" s="221">
        <f t="shared" si="679"/>
        <v>0</v>
      </c>
      <c r="BM293" s="221">
        <f t="shared" si="680"/>
        <v>0</v>
      </c>
      <c r="BN293" s="221">
        <f t="shared" si="681"/>
        <v>152.22912633230001</v>
      </c>
      <c r="BO293" s="221">
        <f t="shared" si="682"/>
        <v>154.51938207859999</v>
      </c>
      <c r="BP293" s="221">
        <f t="shared" si="683"/>
        <v>160.33948440060001</v>
      </c>
      <c r="BQ293" s="76">
        <f t="shared" ref="BQ293:BQ294" si="785">BB293*BK293</f>
        <v>0</v>
      </c>
      <c r="BR293" s="76">
        <f t="shared" ref="BR293:BR294" si="786">BC293*BL293</f>
        <v>0</v>
      </c>
      <c r="BS293" s="76">
        <f t="shared" ref="BS293:BS294" si="787">BD293*BM293</f>
        <v>0</v>
      </c>
      <c r="BT293" s="76">
        <f t="shared" ref="BT293:BT294" si="788">BB293*BN293</f>
        <v>0</v>
      </c>
      <c r="BU293" s="76">
        <f t="shared" ref="BU293:BU294" si="789">BC293*BO293</f>
        <v>0</v>
      </c>
      <c r="BV293" s="76">
        <f t="shared" ref="BV293:BV294" si="790">BD293*BP293</f>
        <v>0</v>
      </c>
      <c r="BW293" s="156">
        <f>'1.4. часы и места для МЗ и СЗ'!I42</f>
        <v>0</v>
      </c>
      <c r="BX293" s="156">
        <f t="shared" si="750"/>
        <v>0</v>
      </c>
      <c r="BY293" s="156">
        <f t="shared" si="751"/>
        <v>0</v>
      </c>
      <c r="BZ293" s="76">
        <f t="shared" ref="BZ293:BZ294" si="791">$F293*BW293</f>
        <v>0</v>
      </c>
      <c r="CA293" s="76">
        <f t="shared" ref="CA293:CA294" si="792">$G293*BX293</f>
        <v>0</v>
      </c>
      <c r="CB293" s="76">
        <f t="shared" ref="CB293:CB294" si="793">$H293*BY293</f>
        <v>0</v>
      </c>
      <c r="CC293" s="76">
        <f t="shared" ref="CC293:CC294" si="794">$I293*BW293</f>
        <v>0</v>
      </c>
      <c r="CD293" s="76">
        <f t="shared" ref="CD293:CD294" si="795">$J293*BX293</f>
        <v>0</v>
      </c>
      <c r="CE293" s="76">
        <f t="shared" ref="CE293:CE294" si="796">$K293*BY293</f>
        <v>0</v>
      </c>
      <c r="CF293" s="221">
        <f t="shared" si="696"/>
        <v>0</v>
      </c>
      <c r="CG293" s="221">
        <f t="shared" si="697"/>
        <v>0</v>
      </c>
      <c r="CH293" s="221">
        <f t="shared" si="698"/>
        <v>0</v>
      </c>
      <c r="CI293" s="221">
        <f t="shared" si="699"/>
        <v>95.680107007000004</v>
      </c>
      <c r="CJ293" s="221">
        <f t="shared" si="700"/>
        <v>97.297036576400004</v>
      </c>
      <c r="CK293" s="221">
        <f t="shared" si="701"/>
        <v>101.3175338807</v>
      </c>
      <c r="CL293" s="76">
        <f t="shared" ref="CL293:CL294" si="797">BW293*CF293</f>
        <v>0</v>
      </c>
      <c r="CM293" s="76">
        <f t="shared" ref="CM293:CM294" si="798">BX293*CG293</f>
        <v>0</v>
      </c>
      <c r="CN293" s="76">
        <f t="shared" ref="CN293:CN294" si="799">BY293*CH293</f>
        <v>0</v>
      </c>
      <c r="CO293" s="76">
        <f t="shared" ref="CO293:CO294" si="800">BW293*CI293</f>
        <v>0</v>
      </c>
      <c r="CP293" s="76">
        <f t="shared" ref="CP293:CP294" si="801">BX293*CJ293</f>
        <v>0</v>
      </c>
      <c r="CQ293" s="76">
        <f t="shared" ref="CQ293:CQ294" si="802">BY293*CK293</f>
        <v>0</v>
      </c>
      <c r="CR293" s="156">
        <f>'1.4. часы и места для МЗ и СЗ'!I55</f>
        <v>0</v>
      </c>
      <c r="CS293" s="156">
        <f t="shared" si="752"/>
        <v>0</v>
      </c>
      <c r="CT293" s="156">
        <f t="shared" si="753"/>
        <v>0</v>
      </c>
      <c r="CU293" s="76">
        <f t="shared" ref="CU293:CU294" si="803">$F293*CR293</f>
        <v>0</v>
      </c>
      <c r="CV293" s="76">
        <f t="shared" ref="CV293:CV294" si="804">$G293*CS293</f>
        <v>0</v>
      </c>
      <c r="CW293" s="76">
        <f t="shared" ref="CW293:CW294" si="805">$H293*CT293</f>
        <v>0</v>
      </c>
      <c r="CX293" s="76">
        <f t="shared" ref="CX293:CX294" si="806">$I293*CR293</f>
        <v>0</v>
      </c>
      <c r="CY293" s="76">
        <f t="shared" ref="CY293:CY294" si="807">$J293*CS293</f>
        <v>0</v>
      </c>
      <c r="CZ293" s="76">
        <f t="shared" ref="CZ293:CZ294" si="808">$K293*CT293</f>
        <v>0</v>
      </c>
      <c r="DA293" s="221">
        <f t="shared" si="714"/>
        <v>0</v>
      </c>
      <c r="DB293" s="221">
        <f t="shared" si="715"/>
        <v>0</v>
      </c>
      <c r="DC293" s="221">
        <f t="shared" si="716"/>
        <v>0</v>
      </c>
      <c r="DD293" s="221">
        <f t="shared" si="717"/>
        <v>46.557218519599999</v>
      </c>
      <c r="DE293" s="221">
        <f t="shared" si="718"/>
        <v>47.674193053800003</v>
      </c>
      <c r="DF293" s="221">
        <f t="shared" si="719"/>
        <v>50.0275035851</v>
      </c>
      <c r="DG293" s="76">
        <f t="shared" ref="DG293:DG294" si="809">CR293*DA293</f>
        <v>0</v>
      </c>
      <c r="DH293" s="76">
        <f t="shared" ref="DH293:DH294" si="810">CS293*DB293</f>
        <v>0</v>
      </c>
      <c r="DI293" s="76">
        <f t="shared" ref="DI293:DI294" si="811">CT293*DC293</f>
        <v>0</v>
      </c>
      <c r="DJ293" s="76">
        <f t="shared" ref="DJ293:DJ294" si="812">CR293*DD293</f>
        <v>0</v>
      </c>
      <c r="DK293" s="76">
        <f t="shared" ref="DK293:DK294" si="813">CS293*DE293</f>
        <v>0</v>
      </c>
      <c r="DL293" s="76">
        <f t="shared" ref="DL293:DL294" si="814">CT293*DF293</f>
        <v>0</v>
      </c>
      <c r="DM293" s="181">
        <f t="shared" ref="DM293:DM294" si="815">L293+AG293+BB293+BW293+CR293</f>
        <v>2464</v>
      </c>
      <c r="DN293" s="181">
        <f t="shared" ref="DN293:DN294" si="816">M293+AH293+BC293+BX293+CS293</f>
        <v>2464</v>
      </c>
      <c r="DO293" s="181">
        <f t="shared" ref="DO293:DO294" si="817">N293+AI293+BD293+BY293+CT293</f>
        <v>2464</v>
      </c>
      <c r="DP293" s="76">
        <f t="shared" ref="DP293:DP294" si="818">$F293*DM293</f>
        <v>0</v>
      </c>
      <c r="DQ293" s="76">
        <f t="shared" ref="DQ293:DQ294" si="819">$G293*DN293</f>
        <v>0</v>
      </c>
      <c r="DR293" s="76">
        <f t="shared" ref="DR293:DR294" si="820">$H293*DO293</f>
        <v>0</v>
      </c>
      <c r="DS293" s="76">
        <f t="shared" ref="DS293:DS294" si="821">$I293*DM293</f>
        <v>247755.2</v>
      </c>
      <c r="DT293" s="76">
        <f t="shared" ref="DT293:DT294" si="822">$J293*DN293</f>
        <v>262416</v>
      </c>
      <c r="DU293" s="76">
        <f t="shared" ref="DU293:DU294" si="823">$K293*DO293</f>
        <v>277249.28000000003</v>
      </c>
      <c r="DV293" s="221">
        <f t="shared" si="734"/>
        <v>0</v>
      </c>
      <c r="DW293" s="221">
        <f t="shared" si="735"/>
        <v>0</v>
      </c>
      <c r="DX293" s="221">
        <f t="shared" si="736"/>
        <v>0</v>
      </c>
      <c r="DY293" s="221">
        <f t="shared" si="737"/>
        <v>111.5111010361</v>
      </c>
      <c r="DZ293" s="221">
        <f t="shared" si="738"/>
        <v>115.6113037514</v>
      </c>
      <c r="EA293" s="221">
        <f t="shared" si="739"/>
        <v>120.7606277913</v>
      </c>
      <c r="EB293" s="76">
        <f t="shared" ref="EB293:EB294" si="824">DM293*DV293</f>
        <v>0</v>
      </c>
      <c r="EC293" s="76">
        <f t="shared" ref="EC293:EC294" si="825">DN293*DW293</f>
        <v>0</v>
      </c>
      <c r="ED293" s="76">
        <f t="shared" ref="ED293:ED294" si="826">DO293*DX293</f>
        <v>0</v>
      </c>
      <c r="EE293" s="76">
        <f t="shared" ref="EE293:EE294" si="827">DM293*DY293</f>
        <v>274763.34999999998</v>
      </c>
      <c r="EF293" s="76">
        <f t="shared" ref="EF293:EF294" si="828">DN293*DZ293</f>
        <v>284866.25</v>
      </c>
      <c r="EG293" s="76">
        <f t="shared" ref="EG293:EG294" si="829">DO293*EA293</f>
        <v>297554.19</v>
      </c>
    </row>
    <row r="294" spans="1:137" ht="24.75" customHeight="1" x14ac:dyDescent="0.25">
      <c r="A294" s="406" t="s">
        <v>825</v>
      </c>
      <c r="B294" s="392" t="s">
        <v>824</v>
      </c>
      <c r="C294" s="5"/>
      <c r="D294" s="199"/>
      <c r="E294" s="200"/>
      <c r="F294" s="71"/>
      <c r="G294" s="71"/>
      <c r="H294" s="71"/>
      <c r="I294" s="76">
        <f t="shared" si="633"/>
        <v>408.99</v>
      </c>
      <c r="J294" s="76">
        <f t="shared" si="633"/>
        <v>427.28</v>
      </c>
      <c r="K294" s="76">
        <f t="shared" si="633"/>
        <v>446.16</v>
      </c>
      <c r="L294" s="156">
        <f>'1.4. часы и места для МЗ и СЗ'!I28</f>
        <v>2412</v>
      </c>
      <c r="M294" s="156">
        <f t="shared" si="634"/>
        <v>2412</v>
      </c>
      <c r="N294" s="156">
        <f t="shared" si="635"/>
        <v>2412</v>
      </c>
      <c r="O294" s="76">
        <f t="shared" si="755"/>
        <v>0</v>
      </c>
      <c r="P294" s="76">
        <f t="shared" si="756"/>
        <v>0</v>
      </c>
      <c r="Q294" s="76">
        <f t="shared" si="757"/>
        <v>0</v>
      </c>
      <c r="R294" s="76">
        <f t="shared" si="758"/>
        <v>986483.88</v>
      </c>
      <c r="S294" s="76">
        <f t="shared" si="759"/>
        <v>1030599.36</v>
      </c>
      <c r="T294" s="76">
        <f t="shared" si="760"/>
        <v>1076137.92</v>
      </c>
      <c r="U294" s="221">
        <f t="shared" si="642"/>
        <v>0</v>
      </c>
      <c r="V294" s="221">
        <f t="shared" si="643"/>
        <v>0</v>
      </c>
      <c r="W294" s="221">
        <f t="shared" si="644"/>
        <v>0</v>
      </c>
      <c r="X294" s="221">
        <f t="shared" si="645"/>
        <v>425.61927835379998</v>
      </c>
      <c r="Y294" s="221">
        <f t="shared" si="646"/>
        <v>440.03054575689998</v>
      </c>
      <c r="Z294" s="221">
        <f t="shared" si="647"/>
        <v>456.4164774175</v>
      </c>
      <c r="AA294" s="76">
        <f t="shared" si="761"/>
        <v>0</v>
      </c>
      <c r="AB294" s="76">
        <f t="shared" si="762"/>
        <v>0</v>
      </c>
      <c r="AC294" s="76">
        <f t="shared" si="763"/>
        <v>0</v>
      </c>
      <c r="AD294" s="76">
        <f t="shared" si="764"/>
        <v>1026593.7</v>
      </c>
      <c r="AE294" s="76">
        <f t="shared" si="765"/>
        <v>1061353.68</v>
      </c>
      <c r="AF294" s="76">
        <f t="shared" si="766"/>
        <v>1100876.54</v>
      </c>
      <c r="AG294" s="156">
        <f>'1.4. часы и места для МЗ и СЗ'!I67</f>
        <v>0</v>
      </c>
      <c r="AH294" s="156">
        <f t="shared" si="746"/>
        <v>0</v>
      </c>
      <c r="AI294" s="156">
        <f t="shared" si="747"/>
        <v>0</v>
      </c>
      <c r="AJ294" s="76">
        <f t="shared" si="767"/>
        <v>0</v>
      </c>
      <c r="AK294" s="76">
        <f t="shared" si="768"/>
        <v>0</v>
      </c>
      <c r="AL294" s="76">
        <f t="shared" si="769"/>
        <v>0</v>
      </c>
      <c r="AM294" s="76">
        <f t="shared" si="770"/>
        <v>0</v>
      </c>
      <c r="AN294" s="76">
        <f t="shared" si="771"/>
        <v>0</v>
      </c>
      <c r="AO294" s="76">
        <f t="shared" si="772"/>
        <v>0</v>
      </c>
      <c r="AP294" s="221">
        <f t="shared" si="660"/>
        <v>0</v>
      </c>
      <c r="AQ294" s="221">
        <f t="shared" si="661"/>
        <v>0</v>
      </c>
      <c r="AR294" s="221">
        <f t="shared" si="662"/>
        <v>0</v>
      </c>
      <c r="AS294" s="221">
        <f t="shared" si="663"/>
        <v>495.27158162699999</v>
      </c>
      <c r="AT294" s="221">
        <f t="shared" si="664"/>
        <v>511.58465144019999</v>
      </c>
      <c r="AU294" s="221">
        <f t="shared" si="665"/>
        <v>527.74462695579996</v>
      </c>
      <c r="AV294" s="76">
        <f t="shared" si="773"/>
        <v>0</v>
      </c>
      <c r="AW294" s="76">
        <f t="shared" si="774"/>
        <v>0</v>
      </c>
      <c r="AX294" s="76">
        <f t="shared" si="775"/>
        <v>0</v>
      </c>
      <c r="AY294" s="76">
        <f t="shared" si="776"/>
        <v>0</v>
      </c>
      <c r="AZ294" s="76">
        <f t="shared" si="777"/>
        <v>0</v>
      </c>
      <c r="BA294" s="76">
        <f t="shared" si="778"/>
        <v>0</v>
      </c>
      <c r="BB294" s="156">
        <f>'1.4. часы и места для МЗ и СЗ'!I80</f>
        <v>0</v>
      </c>
      <c r="BC294" s="156">
        <f t="shared" si="748"/>
        <v>0</v>
      </c>
      <c r="BD294" s="156">
        <f t="shared" si="749"/>
        <v>0</v>
      </c>
      <c r="BE294" s="76">
        <f t="shared" si="779"/>
        <v>0</v>
      </c>
      <c r="BF294" s="76">
        <f t="shared" si="780"/>
        <v>0</v>
      </c>
      <c r="BG294" s="76">
        <f t="shared" si="781"/>
        <v>0</v>
      </c>
      <c r="BH294" s="76">
        <f t="shared" si="782"/>
        <v>0</v>
      </c>
      <c r="BI294" s="76">
        <f t="shared" si="783"/>
        <v>0</v>
      </c>
      <c r="BJ294" s="76">
        <f t="shared" si="784"/>
        <v>0</v>
      </c>
      <c r="BK294" s="221">
        <f t="shared" si="678"/>
        <v>0</v>
      </c>
      <c r="BL294" s="221">
        <f t="shared" si="679"/>
        <v>0</v>
      </c>
      <c r="BM294" s="221">
        <f t="shared" si="680"/>
        <v>0</v>
      </c>
      <c r="BN294" s="221">
        <f t="shared" si="681"/>
        <v>619.1963240046</v>
      </c>
      <c r="BO294" s="221">
        <f t="shared" si="682"/>
        <v>619.93466267159999</v>
      </c>
      <c r="BP294" s="221">
        <f t="shared" si="683"/>
        <v>635.77199040330004</v>
      </c>
      <c r="BQ294" s="76">
        <f t="shared" si="785"/>
        <v>0</v>
      </c>
      <c r="BR294" s="76">
        <f t="shared" si="786"/>
        <v>0</v>
      </c>
      <c r="BS294" s="76">
        <f t="shared" si="787"/>
        <v>0</v>
      </c>
      <c r="BT294" s="76">
        <f t="shared" si="788"/>
        <v>0</v>
      </c>
      <c r="BU294" s="76">
        <f t="shared" si="789"/>
        <v>0</v>
      </c>
      <c r="BV294" s="76">
        <f t="shared" si="790"/>
        <v>0</v>
      </c>
      <c r="BW294" s="156">
        <f>'1.4. часы и места для МЗ и СЗ'!I41</f>
        <v>0</v>
      </c>
      <c r="BX294" s="156">
        <f t="shared" si="750"/>
        <v>0</v>
      </c>
      <c r="BY294" s="156">
        <f t="shared" si="751"/>
        <v>0</v>
      </c>
      <c r="BZ294" s="76">
        <f t="shared" si="791"/>
        <v>0</v>
      </c>
      <c r="CA294" s="76">
        <f t="shared" si="792"/>
        <v>0</v>
      </c>
      <c r="CB294" s="76">
        <f t="shared" si="793"/>
        <v>0</v>
      </c>
      <c r="CC294" s="76">
        <f t="shared" si="794"/>
        <v>0</v>
      </c>
      <c r="CD294" s="76">
        <f t="shared" si="795"/>
        <v>0</v>
      </c>
      <c r="CE294" s="76">
        <f t="shared" si="796"/>
        <v>0</v>
      </c>
      <c r="CF294" s="221">
        <f t="shared" si="696"/>
        <v>0</v>
      </c>
      <c r="CG294" s="221">
        <f t="shared" si="697"/>
        <v>0</v>
      </c>
      <c r="CH294" s="221">
        <f t="shared" si="698"/>
        <v>0</v>
      </c>
      <c r="CI294" s="221">
        <f t="shared" si="699"/>
        <v>389.18157100740001</v>
      </c>
      <c r="CJ294" s="221">
        <f t="shared" si="700"/>
        <v>390.35753791870002</v>
      </c>
      <c r="CK294" s="221">
        <f t="shared" si="701"/>
        <v>401.74040984909999</v>
      </c>
      <c r="CL294" s="76">
        <f t="shared" si="797"/>
        <v>0</v>
      </c>
      <c r="CM294" s="76">
        <f t="shared" si="798"/>
        <v>0</v>
      </c>
      <c r="CN294" s="76">
        <f t="shared" si="799"/>
        <v>0</v>
      </c>
      <c r="CO294" s="76">
        <f t="shared" si="800"/>
        <v>0</v>
      </c>
      <c r="CP294" s="76">
        <f t="shared" si="801"/>
        <v>0</v>
      </c>
      <c r="CQ294" s="76">
        <f t="shared" si="802"/>
        <v>0</v>
      </c>
      <c r="CR294" s="156">
        <f>'1.4. часы и места для МЗ и СЗ'!I54</f>
        <v>0</v>
      </c>
      <c r="CS294" s="156">
        <f t="shared" si="752"/>
        <v>0</v>
      </c>
      <c r="CT294" s="156">
        <f t="shared" si="753"/>
        <v>0</v>
      </c>
      <c r="CU294" s="76">
        <f t="shared" si="803"/>
        <v>0</v>
      </c>
      <c r="CV294" s="76">
        <f t="shared" si="804"/>
        <v>0</v>
      </c>
      <c r="CW294" s="76">
        <f t="shared" si="805"/>
        <v>0</v>
      </c>
      <c r="CX294" s="76">
        <f t="shared" si="806"/>
        <v>0</v>
      </c>
      <c r="CY294" s="76">
        <f t="shared" si="807"/>
        <v>0</v>
      </c>
      <c r="CZ294" s="76">
        <f t="shared" si="808"/>
        <v>0</v>
      </c>
      <c r="DA294" s="221">
        <f t="shared" si="714"/>
        <v>0</v>
      </c>
      <c r="DB294" s="221">
        <f t="shared" si="715"/>
        <v>0</v>
      </c>
      <c r="DC294" s="221">
        <f t="shared" si="716"/>
        <v>0</v>
      </c>
      <c r="DD294" s="221">
        <f t="shared" si="717"/>
        <v>189.37281752690001</v>
      </c>
      <c r="DE294" s="221">
        <f t="shared" si="718"/>
        <v>191.26975782189999</v>
      </c>
      <c r="DF294" s="221">
        <f t="shared" si="719"/>
        <v>198.3671436146</v>
      </c>
      <c r="DG294" s="76">
        <f t="shared" si="809"/>
        <v>0</v>
      </c>
      <c r="DH294" s="76">
        <f t="shared" si="810"/>
        <v>0</v>
      </c>
      <c r="DI294" s="76">
        <f t="shared" si="811"/>
        <v>0</v>
      </c>
      <c r="DJ294" s="76">
        <f t="shared" si="812"/>
        <v>0</v>
      </c>
      <c r="DK294" s="76">
        <f t="shared" si="813"/>
        <v>0</v>
      </c>
      <c r="DL294" s="76">
        <f t="shared" si="814"/>
        <v>0</v>
      </c>
      <c r="DM294" s="181">
        <f t="shared" si="815"/>
        <v>2412</v>
      </c>
      <c r="DN294" s="181">
        <f t="shared" si="816"/>
        <v>2412</v>
      </c>
      <c r="DO294" s="181">
        <f t="shared" si="817"/>
        <v>2412</v>
      </c>
      <c r="DP294" s="76">
        <f t="shared" si="818"/>
        <v>0</v>
      </c>
      <c r="DQ294" s="76">
        <f t="shared" si="819"/>
        <v>0</v>
      </c>
      <c r="DR294" s="76">
        <f t="shared" si="820"/>
        <v>0</v>
      </c>
      <c r="DS294" s="76">
        <f t="shared" si="821"/>
        <v>986483.88</v>
      </c>
      <c r="DT294" s="76">
        <f t="shared" si="822"/>
        <v>1030599.36</v>
      </c>
      <c r="DU294" s="76">
        <f t="shared" si="823"/>
        <v>1076137.92</v>
      </c>
      <c r="DV294" s="221">
        <f t="shared" si="734"/>
        <v>0</v>
      </c>
      <c r="DW294" s="221">
        <f t="shared" si="735"/>
        <v>0</v>
      </c>
      <c r="DX294" s="221">
        <f t="shared" si="736"/>
        <v>0</v>
      </c>
      <c r="DY294" s="221">
        <f t="shared" si="737"/>
        <v>453.57459187209997</v>
      </c>
      <c r="DZ294" s="221">
        <f t="shared" si="738"/>
        <v>463.83472175470001</v>
      </c>
      <c r="EA294" s="221">
        <f t="shared" si="739"/>
        <v>478.83542210619999</v>
      </c>
      <c r="EB294" s="76">
        <f t="shared" si="824"/>
        <v>0</v>
      </c>
      <c r="EC294" s="76">
        <f t="shared" si="825"/>
        <v>0</v>
      </c>
      <c r="ED294" s="76">
        <f t="shared" si="826"/>
        <v>0</v>
      </c>
      <c r="EE294" s="76">
        <f t="shared" si="827"/>
        <v>1094021.92</v>
      </c>
      <c r="EF294" s="76">
        <f t="shared" si="828"/>
        <v>1118769.3500000001</v>
      </c>
      <c r="EG294" s="76">
        <f t="shared" si="829"/>
        <v>1154951.04</v>
      </c>
    </row>
    <row r="295" spans="1:137" ht="36" x14ac:dyDescent="0.25">
      <c r="A295" s="396" t="s">
        <v>826</v>
      </c>
      <c r="B295" s="392" t="s">
        <v>821</v>
      </c>
      <c r="C295" s="5"/>
      <c r="D295" s="199"/>
      <c r="E295" s="200"/>
      <c r="F295" s="71"/>
      <c r="G295" s="71"/>
      <c r="H295" s="71"/>
      <c r="I295" s="76">
        <f t="shared" si="633"/>
        <v>173.89</v>
      </c>
      <c r="J295" s="76">
        <f t="shared" si="633"/>
        <v>182.77</v>
      </c>
      <c r="K295" s="76">
        <f t="shared" si="633"/>
        <v>191.86</v>
      </c>
      <c r="L295" s="156">
        <f>'1.4. часы и места для МЗ и СЗ'!I30</f>
        <v>648</v>
      </c>
      <c r="M295" s="156">
        <f t="shared" si="634"/>
        <v>648</v>
      </c>
      <c r="N295" s="156">
        <f t="shared" si="635"/>
        <v>648</v>
      </c>
      <c r="O295" s="76">
        <f t="shared" si="636"/>
        <v>0</v>
      </c>
      <c r="P295" s="76">
        <f t="shared" si="637"/>
        <v>0</v>
      </c>
      <c r="Q295" s="76">
        <f t="shared" si="638"/>
        <v>0</v>
      </c>
      <c r="R295" s="76">
        <f t="shared" si="639"/>
        <v>112680.72</v>
      </c>
      <c r="S295" s="76">
        <f t="shared" si="640"/>
        <v>118434.96</v>
      </c>
      <c r="T295" s="76">
        <f t="shared" si="641"/>
        <v>124325.28</v>
      </c>
      <c r="U295" s="221">
        <f t="shared" si="642"/>
        <v>0</v>
      </c>
      <c r="V295" s="221">
        <f t="shared" si="643"/>
        <v>0</v>
      </c>
      <c r="W295" s="221">
        <f t="shared" si="644"/>
        <v>0</v>
      </c>
      <c r="X295" s="221">
        <f t="shared" si="645"/>
        <v>180.96025896219999</v>
      </c>
      <c r="Y295" s="221">
        <f t="shared" si="646"/>
        <v>188.2240751919</v>
      </c>
      <c r="Z295" s="221">
        <f t="shared" si="647"/>
        <v>196.27054275890001</v>
      </c>
      <c r="AA295" s="76">
        <f t="shared" si="648"/>
        <v>0</v>
      </c>
      <c r="AB295" s="76">
        <f t="shared" si="649"/>
        <v>0</v>
      </c>
      <c r="AC295" s="76">
        <f t="shared" si="650"/>
        <v>0</v>
      </c>
      <c r="AD295" s="76">
        <f t="shared" si="651"/>
        <v>117262.25</v>
      </c>
      <c r="AE295" s="76">
        <f t="shared" si="652"/>
        <v>121969.2</v>
      </c>
      <c r="AF295" s="76">
        <f t="shared" si="653"/>
        <v>127183.31</v>
      </c>
      <c r="AG295" s="156">
        <f>'1.4. часы и места для МЗ и СЗ'!I69</f>
        <v>0</v>
      </c>
      <c r="AH295" s="156">
        <f t="shared" si="746"/>
        <v>0</v>
      </c>
      <c r="AI295" s="156">
        <f t="shared" si="747"/>
        <v>0</v>
      </c>
      <c r="AJ295" s="76">
        <f t="shared" si="654"/>
        <v>0</v>
      </c>
      <c r="AK295" s="76">
        <f t="shared" si="655"/>
        <v>0</v>
      </c>
      <c r="AL295" s="76">
        <f t="shared" si="656"/>
        <v>0</v>
      </c>
      <c r="AM295" s="76">
        <f t="shared" si="657"/>
        <v>0</v>
      </c>
      <c r="AN295" s="76">
        <f t="shared" si="658"/>
        <v>0</v>
      </c>
      <c r="AO295" s="76">
        <f t="shared" si="659"/>
        <v>0</v>
      </c>
      <c r="AP295" s="221">
        <f t="shared" si="660"/>
        <v>0</v>
      </c>
      <c r="AQ295" s="221">
        <f t="shared" si="661"/>
        <v>0</v>
      </c>
      <c r="AR295" s="221">
        <f t="shared" si="662"/>
        <v>0</v>
      </c>
      <c r="AS295" s="221">
        <f t="shared" si="663"/>
        <v>210.57428134950001</v>
      </c>
      <c r="AT295" s="221">
        <f t="shared" si="664"/>
        <v>218.83150801279999</v>
      </c>
      <c r="AU295" s="221">
        <f t="shared" si="665"/>
        <v>226.94343761819999</v>
      </c>
      <c r="AV295" s="76">
        <f t="shared" si="666"/>
        <v>0</v>
      </c>
      <c r="AW295" s="76">
        <f t="shared" si="667"/>
        <v>0</v>
      </c>
      <c r="AX295" s="76">
        <f t="shared" si="668"/>
        <v>0</v>
      </c>
      <c r="AY295" s="76">
        <f t="shared" si="669"/>
        <v>0</v>
      </c>
      <c r="AZ295" s="76">
        <f t="shared" si="670"/>
        <v>0</v>
      </c>
      <c r="BA295" s="76">
        <f t="shared" si="671"/>
        <v>0</v>
      </c>
      <c r="BB295" s="156">
        <f>'1.4. часы и места для МЗ и СЗ'!I82</f>
        <v>0</v>
      </c>
      <c r="BC295" s="156">
        <f t="shared" si="748"/>
        <v>0</v>
      </c>
      <c r="BD295" s="156">
        <f t="shared" si="749"/>
        <v>0</v>
      </c>
      <c r="BE295" s="76">
        <f t="shared" si="672"/>
        <v>0</v>
      </c>
      <c r="BF295" s="76">
        <f t="shared" si="673"/>
        <v>0</v>
      </c>
      <c r="BG295" s="76">
        <f t="shared" si="674"/>
        <v>0</v>
      </c>
      <c r="BH295" s="76">
        <f t="shared" si="675"/>
        <v>0</v>
      </c>
      <c r="BI295" s="76">
        <f t="shared" si="676"/>
        <v>0</v>
      </c>
      <c r="BJ295" s="76">
        <f t="shared" si="677"/>
        <v>0</v>
      </c>
      <c r="BK295" s="221">
        <f t="shared" si="678"/>
        <v>0</v>
      </c>
      <c r="BL295" s="221">
        <f t="shared" si="679"/>
        <v>0</v>
      </c>
      <c r="BM295" s="221">
        <f t="shared" si="680"/>
        <v>0</v>
      </c>
      <c r="BN295" s="221">
        <f t="shared" si="681"/>
        <v>263.2632797407</v>
      </c>
      <c r="BO295" s="221">
        <f t="shared" si="682"/>
        <v>265.17847382629998</v>
      </c>
      <c r="BP295" s="221">
        <f t="shared" si="683"/>
        <v>273.39791572249999</v>
      </c>
      <c r="BQ295" s="76">
        <f t="shared" si="684"/>
        <v>0</v>
      </c>
      <c r="BR295" s="76">
        <f t="shared" si="685"/>
        <v>0</v>
      </c>
      <c r="BS295" s="76">
        <f t="shared" si="686"/>
        <v>0</v>
      </c>
      <c r="BT295" s="76">
        <f t="shared" si="687"/>
        <v>0</v>
      </c>
      <c r="BU295" s="76">
        <f t="shared" si="688"/>
        <v>0</v>
      </c>
      <c r="BV295" s="76">
        <f t="shared" si="689"/>
        <v>0</v>
      </c>
      <c r="BW295" s="156">
        <f>'1.4. часы и места для МЗ и СЗ'!I43</f>
        <v>0</v>
      </c>
      <c r="BX295" s="156">
        <f t="shared" si="750"/>
        <v>0</v>
      </c>
      <c r="BY295" s="156">
        <f t="shared" si="751"/>
        <v>0</v>
      </c>
      <c r="BZ295" s="76">
        <f t="shared" si="690"/>
        <v>0</v>
      </c>
      <c r="CA295" s="76">
        <f t="shared" si="691"/>
        <v>0</v>
      </c>
      <c r="CB295" s="76">
        <f t="shared" si="692"/>
        <v>0</v>
      </c>
      <c r="CC295" s="76">
        <f t="shared" si="693"/>
        <v>0</v>
      </c>
      <c r="CD295" s="76">
        <f t="shared" si="694"/>
        <v>0</v>
      </c>
      <c r="CE295" s="76">
        <f t="shared" si="695"/>
        <v>0</v>
      </c>
      <c r="CF295" s="221">
        <f t="shared" si="696"/>
        <v>0</v>
      </c>
      <c r="CG295" s="221">
        <f t="shared" si="697"/>
        <v>0</v>
      </c>
      <c r="CH295" s="221">
        <f t="shared" si="698"/>
        <v>0</v>
      </c>
      <c r="CI295" s="221">
        <f t="shared" si="699"/>
        <v>165.46806372399999</v>
      </c>
      <c r="CJ295" s="221">
        <f t="shared" si="700"/>
        <v>166.9763321602</v>
      </c>
      <c r="CK295" s="221">
        <f t="shared" si="701"/>
        <v>172.75846116560001</v>
      </c>
      <c r="CL295" s="76">
        <f t="shared" si="702"/>
        <v>0</v>
      </c>
      <c r="CM295" s="76">
        <f t="shared" si="703"/>
        <v>0</v>
      </c>
      <c r="CN295" s="76">
        <f t="shared" si="704"/>
        <v>0</v>
      </c>
      <c r="CO295" s="76">
        <f t="shared" si="705"/>
        <v>0</v>
      </c>
      <c r="CP295" s="76">
        <f t="shared" si="706"/>
        <v>0</v>
      </c>
      <c r="CQ295" s="76">
        <f t="shared" si="707"/>
        <v>0</v>
      </c>
      <c r="CR295" s="156">
        <f>'1.4. часы и места для МЗ и СЗ'!I56</f>
        <v>0</v>
      </c>
      <c r="CS295" s="156">
        <f t="shared" si="752"/>
        <v>0</v>
      </c>
      <c r="CT295" s="156">
        <f t="shared" si="753"/>
        <v>0</v>
      </c>
      <c r="CU295" s="76">
        <f t="shared" si="708"/>
        <v>0</v>
      </c>
      <c r="CV295" s="76">
        <f t="shared" si="709"/>
        <v>0</v>
      </c>
      <c r="CW295" s="76">
        <f t="shared" si="710"/>
        <v>0</v>
      </c>
      <c r="CX295" s="76">
        <f t="shared" si="711"/>
        <v>0</v>
      </c>
      <c r="CY295" s="76">
        <f t="shared" si="712"/>
        <v>0</v>
      </c>
      <c r="CZ295" s="76">
        <f t="shared" si="713"/>
        <v>0</v>
      </c>
      <c r="DA295" s="221">
        <f t="shared" si="714"/>
        <v>0</v>
      </c>
      <c r="DB295" s="221">
        <f t="shared" si="715"/>
        <v>0</v>
      </c>
      <c r="DC295" s="221">
        <f t="shared" si="716"/>
        <v>0</v>
      </c>
      <c r="DD295" s="221">
        <f t="shared" si="717"/>
        <v>80.515511967899997</v>
      </c>
      <c r="DE295" s="221">
        <f t="shared" si="718"/>
        <v>81.816077600400007</v>
      </c>
      <c r="DF295" s="221">
        <f t="shared" si="719"/>
        <v>85.302851384899995</v>
      </c>
      <c r="DG295" s="76">
        <f t="shared" si="720"/>
        <v>0</v>
      </c>
      <c r="DH295" s="76">
        <f t="shared" si="721"/>
        <v>0</v>
      </c>
      <c r="DI295" s="76">
        <f t="shared" si="722"/>
        <v>0</v>
      </c>
      <c r="DJ295" s="76">
        <f t="shared" si="723"/>
        <v>0</v>
      </c>
      <c r="DK295" s="76">
        <f t="shared" si="724"/>
        <v>0</v>
      </c>
      <c r="DL295" s="76">
        <f t="shared" si="725"/>
        <v>0</v>
      </c>
      <c r="DM295" s="181">
        <f t="shared" si="754"/>
        <v>648</v>
      </c>
      <c r="DN295" s="181">
        <f t="shared" si="726"/>
        <v>648</v>
      </c>
      <c r="DO295" s="181">
        <f t="shared" si="727"/>
        <v>648</v>
      </c>
      <c r="DP295" s="76">
        <f t="shared" si="728"/>
        <v>0</v>
      </c>
      <c r="DQ295" s="76">
        <f t="shared" si="729"/>
        <v>0</v>
      </c>
      <c r="DR295" s="76">
        <f t="shared" si="730"/>
        <v>0</v>
      </c>
      <c r="DS295" s="76">
        <f t="shared" si="731"/>
        <v>112680.72</v>
      </c>
      <c r="DT295" s="76">
        <f t="shared" si="732"/>
        <v>118434.96</v>
      </c>
      <c r="DU295" s="76">
        <f t="shared" si="733"/>
        <v>124325.28</v>
      </c>
      <c r="DV295" s="221">
        <f t="shared" si="734"/>
        <v>0</v>
      </c>
      <c r="DW295" s="221">
        <f t="shared" si="735"/>
        <v>0</v>
      </c>
      <c r="DX295" s="221">
        <f t="shared" si="736"/>
        <v>0</v>
      </c>
      <c r="DY295" s="221">
        <f t="shared" si="737"/>
        <v>192.84600058839999</v>
      </c>
      <c r="DZ295" s="221">
        <f t="shared" si="738"/>
        <v>198.40636607170001</v>
      </c>
      <c r="EA295" s="221">
        <f t="shared" si="739"/>
        <v>205.91125176009999</v>
      </c>
      <c r="EB295" s="76">
        <f t="shared" si="740"/>
        <v>0</v>
      </c>
      <c r="EC295" s="76">
        <f t="shared" si="741"/>
        <v>0</v>
      </c>
      <c r="ED295" s="76">
        <f t="shared" si="742"/>
        <v>0</v>
      </c>
      <c r="EE295" s="76">
        <f t="shared" si="743"/>
        <v>124964.21</v>
      </c>
      <c r="EF295" s="76">
        <f t="shared" si="744"/>
        <v>128567.33</v>
      </c>
      <c r="EG295" s="76">
        <f t="shared" si="745"/>
        <v>133430.49</v>
      </c>
    </row>
    <row r="296" spans="1:137" x14ac:dyDescent="0.25">
      <c r="A296" s="194" t="s">
        <v>480</v>
      </c>
      <c r="B296" s="318"/>
      <c r="C296" s="201"/>
      <c r="D296" s="202"/>
      <c r="E296" s="203"/>
      <c r="F296" s="203"/>
      <c r="G296" s="203"/>
      <c r="H296" s="203"/>
      <c r="I296" s="204"/>
      <c r="J296" s="204"/>
      <c r="K296" s="204"/>
      <c r="L296" s="204"/>
      <c r="M296" s="204"/>
      <c r="N296" s="204"/>
      <c r="O296" s="204"/>
      <c r="P296" s="204"/>
      <c r="Q296" s="204"/>
      <c r="R296" s="204"/>
      <c r="S296" s="204"/>
      <c r="T296" s="204"/>
      <c r="U296" s="204"/>
      <c r="V296" s="204"/>
      <c r="W296" s="204"/>
      <c r="X296" s="204"/>
      <c r="Y296" s="204"/>
      <c r="Z296" s="204"/>
      <c r="AA296" s="204"/>
      <c r="AB296" s="204"/>
      <c r="AC296" s="204"/>
      <c r="AD296" s="204"/>
      <c r="AE296" s="204"/>
      <c r="AF296" s="204"/>
      <c r="AG296" s="204"/>
      <c r="AH296" s="204"/>
      <c r="AI296" s="204"/>
      <c r="AJ296" s="204"/>
      <c r="AK296" s="204"/>
      <c r="AL296" s="204"/>
      <c r="AM296" s="204"/>
      <c r="AN296" s="204"/>
      <c r="AO296" s="204"/>
      <c r="AP296" s="204"/>
      <c r="AQ296" s="204"/>
      <c r="AR296" s="204"/>
      <c r="AS296" s="204"/>
      <c r="AT296" s="204"/>
      <c r="AU296" s="204"/>
      <c r="AV296" s="204"/>
      <c r="AW296" s="204"/>
      <c r="AX296" s="204"/>
      <c r="AY296" s="204"/>
      <c r="AZ296" s="204"/>
      <c r="BA296" s="204"/>
      <c r="BB296" s="204"/>
      <c r="BC296" s="204"/>
      <c r="BD296" s="204"/>
      <c r="BE296" s="204"/>
      <c r="BF296" s="204"/>
      <c r="BG296" s="204"/>
      <c r="BH296" s="204"/>
      <c r="BI296" s="204"/>
      <c r="BJ296" s="204"/>
      <c r="BK296" s="204"/>
      <c r="BL296" s="204"/>
      <c r="BM296" s="204"/>
      <c r="BN296" s="204"/>
      <c r="BO296" s="204"/>
      <c r="BP296" s="204"/>
      <c r="BQ296" s="204"/>
      <c r="BR296" s="204"/>
      <c r="BS296" s="204"/>
      <c r="BT296" s="204"/>
      <c r="BU296" s="204"/>
      <c r="BV296" s="204"/>
      <c r="BW296" s="204"/>
      <c r="BX296" s="204"/>
      <c r="BY296" s="204"/>
      <c r="BZ296" s="204"/>
      <c r="CA296" s="204"/>
      <c r="CB296" s="204"/>
      <c r="CC296" s="204"/>
      <c r="CD296" s="204"/>
      <c r="CE296" s="204"/>
      <c r="CF296" s="204"/>
      <c r="CG296" s="204"/>
      <c r="CH296" s="204"/>
      <c r="CI296" s="204"/>
      <c r="CJ296" s="204"/>
      <c r="CK296" s="204"/>
      <c r="CL296" s="204"/>
      <c r="CM296" s="204"/>
      <c r="CN296" s="204"/>
      <c r="CO296" s="204"/>
      <c r="CP296" s="204"/>
      <c r="CQ296" s="204"/>
      <c r="CR296" s="204"/>
      <c r="CS296" s="204"/>
      <c r="CT296" s="204"/>
      <c r="CU296" s="204"/>
      <c r="CV296" s="204"/>
      <c r="CW296" s="204"/>
      <c r="CX296" s="204"/>
      <c r="CY296" s="204"/>
      <c r="CZ296" s="204"/>
      <c r="DA296" s="204"/>
      <c r="DB296" s="204"/>
      <c r="DC296" s="204"/>
      <c r="DD296" s="204"/>
      <c r="DE296" s="204"/>
      <c r="DF296" s="204"/>
      <c r="DG296" s="204"/>
      <c r="DH296" s="204"/>
      <c r="DI296" s="204"/>
      <c r="DJ296" s="204"/>
      <c r="DK296" s="204"/>
      <c r="DL296" s="204"/>
      <c r="DM296" s="204"/>
      <c r="DN296" s="204"/>
      <c r="DO296" s="204"/>
      <c r="DP296" s="204"/>
      <c r="DQ296" s="204"/>
      <c r="DR296" s="204"/>
      <c r="DS296" s="204"/>
      <c r="DT296" s="204"/>
      <c r="DU296" s="204"/>
      <c r="DV296" s="204"/>
      <c r="DW296" s="204"/>
      <c r="DX296" s="204"/>
      <c r="DY296" s="204"/>
      <c r="DZ296" s="204"/>
      <c r="EA296" s="204"/>
      <c r="EB296" s="204"/>
      <c r="EC296" s="204"/>
      <c r="ED296" s="204"/>
      <c r="EE296" s="204"/>
      <c r="EF296" s="204"/>
      <c r="EG296" s="204"/>
    </row>
    <row r="297" spans="1:137" ht="24" x14ac:dyDescent="0.25">
      <c r="A297" s="17" t="s">
        <v>1162</v>
      </c>
      <c r="B297" s="319"/>
      <c r="C297" s="205" t="s">
        <v>484</v>
      </c>
      <c r="D297" s="196"/>
      <c r="E297" s="197"/>
      <c r="F297" s="206"/>
      <c r="G297" s="206"/>
      <c r="H297" s="206"/>
      <c r="I297" s="207"/>
      <c r="J297" s="207"/>
      <c r="K297" s="207"/>
      <c r="L297" s="198" t="s">
        <v>471</v>
      </c>
      <c r="M297" s="198" t="s">
        <v>471</v>
      </c>
      <c r="N297" s="198" t="s">
        <v>471</v>
      </c>
      <c r="O297" s="206">
        <f t="shared" ref="O297:T297" si="830">O286</f>
        <v>0</v>
      </c>
      <c r="P297" s="206">
        <f t="shared" si="830"/>
        <v>0</v>
      </c>
      <c r="Q297" s="206">
        <f t="shared" si="830"/>
        <v>0</v>
      </c>
      <c r="R297" s="206">
        <f t="shared" si="830"/>
        <v>26508386.52</v>
      </c>
      <c r="S297" s="206">
        <f t="shared" si="830"/>
        <v>27943152.48</v>
      </c>
      <c r="T297" s="206">
        <f t="shared" si="830"/>
        <v>29407491.120000001</v>
      </c>
      <c r="U297" s="198" t="s">
        <v>471</v>
      </c>
      <c r="V297" s="198" t="s">
        <v>471</v>
      </c>
      <c r="W297" s="198" t="s">
        <v>471</v>
      </c>
      <c r="X297" s="198" t="s">
        <v>471</v>
      </c>
      <c r="Y297" s="198" t="s">
        <v>471</v>
      </c>
      <c r="Z297" s="198" t="s">
        <v>471</v>
      </c>
      <c r="AA297" s="198" t="s">
        <v>471</v>
      </c>
      <c r="AB297" s="198" t="s">
        <v>471</v>
      </c>
      <c r="AC297" s="198" t="s">
        <v>471</v>
      </c>
      <c r="AD297" s="198" t="s">
        <v>471</v>
      </c>
      <c r="AE297" s="198" t="s">
        <v>471</v>
      </c>
      <c r="AF297" s="198" t="s">
        <v>471</v>
      </c>
      <c r="AG297" s="198" t="s">
        <v>471</v>
      </c>
      <c r="AH297" s="198" t="s">
        <v>471</v>
      </c>
      <c r="AI297" s="198" t="s">
        <v>471</v>
      </c>
      <c r="AJ297" s="206">
        <f t="shared" ref="AJ297:AO297" si="831">AJ286</f>
        <v>0</v>
      </c>
      <c r="AK297" s="206">
        <f t="shared" si="831"/>
        <v>0</v>
      </c>
      <c r="AL297" s="206">
        <f t="shared" si="831"/>
        <v>0</v>
      </c>
      <c r="AM297" s="206">
        <f t="shared" si="831"/>
        <v>12821814.4</v>
      </c>
      <c r="AN297" s="206">
        <f t="shared" si="831"/>
        <v>13534007.84</v>
      </c>
      <c r="AO297" s="206">
        <f t="shared" si="831"/>
        <v>14259594.720000001</v>
      </c>
      <c r="AP297" s="198" t="s">
        <v>471</v>
      </c>
      <c r="AQ297" s="198" t="s">
        <v>471</v>
      </c>
      <c r="AR297" s="198" t="s">
        <v>471</v>
      </c>
      <c r="AS297" s="198" t="s">
        <v>471</v>
      </c>
      <c r="AT297" s="198" t="s">
        <v>471</v>
      </c>
      <c r="AU297" s="198" t="s">
        <v>471</v>
      </c>
      <c r="AV297" s="198" t="s">
        <v>471</v>
      </c>
      <c r="AW297" s="198" t="s">
        <v>471</v>
      </c>
      <c r="AX297" s="198" t="s">
        <v>471</v>
      </c>
      <c r="AY297" s="198" t="s">
        <v>471</v>
      </c>
      <c r="AZ297" s="198" t="s">
        <v>471</v>
      </c>
      <c r="BA297" s="198" t="s">
        <v>471</v>
      </c>
      <c r="BB297" s="198" t="s">
        <v>471</v>
      </c>
      <c r="BC297" s="198" t="s">
        <v>471</v>
      </c>
      <c r="BD297" s="198" t="s">
        <v>471</v>
      </c>
      <c r="BE297" s="206">
        <f t="shared" ref="BE297:BJ297" si="832">BE286</f>
        <v>0</v>
      </c>
      <c r="BF297" s="206">
        <f t="shared" si="832"/>
        <v>0</v>
      </c>
      <c r="BG297" s="206">
        <f t="shared" si="832"/>
        <v>0</v>
      </c>
      <c r="BH297" s="206">
        <f t="shared" si="832"/>
        <v>8352370.7999999998</v>
      </c>
      <c r="BI297" s="206">
        <f t="shared" si="832"/>
        <v>8815900.3200000003</v>
      </c>
      <c r="BJ297" s="206">
        <f t="shared" si="832"/>
        <v>9287868.9600000009</v>
      </c>
      <c r="BK297" s="198" t="s">
        <v>471</v>
      </c>
      <c r="BL297" s="198" t="s">
        <v>471</v>
      </c>
      <c r="BM297" s="198" t="s">
        <v>471</v>
      </c>
      <c r="BN297" s="198" t="s">
        <v>471</v>
      </c>
      <c r="BO297" s="198" t="s">
        <v>471</v>
      </c>
      <c r="BP297" s="198" t="s">
        <v>471</v>
      </c>
      <c r="BQ297" s="198" t="s">
        <v>471</v>
      </c>
      <c r="BR297" s="198" t="s">
        <v>471</v>
      </c>
      <c r="BS297" s="198" t="s">
        <v>471</v>
      </c>
      <c r="BT297" s="198" t="s">
        <v>471</v>
      </c>
      <c r="BU297" s="198" t="s">
        <v>471</v>
      </c>
      <c r="BV297" s="198" t="s">
        <v>471</v>
      </c>
      <c r="BW297" s="198" t="s">
        <v>471</v>
      </c>
      <c r="BX297" s="198" t="s">
        <v>471</v>
      </c>
      <c r="BY297" s="198" t="s">
        <v>471</v>
      </c>
      <c r="BZ297" s="206">
        <f t="shared" ref="BZ297:CE297" si="833">BZ286</f>
        <v>0</v>
      </c>
      <c r="CA297" s="206">
        <f t="shared" si="833"/>
        <v>0</v>
      </c>
      <c r="CB297" s="206">
        <f t="shared" si="833"/>
        <v>0</v>
      </c>
      <c r="CC297" s="206">
        <f t="shared" si="833"/>
        <v>1973452.32</v>
      </c>
      <c r="CD297" s="206">
        <f t="shared" si="833"/>
        <v>2094165.36</v>
      </c>
      <c r="CE297" s="206">
        <f t="shared" si="833"/>
        <v>2216395.44</v>
      </c>
      <c r="CF297" s="198" t="s">
        <v>471</v>
      </c>
      <c r="CG297" s="198" t="s">
        <v>471</v>
      </c>
      <c r="CH297" s="198" t="s">
        <v>471</v>
      </c>
      <c r="CI297" s="198" t="s">
        <v>471</v>
      </c>
      <c r="CJ297" s="198" t="s">
        <v>471</v>
      </c>
      <c r="CK297" s="198" t="s">
        <v>471</v>
      </c>
      <c r="CL297" s="198" t="s">
        <v>471</v>
      </c>
      <c r="CM297" s="198" t="s">
        <v>471</v>
      </c>
      <c r="CN297" s="198" t="s">
        <v>471</v>
      </c>
      <c r="CO297" s="198" t="s">
        <v>471</v>
      </c>
      <c r="CP297" s="198" t="s">
        <v>471</v>
      </c>
      <c r="CQ297" s="198" t="s">
        <v>471</v>
      </c>
      <c r="CR297" s="198" t="s">
        <v>471</v>
      </c>
      <c r="CS297" s="198" t="s">
        <v>471</v>
      </c>
      <c r="CT297" s="198" t="s">
        <v>471</v>
      </c>
      <c r="CU297" s="206">
        <f t="shared" ref="CU297:CZ297" si="834">CU286</f>
        <v>0</v>
      </c>
      <c r="CV297" s="206">
        <f t="shared" si="834"/>
        <v>0</v>
      </c>
      <c r="CW297" s="206">
        <f t="shared" si="834"/>
        <v>0</v>
      </c>
      <c r="CX297" s="206">
        <f t="shared" si="834"/>
        <v>1763003.52</v>
      </c>
      <c r="CY297" s="206">
        <f t="shared" si="834"/>
        <v>1854545.76</v>
      </c>
      <c r="CZ297" s="206">
        <f t="shared" si="834"/>
        <v>1948153.68</v>
      </c>
      <c r="DA297" s="198" t="s">
        <v>471</v>
      </c>
      <c r="DB297" s="198" t="s">
        <v>471</v>
      </c>
      <c r="DC297" s="198" t="s">
        <v>471</v>
      </c>
      <c r="DD297" s="198" t="s">
        <v>471</v>
      </c>
      <c r="DE297" s="198" t="s">
        <v>471</v>
      </c>
      <c r="DF297" s="198" t="s">
        <v>471</v>
      </c>
      <c r="DG297" s="198" t="s">
        <v>471</v>
      </c>
      <c r="DH297" s="198" t="s">
        <v>471</v>
      </c>
      <c r="DI297" s="198" t="s">
        <v>471</v>
      </c>
      <c r="DJ297" s="198" t="s">
        <v>471</v>
      </c>
      <c r="DK297" s="198" t="s">
        <v>471</v>
      </c>
      <c r="DL297" s="198" t="s">
        <v>471</v>
      </c>
      <c r="DM297" s="198" t="s">
        <v>471</v>
      </c>
      <c r="DN297" s="198" t="s">
        <v>471</v>
      </c>
      <c r="DO297" s="198" t="s">
        <v>471</v>
      </c>
      <c r="DP297" s="206">
        <f t="shared" ref="DP297:DU297" si="835">DP286</f>
        <v>0</v>
      </c>
      <c r="DQ297" s="206">
        <f t="shared" si="835"/>
        <v>0</v>
      </c>
      <c r="DR297" s="206">
        <f t="shared" si="835"/>
        <v>0</v>
      </c>
      <c r="DS297" s="206">
        <f t="shared" si="835"/>
        <v>51419027.560000002</v>
      </c>
      <c r="DT297" s="206">
        <f t="shared" si="835"/>
        <v>54241771.759999998</v>
      </c>
      <c r="DU297" s="206">
        <f t="shared" si="835"/>
        <v>57119503.920000002</v>
      </c>
      <c r="DV297" s="198" t="s">
        <v>471</v>
      </c>
      <c r="DW297" s="198" t="s">
        <v>471</v>
      </c>
      <c r="DX297" s="198" t="s">
        <v>471</v>
      </c>
      <c r="DY297" s="198" t="s">
        <v>471</v>
      </c>
      <c r="DZ297" s="198" t="s">
        <v>471</v>
      </c>
      <c r="EA297" s="198" t="s">
        <v>471</v>
      </c>
      <c r="EB297" s="198" t="s">
        <v>471</v>
      </c>
      <c r="EC297" s="198" t="s">
        <v>471</v>
      </c>
      <c r="ED297" s="198" t="s">
        <v>471</v>
      </c>
      <c r="EE297" s="198" t="s">
        <v>471</v>
      </c>
      <c r="EF297" s="198" t="s">
        <v>471</v>
      </c>
      <c r="EG297" s="198" t="s">
        <v>471</v>
      </c>
    </row>
    <row r="298" spans="1:137" x14ac:dyDescent="0.25">
      <c r="A298" s="323" t="s">
        <v>669</v>
      </c>
      <c r="B298" s="320"/>
      <c r="C298" s="209" t="s">
        <v>485</v>
      </c>
      <c r="D298" s="210"/>
      <c r="E298" s="208"/>
      <c r="F298" s="211"/>
      <c r="G298" s="211"/>
      <c r="H298" s="211"/>
      <c r="I298" s="211"/>
      <c r="J298" s="211"/>
      <c r="K298" s="211"/>
      <c r="L298" s="198" t="s">
        <v>471</v>
      </c>
      <c r="M298" s="198" t="s">
        <v>471</v>
      </c>
      <c r="N298" s="198" t="s">
        <v>471</v>
      </c>
      <c r="O298" s="198" t="s">
        <v>471</v>
      </c>
      <c r="P298" s="198" t="s">
        <v>471</v>
      </c>
      <c r="Q298" s="198" t="s">
        <v>471</v>
      </c>
      <c r="R298" s="198" t="s">
        <v>471</v>
      </c>
      <c r="S298" s="198" t="s">
        <v>471</v>
      </c>
      <c r="T298" s="198" t="s">
        <v>471</v>
      </c>
      <c r="U298" s="211">
        <f t="shared" ref="U298:Z298" si="836">IF(O297=0,0,(AA304-AA301)/O297)</f>
        <v>0</v>
      </c>
      <c r="V298" s="211">
        <f t="shared" si="836"/>
        <v>0</v>
      </c>
      <c r="W298" s="211">
        <f t="shared" si="836"/>
        <v>0</v>
      </c>
      <c r="X298" s="211">
        <f t="shared" si="836"/>
        <v>0.88066204830000006</v>
      </c>
      <c r="Y298" s="211">
        <f t="shared" si="836"/>
        <v>0.83544367399999997</v>
      </c>
      <c r="Z298" s="211">
        <f t="shared" si="836"/>
        <v>0.79384296590000003</v>
      </c>
      <c r="AA298" s="198" t="s">
        <v>471</v>
      </c>
      <c r="AB298" s="198" t="s">
        <v>471</v>
      </c>
      <c r="AC298" s="198" t="s">
        <v>471</v>
      </c>
      <c r="AD298" s="198" t="s">
        <v>471</v>
      </c>
      <c r="AE298" s="198" t="s">
        <v>471</v>
      </c>
      <c r="AF298" s="198" t="s">
        <v>471</v>
      </c>
      <c r="AG298" s="198" t="s">
        <v>471</v>
      </c>
      <c r="AH298" s="198" t="s">
        <v>471</v>
      </c>
      <c r="AI298" s="198" t="s">
        <v>471</v>
      </c>
      <c r="AJ298" s="198" t="s">
        <v>471</v>
      </c>
      <c r="AK298" s="198" t="s">
        <v>471</v>
      </c>
      <c r="AL298" s="198" t="s">
        <v>471</v>
      </c>
      <c r="AM298" s="198" t="s">
        <v>471</v>
      </c>
      <c r="AN298" s="198" t="s">
        <v>471</v>
      </c>
      <c r="AO298" s="198" t="s">
        <v>471</v>
      </c>
      <c r="AP298" s="211">
        <f t="shared" ref="AP298:AU298" si="837">IF(AJ297=0,0,(AV304-AV301)/AJ297)</f>
        <v>0</v>
      </c>
      <c r="AQ298" s="211">
        <f t="shared" si="837"/>
        <v>0</v>
      </c>
      <c r="AR298" s="211">
        <f t="shared" si="837"/>
        <v>0</v>
      </c>
      <c r="AS298" s="211">
        <f t="shared" si="837"/>
        <v>0.98768296079999995</v>
      </c>
      <c r="AT298" s="211">
        <f t="shared" si="837"/>
        <v>0.93570860600000005</v>
      </c>
      <c r="AU298" s="211">
        <f t="shared" si="837"/>
        <v>0.88811693869999997</v>
      </c>
      <c r="AV298" s="198" t="s">
        <v>471</v>
      </c>
      <c r="AW298" s="198" t="s">
        <v>471</v>
      </c>
      <c r="AX298" s="198" t="s">
        <v>471</v>
      </c>
      <c r="AY298" s="198" t="s">
        <v>471</v>
      </c>
      <c r="AZ298" s="198" t="s">
        <v>471</v>
      </c>
      <c r="BA298" s="198" t="s">
        <v>471</v>
      </c>
      <c r="BB298" s="198" t="s">
        <v>471</v>
      </c>
      <c r="BC298" s="198" t="s">
        <v>471</v>
      </c>
      <c r="BD298" s="198" t="s">
        <v>471</v>
      </c>
      <c r="BE298" s="198" t="s">
        <v>471</v>
      </c>
      <c r="BF298" s="198" t="s">
        <v>471</v>
      </c>
      <c r="BG298" s="198" t="s">
        <v>471</v>
      </c>
      <c r="BH298" s="198" t="s">
        <v>471</v>
      </c>
      <c r="BI298" s="198" t="s">
        <v>471</v>
      </c>
      <c r="BJ298" s="198" t="s">
        <v>471</v>
      </c>
      <c r="BK298" s="211">
        <f t="shared" ref="BK298:BP298" si="838">IF(BE297=0,0,(BQ304-BQ301)/BE297)</f>
        <v>0</v>
      </c>
      <c r="BL298" s="211">
        <f t="shared" si="838"/>
        <v>0</v>
      </c>
      <c r="BM298" s="211">
        <f t="shared" si="838"/>
        <v>0</v>
      </c>
      <c r="BN298" s="211">
        <f t="shared" si="838"/>
        <v>0.96497071349999997</v>
      </c>
      <c r="BO298" s="211">
        <f t="shared" si="838"/>
        <v>0.91423370469999998</v>
      </c>
      <c r="BP298" s="211">
        <f t="shared" si="838"/>
        <v>0.86774406969999995</v>
      </c>
      <c r="BQ298" s="198" t="s">
        <v>471</v>
      </c>
      <c r="BR298" s="198" t="s">
        <v>471</v>
      </c>
      <c r="BS298" s="198" t="s">
        <v>471</v>
      </c>
      <c r="BT298" s="198" t="s">
        <v>471</v>
      </c>
      <c r="BU298" s="198" t="s">
        <v>471</v>
      </c>
      <c r="BV298" s="198" t="s">
        <v>471</v>
      </c>
      <c r="BW298" s="198" t="s">
        <v>471</v>
      </c>
      <c r="BX298" s="198" t="s">
        <v>471</v>
      </c>
      <c r="BY298" s="198" t="s">
        <v>471</v>
      </c>
      <c r="BZ298" s="198" t="s">
        <v>471</v>
      </c>
      <c r="CA298" s="198" t="s">
        <v>471</v>
      </c>
      <c r="CB298" s="198" t="s">
        <v>471</v>
      </c>
      <c r="CC298" s="198" t="s">
        <v>471</v>
      </c>
      <c r="CD298" s="198" t="s">
        <v>471</v>
      </c>
      <c r="CE298" s="198" t="s">
        <v>471</v>
      </c>
      <c r="CF298" s="211">
        <f t="shared" ref="CF298:CK298" si="839">IF(BZ297=0,0,(CL304-CL301)/BZ297)</f>
        <v>0</v>
      </c>
      <c r="CG298" s="211">
        <f t="shared" si="839"/>
        <v>0</v>
      </c>
      <c r="CH298" s="211">
        <f t="shared" si="839"/>
        <v>0</v>
      </c>
      <c r="CI298" s="211">
        <f t="shared" si="839"/>
        <v>1.6419087945999999</v>
      </c>
      <c r="CJ298" s="211">
        <f t="shared" si="839"/>
        <v>1.5472649782000001</v>
      </c>
      <c r="CK298" s="211">
        <f t="shared" si="839"/>
        <v>1.4619361967</v>
      </c>
      <c r="CL298" s="198" t="s">
        <v>471</v>
      </c>
      <c r="CM298" s="198" t="s">
        <v>471</v>
      </c>
      <c r="CN298" s="198" t="s">
        <v>471</v>
      </c>
      <c r="CO298" s="198" t="s">
        <v>471</v>
      </c>
      <c r="CP298" s="198" t="s">
        <v>471</v>
      </c>
      <c r="CQ298" s="198" t="s">
        <v>471</v>
      </c>
      <c r="CR298" s="198" t="s">
        <v>471</v>
      </c>
      <c r="CS298" s="198" t="s">
        <v>471</v>
      </c>
      <c r="CT298" s="198" t="s">
        <v>471</v>
      </c>
      <c r="CU298" s="198" t="s">
        <v>471</v>
      </c>
      <c r="CV298" s="198" t="s">
        <v>471</v>
      </c>
      <c r="CW298" s="198" t="s">
        <v>471</v>
      </c>
      <c r="CX298" s="198" t="s">
        <v>471</v>
      </c>
      <c r="CY298" s="198" t="s">
        <v>471</v>
      </c>
      <c r="CZ298" s="198" t="s">
        <v>471</v>
      </c>
      <c r="DA298" s="211">
        <f t="shared" ref="DA298:DF298" si="840">IF(CU297=0,0,(DG304-DG301)/CU297)</f>
        <v>0</v>
      </c>
      <c r="DB298" s="211">
        <f t="shared" si="840"/>
        <v>0</v>
      </c>
      <c r="DC298" s="211">
        <f t="shared" si="840"/>
        <v>0</v>
      </c>
      <c r="DD298" s="211">
        <f t="shared" si="840"/>
        <v>0.48261131099999999</v>
      </c>
      <c r="DE298" s="211">
        <f t="shared" si="840"/>
        <v>0.45878913230000001</v>
      </c>
      <c r="DF298" s="211">
        <f t="shared" si="840"/>
        <v>0.43674451800000003</v>
      </c>
      <c r="DG298" s="198" t="s">
        <v>471</v>
      </c>
      <c r="DH298" s="198" t="s">
        <v>471</v>
      </c>
      <c r="DI298" s="198" t="s">
        <v>471</v>
      </c>
      <c r="DJ298" s="198" t="s">
        <v>471</v>
      </c>
      <c r="DK298" s="198" t="s">
        <v>471</v>
      </c>
      <c r="DL298" s="198" t="s">
        <v>471</v>
      </c>
      <c r="DM298" s="198" t="s">
        <v>471</v>
      </c>
      <c r="DN298" s="198" t="s">
        <v>471</v>
      </c>
      <c r="DO298" s="198" t="s">
        <v>471</v>
      </c>
      <c r="DP298" s="198" t="s">
        <v>471</v>
      </c>
      <c r="DQ298" s="198" t="s">
        <v>471</v>
      </c>
      <c r="DR298" s="198" t="s">
        <v>471</v>
      </c>
      <c r="DS298" s="198" t="s">
        <v>471</v>
      </c>
      <c r="DT298" s="198" t="s">
        <v>471</v>
      </c>
      <c r="DU298" s="198" t="s">
        <v>471</v>
      </c>
      <c r="DV298" s="211">
        <f t="shared" ref="DV298:EA298" si="841">IF(DP297=0,0,(EB304-EB301)/DP297)</f>
        <v>0</v>
      </c>
      <c r="DW298" s="211">
        <f t="shared" si="841"/>
        <v>0</v>
      </c>
      <c r="DX298" s="211">
        <f t="shared" si="841"/>
        <v>0</v>
      </c>
      <c r="DY298" s="211">
        <f t="shared" si="841"/>
        <v>0.93661213050000003</v>
      </c>
      <c r="DZ298" s="211">
        <f t="shared" si="841"/>
        <v>0.8878707938</v>
      </c>
      <c r="EA298" s="211">
        <f t="shared" si="841"/>
        <v>0.84313906189999999</v>
      </c>
      <c r="EB298" s="198" t="s">
        <v>471</v>
      </c>
      <c r="EC298" s="198" t="s">
        <v>471</v>
      </c>
      <c r="ED298" s="198" t="s">
        <v>471</v>
      </c>
      <c r="EE298" s="198" t="s">
        <v>471</v>
      </c>
      <c r="EF298" s="198" t="s">
        <v>471</v>
      </c>
      <c r="EG298" s="198" t="s">
        <v>471</v>
      </c>
    </row>
    <row r="299" spans="1:137" ht="24" x14ac:dyDescent="0.25">
      <c r="A299" s="324" t="s">
        <v>670</v>
      </c>
      <c r="B299" s="319"/>
      <c r="C299" s="205" t="s">
        <v>486</v>
      </c>
      <c r="D299" s="196"/>
      <c r="E299" s="197"/>
      <c r="F299" s="206"/>
      <c r="G299" s="206"/>
      <c r="H299" s="206"/>
      <c r="I299" s="207"/>
      <c r="J299" s="207"/>
      <c r="K299" s="207"/>
      <c r="L299" s="198" t="s">
        <v>471</v>
      </c>
      <c r="M299" s="198" t="s">
        <v>471</v>
      </c>
      <c r="N299" s="198" t="s">
        <v>471</v>
      </c>
      <c r="O299" s="198" t="s">
        <v>471</v>
      </c>
      <c r="P299" s="198" t="s">
        <v>471</v>
      </c>
      <c r="Q299" s="198" t="s">
        <v>471</v>
      </c>
      <c r="R299" s="198" t="s">
        <v>471</v>
      </c>
      <c r="S299" s="198" t="s">
        <v>471</v>
      </c>
      <c r="T299" s="198" t="s">
        <v>471</v>
      </c>
      <c r="U299" s="198" t="s">
        <v>471</v>
      </c>
      <c r="V299" s="198" t="s">
        <v>471</v>
      </c>
      <c r="W299" s="198" t="s">
        <v>471</v>
      </c>
      <c r="X299" s="198" t="s">
        <v>471</v>
      </c>
      <c r="Y299" s="198" t="s">
        <v>471</v>
      </c>
      <c r="Z299" s="198" t="s">
        <v>471</v>
      </c>
      <c r="AA299" s="206">
        <f t="shared" ref="AA299:AF299" si="842">AA286</f>
        <v>0</v>
      </c>
      <c r="AB299" s="206">
        <f t="shared" si="842"/>
        <v>0</v>
      </c>
      <c r="AC299" s="206">
        <f t="shared" si="842"/>
        <v>0</v>
      </c>
      <c r="AD299" s="206">
        <f t="shared" si="842"/>
        <v>27586201</v>
      </c>
      <c r="AE299" s="206">
        <f t="shared" si="842"/>
        <v>28777009.539999999</v>
      </c>
      <c r="AF299" s="206">
        <f t="shared" si="842"/>
        <v>30083520.489999998</v>
      </c>
      <c r="AG299" s="198" t="s">
        <v>471</v>
      </c>
      <c r="AH299" s="198" t="s">
        <v>471</v>
      </c>
      <c r="AI299" s="198" t="s">
        <v>471</v>
      </c>
      <c r="AJ299" s="198" t="s">
        <v>471</v>
      </c>
      <c r="AK299" s="198" t="s">
        <v>471</v>
      </c>
      <c r="AL299" s="198" t="s">
        <v>471</v>
      </c>
      <c r="AM299" s="198" t="s">
        <v>471</v>
      </c>
      <c r="AN299" s="198" t="s">
        <v>471</v>
      </c>
      <c r="AO299" s="198" t="s">
        <v>471</v>
      </c>
      <c r="AP299" s="198" t="s">
        <v>471</v>
      </c>
      <c r="AQ299" s="198" t="s">
        <v>471</v>
      </c>
      <c r="AR299" s="198" t="s">
        <v>471</v>
      </c>
      <c r="AS299" s="198" t="s">
        <v>471</v>
      </c>
      <c r="AT299" s="198" t="s">
        <v>471</v>
      </c>
      <c r="AU299" s="198" t="s">
        <v>471</v>
      </c>
      <c r="AV299" s="206">
        <f t="shared" ref="AV299:BA299" si="843">AV286</f>
        <v>0</v>
      </c>
      <c r="AW299" s="206">
        <f t="shared" si="843"/>
        <v>0</v>
      </c>
      <c r="AX299" s="206">
        <f t="shared" si="843"/>
        <v>0</v>
      </c>
      <c r="AY299" s="206">
        <f t="shared" si="843"/>
        <v>15526737.32</v>
      </c>
      <c r="AZ299" s="206">
        <f t="shared" si="843"/>
        <v>16204340.66</v>
      </c>
      <c r="BA299" s="206">
        <f t="shared" si="843"/>
        <v>16867098.109999999</v>
      </c>
      <c r="BB299" s="198" t="s">
        <v>471</v>
      </c>
      <c r="BC299" s="198" t="s">
        <v>471</v>
      </c>
      <c r="BD299" s="198" t="s">
        <v>471</v>
      </c>
      <c r="BE299" s="198" t="s">
        <v>471</v>
      </c>
      <c r="BF299" s="198" t="s">
        <v>471</v>
      </c>
      <c r="BG299" s="198" t="s">
        <v>471</v>
      </c>
      <c r="BH299" s="198" t="s">
        <v>471</v>
      </c>
      <c r="BI299" s="198" t="s">
        <v>471</v>
      </c>
      <c r="BJ299" s="198" t="s">
        <v>471</v>
      </c>
      <c r="BK299" s="198" t="s">
        <v>471</v>
      </c>
      <c r="BL299" s="198" t="s">
        <v>471</v>
      </c>
      <c r="BM299" s="198" t="s">
        <v>471</v>
      </c>
      <c r="BN299" s="198" t="s">
        <v>471</v>
      </c>
      <c r="BO299" s="198" t="s">
        <v>471</v>
      </c>
      <c r="BP299" s="198" t="s">
        <v>471</v>
      </c>
      <c r="BQ299" s="206">
        <f t="shared" ref="BQ299:BV299" si="844">BQ286</f>
        <v>0</v>
      </c>
      <c r="BR299" s="206">
        <f t="shared" si="844"/>
        <v>0</v>
      </c>
      <c r="BS299" s="206">
        <f t="shared" si="844"/>
        <v>0</v>
      </c>
      <c r="BT299" s="206">
        <f t="shared" si="844"/>
        <v>12645192.529999999</v>
      </c>
      <c r="BU299" s="206">
        <f t="shared" si="844"/>
        <v>12790868.26</v>
      </c>
      <c r="BV299" s="206">
        <f t="shared" si="844"/>
        <v>13235088.16</v>
      </c>
      <c r="BW299" s="198" t="s">
        <v>471</v>
      </c>
      <c r="BX299" s="198" t="s">
        <v>471</v>
      </c>
      <c r="BY299" s="198" t="s">
        <v>471</v>
      </c>
      <c r="BZ299" s="198" t="s">
        <v>471</v>
      </c>
      <c r="CA299" s="198" t="s">
        <v>471</v>
      </c>
      <c r="CB299" s="198" t="s">
        <v>471</v>
      </c>
      <c r="CC299" s="198" t="s">
        <v>471</v>
      </c>
      <c r="CD299" s="198" t="s">
        <v>471</v>
      </c>
      <c r="CE299" s="198" t="s">
        <v>471</v>
      </c>
      <c r="CF299" s="198" t="s">
        <v>471</v>
      </c>
      <c r="CG299" s="198" t="s">
        <v>471</v>
      </c>
      <c r="CH299" s="198" t="s">
        <v>471</v>
      </c>
      <c r="CI299" s="198" t="s">
        <v>471</v>
      </c>
      <c r="CJ299" s="198" t="s">
        <v>471</v>
      </c>
      <c r="CK299" s="198" t="s">
        <v>471</v>
      </c>
      <c r="CL299" s="206">
        <f t="shared" ref="CL299:CQ299" si="845">CL286</f>
        <v>0</v>
      </c>
      <c r="CM299" s="206">
        <f t="shared" si="845"/>
        <v>0</v>
      </c>
      <c r="CN299" s="206">
        <f t="shared" si="845"/>
        <v>0</v>
      </c>
      <c r="CO299" s="206">
        <f t="shared" si="845"/>
        <v>1877872.99</v>
      </c>
      <c r="CP299" s="206">
        <f t="shared" si="845"/>
        <v>1913202.66</v>
      </c>
      <c r="CQ299" s="206">
        <f t="shared" si="845"/>
        <v>1995731.6</v>
      </c>
      <c r="CR299" s="198" t="s">
        <v>471</v>
      </c>
      <c r="CS299" s="198" t="s">
        <v>471</v>
      </c>
      <c r="CT299" s="198" t="s">
        <v>471</v>
      </c>
      <c r="CU299" s="198" t="s">
        <v>471</v>
      </c>
      <c r="CV299" s="198" t="s">
        <v>471</v>
      </c>
      <c r="CW299" s="198" t="s">
        <v>471</v>
      </c>
      <c r="CX299" s="198" t="s">
        <v>471</v>
      </c>
      <c r="CY299" s="198" t="s">
        <v>471</v>
      </c>
      <c r="CZ299" s="198" t="s">
        <v>471</v>
      </c>
      <c r="DA299" s="198" t="s">
        <v>471</v>
      </c>
      <c r="DB299" s="198" t="s">
        <v>471</v>
      </c>
      <c r="DC299" s="198" t="s">
        <v>471</v>
      </c>
      <c r="DD299" s="198" t="s">
        <v>471</v>
      </c>
      <c r="DE299" s="198" t="s">
        <v>471</v>
      </c>
      <c r="DF299" s="198" t="s">
        <v>471</v>
      </c>
      <c r="DG299" s="206">
        <f t="shared" ref="DG299:DL299" si="846">DG286</f>
        <v>0</v>
      </c>
      <c r="DH299" s="206">
        <f t="shared" si="846"/>
        <v>0</v>
      </c>
      <c r="DI299" s="206">
        <f t="shared" si="846"/>
        <v>0</v>
      </c>
      <c r="DJ299" s="206">
        <f t="shared" si="846"/>
        <v>816315.67</v>
      </c>
      <c r="DK299" s="206">
        <f t="shared" si="846"/>
        <v>830178.15</v>
      </c>
      <c r="DL299" s="206">
        <f t="shared" si="846"/>
        <v>866168.37</v>
      </c>
      <c r="DM299" s="198" t="s">
        <v>471</v>
      </c>
      <c r="DN299" s="198" t="s">
        <v>471</v>
      </c>
      <c r="DO299" s="198" t="s">
        <v>471</v>
      </c>
      <c r="DP299" s="198" t="s">
        <v>471</v>
      </c>
      <c r="DQ299" s="198" t="s">
        <v>471</v>
      </c>
      <c r="DR299" s="198" t="s">
        <v>471</v>
      </c>
      <c r="DS299" s="198" t="s">
        <v>471</v>
      </c>
      <c r="DT299" s="198" t="s">
        <v>471</v>
      </c>
      <c r="DU299" s="198" t="s">
        <v>471</v>
      </c>
      <c r="DV299" s="198" t="s">
        <v>471</v>
      </c>
      <c r="DW299" s="198" t="s">
        <v>471</v>
      </c>
      <c r="DX299" s="198" t="s">
        <v>471</v>
      </c>
      <c r="DY299" s="198" t="s">
        <v>471</v>
      </c>
      <c r="DZ299" s="198" t="s">
        <v>471</v>
      </c>
      <c r="EA299" s="198" t="s">
        <v>471</v>
      </c>
      <c r="EB299" s="206">
        <f t="shared" ref="EB299:EG299" si="847">EB286</f>
        <v>0</v>
      </c>
      <c r="EC299" s="206">
        <f t="shared" si="847"/>
        <v>0</v>
      </c>
      <c r="ED299" s="206">
        <f t="shared" si="847"/>
        <v>0</v>
      </c>
      <c r="EE299" s="206">
        <f t="shared" si="847"/>
        <v>57024290.18</v>
      </c>
      <c r="EF299" s="206">
        <f t="shared" si="847"/>
        <v>58882271.850000001</v>
      </c>
      <c r="EG299" s="206">
        <f t="shared" si="847"/>
        <v>61302765.310000002</v>
      </c>
    </row>
    <row r="300" spans="1:137" x14ac:dyDescent="0.25">
      <c r="A300" s="212" t="s">
        <v>481</v>
      </c>
      <c r="B300" s="321"/>
      <c r="C300" s="213"/>
      <c r="D300" s="212"/>
      <c r="E300" s="214"/>
      <c r="F300" s="215"/>
      <c r="G300" s="215"/>
      <c r="H300" s="215"/>
      <c r="I300" s="215"/>
      <c r="J300" s="215"/>
      <c r="K300" s="215"/>
      <c r="L300" s="215"/>
      <c r="M300" s="215"/>
      <c r="N300" s="215"/>
      <c r="O300" s="215"/>
      <c r="P300" s="215"/>
      <c r="Q300" s="215"/>
      <c r="R300" s="215"/>
      <c r="S300" s="215"/>
      <c r="T300" s="215"/>
      <c r="U300" s="215"/>
      <c r="V300" s="215"/>
      <c r="W300" s="215"/>
      <c r="X300" s="215"/>
      <c r="Y300" s="215"/>
      <c r="Z300" s="215"/>
      <c r="AA300" s="215">
        <f t="shared" ref="AA300:AF300" si="848">AA304-AA301-AA299</f>
        <v>0</v>
      </c>
      <c r="AB300" s="215">
        <f t="shared" si="848"/>
        <v>0</v>
      </c>
      <c r="AC300" s="215">
        <f t="shared" si="848"/>
        <v>0</v>
      </c>
      <c r="AD300" s="215">
        <f t="shared" si="848"/>
        <v>-4241271.03</v>
      </c>
      <c r="AE300" s="215">
        <f t="shared" si="848"/>
        <v>-5432079.5700000003</v>
      </c>
      <c r="AF300" s="215">
        <f t="shared" si="848"/>
        <v>-6738590.5199999996</v>
      </c>
      <c r="AG300" s="215"/>
      <c r="AH300" s="215"/>
      <c r="AI300" s="215"/>
      <c r="AJ300" s="215"/>
      <c r="AK300" s="215"/>
      <c r="AL300" s="215"/>
      <c r="AM300" s="215"/>
      <c r="AN300" s="215"/>
      <c r="AO300" s="215"/>
      <c r="AP300" s="215"/>
      <c r="AQ300" s="215"/>
      <c r="AR300" s="215"/>
      <c r="AS300" s="215"/>
      <c r="AT300" s="215"/>
      <c r="AU300" s="215"/>
      <c r="AV300" s="215">
        <f t="shared" ref="AV300:BA300" si="849">AV304-AV301-AV299</f>
        <v>0</v>
      </c>
      <c r="AW300" s="215">
        <f t="shared" si="849"/>
        <v>0</v>
      </c>
      <c r="AX300" s="215">
        <f t="shared" si="849"/>
        <v>0</v>
      </c>
      <c r="AY300" s="215">
        <f t="shared" si="849"/>
        <v>-2862849.71</v>
      </c>
      <c r="AZ300" s="215">
        <f t="shared" si="849"/>
        <v>-3540453.05</v>
      </c>
      <c r="BA300" s="215">
        <f t="shared" si="849"/>
        <v>-4202910.5</v>
      </c>
      <c r="BB300" s="215"/>
      <c r="BC300" s="215"/>
      <c r="BD300" s="215"/>
      <c r="BE300" s="215"/>
      <c r="BF300" s="215"/>
      <c r="BG300" s="215"/>
      <c r="BH300" s="215"/>
      <c r="BI300" s="215"/>
      <c r="BJ300" s="215"/>
      <c r="BK300" s="215"/>
      <c r="BL300" s="215"/>
      <c r="BM300" s="215"/>
      <c r="BN300" s="215"/>
      <c r="BO300" s="215"/>
      <c r="BP300" s="215"/>
      <c r="BQ300" s="215">
        <f t="shared" ref="BQ300:BV300" si="850">BQ304-BQ301-BQ299</f>
        <v>0</v>
      </c>
      <c r="BR300" s="215">
        <f t="shared" si="850"/>
        <v>0</v>
      </c>
      <c r="BS300" s="215">
        <f t="shared" si="850"/>
        <v>0</v>
      </c>
      <c r="BT300" s="215">
        <f t="shared" si="850"/>
        <v>-4585399.32</v>
      </c>
      <c r="BU300" s="215">
        <f t="shared" si="850"/>
        <v>-4731075.05</v>
      </c>
      <c r="BV300" s="215">
        <f t="shared" si="850"/>
        <v>-5175594.95</v>
      </c>
      <c r="BW300" s="215"/>
      <c r="BX300" s="215"/>
      <c r="BY300" s="215"/>
      <c r="BZ300" s="215"/>
      <c r="CA300" s="215"/>
      <c r="CB300" s="215"/>
      <c r="CC300" s="215"/>
      <c r="CD300" s="215"/>
      <c r="CE300" s="215"/>
      <c r="CF300" s="215"/>
      <c r="CG300" s="215"/>
      <c r="CH300" s="215"/>
      <c r="CI300" s="215"/>
      <c r="CJ300" s="215"/>
      <c r="CK300" s="215"/>
      <c r="CL300" s="215">
        <f t="shared" ref="CL300:CQ300" si="851">CL304-CL301-CL299</f>
        <v>0</v>
      </c>
      <c r="CM300" s="215">
        <f t="shared" si="851"/>
        <v>0</v>
      </c>
      <c r="CN300" s="215">
        <f t="shared" si="851"/>
        <v>0</v>
      </c>
      <c r="CO300" s="215">
        <f t="shared" si="851"/>
        <v>1362355.73</v>
      </c>
      <c r="CP300" s="215">
        <f t="shared" si="851"/>
        <v>1327026.06</v>
      </c>
      <c r="CQ300" s="215">
        <f t="shared" si="851"/>
        <v>1244497.1200000001</v>
      </c>
      <c r="CR300" s="215"/>
      <c r="CS300" s="215"/>
      <c r="CT300" s="215"/>
      <c r="CU300" s="215"/>
      <c r="CV300" s="215"/>
      <c r="CW300" s="215"/>
      <c r="CX300" s="215"/>
      <c r="CY300" s="215"/>
      <c r="CZ300" s="215"/>
      <c r="DA300" s="215"/>
      <c r="DB300" s="215"/>
      <c r="DC300" s="215"/>
      <c r="DD300" s="215"/>
      <c r="DE300" s="215"/>
      <c r="DF300" s="215"/>
      <c r="DG300" s="215">
        <f t="shared" ref="DG300:DL300" si="852">DG304-DG301-DG299</f>
        <v>0</v>
      </c>
      <c r="DH300" s="215">
        <f t="shared" si="852"/>
        <v>0</v>
      </c>
      <c r="DI300" s="215">
        <f t="shared" si="852"/>
        <v>0</v>
      </c>
      <c r="DJ300" s="215">
        <f t="shared" si="852"/>
        <v>34529.769999999997</v>
      </c>
      <c r="DK300" s="215">
        <f t="shared" si="852"/>
        <v>20667.29</v>
      </c>
      <c r="DL300" s="215">
        <f t="shared" si="852"/>
        <v>-15322.93</v>
      </c>
      <c r="DM300" s="215"/>
      <c r="DN300" s="215"/>
      <c r="DO300" s="215"/>
      <c r="DP300" s="215"/>
      <c r="DQ300" s="215"/>
      <c r="DR300" s="215"/>
      <c r="DS300" s="215"/>
      <c r="DT300" s="215"/>
      <c r="DU300" s="215"/>
      <c r="DV300" s="215"/>
      <c r="DW300" s="215"/>
      <c r="DX300" s="215"/>
      <c r="DY300" s="215"/>
      <c r="DZ300" s="215"/>
      <c r="EA300" s="215"/>
      <c r="EB300" s="215">
        <f t="shared" ref="EB300:EG300" si="853">EB304-EB301-EB299</f>
        <v>0</v>
      </c>
      <c r="EC300" s="215">
        <f t="shared" si="853"/>
        <v>0</v>
      </c>
      <c r="ED300" s="215">
        <f t="shared" si="853"/>
        <v>0</v>
      </c>
      <c r="EE300" s="215">
        <f t="shared" si="853"/>
        <v>-8864605.2300000004</v>
      </c>
      <c r="EF300" s="215">
        <f t="shared" si="853"/>
        <v>-10722586.9</v>
      </c>
      <c r="EG300" s="215">
        <f t="shared" si="853"/>
        <v>-13143080.359999999</v>
      </c>
    </row>
    <row r="301" spans="1:137" ht="51" customHeight="1" x14ac:dyDescent="0.25">
      <c r="A301" s="17" t="s">
        <v>654</v>
      </c>
      <c r="B301" s="319"/>
      <c r="C301" s="216" t="s">
        <v>487</v>
      </c>
      <c r="D301" s="196" t="s">
        <v>668</v>
      </c>
      <c r="E301" s="197"/>
      <c r="F301" s="217"/>
      <c r="G301" s="217"/>
      <c r="H301" s="217"/>
      <c r="I301" s="218"/>
      <c r="J301" s="218"/>
      <c r="K301" s="218"/>
      <c r="L301" s="198" t="s">
        <v>471</v>
      </c>
      <c r="M301" s="198" t="s">
        <v>471</v>
      </c>
      <c r="N301" s="198" t="s">
        <v>471</v>
      </c>
      <c r="O301" s="198" t="s">
        <v>471</v>
      </c>
      <c r="P301" s="198" t="s">
        <v>471</v>
      </c>
      <c r="Q301" s="198" t="s">
        <v>471</v>
      </c>
      <c r="R301" s="198" t="s">
        <v>471</v>
      </c>
      <c r="S301" s="198" t="s">
        <v>471</v>
      </c>
      <c r="T301" s="198" t="s">
        <v>471</v>
      </c>
      <c r="U301" s="198" t="s">
        <v>471</v>
      </c>
      <c r="V301" s="198" t="s">
        <v>471</v>
      </c>
      <c r="W301" s="198" t="s">
        <v>471</v>
      </c>
      <c r="X301" s="198" t="s">
        <v>471</v>
      </c>
      <c r="Y301" s="198" t="s">
        <v>471</v>
      </c>
      <c r="Z301" s="198" t="s">
        <v>471</v>
      </c>
      <c r="AA301" s="217"/>
      <c r="AB301" s="217"/>
      <c r="AC301" s="217"/>
      <c r="AD301" s="217">
        <f>AD303*AD302</f>
        <v>258170.03</v>
      </c>
      <c r="AE301" s="217">
        <f>AE303*AE302</f>
        <v>258170.03</v>
      </c>
      <c r="AF301" s="217">
        <f>AF303*AF302</f>
        <v>258170.03</v>
      </c>
      <c r="AG301" s="198" t="s">
        <v>471</v>
      </c>
      <c r="AH301" s="198" t="s">
        <v>471</v>
      </c>
      <c r="AI301" s="198" t="s">
        <v>471</v>
      </c>
      <c r="AJ301" s="198" t="s">
        <v>471</v>
      </c>
      <c r="AK301" s="198" t="s">
        <v>471</v>
      </c>
      <c r="AL301" s="198" t="s">
        <v>471</v>
      </c>
      <c r="AM301" s="198" t="s">
        <v>471</v>
      </c>
      <c r="AN301" s="198" t="s">
        <v>471</v>
      </c>
      <c r="AO301" s="198" t="s">
        <v>471</v>
      </c>
      <c r="AP301" s="198" t="s">
        <v>471</v>
      </c>
      <c r="AQ301" s="198" t="s">
        <v>471</v>
      </c>
      <c r="AR301" s="198" t="s">
        <v>471</v>
      </c>
      <c r="AS301" s="198" t="s">
        <v>471</v>
      </c>
      <c r="AT301" s="198" t="s">
        <v>471</v>
      </c>
      <c r="AU301" s="198" t="s">
        <v>471</v>
      </c>
      <c r="AV301" s="217"/>
      <c r="AW301" s="217"/>
      <c r="AX301" s="217"/>
      <c r="AY301" s="217">
        <f>AY303*AY302</f>
        <v>28312.39</v>
      </c>
      <c r="AZ301" s="217">
        <f>AZ303*AZ302</f>
        <v>28312.39</v>
      </c>
      <c r="BA301" s="217">
        <f>BA303*BA302</f>
        <v>28312.39</v>
      </c>
      <c r="BB301" s="198" t="s">
        <v>471</v>
      </c>
      <c r="BC301" s="198" t="s">
        <v>471</v>
      </c>
      <c r="BD301" s="198" t="s">
        <v>471</v>
      </c>
      <c r="BE301" s="198" t="s">
        <v>471</v>
      </c>
      <c r="BF301" s="198" t="s">
        <v>471</v>
      </c>
      <c r="BG301" s="198" t="s">
        <v>471</v>
      </c>
      <c r="BH301" s="198" t="s">
        <v>471</v>
      </c>
      <c r="BI301" s="198" t="s">
        <v>471</v>
      </c>
      <c r="BJ301" s="198" t="s">
        <v>471</v>
      </c>
      <c r="BK301" s="198" t="s">
        <v>471</v>
      </c>
      <c r="BL301" s="198" t="s">
        <v>471</v>
      </c>
      <c r="BM301" s="198" t="s">
        <v>471</v>
      </c>
      <c r="BN301" s="198" t="s">
        <v>471</v>
      </c>
      <c r="BO301" s="198" t="s">
        <v>471</v>
      </c>
      <c r="BP301" s="198" t="s">
        <v>471</v>
      </c>
      <c r="BQ301" s="217"/>
      <c r="BR301" s="217"/>
      <c r="BS301" s="217"/>
      <c r="BT301" s="217">
        <f>BT303*BT302</f>
        <v>64006.79</v>
      </c>
      <c r="BU301" s="217">
        <f>BU303*BU302</f>
        <v>64006.79</v>
      </c>
      <c r="BV301" s="217">
        <f>BV303*BV302</f>
        <v>64006.79</v>
      </c>
      <c r="BW301" s="198" t="s">
        <v>471</v>
      </c>
      <c r="BX301" s="198" t="s">
        <v>471</v>
      </c>
      <c r="BY301" s="198" t="s">
        <v>471</v>
      </c>
      <c r="BZ301" s="198" t="s">
        <v>471</v>
      </c>
      <c r="CA301" s="198" t="s">
        <v>471</v>
      </c>
      <c r="CB301" s="198" t="s">
        <v>471</v>
      </c>
      <c r="CC301" s="198" t="s">
        <v>471</v>
      </c>
      <c r="CD301" s="198" t="s">
        <v>471</v>
      </c>
      <c r="CE301" s="198" t="s">
        <v>471</v>
      </c>
      <c r="CF301" s="198" t="s">
        <v>471</v>
      </c>
      <c r="CG301" s="198" t="s">
        <v>471</v>
      </c>
      <c r="CH301" s="198" t="s">
        <v>471</v>
      </c>
      <c r="CI301" s="198" t="s">
        <v>471</v>
      </c>
      <c r="CJ301" s="198" t="s">
        <v>471</v>
      </c>
      <c r="CK301" s="198" t="s">
        <v>471</v>
      </c>
      <c r="CL301" s="217"/>
      <c r="CM301" s="217"/>
      <c r="CN301" s="217"/>
      <c r="CO301" s="217">
        <f>CO303*CO302</f>
        <v>1871.28</v>
      </c>
      <c r="CP301" s="217">
        <f>CP303*CP302</f>
        <v>1871.28</v>
      </c>
      <c r="CQ301" s="217">
        <f>CQ303*CQ302</f>
        <v>1871.28</v>
      </c>
      <c r="CR301" s="198" t="s">
        <v>471</v>
      </c>
      <c r="CS301" s="198" t="s">
        <v>471</v>
      </c>
      <c r="CT301" s="198" t="s">
        <v>471</v>
      </c>
      <c r="CU301" s="198" t="s">
        <v>471</v>
      </c>
      <c r="CV301" s="198" t="s">
        <v>471</v>
      </c>
      <c r="CW301" s="198" t="s">
        <v>471</v>
      </c>
      <c r="CX301" s="198" t="s">
        <v>471</v>
      </c>
      <c r="CY301" s="198" t="s">
        <v>471</v>
      </c>
      <c r="CZ301" s="198" t="s">
        <v>471</v>
      </c>
      <c r="DA301" s="198" t="s">
        <v>471</v>
      </c>
      <c r="DB301" s="198" t="s">
        <v>471</v>
      </c>
      <c r="DC301" s="198" t="s">
        <v>471</v>
      </c>
      <c r="DD301" s="198" t="s">
        <v>471</v>
      </c>
      <c r="DE301" s="198" t="s">
        <v>471</v>
      </c>
      <c r="DF301" s="198" t="s">
        <v>471</v>
      </c>
      <c r="DG301" s="217"/>
      <c r="DH301" s="217"/>
      <c r="DI301" s="217"/>
      <c r="DJ301" s="217">
        <f>DJ303*DJ302</f>
        <v>1854.56</v>
      </c>
      <c r="DK301" s="217">
        <f>DK303*DK302</f>
        <v>1854.56</v>
      </c>
      <c r="DL301" s="217">
        <f>DL303*DL302</f>
        <v>1854.56</v>
      </c>
      <c r="DM301" s="198" t="s">
        <v>471</v>
      </c>
      <c r="DN301" s="198" t="s">
        <v>471</v>
      </c>
      <c r="DO301" s="198" t="s">
        <v>471</v>
      </c>
      <c r="DP301" s="198" t="s">
        <v>471</v>
      </c>
      <c r="DQ301" s="198" t="s">
        <v>471</v>
      </c>
      <c r="DR301" s="198" t="s">
        <v>471</v>
      </c>
      <c r="DS301" s="198" t="s">
        <v>471</v>
      </c>
      <c r="DT301" s="198" t="s">
        <v>471</v>
      </c>
      <c r="DU301" s="198" t="s">
        <v>471</v>
      </c>
      <c r="DV301" s="198" t="s">
        <v>471</v>
      </c>
      <c r="DW301" s="198" t="s">
        <v>471</v>
      </c>
      <c r="DX301" s="198" t="s">
        <v>471</v>
      </c>
      <c r="DY301" s="198" t="s">
        <v>471</v>
      </c>
      <c r="DZ301" s="198" t="s">
        <v>471</v>
      </c>
      <c r="EA301" s="198" t="s">
        <v>471</v>
      </c>
      <c r="EB301" s="217">
        <f t="shared" ref="EB301" si="854">AA301+AV301+BQ301+CL301+DG301</f>
        <v>0</v>
      </c>
      <c r="EC301" s="217">
        <f t="shared" ref="EC301" si="855">AB301+AW301+BR301+CM301+DH301</f>
        <v>0</v>
      </c>
      <c r="ED301" s="217">
        <f t="shared" ref="ED301" si="856">AC301+AX301+BS301+CN301+DI301</f>
        <v>0</v>
      </c>
      <c r="EE301" s="217">
        <f t="shared" ref="EE301" si="857">AD301+AY301+BT301+CO301+DJ301</f>
        <v>354215.05</v>
      </c>
      <c r="EF301" s="217">
        <f t="shared" ref="EF301" si="858">AE301+AZ301+BU301+CP301+DK301</f>
        <v>354215.05</v>
      </c>
      <c r="EG301" s="217">
        <f t="shared" ref="EG301" si="859">AF301+BA301+BV301+CQ301+DL301</f>
        <v>354215.05</v>
      </c>
    </row>
    <row r="302" spans="1:137" s="308" customFormat="1" x14ac:dyDescent="0.25">
      <c r="A302" s="210" t="s">
        <v>655</v>
      </c>
      <c r="B302" s="59"/>
      <c r="C302" s="303" t="s">
        <v>663</v>
      </c>
      <c r="D302" s="210" t="s">
        <v>667</v>
      </c>
      <c r="E302" s="208"/>
      <c r="F302" s="304"/>
      <c r="G302" s="304"/>
      <c r="H302" s="304"/>
      <c r="I302" s="305"/>
      <c r="J302" s="305"/>
      <c r="K302" s="305"/>
      <c r="L302" s="850"/>
      <c r="M302" s="850"/>
      <c r="N302" s="850"/>
      <c r="O302" s="850"/>
      <c r="P302" s="850"/>
      <c r="Q302" s="850"/>
      <c r="R302" s="850"/>
      <c r="S302" s="850"/>
      <c r="T302" s="850"/>
      <c r="U302" s="850"/>
      <c r="V302" s="850"/>
      <c r="W302" s="850"/>
      <c r="X302" s="850"/>
      <c r="Y302" s="850"/>
      <c r="Z302" s="850"/>
      <c r="AA302" s="851"/>
      <c r="AB302" s="851"/>
      <c r="AC302" s="851"/>
      <c r="AD302" s="851">
        <f>AD243</f>
        <v>0.98122950480000004</v>
      </c>
      <c r="AE302" s="851">
        <f>AE243</f>
        <v>0.98122950480000004</v>
      </c>
      <c r="AF302" s="851">
        <f>AF243</f>
        <v>0.98122950480000004</v>
      </c>
      <c r="AG302" s="850"/>
      <c r="AH302" s="850"/>
      <c r="AI302" s="850"/>
      <c r="AJ302" s="850"/>
      <c r="AK302" s="850"/>
      <c r="AL302" s="850"/>
      <c r="AM302" s="850"/>
      <c r="AN302" s="850"/>
      <c r="AO302" s="850"/>
      <c r="AP302" s="850"/>
      <c r="AQ302" s="850"/>
      <c r="AR302" s="850"/>
      <c r="AS302" s="850"/>
      <c r="AT302" s="850"/>
      <c r="AU302" s="850"/>
      <c r="AV302" s="851"/>
      <c r="AW302" s="851"/>
      <c r="AX302" s="851"/>
      <c r="AY302" s="851">
        <f>AY243</f>
        <v>0.95716725619999998</v>
      </c>
      <c r="AZ302" s="851">
        <f>AZ243</f>
        <v>0.95716725619999998</v>
      </c>
      <c r="BA302" s="851">
        <f>BA243</f>
        <v>0.95716725619999998</v>
      </c>
      <c r="BB302" s="850"/>
      <c r="BC302" s="850"/>
      <c r="BD302" s="850"/>
      <c r="BE302" s="850"/>
      <c r="BF302" s="850"/>
      <c r="BG302" s="850"/>
      <c r="BH302" s="850"/>
      <c r="BI302" s="850"/>
      <c r="BJ302" s="850"/>
      <c r="BK302" s="850"/>
      <c r="BL302" s="850"/>
      <c r="BM302" s="850"/>
      <c r="BN302" s="850"/>
      <c r="BO302" s="850"/>
      <c r="BP302" s="850"/>
      <c r="BQ302" s="851"/>
      <c r="BR302" s="851"/>
      <c r="BS302" s="851"/>
      <c r="BT302" s="851">
        <f>BT243</f>
        <v>1</v>
      </c>
      <c r="BU302" s="851">
        <f>BU243</f>
        <v>1</v>
      </c>
      <c r="BV302" s="851">
        <f>BV243</f>
        <v>1</v>
      </c>
      <c r="BW302" s="850"/>
      <c r="BX302" s="850"/>
      <c r="BY302" s="850"/>
      <c r="BZ302" s="850"/>
      <c r="CA302" s="850"/>
      <c r="CB302" s="850"/>
      <c r="CC302" s="850"/>
      <c r="CD302" s="850"/>
      <c r="CE302" s="850"/>
      <c r="CF302" s="850"/>
      <c r="CG302" s="850"/>
      <c r="CH302" s="850"/>
      <c r="CI302" s="850"/>
      <c r="CJ302" s="850"/>
      <c r="CK302" s="850"/>
      <c r="CL302" s="851"/>
      <c r="CM302" s="851"/>
      <c r="CN302" s="851"/>
      <c r="CO302" s="851">
        <f>CO243</f>
        <v>1</v>
      </c>
      <c r="CP302" s="851">
        <f>CP243</f>
        <v>1</v>
      </c>
      <c r="CQ302" s="851">
        <f>CQ243</f>
        <v>1</v>
      </c>
      <c r="CR302" s="850"/>
      <c r="CS302" s="850"/>
      <c r="CT302" s="850"/>
      <c r="CU302" s="850"/>
      <c r="CV302" s="850"/>
      <c r="CW302" s="850"/>
      <c r="CX302" s="850"/>
      <c r="CY302" s="850"/>
      <c r="CZ302" s="850"/>
      <c r="DA302" s="850"/>
      <c r="DB302" s="850"/>
      <c r="DC302" s="850"/>
      <c r="DD302" s="850"/>
      <c r="DE302" s="850"/>
      <c r="DF302" s="850"/>
      <c r="DG302" s="851"/>
      <c r="DH302" s="851"/>
      <c r="DI302" s="851"/>
      <c r="DJ302" s="851">
        <f>DJ243</f>
        <v>1</v>
      </c>
      <c r="DK302" s="851">
        <f>DK243</f>
        <v>1</v>
      </c>
      <c r="DL302" s="851">
        <f>DL243</f>
        <v>1</v>
      </c>
      <c r="DM302" s="306"/>
      <c r="DN302" s="306"/>
      <c r="DO302" s="306"/>
      <c r="DP302" s="306"/>
      <c r="DQ302" s="306"/>
      <c r="DR302" s="306"/>
      <c r="DS302" s="306"/>
      <c r="DT302" s="306"/>
      <c r="DU302" s="306"/>
      <c r="DV302" s="306"/>
      <c r="DW302" s="306"/>
      <c r="DX302" s="306"/>
      <c r="DY302" s="306"/>
      <c r="DZ302" s="306"/>
      <c r="EA302" s="306"/>
      <c r="EB302" s="211"/>
      <c r="EC302" s="211"/>
      <c r="ED302" s="211"/>
      <c r="EE302" s="851">
        <f>EE243</f>
        <v>0.98116735659999998</v>
      </c>
      <c r="EF302" s="851">
        <f>EF243</f>
        <v>0.98116735659999998</v>
      </c>
      <c r="EG302" s="851">
        <f>EG243</f>
        <v>0.98116735659999998</v>
      </c>
    </row>
    <row r="303" spans="1:137" s="308" customFormat="1" ht="48" x14ac:dyDescent="0.25">
      <c r="A303" s="11" t="s">
        <v>472</v>
      </c>
      <c r="B303" s="320" t="s">
        <v>1189</v>
      </c>
      <c r="C303" s="303" t="s">
        <v>666</v>
      </c>
      <c r="D303" s="210"/>
      <c r="E303" s="208"/>
      <c r="F303" s="304"/>
      <c r="G303" s="304"/>
      <c r="H303" s="304"/>
      <c r="I303" s="305"/>
      <c r="J303" s="305"/>
      <c r="K303" s="305"/>
      <c r="L303" s="850" t="s">
        <v>471</v>
      </c>
      <c r="M303" s="850" t="s">
        <v>471</v>
      </c>
      <c r="N303" s="850" t="s">
        <v>471</v>
      </c>
      <c r="O303" s="850" t="s">
        <v>471</v>
      </c>
      <c r="P303" s="850" t="s">
        <v>471</v>
      </c>
      <c r="Q303" s="850" t="s">
        <v>471</v>
      </c>
      <c r="R303" s="850" t="s">
        <v>471</v>
      </c>
      <c r="S303" s="850" t="s">
        <v>471</v>
      </c>
      <c r="T303" s="850" t="s">
        <v>471</v>
      </c>
      <c r="U303" s="850" t="s">
        <v>471</v>
      </c>
      <c r="V303" s="850" t="s">
        <v>471</v>
      </c>
      <c r="W303" s="850" t="s">
        <v>471</v>
      </c>
      <c r="X303" s="850" t="s">
        <v>471</v>
      </c>
      <c r="Y303" s="850" t="s">
        <v>471</v>
      </c>
      <c r="Z303" s="850" t="s">
        <v>471</v>
      </c>
      <c r="AA303" s="852"/>
      <c r="AB303" s="852"/>
      <c r="AC303" s="852"/>
      <c r="AD303" s="849">
        <f>AD246-AD275</f>
        <v>263108.71000000002</v>
      </c>
      <c r="AE303" s="849">
        <f>AE246-AE275</f>
        <v>263108.71000000002</v>
      </c>
      <c r="AF303" s="849">
        <f>AF246-AF275</f>
        <v>263108.71000000002</v>
      </c>
      <c r="AG303" s="850" t="s">
        <v>471</v>
      </c>
      <c r="AH303" s="850" t="s">
        <v>471</v>
      </c>
      <c r="AI303" s="850" t="s">
        <v>471</v>
      </c>
      <c r="AJ303" s="850" t="s">
        <v>471</v>
      </c>
      <c r="AK303" s="850" t="s">
        <v>471</v>
      </c>
      <c r="AL303" s="850" t="s">
        <v>471</v>
      </c>
      <c r="AM303" s="850" t="s">
        <v>471</v>
      </c>
      <c r="AN303" s="850" t="s">
        <v>471</v>
      </c>
      <c r="AO303" s="850" t="s">
        <v>471</v>
      </c>
      <c r="AP303" s="850" t="s">
        <v>471</v>
      </c>
      <c r="AQ303" s="850" t="s">
        <v>471</v>
      </c>
      <c r="AR303" s="850" t="s">
        <v>471</v>
      </c>
      <c r="AS303" s="850" t="s">
        <v>471</v>
      </c>
      <c r="AT303" s="850" t="s">
        <v>471</v>
      </c>
      <c r="AU303" s="850" t="s">
        <v>471</v>
      </c>
      <c r="AV303" s="852"/>
      <c r="AW303" s="852"/>
      <c r="AX303" s="852"/>
      <c r="AY303" s="849">
        <f>AY246-AY275</f>
        <v>29579.360000000001</v>
      </c>
      <c r="AZ303" s="849">
        <f>AZ246-AZ275</f>
        <v>29579.360000000001</v>
      </c>
      <c r="BA303" s="849">
        <f>BA246-BA275</f>
        <v>29579.360000000001</v>
      </c>
      <c r="BB303" s="850" t="s">
        <v>471</v>
      </c>
      <c r="BC303" s="850" t="s">
        <v>471</v>
      </c>
      <c r="BD303" s="850" t="s">
        <v>471</v>
      </c>
      <c r="BE303" s="850" t="s">
        <v>471</v>
      </c>
      <c r="BF303" s="850" t="s">
        <v>471</v>
      </c>
      <c r="BG303" s="850" t="s">
        <v>471</v>
      </c>
      <c r="BH303" s="850" t="s">
        <v>471</v>
      </c>
      <c r="BI303" s="850" t="s">
        <v>471</v>
      </c>
      <c r="BJ303" s="850" t="s">
        <v>471</v>
      </c>
      <c r="BK303" s="850" t="s">
        <v>471</v>
      </c>
      <c r="BL303" s="850" t="s">
        <v>471</v>
      </c>
      <c r="BM303" s="850" t="s">
        <v>471</v>
      </c>
      <c r="BN303" s="850" t="s">
        <v>471</v>
      </c>
      <c r="BO303" s="850" t="s">
        <v>471</v>
      </c>
      <c r="BP303" s="850" t="s">
        <v>471</v>
      </c>
      <c r="BQ303" s="852"/>
      <c r="BR303" s="852"/>
      <c r="BS303" s="852"/>
      <c r="BT303" s="849">
        <f>BT246-BT275</f>
        <v>64006.79</v>
      </c>
      <c r="BU303" s="849">
        <f>BU246-BU275</f>
        <v>64006.79</v>
      </c>
      <c r="BV303" s="849">
        <f>BV246-BV275</f>
        <v>64006.79</v>
      </c>
      <c r="BW303" s="850" t="s">
        <v>471</v>
      </c>
      <c r="BX303" s="850" t="s">
        <v>471</v>
      </c>
      <c r="BY303" s="850" t="s">
        <v>471</v>
      </c>
      <c r="BZ303" s="850" t="s">
        <v>471</v>
      </c>
      <c r="CA303" s="850" t="s">
        <v>471</v>
      </c>
      <c r="CB303" s="850" t="s">
        <v>471</v>
      </c>
      <c r="CC303" s="850" t="s">
        <v>471</v>
      </c>
      <c r="CD303" s="850" t="s">
        <v>471</v>
      </c>
      <c r="CE303" s="850" t="s">
        <v>471</v>
      </c>
      <c r="CF303" s="850" t="s">
        <v>471</v>
      </c>
      <c r="CG303" s="850" t="s">
        <v>471</v>
      </c>
      <c r="CH303" s="850" t="s">
        <v>471</v>
      </c>
      <c r="CI303" s="850" t="s">
        <v>471</v>
      </c>
      <c r="CJ303" s="850" t="s">
        <v>471</v>
      </c>
      <c r="CK303" s="850" t="s">
        <v>471</v>
      </c>
      <c r="CL303" s="852"/>
      <c r="CM303" s="852"/>
      <c r="CN303" s="852"/>
      <c r="CO303" s="849">
        <f>CO246-CO275</f>
        <v>1871.28</v>
      </c>
      <c r="CP303" s="849">
        <f>CP246-CP275</f>
        <v>1871.28</v>
      </c>
      <c r="CQ303" s="849">
        <f>CQ246-CQ275</f>
        <v>1871.28</v>
      </c>
      <c r="CR303" s="850" t="s">
        <v>471</v>
      </c>
      <c r="CS303" s="850" t="s">
        <v>471</v>
      </c>
      <c r="CT303" s="850" t="s">
        <v>471</v>
      </c>
      <c r="CU303" s="850" t="s">
        <v>471</v>
      </c>
      <c r="CV303" s="850" t="s">
        <v>471</v>
      </c>
      <c r="CW303" s="850" t="s">
        <v>471</v>
      </c>
      <c r="CX303" s="850" t="s">
        <v>471</v>
      </c>
      <c r="CY303" s="850" t="s">
        <v>471</v>
      </c>
      <c r="CZ303" s="850" t="s">
        <v>471</v>
      </c>
      <c r="DA303" s="850" t="s">
        <v>471</v>
      </c>
      <c r="DB303" s="850" t="s">
        <v>471</v>
      </c>
      <c r="DC303" s="850" t="s">
        <v>471</v>
      </c>
      <c r="DD303" s="850" t="s">
        <v>471</v>
      </c>
      <c r="DE303" s="850" t="s">
        <v>471</v>
      </c>
      <c r="DF303" s="850" t="s">
        <v>471</v>
      </c>
      <c r="DG303" s="852"/>
      <c r="DH303" s="852"/>
      <c r="DI303" s="852"/>
      <c r="DJ303" s="849">
        <f>DJ246-DJ275</f>
        <v>1854.56</v>
      </c>
      <c r="DK303" s="849">
        <f>DK246-DK275</f>
        <v>1854.56</v>
      </c>
      <c r="DL303" s="849">
        <f>DL246-DL275</f>
        <v>1854.56</v>
      </c>
      <c r="DM303" s="306" t="s">
        <v>471</v>
      </c>
      <c r="DN303" s="306" t="s">
        <v>471</v>
      </c>
      <c r="DO303" s="306" t="s">
        <v>471</v>
      </c>
      <c r="DP303" s="306" t="s">
        <v>471</v>
      </c>
      <c r="DQ303" s="306" t="s">
        <v>471</v>
      </c>
      <c r="DR303" s="306" t="s">
        <v>471</v>
      </c>
      <c r="DS303" s="306" t="s">
        <v>471</v>
      </c>
      <c r="DT303" s="306" t="s">
        <v>471</v>
      </c>
      <c r="DU303" s="306" t="s">
        <v>471</v>
      </c>
      <c r="DV303" s="306" t="s">
        <v>471</v>
      </c>
      <c r="DW303" s="306" t="s">
        <v>471</v>
      </c>
      <c r="DX303" s="306" t="s">
        <v>471</v>
      </c>
      <c r="DY303" s="306" t="s">
        <v>471</v>
      </c>
      <c r="DZ303" s="306" t="s">
        <v>471</v>
      </c>
      <c r="EA303" s="306" t="s">
        <v>471</v>
      </c>
      <c r="EB303" s="302">
        <f t="shared" ref="EB303:EB304" si="860">AA303+AV303+BQ303+CL303+DG303</f>
        <v>0</v>
      </c>
      <c r="EC303" s="302">
        <f t="shared" ref="EC303:EC304" si="861">AB303+AW303+BR303+CM303+DH303</f>
        <v>0</v>
      </c>
      <c r="ED303" s="302">
        <f t="shared" ref="ED303:ED304" si="862">AC303+AX303+BS303+CN303+DI303</f>
        <v>0</v>
      </c>
      <c r="EE303" s="849">
        <f t="shared" ref="EE303:EE304" si="863">AD303+AY303+BT303+CO303+DJ303</f>
        <v>360420.7</v>
      </c>
      <c r="EF303" s="849">
        <f t="shared" ref="EF303:EF304" si="864">AE303+AZ303+BU303+CP303+DK303</f>
        <v>360420.7</v>
      </c>
      <c r="EG303" s="849">
        <f t="shared" ref="EG303:EG304" si="865">AF303+BA303+BV303+CQ303+DL303</f>
        <v>360420.7</v>
      </c>
    </row>
    <row r="304" spans="1:137" ht="72" x14ac:dyDescent="0.25">
      <c r="A304" s="326" t="s">
        <v>671</v>
      </c>
      <c r="B304" s="61"/>
      <c r="C304" s="16" t="s">
        <v>488</v>
      </c>
      <c r="D304" s="196"/>
      <c r="E304" s="197"/>
      <c r="F304" s="98"/>
      <c r="G304" s="98"/>
      <c r="H304" s="98"/>
      <c r="I304" s="220"/>
      <c r="J304" s="220"/>
      <c r="K304" s="220"/>
      <c r="L304" s="198" t="s">
        <v>471</v>
      </c>
      <c r="M304" s="198" t="s">
        <v>471</v>
      </c>
      <c r="N304" s="198" t="s">
        <v>471</v>
      </c>
      <c r="O304" s="198" t="s">
        <v>471</v>
      </c>
      <c r="P304" s="198" t="s">
        <v>471</v>
      </c>
      <c r="Q304" s="198" t="s">
        <v>471</v>
      </c>
      <c r="R304" s="198" t="s">
        <v>471</v>
      </c>
      <c r="S304" s="198" t="s">
        <v>471</v>
      </c>
      <c r="T304" s="198" t="s">
        <v>471</v>
      </c>
      <c r="U304" s="198" t="s">
        <v>471</v>
      </c>
      <c r="V304" s="198" t="s">
        <v>471</v>
      </c>
      <c r="W304" s="198" t="s">
        <v>471</v>
      </c>
      <c r="X304" s="198" t="s">
        <v>471</v>
      </c>
      <c r="Y304" s="198" t="s">
        <v>471</v>
      </c>
      <c r="Z304" s="198" t="s">
        <v>471</v>
      </c>
      <c r="AA304" s="219"/>
      <c r="AB304" s="219"/>
      <c r="AC304" s="219"/>
      <c r="AD304" s="219">
        <v>23603100</v>
      </c>
      <c r="AE304" s="219">
        <v>23603100</v>
      </c>
      <c r="AF304" s="219">
        <v>23603100</v>
      </c>
      <c r="AG304" s="198" t="s">
        <v>471</v>
      </c>
      <c r="AH304" s="198" t="s">
        <v>471</v>
      </c>
      <c r="AI304" s="198" t="s">
        <v>471</v>
      </c>
      <c r="AJ304" s="198" t="s">
        <v>471</v>
      </c>
      <c r="AK304" s="198" t="s">
        <v>471</v>
      </c>
      <c r="AL304" s="198" t="s">
        <v>471</v>
      </c>
      <c r="AM304" s="198" t="s">
        <v>471</v>
      </c>
      <c r="AN304" s="198" t="s">
        <v>471</v>
      </c>
      <c r="AO304" s="198" t="s">
        <v>471</v>
      </c>
      <c r="AP304" s="198" t="s">
        <v>471</v>
      </c>
      <c r="AQ304" s="198" t="s">
        <v>471</v>
      </c>
      <c r="AR304" s="198" t="s">
        <v>471</v>
      </c>
      <c r="AS304" s="198" t="s">
        <v>471</v>
      </c>
      <c r="AT304" s="198" t="s">
        <v>471</v>
      </c>
      <c r="AU304" s="198" t="s">
        <v>471</v>
      </c>
      <c r="AV304" s="219"/>
      <c r="AW304" s="219"/>
      <c r="AX304" s="219"/>
      <c r="AY304" s="219">
        <v>12692200</v>
      </c>
      <c r="AZ304" s="219">
        <v>12692200</v>
      </c>
      <c r="BA304" s="219">
        <v>12692500</v>
      </c>
      <c r="BB304" s="198" t="s">
        <v>471</v>
      </c>
      <c r="BC304" s="198" t="s">
        <v>471</v>
      </c>
      <c r="BD304" s="198" t="s">
        <v>471</v>
      </c>
      <c r="BE304" s="198" t="s">
        <v>471</v>
      </c>
      <c r="BF304" s="198" t="s">
        <v>471</v>
      </c>
      <c r="BG304" s="198" t="s">
        <v>471</v>
      </c>
      <c r="BH304" s="198" t="s">
        <v>471</v>
      </c>
      <c r="BI304" s="198" t="s">
        <v>471</v>
      </c>
      <c r="BJ304" s="198" t="s">
        <v>471</v>
      </c>
      <c r="BK304" s="198" t="s">
        <v>471</v>
      </c>
      <c r="BL304" s="198" t="s">
        <v>471</v>
      </c>
      <c r="BM304" s="198" t="s">
        <v>471</v>
      </c>
      <c r="BN304" s="198" t="s">
        <v>471</v>
      </c>
      <c r="BO304" s="198" t="s">
        <v>471</v>
      </c>
      <c r="BP304" s="198" t="s">
        <v>471</v>
      </c>
      <c r="BQ304" s="219"/>
      <c r="BR304" s="219"/>
      <c r="BS304" s="219"/>
      <c r="BT304" s="219">
        <v>8123800</v>
      </c>
      <c r="BU304" s="219">
        <v>8123800</v>
      </c>
      <c r="BV304" s="219">
        <v>8123500</v>
      </c>
      <c r="BW304" s="198" t="s">
        <v>471</v>
      </c>
      <c r="BX304" s="198" t="s">
        <v>471</v>
      </c>
      <c r="BY304" s="198" t="s">
        <v>471</v>
      </c>
      <c r="BZ304" s="198" t="s">
        <v>471</v>
      </c>
      <c r="CA304" s="198" t="s">
        <v>471</v>
      </c>
      <c r="CB304" s="198" t="s">
        <v>471</v>
      </c>
      <c r="CC304" s="198" t="s">
        <v>471</v>
      </c>
      <c r="CD304" s="198" t="s">
        <v>471</v>
      </c>
      <c r="CE304" s="198" t="s">
        <v>471</v>
      </c>
      <c r="CF304" s="198" t="s">
        <v>471</v>
      </c>
      <c r="CG304" s="198" t="s">
        <v>471</v>
      </c>
      <c r="CH304" s="198" t="s">
        <v>471</v>
      </c>
      <c r="CI304" s="198" t="s">
        <v>471</v>
      </c>
      <c r="CJ304" s="198" t="s">
        <v>471</v>
      </c>
      <c r="CK304" s="198" t="s">
        <v>471</v>
      </c>
      <c r="CL304" s="219"/>
      <c r="CM304" s="219"/>
      <c r="CN304" s="219"/>
      <c r="CO304" s="219">
        <v>3242100</v>
      </c>
      <c r="CP304" s="219">
        <v>3242100</v>
      </c>
      <c r="CQ304" s="219">
        <v>3242100</v>
      </c>
      <c r="CR304" s="198" t="s">
        <v>471</v>
      </c>
      <c r="CS304" s="198" t="s">
        <v>471</v>
      </c>
      <c r="CT304" s="198" t="s">
        <v>471</v>
      </c>
      <c r="CU304" s="198" t="s">
        <v>471</v>
      </c>
      <c r="CV304" s="198" t="s">
        <v>471</v>
      </c>
      <c r="CW304" s="198" t="s">
        <v>471</v>
      </c>
      <c r="CX304" s="198" t="s">
        <v>471</v>
      </c>
      <c r="CY304" s="198" t="s">
        <v>471</v>
      </c>
      <c r="CZ304" s="198" t="s">
        <v>471</v>
      </c>
      <c r="DA304" s="198" t="s">
        <v>471</v>
      </c>
      <c r="DB304" s="198" t="s">
        <v>471</v>
      </c>
      <c r="DC304" s="198" t="s">
        <v>471</v>
      </c>
      <c r="DD304" s="198" t="s">
        <v>471</v>
      </c>
      <c r="DE304" s="198" t="s">
        <v>471</v>
      </c>
      <c r="DF304" s="198" t="s">
        <v>471</v>
      </c>
      <c r="DG304" s="219"/>
      <c r="DH304" s="219"/>
      <c r="DI304" s="219"/>
      <c r="DJ304" s="219">
        <v>852700</v>
      </c>
      <c r="DK304" s="219">
        <v>852700</v>
      </c>
      <c r="DL304" s="219">
        <v>852700</v>
      </c>
      <c r="DM304" s="198" t="s">
        <v>471</v>
      </c>
      <c r="DN304" s="198" t="s">
        <v>471</v>
      </c>
      <c r="DO304" s="198" t="s">
        <v>471</v>
      </c>
      <c r="DP304" s="198" t="s">
        <v>471</v>
      </c>
      <c r="DQ304" s="198" t="s">
        <v>471</v>
      </c>
      <c r="DR304" s="198" t="s">
        <v>471</v>
      </c>
      <c r="DS304" s="198" t="s">
        <v>471</v>
      </c>
      <c r="DT304" s="198" t="s">
        <v>471</v>
      </c>
      <c r="DU304" s="198" t="s">
        <v>471</v>
      </c>
      <c r="DV304" s="198" t="s">
        <v>471</v>
      </c>
      <c r="DW304" s="198" t="s">
        <v>471</v>
      </c>
      <c r="DX304" s="198" t="s">
        <v>471</v>
      </c>
      <c r="DY304" s="198" t="s">
        <v>471</v>
      </c>
      <c r="DZ304" s="198" t="s">
        <v>471</v>
      </c>
      <c r="EA304" s="198" t="s">
        <v>471</v>
      </c>
      <c r="EB304" s="231">
        <f t="shared" si="860"/>
        <v>0</v>
      </c>
      <c r="EC304" s="231">
        <f t="shared" si="861"/>
        <v>0</v>
      </c>
      <c r="ED304" s="231">
        <f t="shared" si="862"/>
        <v>0</v>
      </c>
      <c r="EE304" s="231">
        <f t="shared" si="863"/>
        <v>48513900</v>
      </c>
      <c r="EF304" s="231">
        <f t="shared" si="864"/>
        <v>48513900</v>
      </c>
      <c r="EG304" s="231">
        <f t="shared" si="865"/>
        <v>48513900</v>
      </c>
    </row>
    <row r="305" spans="1:137" s="855" customFormat="1" ht="12.75" hidden="1" x14ac:dyDescent="0.25">
      <c r="A305" s="855" t="s">
        <v>1187</v>
      </c>
      <c r="B305" s="856"/>
      <c r="J305" s="857"/>
      <c r="K305" s="857"/>
      <c r="L305" s="857"/>
      <c r="AD305" s="858">
        <f>AD247-AD276-AD304</f>
        <v>0</v>
      </c>
      <c r="AE305" s="858">
        <f>AE247-AE276-AE304</f>
        <v>0</v>
      </c>
      <c r="AF305" s="858">
        <f>AF247-AF276-AF304</f>
        <v>0</v>
      </c>
      <c r="AG305" s="857"/>
      <c r="AY305" s="858">
        <f>AY247-AY276-AY304</f>
        <v>0</v>
      </c>
      <c r="AZ305" s="858">
        <f>AZ247-AZ276-AZ304</f>
        <v>0</v>
      </c>
      <c r="BA305" s="858">
        <f>BA247-BA276-BA304</f>
        <v>0</v>
      </c>
      <c r="BB305" s="857"/>
      <c r="BT305" s="858">
        <f>BT247-BT276-BT304</f>
        <v>0</v>
      </c>
      <c r="BU305" s="858">
        <f>BU247-BU276-BU304</f>
        <v>0</v>
      </c>
      <c r="BV305" s="858">
        <f>BV247-BV276-BV304</f>
        <v>0</v>
      </c>
      <c r="BW305" s="857"/>
      <c r="CO305" s="858">
        <f>CO247-CO276-CO304</f>
        <v>0</v>
      </c>
      <c r="CP305" s="858">
        <f>CP247-CP276-CP304</f>
        <v>0</v>
      </c>
      <c r="CQ305" s="858">
        <f>CQ247-CQ276-CQ304</f>
        <v>0</v>
      </c>
      <c r="CR305" s="857"/>
      <c r="DJ305" s="858">
        <f>DJ247-DJ276-DJ304</f>
        <v>0</v>
      </c>
      <c r="DK305" s="858">
        <f>DK247-DK276-DK304</f>
        <v>0</v>
      </c>
      <c r="DL305" s="858">
        <f>DL247-DL276-DL304</f>
        <v>0</v>
      </c>
      <c r="DM305" s="857"/>
      <c r="EB305" s="859"/>
      <c r="EC305" s="859"/>
      <c r="ED305" s="859"/>
      <c r="EE305" s="858">
        <f>EE247-EE276-EE304</f>
        <v>0</v>
      </c>
      <c r="EF305" s="858">
        <f>EF247-EF276-EF304</f>
        <v>0</v>
      </c>
      <c r="EG305" s="858">
        <f>EG247-EG276-EG304</f>
        <v>0</v>
      </c>
    </row>
    <row r="306" spans="1:137" s="232" customFormat="1" ht="12.75" x14ac:dyDescent="0.25">
      <c r="B306" s="322"/>
      <c r="J306" s="233"/>
      <c r="K306" s="233"/>
      <c r="L306" s="233"/>
      <c r="AG306" s="233"/>
      <c r="BB306" s="233"/>
      <c r="BW306" s="233"/>
      <c r="CR306" s="233"/>
      <c r="DM306" s="233"/>
      <c r="EB306" s="234"/>
      <c r="EC306" s="234"/>
      <c r="ED306" s="234"/>
      <c r="EE306" s="234"/>
      <c r="EF306" s="234"/>
      <c r="EG306" s="234"/>
    </row>
    <row r="307" spans="1:137" x14ac:dyDescent="0.25">
      <c r="A307" s="1" t="s">
        <v>1184</v>
      </c>
      <c r="J307" s="81" t="s">
        <v>274</v>
      </c>
      <c r="K307" s="235"/>
      <c r="L307" s="235"/>
      <c r="M307" s="150"/>
      <c r="N307" s="150"/>
      <c r="O307" s="150"/>
      <c r="P307" s="150"/>
      <c r="Q307" s="150"/>
      <c r="R307" s="150"/>
      <c r="S307" s="150"/>
      <c r="T307" s="150"/>
      <c r="U307" s="150"/>
      <c r="V307" s="150"/>
      <c r="W307" s="150"/>
      <c r="X307" s="150"/>
      <c r="Y307" s="150"/>
      <c r="Z307" s="150"/>
      <c r="AA307" s="150"/>
      <c r="AB307" s="150"/>
      <c r="AC307" s="150"/>
      <c r="AD307" s="150"/>
      <c r="AE307" s="150"/>
      <c r="AF307" s="150"/>
      <c r="AG307" s="235"/>
      <c r="AH307" s="150"/>
      <c r="AI307" s="150"/>
      <c r="AJ307" s="150"/>
      <c r="AK307" s="150"/>
      <c r="AL307" s="150"/>
      <c r="AM307" s="150"/>
      <c r="AN307" s="150"/>
      <c r="AO307" s="150"/>
      <c r="AP307" s="232" t="s">
        <v>661</v>
      </c>
      <c r="AQ307" s="232"/>
      <c r="AR307" s="232"/>
      <c r="AS307" s="232"/>
      <c r="AT307" s="232"/>
      <c r="AU307" s="232"/>
      <c r="AV307" s="232"/>
      <c r="AW307" s="232" t="s">
        <v>662</v>
      </c>
      <c r="AX307" s="150"/>
      <c r="AY307" s="150"/>
      <c r="AZ307" s="150"/>
      <c r="BA307" s="150"/>
      <c r="BB307" s="235"/>
      <c r="BC307" s="150"/>
      <c r="BD307" s="150"/>
      <c r="BE307" s="150"/>
      <c r="BF307" s="150"/>
      <c r="BG307" s="150"/>
      <c r="BH307" s="150"/>
      <c r="BI307" s="150"/>
      <c r="BJ307" s="150"/>
      <c r="BK307" s="150"/>
      <c r="BL307" s="150"/>
      <c r="BM307" s="150"/>
      <c r="BN307" s="150"/>
      <c r="BO307" s="150"/>
      <c r="BP307" s="150"/>
      <c r="BQ307" s="150"/>
      <c r="BR307" s="150"/>
      <c r="BS307" s="150"/>
      <c r="BT307" s="150"/>
      <c r="BU307" s="150"/>
      <c r="BV307" s="150"/>
      <c r="BW307" s="235"/>
      <c r="BX307" s="150"/>
      <c r="BY307" s="150"/>
      <c r="BZ307" s="150"/>
      <c r="CA307" s="150"/>
      <c r="CB307" s="150"/>
      <c r="CC307" s="150"/>
      <c r="CD307" s="150"/>
      <c r="CE307" s="150"/>
      <c r="CF307" s="150"/>
      <c r="CG307" s="150"/>
      <c r="CH307" s="150"/>
      <c r="CI307" s="150"/>
      <c r="CJ307" s="150"/>
      <c r="CK307" s="150"/>
      <c r="CL307" s="150"/>
      <c r="CM307" s="150"/>
      <c r="CN307" s="150"/>
      <c r="CO307" s="150"/>
      <c r="CP307" s="150"/>
      <c r="CQ307" s="150"/>
      <c r="CR307" s="235"/>
      <c r="CS307" s="150"/>
      <c r="CT307" s="150"/>
      <c r="CU307" s="150"/>
      <c r="CV307" s="150"/>
      <c r="CW307" s="150"/>
      <c r="CX307" s="150"/>
      <c r="CY307" s="150"/>
      <c r="CZ307" s="150"/>
      <c r="DA307" s="150"/>
      <c r="DB307" s="150"/>
      <c r="DC307" s="150"/>
      <c r="DD307" s="150"/>
      <c r="DE307" s="150"/>
      <c r="DF307" s="150"/>
      <c r="DG307" s="150"/>
      <c r="DH307" s="150"/>
      <c r="DI307" s="150"/>
      <c r="DJ307" s="150"/>
      <c r="DK307" s="150"/>
      <c r="DL307" s="150"/>
      <c r="DM307" s="235"/>
      <c r="DN307" s="150"/>
      <c r="DO307" s="150"/>
      <c r="DP307" s="150"/>
      <c r="DQ307" s="150"/>
      <c r="DR307" s="150"/>
      <c r="DS307" s="150"/>
      <c r="DT307" s="150"/>
      <c r="DU307" s="150"/>
      <c r="DV307" s="150"/>
      <c r="DW307" s="150"/>
      <c r="DX307" s="150"/>
      <c r="DY307" s="150"/>
      <c r="DZ307" s="150"/>
      <c r="EA307" s="150"/>
      <c r="EB307" s="150"/>
      <c r="EC307" s="150"/>
      <c r="ED307" s="150"/>
      <c r="EE307" s="150"/>
      <c r="EF307" s="150"/>
      <c r="EG307" s="150"/>
    </row>
  </sheetData>
  <mergeCells count="162">
    <mergeCell ref="DS223:DU223"/>
    <mergeCell ref="DV223:DX223"/>
    <mergeCell ref="DY223:EA223"/>
    <mergeCell ref="EB223:ED223"/>
    <mergeCell ref="EE223:EG223"/>
    <mergeCell ref="DP223:DR223"/>
    <mergeCell ref="CI223:CK223"/>
    <mergeCell ref="CL223:CN223"/>
    <mergeCell ref="CO223:CQ223"/>
    <mergeCell ref="CR223:CT223"/>
    <mergeCell ref="CU223:CW223"/>
    <mergeCell ref="CX223:CZ223"/>
    <mergeCell ref="DA223:DC223"/>
    <mergeCell ref="DD223:DF223"/>
    <mergeCell ref="DG223:DI223"/>
    <mergeCell ref="DJ223:DL223"/>
    <mergeCell ref="DM223:DO223"/>
    <mergeCell ref="CF223:CH223"/>
    <mergeCell ref="AY223:BA223"/>
    <mergeCell ref="BB223:BD223"/>
    <mergeCell ref="BE223:BG223"/>
    <mergeCell ref="BH223:BJ223"/>
    <mergeCell ref="BK223:BM223"/>
    <mergeCell ref="BN223:BP223"/>
    <mergeCell ref="BQ223:BS223"/>
    <mergeCell ref="BT223:BV223"/>
    <mergeCell ref="BW223:BY223"/>
    <mergeCell ref="BZ223:CB223"/>
    <mergeCell ref="CC223:CE223"/>
    <mergeCell ref="E171:E176"/>
    <mergeCell ref="E201:E206"/>
    <mergeCell ref="A222:A223"/>
    <mergeCell ref="B222:B223"/>
    <mergeCell ref="F222:K222"/>
    <mergeCell ref="AV223:AX223"/>
    <mergeCell ref="AG222:BA222"/>
    <mergeCell ref="F223:H223"/>
    <mergeCell ref="I223:K223"/>
    <mergeCell ref="L223:N223"/>
    <mergeCell ref="O223:Q223"/>
    <mergeCell ref="R223:T223"/>
    <mergeCell ref="U223:W223"/>
    <mergeCell ref="X223:Z223"/>
    <mergeCell ref="AA223:AC223"/>
    <mergeCell ref="AD223:AF223"/>
    <mergeCell ref="AG223:AI223"/>
    <mergeCell ref="AJ223:AL223"/>
    <mergeCell ref="AM223:AO223"/>
    <mergeCell ref="AP223:AR223"/>
    <mergeCell ref="AS223:AU223"/>
    <mergeCell ref="E161:E166"/>
    <mergeCell ref="A9:J9"/>
    <mergeCell ref="A10:J10"/>
    <mergeCell ref="A11:J11"/>
    <mergeCell ref="A12:A14"/>
    <mergeCell ref="B12:B14"/>
    <mergeCell ref="C12:D13"/>
    <mergeCell ref="E12:E14"/>
    <mergeCell ref="F12:F14"/>
    <mergeCell ref="G12:G14"/>
    <mergeCell ref="H12:H14"/>
    <mergeCell ref="I12:J14"/>
    <mergeCell ref="I15:J15"/>
    <mergeCell ref="E50:E55"/>
    <mergeCell ref="E61:E66"/>
    <mergeCell ref="E151:E156"/>
    <mergeCell ref="AP254:AR254"/>
    <mergeCell ref="AS254:AU254"/>
    <mergeCell ref="AV254:AX254"/>
    <mergeCell ref="AY254:BA254"/>
    <mergeCell ref="BB254:BD254"/>
    <mergeCell ref="A253:A254"/>
    <mergeCell ref="B253:B254"/>
    <mergeCell ref="F253:K253"/>
    <mergeCell ref="AG253:BA253"/>
    <mergeCell ref="F254:H254"/>
    <mergeCell ref="I254:K254"/>
    <mergeCell ref="L254:N254"/>
    <mergeCell ref="O254:Q254"/>
    <mergeCell ref="R254:T254"/>
    <mergeCell ref="U254:W254"/>
    <mergeCell ref="X254:Z254"/>
    <mergeCell ref="AA254:AC254"/>
    <mergeCell ref="AD254:AF254"/>
    <mergeCell ref="AG254:AI254"/>
    <mergeCell ref="AJ254:AL254"/>
    <mergeCell ref="AM254:AO254"/>
    <mergeCell ref="BT254:BV254"/>
    <mergeCell ref="BW254:BY254"/>
    <mergeCell ref="BZ254:CB254"/>
    <mergeCell ref="CC254:CE254"/>
    <mergeCell ref="CF254:CH254"/>
    <mergeCell ref="BE254:BG254"/>
    <mergeCell ref="BH254:BJ254"/>
    <mergeCell ref="BK254:BM254"/>
    <mergeCell ref="BN254:BP254"/>
    <mergeCell ref="BQ254:BS254"/>
    <mergeCell ref="DV254:DX254"/>
    <mergeCell ref="DY254:EA254"/>
    <mergeCell ref="CX254:CZ254"/>
    <mergeCell ref="DA254:DC254"/>
    <mergeCell ref="DD254:DF254"/>
    <mergeCell ref="DG254:DI254"/>
    <mergeCell ref="DJ254:DL254"/>
    <mergeCell ref="CI254:CK254"/>
    <mergeCell ref="CL254:CN254"/>
    <mergeCell ref="CO254:CQ254"/>
    <mergeCell ref="CR254:CT254"/>
    <mergeCell ref="CU254:CW254"/>
    <mergeCell ref="AJ282:AL282"/>
    <mergeCell ref="AM282:AO282"/>
    <mergeCell ref="AP282:AR282"/>
    <mergeCell ref="AS282:AU282"/>
    <mergeCell ref="AV282:AX282"/>
    <mergeCell ref="EB254:ED254"/>
    <mergeCell ref="EE254:EG254"/>
    <mergeCell ref="A281:A282"/>
    <mergeCell ref="B281:B282"/>
    <mergeCell ref="F281:K281"/>
    <mergeCell ref="AG281:BA281"/>
    <mergeCell ref="F282:H282"/>
    <mergeCell ref="I282:K282"/>
    <mergeCell ref="L282:N282"/>
    <mergeCell ref="O282:Q282"/>
    <mergeCell ref="R282:T282"/>
    <mergeCell ref="U282:W282"/>
    <mergeCell ref="X282:Z282"/>
    <mergeCell ref="AA282:AC282"/>
    <mergeCell ref="AD282:AF282"/>
    <mergeCell ref="AG282:AI282"/>
    <mergeCell ref="DM254:DO254"/>
    <mergeCell ref="DP254:DR254"/>
    <mergeCell ref="DS254:DU254"/>
    <mergeCell ref="BN282:BP282"/>
    <mergeCell ref="BQ282:BS282"/>
    <mergeCell ref="BT282:BV282"/>
    <mergeCell ref="BW282:BY282"/>
    <mergeCell ref="BZ282:CB282"/>
    <mergeCell ref="AY282:BA282"/>
    <mergeCell ref="BB282:BD282"/>
    <mergeCell ref="BE282:BG282"/>
    <mergeCell ref="BH282:BJ282"/>
    <mergeCell ref="BK282:BM282"/>
    <mergeCell ref="CR282:CT282"/>
    <mergeCell ref="CU282:CW282"/>
    <mergeCell ref="CX282:CZ282"/>
    <mergeCell ref="DA282:DC282"/>
    <mergeCell ref="DD282:DF282"/>
    <mergeCell ref="CC282:CE282"/>
    <mergeCell ref="CF282:CH282"/>
    <mergeCell ref="CI282:CK282"/>
    <mergeCell ref="CL282:CN282"/>
    <mergeCell ref="CO282:CQ282"/>
    <mergeCell ref="DV282:DX282"/>
    <mergeCell ref="DY282:EA282"/>
    <mergeCell ref="EB282:ED282"/>
    <mergeCell ref="EE282:EG282"/>
    <mergeCell ref="DG282:DI282"/>
    <mergeCell ref="DJ282:DL282"/>
    <mergeCell ref="DM282:DO282"/>
    <mergeCell ref="DP282:DR282"/>
    <mergeCell ref="DS282:DU282"/>
  </mergeCells>
  <pageMargins left="0.31496062992125984" right="0.11811023622047245" top="0.15748031496062992" bottom="0.15748031496062992" header="0.19685039370078741" footer="0.11811023622047245"/>
  <pageSetup paperSize="9" scale="75" fitToWidth="6" fitToHeight="0" orientation="portrait" verticalDpi="0" r:id="rId1"/>
  <rowBreaks count="2" manualBreakCount="2">
    <brk id="251" max="115" man="1"/>
    <brk id="279" max="115" man="1"/>
  </rowBreaks>
  <colBreaks count="1" manualBreakCount="1">
    <brk id="11" max="306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04353-37F8-4FC9-AF8F-26446D8B50E1}">
  <dimension ref="A1:BQ135"/>
  <sheetViews>
    <sheetView zoomScale="78" zoomScaleNormal="78" workbookViewId="0">
      <pane xSplit="1" ySplit="14" topLeftCell="B15" activePane="bottomRight" state="frozen"/>
      <selection activeCell="CJ160" sqref="CJ160"/>
      <selection pane="topRight" activeCell="CJ160" sqref="CJ160"/>
      <selection pane="bottomLeft" activeCell="CJ160" sqref="CJ160"/>
      <selection pane="bottomRight" activeCell="M145" sqref="M145"/>
    </sheetView>
  </sheetViews>
  <sheetFormatPr defaultRowHeight="15" x14ac:dyDescent="0.25"/>
  <cols>
    <col min="1" max="1" width="25.7109375" style="417" customWidth="1"/>
    <col min="2" max="2" width="13.5703125" style="417" customWidth="1"/>
    <col min="3" max="3" width="11.7109375" style="417" customWidth="1"/>
    <col min="4" max="4" width="12.28515625" style="417" customWidth="1"/>
    <col min="5" max="5" width="13.28515625" style="417" customWidth="1"/>
    <col min="6" max="6" width="17.28515625" style="417" customWidth="1"/>
    <col min="7" max="7" width="16" style="417" customWidth="1"/>
    <col min="8" max="8" width="21.85546875" style="417" customWidth="1"/>
    <col min="9" max="9" width="13.140625" style="417" customWidth="1"/>
    <col min="10" max="10" width="17.28515625" style="417" customWidth="1"/>
    <col min="11" max="11" width="18.7109375" style="417" customWidth="1"/>
    <col min="12" max="14" width="13.5703125" style="417" customWidth="1"/>
    <col min="15" max="15" width="13" style="417" customWidth="1"/>
    <col min="16" max="16" width="21" style="417" customWidth="1"/>
    <col min="17" max="17" width="14.28515625" style="417" customWidth="1"/>
    <col min="18" max="18" width="16.28515625" style="417" customWidth="1"/>
    <col min="19" max="19" width="13.140625" style="417" customWidth="1"/>
    <col min="20" max="20" width="16.85546875" style="417" customWidth="1"/>
    <col min="21" max="21" width="13.5703125" style="417" customWidth="1"/>
    <col min="22" max="22" width="10.85546875" style="417" customWidth="1"/>
    <col min="23" max="23" width="14.7109375" style="417" customWidth="1"/>
    <col min="24" max="24" width="14.42578125" style="417" customWidth="1"/>
    <col min="25" max="25" width="14.5703125" style="417" customWidth="1"/>
    <col min="26" max="26" width="14.7109375" style="417" customWidth="1"/>
    <col min="27" max="28" width="14.28515625" style="417" customWidth="1"/>
    <col min="29" max="29" width="17.28515625" style="417" customWidth="1"/>
    <col min="30" max="30" width="13.140625" style="417" customWidth="1"/>
    <col min="31" max="31" width="17.140625" style="417" customWidth="1"/>
    <col min="32" max="32" width="14.7109375" style="417" customWidth="1"/>
    <col min="33" max="33" width="9.140625" style="417"/>
    <col min="34" max="34" width="11.42578125" style="417" customWidth="1"/>
    <col min="35" max="35" width="10.28515625" style="417" customWidth="1"/>
    <col min="36" max="36" width="13.28515625" style="417" customWidth="1"/>
    <col min="37" max="37" width="9.140625" style="417"/>
    <col min="38" max="38" width="12.5703125" style="417" customWidth="1"/>
    <col min="39" max="39" width="12.85546875" style="417" customWidth="1"/>
    <col min="40" max="40" width="14.140625" style="417" customWidth="1"/>
    <col min="41" max="41" width="9.140625" style="417"/>
    <col min="42" max="42" width="15.28515625" style="417" customWidth="1"/>
    <col min="43" max="43" width="17.42578125" style="417" customWidth="1"/>
    <col min="44" max="44" width="17" style="417" customWidth="1"/>
    <col min="45" max="45" width="19.5703125" style="417" customWidth="1"/>
    <col min="46" max="46" width="14.28515625" style="417" customWidth="1"/>
    <col min="47" max="47" width="16.5703125" style="417" customWidth="1"/>
    <col min="48" max="48" width="13.140625" style="417" customWidth="1"/>
    <col min="49" max="49" width="16.5703125" style="417" customWidth="1"/>
    <col min="50" max="50" width="14.7109375" style="417" customWidth="1"/>
    <col min="51" max="53" width="16" style="417" customWidth="1"/>
    <col min="54" max="54" width="18.28515625" style="417" customWidth="1"/>
    <col min="55" max="56" width="16" style="417" customWidth="1"/>
    <col min="57" max="57" width="13.140625" style="417" customWidth="1"/>
    <col min="58" max="59" width="16" style="417" customWidth="1"/>
    <col min="60" max="60" width="23.5703125" style="417" customWidth="1"/>
    <col min="61" max="62" width="15" style="417" customWidth="1"/>
    <col min="63" max="65" width="19.7109375" style="417" customWidth="1"/>
    <col min="66" max="66" width="16.140625" style="417" customWidth="1"/>
    <col min="67" max="67" width="17.5703125" style="417" customWidth="1"/>
    <col min="68" max="68" width="13.140625" style="416" customWidth="1"/>
    <col min="69" max="69" width="12.140625" style="416" customWidth="1"/>
    <col min="70" max="16384" width="9.140625" style="416"/>
  </cols>
  <sheetData>
    <row r="1" spans="1:69" x14ac:dyDescent="0.25">
      <c r="A1" s="413"/>
      <c r="B1" s="413"/>
      <c r="C1" s="413"/>
      <c r="D1" s="413"/>
      <c r="E1" s="413"/>
      <c r="F1" s="413"/>
      <c r="G1" s="414"/>
      <c r="H1" s="414"/>
      <c r="I1" s="415"/>
      <c r="J1" s="414"/>
      <c r="K1" s="414"/>
      <c r="L1" s="413"/>
      <c r="M1" s="413"/>
      <c r="N1" s="413"/>
      <c r="O1" s="413"/>
      <c r="P1" s="413"/>
      <c r="Q1" s="413"/>
      <c r="R1" s="414"/>
      <c r="S1" s="415"/>
      <c r="T1" s="414"/>
      <c r="U1" s="414"/>
      <c r="V1" s="413"/>
      <c r="W1" s="413"/>
      <c r="X1" s="413"/>
      <c r="Y1" s="413"/>
      <c r="Z1" s="413"/>
      <c r="AA1" s="413"/>
      <c r="AB1" s="413"/>
      <c r="AC1" s="414"/>
      <c r="AD1" s="415"/>
      <c r="AE1" s="414"/>
      <c r="AF1" s="414"/>
      <c r="AG1" s="413"/>
      <c r="AH1" s="413"/>
      <c r="AI1" s="413"/>
      <c r="AJ1" s="413"/>
      <c r="AK1" s="413"/>
      <c r="AL1" s="413"/>
      <c r="AM1" s="413"/>
      <c r="AN1" s="413"/>
      <c r="AO1" s="413"/>
      <c r="AP1" s="413"/>
      <c r="AQ1" s="413"/>
      <c r="AR1" s="413"/>
      <c r="AS1" s="413"/>
      <c r="AT1" s="414"/>
      <c r="AU1" s="414"/>
      <c r="AV1" s="415"/>
      <c r="AW1" s="414"/>
      <c r="AX1" s="414"/>
      <c r="AY1" s="414"/>
      <c r="AZ1" s="414"/>
      <c r="BA1" s="414"/>
      <c r="BB1" s="414"/>
      <c r="BC1" s="414"/>
      <c r="BD1" s="414"/>
      <c r="BE1" s="415"/>
      <c r="BF1" s="414"/>
      <c r="BG1" s="414"/>
      <c r="BH1" s="414"/>
      <c r="BI1" s="414"/>
      <c r="BJ1" s="414"/>
      <c r="BK1" s="414"/>
      <c r="BL1" s="414"/>
      <c r="BM1" s="414"/>
      <c r="BN1" s="259"/>
      <c r="BO1" s="259"/>
    </row>
    <row r="2" spans="1:69" ht="15.75" x14ac:dyDescent="0.25">
      <c r="B2" s="418" t="s">
        <v>830</v>
      </c>
      <c r="C2" s="418"/>
      <c r="D2" s="418"/>
      <c r="E2" s="418"/>
      <c r="F2" s="418"/>
      <c r="G2" s="418"/>
      <c r="H2" s="419"/>
      <c r="I2" s="419"/>
      <c r="J2" s="419"/>
      <c r="K2" s="419"/>
      <c r="L2" s="419"/>
      <c r="M2" s="419"/>
      <c r="N2" s="419"/>
      <c r="O2" s="419"/>
      <c r="P2" s="419"/>
      <c r="Q2" s="419"/>
      <c r="R2" s="419"/>
      <c r="S2" s="419"/>
      <c r="T2" s="419"/>
      <c r="U2" s="419"/>
      <c r="V2" s="419"/>
      <c r="W2" s="419"/>
      <c r="X2" s="419"/>
      <c r="Y2" s="419"/>
      <c r="Z2" s="419"/>
      <c r="AA2" s="419"/>
      <c r="AB2" s="419"/>
      <c r="AC2" s="419"/>
      <c r="AD2" s="419"/>
      <c r="AE2" s="419"/>
      <c r="AF2" s="419"/>
      <c r="AG2" s="419"/>
      <c r="AH2" s="419"/>
      <c r="AI2" s="419"/>
      <c r="AJ2" s="419"/>
      <c r="AK2" s="419"/>
      <c r="AL2" s="419"/>
      <c r="AM2" s="419"/>
      <c r="AN2" s="419"/>
      <c r="AO2" s="419"/>
      <c r="AP2" s="419"/>
      <c r="AQ2" s="419"/>
      <c r="AR2" s="419"/>
      <c r="AS2" s="419"/>
      <c r="AT2" s="419"/>
      <c r="AU2" s="419"/>
      <c r="AV2" s="419"/>
      <c r="AW2" s="419"/>
      <c r="AX2" s="419"/>
      <c r="AY2" s="420"/>
      <c r="AZ2" s="420"/>
      <c r="BA2" s="420"/>
      <c r="BB2" s="420"/>
      <c r="BC2" s="420"/>
      <c r="BD2" s="420"/>
      <c r="BE2" s="419"/>
      <c r="BF2" s="420"/>
      <c r="BG2" s="420"/>
      <c r="BH2" s="328"/>
      <c r="BI2" s="328"/>
      <c r="BJ2" s="328"/>
      <c r="BK2" s="328"/>
      <c r="BL2" s="328"/>
      <c r="BM2" s="328"/>
      <c r="BN2" s="260"/>
      <c r="BO2" s="260"/>
    </row>
    <row r="3" spans="1:69" ht="15.75" x14ac:dyDescent="0.25">
      <c r="B3" s="418" t="s">
        <v>591</v>
      </c>
      <c r="C3" s="418"/>
      <c r="D3" s="418"/>
      <c r="E3" s="418"/>
      <c r="F3" s="418"/>
      <c r="G3" s="418"/>
      <c r="H3" s="419"/>
      <c r="I3" s="419"/>
      <c r="J3" s="419"/>
      <c r="K3" s="419"/>
      <c r="L3" s="419"/>
      <c r="M3" s="419"/>
      <c r="N3" s="419"/>
      <c r="O3" s="419"/>
      <c r="P3" s="419"/>
      <c r="Q3" s="419"/>
      <c r="R3" s="419"/>
      <c r="S3" s="419"/>
      <c r="T3" s="419"/>
      <c r="U3" s="419"/>
      <c r="V3" s="419"/>
      <c r="W3" s="419"/>
      <c r="X3" s="419"/>
      <c r="Y3" s="419"/>
      <c r="Z3" s="419"/>
      <c r="AA3" s="419"/>
      <c r="AB3" s="419"/>
      <c r="AC3" s="419"/>
      <c r="AD3" s="419"/>
      <c r="AE3" s="419"/>
      <c r="AF3" s="419"/>
      <c r="AG3" s="419"/>
      <c r="AH3" s="419"/>
      <c r="AI3" s="419"/>
      <c r="AJ3" s="419"/>
      <c r="AK3" s="419"/>
      <c r="AL3" s="419"/>
      <c r="AM3" s="419"/>
      <c r="AN3" s="419"/>
      <c r="AO3" s="419"/>
      <c r="AP3" s="419"/>
      <c r="AQ3" s="419"/>
      <c r="AR3" s="419"/>
      <c r="AS3" s="419"/>
      <c r="AT3" s="419"/>
      <c r="AU3" s="419"/>
      <c r="AV3" s="419"/>
      <c r="AW3" s="419"/>
      <c r="AX3" s="419"/>
      <c r="AY3" s="420"/>
      <c r="AZ3" s="420"/>
      <c r="BA3" s="420"/>
      <c r="BB3" s="420"/>
      <c r="BC3" s="420"/>
      <c r="BD3" s="420"/>
      <c r="BE3" s="419"/>
      <c r="BF3" s="420"/>
      <c r="BG3" s="420"/>
      <c r="BH3" s="328"/>
      <c r="BI3" s="328"/>
      <c r="BJ3" s="328"/>
      <c r="BK3" s="328"/>
      <c r="BL3" s="328"/>
      <c r="BM3" s="328"/>
      <c r="BN3" s="260"/>
      <c r="BO3" s="260"/>
    </row>
    <row r="4" spans="1:69" ht="6.75" customHeight="1" x14ac:dyDescent="0.25">
      <c r="B4" s="418"/>
      <c r="C4" s="418"/>
      <c r="D4" s="418"/>
      <c r="E4" s="418"/>
      <c r="F4" s="418"/>
      <c r="G4" s="418"/>
      <c r="H4" s="419"/>
      <c r="I4" s="419"/>
      <c r="J4" s="419"/>
      <c r="K4" s="419"/>
      <c r="L4" s="419"/>
      <c r="M4" s="419"/>
      <c r="N4" s="419"/>
      <c r="O4" s="419"/>
      <c r="P4" s="419"/>
      <c r="Q4" s="419"/>
      <c r="R4" s="419"/>
      <c r="S4" s="419"/>
      <c r="T4" s="419"/>
      <c r="U4" s="419"/>
      <c r="V4" s="419"/>
      <c r="W4" s="419"/>
      <c r="X4" s="419"/>
      <c r="Y4" s="419"/>
      <c r="Z4" s="419"/>
      <c r="AA4" s="419"/>
      <c r="AB4" s="419"/>
      <c r="AC4" s="419"/>
      <c r="AD4" s="419"/>
      <c r="AE4" s="419"/>
      <c r="AF4" s="419"/>
      <c r="AG4" s="419"/>
      <c r="AH4" s="419"/>
      <c r="AI4" s="419"/>
      <c r="AJ4" s="419"/>
      <c r="AK4" s="419"/>
      <c r="AL4" s="419"/>
      <c r="AM4" s="419"/>
      <c r="AN4" s="419"/>
      <c r="AO4" s="419"/>
      <c r="AP4" s="419"/>
      <c r="AQ4" s="419"/>
      <c r="AR4" s="419"/>
      <c r="AS4" s="419"/>
      <c r="AT4" s="419"/>
      <c r="AU4" s="419"/>
      <c r="AV4" s="419"/>
      <c r="AW4" s="419"/>
      <c r="AX4" s="419"/>
      <c r="AY4" s="420"/>
      <c r="AZ4" s="420"/>
      <c r="BA4" s="420"/>
      <c r="BB4" s="420"/>
      <c r="BC4" s="420"/>
      <c r="BD4" s="420"/>
      <c r="BE4" s="419"/>
      <c r="BF4" s="420"/>
      <c r="BG4" s="420"/>
      <c r="BH4" s="328"/>
      <c r="BI4" s="328"/>
      <c r="BJ4" s="328"/>
      <c r="BK4" s="328"/>
      <c r="BL4" s="328"/>
      <c r="BM4" s="328"/>
      <c r="BN4" s="260"/>
      <c r="BO4" s="260"/>
    </row>
    <row r="5" spans="1:69" ht="15.75" x14ac:dyDescent="0.25">
      <c r="B5" s="418" t="s">
        <v>386</v>
      </c>
      <c r="C5" s="418"/>
      <c r="D5" s="418"/>
      <c r="E5" s="418"/>
      <c r="F5" s="418"/>
      <c r="G5" s="418"/>
      <c r="H5" s="419"/>
      <c r="I5" s="419"/>
      <c r="J5" s="419"/>
      <c r="K5" s="419"/>
      <c r="L5" s="419"/>
      <c r="M5" s="419"/>
      <c r="N5" s="419"/>
      <c r="O5" s="419"/>
      <c r="P5" s="419"/>
      <c r="Q5" s="419"/>
      <c r="R5" s="419"/>
      <c r="S5" s="419"/>
      <c r="T5" s="419"/>
      <c r="U5" s="419"/>
      <c r="V5" s="419"/>
      <c r="W5" s="419"/>
      <c r="X5" s="419"/>
      <c r="Y5" s="419"/>
      <c r="Z5" s="419"/>
      <c r="AA5" s="419"/>
      <c r="AB5" s="419"/>
      <c r="AC5" s="419"/>
      <c r="AD5" s="419"/>
      <c r="AE5" s="419"/>
      <c r="AF5" s="419"/>
      <c r="AG5" s="419"/>
      <c r="AH5" s="419"/>
      <c r="AI5" s="419"/>
      <c r="AJ5" s="419"/>
      <c r="AK5" s="419"/>
      <c r="AL5" s="419"/>
      <c r="AM5" s="419"/>
      <c r="AN5" s="419"/>
      <c r="AO5" s="419"/>
      <c r="AP5" s="419"/>
      <c r="AQ5" s="419"/>
      <c r="AR5" s="419"/>
      <c r="AS5" s="419"/>
      <c r="AT5" s="419"/>
      <c r="AU5" s="419"/>
      <c r="AV5" s="419"/>
      <c r="AW5" s="419"/>
      <c r="AX5" s="419"/>
      <c r="AY5" s="420"/>
      <c r="AZ5" s="420"/>
      <c r="BA5" s="420"/>
      <c r="BB5" s="420"/>
      <c r="BC5" s="420"/>
      <c r="BD5" s="420"/>
      <c r="BE5" s="419"/>
      <c r="BF5" s="420"/>
      <c r="BG5" s="420"/>
      <c r="BH5" s="328"/>
      <c r="BI5" s="328"/>
      <c r="BJ5" s="328"/>
      <c r="BK5" s="328"/>
      <c r="BL5" s="328"/>
      <c r="BM5" s="328"/>
      <c r="BN5" s="260"/>
      <c r="BO5" s="260"/>
    </row>
    <row r="6" spans="1:69" ht="18.75" customHeight="1" x14ac:dyDescent="0.25">
      <c r="A6" s="414"/>
      <c r="B6" s="421" t="s">
        <v>705</v>
      </c>
      <c r="C6" s="413"/>
      <c r="D6" s="413"/>
      <c r="E6" s="413"/>
      <c r="F6" s="413"/>
      <c r="G6" s="414"/>
      <c r="H6" s="414"/>
      <c r="I6" s="415"/>
      <c r="J6" s="414"/>
      <c r="K6" s="414"/>
      <c r="L6" s="413"/>
      <c r="M6" s="413"/>
      <c r="N6" s="413"/>
      <c r="O6" s="413"/>
      <c r="P6" s="413"/>
      <c r="Q6" s="413"/>
      <c r="R6" s="414"/>
      <c r="S6" s="415"/>
      <c r="T6" s="414"/>
      <c r="U6" s="414"/>
      <c r="V6" s="413"/>
      <c r="W6" s="413"/>
      <c r="X6" s="413"/>
      <c r="Y6" s="413"/>
      <c r="Z6" s="413"/>
      <c r="AA6" s="413"/>
      <c r="AB6" s="413"/>
      <c r="AC6" s="414"/>
      <c r="AD6" s="415"/>
      <c r="AE6" s="414"/>
      <c r="AF6" s="414"/>
      <c r="AG6" s="413"/>
      <c r="AH6" s="413"/>
      <c r="AI6" s="413"/>
      <c r="AJ6" s="413"/>
      <c r="AK6" s="413"/>
      <c r="AL6" s="413"/>
      <c r="AM6" s="413"/>
      <c r="AN6" s="413"/>
      <c r="AO6" s="413"/>
      <c r="AP6" s="413"/>
      <c r="AQ6" s="413"/>
      <c r="AR6" s="413"/>
      <c r="AS6" s="413"/>
      <c r="AT6" s="414"/>
      <c r="AU6" s="414"/>
      <c r="AV6" s="415"/>
      <c r="AW6" s="414"/>
      <c r="AX6" s="414"/>
      <c r="AY6" s="414"/>
      <c r="AZ6" s="414"/>
      <c r="BA6" s="414"/>
      <c r="BB6" s="414"/>
      <c r="BC6" s="414"/>
      <c r="BD6" s="414"/>
      <c r="BE6" s="415"/>
      <c r="BF6" s="414"/>
      <c r="BG6" s="414"/>
      <c r="BH6" s="414"/>
      <c r="BI6" s="414"/>
      <c r="BJ6" s="414"/>
      <c r="BK6" s="414"/>
      <c r="BL6" s="414"/>
      <c r="BM6" s="414"/>
      <c r="BN6" s="260"/>
      <c r="BO6" s="260"/>
    </row>
    <row r="7" spans="1:69" ht="15.75" customHeight="1" x14ac:dyDescent="0.25">
      <c r="A7" s="1129" t="s">
        <v>592</v>
      </c>
      <c r="B7" s="1130" t="s">
        <v>593</v>
      </c>
      <c r="C7" s="1131"/>
      <c r="D7" s="1131"/>
      <c r="E7" s="1131"/>
      <c r="F7" s="1131"/>
      <c r="G7" s="1131"/>
      <c r="H7" s="1131"/>
      <c r="I7" s="1131"/>
      <c r="J7" s="1131"/>
      <c r="K7" s="1132"/>
      <c r="L7" s="1133" t="s">
        <v>594</v>
      </c>
      <c r="M7" s="1134"/>
      <c r="N7" s="1134"/>
      <c r="O7" s="1134"/>
      <c r="P7" s="1134"/>
      <c r="Q7" s="1134"/>
      <c r="R7" s="1134"/>
      <c r="S7" s="1134"/>
      <c r="T7" s="1134"/>
      <c r="U7" s="1135"/>
      <c r="V7" s="1130" t="s">
        <v>595</v>
      </c>
      <c r="W7" s="1131"/>
      <c r="X7" s="1131"/>
      <c r="Y7" s="1131"/>
      <c r="Z7" s="1131"/>
      <c r="AA7" s="1131"/>
      <c r="AB7" s="1131"/>
      <c r="AC7" s="1131"/>
      <c r="AD7" s="1131"/>
      <c r="AE7" s="1131"/>
      <c r="AF7" s="1132"/>
      <c r="AG7" s="1133" t="s">
        <v>596</v>
      </c>
      <c r="AH7" s="1134"/>
      <c r="AI7" s="1134"/>
      <c r="AJ7" s="1134"/>
      <c r="AK7" s="1134"/>
      <c r="AL7" s="1134"/>
      <c r="AM7" s="1134"/>
      <c r="AN7" s="1134"/>
      <c r="AO7" s="1134"/>
      <c r="AP7" s="1134"/>
      <c r="AQ7" s="1134"/>
      <c r="AR7" s="1134"/>
      <c r="AS7" s="1134"/>
      <c r="AT7" s="1134"/>
      <c r="AU7" s="1134"/>
      <c r="AV7" s="1134"/>
      <c r="AW7" s="1134"/>
      <c r="AX7" s="1135"/>
      <c r="AY7" s="1116" t="s">
        <v>621</v>
      </c>
      <c r="AZ7" s="1116"/>
      <c r="BA7" s="1116"/>
      <c r="BB7" s="1116"/>
      <c r="BC7" s="1116"/>
      <c r="BD7" s="1116"/>
      <c r="BE7" s="1116"/>
      <c r="BF7" s="1116"/>
      <c r="BG7" s="1116"/>
      <c r="BH7" s="1152" t="s">
        <v>831</v>
      </c>
      <c r="BI7" s="1155" t="s">
        <v>683</v>
      </c>
      <c r="BJ7" s="1155" t="s">
        <v>832</v>
      </c>
      <c r="BK7" s="1158" t="s">
        <v>833</v>
      </c>
      <c r="BL7" s="1161" t="s">
        <v>834</v>
      </c>
      <c r="BM7" s="1164" t="s">
        <v>684</v>
      </c>
      <c r="BN7" s="1164"/>
      <c r="BO7" s="1118" t="s">
        <v>685</v>
      </c>
    </row>
    <row r="8" spans="1:69" ht="15" customHeight="1" x14ac:dyDescent="0.25">
      <c r="A8" s="1129"/>
      <c r="B8" s="1148" t="s">
        <v>597</v>
      </c>
      <c r="C8" s="1149" t="s">
        <v>835</v>
      </c>
      <c r="D8" s="1149" t="s">
        <v>836</v>
      </c>
      <c r="E8" s="1149" t="s">
        <v>837</v>
      </c>
      <c r="F8" s="1148" t="s">
        <v>598</v>
      </c>
      <c r="G8" s="1148"/>
      <c r="H8" s="1142" t="s">
        <v>687</v>
      </c>
      <c r="I8" s="1142" t="s">
        <v>686</v>
      </c>
      <c r="J8" s="1142" t="s">
        <v>599</v>
      </c>
      <c r="K8" s="1142" t="s">
        <v>600</v>
      </c>
      <c r="L8" s="1117" t="s">
        <v>601</v>
      </c>
      <c r="M8" s="1117" t="s">
        <v>838</v>
      </c>
      <c r="N8" s="1117" t="s">
        <v>839</v>
      </c>
      <c r="O8" s="1117" t="s">
        <v>840</v>
      </c>
      <c r="P8" s="1117" t="s">
        <v>602</v>
      </c>
      <c r="Q8" s="1117"/>
      <c r="R8" s="1145" t="s">
        <v>687</v>
      </c>
      <c r="S8" s="1145" t="s">
        <v>686</v>
      </c>
      <c r="T8" s="1145" t="s">
        <v>599</v>
      </c>
      <c r="U8" s="1145" t="s">
        <v>600</v>
      </c>
      <c r="V8" s="1148" t="s">
        <v>603</v>
      </c>
      <c r="W8" s="1148" t="s">
        <v>841</v>
      </c>
      <c r="X8" s="1148" t="s">
        <v>842</v>
      </c>
      <c r="Y8" s="1148" t="s">
        <v>843</v>
      </c>
      <c r="Z8" s="1136" t="s">
        <v>604</v>
      </c>
      <c r="AA8" s="1137"/>
      <c r="AB8" s="1138"/>
      <c r="AC8" s="1142" t="s">
        <v>687</v>
      </c>
      <c r="AD8" s="1142" t="s">
        <v>686</v>
      </c>
      <c r="AE8" s="1142" t="s">
        <v>599</v>
      </c>
      <c r="AF8" s="1142" t="s">
        <v>600</v>
      </c>
      <c r="AG8" s="1119" t="s">
        <v>605</v>
      </c>
      <c r="AH8" s="1119" t="s">
        <v>844</v>
      </c>
      <c r="AI8" s="1119" t="s">
        <v>845</v>
      </c>
      <c r="AJ8" s="1122" t="s">
        <v>846</v>
      </c>
      <c r="AK8" s="1125" t="s">
        <v>606</v>
      </c>
      <c r="AL8" s="1119" t="s">
        <v>847</v>
      </c>
      <c r="AM8" s="1119" t="s">
        <v>848</v>
      </c>
      <c r="AN8" s="1122" t="s">
        <v>849</v>
      </c>
      <c r="AO8" s="1125" t="s">
        <v>688</v>
      </c>
      <c r="AP8" s="1117" t="s">
        <v>607</v>
      </c>
      <c r="AQ8" s="1117"/>
      <c r="AR8" s="1117"/>
      <c r="AS8" s="1117"/>
      <c r="AT8" s="1117"/>
      <c r="AU8" s="1145" t="s">
        <v>687</v>
      </c>
      <c r="AV8" s="1145" t="s">
        <v>686</v>
      </c>
      <c r="AW8" s="1145" t="s">
        <v>599</v>
      </c>
      <c r="AX8" s="1145" t="s">
        <v>600</v>
      </c>
      <c r="AY8" s="1165" t="s">
        <v>622</v>
      </c>
      <c r="AZ8" s="1165"/>
      <c r="BA8" s="1165"/>
      <c r="BB8" s="1165"/>
      <c r="BC8" s="1118" t="s">
        <v>689</v>
      </c>
      <c r="BD8" s="1118" t="s">
        <v>850</v>
      </c>
      <c r="BE8" s="1142" t="s">
        <v>686</v>
      </c>
      <c r="BF8" s="1166" t="s">
        <v>600</v>
      </c>
      <c r="BG8" s="1167"/>
      <c r="BH8" s="1153"/>
      <c r="BI8" s="1156"/>
      <c r="BJ8" s="1156"/>
      <c r="BK8" s="1159"/>
      <c r="BL8" s="1162"/>
      <c r="BM8" s="1172" t="s">
        <v>608</v>
      </c>
      <c r="BN8" s="1172" t="s">
        <v>609</v>
      </c>
      <c r="BO8" s="1118"/>
    </row>
    <row r="9" spans="1:69" x14ac:dyDescent="0.25">
      <c r="A9" s="1129"/>
      <c r="B9" s="1148"/>
      <c r="C9" s="1150"/>
      <c r="D9" s="1150"/>
      <c r="E9" s="1150"/>
      <c r="F9" s="1148"/>
      <c r="G9" s="1148"/>
      <c r="H9" s="1143"/>
      <c r="I9" s="1143"/>
      <c r="J9" s="1143"/>
      <c r="K9" s="1143"/>
      <c r="L9" s="1117"/>
      <c r="M9" s="1117"/>
      <c r="N9" s="1117"/>
      <c r="O9" s="1117"/>
      <c r="P9" s="1117"/>
      <c r="Q9" s="1117"/>
      <c r="R9" s="1146"/>
      <c r="S9" s="1146"/>
      <c r="T9" s="1146"/>
      <c r="U9" s="1146"/>
      <c r="V9" s="1148"/>
      <c r="W9" s="1148"/>
      <c r="X9" s="1148"/>
      <c r="Y9" s="1148"/>
      <c r="Z9" s="1139"/>
      <c r="AA9" s="1140"/>
      <c r="AB9" s="1141"/>
      <c r="AC9" s="1143"/>
      <c r="AD9" s="1143"/>
      <c r="AE9" s="1143"/>
      <c r="AF9" s="1143"/>
      <c r="AG9" s="1120"/>
      <c r="AH9" s="1120"/>
      <c r="AI9" s="1120"/>
      <c r="AJ9" s="1123"/>
      <c r="AK9" s="1126"/>
      <c r="AL9" s="1120"/>
      <c r="AM9" s="1120"/>
      <c r="AN9" s="1123"/>
      <c r="AO9" s="1126"/>
      <c r="AP9" s="1117"/>
      <c r="AQ9" s="1117"/>
      <c r="AR9" s="1117"/>
      <c r="AS9" s="1117"/>
      <c r="AT9" s="1117"/>
      <c r="AU9" s="1146"/>
      <c r="AV9" s="1146"/>
      <c r="AW9" s="1146"/>
      <c r="AX9" s="1146"/>
      <c r="AY9" s="1128" t="s">
        <v>623</v>
      </c>
      <c r="AZ9" s="1128" t="s">
        <v>624</v>
      </c>
      <c r="BA9" s="1128" t="s">
        <v>625</v>
      </c>
      <c r="BB9" s="1128" t="s">
        <v>626</v>
      </c>
      <c r="BC9" s="1118"/>
      <c r="BD9" s="1118"/>
      <c r="BE9" s="1143"/>
      <c r="BF9" s="1168"/>
      <c r="BG9" s="1169"/>
      <c r="BH9" s="1153"/>
      <c r="BI9" s="1156"/>
      <c r="BJ9" s="1156"/>
      <c r="BK9" s="1159"/>
      <c r="BL9" s="1162"/>
      <c r="BM9" s="1173"/>
      <c r="BN9" s="1173"/>
      <c r="BO9" s="1118"/>
    </row>
    <row r="10" spans="1:69" ht="24" customHeight="1" x14ac:dyDescent="0.25">
      <c r="A10" s="1129"/>
      <c r="B10" s="1148"/>
      <c r="C10" s="1150"/>
      <c r="D10" s="1150"/>
      <c r="E10" s="1150"/>
      <c r="F10" s="1148" t="s">
        <v>610</v>
      </c>
      <c r="G10" s="1118" t="s">
        <v>689</v>
      </c>
      <c r="H10" s="1143"/>
      <c r="I10" s="1143"/>
      <c r="J10" s="1143"/>
      <c r="K10" s="1143"/>
      <c r="L10" s="1117"/>
      <c r="M10" s="1117"/>
      <c r="N10" s="1117"/>
      <c r="O10" s="1117"/>
      <c r="P10" s="1117" t="s">
        <v>610</v>
      </c>
      <c r="Q10" s="1175" t="s">
        <v>689</v>
      </c>
      <c r="R10" s="1146"/>
      <c r="S10" s="1146"/>
      <c r="T10" s="1146"/>
      <c r="U10" s="1146"/>
      <c r="V10" s="1148"/>
      <c r="W10" s="1148"/>
      <c r="X10" s="1148"/>
      <c r="Y10" s="1148"/>
      <c r="Z10" s="1148" t="s">
        <v>610</v>
      </c>
      <c r="AA10" s="1118" t="s">
        <v>689</v>
      </c>
      <c r="AB10" s="1118" t="s">
        <v>851</v>
      </c>
      <c r="AC10" s="1143"/>
      <c r="AD10" s="1143"/>
      <c r="AE10" s="1143"/>
      <c r="AF10" s="1143"/>
      <c r="AG10" s="1120"/>
      <c r="AH10" s="1120"/>
      <c r="AI10" s="1120"/>
      <c r="AJ10" s="1123"/>
      <c r="AK10" s="1126"/>
      <c r="AL10" s="1120"/>
      <c r="AM10" s="1120"/>
      <c r="AN10" s="1123"/>
      <c r="AO10" s="1126"/>
      <c r="AP10" s="1117" t="s">
        <v>611</v>
      </c>
      <c r="AQ10" s="1117" t="s">
        <v>612</v>
      </c>
      <c r="AR10" s="1119" t="s">
        <v>690</v>
      </c>
      <c r="AS10" s="1117" t="s">
        <v>610</v>
      </c>
      <c r="AT10" s="1175" t="s">
        <v>689</v>
      </c>
      <c r="AU10" s="1146"/>
      <c r="AV10" s="1146"/>
      <c r="AW10" s="1146"/>
      <c r="AX10" s="1146"/>
      <c r="AY10" s="1128"/>
      <c r="AZ10" s="1128"/>
      <c r="BA10" s="1128"/>
      <c r="BB10" s="1128"/>
      <c r="BC10" s="1118"/>
      <c r="BD10" s="1118"/>
      <c r="BE10" s="1143"/>
      <c r="BF10" s="1168"/>
      <c r="BG10" s="1169"/>
      <c r="BH10" s="1153"/>
      <c r="BI10" s="1156"/>
      <c r="BJ10" s="1156"/>
      <c r="BK10" s="1159"/>
      <c r="BL10" s="1162"/>
      <c r="BM10" s="1173"/>
      <c r="BN10" s="1173"/>
      <c r="BO10" s="1118"/>
    </row>
    <row r="11" spans="1:69" ht="30" customHeight="1" x14ac:dyDescent="0.25">
      <c r="A11" s="1129"/>
      <c r="B11" s="1148"/>
      <c r="C11" s="1150"/>
      <c r="D11" s="1150"/>
      <c r="E11" s="1150"/>
      <c r="F11" s="1148"/>
      <c r="G11" s="1118"/>
      <c r="H11" s="1143"/>
      <c r="I11" s="1143"/>
      <c r="J11" s="1143"/>
      <c r="K11" s="1143"/>
      <c r="L11" s="1117"/>
      <c r="M11" s="1117"/>
      <c r="N11" s="1117"/>
      <c r="O11" s="1117"/>
      <c r="P11" s="1117"/>
      <c r="Q11" s="1175"/>
      <c r="R11" s="1146"/>
      <c r="S11" s="1146"/>
      <c r="T11" s="1146"/>
      <c r="U11" s="1146"/>
      <c r="V11" s="1148"/>
      <c r="W11" s="1148"/>
      <c r="X11" s="1148"/>
      <c r="Y11" s="1148"/>
      <c r="Z11" s="1148"/>
      <c r="AA11" s="1118"/>
      <c r="AB11" s="1118"/>
      <c r="AC11" s="1143"/>
      <c r="AD11" s="1143"/>
      <c r="AE11" s="1143"/>
      <c r="AF11" s="1143"/>
      <c r="AG11" s="1120"/>
      <c r="AH11" s="1120"/>
      <c r="AI11" s="1120"/>
      <c r="AJ11" s="1123"/>
      <c r="AK11" s="1126"/>
      <c r="AL11" s="1120"/>
      <c r="AM11" s="1120"/>
      <c r="AN11" s="1123"/>
      <c r="AO11" s="1126"/>
      <c r="AP11" s="1117"/>
      <c r="AQ11" s="1117"/>
      <c r="AR11" s="1120"/>
      <c r="AS11" s="1117"/>
      <c r="AT11" s="1175"/>
      <c r="AU11" s="1146"/>
      <c r="AV11" s="1146"/>
      <c r="AW11" s="1146"/>
      <c r="AX11" s="1146"/>
      <c r="AY11" s="1128"/>
      <c r="AZ11" s="1128"/>
      <c r="BA11" s="1128"/>
      <c r="BB11" s="1128"/>
      <c r="BC11" s="1118"/>
      <c r="BD11" s="1118"/>
      <c r="BE11" s="1143"/>
      <c r="BF11" s="1168"/>
      <c r="BG11" s="1169"/>
      <c r="BH11" s="1153"/>
      <c r="BI11" s="1156"/>
      <c r="BJ11" s="1156"/>
      <c r="BK11" s="1159"/>
      <c r="BL11" s="1162"/>
      <c r="BM11" s="1173"/>
      <c r="BN11" s="1173"/>
      <c r="BO11" s="1118"/>
    </row>
    <row r="12" spans="1:69" ht="48.75" customHeight="1" x14ac:dyDescent="0.25">
      <c r="A12" s="1129"/>
      <c r="B12" s="1148"/>
      <c r="C12" s="1151"/>
      <c r="D12" s="1151"/>
      <c r="E12" s="1151"/>
      <c r="F12" s="1148"/>
      <c r="G12" s="1118"/>
      <c r="H12" s="1144"/>
      <c r="I12" s="1144"/>
      <c r="J12" s="1144"/>
      <c r="K12" s="1144"/>
      <c r="L12" s="1117"/>
      <c r="M12" s="1117"/>
      <c r="N12" s="1117"/>
      <c r="O12" s="1117"/>
      <c r="P12" s="1117"/>
      <c r="Q12" s="1175"/>
      <c r="R12" s="1147"/>
      <c r="S12" s="1147"/>
      <c r="T12" s="1147"/>
      <c r="U12" s="1147"/>
      <c r="V12" s="1148"/>
      <c r="W12" s="1148"/>
      <c r="X12" s="1148"/>
      <c r="Y12" s="1148"/>
      <c r="Z12" s="1148"/>
      <c r="AA12" s="1118"/>
      <c r="AB12" s="1118"/>
      <c r="AC12" s="1144"/>
      <c r="AD12" s="1144"/>
      <c r="AE12" s="1144"/>
      <c r="AF12" s="1144"/>
      <c r="AG12" s="1121"/>
      <c r="AH12" s="1121"/>
      <c r="AI12" s="1121"/>
      <c r="AJ12" s="1124"/>
      <c r="AK12" s="1127"/>
      <c r="AL12" s="1121"/>
      <c r="AM12" s="1121"/>
      <c r="AN12" s="1124"/>
      <c r="AO12" s="1127"/>
      <c r="AP12" s="1117"/>
      <c r="AQ12" s="1117"/>
      <c r="AR12" s="1121"/>
      <c r="AS12" s="1117"/>
      <c r="AT12" s="1175"/>
      <c r="AU12" s="1147"/>
      <c r="AV12" s="1147"/>
      <c r="AW12" s="1147"/>
      <c r="AX12" s="1147"/>
      <c r="AY12" s="1128"/>
      <c r="AZ12" s="1128"/>
      <c r="BA12" s="1128"/>
      <c r="BB12" s="1128"/>
      <c r="BC12" s="1118"/>
      <c r="BD12" s="1118"/>
      <c r="BE12" s="1144"/>
      <c r="BF12" s="1170"/>
      <c r="BG12" s="1171"/>
      <c r="BH12" s="1154"/>
      <c r="BI12" s="1157"/>
      <c r="BJ12" s="1157"/>
      <c r="BK12" s="1160"/>
      <c r="BL12" s="1163"/>
      <c r="BM12" s="1174"/>
      <c r="BN12" s="1174"/>
      <c r="BO12" s="1118"/>
    </row>
    <row r="13" spans="1:69" x14ac:dyDescent="0.25">
      <c r="A13" s="1129"/>
      <c r="B13" s="422" t="s">
        <v>613</v>
      </c>
      <c r="C13" s="423" t="s">
        <v>59</v>
      </c>
      <c r="D13" s="423" t="s">
        <v>59</v>
      </c>
      <c r="E13" s="423" t="s">
        <v>59</v>
      </c>
      <c r="F13" s="423" t="s">
        <v>500</v>
      </c>
      <c r="G13" s="424" t="s">
        <v>500</v>
      </c>
      <c r="H13" s="423" t="s">
        <v>500</v>
      </c>
      <c r="I13" s="424"/>
      <c r="J13" s="423" t="s">
        <v>500</v>
      </c>
      <c r="K13" s="423" t="s">
        <v>852</v>
      </c>
      <c r="L13" s="422" t="s">
        <v>614</v>
      </c>
      <c r="M13" s="423" t="s">
        <v>615</v>
      </c>
      <c r="N13" s="423" t="s">
        <v>615</v>
      </c>
      <c r="O13" s="423" t="s">
        <v>615</v>
      </c>
      <c r="P13" s="423" t="s">
        <v>500</v>
      </c>
      <c r="Q13" s="423" t="s">
        <v>500</v>
      </c>
      <c r="R13" s="423" t="s">
        <v>500</v>
      </c>
      <c r="S13" s="424"/>
      <c r="T13" s="423" t="s">
        <v>500</v>
      </c>
      <c r="U13" s="423" t="s">
        <v>852</v>
      </c>
      <c r="V13" s="422" t="s">
        <v>616</v>
      </c>
      <c r="W13" s="423" t="s">
        <v>617</v>
      </c>
      <c r="X13" s="423" t="s">
        <v>617</v>
      </c>
      <c r="Y13" s="423" t="s">
        <v>617</v>
      </c>
      <c r="Z13" s="423" t="s">
        <v>500</v>
      </c>
      <c r="AA13" s="423" t="s">
        <v>500</v>
      </c>
      <c r="AB13" s="423" t="s">
        <v>500</v>
      </c>
      <c r="AC13" s="423" t="s">
        <v>500</v>
      </c>
      <c r="AD13" s="424"/>
      <c r="AE13" s="423" t="s">
        <v>500</v>
      </c>
      <c r="AF13" s="423" t="s">
        <v>852</v>
      </c>
      <c r="AG13" s="422" t="s">
        <v>618</v>
      </c>
      <c r="AH13" s="423" t="s">
        <v>615</v>
      </c>
      <c r="AI13" s="423" t="s">
        <v>615</v>
      </c>
      <c r="AJ13" s="423" t="s">
        <v>615</v>
      </c>
      <c r="AK13" s="425" t="s">
        <v>618</v>
      </c>
      <c r="AL13" s="423" t="s">
        <v>615</v>
      </c>
      <c r="AM13" s="423" t="s">
        <v>615</v>
      </c>
      <c r="AN13" s="423" t="s">
        <v>615</v>
      </c>
      <c r="AO13" s="425" t="s">
        <v>618</v>
      </c>
      <c r="AP13" s="423" t="s">
        <v>500</v>
      </c>
      <c r="AQ13" s="423" t="s">
        <v>500</v>
      </c>
      <c r="AR13" s="423" t="s">
        <v>500</v>
      </c>
      <c r="AS13" s="423" t="s">
        <v>500</v>
      </c>
      <c r="AT13" s="423" t="s">
        <v>500</v>
      </c>
      <c r="AU13" s="423" t="s">
        <v>500</v>
      </c>
      <c r="AV13" s="424"/>
      <c r="AW13" s="423" t="s">
        <v>500</v>
      </c>
      <c r="AX13" s="423" t="s">
        <v>852</v>
      </c>
      <c r="AY13" s="423" t="s">
        <v>615</v>
      </c>
      <c r="AZ13" s="423" t="s">
        <v>500</v>
      </c>
      <c r="BA13" s="261"/>
      <c r="BB13" s="423" t="s">
        <v>500</v>
      </c>
      <c r="BC13" s="423" t="s">
        <v>500</v>
      </c>
      <c r="BD13" s="423" t="s">
        <v>500</v>
      </c>
      <c r="BE13" s="424"/>
      <c r="BF13" s="423" t="s">
        <v>500</v>
      </c>
      <c r="BG13" s="423" t="s">
        <v>852</v>
      </c>
      <c r="BH13" s="423" t="s">
        <v>500</v>
      </c>
      <c r="BI13" s="423" t="s">
        <v>500</v>
      </c>
      <c r="BJ13" s="423" t="s">
        <v>500</v>
      </c>
      <c r="BK13" s="426" t="s">
        <v>500</v>
      </c>
      <c r="BL13" s="423" t="s">
        <v>852</v>
      </c>
      <c r="BM13" s="427" t="s">
        <v>500</v>
      </c>
      <c r="BN13" s="427" t="s">
        <v>852</v>
      </c>
      <c r="BO13" s="423" t="s">
        <v>852</v>
      </c>
    </row>
    <row r="14" spans="1:69" ht="25.5" x14ac:dyDescent="0.25">
      <c r="A14" s="422">
        <v>1</v>
      </c>
      <c r="B14" s="422">
        <v>2</v>
      </c>
      <c r="C14" s="422">
        <v>3</v>
      </c>
      <c r="D14" s="422">
        <v>4</v>
      </c>
      <c r="E14" s="422" t="s">
        <v>853</v>
      </c>
      <c r="F14" s="422" t="s">
        <v>854</v>
      </c>
      <c r="G14" s="422">
        <v>7</v>
      </c>
      <c r="H14" s="422" t="s">
        <v>855</v>
      </c>
      <c r="I14" s="422">
        <v>9</v>
      </c>
      <c r="J14" s="422" t="s">
        <v>856</v>
      </c>
      <c r="K14" s="422" t="s">
        <v>857</v>
      </c>
      <c r="L14" s="422">
        <v>12</v>
      </c>
      <c r="M14" s="422">
        <v>13</v>
      </c>
      <c r="N14" s="422">
        <v>14</v>
      </c>
      <c r="O14" s="422" t="s">
        <v>858</v>
      </c>
      <c r="P14" s="422" t="s">
        <v>859</v>
      </c>
      <c r="Q14" s="422">
        <v>17</v>
      </c>
      <c r="R14" s="422" t="s">
        <v>860</v>
      </c>
      <c r="S14" s="422">
        <v>9</v>
      </c>
      <c r="T14" s="422" t="s">
        <v>861</v>
      </c>
      <c r="U14" s="422" t="s">
        <v>862</v>
      </c>
      <c r="V14" s="422">
        <v>22</v>
      </c>
      <c r="W14" s="422">
        <v>23</v>
      </c>
      <c r="X14" s="422">
        <v>24</v>
      </c>
      <c r="Y14" s="422" t="s">
        <v>863</v>
      </c>
      <c r="Z14" s="422" t="s">
        <v>864</v>
      </c>
      <c r="AA14" s="422">
        <v>27</v>
      </c>
      <c r="AB14" s="428" t="s">
        <v>865</v>
      </c>
      <c r="AC14" s="422" t="s">
        <v>866</v>
      </c>
      <c r="AD14" s="422">
        <v>9</v>
      </c>
      <c r="AE14" s="422" t="s">
        <v>867</v>
      </c>
      <c r="AF14" s="422" t="s">
        <v>868</v>
      </c>
      <c r="AG14" s="422">
        <v>32</v>
      </c>
      <c r="AH14" s="422">
        <v>33</v>
      </c>
      <c r="AI14" s="422">
        <v>34</v>
      </c>
      <c r="AJ14" s="422" t="s">
        <v>869</v>
      </c>
      <c r="AK14" s="422">
        <v>36</v>
      </c>
      <c r="AL14" s="422">
        <v>37</v>
      </c>
      <c r="AM14" s="422">
        <v>38</v>
      </c>
      <c r="AN14" s="422" t="s">
        <v>870</v>
      </c>
      <c r="AO14" s="422">
        <v>40</v>
      </c>
      <c r="AP14" s="422" t="s">
        <v>871</v>
      </c>
      <c r="AQ14" s="422" t="s">
        <v>872</v>
      </c>
      <c r="AR14" s="422" t="s">
        <v>873</v>
      </c>
      <c r="AS14" s="422" t="s">
        <v>874</v>
      </c>
      <c r="AT14" s="422">
        <v>45</v>
      </c>
      <c r="AU14" s="422" t="s">
        <v>875</v>
      </c>
      <c r="AV14" s="422">
        <v>9</v>
      </c>
      <c r="AW14" s="422" t="s">
        <v>876</v>
      </c>
      <c r="AX14" s="422" t="s">
        <v>877</v>
      </c>
      <c r="AY14" s="422">
        <v>50</v>
      </c>
      <c r="AZ14" s="422">
        <v>51</v>
      </c>
      <c r="BA14" s="422">
        <v>52</v>
      </c>
      <c r="BB14" s="422" t="s">
        <v>878</v>
      </c>
      <c r="BC14" s="422">
        <v>54</v>
      </c>
      <c r="BD14" s="422" t="s">
        <v>879</v>
      </c>
      <c r="BE14" s="422">
        <v>9</v>
      </c>
      <c r="BF14" s="422" t="s">
        <v>880</v>
      </c>
      <c r="BG14" s="422" t="s">
        <v>881</v>
      </c>
      <c r="BH14" s="422" t="s">
        <v>882</v>
      </c>
      <c r="BI14" s="422" t="s">
        <v>883</v>
      </c>
      <c r="BJ14" s="422" t="s">
        <v>884</v>
      </c>
      <c r="BK14" s="429" t="s">
        <v>885</v>
      </c>
      <c r="BL14" s="422" t="s">
        <v>886</v>
      </c>
      <c r="BM14" s="430" t="s">
        <v>887</v>
      </c>
      <c r="BN14" s="430" t="s">
        <v>888</v>
      </c>
      <c r="BO14" s="422">
        <v>65</v>
      </c>
    </row>
    <row r="15" spans="1:69" s="329" customFormat="1" ht="15.75" hidden="1" x14ac:dyDescent="0.25">
      <c r="A15" s="431" t="s">
        <v>889</v>
      </c>
      <c r="B15" s="432">
        <v>2588.77</v>
      </c>
      <c r="C15" s="432">
        <v>130.71</v>
      </c>
      <c r="D15" s="432">
        <v>209.1</v>
      </c>
      <c r="E15" s="432">
        <f>ROUND(C15+D15,1)</f>
        <v>339.8</v>
      </c>
      <c r="F15" s="432">
        <f>ROUND(B15*E15,2)</f>
        <v>879664.05</v>
      </c>
      <c r="G15" s="432">
        <v>0</v>
      </c>
      <c r="H15" s="433">
        <f>ROUND(F15-G15,2)</f>
        <v>879664.05</v>
      </c>
      <c r="I15" s="434">
        <v>0.97960400000000003</v>
      </c>
      <c r="J15" s="433">
        <f>ROUND(H15*I15,2)</f>
        <v>861722.42</v>
      </c>
      <c r="K15" s="433">
        <f>ROUND(J15/1000,1)</f>
        <v>861.7</v>
      </c>
      <c r="L15" s="432"/>
      <c r="M15" s="432"/>
      <c r="N15" s="432"/>
      <c r="O15" s="432">
        <f>ROUND(M15+N15,1)</f>
        <v>0</v>
      </c>
      <c r="P15" s="432">
        <f>ROUND(L15*O15,2)</f>
        <v>0</v>
      </c>
      <c r="Q15" s="432"/>
      <c r="R15" s="433">
        <f>ROUND(P15-Q15,2)</f>
        <v>0</v>
      </c>
      <c r="S15" s="434">
        <v>0.97960400000000003</v>
      </c>
      <c r="T15" s="433">
        <f>ROUND(R15*S15,2)</f>
        <v>0</v>
      </c>
      <c r="U15" s="433">
        <f>ROUND(T15/1000,1)</f>
        <v>0</v>
      </c>
      <c r="V15" s="432">
        <v>10.029999999999999</v>
      </c>
      <c r="W15" s="432">
        <v>77864</v>
      </c>
      <c r="X15" s="432">
        <v>37475</v>
      </c>
      <c r="Y15" s="432">
        <f>ROUND(W15+X15,1)</f>
        <v>115339</v>
      </c>
      <c r="Z15" s="432">
        <f>ROUND(V15*Y15,2)</f>
        <v>1156850.17</v>
      </c>
      <c r="AA15" s="432"/>
      <c r="AB15" s="432"/>
      <c r="AC15" s="433">
        <f>ROUND(Z15-AA15-AB15,2)</f>
        <v>1156850.17</v>
      </c>
      <c r="AD15" s="434">
        <v>0.97960400000000003</v>
      </c>
      <c r="AE15" s="433">
        <f>ROUND(AC15*AD15,2)</f>
        <v>1133255.05</v>
      </c>
      <c r="AF15" s="433">
        <f>ROUND(AE15/1000,1)</f>
        <v>1133.3</v>
      </c>
      <c r="AG15" s="432">
        <v>61.16</v>
      </c>
      <c r="AH15" s="432">
        <v>1236</v>
      </c>
      <c r="AI15" s="432">
        <v>948</v>
      </c>
      <c r="AJ15" s="432">
        <f>ROUND(AH15+AI15,1)</f>
        <v>2184</v>
      </c>
      <c r="AK15" s="432">
        <v>25.2</v>
      </c>
      <c r="AL15" s="432">
        <v>1236</v>
      </c>
      <c r="AM15" s="432">
        <v>948</v>
      </c>
      <c r="AN15" s="432">
        <f>ROUND(AL15+AM15,1)</f>
        <v>2184</v>
      </c>
      <c r="AO15" s="432">
        <v>12.61</v>
      </c>
      <c r="AP15" s="432">
        <f>ROUND(AG15*AJ15,2)</f>
        <v>133573.44</v>
      </c>
      <c r="AQ15" s="432">
        <f>ROUND(AK15*AN15,2)</f>
        <v>55036.800000000003</v>
      </c>
      <c r="AR15" s="432">
        <f>ROUND(AN15*AO15,2)</f>
        <v>27540.240000000002</v>
      </c>
      <c r="AS15" s="432">
        <f>AR15+AP15+AQ15</f>
        <v>216150.48</v>
      </c>
      <c r="AT15" s="432">
        <v>0</v>
      </c>
      <c r="AU15" s="433">
        <f>ROUND(AS15-AT15,2)</f>
        <v>216150.48</v>
      </c>
      <c r="AV15" s="434">
        <v>0.97960400000000003</v>
      </c>
      <c r="AW15" s="433">
        <f>ROUND(AU15*AV15,2)</f>
        <v>211741.87</v>
      </c>
      <c r="AX15" s="433">
        <f>ROUND(AW15/1000,1)</f>
        <v>211.7</v>
      </c>
      <c r="AY15" s="433">
        <v>11.13</v>
      </c>
      <c r="AZ15" s="433">
        <v>854.75</v>
      </c>
      <c r="BA15" s="435">
        <v>12</v>
      </c>
      <c r="BB15" s="433">
        <f>ROUND(AY15*AZ15*BA15,2)</f>
        <v>114160.41</v>
      </c>
      <c r="BC15" s="433"/>
      <c r="BD15" s="433">
        <f>ROUND(BB15-BC15,2)</f>
        <v>114160.41</v>
      </c>
      <c r="BE15" s="434">
        <v>0.97960400000000003</v>
      </c>
      <c r="BF15" s="433">
        <f>ROUND(BD15*BE15,2)</f>
        <v>111831.99</v>
      </c>
      <c r="BG15" s="433">
        <f>ROUND(BF15/1000,1)</f>
        <v>111.8</v>
      </c>
      <c r="BH15" s="433">
        <f>F15+P15+Z15+AS15+BB15</f>
        <v>2366825.11</v>
      </c>
      <c r="BI15" s="433">
        <f>ROUND(G15+Q15+AA15+AT15+BC15,2)</f>
        <v>0</v>
      </c>
      <c r="BJ15" s="433">
        <f>AB15</f>
        <v>0</v>
      </c>
      <c r="BK15" s="433">
        <f>ROUND(BH15-BI15-BJ15,2)</f>
        <v>2366825.11</v>
      </c>
      <c r="BL15" s="436">
        <f>ROUNDUP(BK15/1000,1)</f>
        <v>2366.9</v>
      </c>
      <c r="BM15" s="437">
        <f>ROUND(J15+T15+AE15+AW15+BF15,2)</f>
        <v>2318551.33</v>
      </c>
      <c r="BN15" s="437">
        <f>ROUND(K15+U15+AF15+AX15+BG15,1)</f>
        <v>2318.5</v>
      </c>
      <c r="BO15" s="438">
        <f>BN15-BL15</f>
        <v>-48.4</v>
      </c>
      <c r="BP15" s="329">
        <v>2318.5</v>
      </c>
      <c r="BQ15" s="439">
        <f>BP15-BN15</f>
        <v>0</v>
      </c>
    </row>
    <row r="16" spans="1:69" s="329" customFormat="1" ht="15.75" hidden="1" x14ac:dyDescent="0.25">
      <c r="A16" s="431" t="s">
        <v>890</v>
      </c>
      <c r="B16" s="432">
        <v>2588.77</v>
      </c>
      <c r="C16" s="432">
        <v>372.12</v>
      </c>
      <c r="D16" s="432">
        <v>534.04999999999995</v>
      </c>
      <c r="E16" s="432">
        <f t="shared" ref="E16:E71" si="0">ROUND(C16+D16,1)</f>
        <v>906.2</v>
      </c>
      <c r="F16" s="432">
        <f t="shared" ref="F16:F71" si="1">ROUND(B16*E16,2)</f>
        <v>2345943.37</v>
      </c>
      <c r="G16" s="432"/>
      <c r="H16" s="433">
        <f t="shared" ref="H16:H71" si="2">ROUND(F16-G16,2)</f>
        <v>2345943.37</v>
      </c>
      <c r="I16" s="434">
        <v>0.97960400000000003</v>
      </c>
      <c r="J16" s="433">
        <f t="shared" ref="J16:J71" si="3">ROUND(H16*I16,2)</f>
        <v>2298095.5099999998</v>
      </c>
      <c r="K16" s="433">
        <f t="shared" ref="K16:K71" si="4">ROUND(J16/1000,1)</f>
        <v>2298.1</v>
      </c>
      <c r="L16" s="432"/>
      <c r="M16" s="432"/>
      <c r="N16" s="432"/>
      <c r="O16" s="432">
        <f t="shared" ref="O16:O71" si="5">ROUND(M16+N16,1)</f>
        <v>0</v>
      </c>
      <c r="P16" s="432">
        <f t="shared" ref="P16:P71" si="6">ROUND(L16*O16,2)</f>
        <v>0</v>
      </c>
      <c r="Q16" s="432"/>
      <c r="R16" s="433">
        <f t="shared" ref="R16:R71" si="7">ROUND(P16-Q16,2)</f>
        <v>0</v>
      </c>
      <c r="S16" s="434">
        <v>0.97960400000000003</v>
      </c>
      <c r="T16" s="433">
        <f t="shared" ref="T16:T71" si="8">ROUND(R16*S16,2)</f>
        <v>0</v>
      </c>
      <c r="U16" s="433">
        <f t="shared" ref="U16:U71" si="9">ROUND(T16/1000,1)</f>
        <v>0</v>
      </c>
      <c r="V16" s="432">
        <v>10.029999999999999</v>
      </c>
      <c r="W16" s="432">
        <v>62290</v>
      </c>
      <c r="X16" s="432">
        <v>64650</v>
      </c>
      <c r="Y16" s="432">
        <f t="shared" ref="Y16:Y71" si="10">ROUND(W16+X16,1)</f>
        <v>126940</v>
      </c>
      <c r="Z16" s="432">
        <f t="shared" ref="Z16:Z71" si="11">ROUND(V16*Y16,2)</f>
        <v>1273208.2</v>
      </c>
      <c r="AA16" s="432"/>
      <c r="AB16" s="432"/>
      <c r="AC16" s="433">
        <f t="shared" ref="AC16:AC71" si="12">ROUND(Z16-AA16-AB16,2)</f>
        <v>1273208.2</v>
      </c>
      <c r="AD16" s="434">
        <v>0.97960400000000003</v>
      </c>
      <c r="AE16" s="433">
        <f t="shared" ref="AE16:AE71" si="13">ROUND(AC16*AD16,2)</f>
        <v>1247239.8500000001</v>
      </c>
      <c r="AF16" s="433">
        <f t="shared" ref="AF16:AF71" si="14">ROUND(AE16/1000,1)</f>
        <v>1247.2</v>
      </c>
      <c r="AG16" s="432">
        <v>61.16</v>
      </c>
      <c r="AH16" s="432">
        <v>3905</v>
      </c>
      <c r="AI16" s="432">
        <v>4658</v>
      </c>
      <c r="AJ16" s="432">
        <f t="shared" ref="AJ16:AJ71" si="15">ROUND(AH16+AI16,1)</f>
        <v>8563</v>
      </c>
      <c r="AK16" s="432">
        <v>25.2</v>
      </c>
      <c r="AL16" s="432">
        <v>3905</v>
      </c>
      <c r="AM16" s="432">
        <v>4658</v>
      </c>
      <c r="AN16" s="432">
        <f t="shared" ref="AN16:AN71" si="16">ROUND(AL16+AM16,1)</f>
        <v>8563</v>
      </c>
      <c r="AO16" s="432">
        <v>12.61</v>
      </c>
      <c r="AP16" s="432">
        <f t="shared" ref="AP16:AP71" si="17">ROUND(AG16*AJ16,2)</f>
        <v>523713.08</v>
      </c>
      <c r="AQ16" s="432">
        <f t="shared" ref="AQ16:AQ71" si="18">ROUND(AK16*AN16,2)</f>
        <v>215787.6</v>
      </c>
      <c r="AR16" s="432">
        <f t="shared" ref="AR16:AR71" si="19">ROUND(AN16*AO16,2)</f>
        <v>107979.43</v>
      </c>
      <c r="AS16" s="432">
        <f t="shared" ref="AS16:AS71" si="20">AR16+AP16+AQ16</f>
        <v>847480.11</v>
      </c>
      <c r="AT16" s="432"/>
      <c r="AU16" s="433">
        <f t="shared" ref="AU16:AU71" si="21">ROUND(AS16-AT16,2)</f>
        <v>847480.11</v>
      </c>
      <c r="AV16" s="434">
        <v>0.97960400000000003</v>
      </c>
      <c r="AW16" s="433">
        <f t="shared" ref="AW16:AW71" si="22">ROUND(AU16*AV16,2)</f>
        <v>830194.91</v>
      </c>
      <c r="AX16" s="433">
        <f t="shared" ref="AX16:AX71" si="23">ROUND(AW16/1000,1)</f>
        <v>830.2</v>
      </c>
      <c r="AY16" s="433">
        <v>24.98</v>
      </c>
      <c r="AZ16" s="433">
        <v>854.75</v>
      </c>
      <c r="BA16" s="435">
        <v>12</v>
      </c>
      <c r="BB16" s="433">
        <f t="shared" ref="BB16:BB71" si="24">ROUND(AY16*AZ16*BA16,2)</f>
        <v>256219.86</v>
      </c>
      <c r="BC16" s="433"/>
      <c r="BD16" s="433">
        <f t="shared" ref="BD16:BD71" si="25">ROUND(BB16-BC16,2)</f>
        <v>256219.86</v>
      </c>
      <c r="BE16" s="434">
        <v>0.97960400000000003</v>
      </c>
      <c r="BF16" s="433">
        <f t="shared" ref="BF16:BF71" si="26">ROUND(BD16*BE16,2)</f>
        <v>250994</v>
      </c>
      <c r="BG16" s="433">
        <f t="shared" ref="BG16:BG71" si="27">ROUND(BF16/1000,1)</f>
        <v>251</v>
      </c>
      <c r="BH16" s="433">
        <f t="shared" ref="BH16:BH71" si="28">F16+P16+Z16+AS16+BB16</f>
        <v>4722851.54</v>
      </c>
      <c r="BI16" s="433">
        <f t="shared" ref="BI16:BI71" si="29">ROUND(G16+Q16+AA16+AT16+BC16,2)</f>
        <v>0</v>
      </c>
      <c r="BJ16" s="433">
        <f t="shared" ref="BJ16:BJ71" si="30">AB16</f>
        <v>0</v>
      </c>
      <c r="BK16" s="433">
        <f t="shared" ref="BK16:BK71" si="31">ROUND(BH16-BI16-BJ16,2)</f>
        <v>4722851.54</v>
      </c>
      <c r="BL16" s="436">
        <f t="shared" ref="BL16:BL71" si="32">ROUNDUP(BK16/1000,1)</f>
        <v>4722.8999999999996</v>
      </c>
      <c r="BM16" s="437">
        <f t="shared" ref="BM16:BM71" si="33">ROUND(J16+T16+AE16+AW16+BF16,2)</f>
        <v>4626524.2699999996</v>
      </c>
      <c r="BN16" s="437">
        <f t="shared" ref="BN16:BN71" si="34">ROUND(K16+U16+AF16+AX16+BG16,1)</f>
        <v>4626.5</v>
      </c>
      <c r="BO16" s="438">
        <f t="shared" ref="BO16:BO71" si="35">BN16-BL16</f>
        <v>-96.4</v>
      </c>
      <c r="BP16" s="329">
        <v>4626.5</v>
      </c>
      <c r="BQ16" s="439">
        <f t="shared" ref="BQ16:BQ79" si="36">BP16-BN16</f>
        <v>0</v>
      </c>
    </row>
    <row r="17" spans="1:69" s="329" customFormat="1" ht="15.75" hidden="1" x14ac:dyDescent="0.25">
      <c r="A17" s="431" t="s">
        <v>891</v>
      </c>
      <c r="B17" s="432">
        <v>2588.77</v>
      </c>
      <c r="C17" s="432">
        <v>117.5</v>
      </c>
      <c r="D17" s="432">
        <v>180.09</v>
      </c>
      <c r="E17" s="432">
        <f t="shared" si="0"/>
        <v>297.60000000000002</v>
      </c>
      <c r="F17" s="432">
        <f t="shared" si="1"/>
        <v>770417.95</v>
      </c>
      <c r="G17" s="432"/>
      <c r="H17" s="433">
        <f t="shared" si="2"/>
        <v>770417.95</v>
      </c>
      <c r="I17" s="434">
        <v>0.97960400000000003</v>
      </c>
      <c r="J17" s="433">
        <f t="shared" si="3"/>
        <v>754704.51</v>
      </c>
      <c r="K17" s="433">
        <f t="shared" si="4"/>
        <v>754.7</v>
      </c>
      <c r="L17" s="432"/>
      <c r="M17" s="432"/>
      <c r="N17" s="432"/>
      <c r="O17" s="432">
        <f t="shared" si="5"/>
        <v>0</v>
      </c>
      <c r="P17" s="432">
        <f t="shared" si="6"/>
        <v>0</v>
      </c>
      <c r="Q17" s="432"/>
      <c r="R17" s="433">
        <f t="shared" si="7"/>
        <v>0</v>
      </c>
      <c r="S17" s="434">
        <v>0.97960400000000003</v>
      </c>
      <c r="T17" s="433">
        <f t="shared" si="8"/>
        <v>0</v>
      </c>
      <c r="U17" s="433">
        <f t="shared" si="9"/>
        <v>0</v>
      </c>
      <c r="V17" s="432">
        <v>10.029999999999999</v>
      </c>
      <c r="W17" s="432">
        <v>21880</v>
      </c>
      <c r="X17" s="432">
        <v>35738</v>
      </c>
      <c r="Y17" s="432">
        <f t="shared" si="10"/>
        <v>57618</v>
      </c>
      <c r="Z17" s="432">
        <f t="shared" si="11"/>
        <v>577908.54</v>
      </c>
      <c r="AA17" s="432"/>
      <c r="AB17" s="432"/>
      <c r="AC17" s="433">
        <f t="shared" si="12"/>
        <v>577908.54</v>
      </c>
      <c r="AD17" s="434">
        <v>0.97960400000000003</v>
      </c>
      <c r="AE17" s="433">
        <f t="shared" si="13"/>
        <v>566121.52</v>
      </c>
      <c r="AF17" s="433">
        <f t="shared" si="14"/>
        <v>566.1</v>
      </c>
      <c r="AG17" s="432">
        <v>61.16</v>
      </c>
      <c r="AH17" s="432">
        <v>2435</v>
      </c>
      <c r="AI17" s="432">
        <v>2376</v>
      </c>
      <c r="AJ17" s="432">
        <f t="shared" si="15"/>
        <v>4811</v>
      </c>
      <c r="AK17" s="432">
        <v>25.2</v>
      </c>
      <c r="AL17" s="432">
        <v>2435</v>
      </c>
      <c r="AM17" s="432">
        <v>2376</v>
      </c>
      <c r="AN17" s="432">
        <f t="shared" si="16"/>
        <v>4811</v>
      </c>
      <c r="AO17" s="432">
        <v>12.61</v>
      </c>
      <c r="AP17" s="432">
        <f t="shared" si="17"/>
        <v>294240.76</v>
      </c>
      <c r="AQ17" s="432">
        <f t="shared" si="18"/>
        <v>121237.2</v>
      </c>
      <c r="AR17" s="432">
        <f t="shared" si="19"/>
        <v>60666.71</v>
      </c>
      <c r="AS17" s="432">
        <f t="shared" si="20"/>
        <v>476144.67</v>
      </c>
      <c r="AT17" s="432"/>
      <c r="AU17" s="433">
        <f t="shared" si="21"/>
        <v>476144.67</v>
      </c>
      <c r="AV17" s="434">
        <v>0.97960400000000003</v>
      </c>
      <c r="AW17" s="433">
        <f t="shared" si="22"/>
        <v>466433.22</v>
      </c>
      <c r="AX17" s="433">
        <f t="shared" si="23"/>
        <v>466.4</v>
      </c>
      <c r="AY17" s="433">
        <v>11.42</v>
      </c>
      <c r="AZ17" s="433">
        <v>854.75</v>
      </c>
      <c r="BA17" s="435">
        <v>12</v>
      </c>
      <c r="BB17" s="433">
        <f t="shared" si="24"/>
        <v>117134.94</v>
      </c>
      <c r="BC17" s="433"/>
      <c r="BD17" s="433">
        <f t="shared" si="25"/>
        <v>117134.94</v>
      </c>
      <c r="BE17" s="434">
        <v>0.97960400000000003</v>
      </c>
      <c r="BF17" s="433">
        <f t="shared" si="26"/>
        <v>114745.86</v>
      </c>
      <c r="BG17" s="433">
        <f t="shared" si="27"/>
        <v>114.7</v>
      </c>
      <c r="BH17" s="433">
        <f t="shared" si="28"/>
        <v>1941606.1</v>
      </c>
      <c r="BI17" s="433">
        <f t="shared" si="29"/>
        <v>0</v>
      </c>
      <c r="BJ17" s="433">
        <f t="shared" si="30"/>
        <v>0</v>
      </c>
      <c r="BK17" s="433">
        <f t="shared" si="31"/>
        <v>1941606.1</v>
      </c>
      <c r="BL17" s="436">
        <f t="shared" si="32"/>
        <v>1941.7</v>
      </c>
      <c r="BM17" s="437">
        <f t="shared" si="33"/>
        <v>1902005.11</v>
      </c>
      <c r="BN17" s="437">
        <f t="shared" si="34"/>
        <v>1901.9</v>
      </c>
      <c r="BO17" s="438">
        <f t="shared" si="35"/>
        <v>-39.799999999999997</v>
      </c>
      <c r="BP17" s="329">
        <v>1901.9</v>
      </c>
      <c r="BQ17" s="439">
        <f t="shared" si="36"/>
        <v>0</v>
      </c>
    </row>
    <row r="18" spans="1:69" s="329" customFormat="1" ht="15.75" hidden="1" x14ac:dyDescent="0.25">
      <c r="A18" s="431" t="s">
        <v>745</v>
      </c>
      <c r="B18" s="432">
        <v>2588.77</v>
      </c>
      <c r="C18" s="432">
        <v>210.5</v>
      </c>
      <c r="D18" s="432">
        <v>315.76</v>
      </c>
      <c r="E18" s="432">
        <f t="shared" si="0"/>
        <v>526.29999999999995</v>
      </c>
      <c r="F18" s="432">
        <f t="shared" si="1"/>
        <v>1362469.65</v>
      </c>
      <c r="G18" s="432"/>
      <c r="H18" s="433">
        <f t="shared" si="2"/>
        <v>1362469.65</v>
      </c>
      <c r="I18" s="434">
        <v>0.97960400000000003</v>
      </c>
      <c r="J18" s="433">
        <f t="shared" si="3"/>
        <v>1334680.72</v>
      </c>
      <c r="K18" s="433">
        <f t="shared" si="4"/>
        <v>1334.7</v>
      </c>
      <c r="L18" s="432"/>
      <c r="M18" s="432"/>
      <c r="N18" s="432"/>
      <c r="O18" s="432">
        <f t="shared" si="5"/>
        <v>0</v>
      </c>
      <c r="P18" s="432">
        <f t="shared" si="6"/>
        <v>0</v>
      </c>
      <c r="Q18" s="432"/>
      <c r="R18" s="433">
        <f t="shared" si="7"/>
        <v>0</v>
      </c>
      <c r="S18" s="434">
        <v>0.97960400000000003</v>
      </c>
      <c r="T18" s="433">
        <f t="shared" si="8"/>
        <v>0</v>
      </c>
      <c r="U18" s="433">
        <f t="shared" si="9"/>
        <v>0</v>
      </c>
      <c r="V18" s="432">
        <v>10.029999999999999</v>
      </c>
      <c r="W18" s="432">
        <v>63253</v>
      </c>
      <c r="X18" s="432">
        <v>62836</v>
      </c>
      <c r="Y18" s="432">
        <f t="shared" si="10"/>
        <v>126089</v>
      </c>
      <c r="Z18" s="432">
        <f t="shared" si="11"/>
        <v>1264672.67</v>
      </c>
      <c r="AA18" s="432"/>
      <c r="AB18" s="432"/>
      <c r="AC18" s="433">
        <f t="shared" si="12"/>
        <v>1264672.67</v>
      </c>
      <c r="AD18" s="434">
        <v>0.97960400000000003</v>
      </c>
      <c r="AE18" s="433">
        <f t="shared" si="13"/>
        <v>1238878.4099999999</v>
      </c>
      <c r="AF18" s="433">
        <f t="shared" si="14"/>
        <v>1238.9000000000001</v>
      </c>
      <c r="AG18" s="432">
        <v>61.16</v>
      </c>
      <c r="AH18" s="432">
        <v>996</v>
      </c>
      <c r="AI18" s="432">
        <v>599</v>
      </c>
      <c r="AJ18" s="432">
        <f t="shared" si="15"/>
        <v>1595</v>
      </c>
      <c r="AK18" s="432">
        <v>25.2</v>
      </c>
      <c r="AL18" s="432">
        <v>996</v>
      </c>
      <c r="AM18" s="432">
        <v>599</v>
      </c>
      <c r="AN18" s="432">
        <f t="shared" si="16"/>
        <v>1595</v>
      </c>
      <c r="AO18" s="432">
        <v>12.61</v>
      </c>
      <c r="AP18" s="432">
        <f t="shared" si="17"/>
        <v>97550.2</v>
      </c>
      <c r="AQ18" s="432">
        <f t="shared" si="18"/>
        <v>40194</v>
      </c>
      <c r="AR18" s="432">
        <f t="shared" si="19"/>
        <v>20112.95</v>
      </c>
      <c r="AS18" s="432">
        <f t="shared" si="20"/>
        <v>157857.15</v>
      </c>
      <c r="AT18" s="432"/>
      <c r="AU18" s="433">
        <f t="shared" si="21"/>
        <v>157857.15</v>
      </c>
      <c r="AV18" s="434">
        <v>0.97960400000000003</v>
      </c>
      <c r="AW18" s="433">
        <f t="shared" si="22"/>
        <v>154637.5</v>
      </c>
      <c r="AX18" s="433">
        <f t="shared" si="23"/>
        <v>154.6</v>
      </c>
      <c r="AY18" s="433">
        <v>18.329999999999998</v>
      </c>
      <c r="AZ18" s="433">
        <v>854.75</v>
      </c>
      <c r="BA18" s="435">
        <v>12</v>
      </c>
      <c r="BB18" s="433">
        <f t="shared" si="24"/>
        <v>188010.81</v>
      </c>
      <c r="BC18" s="433"/>
      <c r="BD18" s="433">
        <f t="shared" si="25"/>
        <v>188010.81</v>
      </c>
      <c r="BE18" s="434">
        <v>0.97960400000000003</v>
      </c>
      <c r="BF18" s="433">
        <f t="shared" si="26"/>
        <v>184176.14</v>
      </c>
      <c r="BG18" s="433">
        <f t="shared" si="27"/>
        <v>184.2</v>
      </c>
      <c r="BH18" s="433">
        <f t="shared" si="28"/>
        <v>2973010.28</v>
      </c>
      <c r="BI18" s="433">
        <f t="shared" si="29"/>
        <v>0</v>
      </c>
      <c r="BJ18" s="433">
        <f t="shared" si="30"/>
        <v>0</v>
      </c>
      <c r="BK18" s="433">
        <f t="shared" si="31"/>
        <v>2973010.28</v>
      </c>
      <c r="BL18" s="436">
        <f t="shared" si="32"/>
        <v>2973.1</v>
      </c>
      <c r="BM18" s="437">
        <f t="shared" si="33"/>
        <v>2912372.77</v>
      </c>
      <c r="BN18" s="437">
        <f t="shared" si="34"/>
        <v>2912.4</v>
      </c>
      <c r="BO18" s="438">
        <f t="shared" si="35"/>
        <v>-60.7</v>
      </c>
      <c r="BP18" s="329">
        <v>2912.4</v>
      </c>
      <c r="BQ18" s="439">
        <f t="shared" si="36"/>
        <v>0</v>
      </c>
    </row>
    <row r="19" spans="1:69" s="329" customFormat="1" ht="15.75" hidden="1" x14ac:dyDescent="0.25">
      <c r="A19" s="431" t="s">
        <v>892</v>
      </c>
      <c r="B19" s="432">
        <v>2588.77</v>
      </c>
      <c r="C19" s="432">
        <v>90.8</v>
      </c>
      <c r="D19" s="432">
        <v>108.62</v>
      </c>
      <c r="E19" s="432">
        <f t="shared" si="0"/>
        <v>199.4</v>
      </c>
      <c r="F19" s="432">
        <f t="shared" si="1"/>
        <v>516200.74</v>
      </c>
      <c r="G19" s="432"/>
      <c r="H19" s="433">
        <f t="shared" si="2"/>
        <v>516200.74</v>
      </c>
      <c r="I19" s="434">
        <v>0.97960400000000003</v>
      </c>
      <c r="J19" s="433">
        <f t="shared" si="3"/>
        <v>505672.31</v>
      </c>
      <c r="K19" s="433">
        <f t="shared" si="4"/>
        <v>505.7</v>
      </c>
      <c r="L19" s="432"/>
      <c r="M19" s="432"/>
      <c r="N19" s="432"/>
      <c r="O19" s="432">
        <f t="shared" si="5"/>
        <v>0</v>
      </c>
      <c r="P19" s="432">
        <f t="shared" si="6"/>
        <v>0</v>
      </c>
      <c r="Q19" s="432"/>
      <c r="R19" s="433">
        <f t="shared" si="7"/>
        <v>0</v>
      </c>
      <c r="S19" s="434">
        <v>0.97960400000000003</v>
      </c>
      <c r="T19" s="433">
        <f t="shared" si="8"/>
        <v>0</v>
      </c>
      <c r="U19" s="433">
        <f t="shared" si="9"/>
        <v>0</v>
      </c>
      <c r="V19" s="432">
        <v>10.029999999999999</v>
      </c>
      <c r="W19" s="432">
        <v>30440</v>
      </c>
      <c r="X19" s="432">
        <v>29318</v>
      </c>
      <c r="Y19" s="432">
        <f t="shared" si="10"/>
        <v>59758</v>
      </c>
      <c r="Z19" s="432">
        <f t="shared" si="11"/>
        <v>599372.74</v>
      </c>
      <c r="AA19" s="432"/>
      <c r="AB19" s="432"/>
      <c r="AC19" s="433">
        <f t="shared" si="12"/>
        <v>599372.74</v>
      </c>
      <c r="AD19" s="434">
        <v>0.97960400000000003</v>
      </c>
      <c r="AE19" s="433">
        <f t="shared" si="13"/>
        <v>587147.93000000005</v>
      </c>
      <c r="AF19" s="433">
        <f t="shared" si="14"/>
        <v>587.1</v>
      </c>
      <c r="AG19" s="432">
        <v>61.16</v>
      </c>
      <c r="AH19" s="432">
        <v>522</v>
      </c>
      <c r="AI19" s="432">
        <v>504</v>
      </c>
      <c r="AJ19" s="432">
        <f t="shared" si="15"/>
        <v>1026</v>
      </c>
      <c r="AK19" s="432">
        <v>25.2</v>
      </c>
      <c r="AL19" s="432">
        <v>522</v>
      </c>
      <c r="AM19" s="432">
        <v>504</v>
      </c>
      <c r="AN19" s="432">
        <f t="shared" si="16"/>
        <v>1026</v>
      </c>
      <c r="AO19" s="432">
        <v>12.61</v>
      </c>
      <c r="AP19" s="432">
        <f t="shared" si="17"/>
        <v>62750.16</v>
      </c>
      <c r="AQ19" s="432">
        <f t="shared" si="18"/>
        <v>25855.200000000001</v>
      </c>
      <c r="AR19" s="432">
        <f t="shared" si="19"/>
        <v>12937.86</v>
      </c>
      <c r="AS19" s="432">
        <f t="shared" si="20"/>
        <v>101543.22</v>
      </c>
      <c r="AT19" s="432"/>
      <c r="AU19" s="433">
        <f t="shared" si="21"/>
        <v>101543.22</v>
      </c>
      <c r="AV19" s="434">
        <v>0.97960400000000003</v>
      </c>
      <c r="AW19" s="433">
        <f t="shared" si="22"/>
        <v>99472.14</v>
      </c>
      <c r="AX19" s="433">
        <f t="shared" si="23"/>
        <v>99.5</v>
      </c>
      <c r="AY19" s="433">
        <v>5.81</v>
      </c>
      <c r="AZ19" s="433">
        <v>854.75</v>
      </c>
      <c r="BA19" s="435">
        <v>12</v>
      </c>
      <c r="BB19" s="433">
        <f t="shared" si="24"/>
        <v>59593.17</v>
      </c>
      <c r="BC19" s="433"/>
      <c r="BD19" s="433">
        <f t="shared" si="25"/>
        <v>59593.17</v>
      </c>
      <c r="BE19" s="434">
        <v>0.97960400000000003</v>
      </c>
      <c r="BF19" s="433">
        <f t="shared" si="26"/>
        <v>58377.71</v>
      </c>
      <c r="BG19" s="433">
        <f t="shared" si="27"/>
        <v>58.4</v>
      </c>
      <c r="BH19" s="433">
        <f t="shared" si="28"/>
        <v>1276709.8700000001</v>
      </c>
      <c r="BI19" s="433">
        <f t="shared" si="29"/>
        <v>0</v>
      </c>
      <c r="BJ19" s="433">
        <f t="shared" si="30"/>
        <v>0</v>
      </c>
      <c r="BK19" s="433">
        <f t="shared" si="31"/>
        <v>1276709.8700000001</v>
      </c>
      <c r="BL19" s="436">
        <f t="shared" si="32"/>
        <v>1276.8</v>
      </c>
      <c r="BM19" s="437">
        <f t="shared" si="33"/>
        <v>1250670.0900000001</v>
      </c>
      <c r="BN19" s="437">
        <f t="shared" si="34"/>
        <v>1250.7</v>
      </c>
      <c r="BO19" s="438">
        <f t="shared" si="35"/>
        <v>-26.1</v>
      </c>
      <c r="BP19" s="329">
        <v>1250.7</v>
      </c>
      <c r="BQ19" s="439">
        <f t="shared" si="36"/>
        <v>0</v>
      </c>
    </row>
    <row r="20" spans="1:69" s="329" customFormat="1" ht="15.75" hidden="1" x14ac:dyDescent="0.25">
      <c r="A20" s="431" t="s">
        <v>893</v>
      </c>
      <c r="B20" s="432"/>
      <c r="C20" s="432"/>
      <c r="D20" s="432"/>
      <c r="E20" s="432">
        <f t="shared" si="0"/>
        <v>0</v>
      </c>
      <c r="F20" s="432">
        <f t="shared" si="1"/>
        <v>0</v>
      </c>
      <c r="G20" s="432"/>
      <c r="H20" s="433">
        <f t="shared" si="2"/>
        <v>0</v>
      </c>
      <c r="I20" s="434">
        <v>0.97960400000000003</v>
      </c>
      <c r="J20" s="433">
        <f t="shared" si="3"/>
        <v>0</v>
      </c>
      <c r="K20" s="433">
        <f t="shared" si="4"/>
        <v>0</v>
      </c>
      <c r="L20" s="432">
        <v>9.9700000000000006</v>
      </c>
      <c r="M20" s="432">
        <v>74500</v>
      </c>
      <c r="N20" s="432">
        <v>104300</v>
      </c>
      <c r="O20" s="432">
        <f t="shared" si="5"/>
        <v>178800</v>
      </c>
      <c r="P20" s="432">
        <f t="shared" si="6"/>
        <v>1782636</v>
      </c>
      <c r="Q20" s="432">
        <v>0</v>
      </c>
      <c r="R20" s="433">
        <f t="shared" si="7"/>
        <v>1782636</v>
      </c>
      <c r="S20" s="434">
        <v>0.97960400000000003</v>
      </c>
      <c r="T20" s="433">
        <f t="shared" si="8"/>
        <v>1746277.36</v>
      </c>
      <c r="U20" s="433">
        <f t="shared" si="9"/>
        <v>1746.3</v>
      </c>
      <c r="V20" s="432">
        <v>10.029999999999999</v>
      </c>
      <c r="W20" s="432">
        <v>62500</v>
      </c>
      <c r="X20" s="432">
        <v>62500</v>
      </c>
      <c r="Y20" s="432">
        <f t="shared" si="10"/>
        <v>125000</v>
      </c>
      <c r="Z20" s="432">
        <f t="shared" si="11"/>
        <v>1253750</v>
      </c>
      <c r="AA20" s="432"/>
      <c r="AB20" s="432"/>
      <c r="AC20" s="433">
        <f t="shared" si="12"/>
        <v>1253750</v>
      </c>
      <c r="AD20" s="434">
        <v>0.97960400000000003</v>
      </c>
      <c r="AE20" s="433">
        <f t="shared" si="13"/>
        <v>1228178.52</v>
      </c>
      <c r="AF20" s="433">
        <f t="shared" si="14"/>
        <v>1228.2</v>
      </c>
      <c r="AG20" s="432">
        <v>61.16</v>
      </c>
      <c r="AH20" s="432">
        <v>3000</v>
      </c>
      <c r="AI20" s="432">
        <v>268</v>
      </c>
      <c r="AJ20" s="432">
        <f t="shared" si="15"/>
        <v>3268</v>
      </c>
      <c r="AK20" s="432">
        <v>25.2</v>
      </c>
      <c r="AL20" s="432">
        <v>3000</v>
      </c>
      <c r="AM20" s="432">
        <v>268</v>
      </c>
      <c r="AN20" s="432">
        <f t="shared" si="16"/>
        <v>3268</v>
      </c>
      <c r="AO20" s="432">
        <v>12.61</v>
      </c>
      <c r="AP20" s="432">
        <f t="shared" si="17"/>
        <v>199870.88</v>
      </c>
      <c r="AQ20" s="432">
        <f t="shared" si="18"/>
        <v>82353.600000000006</v>
      </c>
      <c r="AR20" s="432">
        <f t="shared" si="19"/>
        <v>41209.480000000003</v>
      </c>
      <c r="AS20" s="432">
        <f t="shared" si="20"/>
        <v>323433.96000000002</v>
      </c>
      <c r="AT20" s="432">
        <v>0</v>
      </c>
      <c r="AU20" s="433">
        <f t="shared" si="21"/>
        <v>323433.96000000002</v>
      </c>
      <c r="AV20" s="434">
        <v>0.97960400000000003</v>
      </c>
      <c r="AW20" s="433">
        <f t="shared" si="22"/>
        <v>316837.2</v>
      </c>
      <c r="AX20" s="433">
        <f t="shared" si="23"/>
        <v>316.8</v>
      </c>
      <c r="AY20" s="433">
        <v>14.52</v>
      </c>
      <c r="AZ20" s="433">
        <v>854.75</v>
      </c>
      <c r="BA20" s="435">
        <v>12</v>
      </c>
      <c r="BB20" s="433">
        <f t="shared" si="24"/>
        <v>148931.64000000001</v>
      </c>
      <c r="BC20" s="433">
        <v>0</v>
      </c>
      <c r="BD20" s="433">
        <f t="shared" si="25"/>
        <v>148931.64000000001</v>
      </c>
      <c r="BE20" s="434">
        <v>0.97960400000000003</v>
      </c>
      <c r="BF20" s="433">
        <f t="shared" si="26"/>
        <v>145894.03</v>
      </c>
      <c r="BG20" s="433">
        <f t="shared" si="27"/>
        <v>145.9</v>
      </c>
      <c r="BH20" s="433">
        <f t="shared" si="28"/>
        <v>3508751.6</v>
      </c>
      <c r="BI20" s="433">
        <f t="shared" si="29"/>
        <v>0</v>
      </c>
      <c r="BJ20" s="433">
        <f t="shared" si="30"/>
        <v>0</v>
      </c>
      <c r="BK20" s="433">
        <f t="shared" si="31"/>
        <v>3508751.6</v>
      </c>
      <c r="BL20" s="436">
        <f t="shared" si="32"/>
        <v>3508.8</v>
      </c>
      <c r="BM20" s="437">
        <f t="shared" si="33"/>
        <v>3437187.11</v>
      </c>
      <c r="BN20" s="437">
        <f t="shared" si="34"/>
        <v>3437.2</v>
      </c>
      <c r="BO20" s="438">
        <f t="shared" si="35"/>
        <v>-71.599999999999994</v>
      </c>
      <c r="BP20" s="439">
        <v>3437.2</v>
      </c>
      <c r="BQ20" s="439">
        <f t="shared" si="36"/>
        <v>0</v>
      </c>
    </row>
    <row r="21" spans="1:69" s="329" customFormat="1" ht="15.75" hidden="1" x14ac:dyDescent="0.25">
      <c r="A21" s="440" t="s">
        <v>894</v>
      </c>
      <c r="B21" s="432">
        <v>3274.05</v>
      </c>
      <c r="C21" s="432">
        <v>60.13</v>
      </c>
      <c r="D21" s="432">
        <v>84.87</v>
      </c>
      <c r="E21" s="432">
        <f t="shared" si="0"/>
        <v>145</v>
      </c>
      <c r="F21" s="441">
        <f>ROUND(B21*E21,2)-223200-4500</f>
        <v>247037.25</v>
      </c>
      <c r="G21" s="432"/>
      <c r="H21" s="433">
        <f t="shared" si="2"/>
        <v>247037.25</v>
      </c>
      <c r="I21" s="434">
        <v>0.97960400000000003</v>
      </c>
      <c r="J21" s="433">
        <f t="shared" si="3"/>
        <v>241998.68</v>
      </c>
      <c r="K21" s="442">
        <f>ROUND(J21/1000,1)-0.1</f>
        <v>241.9</v>
      </c>
      <c r="L21" s="432"/>
      <c r="M21" s="443"/>
      <c r="N21" s="443"/>
      <c r="O21" s="432">
        <f t="shared" si="5"/>
        <v>0</v>
      </c>
      <c r="P21" s="432">
        <f t="shared" si="6"/>
        <v>0</v>
      </c>
      <c r="Q21" s="432"/>
      <c r="R21" s="433">
        <f t="shared" si="7"/>
        <v>0</v>
      </c>
      <c r="S21" s="434">
        <v>0.97960400000000003</v>
      </c>
      <c r="T21" s="433">
        <f t="shared" si="8"/>
        <v>0</v>
      </c>
      <c r="U21" s="433">
        <f t="shared" si="9"/>
        <v>0</v>
      </c>
      <c r="V21" s="432">
        <v>10.029999999999999</v>
      </c>
      <c r="W21" s="432">
        <v>21714</v>
      </c>
      <c r="X21" s="432">
        <v>14090</v>
      </c>
      <c r="Y21" s="432">
        <f t="shared" si="10"/>
        <v>35804</v>
      </c>
      <c r="Z21" s="441">
        <f>ROUND(V21*Y21,2)-64700-1300</f>
        <v>293114.12</v>
      </c>
      <c r="AA21" s="432"/>
      <c r="AB21" s="432"/>
      <c r="AC21" s="433">
        <f t="shared" si="12"/>
        <v>293114.12</v>
      </c>
      <c r="AD21" s="434">
        <v>0.97960400000000003</v>
      </c>
      <c r="AE21" s="433">
        <f t="shared" si="13"/>
        <v>287135.76</v>
      </c>
      <c r="AF21" s="442">
        <f>ROUND(AE21/1000,1)</f>
        <v>287.10000000000002</v>
      </c>
      <c r="AG21" s="432">
        <v>61.16</v>
      </c>
      <c r="AH21" s="432">
        <v>480</v>
      </c>
      <c r="AI21" s="432">
        <v>269</v>
      </c>
      <c r="AJ21" s="432">
        <f t="shared" si="15"/>
        <v>749</v>
      </c>
      <c r="AK21" s="432">
        <v>25.2</v>
      </c>
      <c r="AL21" s="432">
        <v>480</v>
      </c>
      <c r="AM21" s="432">
        <v>269</v>
      </c>
      <c r="AN21" s="432">
        <f t="shared" si="16"/>
        <v>749</v>
      </c>
      <c r="AO21" s="432">
        <v>12.61</v>
      </c>
      <c r="AP21" s="432">
        <f t="shared" si="17"/>
        <v>45808.84</v>
      </c>
      <c r="AQ21" s="432">
        <f t="shared" si="18"/>
        <v>18874.8</v>
      </c>
      <c r="AR21" s="432">
        <f t="shared" si="19"/>
        <v>9444.89</v>
      </c>
      <c r="AS21" s="441">
        <f>AR21+AP21+AQ21-2900-100</f>
        <v>71128.53</v>
      </c>
      <c r="AT21" s="432"/>
      <c r="AU21" s="433">
        <f t="shared" si="21"/>
        <v>71128.53</v>
      </c>
      <c r="AV21" s="434">
        <v>0.97960400000000003</v>
      </c>
      <c r="AW21" s="433">
        <f t="shared" si="22"/>
        <v>69677.789999999994</v>
      </c>
      <c r="AX21" s="442">
        <f>ROUND(AW21/1000,1)</f>
        <v>69.7</v>
      </c>
      <c r="AY21" s="433">
        <v>15.11</v>
      </c>
      <c r="AZ21" s="433">
        <v>854.75</v>
      </c>
      <c r="BA21" s="435">
        <v>12</v>
      </c>
      <c r="BB21" s="433">
        <f t="shared" si="24"/>
        <v>154983.26999999999</v>
      </c>
      <c r="BC21" s="433"/>
      <c r="BD21" s="433">
        <f t="shared" si="25"/>
        <v>154983.26999999999</v>
      </c>
      <c r="BE21" s="434">
        <v>0.97960400000000003</v>
      </c>
      <c r="BF21" s="433">
        <f t="shared" si="26"/>
        <v>151822.23000000001</v>
      </c>
      <c r="BG21" s="433">
        <f t="shared" si="27"/>
        <v>151.80000000000001</v>
      </c>
      <c r="BH21" s="433">
        <f t="shared" si="28"/>
        <v>766263.17</v>
      </c>
      <c r="BI21" s="433">
        <f t="shared" si="29"/>
        <v>0</v>
      </c>
      <c r="BJ21" s="433">
        <f t="shared" si="30"/>
        <v>0</v>
      </c>
      <c r="BK21" s="433">
        <f t="shared" si="31"/>
        <v>766263.17</v>
      </c>
      <c r="BL21" s="436">
        <f t="shared" si="32"/>
        <v>766.3</v>
      </c>
      <c r="BM21" s="437">
        <f t="shared" si="33"/>
        <v>750634.46</v>
      </c>
      <c r="BN21" s="437">
        <f t="shared" si="34"/>
        <v>750.5</v>
      </c>
      <c r="BO21" s="438">
        <f t="shared" si="35"/>
        <v>-15.8</v>
      </c>
      <c r="BP21" s="329">
        <v>750.5</v>
      </c>
      <c r="BQ21" s="439">
        <f t="shared" si="36"/>
        <v>0</v>
      </c>
    </row>
    <row r="22" spans="1:69" s="329" customFormat="1" ht="15.75" hidden="1" x14ac:dyDescent="0.25">
      <c r="A22" s="431" t="s">
        <v>895</v>
      </c>
      <c r="B22" s="432">
        <v>0</v>
      </c>
      <c r="C22" s="432">
        <v>0</v>
      </c>
      <c r="D22" s="432">
        <v>0</v>
      </c>
      <c r="E22" s="432">
        <f t="shared" si="0"/>
        <v>0</v>
      </c>
      <c r="F22" s="432">
        <f t="shared" si="1"/>
        <v>0</v>
      </c>
      <c r="G22" s="432">
        <v>0</v>
      </c>
      <c r="H22" s="433">
        <f t="shared" si="2"/>
        <v>0</v>
      </c>
      <c r="I22" s="434">
        <v>0.97960400000000003</v>
      </c>
      <c r="J22" s="433">
        <f t="shared" si="3"/>
        <v>0</v>
      </c>
      <c r="K22" s="433">
        <f t="shared" si="4"/>
        <v>0</v>
      </c>
      <c r="L22" s="432">
        <v>9.9700000000000006</v>
      </c>
      <c r="M22" s="432">
        <v>57330</v>
      </c>
      <c r="N22" s="432">
        <v>80270</v>
      </c>
      <c r="O22" s="432">
        <f t="shared" si="5"/>
        <v>137600</v>
      </c>
      <c r="P22" s="432">
        <f t="shared" si="6"/>
        <v>1371872</v>
      </c>
      <c r="Q22" s="432">
        <v>0</v>
      </c>
      <c r="R22" s="433">
        <f t="shared" si="7"/>
        <v>1371872</v>
      </c>
      <c r="S22" s="434">
        <v>0.97960400000000003</v>
      </c>
      <c r="T22" s="433">
        <f t="shared" si="8"/>
        <v>1343891.3</v>
      </c>
      <c r="U22" s="433">
        <f t="shared" si="9"/>
        <v>1343.9</v>
      </c>
      <c r="V22" s="432">
        <v>10.029999999999999</v>
      </c>
      <c r="W22" s="432">
        <v>62500</v>
      </c>
      <c r="X22" s="432">
        <v>62500</v>
      </c>
      <c r="Y22" s="432">
        <f t="shared" si="10"/>
        <v>125000</v>
      </c>
      <c r="Z22" s="432">
        <f t="shared" si="11"/>
        <v>1253750</v>
      </c>
      <c r="AA22" s="432">
        <v>0</v>
      </c>
      <c r="AB22" s="432"/>
      <c r="AC22" s="433">
        <f t="shared" si="12"/>
        <v>1253750</v>
      </c>
      <c r="AD22" s="434">
        <v>0.97960400000000003</v>
      </c>
      <c r="AE22" s="433">
        <f t="shared" si="13"/>
        <v>1228178.52</v>
      </c>
      <c r="AF22" s="433">
        <f t="shared" si="14"/>
        <v>1228.2</v>
      </c>
      <c r="AG22" s="432">
        <v>61.16</v>
      </c>
      <c r="AH22" s="432">
        <v>3000</v>
      </c>
      <c r="AI22" s="432">
        <v>333</v>
      </c>
      <c r="AJ22" s="432">
        <f t="shared" si="15"/>
        <v>3333</v>
      </c>
      <c r="AK22" s="432">
        <v>25.2</v>
      </c>
      <c r="AL22" s="432">
        <v>3000</v>
      </c>
      <c r="AM22" s="432">
        <v>333</v>
      </c>
      <c r="AN22" s="432">
        <f t="shared" si="16"/>
        <v>3333</v>
      </c>
      <c r="AO22" s="432">
        <v>12.61</v>
      </c>
      <c r="AP22" s="432">
        <f t="shared" si="17"/>
        <v>203846.28</v>
      </c>
      <c r="AQ22" s="432">
        <f t="shared" si="18"/>
        <v>83991.6</v>
      </c>
      <c r="AR22" s="432">
        <f t="shared" si="19"/>
        <v>42029.13</v>
      </c>
      <c r="AS22" s="432">
        <f t="shared" si="20"/>
        <v>329867.01</v>
      </c>
      <c r="AT22" s="432">
        <v>0</v>
      </c>
      <c r="AU22" s="433">
        <f t="shared" si="21"/>
        <v>329867.01</v>
      </c>
      <c r="AV22" s="434">
        <v>0.97960400000000003</v>
      </c>
      <c r="AW22" s="433">
        <f t="shared" si="22"/>
        <v>323139.03999999998</v>
      </c>
      <c r="AX22" s="433">
        <f t="shared" si="23"/>
        <v>323.10000000000002</v>
      </c>
      <c r="AY22" s="433">
        <v>19.059999999999999</v>
      </c>
      <c r="AZ22" s="433">
        <v>854.75</v>
      </c>
      <c r="BA22" s="435">
        <v>12</v>
      </c>
      <c r="BB22" s="433">
        <f t="shared" si="24"/>
        <v>195498.42</v>
      </c>
      <c r="BC22" s="433">
        <v>0</v>
      </c>
      <c r="BD22" s="433">
        <f t="shared" si="25"/>
        <v>195498.42</v>
      </c>
      <c r="BE22" s="434">
        <v>0.97960400000000003</v>
      </c>
      <c r="BF22" s="433">
        <f t="shared" si="26"/>
        <v>191511.03</v>
      </c>
      <c r="BG22" s="433">
        <f t="shared" si="27"/>
        <v>191.5</v>
      </c>
      <c r="BH22" s="433">
        <f t="shared" si="28"/>
        <v>3150987.43</v>
      </c>
      <c r="BI22" s="433">
        <f t="shared" si="29"/>
        <v>0</v>
      </c>
      <c r="BJ22" s="433">
        <f t="shared" si="30"/>
        <v>0</v>
      </c>
      <c r="BK22" s="433">
        <f t="shared" si="31"/>
        <v>3150987.43</v>
      </c>
      <c r="BL22" s="436">
        <f t="shared" si="32"/>
        <v>3151</v>
      </c>
      <c r="BM22" s="437">
        <f t="shared" si="33"/>
        <v>3086719.89</v>
      </c>
      <c r="BN22" s="437">
        <f t="shared" si="34"/>
        <v>3086.7</v>
      </c>
      <c r="BO22" s="438">
        <f t="shared" si="35"/>
        <v>-64.3</v>
      </c>
      <c r="BP22" s="439">
        <v>3086.7</v>
      </c>
      <c r="BQ22" s="439">
        <f t="shared" si="36"/>
        <v>0</v>
      </c>
    </row>
    <row r="23" spans="1:69" s="329" customFormat="1" ht="15.75" hidden="1" x14ac:dyDescent="0.25">
      <c r="A23" s="431" t="s">
        <v>896</v>
      </c>
      <c r="B23" s="432">
        <v>3274.05</v>
      </c>
      <c r="C23" s="432">
        <v>85.32</v>
      </c>
      <c r="D23" s="432">
        <v>133.86000000000001</v>
      </c>
      <c r="E23" s="432">
        <f t="shared" si="0"/>
        <v>219.2</v>
      </c>
      <c r="F23" s="432">
        <f t="shared" si="1"/>
        <v>717671.76</v>
      </c>
      <c r="G23" s="432"/>
      <c r="H23" s="433">
        <f t="shared" si="2"/>
        <v>717671.76</v>
      </c>
      <c r="I23" s="434">
        <v>0.97960400000000003</v>
      </c>
      <c r="J23" s="433">
        <f t="shared" si="3"/>
        <v>703034.13</v>
      </c>
      <c r="K23" s="433">
        <f t="shared" si="4"/>
        <v>703</v>
      </c>
      <c r="L23" s="432"/>
      <c r="M23" s="432"/>
      <c r="N23" s="432"/>
      <c r="O23" s="432">
        <f t="shared" si="5"/>
        <v>0</v>
      </c>
      <c r="P23" s="432">
        <f t="shared" si="6"/>
        <v>0</v>
      </c>
      <c r="Q23" s="432"/>
      <c r="R23" s="433">
        <f t="shared" si="7"/>
        <v>0</v>
      </c>
      <c r="S23" s="434">
        <v>0.97960400000000003</v>
      </c>
      <c r="T23" s="433">
        <f t="shared" si="8"/>
        <v>0</v>
      </c>
      <c r="U23" s="433">
        <f t="shared" si="9"/>
        <v>0</v>
      </c>
      <c r="V23" s="432">
        <v>10.029999999999999</v>
      </c>
      <c r="W23" s="432">
        <v>10824</v>
      </c>
      <c r="X23" s="432">
        <v>11662</v>
      </c>
      <c r="Y23" s="432">
        <f t="shared" si="10"/>
        <v>22486</v>
      </c>
      <c r="Z23" s="432">
        <f t="shared" si="11"/>
        <v>225534.58</v>
      </c>
      <c r="AA23" s="432"/>
      <c r="AB23" s="432"/>
      <c r="AC23" s="433">
        <f t="shared" si="12"/>
        <v>225534.58</v>
      </c>
      <c r="AD23" s="434">
        <v>0.97960400000000003</v>
      </c>
      <c r="AE23" s="433">
        <f t="shared" si="13"/>
        <v>220934.58</v>
      </c>
      <c r="AF23" s="433">
        <f t="shared" si="14"/>
        <v>220.9</v>
      </c>
      <c r="AG23" s="432">
        <v>61.16</v>
      </c>
      <c r="AH23" s="432">
        <v>593</v>
      </c>
      <c r="AI23" s="432">
        <v>508</v>
      </c>
      <c r="AJ23" s="432">
        <f t="shared" si="15"/>
        <v>1101</v>
      </c>
      <c r="AK23" s="432">
        <v>25.2</v>
      </c>
      <c r="AL23" s="432">
        <v>593</v>
      </c>
      <c r="AM23" s="432">
        <v>508</v>
      </c>
      <c r="AN23" s="432">
        <f t="shared" si="16"/>
        <v>1101</v>
      </c>
      <c r="AO23" s="432">
        <v>12.61</v>
      </c>
      <c r="AP23" s="432">
        <f t="shared" si="17"/>
        <v>67337.16</v>
      </c>
      <c r="AQ23" s="432">
        <f t="shared" si="18"/>
        <v>27745.200000000001</v>
      </c>
      <c r="AR23" s="432">
        <f t="shared" si="19"/>
        <v>13883.61</v>
      </c>
      <c r="AS23" s="432">
        <f t="shared" si="20"/>
        <v>108965.97</v>
      </c>
      <c r="AT23" s="432"/>
      <c r="AU23" s="433">
        <f t="shared" si="21"/>
        <v>108965.97</v>
      </c>
      <c r="AV23" s="434">
        <v>0.97960400000000003</v>
      </c>
      <c r="AW23" s="433">
        <f t="shared" si="22"/>
        <v>106743.5</v>
      </c>
      <c r="AX23" s="433">
        <f t="shared" si="23"/>
        <v>106.7</v>
      </c>
      <c r="AY23" s="433">
        <v>6.23</v>
      </c>
      <c r="AZ23" s="433">
        <v>854.75</v>
      </c>
      <c r="BA23" s="435">
        <v>12</v>
      </c>
      <c r="BB23" s="433">
        <f t="shared" si="24"/>
        <v>63901.11</v>
      </c>
      <c r="BC23" s="433"/>
      <c r="BD23" s="433">
        <f t="shared" si="25"/>
        <v>63901.11</v>
      </c>
      <c r="BE23" s="434">
        <v>0.97960400000000003</v>
      </c>
      <c r="BF23" s="433">
        <f t="shared" si="26"/>
        <v>62597.78</v>
      </c>
      <c r="BG23" s="433">
        <f t="shared" si="27"/>
        <v>62.6</v>
      </c>
      <c r="BH23" s="433">
        <f t="shared" si="28"/>
        <v>1116073.42</v>
      </c>
      <c r="BI23" s="433">
        <f t="shared" si="29"/>
        <v>0</v>
      </c>
      <c r="BJ23" s="433">
        <f t="shared" si="30"/>
        <v>0</v>
      </c>
      <c r="BK23" s="433">
        <f t="shared" si="31"/>
        <v>1116073.42</v>
      </c>
      <c r="BL23" s="436">
        <f t="shared" si="32"/>
        <v>1116.0999999999999</v>
      </c>
      <c r="BM23" s="437">
        <f t="shared" si="33"/>
        <v>1093309.99</v>
      </c>
      <c r="BN23" s="437">
        <f t="shared" si="34"/>
        <v>1093.2</v>
      </c>
      <c r="BO23" s="438">
        <f t="shared" si="35"/>
        <v>-22.9</v>
      </c>
      <c r="BP23" s="329">
        <v>1093.2</v>
      </c>
      <c r="BQ23" s="439">
        <f t="shared" si="36"/>
        <v>0</v>
      </c>
    </row>
    <row r="24" spans="1:69" s="329" customFormat="1" ht="15.75" hidden="1" x14ac:dyDescent="0.25">
      <c r="A24" s="431" t="s">
        <v>749</v>
      </c>
      <c r="B24" s="432">
        <v>3274.05</v>
      </c>
      <c r="C24" s="432">
        <v>51.57</v>
      </c>
      <c r="D24" s="432">
        <v>70.099999999999994</v>
      </c>
      <c r="E24" s="432">
        <f t="shared" si="0"/>
        <v>121.7</v>
      </c>
      <c r="F24" s="432">
        <f t="shared" si="1"/>
        <v>398451.89</v>
      </c>
      <c r="G24" s="432"/>
      <c r="H24" s="433">
        <f t="shared" si="2"/>
        <v>398451.89</v>
      </c>
      <c r="I24" s="434">
        <v>0.97960400000000003</v>
      </c>
      <c r="J24" s="433">
        <f t="shared" si="3"/>
        <v>390325.07</v>
      </c>
      <c r="K24" s="433">
        <f t="shared" si="4"/>
        <v>390.3</v>
      </c>
      <c r="L24" s="432"/>
      <c r="M24" s="432"/>
      <c r="N24" s="432"/>
      <c r="O24" s="432">
        <f t="shared" si="5"/>
        <v>0</v>
      </c>
      <c r="P24" s="432">
        <f t="shared" si="6"/>
        <v>0</v>
      </c>
      <c r="Q24" s="432"/>
      <c r="R24" s="433">
        <f t="shared" si="7"/>
        <v>0</v>
      </c>
      <c r="S24" s="434">
        <v>0.97960400000000003</v>
      </c>
      <c r="T24" s="433">
        <f t="shared" si="8"/>
        <v>0</v>
      </c>
      <c r="U24" s="433">
        <f t="shared" si="9"/>
        <v>0</v>
      </c>
      <c r="V24" s="432">
        <v>10.029999999999999</v>
      </c>
      <c r="W24" s="432">
        <v>21829</v>
      </c>
      <c r="X24" s="432">
        <v>20549</v>
      </c>
      <c r="Y24" s="432">
        <f t="shared" si="10"/>
        <v>42378</v>
      </c>
      <c r="Z24" s="432">
        <f t="shared" si="11"/>
        <v>425051.34</v>
      </c>
      <c r="AA24" s="432"/>
      <c r="AB24" s="432"/>
      <c r="AC24" s="433">
        <f t="shared" si="12"/>
        <v>425051.34</v>
      </c>
      <c r="AD24" s="434">
        <v>0.97960400000000003</v>
      </c>
      <c r="AE24" s="433">
        <f t="shared" si="13"/>
        <v>416381.99</v>
      </c>
      <c r="AF24" s="433">
        <f t="shared" si="14"/>
        <v>416.4</v>
      </c>
      <c r="AG24" s="432">
        <v>61.16</v>
      </c>
      <c r="AH24" s="432">
        <v>397</v>
      </c>
      <c r="AI24" s="432">
        <v>422</v>
      </c>
      <c r="AJ24" s="432">
        <f t="shared" si="15"/>
        <v>819</v>
      </c>
      <c r="AK24" s="432">
        <v>25.2</v>
      </c>
      <c r="AL24" s="432">
        <v>397</v>
      </c>
      <c r="AM24" s="432">
        <v>422</v>
      </c>
      <c r="AN24" s="432">
        <f t="shared" si="16"/>
        <v>819</v>
      </c>
      <c r="AO24" s="432">
        <v>12.61</v>
      </c>
      <c r="AP24" s="432">
        <f t="shared" si="17"/>
        <v>50090.04</v>
      </c>
      <c r="AQ24" s="432">
        <f t="shared" si="18"/>
        <v>20638.8</v>
      </c>
      <c r="AR24" s="432">
        <f t="shared" si="19"/>
        <v>10327.59</v>
      </c>
      <c r="AS24" s="432">
        <f t="shared" si="20"/>
        <v>81056.429999999993</v>
      </c>
      <c r="AT24" s="432"/>
      <c r="AU24" s="433">
        <f t="shared" si="21"/>
        <v>81056.429999999993</v>
      </c>
      <c r="AV24" s="434">
        <v>0.97960400000000003</v>
      </c>
      <c r="AW24" s="433">
        <f t="shared" si="22"/>
        <v>79403.199999999997</v>
      </c>
      <c r="AX24" s="433">
        <f t="shared" si="23"/>
        <v>79.400000000000006</v>
      </c>
      <c r="AY24" s="433">
        <v>9.3800000000000008</v>
      </c>
      <c r="AZ24" s="433">
        <v>854.75</v>
      </c>
      <c r="BA24" s="435">
        <v>12</v>
      </c>
      <c r="BB24" s="433">
        <f t="shared" si="24"/>
        <v>96210.66</v>
      </c>
      <c r="BC24" s="433"/>
      <c r="BD24" s="433">
        <f t="shared" si="25"/>
        <v>96210.66</v>
      </c>
      <c r="BE24" s="434">
        <v>0.97960400000000003</v>
      </c>
      <c r="BF24" s="433">
        <f t="shared" si="26"/>
        <v>94248.35</v>
      </c>
      <c r="BG24" s="433">
        <f t="shared" si="27"/>
        <v>94.2</v>
      </c>
      <c r="BH24" s="433">
        <f t="shared" si="28"/>
        <v>1000770.32</v>
      </c>
      <c r="BI24" s="433">
        <f t="shared" si="29"/>
        <v>0</v>
      </c>
      <c r="BJ24" s="433">
        <f t="shared" si="30"/>
        <v>0</v>
      </c>
      <c r="BK24" s="433">
        <f t="shared" si="31"/>
        <v>1000770.32</v>
      </c>
      <c r="BL24" s="436">
        <f t="shared" si="32"/>
        <v>1000.8</v>
      </c>
      <c r="BM24" s="437">
        <f t="shared" si="33"/>
        <v>980358.61</v>
      </c>
      <c r="BN24" s="437">
        <f t="shared" si="34"/>
        <v>980.3</v>
      </c>
      <c r="BO24" s="438">
        <f t="shared" si="35"/>
        <v>-20.5</v>
      </c>
      <c r="BP24" s="329">
        <v>980.3</v>
      </c>
      <c r="BQ24" s="439">
        <f t="shared" si="36"/>
        <v>0</v>
      </c>
    </row>
    <row r="25" spans="1:69" s="329" customFormat="1" ht="15.75" hidden="1" x14ac:dyDescent="0.25">
      <c r="A25" s="431" t="s">
        <v>750</v>
      </c>
      <c r="B25" s="432">
        <v>2588.77</v>
      </c>
      <c r="C25" s="432">
        <v>131.11000000000001</v>
      </c>
      <c r="D25" s="432">
        <v>184.4</v>
      </c>
      <c r="E25" s="432">
        <f t="shared" si="0"/>
        <v>315.5</v>
      </c>
      <c r="F25" s="432">
        <f t="shared" si="1"/>
        <v>816756.94</v>
      </c>
      <c r="G25" s="432"/>
      <c r="H25" s="433">
        <f t="shared" si="2"/>
        <v>816756.94</v>
      </c>
      <c r="I25" s="434">
        <v>0.97960400000000003</v>
      </c>
      <c r="J25" s="433">
        <f t="shared" si="3"/>
        <v>800098.37</v>
      </c>
      <c r="K25" s="433">
        <f t="shared" si="4"/>
        <v>800.1</v>
      </c>
      <c r="L25" s="432"/>
      <c r="M25" s="432"/>
      <c r="N25" s="432"/>
      <c r="O25" s="432">
        <f t="shared" si="5"/>
        <v>0</v>
      </c>
      <c r="P25" s="432">
        <f t="shared" si="6"/>
        <v>0</v>
      </c>
      <c r="Q25" s="432"/>
      <c r="R25" s="433">
        <f t="shared" si="7"/>
        <v>0</v>
      </c>
      <c r="S25" s="434">
        <v>0.97960400000000003</v>
      </c>
      <c r="T25" s="433">
        <f t="shared" si="8"/>
        <v>0</v>
      </c>
      <c r="U25" s="433">
        <f t="shared" si="9"/>
        <v>0</v>
      </c>
      <c r="V25" s="432">
        <v>10.029999999999999</v>
      </c>
      <c r="W25" s="432">
        <v>37600</v>
      </c>
      <c r="X25" s="432">
        <v>34601</v>
      </c>
      <c r="Y25" s="432">
        <f t="shared" si="10"/>
        <v>72201</v>
      </c>
      <c r="Z25" s="432">
        <f t="shared" si="11"/>
        <v>724176.03</v>
      </c>
      <c r="AA25" s="432"/>
      <c r="AB25" s="432"/>
      <c r="AC25" s="433">
        <f t="shared" si="12"/>
        <v>724176.03</v>
      </c>
      <c r="AD25" s="434">
        <v>0.97960400000000003</v>
      </c>
      <c r="AE25" s="433">
        <f t="shared" si="13"/>
        <v>709405.74</v>
      </c>
      <c r="AF25" s="433">
        <f t="shared" si="14"/>
        <v>709.4</v>
      </c>
      <c r="AG25" s="432">
        <v>61.16</v>
      </c>
      <c r="AH25" s="432">
        <v>950</v>
      </c>
      <c r="AI25" s="432">
        <v>861</v>
      </c>
      <c r="AJ25" s="432">
        <f t="shared" si="15"/>
        <v>1811</v>
      </c>
      <c r="AK25" s="432">
        <v>25.2</v>
      </c>
      <c r="AL25" s="432">
        <v>950</v>
      </c>
      <c r="AM25" s="432">
        <v>861</v>
      </c>
      <c r="AN25" s="432">
        <f t="shared" si="16"/>
        <v>1811</v>
      </c>
      <c r="AO25" s="432">
        <v>12.61</v>
      </c>
      <c r="AP25" s="432">
        <f t="shared" si="17"/>
        <v>110760.76</v>
      </c>
      <c r="AQ25" s="432">
        <f t="shared" si="18"/>
        <v>45637.2</v>
      </c>
      <c r="AR25" s="432">
        <f t="shared" si="19"/>
        <v>22836.71</v>
      </c>
      <c r="AS25" s="432">
        <f t="shared" si="20"/>
        <v>179234.67</v>
      </c>
      <c r="AT25" s="432"/>
      <c r="AU25" s="433">
        <f t="shared" si="21"/>
        <v>179234.67</v>
      </c>
      <c r="AV25" s="434">
        <v>0.97960400000000003</v>
      </c>
      <c r="AW25" s="433">
        <f t="shared" si="22"/>
        <v>175579</v>
      </c>
      <c r="AX25" s="433">
        <f t="shared" si="23"/>
        <v>175.6</v>
      </c>
      <c r="AY25" s="433">
        <v>12.63</v>
      </c>
      <c r="AZ25" s="433">
        <v>854.75</v>
      </c>
      <c r="BA25" s="435">
        <v>12</v>
      </c>
      <c r="BB25" s="433">
        <f t="shared" si="24"/>
        <v>129545.91</v>
      </c>
      <c r="BC25" s="433"/>
      <c r="BD25" s="433">
        <f t="shared" si="25"/>
        <v>129545.91</v>
      </c>
      <c r="BE25" s="434">
        <v>0.97960400000000003</v>
      </c>
      <c r="BF25" s="433">
        <f t="shared" si="26"/>
        <v>126903.69</v>
      </c>
      <c r="BG25" s="433">
        <f t="shared" si="27"/>
        <v>126.9</v>
      </c>
      <c r="BH25" s="433">
        <f t="shared" si="28"/>
        <v>1849713.55</v>
      </c>
      <c r="BI25" s="433">
        <f t="shared" si="29"/>
        <v>0</v>
      </c>
      <c r="BJ25" s="433">
        <f t="shared" si="30"/>
        <v>0</v>
      </c>
      <c r="BK25" s="433">
        <f t="shared" si="31"/>
        <v>1849713.55</v>
      </c>
      <c r="BL25" s="436">
        <f t="shared" si="32"/>
        <v>1849.8</v>
      </c>
      <c r="BM25" s="437">
        <f t="shared" si="33"/>
        <v>1811986.8</v>
      </c>
      <c r="BN25" s="437">
        <f t="shared" si="34"/>
        <v>1812</v>
      </c>
      <c r="BO25" s="438">
        <f t="shared" si="35"/>
        <v>-37.799999999999997</v>
      </c>
      <c r="BP25" s="329">
        <v>1812</v>
      </c>
      <c r="BQ25" s="439">
        <f t="shared" si="36"/>
        <v>0</v>
      </c>
    </row>
    <row r="26" spans="1:69" s="329" customFormat="1" ht="15.75" hidden="1" x14ac:dyDescent="0.25">
      <c r="A26" s="431" t="s">
        <v>897</v>
      </c>
      <c r="B26" s="432">
        <v>3274.05</v>
      </c>
      <c r="C26" s="432">
        <v>167.55</v>
      </c>
      <c r="D26" s="432">
        <v>319.07</v>
      </c>
      <c r="E26" s="432">
        <f t="shared" si="0"/>
        <v>486.6</v>
      </c>
      <c r="F26" s="432">
        <f t="shared" si="1"/>
        <v>1593152.73</v>
      </c>
      <c r="G26" s="432"/>
      <c r="H26" s="433">
        <f t="shared" si="2"/>
        <v>1593152.73</v>
      </c>
      <c r="I26" s="434">
        <v>0.97960400000000003</v>
      </c>
      <c r="J26" s="433">
        <f t="shared" si="3"/>
        <v>1560658.79</v>
      </c>
      <c r="K26" s="433">
        <f t="shared" si="4"/>
        <v>1560.7</v>
      </c>
      <c r="L26" s="432"/>
      <c r="M26" s="432"/>
      <c r="N26" s="432"/>
      <c r="O26" s="432">
        <f t="shared" si="5"/>
        <v>0</v>
      </c>
      <c r="P26" s="432">
        <f t="shared" si="6"/>
        <v>0</v>
      </c>
      <c r="Q26" s="432"/>
      <c r="R26" s="433">
        <f t="shared" si="7"/>
        <v>0</v>
      </c>
      <c r="S26" s="434">
        <v>0.97960400000000003</v>
      </c>
      <c r="T26" s="433">
        <f t="shared" si="8"/>
        <v>0</v>
      </c>
      <c r="U26" s="433">
        <f t="shared" si="9"/>
        <v>0</v>
      </c>
      <c r="V26" s="432">
        <v>10.029999999999999</v>
      </c>
      <c r="W26" s="432">
        <v>99779</v>
      </c>
      <c r="X26" s="432">
        <v>104137</v>
      </c>
      <c r="Y26" s="432">
        <f t="shared" si="10"/>
        <v>203916</v>
      </c>
      <c r="Z26" s="432">
        <f t="shared" si="11"/>
        <v>2045277.48</v>
      </c>
      <c r="AA26" s="432"/>
      <c r="AB26" s="432"/>
      <c r="AC26" s="433">
        <f t="shared" si="12"/>
        <v>2045277.48</v>
      </c>
      <c r="AD26" s="434">
        <v>0.97960400000000003</v>
      </c>
      <c r="AE26" s="433">
        <f t="shared" si="13"/>
        <v>2003562</v>
      </c>
      <c r="AF26" s="433">
        <f t="shared" si="14"/>
        <v>2003.6</v>
      </c>
      <c r="AG26" s="432">
        <v>61.16</v>
      </c>
      <c r="AH26" s="432">
        <v>1617</v>
      </c>
      <c r="AI26" s="432">
        <v>1340</v>
      </c>
      <c r="AJ26" s="432">
        <f t="shared" si="15"/>
        <v>2957</v>
      </c>
      <c r="AK26" s="432">
        <v>25.2</v>
      </c>
      <c r="AL26" s="432">
        <v>1617</v>
      </c>
      <c r="AM26" s="432">
        <v>1340</v>
      </c>
      <c r="AN26" s="432">
        <f t="shared" si="16"/>
        <v>2957</v>
      </c>
      <c r="AO26" s="432">
        <v>12.61</v>
      </c>
      <c r="AP26" s="432">
        <f t="shared" si="17"/>
        <v>180850.12</v>
      </c>
      <c r="AQ26" s="432">
        <f t="shared" si="18"/>
        <v>74516.399999999994</v>
      </c>
      <c r="AR26" s="432">
        <f t="shared" si="19"/>
        <v>37287.769999999997</v>
      </c>
      <c r="AS26" s="432">
        <f t="shared" si="20"/>
        <v>292654.28999999998</v>
      </c>
      <c r="AT26" s="432"/>
      <c r="AU26" s="433">
        <f t="shared" si="21"/>
        <v>292654.28999999998</v>
      </c>
      <c r="AV26" s="434">
        <v>0.97960400000000003</v>
      </c>
      <c r="AW26" s="433">
        <f t="shared" si="22"/>
        <v>286685.31</v>
      </c>
      <c r="AX26" s="433">
        <f t="shared" si="23"/>
        <v>286.7</v>
      </c>
      <c r="AY26" s="433">
        <v>11</v>
      </c>
      <c r="AZ26" s="433">
        <v>854.75</v>
      </c>
      <c r="BA26" s="435">
        <v>12</v>
      </c>
      <c r="BB26" s="433">
        <f t="shared" si="24"/>
        <v>112827</v>
      </c>
      <c r="BC26" s="433"/>
      <c r="BD26" s="433">
        <f t="shared" si="25"/>
        <v>112827</v>
      </c>
      <c r="BE26" s="434">
        <v>0.97960400000000003</v>
      </c>
      <c r="BF26" s="433">
        <f t="shared" si="26"/>
        <v>110525.78</v>
      </c>
      <c r="BG26" s="433">
        <f t="shared" si="27"/>
        <v>110.5</v>
      </c>
      <c r="BH26" s="433">
        <f t="shared" si="28"/>
        <v>4043911.5</v>
      </c>
      <c r="BI26" s="433">
        <f t="shared" si="29"/>
        <v>0</v>
      </c>
      <c r="BJ26" s="433">
        <f t="shared" si="30"/>
        <v>0</v>
      </c>
      <c r="BK26" s="433">
        <f t="shared" si="31"/>
        <v>4043911.5</v>
      </c>
      <c r="BL26" s="436">
        <f t="shared" si="32"/>
        <v>4044</v>
      </c>
      <c r="BM26" s="437">
        <f t="shared" si="33"/>
        <v>3961431.88</v>
      </c>
      <c r="BN26" s="437">
        <f t="shared" si="34"/>
        <v>3961.5</v>
      </c>
      <c r="BO26" s="438">
        <f t="shared" si="35"/>
        <v>-82.5</v>
      </c>
      <c r="BP26" s="329">
        <v>3961.5</v>
      </c>
      <c r="BQ26" s="439">
        <f t="shared" si="36"/>
        <v>0</v>
      </c>
    </row>
    <row r="27" spans="1:69" s="329" customFormat="1" ht="15.75" hidden="1" x14ac:dyDescent="0.25">
      <c r="A27" s="431" t="s">
        <v>752</v>
      </c>
      <c r="B27" s="432">
        <v>3274.05</v>
      </c>
      <c r="C27" s="432">
        <v>108.79</v>
      </c>
      <c r="D27" s="432">
        <v>137.56</v>
      </c>
      <c r="E27" s="432">
        <f t="shared" si="0"/>
        <v>246.4</v>
      </c>
      <c r="F27" s="432">
        <f t="shared" si="1"/>
        <v>806725.92</v>
      </c>
      <c r="G27" s="432"/>
      <c r="H27" s="433">
        <f t="shared" si="2"/>
        <v>806725.92</v>
      </c>
      <c r="I27" s="434">
        <v>0.97960400000000003</v>
      </c>
      <c r="J27" s="433">
        <f t="shared" si="3"/>
        <v>790271.94</v>
      </c>
      <c r="K27" s="433">
        <f t="shared" si="4"/>
        <v>790.3</v>
      </c>
      <c r="L27" s="432"/>
      <c r="M27" s="432"/>
      <c r="N27" s="432"/>
      <c r="O27" s="432">
        <f t="shared" si="5"/>
        <v>0</v>
      </c>
      <c r="P27" s="432">
        <f t="shared" si="6"/>
        <v>0</v>
      </c>
      <c r="Q27" s="432"/>
      <c r="R27" s="433">
        <f t="shared" si="7"/>
        <v>0</v>
      </c>
      <c r="S27" s="434">
        <v>0.97960400000000003</v>
      </c>
      <c r="T27" s="433">
        <f t="shared" si="8"/>
        <v>0</v>
      </c>
      <c r="U27" s="433">
        <f t="shared" si="9"/>
        <v>0</v>
      </c>
      <c r="V27" s="432">
        <v>10.029999999999999</v>
      </c>
      <c r="W27" s="432">
        <v>30366</v>
      </c>
      <c r="X27" s="432">
        <v>28793</v>
      </c>
      <c r="Y27" s="432">
        <f t="shared" si="10"/>
        <v>59159</v>
      </c>
      <c r="Z27" s="432">
        <f t="shared" si="11"/>
        <v>593364.77</v>
      </c>
      <c r="AA27" s="432"/>
      <c r="AB27" s="432"/>
      <c r="AC27" s="433">
        <f t="shared" si="12"/>
        <v>593364.77</v>
      </c>
      <c r="AD27" s="434">
        <v>0.97960400000000003</v>
      </c>
      <c r="AE27" s="433">
        <f t="shared" si="13"/>
        <v>581262.5</v>
      </c>
      <c r="AF27" s="433">
        <f t="shared" si="14"/>
        <v>581.29999999999995</v>
      </c>
      <c r="AG27" s="432">
        <v>61.16</v>
      </c>
      <c r="AH27" s="432">
        <v>461</v>
      </c>
      <c r="AI27" s="432">
        <v>1183</v>
      </c>
      <c r="AJ27" s="432">
        <f t="shared" si="15"/>
        <v>1644</v>
      </c>
      <c r="AK27" s="432">
        <v>25.2</v>
      </c>
      <c r="AL27" s="432">
        <v>461</v>
      </c>
      <c r="AM27" s="432">
        <v>1183</v>
      </c>
      <c r="AN27" s="432">
        <f t="shared" si="16"/>
        <v>1644</v>
      </c>
      <c r="AO27" s="432">
        <v>12.61</v>
      </c>
      <c r="AP27" s="432">
        <f t="shared" si="17"/>
        <v>100547.04</v>
      </c>
      <c r="AQ27" s="432">
        <f t="shared" si="18"/>
        <v>41428.800000000003</v>
      </c>
      <c r="AR27" s="432">
        <f t="shared" si="19"/>
        <v>20730.84</v>
      </c>
      <c r="AS27" s="432">
        <f t="shared" si="20"/>
        <v>162706.68</v>
      </c>
      <c r="AT27" s="432"/>
      <c r="AU27" s="433">
        <f t="shared" si="21"/>
        <v>162706.68</v>
      </c>
      <c r="AV27" s="434">
        <v>0.97960400000000003</v>
      </c>
      <c r="AW27" s="433">
        <f t="shared" si="22"/>
        <v>159388.10999999999</v>
      </c>
      <c r="AX27" s="433">
        <f t="shared" si="23"/>
        <v>159.4</v>
      </c>
      <c r="AY27" s="433">
        <v>6.38</v>
      </c>
      <c r="AZ27" s="433">
        <v>854.75</v>
      </c>
      <c r="BA27" s="435">
        <v>12</v>
      </c>
      <c r="BB27" s="433">
        <f t="shared" si="24"/>
        <v>65439.66</v>
      </c>
      <c r="BC27" s="433"/>
      <c r="BD27" s="433">
        <f t="shared" si="25"/>
        <v>65439.66</v>
      </c>
      <c r="BE27" s="434">
        <v>0.97960400000000003</v>
      </c>
      <c r="BF27" s="433">
        <f t="shared" si="26"/>
        <v>64104.95</v>
      </c>
      <c r="BG27" s="433">
        <f t="shared" si="27"/>
        <v>64.099999999999994</v>
      </c>
      <c r="BH27" s="433">
        <f t="shared" si="28"/>
        <v>1628237.03</v>
      </c>
      <c r="BI27" s="433">
        <f t="shared" si="29"/>
        <v>0</v>
      </c>
      <c r="BJ27" s="433">
        <f t="shared" si="30"/>
        <v>0</v>
      </c>
      <c r="BK27" s="433">
        <f t="shared" si="31"/>
        <v>1628237.03</v>
      </c>
      <c r="BL27" s="436">
        <f t="shared" si="32"/>
        <v>1628.3</v>
      </c>
      <c r="BM27" s="437">
        <f t="shared" si="33"/>
        <v>1595027.5</v>
      </c>
      <c r="BN27" s="437">
        <f t="shared" si="34"/>
        <v>1595.1</v>
      </c>
      <c r="BO27" s="438">
        <f t="shared" si="35"/>
        <v>-33.200000000000003</v>
      </c>
      <c r="BP27" s="329">
        <v>1595.1</v>
      </c>
      <c r="BQ27" s="439">
        <f t="shared" si="36"/>
        <v>0</v>
      </c>
    </row>
    <row r="28" spans="1:69" s="329" customFormat="1" ht="15.75" hidden="1" x14ac:dyDescent="0.25">
      <c r="A28" s="431" t="s">
        <v>753</v>
      </c>
      <c r="B28" s="432"/>
      <c r="C28" s="432"/>
      <c r="D28" s="432"/>
      <c r="E28" s="432">
        <f t="shared" si="0"/>
        <v>0</v>
      </c>
      <c r="F28" s="432">
        <f t="shared" si="1"/>
        <v>0</v>
      </c>
      <c r="G28" s="432"/>
      <c r="H28" s="433">
        <f t="shared" si="2"/>
        <v>0</v>
      </c>
      <c r="I28" s="434">
        <v>0.97960400000000003</v>
      </c>
      <c r="J28" s="433">
        <f t="shared" si="3"/>
        <v>0</v>
      </c>
      <c r="K28" s="433">
        <f t="shared" si="4"/>
        <v>0</v>
      </c>
      <c r="L28" s="432">
        <v>9.9700000000000006</v>
      </c>
      <c r="M28" s="432">
        <v>5300</v>
      </c>
      <c r="N28" s="432">
        <v>9110</v>
      </c>
      <c r="O28" s="432">
        <f t="shared" si="5"/>
        <v>14410</v>
      </c>
      <c r="P28" s="432">
        <f t="shared" si="6"/>
        <v>143667.70000000001</v>
      </c>
      <c r="Q28" s="432"/>
      <c r="R28" s="433">
        <f t="shared" si="7"/>
        <v>143667.70000000001</v>
      </c>
      <c r="S28" s="434">
        <v>0.97960400000000003</v>
      </c>
      <c r="T28" s="433">
        <f t="shared" si="8"/>
        <v>140737.45000000001</v>
      </c>
      <c r="U28" s="433">
        <f t="shared" si="9"/>
        <v>140.69999999999999</v>
      </c>
      <c r="V28" s="432">
        <v>10.029999999999999</v>
      </c>
      <c r="W28" s="432">
        <v>10348</v>
      </c>
      <c r="X28" s="432">
        <v>8880</v>
      </c>
      <c r="Y28" s="432">
        <f t="shared" si="10"/>
        <v>19228</v>
      </c>
      <c r="Z28" s="432">
        <f t="shared" si="11"/>
        <v>192856.84</v>
      </c>
      <c r="AA28" s="432"/>
      <c r="AB28" s="432"/>
      <c r="AC28" s="433">
        <f t="shared" si="12"/>
        <v>192856.84</v>
      </c>
      <c r="AD28" s="434">
        <v>0.97960400000000003</v>
      </c>
      <c r="AE28" s="433">
        <f t="shared" si="13"/>
        <v>188923.33</v>
      </c>
      <c r="AF28" s="433">
        <f t="shared" si="14"/>
        <v>188.9</v>
      </c>
      <c r="AG28" s="432">
        <v>61.16</v>
      </c>
      <c r="AH28" s="432">
        <v>362</v>
      </c>
      <c r="AI28" s="432">
        <v>371</v>
      </c>
      <c r="AJ28" s="432">
        <f t="shared" si="15"/>
        <v>733</v>
      </c>
      <c r="AK28" s="432">
        <v>25.2</v>
      </c>
      <c r="AL28" s="432">
        <v>362</v>
      </c>
      <c r="AM28" s="432">
        <v>371</v>
      </c>
      <c r="AN28" s="432">
        <f t="shared" si="16"/>
        <v>733</v>
      </c>
      <c r="AO28" s="432">
        <v>12.61</v>
      </c>
      <c r="AP28" s="432">
        <f t="shared" si="17"/>
        <v>44830.28</v>
      </c>
      <c r="AQ28" s="432">
        <f t="shared" si="18"/>
        <v>18471.599999999999</v>
      </c>
      <c r="AR28" s="432">
        <f t="shared" si="19"/>
        <v>9243.1299999999992</v>
      </c>
      <c r="AS28" s="432">
        <f t="shared" si="20"/>
        <v>72545.009999999995</v>
      </c>
      <c r="AT28" s="432"/>
      <c r="AU28" s="433">
        <f t="shared" si="21"/>
        <v>72545.009999999995</v>
      </c>
      <c r="AV28" s="434">
        <v>0.97960400000000003</v>
      </c>
      <c r="AW28" s="433">
        <f t="shared" si="22"/>
        <v>71065.38</v>
      </c>
      <c r="AX28" s="433">
        <f t="shared" si="23"/>
        <v>71.099999999999994</v>
      </c>
      <c r="AY28" s="433">
        <v>6.21</v>
      </c>
      <c r="AZ28" s="433">
        <v>854.75</v>
      </c>
      <c r="BA28" s="435">
        <v>12</v>
      </c>
      <c r="BB28" s="433">
        <f t="shared" si="24"/>
        <v>63695.97</v>
      </c>
      <c r="BC28" s="433"/>
      <c r="BD28" s="433">
        <f t="shared" si="25"/>
        <v>63695.97</v>
      </c>
      <c r="BE28" s="434">
        <v>0.97960400000000003</v>
      </c>
      <c r="BF28" s="433">
        <f t="shared" si="26"/>
        <v>62396.83</v>
      </c>
      <c r="BG28" s="433">
        <f t="shared" si="27"/>
        <v>62.4</v>
      </c>
      <c r="BH28" s="433">
        <f t="shared" si="28"/>
        <v>472765.52</v>
      </c>
      <c r="BI28" s="433">
        <f t="shared" si="29"/>
        <v>0</v>
      </c>
      <c r="BJ28" s="433">
        <f t="shared" si="30"/>
        <v>0</v>
      </c>
      <c r="BK28" s="433">
        <f t="shared" si="31"/>
        <v>472765.52</v>
      </c>
      <c r="BL28" s="436">
        <f t="shared" si="32"/>
        <v>472.8</v>
      </c>
      <c r="BM28" s="437">
        <f t="shared" si="33"/>
        <v>463122.99</v>
      </c>
      <c r="BN28" s="437">
        <f t="shared" si="34"/>
        <v>463.1</v>
      </c>
      <c r="BO28" s="438">
        <f t="shared" si="35"/>
        <v>-9.6999999999999993</v>
      </c>
      <c r="BP28" s="329">
        <v>463.1</v>
      </c>
      <c r="BQ28" s="439">
        <f t="shared" si="36"/>
        <v>0</v>
      </c>
    </row>
    <row r="29" spans="1:69" s="329" customFormat="1" ht="15.75" hidden="1" x14ac:dyDescent="0.25">
      <c r="A29" s="431" t="s">
        <v>754</v>
      </c>
      <c r="B29" s="432">
        <v>3274.05</v>
      </c>
      <c r="C29" s="432">
        <v>166.97</v>
      </c>
      <c r="D29" s="432">
        <v>280.5</v>
      </c>
      <c r="E29" s="432">
        <f t="shared" si="0"/>
        <v>447.5</v>
      </c>
      <c r="F29" s="432">
        <f t="shared" si="1"/>
        <v>1465137.38</v>
      </c>
      <c r="G29" s="432"/>
      <c r="H29" s="433">
        <f t="shared" si="2"/>
        <v>1465137.38</v>
      </c>
      <c r="I29" s="434">
        <v>0.97960400000000003</v>
      </c>
      <c r="J29" s="433">
        <f t="shared" si="3"/>
        <v>1435254.44</v>
      </c>
      <c r="K29" s="433">
        <f t="shared" si="4"/>
        <v>1435.3</v>
      </c>
      <c r="L29" s="432"/>
      <c r="M29" s="432"/>
      <c r="N29" s="432"/>
      <c r="O29" s="432">
        <f t="shared" si="5"/>
        <v>0</v>
      </c>
      <c r="P29" s="432">
        <f t="shared" si="6"/>
        <v>0</v>
      </c>
      <c r="Q29" s="432"/>
      <c r="R29" s="433">
        <f t="shared" si="7"/>
        <v>0</v>
      </c>
      <c r="S29" s="434">
        <v>0.97960400000000003</v>
      </c>
      <c r="T29" s="433">
        <f t="shared" si="8"/>
        <v>0</v>
      </c>
      <c r="U29" s="433">
        <f t="shared" si="9"/>
        <v>0</v>
      </c>
      <c r="V29" s="432">
        <v>10.029999999999999</v>
      </c>
      <c r="W29" s="432">
        <v>9660</v>
      </c>
      <c r="X29" s="432">
        <v>8580</v>
      </c>
      <c r="Y29" s="432">
        <f t="shared" si="10"/>
        <v>18240</v>
      </c>
      <c r="Z29" s="432">
        <f t="shared" si="11"/>
        <v>182947.20000000001</v>
      </c>
      <c r="AA29" s="432"/>
      <c r="AB29" s="432"/>
      <c r="AC29" s="433">
        <f t="shared" si="12"/>
        <v>182947.20000000001</v>
      </c>
      <c r="AD29" s="434">
        <v>0.97960400000000003</v>
      </c>
      <c r="AE29" s="433">
        <f t="shared" si="13"/>
        <v>179215.81</v>
      </c>
      <c r="AF29" s="433">
        <f t="shared" si="14"/>
        <v>179.2</v>
      </c>
      <c r="AG29" s="432">
        <v>61.16</v>
      </c>
      <c r="AH29" s="432">
        <v>444</v>
      </c>
      <c r="AI29" s="432">
        <v>360</v>
      </c>
      <c r="AJ29" s="432">
        <f t="shared" si="15"/>
        <v>804</v>
      </c>
      <c r="AK29" s="432">
        <v>25.2</v>
      </c>
      <c r="AL29" s="432">
        <v>444</v>
      </c>
      <c r="AM29" s="432">
        <v>360</v>
      </c>
      <c r="AN29" s="432">
        <f t="shared" si="16"/>
        <v>804</v>
      </c>
      <c r="AO29" s="432">
        <v>12.61</v>
      </c>
      <c r="AP29" s="432">
        <f t="shared" si="17"/>
        <v>49172.639999999999</v>
      </c>
      <c r="AQ29" s="432">
        <f t="shared" si="18"/>
        <v>20260.8</v>
      </c>
      <c r="AR29" s="432">
        <f t="shared" si="19"/>
        <v>10138.44</v>
      </c>
      <c r="AS29" s="432">
        <f t="shared" si="20"/>
        <v>79571.88</v>
      </c>
      <c r="AT29" s="432"/>
      <c r="AU29" s="433">
        <f t="shared" si="21"/>
        <v>79571.88</v>
      </c>
      <c r="AV29" s="434">
        <v>0.97960400000000003</v>
      </c>
      <c r="AW29" s="433">
        <f t="shared" si="22"/>
        <v>77948.929999999993</v>
      </c>
      <c r="AX29" s="433">
        <f t="shared" si="23"/>
        <v>77.900000000000006</v>
      </c>
      <c r="AY29" s="433">
        <v>10.81</v>
      </c>
      <c r="AZ29" s="433">
        <v>854.75</v>
      </c>
      <c r="BA29" s="435">
        <v>12</v>
      </c>
      <c r="BB29" s="433">
        <f t="shared" si="24"/>
        <v>110878.17</v>
      </c>
      <c r="BC29" s="433"/>
      <c r="BD29" s="433">
        <f t="shared" si="25"/>
        <v>110878.17</v>
      </c>
      <c r="BE29" s="434">
        <v>0.97960400000000003</v>
      </c>
      <c r="BF29" s="433">
        <f t="shared" si="26"/>
        <v>108616.7</v>
      </c>
      <c r="BG29" s="433">
        <f t="shared" si="27"/>
        <v>108.6</v>
      </c>
      <c r="BH29" s="433">
        <f t="shared" si="28"/>
        <v>1838534.63</v>
      </c>
      <c r="BI29" s="433">
        <f t="shared" si="29"/>
        <v>0</v>
      </c>
      <c r="BJ29" s="433">
        <f t="shared" si="30"/>
        <v>0</v>
      </c>
      <c r="BK29" s="433">
        <f t="shared" si="31"/>
        <v>1838534.63</v>
      </c>
      <c r="BL29" s="436">
        <f t="shared" si="32"/>
        <v>1838.6</v>
      </c>
      <c r="BM29" s="437">
        <f t="shared" si="33"/>
        <v>1801035.88</v>
      </c>
      <c r="BN29" s="437">
        <f t="shared" si="34"/>
        <v>1801</v>
      </c>
      <c r="BO29" s="438">
        <f t="shared" si="35"/>
        <v>-37.6</v>
      </c>
      <c r="BP29" s="329">
        <v>1801</v>
      </c>
      <c r="BQ29" s="439">
        <f t="shared" si="36"/>
        <v>0</v>
      </c>
    </row>
    <row r="30" spans="1:69" s="329" customFormat="1" ht="15.75" hidden="1" x14ac:dyDescent="0.25">
      <c r="A30" s="431" t="s">
        <v>755</v>
      </c>
      <c r="B30" s="432"/>
      <c r="C30" s="432"/>
      <c r="D30" s="432"/>
      <c r="E30" s="432">
        <f t="shared" si="0"/>
        <v>0</v>
      </c>
      <c r="F30" s="432">
        <f t="shared" si="1"/>
        <v>0</v>
      </c>
      <c r="G30" s="432"/>
      <c r="H30" s="433">
        <f t="shared" si="2"/>
        <v>0</v>
      </c>
      <c r="I30" s="434">
        <v>0.97960400000000003</v>
      </c>
      <c r="J30" s="433">
        <f t="shared" si="3"/>
        <v>0</v>
      </c>
      <c r="K30" s="433">
        <f t="shared" si="4"/>
        <v>0</v>
      </c>
      <c r="L30" s="432">
        <v>9.9700000000000006</v>
      </c>
      <c r="M30" s="432">
        <v>21090</v>
      </c>
      <c r="N30" s="432">
        <v>41440</v>
      </c>
      <c r="O30" s="432">
        <f t="shared" si="5"/>
        <v>62530</v>
      </c>
      <c r="P30" s="432">
        <f t="shared" si="6"/>
        <v>623424.1</v>
      </c>
      <c r="Q30" s="432"/>
      <c r="R30" s="433">
        <f t="shared" si="7"/>
        <v>623424.1</v>
      </c>
      <c r="S30" s="434">
        <v>0.97960400000000003</v>
      </c>
      <c r="T30" s="433">
        <f t="shared" si="8"/>
        <v>610708.74</v>
      </c>
      <c r="U30" s="433">
        <f t="shared" si="9"/>
        <v>610.70000000000005</v>
      </c>
      <c r="V30" s="432">
        <v>10.029999999999999</v>
      </c>
      <c r="W30" s="432">
        <v>30864</v>
      </c>
      <c r="X30" s="432">
        <v>29914</v>
      </c>
      <c r="Y30" s="432">
        <f t="shared" si="10"/>
        <v>60778</v>
      </c>
      <c r="Z30" s="432">
        <f t="shared" si="11"/>
        <v>609603.34</v>
      </c>
      <c r="AA30" s="432"/>
      <c r="AB30" s="432"/>
      <c r="AC30" s="433">
        <f t="shared" si="12"/>
        <v>609603.34</v>
      </c>
      <c r="AD30" s="434">
        <v>0.97960400000000003</v>
      </c>
      <c r="AE30" s="433">
        <f t="shared" si="13"/>
        <v>597169.87</v>
      </c>
      <c r="AF30" s="433">
        <f t="shared" si="14"/>
        <v>597.20000000000005</v>
      </c>
      <c r="AG30" s="432">
        <v>61.16</v>
      </c>
      <c r="AH30" s="432">
        <v>1331</v>
      </c>
      <c r="AI30" s="432">
        <v>1498</v>
      </c>
      <c r="AJ30" s="432">
        <f t="shared" si="15"/>
        <v>2829</v>
      </c>
      <c r="AK30" s="432">
        <v>25.2</v>
      </c>
      <c r="AL30" s="432">
        <v>1331</v>
      </c>
      <c r="AM30" s="432">
        <v>1498</v>
      </c>
      <c r="AN30" s="432">
        <f t="shared" si="16"/>
        <v>2829</v>
      </c>
      <c r="AO30" s="432">
        <v>12.61</v>
      </c>
      <c r="AP30" s="432">
        <f t="shared" si="17"/>
        <v>173021.64</v>
      </c>
      <c r="AQ30" s="432">
        <f t="shared" si="18"/>
        <v>71290.8</v>
      </c>
      <c r="AR30" s="432">
        <f t="shared" si="19"/>
        <v>35673.69</v>
      </c>
      <c r="AS30" s="432">
        <f t="shared" si="20"/>
        <v>279986.13</v>
      </c>
      <c r="AT30" s="432"/>
      <c r="AU30" s="433">
        <f t="shared" si="21"/>
        <v>279986.13</v>
      </c>
      <c r="AV30" s="434">
        <v>0.97960400000000003</v>
      </c>
      <c r="AW30" s="433">
        <f t="shared" si="22"/>
        <v>274275.53000000003</v>
      </c>
      <c r="AX30" s="433">
        <f t="shared" si="23"/>
        <v>274.3</v>
      </c>
      <c r="AY30" s="433">
        <v>8.75</v>
      </c>
      <c r="AZ30" s="433">
        <v>854.75</v>
      </c>
      <c r="BA30" s="435">
        <v>12</v>
      </c>
      <c r="BB30" s="433">
        <f t="shared" si="24"/>
        <v>89748.75</v>
      </c>
      <c r="BC30" s="433"/>
      <c r="BD30" s="433">
        <f t="shared" si="25"/>
        <v>89748.75</v>
      </c>
      <c r="BE30" s="434">
        <v>0.97960400000000003</v>
      </c>
      <c r="BF30" s="433">
        <f t="shared" si="26"/>
        <v>87918.23</v>
      </c>
      <c r="BG30" s="433">
        <f t="shared" si="27"/>
        <v>87.9</v>
      </c>
      <c r="BH30" s="433">
        <f t="shared" si="28"/>
        <v>1602762.32</v>
      </c>
      <c r="BI30" s="433">
        <f t="shared" si="29"/>
        <v>0</v>
      </c>
      <c r="BJ30" s="433">
        <f t="shared" si="30"/>
        <v>0</v>
      </c>
      <c r="BK30" s="433">
        <f t="shared" si="31"/>
        <v>1602762.32</v>
      </c>
      <c r="BL30" s="436">
        <f t="shared" si="32"/>
        <v>1602.8</v>
      </c>
      <c r="BM30" s="437">
        <f t="shared" si="33"/>
        <v>1570072.37</v>
      </c>
      <c r="BN30" s="437">
        <f t="shared" si="34"/>
        <v>1570.1</v>
      </c>
      <c r="BO30" s="438">
        <f t="shared" si="35"/>
        <v>-32.700000000000003</v>
      </c>
      <c r="BP30" s="329">
        <v>1570.1</v>
      </c>
      <c r="BQ30" s="439">
        <f t="shared" si="36"/>
        <v>0</v>
      </c>
    </row>
    <row r="31" spans="1:69" s="329" customFormat="1" ht="15.75" hidden="1" x14ac:dyDescent="0.25">
      <c r="A31" s="431" t="s">
        <v>898</v>
      </c>
      <c r="B31" s="432">
        <v>2588.77</v>
      </c>
      <c r="C31" s="432">
        <v>76.28</v>
      </c>
      <c r="D31" s="432">
        <v>91.68</v>
      </c>
      <c r="E31" s="432">
        <f t="shared" si="0"/>
        <v>168</v>
      </c>
      <c r="F31" s="432">
        <f t="shared" si="1"/>
        <v>434913.36</v>
      </c>
      <c r="G31" s="432"/>
      <c r="H31" s="433">
        <f t="shared" si="2"/>
        <v>434913.36</v>
      </c>
      <c r="I31" s="434">
        <v>0.97960400000000003</v>
      </c>
      <c r="J31" s="433">
        <f t="shared" si="3"/>
        <v>426042.87</v>
      </c>
      <c r="K31" s="433">
        <f t="shared" si="4"/>
        <v>426</v>
      </c>
      <c r="L31" s="432">
        <v>9.9700000000000006</v>
      </c>
      <c r="M31" s="432"/>
      <c r="N31" s="432"/>
      <c r="O31" s="432">
        <f t="shared" si="5"/>
        <v>0</v>
      </c>
      <c r="P31" s="432">
        <f t="shared" si="6"/>
        <v>0</v>
      </c>
      <c r="Q31" s="432"/>
      <c r="R31" s="433">
        <f t="shared" si="7"/>
        <v>0</v>
      </c>
      <c r="S31" s="434">
        <v>0.97960400000000003</v>
      </c>
      <c r="T31" s="433">
        <f t="shared" si="8"/>
        <v>0</v>
      </c>
      <c r="U31" s="433">
        <f t="shared" si="9"/>
        <v>0</v>
      </c>
      <c r="V31" s="432">
        <v>10.029999999999999</v>
      </c>
      <c r="W31" s="432">
        <v>14731</v>
      </c>
      <c r="X31" s="432">
        <v>15211</v>
      </c>
      <c r="Y31" s="432">
        <f t="shared" si="10"/>
        <v>29942</v>
      </c>
      <c r="Z31" s="432">
        <f t="shared" si="11"/>
        <v>300318.26</v>
      </c>
      <c r="AA31" s="432"/>
      <c r="AB31" s="432"/>
      <c r="AC31" s="433">
        <f t="shared" si="12"/>
        <v>300318.26</v>
      </c>
      <c r="AD31" s="434">
        <v>0.97960400000000003</v>
      </c>
      <c r="AE31" s="433">
        <f t="shared" si="13"/>
        <v>294192.96999999997</v>
      </c>
      <c r="AF31" s="433">
        <f t="shared" si="14"/>
        <v>294.2</v>
      </c>
      <c r="AG31" s="432">
        <v>61.16</v>
      </c>
      <c r="AH31" s="432">
        <v>465</v>
      </c>
      <c r="AI31" s="432">
        <v>434</v>
      </c>
      <c r="AJ31" s="432">
        <f t="shared" si="15"/>
        <v>899</v>
      </c>
      <c r="AK31" s="432">
        <v>25.2</v>
      </c>
      <c r="AL31" s="432">
        <v>465</v>
      </c>
      <c r="AM31" s="432">
        <v>434</v>
      </c>
      <c r="AN31" s="432">
        <f t="shared" si="16"/>
        <v>899</v>
      </c>
      <c r="AO31" s="432">
        <v>12.61</v>
      </c>
      <c r="AP31" s="432">
        <f t="shared" si="17"/>
        <v>54982.84</v>
      </c>
      <c r="AQ31" s="432">
        <f t="shared" si="18"/>
        <v>22654.799999999999</v>
      </c>
      <c r="AR31" s="432">
        <f t="shared" si="19"/>
        <v>11336.39</v>
      </c>
      <c r="AS31" s="432">
        <f t="shared" si="20"/>
        <v>88974.03</v>
      </c>
      <c r="AT31" s="432"/>
      <c r="AU31" s="433">
        <f t="shared" si="21"/>
        <v>88974.03</v>
      </c>
      <c r="AV31" s="434">
        <v>0.97960400000000003</v>
      </c>
      <c r="AW31" s="433">
        <f t="shared" si="22"/>
        <v>87159.32</v>
      </c>
      <c r="AX31" s="433">
        <f t="shared" si="23"/>
        <v>87.2</v>
      </c>
      <c r="AY31" s="433">
        <v>4.75</v>
      </c>
      <c r="AZ31" s="433">
        <v>854.75</v>
      </c>
      <c r="BA31" s="435">
        <v>12</v>
      </c>
      <c r="BB31" s="433">
        <f t="shared" si="24"/>
        <v>48720.75</v>
      </c>
      <c r="BC31" s="433"/>
      <c r="BD31" s="433">
        <f t="shared" si="25"/>
        <v>48720.75</v>
      </c>
      <c r="BE31" s="434">
        <v>0.97960400000000003</v>
      </c>
      <c r="BF31" s="433">
        <f t="shared" si="26"/>
        <v>47727.040000000001</v>
      </c>
      <c r="BG31" s="433">
        <f t="shared" si="27"/>
        <v>47.7</v>
      </c>
      <c r="BH31" s="433">
        <f t="shared" si="28"/>
        <v>872926.4</v>
      </c>
      <c r="BI31" s="433">
        <f t="shared" si="29"/>
        <v>0</v>
      </c>
      <c r="BJ31" s="433">
        <f t="shared" si="30"/>
        <v>0</v>
      </c>
      <c r="BK31" s="433">
        <f t="shared" si="31"/>
        <v>872926.4</v>
      </c>
      <c r="BL31" s="436">
        <f t="shared" si="32"/>
        <v>873</v>
      </c>
      <c r="BM31" s="437">
        <f t="shared" si="33"/>
        <v>855122.2</v>
      </c>
      <c r="BN31" s="437">
        <f t="shared" si="34"/>
        <v>855.1</v>
      </c>
      <c r="BO31" s="438">
        <f t="shared" si="35"/>
        <v>-17.899999999999999</v>
      </c>
      <c r="BP31" s="329">
        <v>855.1</v>
      </c>
      <c r="BQ31" s="439">
        <f t="shared" si="36"/>
        <v>0</v>
      </c>
    </row>
    <row r="32" spans="1:69" s="329" customFormat="1" ht="15.75" hidden="1" x14ac:dyDescent="0.25">
      <c r="A32" s="431" t="s">
        <v>899</v>
      </c>
      <c r="B32" s="432">
        <v>3274.05</v>
      </c>
      <c r="C32" s="432">
        <v>100.99</v>
      </c>
      <c r="D32" s="432">
        <v>209.29</v>
      </c>
      <c r="E32" s="432">
        <f t="shared" si="0"/>
        <v>310.3</v>
      </c>
      <c r="F32" s="432">
        <f t="shared" si="1"/>
        <v>1015937.72</v>
      </c>
      <c r="G32" s="432"/>
      <c r="H32" s="433">
        <f t="shared" si="2"/>
        <v>1015937.72</v>
      </c>
      <c r="I32" s="434">
        <v>0.97960400000000003</v>
      </c>
      <c r="J32" s="433">
        <f t="shared" si="3"/>
        <v>995216.65</v>
      </c>
      <c r="K32" s="433">
        <f t="shared" si="4"/>
        <v>995.2</v>
      </c>
      <c r="L32" s="432"/>
      <c r="M32" s="432"/>
      <c r="N32" s="432"/>
      <c r="O32" s="432">
        <f t="shared" si="5"/>
        <v>0</v>
      </c>
      <c r="P32" s="432">
        <f t="shared" si="6"/>
        <v>0</v>
      </c>
      <c r="Q32" s="432"/>
      <c r="R32" s="433">
        <f t="shared" si="7"/>
        <v>0</v>
      </c>
      <c r="S32" s="434">
        <v>0.97960400000000003</v>
      </c>
      <c r="T32" s="433">
        <f t="shared" si="8"/>
        <v>0</v>
      </c>
      <c r="U32" s="433">
        <f t="shared" si="9"/>
        <v>0</v>
      </c>
      <c r="V32" s="432">
        <v>10.029999999999999</v>
      </c>
      <c r="W32" s="432">
        <v>30649</v>
      </c>
      <c r="X32" s="432">
        <v>28556</v>
      </c>
      <c r="Y32" s="432">
        <f t="shared" si="10"/>
        <v>59205</v>
      </c>
      <c r="Z32" s="432">
        <f t="shared" si="11"/>
        <v>593826.15</v>
      </c>
      <c r="AA32" s="432"/>
      <c r="AB32" s="432"/>
      <c r="AC32" s="433">
        <f t="shared" si="12"/>
        <v>593826.15</v>
      </c>
      <c r="AD32" s="434">
        <v>0.97960400000000003</v>
      </c>
      <c r="AE32" s="433">
        <f t="shared" si="13"/>
        <v>581714.47</v>
      </c>
      <c r="AF32" s="433">
        <f t="shared" si="14"/>
        <v>581.70000000000005</v>
      </c>
      <c r="AG32" s="432">
        <v>61.16</v>
      </c>
      <c r="AH32" s="432">
        <v>865</v>
      </c>
      <c r="AI32" s="432">
        <v>668</v>
      </c>
      <c r="AJ32" s="432">
        <f t="shared" si="15"/>
        <v>1533</v>
      </c>
      <c r="AK32" s="432">
        <v>25.2</v>
      </c>
      <c r="AL32" s="432">
        <v>865</v>
      </c>
      <c r="AM32" s="432">
        <v>668</v>
      </c>
      <c r="AN32" s="432">
        <f t="shared" si="16"/>
        <v>1533</v>
      </c>
      <c r="AO32" s="432">
        <v>12.61</v>
      </c>
      <c r="AP32" s="432">
        <f t="shared" si="17"/>
        <v>93758.28</v>
      </c>
      <c r="AQ32" s="432">
        <f t="shared" si="18"/>
        <v>38631.599999999999</v>
      </c>
      <c r="AR32" s="432">
        <f t="shared" si="19"/>
        <v>19331.13</v>
      </c>
      <c r="AS32" s="432">
        <f t="shared" si="20"/>
        <v>151721.01</v>
      </c>
      <c r="AT32" s="432"/>
      <c r="AU32" s="433">
        <f t="shared" si="21"/>
        <v>151721.01</v>
      </c>
      <c r="AV32" s="434">
        <v>0.97960400000000003</v>
      </c>
      <c r="AW32" s="433">
        <f t="shared" si="22"/>
        <v>148626.51</v>
      </c>
      <c r="AX32" s="433">
        <f t="shared" si="23"/>
        <v>148.6</v>
      </c>
      <c r="AY32" s="433">
        <v>12.75</v>
      </c>
      <c r="AZ32" s="433">
        <v>854.75</v>
      </c>
      <c r="BA32" s="435">
        <v>12</v>
      </c>
      <c r="BB32" s="433">
        <f t="shared" si="24"/>
        <v>130776.75</v>
      </c>
      <c r="BC32" s="433"/>
      <c r="BD32" s="433">
        <f t="shared" si="25"/>
        <v>130776.75</v>
      </c>
      <c r="BE32" s="434">
        <v>0.97960400000000003</v>
      </c>
      <c r="BF32" s="433">
        <f t="shared" si="26"/>
        <v>128109.43</v>
      </c>
      <c r="BG32" s="433">
        <f t="shared" si="27"/>
        <v>128.1</v>
      </c>
      <c r="BH32" s="433">
        <f t="shared" si="28"/>
        <v>1892261.63</v>
      </c>
      <c r="BI32" s="433">
        <f t="shared" si="29"/>
        <v>0</v>
      </c>
      <c r="BJ32" s="433">
        <f t="shared" si="30"/>
        <v>0</v>
      </c>
      <c r="BK32" s="433">
        <f t="shared" si="31"/>
        <v>1892261.63</v>
      </c>
      <c r="BL32" s="436">
        <f t="shared" si="32"/>
        <v>1892.3</v>
      </c>
      <c r="BM32" s="437">
        <f t="shared" si="33"/>
        <v>1853667.06</v>
      </c>
      <c r="BN32" s="437">
        <f t="shared" si="34"/>
        <v>1853.6</v>
      </c>
      <c r="BO32" s="438">
        <f t="shared" si="35"/>
        <v>-38.700000000000003</v>
      </c>
      <c r="BP32" s="329">
        <v>1853.6</v>
      </c>
      <c r="BQ32" s="439">
        <f t="shared" si="36"/>
        <v>0</v>
      </c>
    </row>
    <row r="33" spans="1:69" s="329" customFormat="1" ht="15.75" hidden="1" x14ac:dyDescent="0.25">
      <c r="A33" s="431" t="s">
        <v>758</v>
      </c>
      <c r="B33" s="432">
        <v>3274.05</v>
      </c>
      <c r="C33" s="432">
        <v>175.7</v>
      </c>
      <c r="D33" s="432">
        <v>211.34</v>
      </c>
      <c r="E33" s="432">
        <f t="shared" si="0"/>
        <v>387</v>
      </c>
      <c r="F33" s="432">
        <f t="shared" si="1"/>
        <v>1267057.3500000001</v>
      </c>
      <c r="G33" s="432"/>
      <c r="H33" s="433">
        <f t="shared" si="2"/>
        <v>1267057.3500000001</v>
      </c>
      <c r="I33" s="434">
        <v>0.97960400000000003</v>
      </c>
      <c r="J33" s="433">
        <f t="shared" si="3"/>
        <v>1241214.45</v>
      </c>
      <c r="K33" s="433">
        <f t="shared" si="4"/>
        <v>1241.2</v>
      </c>
      <c r="L33" s="432"/>
      <c r="M33" s="432"/>
      <c r="N33" s="432"/>
      <c r="O33" s="432">
        <f t="shared" si="5"/>
        <v>0</v>
      </c>
      <c r="P33" s="432">
        <f t="shared" si="6"/>
        <v>0</v>
      </c>
      <c r="Q33" s="432"/>
      <c r="R33" s="433">
        <f t="shared" si="7"/>
        <v>0</v>
      </c>
      <c r="S33" s="434">
        <v>0.97960400000000003</v>
      </c>
      <c r="T33" s="433">
        <f t="shared" si="8"/>
        <v>0</v>
      </c>
      <c r="U33" s="433">
        <f t="shared" si="9"/>
        <v>0</v>
      </c>
      <c r="V33" s="432">
        <v>10.029999999999999</v>
      </c>
      <c r="W33" s="432">
        <v>43400</v>
      </c>
      <c r="X33" s="432">
        <v>47250</v>
      </c>
      <c r="Y33" s="432">
        <f t="shared" si="10"/>
        <v>90650</v>
      </c>
      <c r="Z33" s="432">
        <f t="shared" si="11"/>
        <v>909219.5</v>
      </c>
      <c r="AA33" s="432"/>
      <c r="AB33" s="432"/>
      <c r="AC33" s="433">
        <f t="shared" si="12"/>
        <v>909219.5</v>
      </c>
      <c r="AD33" s="434">
        <v>0.97960400000000003</v>
      </c>
      <c r="AE33" s="433">
        <f t="shared" si="13"/>
        <v>890675.06</v>
      </c>
      <c r="AF33" s="433">
        <f t="shared" si="14"/>
        <v>890.7</v>
      </c>
      <c r="AG33" s="432">
        <v>61.16</v>
      </c>
      <c r="AH33" s="432">
        <v>1267</v>
      </c>
      <c r="AI33" s="432">
        <v>1225</v>
      </c>
      <c r="AJ33" s="432">
        <f t="shared" si="15"/>
        <v>2492</v>
      </c>
      <c r="AK33" s="432">
        <v>25.2</v>
      </c>
      <c r="AL33" s="432">
        <v>1267</v>
      </c>
      <c r="AM33" s="432">
        <v>1225</v>
      </c>
      <c r="AN33" s="432">
        <f t="shared" si="16"/>
        <v>2492</v>
      </c>
      <c r="AO33" s="432">
        <v>12.61</v>
      </c>
      <c r="AP33" s="432">
        <f t="shared" si="17"/>
        <v>152410.72</v>
      </c>
      <c r="AQ33" s="432">
        <f t="shared" si="18"/>
        <v>62798.400000000001</v>
      </c>
      <c r="AR33" s="432">
        <f t="shared" si="19"/>
        <v>31424.12</v>
      </c>
      <c r="AS33" s="432">
        <f t="shared" si="20"/>
        <v>246633.24</v>
      </c>
      <c r="AT33" s="432"/>
      <c r="AU33" s="433">
        <f t="shared" si="21"/>
        <v>246633.24</v>
      </c>
      <c r="AV33" s="434">
        <v>0.97960400000000003</v>
      </c>
      <c r="AW33" s="433">
        <f t="shared" si="22"/>
        <v>241602.91</v>
      </c>
      <c r="AX33" s="433">
        <f t="shared" si="23"/>
        <v>241.6</v>
      </c>
      <c r="AY33" s="433">
        <v>13.3</v>
      </c>
      <c r="AZ33" s="433">
        <v>854.75</v>
      </c>
      <c r="BA33" s="435">
        <v>12</v>
      </c>
      <c r="BB33" s="433">
        <f t="shared" si="24"/>
        <v>136418.1</v>
      </c>
      <c r="BC33" s="433"/>
      <c r="BD33" s="433">
        <f t="shared" si="25"/>
        <v>136418.1</v>
      </c>
      <c r="BE33" s="434">
        <v>0.97960400000000003</v>
      </c>
      <c r="BF33" s="433">
        <f t="shared" si="26"/>
        <v>133635.72</v>
      </c>
      <c r="BG33" s="433">
        <f t="shared" si="27"/>
        <v>133.6</v>
      </c>
      <c r="BH33" s="433">
        <f t="shared" si="28"/>
        <v>2559328.19</v>
      </c>
      <c r="BI33" s="433">
        <f t="shared" si="29"/>
        <v>0</v>
      </c>
      <c r="BJ33" s="433">
        <f t="shared" si="30"/>
        <v>0</v>
      </c>
      <c r="BK33" s="433">
        <f t="shared" si="31"/>
        <v>2559328.19</v>
      </c>
      <c r="BL33" s="436">
        <f t="shared" si="32"/>
        <v>2559.4</v>
      </c>
      <c r="BM33" s="437">
        <f t="shared" si="33"/>
        <v>2507128.14</v>
      </c>
      <c r="BN33" s="437">
        <f t="shared" si="34"/>
        <v>2507.1</v>
      </c>
      <c r="BO33" s="438">
        <f t="shared" si="35"/>
        <v>-52.3</v>
      </c>
      <c r="BP33" s="329">
        <v>2507.1</v>
      </c>
      <c r="BQ33" s="439">
        <f t="shared" si="36"/>
        <v>0</v>
      </c>
    </row>
    <row r="34" spans="1:69" s="329" customFormat="1" ht="15.75" hidden="1" x14ac:dyDescent="0.25">
      <c r="A34" s="431" t="s">
        <v>900</v>
      </c>
      <c r="B34" s="432">
        <v>2588.77</v>
      </c>
      <c r="C34" s="432">
        <v>78.5</v>
      </c>
      <c r="D34" s="432">
        <v>105.8</v>
      </c>
      <c r="E34" s="432">
        <f t="shared" si="0"/>
        <v>184.3</v>
      </c>
      <c r="F34" s="432">
        <f t="shared" si="1"/>
        <v>477110.31</v>
      </c>
      <c r="G34" s="432"/>
      <c r="H34" s="433">
        <f t="shared" si="2"/>
        <v>477110.31</v>
      </c>
      <c r="I34" s="434">
        <v>0.97960400000000003</v>
      </c>
      <c r="J34" s="433">
        <f t="shared" si="3"/>
        <v>467379.17</v>
      </c>
      <c r="K34" s="433">
        <f t="shared" si="4"/>
        <v>467.4</v>
      </c>
      <c r="L34" s="432"/>
      <c r="M34" s="432"/>
      <c r="N34" s="432"/>
      <c r="O34" s="432">
        <f t="shared" si="5"/>
        <v>0</v>
      </c>
      <c r="P34" s="432">
        <f t="shared" si="6"/>
        <v>0</v>
      </c>
      <c r="Q34" s="432"/>
      <c r="R34" s="433">
        <f t="shared" si="7"/>
        <v>0</v>
      </c>
      <c r="S34" s="434">
        <v>0.97960400000000003</v>
      </c>
      <c r="T34" s="433">
        <f t="shared" si="8"/>
        <v>0</v>
      </c>
      <c r="U34" s="433">
        <f t="shared" si="9"/>
        <v>0</v>
      </c>
      <c r="V34" s="432">
        <v>10.029999999999999</v>
      </c>
      <c r="W34" s="432">
        <v>38558</v>
      </c>
      <c r="X34" s="432">
        <v>45807</v>
      </c>
      <c r="Y34" s="432">
        <f t="shared" si="10"/>
        <v>84365</v>
      </c>
      <c r="Z34" s="432">
        <f t="shared" si="11"/>
        <v>846180.95</v>
      </c>
      <c r="AA34" s="432"/>
      <c r="AB34" s="432"/>
      <c r="AC34" s="433">
        <f t="shared" si="12"/>
        <v>846180.95</v>
      </c>
      <c r="AD34" s="434">
        <v>0.97960400000000003</v>
      </c>
      <c r="AE34" s="433">
        <f t="shared" si="13"/>
        <v>828922.24</v>
      </c>
      <c r="AF34" s="433">
        <f t="shared" si="14"/>
        <v>828.9</v>
      </c>
      <c r="AG34" s="432">
        <v>61.16</v>
      </c>
      <c r="AH34" s="432">
        <v>879</v>
      </c>
      <c r="AI34" s="432">
        <v>626</v>
      </c>
      <c r="AJ34" s="432">
        <f t="shared" si="15"/>
        <v>1505</v>
      </c>
      <c r="AK34" s="432">
        <v>25.2</v>
      </c>
      <c r="AL34" s="432">
        <v>879</v>
      </c>
      <c r="AM34" s="432">
        <v>626</v>
      </c>
      <c r="AN34" s="432">
        <f t="shared" si="16"/>
        <v>1505</v>
      </c>
      <c r="AO34" s="432">
        <v>12.61</v>
      </c>
      <c r="AP34" s="432">
        <f t="shared" si="17"/>
        <v>92045.8</v>
      </c>
      <c r="AQ34" s="432">
        <f t="shared" si="18"/>
        <v>37926</v>
      </c>
      <c r="AR34" s="432">
        <f t="shared" si="19"/>
        <v>18978.05</v>
      </c>
      <c r="AS34" s="432">
        <f t="shared" si="20"/>
        <v>148949.85</v>
      </c>
      <c r="AT34" s="432"/>
      <c r="AU34" s="433">
        <f t="shared" si="21"/>
        <v>148949.85</v>
      </c>
      <c r="AV34" s="434">
        <v>0.97960400000000003</v>
      </c>
      <c r="AW34" s="433">
        <f t="shared" si="22"/>
        <v>145911.87</v>
      </c>
      <c r="AX34" s="433">
        <f t="shared" si="23"/>
        <v>145.9</v>
      </c>
      <c r="AY34" s="433">
        <v>6.4</v>
      </c>
      <c r="AZ34" s="433">
        <v>854.75</v>
      </c>
      <c r="BA34" s="435">
        <v>12</v>
      </c>
      <c r="BB34" s="433">
        <f t="shared" si="24"/>
        <v>65644.800000000003</v>
      </c>
      <c r="BC34" s="433"/>
      <c r="BD34" s="433">
        <f t="shared" si="25"/>
        <v>65644.800000000003</v>
      </c>
      <c r="BE34" s="434">
        <v>0.97960400000000003</v>
      </c>
      <c r="BF34" s="433">
        <f t="shared" si="26"/>
        <v>64305.91</v>
      </c>
      <c r="BG34" s="433">
        <f t="shared" si="27"/>
        <v>64.3</v>
      </c>
      <c r="BH34" s="433">
        <f t="shared" si="28"/>
        <v>1537885.91</v>
      </c>
      <c r="BI34" s="433">
        <f t="shared" si="29"/>
        <v>0</v>
      </c>
      <c r="BJ34" s="433">
        <f t="shared" si="30"/>
        <v>0</v>
      </c>
      <c r="BK34" s="433">
        <f t="shared" si="31"/>
        <v>1537885.91</v>
      </c>
      <c r="BL34" s="436">
        <f t="shared" si="32"/>
        <v>1537.9</v>
      </c>
      <c r="BM34" s="437">
        <f t="shared" si="33"/>
        <v>1506519.19</v>
      </c>
      <c r="BN34" s="437">
        <f t="shared" si="34"/>
        <v>1506.5</v>
      </c>
      <c r="BO34" s="438">
        <f t="shared" si="35"/>
        <v>-31.4</v>
      </c>
      <c r="BP34" s="329">
        <v>1506.5</v>
      </c>
      <c r="BQ34" s="439">
        <f t="shared" si="36"/>
        <v>0</v>
      </c>
    </row>
    <row r="35" spans="1:69" s="329" customFormat="1" ht="15.75" hidden="1" x14ac:dyDescent="0.25">
      <c r="A35" s="431" t="s">
        <v>760</v>
      </c>
      <c r="B35" s="432">
        <v>2588.77</v>
      </c>
      <c r="C35" s="432">
        <v>74.290000000000006</v>
      </c>
      <c r="D35" s="432">
        <v>108.26</v>
      </c>
      <c r="E35" s="432">
        <f t="shared" si="0"/>
        <v>182.6</v>
      </c>
      <c r="F35" s="432">
        <f t="shared" si="1"/>
        <v>472709.4</v>
      </c>
      <c r="G35" s="432"/>
      <c r="H35" s="433">
        <f t="shared" si="2"/>
        <v>472709.4</v>
      </c>
      <c r="I35" s="434">
        <v>0.97960400000000003</v>
      </c>
      <c r="J35" s="433">
        <f t="shared" si="3"/>
        <v>463068.02</v>
      </c>
      <c r="K35" s="433">
        <f t="shared" si="4"/>
        <v>463.1</v>
      </c>
      <c r="L35" s="432"/>
      <c r="M35" s="432"/>
      <c r="N35" s="432"/>
      <c r="O35" s="432">
        <f t="shared" si="5"/>
        <v>0</v>
      </c>
      <c r="P35" s="432">
        <f t="shared" si="6"/>
        <v>0</v>
      </c>
      <c r="Q35" s="432"/>
      <c r="R35" s="433">
        <f t="shared" si="7"/>
        <v>0</v>
      </c>
      <c r="S35" s="434">
        <v>0.97960400000000003</v>
      </c>
      <c r="T35" s="433">
        <f t="shared" si="8"/>
        <v>0</v>
      </c>
      <c r="U35" s="433">
        <f t="shared" si="9"/>
        <v>0</v>
      </c>
      <c r="V35" s="432">
        <v>10.029999999999999</v>
      </c>
      <c r="W35" s="432">
        <v>24770</v>
      </c>
      <c r="X35" s="432">
        <v>20486</v>
      </c>
      <c r="Y35" s="432">
        <f t="shared" si="10"/>
        <v>45256</v>
      </c>
      <c r="Z35" s="432">
        <f t="shared" si="11"/>
        <v>453917.68</v>
      </c>
      <c r="AA35" s="432"/>
      <c r="AB35" s="432"/>
      <c r="AC35" s="433">
        <f t="shared" si="12"/>
        <v>453917.68</v>
      </c>
      <c r="AD35" s="434">
        <v>0.97960400000000003</v>
      </c>
      <c r="AE35" s="433">
        <f t="shared" si="13"/>
        <v>444659.57</v>
      </c>
      <c r="AF35" s="433">
        <f t="shared" si="14"/>
        <v>444.7</v>
      </c>
      <c r="AG35" s="432">
        <v>61.16</v>
      </c>
      <c r="AH35" s="432">
        <v>762</v>
      </c>
      <c r="AI35" s="432">
        <v>550</v>
      </c>
      <c r="AJ35" s="432">
        <f t="shared" si="15"/>
        <v>1312</v>
      </c>
      <c r="AK35" s="432">
        <v>25.2</v>
      </c>
      <c r="AL35" s="432">
        <v>762</v>
      </c>
      <c r="AM35" s="432">
        <v>550</v>
      </c>
      <c r="AN35" s="432">
        <f t="shared" si="16"/>
        <v>1312</v>
      </c>
      <c r="AO35" s="432">
        <v>12.61</v>
      </c>
      <c r="AP35" s="432">
        <f t="shared" si="17"/>
        <v>80241.919999999998</v>
      </c>
      <c r="AQ35" s="432">
        <f t="shared" si="18"/>
        <v>33062.400000000001</v>
      </c>
      <c r="AR35" s="432">
        <f t="shared" si="19"/>
        <v>16544.32</v>
      </c>
      <c r="AS35" s="432">
        <f t="shared" si="20"/>
        <v>129848.64</v>
      </c>
      <c r="AT35" s="432"/>
      <c r="AU35" s="433">
        <f t="shared" si="21"/>
        <v>129848.64</v>
      </c>
      <c r="AV35" s="434">
        <v>0.97960400000000003</v>
      </c>
      <c r="AW35" s="433">
        <f t="shared" si="22"/>
        <v>127200.25</v>
      </c>
      <c r="AX35" s="433">
        <f t="shared" si="23"/>
        <v>127.2</v>
      </c>
      <c r="AY35" s="433">
        <v>10.56</v>
      </c>
      <c r="AZ35" s="433">
        <v>854.75</v>
      </c>
      <c r="BA35" s="435">
        <v>12</v>
      </c>
      <c r="BB35" s="433">
        <f t="shared" si="24"/>
        <v>108313.92</v>
      </c>
      <c r="BC35" s="433"/>
      <c r="BD35" s="433">
        <f t="shared" si="25"/>
        <v>108313.92</v>
      </c>
      <c r="BE35" s="434">
        <v>0.97960400000000003</v>
      </c>
      <c r="BF35" s="433">
        <f t="shared" si="26"/>
        <v>106104.75</v>
      </c>
      <c r="BG35" s="433">
        <f t="shared" si="27"/>
        <v>106.1</v>
      </c>
      <c r="BH35" s="433">
        <f t="shared" si="28"/>
        <v>1164789.6399999999</v>
      </c>
      <c r="BI35" s="433">
        <f t="shared" si="29"/>
        <v>0</v>
      </c>
      <c r="BJ35" s="433">
        <f t="shared" si="30"/>
        <v>0</v>
      </c>
      <c r="BK35" s="433">
        <f t="shared" si="31"/>
        <v>1164789.6399999999</v>
      </c>
      <c r="BL35" s="436">
        <f t="shared" si="32"/>
        <v>1164.8</v>
      </c>
      <c r="BM35" s="437">
        <f t="shared" si="33"/>
        <v>1141032.5900000001</v>
      </c>
      <c r="BN35" s="437">
        <f t="shared" si="34"/>
        <v>1141.0999999999999</v>
      </c>
      <c r="BO35" s="438">
        <f t="shared" si="35"/>
        <v>-23.7</v>
      </c>
      <c r="BP35" s="329">
        <v>1141.0999999999999</v>
      </c>
      <c r="BQ35" s="439">
        <f t="shared" si="36"/>
        <v>0</v>
      </c>
    </row>
    <row r="36" spans="1:69" s="329" customFormat="1" ht="15.75" hidden="1" x14ac:dyDescent="0.25">
      <c r="A36" s="431" t="s">
        <v>761</v>
      </c>
      <c r="B36" s="432">
        <v>2588.77</v>
      </c>
      <c r="C36" s="432">
        <v>114.66</v>
      </c>
      <c r="D36" s="432">
        <v>149.22999999999999</v>
      </c>
      <c r="E36" s="432">
        <f t="shared" si="0"/>
        <v>263.89999999999998</v>
      </c>
      <c r="F36" s="432">
        <f t="shared" si="1"/>
        <v>683176.4</v>
      </c>
      <c r="G36" s="432">
        <v>0</v>
      </c>
      <c r="H36" s="433">
        <f t="shared" si="2"/>
        <v>683176.4</v>
      </c>
      <c r="I36" s="434">
        <v>0.97960400000000003</v>
      </c>
      <c r="J36" s="433">
        <f t="shared" si="3"/>
        <v>669242.32999999996</v>
      </c>
      <c r="K36" s="433">
        <f t="shared" si="4"/>
        <v>669.2</v>
      </c>
      <c r="L36" s="432"/>
      <c r="M36" s="432"/>
      <c r="N36" s="432"/>
      <c r="O36" s="432">
        <f t="shared" si="5"/>
        <v>0</v>
      </c>
      <c r="P36" s="432">
        <f t="shared" si="6"/>
        <v>0</v>
      </c>
      <c r="Q36" s="432"/>
      <c r="R36" s="433">
        <f t="shared" si="7"/>
        <v>0</v>
      </c>
      <c r="S36" s="434">
        <v>0.97960400000000003</v>
      </c>
      <c r="T36" s="433">
        <f t="shared" si="8"/>
        <v>0</v>
      </c>
      <c r="U36" s="433">
        <f t="shared" si="9"/>
        <v>0</v>
      </c>
      <c r="V36" s="432">
        <v>10.029999999999999</v>
      </c>
      <c r="W36" s="432">
        <v>98524</v>
      </c>
      <c r="X36" s="432">
        <v>119753</v>
      </c>
      <c r="Y36" s="432">
        <f t="shared" si="10"/>
        <v>218277</v>
      </c>
      <c r="Z36" s="432">
        <f t="shared" si="11"/>
        <v>2189318.31</v>
      </c>
      <c r="AA36" s="432"/>
      <c r="AB36" s="432"/>
      <c r="AC36" s="433">
        <f t="shared" si="12"/>
        <v>2189318.31</v>
      </c>
      <c r="AD36" s="434">
        <v>0.97960400000000003</v>
      </c>
      <c r="AE36" s="433">
        <f t="shared" si="13"/>
        <v>2144664.9700000002</v>
      </c>
      <c r="AF36" s="433">
        <f t="shared" si="14"/>
        <v>2144.6999999999998</v>
      </c>
      <c r="AG36" s="432">
        <v>61.16</v>
      </c>
      <c r="AH36" s="432">
        <v>878</v>
      </c>
      <c r="AI36" s="432">
        <v>864</v>
      </c>
      <c r="AJ36" s="432">
        <f t="shared" si="15"/>
        <v>1742</v>
      </c>
      <c r="AK36" s="432">
        <v>25.2</v>
      </c>
      <c r="AL36" s="432">
        <v>878</v>
      </c>
      <c r="AM36" s="432">
        <v>864</v>
      </c>
      <c r="AN36" s="432">
        <f t="shared" si="16"/>
        <v>1742</v>
      </c>
      <c r="AO36" s="432">
        <v>12.61</v>
      </c>
      <c r="AP36" s="432">
        <f t="shared" si="17"/>
        <v>106540.72</v>
      </c>
      <c r="AQ36" s="432">
        <f t="shared" si="18"/>
        <v>43898.400000000001</v>
      </c>
      <c r="AR36" s="432">
        <f t="shared" si="19"/>
        <v>21966.62</v>
      </c>
      <c r="AS36" s="432">
        <f t="shared" si="20"/>
        <v>172405.74</v>
      </c>
      <c r="AT36" s="432"/>
      <c r="AU36" s="433">
        <f t="shared" si="21"/>
        <v>172405.74</v>
      </c>
      <c r="AV36" s="434">
        <v>0.97960400000000003</v>
      </c>
      <c r="AW36" s="433">
        <f t="shared" si="22"/>
        <v>168889.35</v>
      </c>
      <c r="AX36" s="433">
        <f t="shared" si="23"/>
        <v>168.9</v>
      </c>
      <c r="AY36" s="433">
        <v>17.88</v>
      </c>
      <c r="AZ36" s="433">
        <v>854.75</v>
      </c>
      <c r="BA36" s="435">
        <v>12</v>
      </c>
      <c r="BB36" s="433">
        <f t="shared" si="24"/>
        <v>183395.16</v>
      </c>
      <c r="BC36" s="433"/>
      <c r="BD36" s="433">
        <f t="shared" si="25"/>
        <v>183395.16</v>
      </c>
      <c r="BE36" s="434">
        <v>0.97960400000000003</v>
      </c>
      <c r="BF36" s="433">
        <f t="shared" si="26"/>
        <v>179654.63</v>
      </c>
      <c r="BG36" s="433">
        <f t="shared" si="27"/>
        <v>179.7</v>
      </c>
      <c r="BH36" s="433">
        <f t="shared" si="28"/>
        <v>3228295.61</v>
      </c>
      <c r="BI36" s="433">
        <f t="shared" si="29"/>
        <v>0</v>
      </c>
      <c r="BJ36" s="433">
        <f t="shared" si="30"/>
        <v>0</v>
      </c>
      <c r="BK36" s="433">
        <f t="shared" si="31"/>
        <v>3228295.61</v>
      </c>
      <c r="BL36" s="436">
        <f t="shared" si="32"/>
        <v>3228.3</v>
      </c>
      <c r="BM36" s="437">
        <f t="shared" si="33"/>
        <v>3162451.28</v>
      </c>
      <c r="BN36" s="437">
        <f t="shared" si="34"/>
        <v>3162.5</v>
      </c>
      <c r="BO36" s="438">
        <f t="shared" si="35"/>
        <v>-65.8</v>
      </c>
      <c r="BP36" s="329">
        <v>3162.5</v>
      </c>
      <c r="BQ36" s="439">
        <f t="shared" si="36"/>
        <v>0</v>
      </c>
    </row>
    <row r="37" spans="1:69" s="329" customFormat="1" ht="15.75" hidden="1" x14ac:dyDescent="0.25">
      <c r="A37" s="431" t="s">
        <v>901</v>
      </c>
      <c r="B37" s="432">
        <v>3274.05</v>
      </c>
      <c r="C37" s="432">
        <v>147.02000000000001</v>
      </c>
      <c r="D37" s="432">
        <v>218.64</v>
      </c>
      <c r="E37" s="432">
        <f t="shared" si="0"/>
        <v>365.7</v>
      </c>
      <c r="F37" s="432">
        <f t="shared" si="1"/>
        <v>1197320.0900000001</v>
      </c>
      <c r="G37" s="432"/>
      <c r="H37" s="433">
        <f t="shared" si="2"/>
        <v>1197320.0900000001</v>
      </c>
      <c r="I37" s="434">
        <v>0.97960400000000003</v>
      </c>
      <c r="J37" s="433">
        <f t="shared" si="3"/>
        <v>1172899.55</v>
      </c>
      <c r="K37" s="433">
        <f t="shared" si="4"/>
        <v>1172.9000000000001</v>
      </c>
      <c r="L37" s="432"/>
      <c r="M37" s="432"/>
      <c r="N37" s="432"/>
      <c r="O37" s="432">
        <f t="shared" si="5"/>
        <v>0</v>
      </c>
      <c r="P37" s="432">
        <f t="shared" si="6"/>
        <v>0</v>
      </c>
      <c r="Q37" s="432"/>
      <c r="R37" s="433">
        <f t="shared" si="7"/>
        <v>0</v>
      </c>
      <c r="S37" s="434">
        <v>0.97960400000000003</v>
      </c>
      <c r="T37" s="433">
        <f t="shared" si="8"/>
        <v>0</v>
      </c>
      <c r="U37" s="433">
        <f t="shared" si="9"/>
        <v>0</v>
      </c>
      <c r="V37" s="432">
        <v>10.029999999999999</v>
      </c>
      <c r="W37" s="432">
        <v>102620</v>
      </c>
      <c r="X37" s="432">
        <v>112780</v>
      </c>
      <c r="Y37" s="432">
        <f t="shared" si="10"/>
        <v>215400</v>
      </c>
      <c r="Z37" s="432">
        <f t="shared" si="11"/>
        <v>2160462</v>
      </c>
      <c r="AA37" s="432"/>
      <c r="AB37" s="432"/>
      <c r="AC37" s="433">
        <f t="shared" si="12"/>
        <v>2160462</v>
      </c>
      <c r="AD37" s="434">
        <v>0.97960400000000003</v>
      </c>
      <c r="AE37" s="433">
        <f t="shared" si="13"/>
        <v>2116397.2200000002</v>
      </c>
      <c r="AF37" s="433">
        <f t="shared" si="14"/>
        <v>2116.4</v>
      </c>
      <c r="AG37" s="432">
        <v>61.16</v>
      </c>
      <c r="AH37" s="432">
        <v>1992</v>
      </c>
      <c r="AI37" s="432">
        <v>1502</v>
      </c>
      <c r="AJ37" s="432">
        <f t="shared" si="15"/>
        <v>3494</v>
      </c>
      <c r="AK37" s="432">
        <v>25.2</v>
      </c>
      <c r="AL37" s="432">
        <v>1992</v>
      </c>
      <c r="AM37" s="432">
        <v>1502</v>
      </c>
      <c r="AN37" s="432">
        <f t="shared" si="16"/>
        <v>3494</v>
      </c>
      <c r="AO37" s="432">
        <v>12.61</v>
      </c>
      <c r="AP37" s="432">
        <f t="shared" si="17"/>
        <v>213693.04</v>
      </c>
      <c r="AQ37" s="432">
        <f t="shared" si="18"/>
        <v>88048.8</v>
      </c>
      <c r="AR37" s="432">
        <f t="shared" si="19"/>
        <v>44059.34</v>
      </c>
      <c r="AS37" s="432">
        <f t="shared" si="20"/>
        <v>345801.18</v>
      </c>
      <c r="AT37" s="432"/>
      <c r="AU37" s="433">
        <f t="shared" si="21"/>
        <v>345801.18</v>
      </c>
      <c r="AV37" s="434">
        <v>0.97960400000000003</v>
      </c>
      <c r="AW37" s="433">
        <f t="shared" si="22"/>
        <v>338748.22</v>
      </c>
      <c r="AX37" s="433">
        <f t="shared" si="23"/>
        <v>338.7</v>
      </c>
      <c r="AY37" s="433">
        <v>12.27</v>
      </c>
      <c r="AZ37" s="433">
        <v>854.75</v>
      </c>
      <c r="BA37" s="435">
        <v>12</v>
      </c>
      <c r="BB37" s="433">
        <f t="shared" si="24"/>
        <v>125853.39</v>
      </c>
      <c r="BC37" s="433"/>
      <c r="BD37" s="433">
        <f t="shared" si="25"/>
        <v>125853.39</v>
      </c>
      <c r="BE37" s="434">
        <v>0.97960400000000003</v>
      </c>
      <c r="BF37" s="433">
        <f t="shared" si="26"/>
        <v>123286.48</v>
      </c>
      <c r="BG37" s="433">
        <f t="shared" si="27"/>
        <v>123.3</v>
      </c>
      <c r="BH37" s="433">
        <f t="shared" si="28"/>
        <v>3829436.66</v>
      </c>
      <c r="BI37" s="433">
        <f t="shared" si="29"/>
        <v>0</v>
      </c>
      <c r="BJ37" s="433">
        <f t="shared" si="30"/>
        <v>0</v>
      </c>
      <c r="BK37" s="433">
        <f t="shared" si="31"/>
        <v>3829436.66</v>
      </c>
      <c r="BL37" s="436">
        <f t="shared" si="32"/>
        <v>3829.5</v>
      </c>
      <c r="BM37" s="437">
        <f t="shared" si="33"/>
        <v>3751331.47</v>
      </c>
      <c r="BN37" s="437">
        <f t="shared" si="34"/>
        <v>3751.3</v>
      </c>
      <c r="BO37" s="438">
        <f t="shared" si="35"/>
        <v>-78.2</v>
      </c>
      <c r="BP37" s="329">
        <v>3751.3</v>
      </c>
      <c r="BQ37" s="439">
        <f t="shared" si="36"/>
        <v>0</v>
      </c>
    </row>
    <row r="38" spans="1:69" s="329" customFormat="1" ht="15.75" hidden="1" x14ac:dyDescent="0.25">
      <c r="A38" s="431" t="s">
        <v>763</v>
      </c>
      <c r="B38" s="432">
        <v>3274.05</v>
      </c>
      <c r="C38" s="432">
        <v>181.51</v>
      </c>
      <c r="D38" s="432">
        <v>179.49</v>
      </c>
      <c r="E38" s="432">
        <f t="shared" si="0"/>
        <v>361</v>
      </c>
      <c r="F38" s="432">
        <f t="shared" si="1"/>
        <v>1181932.05</v>
      </c>
      <c r="G38" s="432"/>
      <c r="H38" s="433">
        <f t="shared" si="2"/>
        <v>1181932.05</v>
      </c>
      <c r="I38" s="434">
        <v>0.97960400000000003</v>
      </c>
      <c r="J38" s="433">
        <f t="shared" si="3"/>
        <v>1157825.3600000001</v>
      </c>
      <c r="K38" s="433">
        <f t="shared" si="4"/>
        <v>1157.8</v>
      </c>
      <c r="L38" s="432"/>
      <c r="M38" s="432"/>
      <c r="N38" s="432"/>
      <c r="O38" s="432">
        <f t="shared" si="5"/>
        <v>0</v>
      </c>
      <c r="P38" s="432">
        <f t="shared" si="6"/>
        <v>0</v>
      </c>
      <c r="Q38" s="432"/>
      <c r="R38" s="433">
        <f t="shared" si="7"/>
        <v>0</v>
      </c>
      <c r="S38" s="434">
        <v>0.97960400000000003</v>
      </c>
      <c r="T38" s="433">
        <f t="shared" si="8"/>
        <v>0</v>
      </c>
      <c r="U38" s="433">
        <f t="shared" si="9"/>
        <v>0</v>
      </c>
      <c r="V38" s="432">
        <v>10.029999999999999</v>
      </c>
      <c r="W38" s="432">
        <v>28640</v>
      </c>
      <c r="X38" s="432">
        <v>45981</v>
      </c>
      <c r="Y38" s="432">
        <f t="shared" si="10"/>
        <v>74621</v>
      </c>
      <c r="Z38" s="432">
        <f t="shared" si="11"/>
        <v>748448.63</v>
      </c>
      <c r="AA38" s="432"/>
      <c r="AB38" s="432"/>
      <c r="AC38" s="433">
        <f t="shared" si="12"/>
        <v>748448.63</v>
      </c>
      <c r="AD38" s="434">
        <v>0.97960400000000003</v>
      </c>
      <c r="AE38" s="433">
        <f t="shared" si="13"/>
        <v>733183.27</v>
      </c>
      <c r="AF38" s="433">
        <f t="shared" si="14"/>
        <v>733.2</v>
      </c>
      <c r="AG38" s="432">
        <v>61.16</v>
      </c>
      <c r="AH38" s="432">
        <v>742</v>
      </c>
      <c r="AI38" s="432">
        <v>1038</v>
      </c>
      <c r="AJ38" s="432">
        <f t="shared" si="15"/>
        <v>1780</v>
      </c>
      <c r="AK38" s="432">
        <v>25.2</v>
      </c>
      <c r="AL38" s="432">
        <v>742</v>
      </c>
      <c r="AM38" s="432">
        <v>1038</v>
      </c>
      <c r="AN38" s="432">
        <f t="shared" si="16"/>
        <v>1780</v>
      </c>
      <c r="AO38" s="432">
        <v>12.61</v>
      </c>
      <c r="AP38" s="432">
        <f t="shared" si="17"/>
        <v>108864.8</v>
      </c>
      <c r="AQ38" s="432">
        <f t="shared" si="18"/>
        <v>44856</v>
      </c>
      <c r="AR38" s="432">
        <f t="shared" si="19"/>
        <v>22445.8</v>
      </c>
      <c r="AS38" s="432">
        <f t="shared" si="20"/>
        <v>176166.6</v>
      </c>
      <c r="AT38" s="432"/>
      <c r="AU38" s="433">
        <f t="shared" si="21"/>
        <v>176166.6</v>
      </c>
      <c r="AV38" s="434">
        <v>0.97960400000000003</v>
      </c>
      <c r="AW38" s="433">
        <f t="shared" si="22"/>
        <v>172573.51</v>
      </c>
      <c r="AX38" s="433">
        <f t="shared" si="23"/>
        <v>172.6</v>
      </c>
      <c r="AY38" s="433">
        <v>9.19</v>
      </c>
      <c r="AZ38" s="433">
        <v>854.75</v>
      </c>
      <c r="BA38" s="435">
        <v>12</v>
      </c>
      <c r="BB38" s="433">
        <f t="shared" si="24"/>
        <v>94261.83</v>
      </c>
      <c r="BC38" s="433"/>
      <c r="BD38" s="433">
        <f t="shared" si="25"/>
        <v>94261.83</v>
      </c>
      <c r="BE38" s="434">
        <v>0.97960400000000003</v>
      </c>
      <c r="BF38" s="433">
        <f t="shared" si="26"/>
        <v>92339.27</v>
      </c>
      <c r="BG38" s="433">
        <f t="shared" si="27"/>
        <v>92.3</v>
      </c>
      <c r="BH38" s="433">
        <f t="shared" si="28"/>
        <v>2200809.11</v>
      </c>
      <c r="BI38" s="433">
        <f t="shared" si="29"/>
        <v>0</v>
      </c>
      <c r="BJ38" s="433">
        <f t="shared" si="30"/>
        <v>0</v>
      </c>
      <c r="BK38" s="433">
        <f t="shared" si="31"/>
        <v>2200809.11</v>
      </c>
      <c r="BL38" s="436">
        <f t="shared" si="32"/>
        <v>2200.9</v>
      </c>
      <c r="BM38" s="437">
        <f t="shared" si="33"/>
        <v>2155921.41</v>
      </c>
      <c r="BN38" s="437">
        <f t="shared" si="34"/>
        <v>2155.9</v>
      </c>
      <c r="BO38" s="438">
        <f t="shared" si="35"/>
        <v>-45</v>
      </c>
      <c r="BP38" s="329">
        <v>2155.9</v>
      </c>
      <c r="BQ38" s="439">
        <f t="shared" si="36"/>
        <v>0</v>
      </c>
    </row>
    <row r="39" spans="1:69" s="329" customFormat="1" ht="15.75" hidden="1" x14ac:dyDescent="0.25">
      <c r="A39" s="431" t="s">
        <v>764</v>
      </c>
      <c r="B39" s="432">
        <v>3274.05</v>
      </c>
      <c r="C39" s="432">
        <v>70.75</v>
      </c>
      <c r="D39" s="432">
        <v>87.55</v>
      </c>
      <c r="E39" s="432">
        <f t="shared" si="0"/>
        <v>158.30000000000001</v>
      </c>
      <c r="F39" s="432">
        <f t="shared" si="1"/>
        <v>518282.12</v>
      </c>
      <c r="G39" s="432"/>
      <c r="H39" s="433">
        <f t="shared" si="2"/>
        <v>518282.12</v>
      </c>
      <c r="I39" s="434">
        <v>0.97960400000000003</v>
      </c>
      <c r="J39" s="433">
        <f t="shared" si="3"/>
        <v>507711.24</v>
      </c>
      <c r="K39" s="433">
        <f t="shared" si="4"/>
        <v>507.7</v>
      </c>
      <c r="L39" s="432"/>
      <c r="M39" s="432"/>
      <c r="N39" s="432"/>
      <c r="O39" s="432">
        <f t="shared" si="5"/>
        <v>0</v>
      </c>
      <c r="P39" s="432">
        <f t="shared" si="6"/>
        <v>0</v>
      </c>
      <c r="Q39" s="432"/>
      <c r="R39" s="433">
        <f t="shared" si="7"/>
        <v>0</v>
      </c>
      <c r="S39" s="434">
        <v>0.97960400000000003</v>
      </c>
      <c r="T39" s="433">
        <f t="shared" si="8"/>
        <v>0</v>
      </c>
      <c r="U39" s="433">
        <f t="shared" si="9"/>
        <v>0</v>
      </c>
      <c r="V39" s="432">
        <v>10.029999999999999</v>
      </c>
      <c r="W39" s="432">
        <v>17134</v>
      </c>
      <c r="X39" s="432">
        <v>15343</v>
      </c>
      <c r="Y39" s="432">
        <f t="shared" si="10"/>
        <v>32477</v>
      </c>
      <c r="Z39" s="432">
        <f t="shared" si="11"/>
        <v>325744.31</v>
      </c>
      <c r="AA39" s="432"/>
      <c r="AB39" s="432"/>
      <c r="AC39" s="433">
        <f t="shared" si="12"/>
        <v>325744.31</v>
      </c>
      <c r="AD39" s="434">
        <v>0.97960400000000003</v>
      </c>
      <c r="AE39" s="433">
        <f t="shared" si="13"/>
        <v>319100.43</v>
      </c>
      <c r="AF39" s="433">
        <f t="shared" si="14"/>
        <v>319.10000000000002</v>
      </c>
      <c r="AG39" s="432">
        <v>61.16</v>
      </c>
      <c r="AH39" s="432">
        <v>336</v>
      </c>
      <c r="AI39" s="432">
        <v>365</v>
      </c>
      <c r="AJ39" s="432">
        <f t="shared" si="15"/>
        <v>701</v>
      </c>
      <c r="AK39" s="432">
        <v>25.2</v>
      </c>
      <c r="AL39" s="432">
        <v>336</v>
      </c>
      <c r="AM39" s="432">
        <v>365</v>
      </c>
      <c r="AN39" s="432">
        <f t="shared" si="16"/>
        <v>701</v>
      </c>
      <c r="AO39" s="432">
        <v>12.61</v>
      </c>
      <c r="AP39" s="432">
        <f t="shared" si="17"/>
        <v>42873.16</v>
      </c>
      <c r="AQ39" s="432">
        <f t="shared" si="18"/>
        <v>17665.2</v>
      </c>
      <c r="AR39" s="432">
        <f t="shared" si="19"/>
        <v>8839.61</v>
      </c>
      <c r="AS39" s="432">
        <f t="shared" si="20"/>
        <v>69377.97</v>
      </c>
      <c r="AT39" s="432"/>
      <c r="AU39" s="433">
        <f t="shared" si="21"/>
        <v>69377.97</v>
      </c>
      <c r="AV39" s="434">
        <v>0.97960400000000003</v>
      </c>
      <c r="AW39" s="433">
        <f t="shared" si="22"/>
        <v>67962.94</v>
      </c>
      <c r="AX39" s="433">
        <f t="shared" si="23"/>
        <v>68</v>
      </c>
      <c r="AY39" s="433">
        <v>9.1300000000000008</v>
      </c>
      <c r="AZ39" s="433">
        <v>854.75</v>
      </c>
      <c r="BA39" s="435">
        <v>12</v>
      </c>
      <c r="BB39" s="433">
        <f t="shared" si="24"/>
        <v>93646.41</v>
      </c>
      <c r="BC39" s="433"/>
      <c r="BD39" s="433">
        <f t="shared" si="25"/>
        <v>93646.41</v>
      </c>
      <c r="BE39" s="434">
        <v>0.97960400000000003</v>
      </c>
      <c r="BF39" s="433">
        <f t="shared" si="26"/>
        <v>91736.4</v>
      </c>
      <c r="BG39" s="433">
        <f t="shared" si="27"/>
        <v>91.7</v>
      </c>
      <c r="BH39" s="433">
        <f t="shared" si="28"/>
        <v>1007050.81</v>
      </c>
      <c r="BI39" s="433">
        <f t="shared" si="29"/>
        <v>0</v>
      </c>
      <c r="BJ39" s="433">
        <f t="shared" si="30"/>
        <v>0</v>
      </c>
      <c r="BK39" s="433">
        <f t="shared" si="31"/>
        <v>1007050.81</v>
      </c>
      <c r="BL39" s="436">
        <f t="shared" si="32"/>
        <v>1007.1</v>
      </c>
      <c r="BM39" s="437">
        <f t="shared" si="33"/>
        <v>986511.01</v>
      </c>
      <c r="BN39" s="437">
        <f t="shared" si="34"/>
        <v>986.5</v>
      </c>
      <c r="BO39" s="438">
        <f t="shared" si="35"/>
        <v>-20.6</v>
      </c>
      <c r="BP39" s="329">
        <v>986.5</v>
      </c>
      <c r="BQ39" s="439">
        <f t="shared" si="36"/>
        <v>0</v>
      </c>
    </row>
    <row r="40" spans="1:69" s="329" customFormat="1" ht="31.5" hidden="1" x14ac:dyDescent="0.25">
      <c r="A40" s="431" t="s">
        <v>765</v>
      </c>
      <c r="B40" s="432">
        <v>3274.05</v>
      </c>
      <c r="C40" s="432">
        <v>207.82</v>
      </c>
      <c r="D40" s="432">
        <v>303.02</v>
      </c>
      <c r="E40" s="432">
        <f t="shared" si="0"/>
        <v>510.8</v>
      </c>
      <c r="F40" s="432">
        <f t="shared" si="1"/>
        <v>1672384.74</v>
      </c>
      <c r="G40" s="432"/>
      <c r="H40" s="433">
        <f t="shared" si="2"/>
        <v>1672384.74</v>
      </c>
      <c r="I40" s="434">
        <v>0.97960400000000003</v>
      </c>
      <c r="J40" s="433">
        <f t="shared" si="3"/>
        <v>1638274.78</v>
      </c>
      <c r="K40" s="433">
        <f t="shared" si="4"/>
        <v>1638.3</v>
      </c>
      <c r="L40" s="432"/>
      <c r="M40" s="432"/>
      <c r="N40" s="432"/>
      <c r="O40" s="432">
        <f t="shared" si="5"/>
        <v>0</v>
      </c>
      <c r="P40" s="432">
        <f t="shared" si="6"/>
        <v>0</v>
      </c>
      <c r="Q40" s="432"/>
      <c r="R40" s="433">
        <f t="shared" si="7"/>
        <v>0</v>
      </c>
      <c r="S40" s="434">
        <v>0.97960400000000003</v>
      </c>
      <c r="T40" s="433">
        <f t="shared" si="8"/>
        <v>0</v>
      </c>
      <c r="U40" s="433">
        <f t="shared" si="9"/>
        <v>0</v>
      </c>
      <c r="V40" s="432">
        <v>10.029999999999999</v>
      </c>
      <c r="W40" s="432">
        <v>54650</v>
      </c>
      <c r="X40" s="432">
        <v>59727</v>
      </c>
      <c r="Y40" s="432">
        <f t="shared" si="10"/>
        <v>114377</v>
      </c>
      <c r="Z40" s="432">
        <f t="shared" si="11"/>
        <v>1147201.31</v>
      </c>
      <c r="AA40" s="432"/>
      <c r="AB40" s="432"/>
      <c r="AC40" s="433">
        <f t="shared" si="12"/>
        <v>1147201.31</v>
      </c>
      <c r="AD40" s="434">
        <v>0.97960400000000003</v>
      </c>
      <c r="AE40" s="433">
        <f t="shared" si="13"/>
        <v>1123802.99</v>
      </c>
      <c r="AF40" s="433">
        <f t="shared" si="14"/>
        <v>1123.8</v>
      </c>
      <c r="AG40" s="432">
        <v>61.16</v>
      </c>
      <c r="AH40" s="432">
        <v>1568</v>
      </c>
      <c r="AI40" s="432">
        <v>1175</v>
      </c>
      <c r="AJ40" s="432">
        <f t="shared" si="15"/>
        <v>2743</v>
      </c>
      <c r="AK40" s="432">
        <v>25.2</v>
      </c>
      <c r="AL40" s="432">
        <v>1568</v>
      </c>
      <c r="AM40" s="432">
        <v>1175</v>
      </c>
      <c r="AN40" s="432">
        <f t="shared" si="16"/>
        <v>2743</v>
      </c>
      <c r="AO40" s="432">
        <v>12.61</v>
      </c>
      <c r="AP40" s="432">
        <f t="shared" si="17"/>
        <v>167761.88</v>
      </c>
      <c r="AQ40" s="432">
        <f t="shared" si="18"/>
        <v>69123.600000000006</v>
      </c>
      <c r="AR40" s="432">
        <f t="shared" si="19"/>
        <v>34589.230000000003</v>
      </c>
      <c r="AS40" s="432">
        <f t="shared" si="20"/>
        <v>271474.71000000002</v>
      </c>
      <c r="AT40" s="432"/>
      <c r="AU40" s="433">
        <f t="shared" si="21"/>
        <v>271474.71000000002</v>
      </c>
      <c r="AV40" s="434">
        <v>0.97960400000000003</v>
      </c>
      <c r="AW40" s="433">
        <f t="shared" si="22"/>
        <v>265937.71000000002</v>
      </c>
      <c r="AX40" s="433">
        <f t="shared" si="23"/>
        <v>265.89999999999998</v>
      </c>
      <c r="AY40" s="433">
        <v>13.9</v>
      </c>
      <c r="AZ40" s="433">
        <v>854.75</v>
      </c>
      <c r="BA40" s="435">
        <v>12</v>
      </c>
      <c r="BB40" s="433">
        <f t="shared" si="24"/>
        <v>142572.29999999999</v>
      </c>
      <c r="BC40" s="433"/>
      <c r="BD40" s="433">
        <f t="shared" si="25"/>
        <v>142572.29999999999</v>
      </c>
      <c r="BE40" s="434">
        <v>0.97960400000000003</v>
      </c>
      <c r="BF40" s="433">
        <f t="shared" si="26"/>
        <v>139664.4</v>
      </c>
      <c r="BG40" s="433">
        <f t="shared" si="27"/>
        <v>139.69999999999999</v>
      </c>
      <c r="BH40" s="433">
        <f t="shared" si="28"/>
        <v>3233633.06</v>
      </c>
      <c r="BI40" s="433">
        <f t="shared" si="29"/>
        <v>0</v>
      </c>
      <c r="BJ40" s="433">
        <f t="shared" si="30"/>
        <v>0</v>
      </c>
      <c r="BK40" s="433">
        <f t="shared" si="31"/>
        <v>3233633.06</v>
      </c>
      <c r="BL40" s="436">
        <f t="shared" si="32"/>
        <v>3233.7</v>
      </c>
      <c r="BM40" s="437">
        <f t="shared" si="33"/>
        <v>3167679.88</v>
      </c>
      <c r="BN40" s="437">
        <f t="shared" si="34"/>
        <v>3167.7</v>
      </c>
      <c r="BO40" s="438">
        <f t="shared" si="35"/>
        <v>-66</v>
      </c>
      <c r="BP40" s="329">
        <v>3167.7</v>
      </c>
      <c r="BQ40" s="439">
        <f t="shared" si="36"/>
        <v>0</v>
      </c>
    </row>
    <row r="41" spans="1:69" s="329" customFormat="1" ht="15.75" hidden="1" x14ac:dyDescent="0.25">
      <c r="A41" s="431" t="s">
        <v>902</v>
      </c>
      <c r="B41" s="432">
        <v>3274.05</v>
      </c>
      <c r="C41" s="432">
        <v>95.76</v>
      </c>
      <c r="D41" s="432">
        <v>180.23</v>
      </c>
      <c r="E41" s="432">
        <f t="shared" si="0"/>
        <v>276</v>
      </c>
      <c r="F41" s="432">
        <f t="shared" si="1"/>
        <v>903637.8</v>
      </c>
      <c r="G41" s="432"/>
      <c r="H41" s="433">
        <f t="shared" si="2"/>
        <v>903637.8</v>
      </c>
      <c r="I41" s="434">
        <v>0.97960400000000003</v>
      </c>
      <c r="J41" s="433">
        <f t="shared" si="3"/>
        <v>885207.2</v>
      </c>
      <c r="K41" s="433">
        <f t="shared" si="4"/>
        <v>885.2</v>
      </c>
      <c r="L41" s="432"/>
      <c r="M41" s="432"/>
      <c r="N41" s="432"/>
      <c r="O41" s="432">
        <f t="shared" si="5"/>
        <v>0</v>
      </c>
      <c r="P41" s="432">
        <f t="shared" si="6"/>
        <v>0</v>
      </c>
      <c r="Q41" s="432"/>
      <c r="R41" s="433">
        <f t="shared" si="7"/>
        <v>0</v>
      </c>
      <c r="S41" s="434">
        <v>0.97960400000000003</v>
      </c>
      <c r="T41" s="433">
        <f t="shared" si="8"/>
        <v>0</v>
      </c>
      <c r="U41" s="433">
        <f t="shared" si="9"/>
        <v>0</v>
      </c>
      <c r="V41" s="432">
        <v>10.029999999999999</v>
      </c>
      <c r="W41" s="432">
        <v>80000</v>
      </c>
      <c r="X41" s="432">
        <v>106280</v>
      </c>
      <c r="Y41" s="432">
        <f t="shared" si="10"/>
        <v>186280</v>
      </c>
      <c r="Z41" s="432">
        <f t="shared" si="11"/>
        <v>1868388.4</v>
      </c>
      <c r="AA41" s="432"/>
      <c r="AB41" s="432"/>
      <c r="AC41" s="433">
        <f t="shared" si="12"/>
        <v>1868388.4</v>
      </c>
      <c r="AD41" s="434">
        <v>0.97960400000000003</v>
      </c>
      <c r="AE41" s="433">
        <f t="shared" si="13"/>
        <v>1830280.75</v>
      </c>
      <c r="AF41" s="433">
        <f t="shared" si="14"/>
        <v>1830.3</v>
      </c>
      <c r="AG41" s="432">
        <v>61.16</v>
      </c>
      <c r="AH41" s="432">
        <v>1948</v>
      </c>
      <c r="AI41" s="432">
        <v>1588</v>
      </c>
      <c r="AJ41" s="432">
        <f t="shared" si="15"/>
        <v>3536</v>
      </c>
      <c r="AK41" s="432">
        <v>25.2</v>
      </c>
      <c r="AL41" s="432">
        <v>1948</v>
      </c>
      <c r="AM41" s="432">
        <v>1588</v>
      </c>
      <c r="AN41" s="432">
        <f t="shared" si="16"/>
        <v>3536</v>
      </c>
      <c r="AO41" s="432">
        <v>12.61</v>
      </c>
      <c r="AP41" s="432">
        <f t="shared" si="17"/>
        <v>216261.76000000001</v>
      </c>
      <c r="AQ41" s="432">
        <f t="shared" si="18"/>
        <v>89107.199999999997</v>
      </c>
      <c r="AR41" s="432">
        <f t="shared" si="19"/>
        <v>44588.959999999999</v>
      </c>
      <c r="AS41" s="432">
        <f t="shared" si="20"/>
        <v>349957.92</v>
      </c>
      <c r="AT41" s="432"/>
      <c r="AU41" s="433">
        <f t="shared" si="21"/>
        <v>349957.92</v>
      </c>
      <c r="AV41" s="434">
        <v>0.97960400000000003</v>
      </c>
      <c r="AW41" s="433">
        <f t="shared" si="22"/>
        <v>342820.18</v>
      </c>
      <c r="AX41" s="433">
        <f t="shared" si="23"/>
        <v>342.8</v>
      </c>
      <c r="AY41" s="433">
        <v>9.25</v>
      </c>
      <c r="AZ41" s="433">
        <v>854.75</v>
      </c>
      <c r="BA41" s="435">
        <v>12</v>
      </c>
      <c r="BB41" s="433">
        <f t="shared" si="24"/>
        <v>94877.25</v>
      </c>
      <c r="BC41" s="433"/>
      <c r="BD41" s="433">
        <f t="shared" si="25"/>
        <v>94877.25</v>
      </c>
      <c r="BE41" s="434">
        <v>0.97960400000000003</v>
      </c>
      <c r="BF41" s="433">
        <f t="shared" si="26"/>
        <v>92942.13</v>
      </c>
      <c r="BG41" s="433">
        <f t="shared" si="27"/>
        <v>92.9</v>
      </c>
      <c r="BH41" s="433">
        <f t="shared" si="28"/>
        <v>3216861.37</v>
      </c>
      <c r="BI41" s="433">
        <f t="shared" si="29"/>
        <v>0</v>
      </c>
      <c r="BJ41" s="433">
        <f t="shared" si="30"/>
        <v>0</v>
      </c>
      <c r="BK41" s="433">
        <f t="shared" si="31"/>
        <v>3216861.37</v>
      </c>
      <c r="BL41" s="436">
        <f t="shared" si="32"/>
        <v>3216.9</v>
      </c>
      <c r="BM41" s="437">
        <f t="shared" si="33"/>
        <v>3151250.26</v>
      </c>
      <c r="BN41" s="437">
        <f t="shared" si="34"/>
        <v>3151.2</v>
      </c>
      <c r="BO41" s="438">
        <f t="shared" si="35"/>
        <v>-65.7</v>
      </c>
      <c r="BP41" s="329">
        <v>3151.2</v>
      </c>
      <c r="BQ41" s="439">
        <f t="shared" si="36"/>
        <v>0</v>
      </c>
    </row>
    <row r="42" spans="1:69" s="329" customFormat="1" ht="15.75" hidden="1" x14ac:dyDescent="0.25">
      <c r="A42" s="431" t="s">
        <v>767</v>
      </c>
      <c r="B42" s="432">
        <v>2588.77</v>
      </c>
      <c r="C42" s="432">
        <v>63.61</v>
      </c>
      <c r="D42" s="432">
        <v>93.24</v>
      </c>
      <c r="E42" s="432">
        <f t="shared" si="0"/>
        <v>156.9</v>
      </c>
      <c r="F42" s="432">
        <f t="shared" si="1"/>
        <v>406178.01</v>
      </c>
      <c r="G42" s="432"/>
      <c r="H42" s="433">
        <f t="shared" si="2"/>
        <v>406178.01</v>
      </c>
      <c r="I42" s="434">
        <v>0.97960400000000003</v>
      </c>
      <c r="J42" s="433">
        <f t="shared" si="3"/>
        <v>397893.6</v>
      </c>
      <c r="K42" s="433">
        <f t="shared" si="4"/>
        <v>397.9</v>
      </c>
      <c r="L42" s="432"/>
      <c r="M42" s="432"/>
      <c r="N42" s="432"/>
      <c r="O42" s="432">
        <f t="shared" si="5"/>
        <v>0</v>
      </c>
      <c r="P42" s="432">
        <f t="shared" si="6"/>
        <v>0</v>
      </c>
      <c r="Q42" s="432"/>
      <c r="R42" s="433">
        <f t="shared" si="7"/>
        <v>0</v>
      </c>
      <c r="S42" s="434">
        <v>0.97960400000000003</v>
      </c>
      <c r="T42" s="433">
        <f t="shared" si="8"/>
        <v>0</v>
      </c>
      <c r="U42" s="433">
        <f t="shared" si="9"/>
        <v>0</v>
      </c>
      <c r="V42" s="432">
        <v>10.029999999999999</v>
      </c>
      <c r="W42" s="432">
        <v>22328</v>
      </c>
      <c r="X42" s="432">
        <v>20825</v>
      </c>
      <c r="Y42" s="432">
        <f t="shared" si="10"/>
        <v>43153</v>
      </c>
      <c r="Z42" s="432">
        <f t="shared" si="11"/>
        <v>432824.59</v>
      </c>
      <c r="AA42" s="432"/>
      <c r="AB42" s="432"/>
      <c r="AC42" s="433">
        <f t="shared" si="12"/>
        <v>432824.59</v>
      </c>
      <c r="AD42" s="434">
        <v>0.97960400000000003</v>
      </c>
      <c r="AE42" s="433">
        <f t="shared" si="13"/>
        <v>423996.7</v>
      </c>
      <c r="AF42" s="433">
        <f t="shared" si="14"/>
        <v>424</v>
      </c>
      <c r="AG42" s="432">
        <v>61.16</v>
      </c>
      <c r="AH42" s="432">
        <v>1070</v>
      </c>
      <c r="AI42" s="432">
        <v>731</v>
      </c>
      <c r="AJ42" s="432">
        <f t="shared" si="15"/>
        <v>1801</v>
      </c>
      <c r="AK42" s="432">
        <v>25.2</v>
      </c>
      <c r="AL42" s="432">
        <v>1070</v>
      </c>
      <c r="AM42" s="432">
        <v>731</v>
      </c>
      <c r="AN42" s="432">
        <f t="shared" si="16"/>
        <v>1801</v>
      </c>
      <c r="AO42" s="432">
        <v>12.61</v>
      </c>
      <c r="AP42" s="432">
        <f t="shared" si="17"/>
        <v>110149.16</v>
      </c>
      <c r="AQ42" s="432">
        <f t="shared" si="18"/>
        <v>45385.2</v>
      </c>
      <c r="AR42" s="432">
        <f t="shared" si="19"/>
        <v>22710.61</v>
      </c>
      <c r="AS42" s="432">
        <f t="shared" si="20"/>
        <v>178244.97</v>
      </c>
      <c r="AT42" s="432"/>
      <c r="AU42" s="433">
        <f t="shared" si="21"/>
        <v>178244.97</v>
      </c>
      <c r="AV42" s="434">
        <v>0.97960400000000003</v>
      </c>
      <c r="AW42" s="433">
        <f t="shared" si="22"/>
        <v>174609.49</v>
      </c>
      <c r="AX42" s="433">
        <f t="shared" si="23"/>
        <v>174.6</v>
      </c>
      <c r="AY42" s="433">
        <v>9.25</v>
      </c>
      <c r="AZ42" s="433">
        <v>854.75</v>
      </c>
      <c r="BA42" s="435">
        <v>12</v>
      </c>
      <c r="BB42" s="433">
        <f t="shared" si="24"/>
        <v>94877.25</v>
      </c>
      <c r="BC42" s="433"/>
      <c r="BD42" s="433">
        <f t="shared" si="25"/>
        <v>94877.25</v>
      </c>
      <c r="BE42" s="434">
        <v>0.97960400000000003</v>
      </c>
      <c r="BF42" s="433">
        <f t="shared" si="26"/>
        <v>92942.13</v>
      </c>
      <c r="BG42" s="433">
        <f t="shared" si="27"/>
        <v>92.9</v>
      </c>
      <c r="BH42" s="433">
        <f t="shared" si="28"/>
        <v>1112124.82</v>
      </c>
      <c r="BI42" s="433">
        <f t="shared" si="29"/>
        <v>0</v>
      </c>
      <c r="BJ42" s="433">
        <f t="shared" si="30"/>
        <v>0</v>
      </c>
      <c r="BK42" s="433">
        <f t="shared" si="31"/>
        <v>1112124.82</v>
      </c>
      <c r="BL42" s="436">
        <f t="shared" si="32"/>
        <v>1112.2</v>
      </c>
      <c r="BM42" s="437">
        <f t="shared" si="33"/>
        <v>1089441.92</v>
      </c>
      <c r="BN42" s="437">
        <f t="shared" si="34"/>
        <v>1089.4000000000001</v>
      </c>
      <c r="BO42" s="438">
        <f t="shared" si="35"/>
        <v>-22.8</v>
      </c>
      <c r="BP42" s="329">
        <v>1089.4000000000001</v>
      </c>
      <c r="BQ42" s="439">
        <f t="shared" si="36"/>
        <v>0</v>
      </c>
    </row>
    <row r="43" spans="1:69" s="329" customFormat="1" ht="15.75" hidden="1" x14ac:dyDescent="0.25">
      <c r="A43" s="431" t="s">
        <v>768</v>
      </c>
      <c r="B43" s="432">
        <v>2588.77</v>
      </c>
      <c r="C43" s="432">
        <v>192.61</v>
      </c>
      <c r="D43" s="432">
        <v>263.10000000000002</v>
      </c>
      <c r="E43" s="432">
        <f t="shared" si="0"/>
        <v>455.7</v>
      </c>
      <c r="F43" s="432">
        <f t="shared" si="1"/>
        <v>1179702.49</v>
      </c>
      <c r="G43" s="432"/>
      <c r="H43" s="433">
        <f t="shared" si="2"/>
        <v>1179702.49</v>
      </c>
      <c r="I43" s="434">
        <v>0.97960400000000003</v>
      </c>
      <c r="J43" s="433">
        <f t="shared" si="3"/>
        <v>1155641.28</v>
      </c>
      <c r="K43" s="433">
        <f t="shared" si="4"/>
        <v>1155.5999999999999</v>
      </c>
      <c r="L43" s="432"/>
      <c r="M43" s="432"/>
      <c r="N43" s="432"/>
      <c r="O43" s="432">
        <f t="shared" si="5"/>
        <v>0</v>
      </c>
      <c r="P43" s="432">
        <f t="shared" si="6"/>
        <v>0</v>
      </c>
      <c r="Q43" s="432"/>
      <c r="R43" s="433">
        <f t="shared" si="7"/>
        <v>0</v>
      </c>
      <c r="S43" s="434">
        <v>0.97960400000000003</v>
      </c>
      <c r="T43" s="433">
        <f t="shared" si="8"/>
        <v>0</v>
      </c>
      <c r="U43" s="433">
        <f t="shared" si="9"/>
        <v>0</v>
      </c>
      <c r="V43" s="432">
        <v>10.029999999999999</v>
      </c>
      <c r="W43" s="432">
        <v>57597</v>
      </c>
      <c r="X43" s="432">
        <v>69627</v>
      </c>
      <c r="Y43" s="432">
        <f t="shared" si="10"/>
        <v>127224</v>
      </c>
      <c r="Z43" s="432">
        <f t="shared" si="11"/>
        <v>1276056.72</v>
      </c>
      <c r="AA43" s="432"/>
      <c r="AB43" s="432"/>
      <c r="AC43" s="433">
        <f t="shared" si="12"/>
        <v>1276056.72</v>
      </c>
      <c r="AD43" s="434">
        <v>0.97960400000000003</v>
      </c>
      <c r="AE43" s="433">
        <f t="shared" si="13"/>
        <v>1250030.27</v>
      </c>
      <c r="AF43" s="433">
        <f t="shared" si="14"/>
        <v>1250</v>
      </c>
      <c r="AG43" s="432">
        <v>61.16</v>
      </c>
      <c r="AH43" s="432">
        <v>1982</v>
      </c>
      <c r="AI43" s="432">
        <v>1124</v>
      </c>
      <c r="AJ43" s="432">
        <f t="shared" si="15"/>
        <v>3106</v>
      </c>
      <c r="AK43" s="432">
        <v>25.2</v>
      </c>
      <c r="AL43" s="432">
        <v>1982</v>
      </c>
      <c r="AM43" s="432">
        <v>1124</v>
      </c>
      <c r="AN43" s="432">
        <f t="shared" si="16"/>
        <v>3106</v>
      </c>
      <c r="AO43" s="432">
        <v>12.61</v>
      </c>
      <c r="AP43" s="432">
        <f t="shared" si="17"/>
        <v>189962.96</v>
      </c>
      <c r="AQ43" s="432">
        <f t="shared" si="18"/>
        <v>78271.199999999997</v>
      </c>
      <c r="AR43" s="432">
        <f t="shared" si="19"/>
        <v>39166.660000000003</v>
      </c>
      <c r="AS43" s="432">
        <f t="shared" si="20"/>
        <v>307400.82</v>
      </c>
      <c r="AT43" s="432"/>
      <c r="AU43" s="433">
        <f t="shared" si="21"/>
        <v>307400.82</v>
      </c>
      <c r="AV43" s="434">
        <v>0.97960400000000003</v>
      </c>
      <c r="AW43" s="433">
        <f t="shared" si="22"/>
        <v>301131.07</v>
      </c>
      <c r="AX43" s="433">
        <f t="shared" si="23"/>
        <v>301.10000000000002</v>
      </c>
      <c r="AY43" s="433">
        <v>16.809999999999999</v>
      </c>
      <c r="AZ43" s="433">
        <v>854.75</v>
      </c>
      <c r="BA43" s="435">
        <v>12</v>
      </c>
      <c r="BB43" s="433">
        <f t="shared" si="24"/>
        <v>172420.17</v>
      </c>
      <c r="BC43" s="433"/>
      <c r="BD43" s="433">
        <f t="shared" si="25"/>
        <v>172420.17</v>
      </c>
      <c r="BE43" s="434">
        <v>0.97960400000000003</v>
      </c>
      <c r="BF43" s="433">
        <f t="shared" si="26"/>
        <v>168903.49</v>
      </c>
      <c r="BG43" s="433">
        <f t="shared" si="27"/>
        <v>168.9</v>
      </c>
      <c r="BH43" s="433">
        <f t="shared" si="28"/>
        <v>2935580.2</v>
      </c>
      <c r="BI43" s="433">
        <f t="shared" si="29"/>
        <v>0</v>
      </c>
      <c r="BJ43" s="433">
        <f t="shared" si="30"/>
        <v>0</v>
      </c>
      <c r="BK43" s="433">
        <f t="shared" si="31"/>
        <v>2935580.2</v>
      </c>
      <c r="BL43" s="436">
        <f t="shared" si="32"/>
        <v>2935.6</v>
      </c>
      <c r="BM43" s="437">
        <f t="shared" si="33"/>
        <v>2875706.11</v>
      </c>
      <c r="BN43" s="437">
        <f t="shared" si="34"/>
        <v>2875.6</v>
      </c>
      <c r="BO43" s="438">
        <f t="shared" si="35"/>
        <v>-60</v>
      </c>
      <c r="BP43" s="329">
        <v>2875.6</v>
      </c>
      <c r="BQ43" s="439">
        <f t="shared" si="36"/>
        <v>0</v>
      </c>
    </row>
    <row r="44" spans="1:69" s="329" customFormat="1" ht="15.75" hidden="1" x14ac:dyDescent="0.25">
      <c r="A44" s="431" t="s">
        <v>903</v>
      </c>
      <c r="B44" s="432">
        <v>3274.05</v>
      </c>
      <c r="C44" s="432">
        <v>185.91</v>
      </c>
      <c r="D44" s="432">
        <v>271.58999999999997</v>
      </c>
      <c r="E44" s="432">
        <f t="shared" si="0"/>
        <v>457.5</v>
      </c>
      <c r="F44" s="432">
        <f t="shared" si="1"/>
        <v>1497877.88</v>
      </c>
      <c r="G44" s="432">
        <v>0</v>
      </c>
      <c r="H44" s="433">
        <f t="shared" si="2"/>
        <v>1497877.88</v>
      </c>
      <c r="I44" s="434">
        <v>0.97960400000000003</v>
      </c>
      <c r="J44" s="433">
        <f t="shared" si="3"/>
        <v>1467327.16</v>
      </c>
      <c r="K44" s="433">
        <f t="shared" si="4"/>
        <v>1467.3</v>
      </c>
      <c r="L44" s="432">
        <v>0</v>
      </c>
      <c r="M44" s="432">
        <v>0</v>
      </c>
      <c r="N44" s="432">
        <v>0</v>
      </c>
      <c r="O44" s="432">
        <f t="shared" si="5"/>
        <v>0</v>
      </c>
      <c r="P44" s="432">
        <f t="shared" si="6"/>
        <v>0</v>
      </c>
      <c r="Q44" s="432">
        <v>0</v>
      </c>
      <c r="R44" s="433">
        <f t="shared" si="7"/>
        <v>0</v>
      </c>
      <c r="S44" s="434">
        <v>0.97960400000000003</v>
      </c>
      <c r="T44" s="433">
        <f t="shared" si="8"/>
        <v>0</v>
      </c>
      <c r="U44" s="433">
        <f t="shared" si="9"/>
        <v>0</v>
      </c>
      <c r="V44" s="432">
        <v>10.029999999999999</v>
      </c>
      <c r="W44" s="432">
        <v>38735</v>
      </c>
      <c r="X44" s="432">
        <v>38811</v>
      </c>
      <c r="Y44" s="432">
        <f t="shared" si="10"/>
        <v>77546</v>
      </c>
      <c r="Z44" s="432">
        <f t="shared" si="11"/>
        <v>777786.38</v>
      </c>
      <c r="AA44" s="432">
        <v>0</v>
      </c>
      <c r="AB44" s="432"/>
      <c r="AC44" s="433">
        <f t="shared" si="12"/>
        <v>777786.38</v>
      </c>
      <c r="AD44" s="434">
        <v>0.97960400000000003</v>
      </c>
      <c r="AE44" s="433">
        <f t="shared" si="13"/>
        <v>761922.65</v>
      </c>
      <c r="AF44" s="433">
        <f t="shared" si="14"/>
        <v>761.9</v>
      </c>
      <c r="AG44" s="432">
        <v>61.16</v>
      </c>
      <c r="AH44" s="432">
        <v>858</v>
      </c>
      <c r="AI44" s="432">
        <v>752</v>
      </c>
      <c r="AJ44" s="432">
        <f t="shared" si="15"/>
        <v>1610</v>
      </c>
      <c r="AK44" s="432">
        <v>25.2</v>
      </c>
      <c r="AL44" s="432">
        <v>858</v>
      </c>
      <c r="AM44" s="432">
        <v>752</v>
      </c>
      <c r="AN44" s="432">
        <f t="shared" si="16"/>
        <v>1610</v>
      </c>
      <c r="AO44" s="432">
        <v>12.61</v>
      </c>
      <c r="AP44" s="432">
        <f t="shared" si="17"/>
        <v>98467.6</v>
      </c>
      <c r="AQ44" s="432">
        <f t="shared" si="18"/>
        <v>40572</v>
      </c>
      <c r="AR44" s="432">
        <f t="shared" si="19"/>
        <v>20302.099999999999</v>
      </c>
      <c r="AS44" s="432">
        <f t="shared" si="20"/>
        <v>159341.70000000001</v>
      </c>
      <c r="AT44" s="432">
        <v>0</v>
      </c>
      <c r="AU44" s="433">
        <f t="shared" si="21"/>
        <v>159341.70000000001</v>
      </c>
      <c r="AV44" s="434">
        <v>0.97960400000000003</v>
      </c>
      <c r="AW44" s="433">
        <f t="shared" si="22"/>
        <v>156091.76999999999</v>
      </c>
      <c r="AX44" s="433">
        <f t="shared" si="23"/>
        <v>156.1</v>
      </c>
      <c r="AY44" s="433">
        <v>10.29</v>
      </c>
      <c r="AZ44" s="433">
        <v>854.75</v>
      </c>
      <c r="BA44" s="435">
        <v>12</v>
      </c>
      <c r="BB44" s="433">
        <f t="shared" si="24"/>
        <v>105544.53</v>
      </c>
      <c r="BC44" s="433">
        <v>0</v>
      </c>
      <c r="BD44" s="433">
        <f t="shared" si="25"/>
        <v>105544.53</v>
      </c>
      <c r="BE44" s="434">
        <v>0.97960400000000003</v>
      </c>
      <c r="BF44" s="433">
        <f t="shared" si="26"/>
        <v>103391.84</v>
      </c>
      <c r="BG44" s="433">
        <f t="shared" si="27"/>
        <v>103.4</v>
      </c>
      <c r="BH44" s="433">
        <f t="shared" si="28"/>
        <v>2540550.4900000002</v>
      </c>
      <c r="BI44" s="433">
        <f t="shared" si="29"/>
        <v>0</v>
      </c>
      <c r="BJ44" s="433">
        <f t="shared" si="30"/>
        <v>0</v>
      </c>
      <c r="BK44" s="433">
        <f t="shared" si="31"/>
        <v>2540550.4900000002</v>
      </c>
      <c r="BL44" s="436">
        <f t="shared" si="32"/>
        <v>2540.6</v>
      </c>
      <c r="BM44" s="437">
        <f t="shared" si="33"/>
        <v>2488733.42</v>
      </c>
      <c r="BN44" s="437">
        <f t="shared" si="34"/>
        <v>2488.6999999999998</v>
      </c>
      <c r="BO44" s="438">
        <f t="shared" si="35"/>
        <v>-51.9</v>
      </c>
      <c r="BP44" s="329">
        <v>2488.6999999999998</v>
      </c>
      <c r="BQ44" s="439">
        <f t="shared" si="36"/>
        <v>0</v>
      </c>
    </row>
    <row r="45" spans="1:69" s="329" customFormat="1" ht="15.75" hidden="1" x14ac:dyDescent="0.25">
      <c r="A45" s="431" t="s">
        <v>904</v>
      </c>
      <c r="B45" s="432">
        <v>2588.77</v>
      </c>
      <c r="C45" s="432">
        <v>234.82</v>
      </c>
      <c r="D45" s="432">
        <v>337.03</v>
      </c>
      <c r="E45" s="432">
        <f t="shared" si="0"/>
        <v>571.9</v>
      </c>
      <c r="F45" s="432">
        <f t="shared" si="1"/>
        <v>1480517.56</v>
      </c>
      <c r="G45" s="432">
        <v>0</v>
      </c>
      <c r="H45" s="433">
        <f t="shared" si="2"/>
        <v>1480517.56</v>
      </c>
      <c r="I45" s="434">
        <v>0.97960400000000003</v>
      </c>
      <c r="J45" s="433">
        <f t="shared" si="3"/>
        <v>1450320.92</v>
      </c>
      <c r="K45" s="433">
        <f t="shared" si="4"/>
        <v>1450.3</v>
      </c>
      <c r="L45" s="432"/>
      <c r="M45" s="432"/>
      <c r="N45" s="432"/>
      <c r="O45" s="432">
        <f t="shared" si="5"/>
        <v>0</v>
      </c>
      <c r="P45" s="432">
        <f t="shared" si="6"/>
        <v>0</v>
      </c>
      <c r="Q45" s="432"/>
      <c r="R45" s="433">
        <f t="shared" si="7"/>
        <v>0</v>
      </c>
      <c r="S45" s="434">
        <v>0.97960400000000003</v>
      </c>
      <c r="T45" s="433">
        <f t="shared" si="8"/>
        <v>0</v>
      </c>
      <c r="U45" s="433">
        <f t="shared" si="9"/>
        <v>0</v>
      </c>
      <c r="V45" s="432">
        <v>10.029999999999999</v>
      </c>
      <c r="W45" s="432">
        <v>26536</v>
      </c>
      <c r="X45" s="432">
        <v>24562</v>
      </c>
      <c r="Y45" s="432">
        <f t="shared" si="10"/>
        <v>51098</v>
      </c>
      <c r="Z45" s="432">
        <f t="shared" si="11"/>
        <v>512512.94</v>
      </c>
      <c r="AA45" s="432">
        <v>0</v>
      </c>
      <c r="AB45" s="432"/>
      <c r="AC45" s="433">
        <f t="shared" si="12"/>
        <v>512512.94</v>
      </c>
      <c r="AD45" s="434">
        <v>0.97960400000000003</v>
      </c>
      <c r="AE45" s="433">
        <f t="shared" si="13"/>
        <v>502059.73</v>
      </c>
      <c r="AF45" s="433">
        <f t="shared" si="14"/>
        <v>502.1</v>
      </c>
      <c r="AG45" s="432">
        <v>61.16</v>
      </c>
      <c r="AH45" s="432">
        <v>1240</v>
      </c>
      <c r="AI45" s="432">
        <v>1283</v>
      </c>
      <c r="AJ45" s="432">
        <f t="shared" si="15"/>
        <v>2523</v>
      </c>
      <c r="AK45" s="432">
        <v>25.2</v>
      </c>
      <c r="AL45" s="432">
        <v>1240</v>
      </c>
      <c r="AM45" s="432">
        <v>1283</v>
      </c>
      <c r="AN45" s="432">
        <f t="shared" si="16"/>
        <v>2523</v>
      </c>
      <c r="AO45" s="432">
        <v>12.61</v>
      </c>
      <c r="AP45" s="432">
        <f t="shared" si="17"/>
        <v>154306.68</v>
      </c>
      <c r="AQ45" s="432">
        <f t="shared" si="18"/>
        <v>63579.6</v>
      </c>
      <c r="AR45" s="432">
        <f t="shared" si="19"/>
        <v>31815.03</v>
      </c>
      <c r="AS45" s="432">
        <f t="shared" si="20"/>
        <v>249701.31</v>
      </c>
      <c r="AT45" s="432">
        <v>0</v>
      </c>
      <c r="AU45" s="433">
        <f t="shared" si="21"/>
        <v>249701.31</v>
      </c>
      <c r="AV45" s="434">
        <v>0.97960400000000003</v>
      </c>
      <c r="AW45" s="433">
        <f t="shared" si="22"/>
        <v>244608.4</v>
      </c>
      <c r="AX45" s="433">
        <f t="shared" si="23"/>
        <v>244.6</v>
      </c>
      <c r="AY45" s="433">
        <v>18.25</v>
      </c>
      <c r="AZ45" s="433">
        <v>854.75</v>
      </c>
      <c r="BA45" s="435">
        <v>12</v>
      </c>
      <c r="BB45" s="433">
        <f t="shared" si="24"/>
        <v>187190.25</v>
      </c>
      <c r="BC45" s="433">
        <v>0</v>
      </c>
      <c r="BD45" s="433">
        <f t="shared" si="25"/>
        <v>187190.25</v>
      </c>
      <c r="BE45" s="434">
        <v>0.97960400000000003</v>
      </c>
      <c r="BF45" s="433">
        <f t="shared" si="26"/>
        <v>183372.32</v>
      </c>
      <c r="BG45" s="433">
        <f t="shared" si="27"/>
        <v>183.4</v>
      </c>
      <c r="BH45" s="433">
        <f t="shared" si="28"/>
        <v>2429922.06</v>
      </c>
      <c r="BI45" s="433">
        <f t="shared" si="29"/>
        <v>0</v>
      </c>
      <c r="BJ45" s="433">
        <f t="shared" si="30"/>
        <v>0</v>
      </c>
      <c r="BK45" s="433">
        <f t="shared" si="31"/>
        <v>2429922.06</v>
      </c>
      <c r="BL45" s="436">
        <f t="shared" si="32"/>
        <v>2430</v>
      </c>
      <c r="BM45" s="437">
        <f t="shared" si="33"/>
        <v>2380361.37</v>
      </c>
      <c r="BN45" s="437">
        <f t="shared" si="34"/>
        <v>2380.4</v>
      </c>
      <c r="BO45" s="438">
        <f t="shared" si="35"/>
        <v>-49.6</v>
      </c>
      <c r="BP45" s="329">
        <v>2380.4</v>
      </c>
      <c r="BQ45" s="439">
        <f t="shared" si="36"/>
        <v>0</v>
      </c>
    </row>
    <row r="46" spans="1:69" s="329" customFormat="1" ht="15.75" hidden="1" x14ac:dyDescent="0.25">
      <c r="A46" s="431" t="s">
        <v>905</v>
      </c>
      <c r="B46" s="432">
        <v>3274.05</v>
      </c>
      <c r="C46" s="432">
        <v>161.69999999999999</v>
      </c>
      <c r="D46" s="432">
        <v>195.11</v>
      </c>
      <c r="E46" s="432">
        <f t="shared" si="0"/>
        <v>356.8</v>
      </c>
      <c r="F46" s="432">
        <f t="shared" si="1"/>
        <v>1168181.04</v>
      </c>
      <c r="G46" s="432"/>
      <c r="H46" s="433">
        <f t="shared" si="2"/>
        <v>1168181.04</v>
      </c>
      <c r="I46" s="434">
        <v>0.97960400000000003</v>
      </c>
      <c r="J46" s="433">
        <f t="shared" si="3"/>
        <v>1144354.82</v>
      </c>
      <c r="K46" s="433">
        <f t="shared" si="4"/>
        <v>1144.4000000000001</v>
      </c>
      <c r="L46" s="432"/>
      <c r="M46" s="432"/>
      <c r="N46" s="432"/>
      <c r="O46" s="432">
        <f t="shared" si="5"/>
        <v>0</v>
      </c>
      <c r="P46" s="432">
        <f t="shared" si="6"/>
        <v>0</v>
      </c>
      <c r="Q46" s="432"/>
      <c r="R46" s="433">
        <f t="shared" si="7"/>
        <v>0</v>
      </c>
      <c r="S46" s="434">
        <v>0.97960400000000003</v>
      </c>
      <c r="T46" s="433">
        <f t="shared" si="8"/>
        <v>0</v>
      </c>
      <c r="U46" s="433">
        <f t="shared" si="9"/>
        <v>0</v>
      </c>
      <c r="V46" s="432">
        <v>10.029999999999999</v>
      </c>
      <c r="W46" s="432">
        <v>21146</v>
      </c>
      <c r="X46" s="432">
        <v>19322</v>
      </c>
      <c r="Y46" s="432">
        <f t="shared" si="10"/>
        <v>40468</v>
      </c>
      <c r="Z46" s="432">
        <f t="shared" si="11"/>
        <v>405894.04</v>
      </c>
      <c r="AA46" s="432"/>
      <c r="AB46" s="432"/>
      <c r="AC46" s="433">
        <f t="shared" si="12"/>
        <v>405894.04</v>
      </c>
      <c r="AD46" s="434">
        <v>0.97960400000000003</v>
      </c>
      <c r="AE46" s="433">
        <f t="shared" si="13"/>
        <v>397615.43</v>
      </c>
      <c r="AF46" s="433">
        <f t="shared" si="14"/>
        <v>397.6</v>
      </c>
      <c r="AG46" s="432">
        <v>61.16</v>
      </c>
      <c r="AH46" s="432">
        <v>338</v>
      </c>
      <c r="AI46" s="432">
        <v>278</v>
      </c>
      <c r="AJ46" s="432">
        <f t="shared" si="15"/>
        <v>616</v>
      </c>
      <c r="AK46" s="432">
        <v>25.2</v>
      </c>
      <c r="AL46" s="432">
        <v>338</v>
      </c>
      <c r="AM46" s="432">
        <v>278</v>
      </c>
      <c r="AN46" s="432">
        <f t="shared" si="16"/>
        <v>616</v>
      </c>
      <c r="AO46" s="432">
        <v>12.61</v>
      </c>
      <c r="AP46" s="432">
        <f t="shared" si="17"/>
        <v>37674.559999999998</v>
      </c>
      <c r="AQ46" s="432">
        <f t="shared" si="18"/>
        <v>15523.2</v>
      </c>
      <c r="AR46" s="432">
        <f t="shared" si="19"/>
        <v>7767.76</v>
      </c>
      <c r="AS46" s="432">
        <f t="shared" si="20"/>
        <v>60965.52</v>
      </c>
      <c r="AT46" s="432"/>
      <c r="AU46" s="433">
        <f t="shared" si="21"/>
        <v>60965.52</v>
      </c>
      <c r="AV46" s="434">
        <v>0.97960400000000003</v>
      </c>
      <c r="AW46" s="433">
        <f t="shared" si="22"/>
        <v>59722.07</v>
      </c>
      <c r="AX46" s="433">
        <f t="shared" si="23"/>
        <v>59.7</v>
      </c>
      <c r="AY46" s="433">
        <v>8.8800000000000008</v>
      </c>
      <c r="AZ46" s="433">
        <v>854.75</v>
      </c>
      <c r="BA46" s="435">
        <v>12</v>
      </c>
      <c r="BB46" s="433">
        <f t="shared" si="24"/>
        <v>91082.16</v>
      </c>
      <c r="BC46" s="433"/>
      <c r="BD46" s="433">
        <f t="shared" si="25"/>
        <v>91082.16</v>
      </c>
      <c r="BE46" s="434">
        <v>0.97960400000000003</v>
      </c>
      <c r="BF46" s="433">
        <f t="shared" si="26"/>
        <v>89224.45</v>
      </c>
      <c r="BG46" s="433">
        <f t="shared" si="27"/>
        <v>89.2</v>
      </c>
      <c r="BH46" s="433">
        <f t="shared" si="28"/>
        <v>1726122.76</v>
      </c>
      <c r="BI46" s="433">
        <f t="shared" si="29"/>
        <v>0</v>
      </c>
      <c r="BJ46" s="433">
        <f t="shared" si="30"/>
        <v>0</v>
      </c>
      <c r="BK46" s="433">
        <f t="shared" si="31"/>
        <v>1726122.76</v>
      </c>
      <c r="BL46" s="436">
        <f t="shared" si="32"/>
        <v>1726.2</v>
      </c>
      <c r="BM46" s="437">
        <f t="shared" si="33"/>
        <v>1690916.77</v>
      </c>
      <c r="BN46" s="437">
        <f t="shared" si="34"/>
        <v>1690.9</v>
      </c>
      <c r="BO46" s="438">
        <f t="shared" si="35"/>
        <v>-35.299999999999997</v>
      </c>
      <c r="BP46" s="329">
        <v>1690.9</v>
      </c>
      <c r="BQ46" s="439">
        <f t="shared" si="36"/>
        <v>0</v>
      </c>
    </row>
    <row r="47" spans="1:69" s="329" customFormat="1" ht="31.5" hidden="1" x14ac:dyDescent="0.25">
      <c r="A47" s="431" t="s">
        <v>772</v>
      </c>
      <c r="B47" s="432">
        <v>2588.77</v>
      </c>
      <c r="C47" s="432">
        <v>105.09</v>
      </c>
      <c r="D47" s="432">
        <v>152.41</v>
      </c>
      <c r="E47" s="432">
        <f t="shared" si="0"/>
        <v>257.5</v>
      </c>
      <c r="F47" s="432">
        <f t="shared" si="1"/>
        <v>666608.28</v>
      </c>
      <c r="G47" s="432">
        <v>0</v>
      </c>
      <c r="H47" s="433">
        <f t="shared" si="2"/>
        <v>666608.28</v>
      </c>
      <c r="I47" s="434">
        <v>0.97960400000000003</v>
      </c>
      <c r="J47" s="433">
        <f t="shared" si="3"/>
        <v>653012.14</v>
      </c>
      <c r="K47" s="433">
        <f t="shared" si="4"/>
        <v>653</v>
      </c>
      <c r="L47" s="432">
        <v>0</v>
      </c>
      <c r="M47" s="432">
        <v>0</v>
      </c>
      <c r="N47" s="432">
        <v>0</v>
      </c>
      <c r="O47" s="432">
        <f t="shared" si="5"/>
        <v>0</v>
      </c>
      <c r="P47" s="432">
        <f t="shared" si="6"/>
        <v>0</v>
      </c>
      <c r="Q47" s="432">
        <v>0</v>
      </c>
      <c r="R47" s="433">
        <f t="shared" si="7"/>
        <v>0</v>
      </c>
      <c r="S47" s="434">
        <v>0.97960400000000003</v>
      </c>
      <c r="T47" s="433">
        <f t="shared" si="8"/>
        <v>0</v>
      </c>
      <c r="U47" s="433">
        <f t="shared" si="9"/>
        <v>0</v>
      </c>
      <c r="V47" s="432">
        <v>10.029999999999999</v>
      </c>
      <c r="W47" s="432">
        <v>24846</v>
      </c>
      <c r="X47" s="432">
        <v>22498</v>
      </c>
      <c r="Y47" s="432">
        <f t="shared" si="10"/>
        <v>47344</v>
      </c>
      <c r="Z47" s="432">
        <f t="shared" si="11"/>
        <v>474860.32</v>
      </c>
      <c r="AA47" s="432">
        <v>0</v>
      </c>
      <c r="AB47" s="432"/>
      <c r="AC47" s="433">
        <f t="shared" si="12"/>
        <v>474860.32</v>
      </c>
      <c r="AD47" s="434">
        <v>0.97960400000000003</v>
      </c>
      <c r="AE47" s="433">
        <f t="shared" si="13"/>
        <v>465175.07</v>
      </c>
      <c r="AF47" s="433">
        <f t="shared" si="14"/>
        <v>465.2</v>
      </c>
      <c r="AG47" s="432">
        <v>61.16</v>
      </c>
      <c r="AH47" s="432">
        <v>918</v>
      </c>
      <c r="AI47" s="432">
        <v>997</v>
      </c>
      <c r="AJ47" s="432">
        <f t="shared" si="15"/>
        <v>1915</v>
      </c>
      <c r="AK47" s="432">
        <v>25.2</v>
      </c>
      <c r="AL47" s="432">
        <v>918</v>
      </c>
      <c r="AM47" s="432">
        <v>997</v>
      </c>
      <c r="AN47" s="432">
        <f t="shared" si="16"/>
        <v>1915</v>
      </c>
      <c r="AO47" s="432">
        <v>12.61</v>
      </c>
      <c r="AP47" s="432">
        <f t="shared" si="17"/>
        <v>117121.4</v>
      </c>
      <c r="AQ47" s="432">
        <f t="shared" si="18"/>
        <v>48258</v>
      </c>
      <c r="AR47" s="432">
        <f t="shared" si="19"/>
        <v>24148.15</v>
      </c>
      <c r="AS47" s="432">
        <f t="shared" si="20"/>
        <v>189527.55</v>
      </c>
      <c r="AT47" s="432">
        <v>0</v>
      </c>
      <c r="AU47" s="433">
        <f t="shared" si="21"/>
        <v>189527.55</v>
      </c>
      <c r="AV47" s="434">
        <v>0.97960400000000003</v>
      </c>
      <c r="AW47" s="433">
        <f t="shared" si="22"/>
        <v>185661.95</v>
      </c>
      <c r="AX47" s="433">
        <f t="shared" si="23"/>
        <v>185.7</v>
      </c>
      <c r="AY47" s="433">
        <v>7</v>
      </c>
      <c r="AZ47" s="433">
        <v>854.75</v>
      </c>
      <c r="BA47" s="435">
        <v>12</v>
      </c>
      <c r="BB47" s="433">
        <f t="shared" si="24"/>
        <v>71799</v>
      </c>
      <c r="BC47" s="433">
        <v>0</v>
      </c>
      <c r="BD47" s="433">
        <f t="shared" si="25"/>
        <v>71799</v>
      </c>
      <c r="BE47" s="434">
        <v>0.97960400000000003</v>
      </c>
      <c r="BF47" s="433">
        <f t="shared" si="26"/>
        <v>70334.59</v>
      </c>
      <c r="BG47" s="433">
        <f t="shared" si="27"/>
        <v>70.3</v>
      </c>
      <c r="BH47" s="433">
        <f t="shared" si="28"/>
        <v>1402795.15</v>
      </c>
      <c r="BI47" s="433">
        <f t="shared" si="29"/>
        <v>0</v>
      </c>
      <c r="BJ47" s="433">
        <f t="shared" si="30"/>
        <v>0</v>
      </c>
      <c r="BK47" s="433">
        <f t="shared" si="31"/>
        <v>1402795.15</v>
      </c>
      <c r="BL47" s="436">
        <f t="shared" si="32"/>
        <v>1402.8</v>
      </c>
      <c r="BM47" s="437">
        <f t="shared" si="33"/>
        <v>1374183.75</v>
      </c>
      <c r="BN47" s="437">
        <f t="shared" si="34"/>
        <v>1374.2</v>
      </c>
      <c r="BO47" s="438">
        <f t="shared" si="35"/>
        <v>-28.6</v>
      </c>
      <c r="BP47" s="329">
        <v>1374.2</v>
      </c>
      <c r="BQ47" s="439">
        <f t="shared" si="36"/>
        <v>0</v>
      </c>
    </row>
    <row r="48" spans="1:69" s="329" customFormat="1" ht="15.75" hidden="1" x14ac:dyDescent="0.25">
      <c r="A48" s="431" t="s">
        <v>773</v>
      </c>
      <c r="B48" s="432">
        <v>3274.05</v>
      </c>
      <c r="C48" s="432">
        <v>290.60000000000002</v>
      </c>
      <c r="D48" s="432">
        <v>353.43</v>
      </c>
      <c r="E48" s="432">
        <f t="shared" si="0"/>
        <v>644</v>
      </c>
      <c r="F48" s="432">
        <f t="shared" si="1"/>
        <v>2108488.2000000002</v>
      </c>
      <c r="G48" s="432"/>
      <c r="H48" s="433">
        <f t="shared" si="2"/>
        <v>2108488.2000000002</v>
      </c>
      <c r="I48" s="434">
        <v>0.97960400000000003</v>
      </c>
      <c r="J48" s="433">
        <f t="shared" si="3"/>
        <v>2065483.47</v>
      </c>
      <c r="K48" s="433">
        <f t="shared" si="4"/>
        <v>2065.5</v>
      </c>
      <c r="L48" s="432"/>
      <c r="M48" s="432"/>
      <c r="N48" s="432"/>
      <c r="O48" s="432">
        <f t="shared" si="5"/>
        <v>0</v>
      </c>
      <c r="P48" s="432">
        <f t="shared" si="6"/>
        <v>0</v>
      </c>
      <c r="Q48" s="432"/>
      <c r="R48" s="433">
        <f t="shared" si="7"/>
        <v>0</v>
      </c>
      <c r="S48" s="434">
        <v>0.97960400000000003</v>
      </c>
      <c r="T48" s="433">
        <f t="shared" si="8"/>
        <v>0</v>
      </c>
      <c r="U48" s="433">
        <f t="shared" si="9"/>
        <v>0</v>
      </c>
      <c r="V48" s="432">
        <v>10.029999999999999</v>
      </c>
      <c r="W48" s="432">
        <v>32459</v>
      </c>
      <c r="X48" s="432">
        <v>30223</v>
      </c>
      <c r="Y48" s="432">
        <f t="shared" si="10"/>
        <v>62682</v>
      </c>
      <c r="Z48" s="432">
        <f t="shared" si="11"/>
        <v>628700.46</v>
      </c>
      <c r="AA48" s="432"/>
      <c r="AB48" s="432"/>
      <c r="AC48" s="433">
        <f t="shared" si="12"/>
        <v>628700.46</v>
      </c>
      <c r="AD48" s="434">
        <v>0.97960400000000003</v>
      </c>
      <c r="AE48" s="433">
        <f t="shared" si="13"/>
        <v>615877.49</v>
      </c>
      <c r="AF48" s="433">
        <f t="shared" si="14"/>
        <v>615.9</v>
      </c>
      <c r="AG48" s="432">
        <v>61.16</v>
      </c>
      <c r="AH48" s="432">
        <v>1847</v>
      </c>
      <c r="AI48" s="432">
        <v>1793</v>
      </c>
      <c r="AJ48" s="432">
        <f t="shared" si="15"/>
        <v>3640</v>
      </c>
      <c r="AK48" s="432">
        <v>25.2</v>
      </c>
      <c r="AL48" s="432">
        <v>1847</v>
      </c>
      <c r="AM48" s="432">
        <v>1793</v>
      </c>
      <c r="AN48" s="432">
        <f t="shared" si="16"/>
        <v>3640</v>
      </c>
      <c r="AO48" s="432">
        <v>12.61</v>
      </c>
      <c r="AP48" s="432">
        <f t="shared" si="17"/>
        <v>222622.4</v>
      </c>
      <c r="AQ48" s="432">
        <f t="shared" si="18"/>
        <v>91728</v>
      </c>
      <c r="AR48" s="432">
        <f t="shared" si="19"/>
        <v>45900.4</v>
      </c>
      <c r="AS48" s="432">
        <f t="shared" si="20"/>
        <v>360250.8</v>
      </c>
      <c r="AT48" s="432"/>
      <c r="AU48" s="433">
        <f t="shared" si="21"/>
        <v>360250.8</v>
      </c>
      <c r="AV48" s="434">
        <v>0.97960400000000003</v>
      </c>
      <c r="AW48" s="433">
        <f t="shared" si="22"/>
        <v>352903.12</v>
      </c>
      <c r="AX48" s="433">
        <f t="shared" si="23"/>
        <v>352.9</v>
      </c>
      <c r="AY48" s="433">
        <v>9.25</v>
      </c>
      <c r="AZ48" s="433">
        <v>854.75</v>
      </c>
      <c r="BA48" s="435">
        <v>12</v>
      </c>
      <c r="BB48" s="433">
        <f t="shared" si="24"/>
        <v>94877.25</v>
      </c>
      <c r="BC48" s="433"/>
      <c r="BD48" s="433">
        <f t="shared" si="25"/>
        <v>94877.25</v>
      </c>
      <c r="BE48" s="434">
        <v>0.97960400000000003</v>
      </c>
      <c r="BF48" s="433">
        <f t="shared" si="26"/>
        <v>92942.13</v>
      </c>
      <c r="BG48" s="433">
        <f t="shared" si="27"/>
        <v>92.9</v>
      </c>
      <c r="BH48" s="433">
        <f t="shared" si="28"/>
        <v>3192316.71</v>
      </c>
      <c r="BI48" s="433">
        <f t="shared" si="29"/>
        <v>0</v>
      </c>
      <c r="BJ48" s="433">
        <f t="shared" si="30"/>
        <v>0</v>
      </c>
      <c r="BK48" s="433">
        <f t="shared" si="31"/>
        <v>3192316.71</v>
      </c>
      <c r="BL48" s="436">
        <f t="shared" si="32"/>
        <v>3192.4</v>
      </c>
      <c r="BM48" s="437">
        <f t="shared" si="33"/>
        <v>3127206.21</v>
      </c>
      <c r="BN48" s="437">
        <f t="shared" si="34"/>
        <v>3127.2</v>
      </c>
      <c r="BO48" s="438">
        <f t="shared" si="35"/>
        <v>-65.2</v>
      </c>
      <c r="BP48" s="329">
        <v>3127.2</v>
      </c>
      <c r="BQ48" s="439">
        <f t="shared" si="36"/>
        <v>0</v>
      </c>
    </row>
    <row r="49" spans="1:69" s="329" customFormat="1" ht="15.75" hidden="1" x14ac:dyDescent="0.25">
      <c r="A49" s="431" t="s">
        <v>774</v>
      </c>
      <c r="B49" s="432">
        <v>2588.77</v>
      </c>
      <c r="C49" s="432">
        <v>63.62</v>
      </c>
      <c r="D49" s="432">
        <v>102.33</v>
      </c>
      <c r="E49" s="432">
        <f t="shared" si="0"/>
        <v>166</v>
      </c>
      <c r="F49" s="432">
        <f t="shared" si="1"/>
        <v>429735.82</v>
      </c>
      <c r="G49" s="432"/>
      <c r="H49" s="433">
        <f t="shared" si="2"/>
        <v>429735.82</v>
      </c>
      <c r="I49" s="434">
        <v>0.97960400000000003</v>
      </c>
      <c r="J49" s="433">
        <f t="shared" si="3"/>
        <v>420970.93</v>
      </c>
      <c r="K49" s="433">
        <f t="shared" si="4"/>
        <v>421</v>
      </c>
      <c r="L49" s="432">
        <v>0</v>
      </c>
      <c r="M49" s="432">
        <v>0</v>
      </c>
      <c r="N49" s="432">
        <v>0</v>
      </c>
      <c r="O49" s="432">
        <f t="shared" si="5"/>
        <v>0</v>
      </c>
      <c r="P49" s="432">
        <f t="shared" si="6"/>
        <v>0</v>
      </c>
      <c r="Q49" s="432"/>
      <c r="R49" s="433">
        <f t="shared" si="7"/>
        <v>0</v>
      </c>
      <c r="S49" s="434">
        <v>0.97960400000000003</v>
      </c>
      <c r="T49" s="433">
        <f t="shared" si="8"/>
        <v>0</v>
      </c>
      <c r="U49" s="433">
        <f t="shared" si="9"/>
        <v>0</v>
      </c>
      <c r="V49" s="432">
        <v>10.029999999999999</v>
      </c>
      <c r="W49" s="432">
        <v>19500</v>
      </c>
      <c r="X49" s="432">
        <v>17866</v>
      </c>
      <c r="Y49" s="432">
        <f t="shared" si="10"/>
        <v>37366</v>
      </c>
      <c r="Z49" s="432">
        <f t="shared" si="11"/>
        <v>374780.98</v>
      </c>
      <c r="AA49" s="432">
        <v>0</v>
      </c>
      <c r="AB49" s="432"/>
      <c r="AC49" s="433">
        <f t="shared" si="12"/>
        <v>374780.98</v>
      </c>
      <c r="AD49" s="434">
        <v>0.97960400000000003</v>
      </c>
      <c r="AE49" s="433">
        <f t="shared" si="13"/>
        <v>367136.95</v>
      </c>
      <c r="AF49" s="433">
        <f t="shared" si="14"/>
        <v>367.1</v>
      </c>
      <c r="AG49" s="432">
        <v>61.16</v>
      </c>
      <c r="AH49" s="432">
        <v>547</v>
      </c>
      <c r="AI49" s="432">
        <v>569</v>
      </c>
      <c r="AJ49" s="432">
        <f t="shared" si="15"/>
        <v>1116</v>
      </c>
      <c r="AK49" s="432">
        <v>25.2</v>
      </c>
      <c r="AL49" s="432">
        <v>547</v>
      </c>
      <c r="AM49" s="432">
        <v>569</v>
      </c>
      <c r="AN49" s="432">
        <f t="shared" si="16"/>
        <v>1116</v>
      </c>
      <c r="AO49" s="432">
        <v>12.61</v>
      </c>
      <c r="AP49" s="432">
        <f t="shared" si="17"/>
        <v>68254.559999999998</v>
      </c>
      <c r="AQ49" s="432">
        <f t="shared" si="18"/>
        <v>28123.200000000001</v>
      </c>
      <c r="AR49" s="432">
        <f t="shared" si="19"/>
        <v>14072.76</v>
      </c>
      <c r="AS49" s="432">
        <f t="shared" si="20"/>
        <v>110450.52</v>
      </c>
      <c r="AT49" s="432">
        <v>0</v>
      </c>
      <c r="AU49" s="433">
        <f t="shared" si="21"/>
        <v>110450.52</v>
      </c>
      <c r="AV49" s="434">
        <v>0.97960400000000003</v>
      </c>
      <c r="AW49" s="433">
        <f t="shared" si="22"/>
        <v>108197.77</v>
      </c>
      <c r="AX49" s="433">
        <f t="shared" si="23"/>
        <v>108.2</v>
      </c>
      <c r="AY49" s="433">
        <v>8.6</v>
      </c>
      <c r="AZ49" s="433">
        <v>854.75</v>
      </c>
      <c r="BA49" s="435">
        <v>12</v>
      </c>
      <c r="BB49" s="433">
        <f t="shared" si="24"/>
        <v>88210.2</v>
      </c>
      <c r="BC49" s="433"/>
      <c r="BD49" s="433">
        <f t="shared" si="25"/>
        <v>88210.2</v>
      </c>
      <c r="BE49" s="434">
        <v>0.97960400000000003</v>
      </c>
      <c r="BF49" s="433">
        <f t="shared" si="26"/>
        <v>86411.06</v>
      </c>
      <c r="BG49" s="433">
        <f t="shared" si="27"/>
        <v>86.4</v>
      </c>
      <c r="BH49" s="433">
        <f t="shared" si="28"/>
        <v>1003177.52</v>
      </c>
      <c r="BI49" s="433">
        <f t="shared" si="29"/>
        <v>0</v>
      </c>
      <c r="BJ49" s="433">
        <f t="shared" si="30"/>
        <v>0</v>
      </c>
      <c r="BK49" s="433">
        <f t="shared" si="31"/>
        <v>1003177.52</v>
      </c>
      <c r="BL49" s="436">
        <f t="shared" si="32"/>
        <v>1003.2</v>
      </c>
      <c r="BM49" s="437">
        <f t="shared" si="33"/>
        <v>982716.71</v>
      </c>
      <c r="BN49" s="437">
        <f t="shared" si="34"/>
        <v>982.7</v>
      </c>
      <c r="BO49" s="438">
        <f t="shared" si="35"/>
        <v>-20.5</v>
      </c>
      <c r="BP49" s="329">
        <v>982.7</v>
      </c>
      <c r="BQ49" s="439">
        <f t="shared" si="36"/>
        <v>0</v>
      </c>
    </row>
    <row r="50" spans="1:69" s="329" customFormat="1" ht="31.5" hidden="1" x14ac:dyDescent="0.25">
      <c r="A50" s="431" t="s">
        <v>906</v>
      </c>
      <c r="B50" s="432">
        <v>3274.05</v>
      </c>
      <c r="C50" s="432">
        <v>96.96</v>
      </c>
      <c r="D50" s="432">
        <v>135.94999999999999</v>
      </c>
      <c r="E50" s="432">
        <f t="shared" si="0"/>
        <v>232.9</v>
      </c>
      <c r="F50" s="432">
        <f t="shared" si="1"/>
        <v>762526.25</v>
      </c>
      <c r="G50" s="432"/>
      <c r="H50" s="433">
        <f t="shared" si="2"/>
        <v>762526.25</v>
      </c>
      <c r="I50" s="434">
        <v>0.97960400000000003</v>
      </c>
      <c r="J50" s="433">
        <f t="shared" si="3"/>
        <v>746973.76</v>
      </c>
      <c r="K50" s="433">
        <f t="shared" si="4"/>
        <v>747</v>
      </c>
      <c r="L50" s="432"/>
      <c r="M50" s="432"/>
      <c r="N50" s="432"/>
      <c r="O50" s="432">
        <f t="shared" si="5"/>
        <v>0</v>
      </c>
      <c r="P50" s="432">
        <f t="shared" si="6"/>
        <v>0</v>
      </c>
      <c r="Q50" s="432"/>
      <c r="R50" s="433">
        <f t="shared" si="7"/>
        <v>0</v>
      </c>
      <c r="S50" s="434">
        <v>0.97960400000000003</v>
      </c>
      <c r="T50" s="433">
        <f t="shared" si="8"/>
        <v>0</v>
      </c>
      <c r="U50" s="433">
        <f t="shared" si="9"/>
        <v>0</v>
      </c>
      <c r="V50" s="432">
        <v>10.029999999999999</v>
      </c>
      <c r="W50" s="432">
        <v>28584</v>
      </c>
      <c r="X50" s="432">
        <v>27361</v>
      </c>
      <c r="Y50" s="432">
        <f t="shared" si="10"/>
        <v>55945</v>
      </c>
      <c r="Z50" s="432">
        <f t="shared" si="11"/>
        <v>561128.35</v>
      </c>
      <c r="AA50" s="432"/>
      <c r="AB50" s="432"/>
      <c r="AC50" s="433">
        <f t="shared" si="12"/>
        <v>561128.35</v>
      </c>
      <c r="AD50" s="434">
        <v>0.97960400000000003</v>
      </c>
      <c r="AE50" s="433">
        <f t="shared" si="13"/>
        <v>549683.57999999996</v>
      </c>
      <c r="AF50" s="433">
        <f t="shared" si="14"/>
        <v>549.70000000000005</v>
      </c>
      <c r="AG50" s="432">
        <v>61.16</v>
      </c>
      <c r="AH50" s="432">
        <v>1117</v>
      </c>
      <c r="AI50" s="432">
        <v>456</v>
      </c>
      <c r="AJ50" s="432">
        <f t="shared" si="15"/>
        <v>1573</v>
      </c>
      <c r="AK50" s="432">
        <v>25.2</v>
      </c>
      <c r="AL50" s="432">
        <v>1117</v>
      </c>
      <c r="AM50" s="432">
        <v>456</v>
      </c>
      <c r="AN50" s="432">
        <f t="shared" si="16"/>
        <v>1573</v>
      </c>
      <c r="AO50" s="432">
        <v>12.61</v>
      </c>
      <c r="AP50" s="432">
        <f t="shared" si="17"/>
        <v>96204.68</v>
      </c>
      <c r="AQ50" s="432">
        <f t="shared" si="18"/>
        <v>39639.599999999999</v>
      </c>
      <c r="AR50" s="432">
        <f t="shared" si="19"/>
        <v>19835.53</v>
      </c>
      <c r="AS50" s="432">
        <f t="shared" si="20"/>
        <v>155679.81</v>
      </c>
      <c r="AT50" s="432"/>
      <c r="AU50" s="433">
        <f t="shared" si="21"/>
        <v>155679.81</v>
      </c>
      <c r="AV50" s="434">
        <v>0.97960400000000003</v>
      </c>
      <c r="AW50" s="433">
        <f t="shared" si="22"/>
        <v>152504.56</v>
      </c>
      <c r="AX50" s="433">
        <f t="shared" si="23"/>
        <v>152.5</v>
      </c>
      <c r="AY50" s="433">
        <v>12.88</v>
      </c>
      <c r="AZ50" s="433">
        <v>854.75</v>
      </c>
      <c r="BA50" s="435">
        <v>12</v>
      </c>
      <c r="BB50" s="433">
        <f t="shared" si="24"/>
        <v>132110.16</v>
      </c>
      <c r="BC50" s="433"/>
      <c r="BD50" s="433">
        <f t="shared" si="25"/>
        <v>132110.16</v>
      </c>
      <c r="BE50" s="434">
        <v>0.97960400000000003</v>
      </c>
      <c r="BF50" s="433">
        <f t="shared" si="26"/>
        <v>129415.64</v>
      </c>
      <c r="BG50" s="433">
        <f t="shared" si="27"/>
        <v>129.4</v>
      </c>
      <c r="BH50" s="433">
        <f t="shared" si="28"/>
        <v>1611444.57</v>
      </c>
      <c r="BI50" s="433">
        <f t="shared" si="29"/>
        <v>0</v>
      </c>
      <c r="BJ50" s="433">
        <f t="shared" si="30"/>
        <v>0</v>
      </c>
      <c r="BK50" s="433">
        <f t="shared" si="31"/>
        <v>1611444.57</v>
      </c>
      <c r="BL50" s="436">
        <f t="shared" si="32"/>
        <v>1611.5</v>
      </c>
      <c r="BM50" s="437">
        <f t="shared" si="33"/>
        <v>1578577.54</v>
      </c>
      <c r="BN50" s="437">
        <f t="shared" si="34"/>
        <v>1578.6</v>
      </c>
      <c r="BO50" s="438">
        <f t="shared" si="35"/>
        <v>-32.9</v>
      </c>
      <c r="BP50" s="329">
        <v>1578.6</v>
      </c>
      <c r="BQ50" s="439">
        <f t="shared" si="36"/>
        <v>0</v>
      </c>
    </row>
    <row r="51" spans="1:69" s="329" customFormat="1" ht="31.5" hidden="1" x14ac:dyDescent="0.25">
      <c r="A51" s="431" t="s">
        <v>776</v>
      </c>
      <c r="B51" s="432">
        <v>3274.05</v>
      </c>
      <c r="C51" s="432">
        <v>319.48</v>
      </c>
      <c r="D51" s="432">
        <v>499.97</v>
      </c>
      <c r="E51" s="432">
        <f t="shared" si="0"/>
        <v>819.5</v>
      </c>
      <c r="F51" s="432">
        <f t="shared" si="1"/>
        <v>2683083.98</v>
      </c>
      <c r="G51" s="432"/>
      <c r="H51" s="433">
        <f t="shared" si="2"/>
        <v>2683083.98</v>
      </c>
      <c r="I51" s="434">
        <v>0.97960400000000003</v>
      </c>
      <c r="J51" s="433">
        <f t="shared" si="3"/>
        <v>2628359.7999999998</v>
      </c>
      <c r="K51" s="433">
        <f t="shared" si="4"/>
        <v>2628.4</v>
      </c>
      <c r="L51" s="432"/>
      <c r="M51" s="432"/>
      <c r="N51" s="432"/>
      <c r="O51" s="432">
        <f t="shared" si="5"/>
        <v>0</v>
      </c>
      <c r="P51" s="432">
        <f t="shared" si="6"/>
        <v>0</v>
      </c>
      <c r="Q51" s="432"/>
      <c r="R51" s="433">
        <f t="shared" si="7"/>
        <v>0</v>
      </c>
      <c r="S51" s="434">
        <v>0.97960400000000003</v>
      </c>
      <c r="T51" s="433">
        <f t="shared" si="8"/>
        <v>0</v>
      </c>
      <c r="U51" s="433">
        <f t="shared" si="9"/>
        <v>0</v>
      </c>
      <c r="V51" s="432">
        <v>10.029999999999999</v>
      </c>
      <c r="W51" s="432">
        <v>56446</v>
      </c>
      <c r="X51" s="432">
        <v>50955</v>
      </c>
      <c r="Y51" s="432">
        <f t="shared" si="10"/>
        <v>107401</v>
      </c>
      <c r="Z51" s="432">
        <f t="shared" si="11"/>
        <v>1077232.03</v>
      </c>
      <c r="AA51" s="432"/>
      <c r="AB51" s="432"/>
      <c r="AC51" s="433">
        <f t="shared" si="12"/>
        <v>1077232.03</v>
      </c>
      <c r="AD51" s="434">
        <v>0.97960400000000003</v>
      </c>
      <c r="AE51" s="433">
        <f t="shared" si="13"/>
        <v>1055260.81</v>
      </c>
      <c r="AF51" s="433">
        <f t="shared" si="14"/>
        <v>1055.3</v>
      </c>
      <c r="AG51" s="432">
        <v>61.16</v>
      </c>
      <c r="AH51" s="432">
        <v>2178</v>
      </c>
      <c r="AI51" s="432">
        <v>1776</v>
      </c>
      <c r="AJ51" s="432">
        <f t="shared" si="15"/>
        <v>3954</v>
      </c>
      <c r="AK51" s="432">
        <v>25.2</v>
      </c>
      <c r="AL51" s="432">
        <v>2178</v>
      </c>
      <c r="AM51" s="432">
        <v>1776</v>
      </c>
      <c r="AN51" s="432">
        <f t="shared" si="16"/>
        <v>3954</v>
      </c>
      <c r="AO51" s="432">
        <v>12.61</v>
      </c>
      <c r="AP51" s="432">
        <f t="shared" si="17"/>
        <v>241826.64</v>
      </c>
      <c r="AQ51" s="432">
        <f t="shared" si="18"/>
        <v>99640.8</v>
      </c>
      <c r="AR51" s="432">
        <f t="shared" si="19"/>
        <v>49859.94</v>
      </c>
      <c r="AS51" s="432">
        <f t="shared" si="20"/>
        <v>391327.38</v>
      </c>
      <c r="AT51" s="432"/>
      <c r="AU51" s="433">
        <f t="shared" si="21"/>
        <v>391327.38</v>
      </c>
      <c r="AV51" s="434">
        <v>0.97960400000000003</v>
      </c>
      <c r="AW51" s="433">
        <f t="shared" si="22"/>
        <v>383345.87</v>
      </c>
      <c r="AX51" s="433">
        <f t="shared" si="23"/>
        <v>383.3</v>
      </c>
      <c r="AY51" s="433">
        <v>19.21</v>
      </c>
      <c r="AZ51" s="433">
        <v>854.75</v>
      </c>
      <c r="BA51" s="435">
        <v>12</v>
      </c>
      <c r="BB51" s="433">
        <f t="shared" si="24"/>
        <v>197036.97</v>
      </c>
      <c r="BC51" s="433"/>
      <c r="BD51" s="433">
        <f t="shared" si="25"/>
        <v>197036.97</v>
      </c>
      <c r="BE51" s="434">
        <v>0.97960400000000003</v>
      </c>
      <c r="BF51" s="433">
        <f t="shared" si="26"/>
        <v>193018.2</v>
      </c>
      <c r="BG51" s="433">
        <f t="shared" si="27"/>
        <v>193</v>
      </c>
      <c r="BH51" s="433">
        <f t="shared" si="28"/>
        <v>4348680.3600000003</v>
      </c>
      <c r="BI51" s="433">
        <f t="shared" si="29"/>
        <v>0</v>
      </c>
      <c r="BJ51" s="433">
        <f t="shared" si="30"/>
        <v>0</v>
      </c>
      <c r="BK51" s="433">
        <f t="shared" si="31"/>
        <v>4348680.3600000003</v>
      </c>
      <c r="BL51" s="436">
        <f t="shared" si="32"/>
        <v>4348.7</v>
      </c>
      <c r="BM51" s="437">
        <f t="shared" si="33"/>
        <v>4259984.68</v>
      </c>
      <c r="BN51" s="437">
        <f t="shared" si="34"/>
        <v>4260</v>
      </c>
      <c r="BO51" s="438">
        <f t="shared" si="35"/>
        <v>-88.7</v>
      </c>
      <c r="BP51" s="329">
        <v>4260</v>
      </c>
      <c r="BQ51" s="439">
        <f t="shared" si="36"/>
        <v>0</v>
      </c>
    </row>
    <row r="52" spans="1:69" s="329" customFormat="1" ht="15.75" hidden="1" x14ac:dyDescent="0.25">
      <c r="A52" s="431" t="s">
        <v>777</v>
      </c>
      <c r="B52" s="432">
        <v>3274.05</v>
      </c>
      <c r="C52" s="432">
        <v>131.52000000000001</v>
      </c>
      <c r="D52" s="432">
        <v>169.53</v>
      </c>
      <c r="E52" s="432">
        <f t="shared" si="0"/>
        <v>301.10000000000002</v>
      </c>
      <c r="F52" s="432">
        <f t="shared" si="1"/>
        <v>985816.46</v>
      </c>
      <c r="G52" s="432"/>
      <c r="H52" s="433">
        <f t="shared" si="2"/>
        <v>985816.46</v>
      </c>
      <c r="I52" s="434">
        <v>0.97960400000000003</v>
      </c>
      <c r="J52" s="433">
        <f t="shared" si="3"/>
        <v>965709.75</v>
      </c>
      <c r="K52" s="433">
        <f t="shared" si="4"/>
        <v>965.7</v>
      </c>
      <c r="L52" s="432"/>
      <c r="M52" s="432"/>
      <c r="N52" s="432"/>
      <c r="O52" s="432">
        <f t="shared" si="5"/>
        <v>0</v>
      </c>
      <c r="P52" s="432">
        <f t="shared" si="6"/>
        <v>0</v>
      </c>
      <c r="Q52" s="432"/>
      <c r="R52" s="433">
        <f t="shared" si="7"/>
        <v>0</v>
      </c>
      <c r="S52" s="434">
        <v>0.97960400000000003</v>
      </c>
      <c r="T52" s="433">
        <f t="shared" si="8"/>
        <v>0</v>
      </c>
      <c r="U52" s="433">
        <f t="shared" si="9"/>
        <v>0</v>
      </c>
      <c r="V52" s="432">
        <v>10.029999999999999</v>
      </c>
      <c r="W52" s="432">
        <v>15640</v>
      </c>
      <c r="X52" s="432">
        <v>15112</v>
      </c>
      <c r="Y52" s="432">
        <f t="shared" si="10"/>
        <v>30752</v>
      </c>
      <c r="Z52" s="432">
        <f t="shared" si="11"/>
        <v>308442.56</v>
      </c>
      <c r="AA52" s="432"/>
      <c r="AB52" s="432"/>
      <c r="AC52" s="433">
        <f t="shared" si="12"/>
        <v>308442.56</v>
      </c>
      <c r="AD52" s="434">
        <v>0.97960400000000003</v>
      </c>
      <c r="AE52" s="433">
        <f t="shared" si="13"/>
        <v>302151.57</v>
      </c>
      <c r="AF52" s="433">
        <f t="shared" si="14"/>
        <v>302.2</v>
      </c>
      <c r="AG52" s="432">
        <v>61.16</v>
      </c>
      <c r="AH52" s="432">
        <v>604</v>
      </c>
      <c r="AI52" s="432">
        <v>554</v>
      </c>
      <c r="AJ52" s="432">
        <f t="shared" si="15"/>
        <v>1158</v>
      </c>
      <c r="AK52" s="432">
        <v>25.2</v>
      </c>
      <c r="AL52" s="432">
        <v>604</v>
      </c>
      <c r="AM52" s="432">
        <v>554</v>
      </c>
      <c r="AN52" s="432">
        <f t="shared" si="16"/>
        <v>1158</v>
      </c>
      <c r="AO52" s="432">
        <v>12.61</v>
      </c>
      <c r="AP52" s="432">
        <f t="shared" si="17"/>
        <v>70823.28</v>
      </c>
      <c r="AQ52" s="432">
        <f t="shared" si="18"/>
        <v>29181.599999999999</v>
      </c>
      <c r="AR52" s="432">
        <f t="shared" si="19"/>
        <v>14602.38</v>
      </c>
      <c r="AS52" s="432">
        <f t="shared" si="20"/>
        <v>114607.26</v>
      </c>
      <c r="AT52" s="432"/>
      <c r="AU52" s="433">
        <f t="shared" si="21"/>
        <v>114607.26</v>
      </c>
      <c r="AV52" s="434">
        <v>0.97960400000000003</v>
      </c>
      <c r="AW52" s="433">
        <f t="shared" si="22"/>
        <v>112269.73</v>
      </c>
      <c r="AX52" s="433">
        <f t="shared" si="23"/>
        <v>112.3</v>
      </c>
      <c r="AY52" s="433">
        <v>6.25</v>
      </c>
      <c r="AZ52" s="433">
        <v>854.75</v>
      </c>
      <c r="BA52" s="435">
        <v>12</v>
      </c>
      <c r="BB52" s="433">
        <f t="shared" si="24"/>
        <v>64106.25</v>
      </c>
      <c r="BC52" s="433"/>
      <c r="BD52" s="433">
        <f t="shared" si="25"/>
        <v>64106.25</v>
      </c>
      <c r="BE52" s="434">
        <v>0.97960400000000003</v>
      </c>
      <c r="BF52" s="433">
        <f t="shared" si="26"/>
        <v>62798.74</v>
      </c>
      <c r="BG52" s="433">
        <f t="shared" si="27"/>
        <v>62.8</v>
      </c>
      <c r="BH52" s="433">
        <f t="shared" si="28"/>
        <v>1472972.53</v>
      </c>
      <c r="BI52" s="433">
        <f t="shared" si="29"/>
        <v>0</v>
      </c>
      <c r="BJ52" s="433">
        <f t="shared" si="30"/>
        <v>0</v>
      </c>
      <c r="BK52" s="433">
        <f t="shared" si="31"/>
        <v>1472972.53</v>
      </c>
      <c r="BL52" s="436">
        <f t="shared" si="32"/>
        <v>1473</v>
      </c>
      <c r="BM52" s="437">
        <f t="shared" si="33"/>
        <v>1442929.79</v>
      </c>
      <c r="BN52" s="437">
        <f t="shared" si="34"/>
        <v>1443</v>
      </c>
      <c r="BO52" s="438">
        <f t="shared" si="35"/>
        <v>-30</v>
      </c>
      <c r="BP52" s="329">
        <v>1443</v>
      </c>
      <c r="BQ52" s="439">
        <f t="shared" si="36"/>
        <v>0</v>
      </c>
    </row>
    <row r="53" spans="1:69" s="329" customFormat="1" ht="15.75" hidden="1" x14ac:dyDescent="0.25">
      <c r="A53" s="431" t="s">
        <v>907</v>
      </c>
      <c r="B53" s="432">
        <v>2588.77</v>
      </c>
      <c r="C53" s="432">
        <v>71.09</v>
      </c>
      <c r="D53" s="432">
        <v>107.52</v>
      </c>
      <c r="E53" s="432">
        <f t="shared" si="0"/>
        <v>178.6</v>
      </c>
      <c r="F53" s="432">
        <f t="shared" si="1"/>
        <v>462354.32</v>
      </c>
      <c r="G53" s="432"/>
      <c r="H53" s="433">
        <f t="shared" si="2"/>
        <v>462354.32</v>
      </c>
      <c r="I53" s="434">
        <v>0.97960400000000003</v>
      </c>
      <c r="J53" s="433">
        <f t="shared" si="3"/>
        <v>452924.14</v>
      </c>
      <c r="K53" s="433">
        <f t="shared" si="4"/>
        <v>452.9</v>
      </c>
      <c r="L53" s="432"/>
      <c r="M53" s="432"/>
      <c r="N53" s="432"/>
      <c r="O53" s="432">
        <f t="shared" si="5"/>
        <v>0</v>
      </c>
      <c r="P53" s="432">
        <f t="shared" si="6"/>
        <v>0</v>
      </c>
      <c r="Q53" s="432"/>
      <c r="R53" s="433">
        <f t="shared" si="7"/>
        <v>0</v>
      </c>
      <c r="S53" s="434">
        <v>0.97960400000000003</v>
      </c>
      <c r="T53" s="433">
        <f t="shared" si="8"/>
        <v>0</v>
      </c>
      <c r="U53" s="433">
        <f t="shared" si="9"/>
        <v>0</v>
      </c>
      <c r="V53" s="432">
        <v>10.029999999999999</v>
      </c>
      <c r="W53" s="432">
        <v>25534</v>
      </c>
      <c r="X53" s="432">
        <v>24111</v>
      </c>
      <c r="Y53" s="432">
        <f t="shared" si="10"/>
        <v>49645</v>
      </c>
      <c r="Z53" s="432">
        <f t="shared" si="11"/>
        <v>497939.35</v>
      </c>
      <c r="AA53" s="432"/>
      <c r="AB53" s="432"/>
      <c r="AC53" s="433">
        <f t="shared" si="12"/>
        <v>497939.35</v>
      </c>
      <c r="AD53" s="434">
        <v>0.97960400000000003</v>
      </c>
      <c r="AE53" s="433">
        <f t="shared" si="13"/>
        <v>487783.38</v>
      </c>
      <c r="AF53" s="433">
        <f t="shared" si="14"/>
        <v>487.8</v>
      </c>
      <c r="AG53" s="432">
        <v>61.16</v>
      </c>
      <c r="AH53" s="432">
        <v>622</v>
      </c>
      <c r="AI53" s="432">
        <v>578</v>
      </c>
      <c r="AJ53" s="432">
        <f t="shared" si="15"/>
        <v>1200</v>
      </c>
      <c r="AK53" s="432">
        <v>25.2</v>
      </c>
      <c r="AL53" s="432">
        <v>622</v>
      </c>
      <c r="AM53" s="432">
        <v>578</v>
      </c>
      <c r="AN53" s="432">
        <f t="shared" si="16"/>
        <v>1200</v>
      </c>
      <c r="AO53" s="432">
        <v>12.61</v>
      </c>
      <c r="AP53" s="432">
        <f t="shared" si="17"/>
        <v>73392</v>
      </c>
      <c r="AQ53" s="432">
        <f t="shared" si="18"/>
        <v>30240</v>
      </c>
      <c r="AR53" s="432">
        <f t="shared" si="19"/>
        <v>15132</v>
      </c>
      <c r="AS53" s="432">
        <f t="shared" si="20"/>
        <v>118764</v>
      </c>
      <c r="AT53" s="432"/>
      <c r="AU53" s="433">
        <f t="shared" si="21"/>
        <v>118764</v>
      </c>
      <c r="AV53" s="434">
        <v>0.97960400000000003</v>
      </c>
      <c r="AW53" s="433">
        <f t="shared" si="22"/>
        <v>116341.69</v>
      </c>
      <c r="AX53" s="433">
        <f t="shared" si="23"/>
        <v>116.3</v>
      </c>
      <c r="AY53" s="433">
        <v>6.19</v>
      </c>
      <c r="AZ53" s="433">
        <v>854.75</v>
      </c>
      <c r="BA53" s="435">
        <v>12</v>
      </c>
      <c r="BB53" s="433">
        <f t="shared" si="24"/>
        <v>63490.83</v>
      </c>
      <c r="BC53" s="433"/>
      <c r="BD53" s="433">
        <f t="shared" si="25"/>
        <v>63490.83</v>
      </c>
      <c r="BE53" s="434">
        <v>0.97960400000000003</v>
      </c>
      <c r="BF53" s="433">
        <f t="shared" si="26"/>
        <v>62195.87</v>
      </c>
      <c r="BG53" s="433">
        <f t="shared" si="27"/>
        <v>62.2</v>
      </c>
      <c r="BH53" s="433">
        <f t="shared" si="28"/>
        <v>1142548.5</v>
      </c>
      <c r="BI53" s="433">
        <f t="shared" si="29"/>
        <v>0</v>
      </c>
      <c r="BJ53" s="433">
        <f t="shared" si="30"/>
        <v>0</v>
      </c>
      <c r="BK53" s="433">
        <f t="shared" si="31"/>
        <v>1142548.5</v>
      </c>
      <c r="BL53" s="436">
        <f t="shared" si="32"/>
        <v>1142.5999999999999</v>
      </c>
      <c r="BM53" s="437">
        <f t="shared" si="33"/>
        <v>1119245.08</v>
      </c>
      <c r="BN53" s="437">
        <f t="shared" si="34"/>
        <v>1119.2</v>
      </c>
      <c r="BO53" s="438">
        <f t="shared" si="35"/>
        <v>-23.4</v>
      </c>
      <c r="BP53" s="329">
        <v>1119.2</v>
      </c>
      <c r="BQ53" s="439">
        <f t="shared" si="36"/>
        <v>0</v>
      </c>
    </row>
    <row r="54" spans="1:69" s="329" customFormat="1" ht="15.75" hidden="1" x14ac:dyDescent="0.25">
      <c r="A54" s="431" t="s">
        <v>908</v>
      </c>
      <c r="B54" s="432">
        <v>3274.05</v>
      </c>
      <c r="C54" s="432">
        <v>46.87</v>
      </c>
      <c r="D54" s="432">
        <v>94.82</v>
      </c>
      <c r="E54" s="432">
        <f t="shared" si="0"/>
        <v>141.69999999999999</v>
      </c>
      <c r="F54" s="432">
        <f t="shared" si="1"/>
        <v>463932.89</v>
      </c>
      <c r="G54" s="432"/>
      <c r="H54" s="433">
        <f t="shared" si="2"/>
        <v>463932.89</v>
      </c>
      <c r="I54" s="434">
        <v>0.97960400000000003</v>
      </c>
      <c r="J54" s="433">
        <f t="shared" si="3"/>
        <v>454470.51</v>
      </c>
      <c r="K54" s="433">
        <f t="shared" si="4"/>
        <v>454.5</v>
      </c>
      <c r="L54" s="432"/>
      <c r="M54" s="432"/>
      <c r="N54" s="432"/>
      <c r="O54" s="432">
        <f t="shared" si="5"/>
        <v>0</v>
      </c>
      <c r="P54" s="432">
        <f t="shared" si="6"/>
        <v>0</v>
      </c>
      <c r="Q54" s="432"/>
      <c r="R54" s="433">
        <f t="shared" si="7"/>
        <v>0</v>
      </c>
      <c r="S54" s="434">
        <v>0.97960400000000003</v>
      </c>
      <c r="T54" s="433">
        <f t="shared" si="8"/>
        <v>0</v>
      </c>
      <c r="U54" s="433">
        <f t="shared" si="9"/>
        <v>0</v>
      </c>
      <c r="V54" s="432">
        <v>10.029999999999999</v>
      </c>
      <c r="W54" s="432">
        <v>54312</v>
      </c>
      <c r="X54" s="432">
        <v>71616</v>
      </c>
      <c r="Y54" s="432">
        <f t="shared" si="10"/>
        <v>125928</v>
      </c>
      <c r="Z54" s="432">
        <f t="shared" si="11"/>
        <v>1263057.8400000001</v>
      </c>
      <c r="AA54" s="432"/>
      <c r="AB54" s="432"/>
      <c r="AC54" s="433">
        <f t="shared" si="12"/>
        <v>1263057.8400000001</v>
      </c>
      <c r="AD54" s="434">
        <v>0.97960400000000003</v>
      </c>
      <c r="AE54" s="433">
        <f t="shared" si="13"/>
        <v>1237296.51</v>
      </c>
      <c r="AF54" s="433">
        <f t="shared" si="14"/>
        <v>1237.3</v>
      </c>
      <c r="AG54" s="432">
        <v>61.16</v>
      </c>
      <c r="AH54" s="432">
        <v>1049</v>
      </c>
      <c r="AI54" s="432">
        <v>1430</v>
      </c>
      <c r="AJ54" s="432">
        <f t="shared" si="15"/>
        <v>2479</v>
      </c>
      <c r="AK54" s="432">
        <v>25.2</v>
      </c>
      <c r="AL54" s="432">
        <v>1049</v>
      </c>
      <c r="AM54" s="432">
        <v>1430</v>
      </c>
      <c r="AN54" s="432">
        <f t="shared" si="16"/>
        <v>2479</v>
      </c>
      <c r="AO54" s="432">
        <v>12.61</v>
      </c>
      <c r="AP54" s="432">
        <f t="shared" si="17"/>
        <v>151615.64000000001</v>
      </c>
      <c r="AQ54" s="432">
        <f t="shared" si="18"/>
        <v>62470.8</v>
      </c>
      <c r="AR54" s="432">
        <f t="shared" si="19"/>
        <v>31260.19</v>
      </c>
      <c r="AS54" s="432">
        <f t="shared" si="20"/>
        <v>245346.63</v>
      </c>
      <c r="AT54" s="432"/>
      <c r="AU54" s="433">
        <f t="shared" si="21"/>
        <v>245346.63</v>
      </c>
      <c r="AV54" s="434">
        <v>0.97960400000000003</v>
      </c>
      <c r="AW54" s="433">
        <f t="shared" si="22"/>
        <v>240342.54</v>
      </c>
      <c r="AX54" s="433">
        <f t="shared" si="23"/>
        <v>240.3</v>
      </c>
      <c r="AY54" s="433">
        <v>10.75</v>
      </c>
      <c r="AZ54" s="433">
        <v>854.75</v>
      </c>
      <c r="BA54" s="435">
        <v>12</v>
      </c>
      <c r="BB54" s="433">
        <f t="shared" si="24"/>
        <v>110262.75</v>
      </c>
      <c r="BC54" s="433"/>
      <c r="BD54" s="433">
        <f t="shared" si="25"/>
        <v>110262.75</v>
      </c>
      <c r="BE54" s="434">
        <v>0.97960400000000003</v>
      </c>
      <c r="BF54" s="433">
        <f t="shared" si="26"/>
        <v>108013.83</v>
      </c>
      <c r="BG54" s="433">
        <f t="shared" si="27"/>
        <v>108</v>
      </c>
      <c r="BH54" s="433">
        <f t="shared" si="28"/>
        <v>2082600.11</v>
      </c>
      <c r="BI54" s="433">
        <f t="shared" si="29"/>
        <v>0</v>
      </c>
      <c r="BJ54" s="433">
        <f t="shared" si="30"/>
        <v>0</v>
      </c>
      <c r="BK54" s="433">
        <f t="shared" si="31"/>
        <v>2082600.11</v>
      </c>
      <c r="BL54" s="436">
        <f t="shared" si="32"/>
        <v>2082.6999999999998</v>
      </c>
      <c r="BM54" s="437">
        <f t="shared" si="33"/>
        <v>2040123.39</v>
      </c>
      <c r="BN54" s="437">
        <f t="shared" si="34"/>
        <v>2040.1</v>
      </c>
      <c r="BO54" s="438">
        <f t="shared" si="35"/>
        <v>-42.6</v>
      </c>
      <c r="BP54" s="329">
        <v>2040.1</v>
      </c>
      <c r="BQ54" s="439">
        <f t="shared" si="36"/>
        <v>0</v>
      </c>
    </row>
    <row r="55" spans="1:69" s="329" customFormat="1" ht="15.75" hidden="1" x14ac:dyDescent="0.25">
      <c r="A55" s="431" t="s">
        <v>909</v>
      </c>
      <c r="B55" s="432">
        <v>3274.05</v>
      </c>
      <c r="C55" s="432">
        <v>36.61</v>
      </c>
      <c r="D55" s="432">
        <v>54.71</v>
      </c>
      <c r="E55" s="432">
        <f t="shared" si="0"/>
        <v>91.3</v>
      </c>
      <c r="F55" s="432">
        <f t="shared" si="1"/>
        <v>298920.77</v>
      </c>
      <c r="G55" s="432"/>
      <c r="H55" s="433">
        <f t="shared" si="2"/>
        <v>298920.77</v>
      </c>
      <c r="I55" s="434">
        <v>0.97960400000000003</v>
      </c>
      <c r="J55" s="433">
        <f t="shared" si="3"/>
        <v>292823.98</v>
      </c>
      <c r="K55" s="433">
        <f t="shared" si="4"/>
        <v>292.8</v>
      </c>
      <c r="L55" s="432"/>
      <c r="M55" s="432"/>
      <c r="N55" s="432"/>
      <c r="O55" s="432">
        <f t="shared" si="5"/>
        <v>0</v>
      </c>
      <c r="P55" s="432">
        <f t="shared" si="6"/>
        <v>0</v>
      </c>
      <c r="Q55" s="432"/>
      <c r="R55" s="433">
        <f t="shared" si="7"/>
        <v>0</v>
      </c>
      <c r="S55" s="434">
        <v>0.97960400000000003</v>
      </c>
      <c r="T55" s="433">
        <f t="shared" si="8"/>
        <v>0</v>
      </c>
      <c r="U55" s="433">
        <f t="shared" si="9"/>
        <v>0</v>
      </c>
      <c r="V55" s="432">
        <v>10.029999999999999</v>
      </c>
      <c r="W55" s="432">
        <v>16884</v>
      </c>
      <c r="X55" s="432">
        <v>17338</v>
      </c>
      <c r="Y55" s="432">
        <f t="shared" si="10"/>
        <v>34222</v>
      </c>
      <c r="Z55" s="432">
        <f t="shared" si="11"/>
        <v>343246.66</v>
      </c>
      <c r="AA55" s="432"/>
      <c r="AB55" s="432"/>
      <c r="AC55" s="433">
        <f t="shared" si="12"/>
        <v>343246.66</v>
      </c>
      <c r="AD55" s="434">
        <v>0.97960400000000003</v>
      </c>
      <c r="AE55" s="433">
        <f t="shared" si="13"/>
        <v>336245.8</v>
      </c>
      <c r="AF55" s="433">
        <f t="shared" si="14"/>
        <v>336.2</v>
      </c>
      <c r="AG55" s="432">
        <v>61.16</v>
      </c>
      <c r="AH55" s="432">
        <v>346</v>
      </c>
      <c r="AI55" s="432">
        <v>487</v>
      </c>
      <c r="AJ55" s="432">
        <f t="shared" si="15"/>
        <v>833</v>
      </c>
      <c r="AK55" s="432">
        <v>25.2</v>
      </c>
      <c r="AL55" s="432">
        <v>346</v>
      </c>
      <c r="AM55" s="432">
        <v>487</v>
      </c>
      <c r="AN55" s="432">
        <f t="shared" si="16"/>
        <v>833</v>
      </c>
      <c r="AO55" s="432">
        <v>12.61</v>
      </c>
      <c r="AP55" s="432">
        <f t="shared" si="17"/>
        <v>50946.28</v>
      </c>
      <c r="AQ55" s="432">
        <f t="shared" si="18"/>
        <v>20991.599999999999</v>
      </c>
      <c r="AR55" s="432">
        <f t="shared" si="19"/>
        <v>10504.13</v>
      </c>
      <c r="AS55" s="432">
        <f t="shared" si="20"/>
        <v>82442.009999999995</v>
      </c>
      <c r="AT55" s="432"/>
      <c r="AU55" s="433">
        <f t="shared" si="21"/>
        <v>82442.009999999995</v>
      </c>
      <c r="AV55" s="434">
        <v>0.97960400000000003</v>
      </c>
      <c r="AW55" s="433">
        <f t="shared" si="22"/>
        <v>80760.52</v>
      </c>
      <c r="AX55" s="433">
        <f t="shared" si="23"/>
        <v>80.8</v>
      </c>
      <c r="AY55" s="433">
        <v>12.56</v>
      </c>
      <c r="AZ55" s="433">
        <v>854.75</v>
      </c>
      <c r="BA55" s="435">
        <v>12</v>
      </c>
      <c r="BB55" s="433">
        <f t="shared" si="24"/>
        <v>128827.92</v>
      </c>
      <c r="BC55" s="433"/>
      <c r="BD55" s="433">
        <f t="shared" si="25"/>
        <v>128827.92</v>
      </c>
      <c r="BE55" s="434">
        <v>0.97960400000000003</v>
      </c>
      <c r="BF55" s="433">
        <f t="shared" si="26"/>
        <v>126200.35</v>
      </c>
      <c r="BG55" s="433">
        <f t="shared" si="27"/>
        <v>126.2</v>
      </c>
      <c r="BH55" s="433">
        <f t="shared" si="28"/>
        <v>853437.36</v>
      </c>
      <c r="BI55" s="433">
        <f t="shared" si="29"/>
        <v>0</v>
      </c>
      <c r="BJ55" s="433">
        <f t="shared" si="30"/>
        <v>0</v>
      </c>
      <c r="BK55" s="433">
        <f t="shared" si="31"/>
        <v>853437.36</v>
      </c>
      <c r="BL55" s="436">
        <f t="shared" si="32"/>
        <v>853.5</v>
      </c>
      <c r="BM55" s="437">
        <f t="shared" si="33"/>
        <v>836030.65</v>
      </c>
      <c r="BN55" s="437">
        <f t="shared" si="34"/>
        <v>836</v>
      </c>
      <c r="BO55" s="438">
        <f t="shared" si="35"/>
        <v>-17.5</v>
      </c>
      <c r="BP55" s="329">
        <v>836</v>
      </c>
      <c r="BQ55" s="439">
        <f t="shared" si="36"/>
        <v>0</v>
      </c>
    </row>
    <row r="56" spans="1:69" s="329" customFormat="1" ht="15.75" hidden="1" x14ac:dyDescent="0.25">
      <c r="A56" s="431" t="s">
        <v>910</v>
      </c>
      <c r="B56" s="432">
        <v>3274.05</v>
      </c>
      <c r="C56" s="432">
        <v>138.74</v>
      </c>
      <c r="D56" s="432">
        <v>181.16</v>
      </c>
      <c r="E56" s="432">
        <f t="shared" si="0"/>
        <v>319.89999999999998</v>
      </c>
      <c r="F56" s="432">
        <f t="shared" si="1"/>
        <v>1047368.6</v>
      </c>
      <c r="G56" s="432"/>
      <c r="H56" s="433">
        <f t="shared" si="2"/>
        <v>1047368.6</v>
      </c>
      <c r="I56" s="434">
        <v>0.97960400000000003</v>
      </c>
      <c r="J56" s="433">
        <f t="shared" si="3"/>
        <v>1026006.47</v>
      </c>
      <c r="K56" s="433">
        <f t="shared" si="4"/>
        <v>1026</v>
      </c>
      <c r="L56" s="432"/>
      <c r="M56" s="432"/>
      <c r="N56" s="432"/>
      <c r="O56" s="432">
        <f t="shared" si="5"/>
        <v>0</v>
      </c>
      <c r="P56" s="432">
        <f t="shared" si="6"/>
        <v>0</v>
      </c>
      <c r="Q56" s="432"/>
      <c r="R56" s="433">
        <f t="shared" si="7"/>
        <v>0</v>
      </c>
      <c r="S56" s="434">
        <v>0.97960400000000003</v>
      </c>
      <c r="T56" s="433">
        <f t="shared" si="8"/>
        <v>0</v>
      </c>
      <c r="U56" s="433">
        <f t="shared" si="9"/>
        <v>0</v>
      </c>
      <c r="V56" s="432">
        <v>10.029999999999999</v>
      </c>
      <c r="W56" s="432">
        <v>16410</v>
      </c>
      <c r="X56" s="432">
        <v>15737</v>
      </c>
      <c r="Y56" s="432">
        <f t="shared" si="10"/>
        <v>32147</v>
      </c>
      <c r="Z56" s="432">
        <f t="shared" si="11"/>
        <v>322434.40999999997</v>
      </c>
      <c r="AA56" s="432"/>
      <c r="AB56" s="432"/>
      <c r="AC56" s="433">
        <f t="shared" si="12"/>
        <v>322434.40999999997</v>
      </c>
      <c r="AD56" s="434">
        <v>0.97960400000000003</v>
      </c>
      <c r="AE56" s="433">
        <f t="shared" si="13"/>
        <v>315858.03999999998</v>
      </c>
      <c r="AF56" s="433">
        <f t="shared" si="14"/>
        <v>315.89999999999998</v>
      </c>
      <c r="AG56" s="432">
        <v>61.16</v>
      </c>
      <c r="AH56" s="432">
        <v>830</v>
      </c>
      <c r="AI56" s="432">
        <v>870</v>
      </c>
      <c r="AJ56" s="432">
        <f t="shared" si="15"/>
        <v>1700</v>
      </c>
      <c r="AK56" s="432">
        <v>25.2</v>
      </c>
      <c r="AL56" s="432">
        <v>830</v>
      </c>
      <c r="AM56" s="432">
        <v>870</v>
      </c>
      <c r="AN56" s="432">
        <f t="shared" si="16"/>
        <v>1700</v>
      </c>
      <c r="AO56" s="432">
        <v>12.61</v>
      </c>
      <c r="AP56" s="432">
        <f t="shared" si="17"/>
        <v>103972</v>
      </c>
      <c r="AQ56" s="432">
        <f t="shared" si="18"/>
        <v>42840</v>
      </c>
      <c r="AR56" s="432">
        <f t="shared" si="19"/>
        <v>21437</v>
      </c>
      <c r="AS56" s="432">
        <f t="shared" si="20"/>
        <v>168249</v>
      </c>
      <c r="AT56" s="432"/>
      <c r="AU56" s="433">
        <f t="shared" si="21"/>
        <v>168249</v>
      </c>
      <c r="AV56" s="434">
        <v>0.97960400000000003</v>
      </c>
      <c r="AW56" s="433">
        <f t="shared" si="22"/>
        <v>164817.39000000001</v>
      </c>
      <c r="AX56" s="433">
        <f t="shared" si="23"/>
        <v>164.8</v>
      </c>
      <c r="AY56" s="433">
        <v>6.08</v>
      </c>
      <c r="AZ56" s="433">
        <v>854.75</v>
      </c>
      <c r="BA56" s="435">
        <v>12</v>
      </c>
      <c r="BB56" s="433">
        <f t="shared" si="24"/>
        <v>62362.559999999998</v>
      </c>
      <c r="BC56" s="433"/>
      <c r="BD56" s="433">
        <f t="shared" si="25"/>
        <v>62362.559999999998</v>
      </c>
      <c r="BE56" s="434">
        <v>0.97960400000000003</v>
      </c>
      <c r="BF56" s="433">
        <f t="shared" si="26"/>
        <v>61090.61</v>
      </c>
      <c r="BG56" s="433">
        <f t="shared" si="27"/>
        <v>61.1</v>
      </c>
      <c r="BH56" s="433">
        <f t="shared" si="28"/>
        <v>1600414.57</v>
      </c>
      <c r="BI56" s="433">
        <f t="shared" si="29"/>
        <v>0</v>
      </c>
      <c r="BJ56" s="433">
        <f t="shared" si="30"/>
        <v>0</v>
      </c>
      <c r="BK56" s="433">
        <f t="shared" si="31"/>
        <v>1600414.57</v>
      </c>
      <c r="BL56" s="436">
        <f t="shared" si="32"/>
        <v>1600.5</v>
      </c>
      <c r="BM56" s="437">
        <f t="shared" si="33"/>
        <v>1567772.51</v>
      </c>
      <c r="BN56" s="437">
        <f t="shared" si="34"/>
        <v>1567.8</v>
      </c>
      <c r="BO56" s="438">
        <f t="shared" si="35"/>
        <v>-32.700000000000003</v>
      </c>
      <c r="BP56" s="329">
        <v>1567.8</v>
      </c>
      <c r="BQ56" s="439">
        <f t="shared" si="36"/>
        <v>0</v>
      </c>
    </row>
    <row r="57" spans="1:69" s="329" customFormat="1" ht="15.75" hidden="1" x14ac:dyDescent="0.25">
      <c r="A57" s="431" t="s">
        <v>911</v>
      </c>
      <c r="B57" s="432">
        <v>3274.05</v>
      </c>
      <c r="C57" s="432">
        <v>91.2</v>
      </c>
      <c r="D57" s="432">
        <v>118.36</v>
      </c>
      <c r="E57" s="432">
        <f t="shared" si="0"/>
        <v>209.6</v>
      </c>
      <c r="F57" s="432">
        <f t="shared" si="1"/>
        <v>686240.88</v>
      </c>
      <c r="G57" s="432"/>
      <c r="H57" s="433">
        <f t="shared" si="2"/>
        <v>686240.88</v>
      </c>
      <c r="I57" s="434">
        <v>0.97960400000000003</v>
      </c>
      <c r="J57" s="433">
        <f t="shared" si="3"/>
        <v>672244.31</v>
      </c>
      <c r="K57" s="433">
        <f t="shared" si="4"/>
        <v>672.2</v>
      </c>
      <c r="L57" s="432">
        <v>0</v>
      </c>
      <c r="M57" s="432">
        <v>0</v>
      </c>
      <c r="N57" s="432">
        <v>0</v>
      </c>
      <c r="O57" s="432">
        <f t="shared" si="5"/>
        <v>0</v>
      </c>
      <c r="P57" s="432">
        <f t="shared" si="6"/>
        <v>0</v>
      </c>
      <c r="Q57" s="432"/>
      <c r="R57" s="433">
        <f t="shared" si="7"/>
        <v>0</v>
      </c>
      <c r="S57" s="434">
        <v>0.97960400000000003</v>
      </c>
      <c r="T57" s="433">
        <f t="shared" si="8"/>
        <v>0</v>
      </c>
      <c r="U57" s="433">
        <f t="shared" si="9"/>
        <v>0</v>
      </c>
      <c r="V57" s="432">
        <v>10.029999999999999</v>
      </c>
      <c r="W57" s="432">
        <v>43770</v>
      </c>
      <c r="X57" s="432">
        <v>48417</v>
      </c>
      <c r="Y57" s="432">
        <f t="shared" si="10"/>
        <v>92187</v>
      </c>
      <c r="Z57" s="432">
        <f t="shared" si="11"/>
        <v>924635.61</v>
      </c>
      <c r="AA57" s="432"/>
      <c r="AB57" s="432"/>
      <c r="AC57" s="433">
        <f t="shared" si="12"/>
        <v>924635.61</v>
      </c>
      <c r="AD57" s="434">
        <v>0.97960400000000003</v>
      </c>
      <c r="AE57" s="433">
        <f t="shared" si="13"/>
        <v>905776.74</v>
      </c>
      <c r="AF57" s="433">
        <f t="shared" si="14"/>
        <v>905.8</v>
      </c>
      <c r="AG57" s="432">
        <v>61.16</v>
      </c>
      <c r="AH57" s="432">
        <v>660</v>
      </c>
      <c r="AI57" s="432">
        <v>909</v>
      </c>
      <c r="AJ57" s="432">
        <f t="shared" si="15"/>
        <v>1569</v>
      </c>
      <c r="AK57" s="432">
        <v>25.2</v>
      </c>
      <c r="AL57" s="432">
        <v>660</v>
      </c>
      <c r="AM57" s="432">
        <v>909</v>
      </c>
      <c r="AN57" s="432">
        <f t="shared" si="16"/>
        <v>1569</v>
      </c>
      <c r="AO57" s="432">
        <v>12.61</v>
      </c>
      <c r="AP57" s="432">
        <f t="shared" si="17"/>
        <v>95960.04</v>
      </c>
      <c r="AQ57" s="432">
        <f t="shared" si="18"/>
        <v>39538.800000000003</v>
      </c>
      <c r="AR57" s="432">
        <f t="shared" si="19"/>
        <v>19785.09</v>
      </c>
      <c r="AS57" s="432">
        <f t="shared" si="20"/>
        <v>155283.93</v>
      </c>
      <c r="AT57" s="432"/>
      <c r="AU57" s="433">
        <f t="shared" si="21"/>
        <v>155283.93</v>
      </c>
      <c r="AV57" s="434">
        <v>0.97960400000000003</v>
      </c>
      <c r="AW57" s="433">
        <f t="shared" si="22"/>
        <v>152116.76</v>
      </c>
      <c r="AX57" s="433">
        <f t="shared" si="23"/>
        <v>152.1</v>
      </c>
      <c r="AY57" s="433">
        <v>9.25</v>
      </c>
      <c r="AZ57" s="433">
        <v>854.75</v>
      </c>
      <c r="BA57" s="435">
        <v>12</v>
      </c>
      <c r="BB57" s="433">
        <f t="shared" si="24"/>
        <v>94877.25</v>
      </c>
      <c r="BC57" s="433"/>
      <c r="BD57" s="433">
        <f t="shared" si="25"/>
        <v>94877.25</v>
      </c>
      <c r="BE57" s="434">
        <v>0.97960400000000003</v>
      </c>
      <c r="BF57" s="433">
        <f t="shared" si="26"/>
        <v>92942.13</v>
      </c>
      <c r="BG57" s="433">
        <f t="shared" si="27"/>
        <v>92.9</v>
      </c>
      <c r="BH57" s="433">
        <f t="shared" si="28"/>
        <v>1861037.67</v>
      </c>
      <c r="BI57" s="433">
        <f t="shared" si="29"/>
        <v>0</v>
      </c>
      <c r="BJ57" s="433">
        <f t="shared" si="30"/>
        <v>0</v>
      </c>
      <c r="BK57" s="433">
        <f t="shared" si="31"/>
        <v>1861037.67</v>
      </c>
      <c r="BL57" s="436">
        <f t="shared" si="32"/>
        <v>1861.1</v>
      </c>
      <c r="BM57" s="437">
        <f t="shared" si="33"/>
        <v>1823079.94</v>
      </c>
      <c r="BN57" s="437">
        <f t="shared" si="34"/>
        <v>1823</v>
      </c>
      <c r="BO57" s="438">
        <f t="shared" si="35"/>
        <v>-38.1</v>
      </c>
      <c r="BP57" s="329">
        <v>1823</v>
      </c>
      <c r="BQ57" s="439">
        <f t="shared" si="36"/>
        <v>0</v>
      </c>
    </row>
    <row r="58" spans="1:69" s="329" customFormat="1" ht="15.75" hidden="1" x14ac:dyDescent="0.25">
      <c r="A58" s="431" t="s">
        <v>912</v>
      </c>
      <c r="B58" s="432">
        <v>2588.77</v>
      </c>
      <c r="C58" s="432">
        <v>91.6</v>
      </c>
      <c r="D58" s="432">
        <v>117.77</v>
      </c>
      <c r="E58" s="432">
        <f t="shared" si="0"/>
        <v>209.4</v>
      </c>
      <c r="F58" s="432">
        <f t="shared" si="1"/>
        <v>542088.43999999994</v>
      </c>
      <c r="G58" s="432"/>
      <c r="H58" s="433">
        <f t="shared" si="2"/>
        <v>542088.43999999994</v>
      </c>
      <c r="I58" s="434">
        <v>0.97960400000000003</v>
      </c>
      <c r="J58" s="433">
        <f t="shared" si="3"/>
        <v>531032</v>
      </c>
      <c r="K58" s="433">
        <f t="shared" si="4"/>
        <v>531</v>
      </c>
      <c r="L58" s="432"/>
      <c r="M58" s="432"/>
      <c r="N58" s="432"/>
      <c r="O58" s="432">
        <f t="shared" si="5"/>
        <v>0</v>
      </c>
      <c r="P58" s="432">
        <f t="shared" si="6"/>
        <v>0</v>
      </c>
      <c r="Q58" s="432"/>
      <c r="R58" s="433">
        <f t="shared" si="7"/>
        <v>0</v>
      </c>
      <c r="S58" s="434">
        <v>0.97960400000000003</v>
      </c>
      <c r="T58" s="433">
        <f t="shared" si="8"/>
        <v>0</v>
      </c>
      <c r="U58" s="433">
        <f t="shared" si="9"/>
        <v>0</v>
      </c>
      <c r="V58" s="432">
        <v>10.029999999999999</v>
      </c>
      <c r="W58" s="432">
        <v>21939</v>
      </c>
      <c r="X58" s="432">
        <v>22077</v>
      </c>
      <c r="Y58" s="432">
        <f t="shared" si="10"/>
        <v>44016</v>
      </c>
      <c r="Z58" s="432">
        <f t="shared" si="11"/>
        <v>441480.48</v>
      </c>
      <c r="AA58" s="432"/>
      <c r="AB58" s="432"/>
      <c r="AC58" s="433">
        <f t="shared" si="12"/>
        <v>441480.48</v>
      </c>
      <c r="AD58" s="434">
        <v>0.97960400000000003</v>
      </c>
      <c r="AE58" s="433">
        <f t="shared" si="13"/>
        <v>432476.04</v>
      </c>
      <c r="AF58" s="433">
        <f t="shared" si="14"/>
        <v>432.5</v>
      </c>
      <c r="AG58" s="432">
        <v>61.16</v>
      </c>
      <c r="AH58" s="432">
        <v>597</v>
      </c>
      <c r="AI58" s="432">
        <v>595</v>
      </c>
      <c r="AJ58" s="432">
        <f t="shared" si="15"/>
        <v>1192</v>
      </c>
      <c r="AK58" s="432">
        <v>25.2</v>
      </c>
      <c r="AL58" s="432">
        <v>597</v>
      </c>
      <c r="AM58" s="432">
        <v>595</v>
      </c>
      <c r="AN58" s="432">
        <f t="shared" si="16"/>
        <v>1192</v>
      </c>
      <c r="AO58" s="432">
        <v>12.61</v>
      </c>
      <c r="AP58" s="432">
        <f t="shared" si="17"/>
        <v>72902.720000000001</v>
      </c>
      <c r="AQ58" s="432">
        <f t="shared" si="18"/>
        <v>30038.400000000001</v>
      </c>
      <c r="AR58" s="432">
        <f t="shared" si="19"/>
        <v>15031.12</v>
      </c>
      <c r="AS58" s="432">
        <f t="shared" si="20"/>
        <v>117972.24</v>
      </c>
      <c r="AT58" s="432"/>
      <c r="AU58" s="433">
        <f t="shared" si="21"/>
        <v>117972.24</v>
      </c>
      <c r="AV58" s="434">
        <v>0.97960400000000003</v>
      </c>
      <c r="AW58" s="433">
        <f t="shared" si="22"/>
        <v>115566.08</v>
      </c>
      <c r="AX58" s="433">
        <f t="shared" si="23"/>
        <v>115.6</v>
      </c>
      <c r="AY58" s="433">
        <v>9.25</v>
      </c>
      <c r="AZ58" s="433">
        <v>854.75</v>
      </c>
      <c r="BA58" s="435">
        <v>12</v>
      </c>
      <c r="BB58" s="433">
        <f t="shared" si="24"/>
        <v>94877.25</v>
      </c>
      <c r="BC58" s="433"/>
      <c r="BD58" s="433">
        <f t="shared" si="25"/>
        <v>94877.25</v>
      </c>
      <c r="BE58" s="434">
        <v>0.97960400000000003</v>
      </c>
      <c r="BF58" s="433">
        <f t="shared" si="26"/>
        <v>92942.13</v>
      </c>
      <c r="BG58" s="433">
        <f t="shared" si="27"/>
        <v>92.9</v>
      </c>
      <c r="BH58" s="433">
        <f t="shared" si="28"/>
        <v>1196418.4099999999</v>
      </c>
      <c r="BI58" s="433">
        <f t="shared" si="29"/>
        <v>0</v>
      </c>
      <c r="BJ58" s="433">
        <f t="shared" si="30"/>
        <v>0</v>
      </c>
      <c r="BK58" s="433">
        <f t="shared" si="31"/>
        <v>1196418.4099999999</v>
      </c>
      <c r="BL58" s="436">
        <f t="shared" si="32"/>
        <v>1196.5</v>
      </c>
      <c r="BM58" s="437">
        <f t="shared" si="33"/>
        <v>1172016.25</v>
      </c>
      <c r="BN58" s="437">
        <f t="shared" si="34"/>
        <v>1172</v>
      </c>
      <c r="BO58" s="438">
        <f t="shared" si="35"/>
        <v>-24.5</v>
      </c>
      <c r="BP58" s="329">
        <v>1172</v>
      </c>
      <c r="BQ58" s="439">
        <f t="shared" si="36"/>
        <v>0</v>
      </c>
    </row>
    <row r="59" spans="1:69" s="329" customFormat="1" ht="15.75" hidden="1" x14ac:dyDescent="0.25">
      <c r="A59" s="431" t="s">
        <v>913</v>
      </c>
      <c r="B59" s="432">
        <v>3274.05</v>
      </c>
      <c r="C59" s="432">
        <v>133.72999999999999</v>
      </c>
      <c r="D59" s="432">
        <v>171.46</v>
      </c>
      <c r="E59" s="432">
        <f t="shared" si="0"/>
        <v>305.2</v>
      </c>
      <c r="F59" s="432">
        <f t="shared" si="1"/>
        <v>999240.06</v>
      </c>
      <c r="G59" s="432">
        <v>0</v>
      </c>
      <c r="H59" s="433">
        <f t="shared" si="2"/>
        <v>999240.06</v>
      </c>
      <c r="I59" s="434">
        <v>0.97960400000000003</v>
      </c>
      <c r="J59" s="433">
        <f t="shared" si="3"/>
        <v>978859.56</v>
      </c>
      <c r="K59" s="433">
        <f t="shared" si="4"/>
        <v>978.9</v>
      </c>
      <c r="L59" s="432"/>
      <c r="M59" s="432"/>
      <c r="N59" s="432"/>
      <c r="O59" s="432">
        <f t="shared" si="5"/>
        <v>0</v>
      </c>
      <c r="P59" s="432">
        <f t="shared" si="6"/>
        <v>0</v>
      </c>
      <c r="Q59" s="432"/>
      <c r="R59" s="433">
        <f t="shared" si="7"/>
        <v>0</v>
      </c>
      <c r="S59" s="434">
        <v>0.97960400000000003</v>
      </c>
      <c r="T59" s="433">
        <f t="shared" si="8"/>
        <v>0</v>
      </c>
      <c r="U59" s="433">
        <f t="shared" si="9"/>
        <v>0</v>
      </c>
      <c r="V59" s="432">
        <v>10.029999999999999</v>
      </c>
      <c r="W59" s="432">
        <v>21830</v>
      </c>
      <c r="X59" s="432">
        <v>20397</v>
      </c>
      <c r="Y59" s="432">
        <f t="shared" si="10"/>
        <v>42227</v>
      </c>
      <c r="Z59" s="432">
        <f t="shared" si="11"/>
        <v>423536.81</v>
      </c>
      <c r="AA59" s="432"/>
      <c r="AB59" s="432"/>
      <c r="AC59" s="433">
        <f t="shared" si="12"/>
        <v>423536.81</v>
      </c>
      <c r="AD59" s="434">
        <v>0.97960400000000003</v>
      </c>
      <c r="AE59" s="433">
        <f t="shared" si="13"/>
        <v>414898.35</v>
      </c>
      <c r="AF59" s="433">
        <f t="shared" si="14"/>
        <v>414.9</v>
      </c>
      <c r="AG59" s="432">
        <v>61.16</v>
      </c>
      <c r="AH59" s="432">
        <v>771</v>
      </c>
      <c r="AI59" s="432">
        <v>695</v>
      </c>
      <c r="AJ59" s="432">
        <f t="shared" si="15"/>
        <v>1466</v>
      </c>
      <c r="AK59" s="432">
        <v>25.2</v>
      </c>
      <c r="AL59" s="432">
        <v>771</v>
      </c>
      <c r="AM59" s="432">
        <v>695</v>
      </c>
      <c r="AN59" s="432">
        <f t="shared" si="16"/>
        <v>1466</v>
      </c>
      <c r="AO59" s="432">
        <v>12.61</v>
      </c>
      <c r="AP59" s="432">
        <f t="shared" si="17"/>
        <v>89660.56</v>
      </c>
      <c r="AQ59" s="432">
        <f t="shared" si="18"/>
        <v>36943.199999999997</v>
      </c>
      <c r="AR59" s="432">
        <f t="shared" si="19"/>
        <v>18486.259999999998</v>
      </c>
      <c r="AS59" s="432">
        <f t="shared" si="20"/>
        <v>145090.01999999999</v>
      </c>
      <c r="AT59" s="432"/>
      <c r="AU59" s="433">
        <f t="shared" si="21"/>
        <v>145090.01999999999</v>
      </c>
      <c r="AV59" s="434">
        <v>0.97960400000000003</v>
      </c>
      <c r="AW59" s="433">
        <f t="shared" si="22"/>
        <v>142130.76</v>
      </c>
      <c r="AX59" s="433">
        <f t="shared" si="23"/>
        <v>142.1</v>
      </c>
      <c r="AY59" s="433">
        <v>9.19</v>
      </c>
      <c r="AZ59" s="433">
        <v>854.75</v>
      </c>
      <c r="BA59" s="435">
        <v>12</v>
      </c>
      <c r="BB59" s="433">
        <f t="shared" si="24"/>
        <v>94261.83</v>
      </c>
      <c r="BC59" s="433"/>
      <c r="BD59" s="433">
        <f t="shared" si="25"/>
        <v>94261.83</v>
      </c>
      <c r="BE59" s="434">
        <v>0.97960400000000003</v>
      </c>
      <c r="BF59" s="433">
        <f t="shared" si="26"/>
        <v>92339.27</v>
      </c>
      <c r="BG59" s="433">
        <f t="shared" si="27"/>
        <v>92.3</v>
      </c>
      <c r="BH59" s="433">
        <f t="shared" si="28"/>
        <v>1662128.72</v>
      </c>
      <c r="BI59" s="433">
        <f t="shared" si="29"/>
        <v>0</v>
      </c>
      <c r="BJ59" s="433">
        <f t="shared" si="30"/>
        <v>0</v>
      </c>
      <c r="BK59" s="433">
        <f t="shared" si="31"/>
        <v>1662128.72</v>
      </c>
      <c r="BL59" s="436">
        <f t="shared" si="32"/>
        <v>1662.2</v>
      </c>
      <c r="BM59" s="437">
        <f t="shared" si="33"/>
        <v>1628227.94</v>
      </c>
      <c r="BN59" s="437">
        <f t="shared" si="34"/>
        <v>1628.2</v>
      </c>
      <c r="BO59" s="438">
        <f t="shared" si="35"/>
        <v>-34</v>
      </c>
      <c r="BP59" s="329">
        <v>1628.2</v>
      </c>
      <c r="BQ59" s="439">
        <f t="shared" si="36"/>
        <v>0</v>
      </c>
    </row>
    <row r="60" spans="1:69" s="329" customFormat="1" ht="15.75" hidden="1" x14ac:dyDescent="0.25">
      <c r="A60" s="431" t="s">
        <v>914</v>
      </c>
      <c r="B60" s="432">
        <v>3274.05</v>
      </c>
      <c r="C60" s="432">
        <v>133.44999999999999</v>
      </c>
      <c r="D60" s="432">
        <v>165.28</v>
      </c>
      <c r="E60" s="432">
        <f t="shared" si="0"/>
        <v>298.7</v>
      </c>
      <c r="F60" s="432">
        <f t="shared" si="1"/>
        <v>977958.74</v>
      </c>
      <c r="G60" s="432"/>
      <c r="H60" s="433">
        <f t="shared" si="2"/>
        <v>977958.74</v>
      </c>
      <c r="I60" s="434">
        <v>0.97960400000000003</v>
      </c>
      <c r="J60" s="433">
        <f t="shared" si="3"/>
        <v>958012.29</v>
      </c>
      <c r="K60" s="433">
        <f t="shared" si="4"/>
        <v>958</v>
      </c>
      <c r="L60" s="432">
        <v>0</v>
      </c>
      <c r="M60" s="432">
        <v>0</v>
      </c>
      <c r="N60" s="432"/>
      <c r="O60" s="432">
        <f t="shared" si="5"/>
        <v>0</v>
      </c>
      <c r="P60" s="432">
        <f t="shared" si="6"/>
        <v>0</v>
      </c>
      <c r="Q60" s="432"/>
      <c r="R60" s="433">
        <f t="shared" si="7"/>
        <v>0</v>
      </c>
      <c r="S60" s="434">
        <v>0.97960400000000003</v>
      </c>
      <c r="T60" s="433">
        <f t="shared" si="8"/>
        <v>0</v>
      </c>
      <c r="U60" s="433">
        <f t="shared" si="9"/>
        <v>0</v>
      </c>
      <c r="V60" s="432">
        <v>10.029999999999999</v>
      </c>
      <c r="W60" s="432">
        <v>27248</v>
      </c>
      <c r="X60" s="432">
        <v>24652</v>
      </c>
      <c r="Y60" s="432">
        <f t="shared" si="10"/>
        <v>51900</v>
      </c>
      <c r="Z60" s="432">
        <f t="shared" si="11"/>
        <v>520557</v>
      </c>
      <c r="AA60" s="432"/>
      <c r="AB60" s="432"/>
      <c r="AC60" s="433">
        <f t="shared" si="12"/>
        <v>520557</v>
      </c>
      <c r="AD60" s="434">
        <v>0.97960400000000003</v>
      </c>
      <c r="AE60" s="433">
        <f t="shared" si="13"/>
        <v>509939.72</v>
      </c>
      <c r="AF60" s="433">
        <f t="shared" si="14"/>
        <v>509.9</v>
      </c>
      <c r="AG60" s="432">
        <v>61.16</v>
      </c>
      <c r="AH60" s="432">
        <v>778</v>
      </c>
      <c r="AI60" s="432">
        <v>847</v>
      </c>
      <c r="AJ60" s="432">
        <f t="shared" si="15"/>
        <v>1625</v>
      </c>
      <c r="AK60" s="432">
        <v>25.2</v>
      </c>
      <c r="AL60" s="432">
        <v>778</v>
      </c>
      <c r="AM60" s="432">
        <v>847</v>
      </c>
      <c r="AN60" s="432">
        <f t="shared" si="16"/>
        <v>1625</v>
      </c>
      <c r="AO60" s="432">
        <v>12.61</v>
      </c>
      <c r="AP60" s="432">
        <f t="shared" si="17"/>
        <v>99385</v>
      </c>
      <c r="AQ60" s="432">
        <f t="shared" si="18"/>
        <v>40950</v>
      </c>
      <c r="AR60" s="432">
        <f t="shared" si="19"/>
        <v>20491.25</v>
      </c>
      <c r="AS60" s="432">
        <f t="shared" si="20"/>
        <v>160826.25</v>
      </c>
      <c r="AT60" s="432"/>
      <c r="AU60" s="433">
        <f t="shared" si="21"/>
        <v>160826.25</v>
      </c>
      <c r="AV60" s="434">
        <v>0.97960400000000003</v>
      </c>
      <c r="AW60" s="433">
        <f t="shared" si="22"/>
        <v>157546.04</v>
      </c>
      <c r="AX60" s="433">
        <f t="shared" si="23"/>
        <v>157.5</v>
      </c>
      <c r="AY60" s="433">
        <v>9.35</v>
      </c>
      <c r="AZ60" s="433">
        <v>854.75</v>
      </c>
      <c r="BA60" s="435">
        <v>12</v>
      </c>
      <c r="BB60" s="433">
        <f t="shared" si="24"/>
        <v>95902.95</v>
      </c>
      <c r="BC60" s="433"/>
      <c r="BD60" s="433">
        <f t="shared" si="25"/>
        <v>95902.95</v>
      </c>
      <c r="BE60" s="434">
        <v>0.97960400000000003</v>
      </c>
      <c r="BF60" s="433">
        <f t="shared" si="26"/>
        <v>93946.91</v>
      </c>
      <c r="BG60" s="433">
        <f t="shared" si="27"/>
        <v>93.9</v>
      </c>
      <c r="BH60" s="433">
        <f t="shared" si="28"/>
        <v>1755244.94</v>
      </c>
      <c r="BI60" s="433">
        <f t="shared" si="29"/>
        <v>0</v>
      </c>
      <c r="BJ60" s="433">
        <f t="shared" si="30"/>
        <v>0</v>
      </c>
      <c r="BK60" s="433">
        <f t="shared" si="31"/>
        <v>1755244.94</v>
      </c>
      <c r="BL60" s="436">
        <f t="shared" si="32"/>
        <v>1755.3</v>
      </c>
      <c r="BM60" s="437">
        <f t="shared" si="33"/>
        <v>1719444.96</v>
      </c>
      <c r="BN60" s="437">
        <f t="shared" si="34"/>
        <v>1719.3</v>
      </c>
      <c r="BO60" s="438">
        <f t="shared" si="35"/>
        <v>-36</v>
      </c>
      <c r="BP60" s="329">
        <v>1719.3</v>
      </c>
      <c r="BQ60" s="439">
        <f t="shared" si="36"/>
        <v>0</v>
      </c>
    </row>
    <row r="61" spans="1:69" s="329" customFormat="1" ht="31.5" hidden="1" x14ac:dyDescent="0.25">
      <c r="A61" s="431" t="s">
        <v>915</v>
      </c>
      <c r="B61" s="432">
        <v>3274.05</v>
      </c>
      <c r="C61" s="432">
        <v>277.57</v>
      </c>
      <c r="D61" s="432">
        <v>321.23</v>
      </c>
      <c r="E61" s="432">
        <f t="shared" si="0"/>
        <v>598.79999999999995</v>
      </c>
      <c r="F61" s="432">
        <f t="shared" si="1"/>
        <v>1960501.14</v>
      </c>
      <c r="G61" s="432"/>
      <c r="H61" s="433">
        <f t="shared" si="2"/>
        <v>1960501.14</v>
      </c>
      <c r="I61" s="434">
        <v>0.97960400000000003</v>
      </c>
      <c r="J61" s="433">
        <f t="shared" si="3"/>
        <v>1920514.76</v>
      </c>
      <c r="K61" s="433">
        <f t="shared" si="4"/>
        <v>1920.5</v>
      </c>
      <c r="L61" s="432"/>
      <c r="M61" s="432"/>
      <c r="N61" s="432"/>
      <c r="O61" s="432">
        <f t="shared" si="5"/>
        <v>0</v>
      </c>
      <c r="P61" s="432">
        <f t="shared" si="6"/>
        <v>0</v>
      </c>
      <c r="Q61" s="432"/>
      <c r="R61" s="433">
        <f t="shared" si="7"/>
        <v>0</v>
      </c>
      <c r="S61" s="434">
        <v>0.97960400000000003</v>
      </c>
      <c r="T61" s="433">
        <f t="shared" si="8"/>
        <v>0</v>
      </c>
      <c r="U61" s="433">
        <f t="shared" si="9"/>
        <v>0</v>
      </c>
      <c r="V61" s="432">
        <v>10.029999999999999</v>
      </c>
      <c r="W61" s="432">
        <v>55973</v>
      </c>
      <c r="X61" s="432">
        <v>65707</v>
      </c>
      <c r="Y61" s="432">
        <f t="shared" si="10"/>
        <v>121680</v>
      </c>
      <c r="Z61" s="432">
        <f t="shared" si="11"/>
        <v>1220450.3999999999</v>
      </c>
      <c r="AA61" s="432"/>
      <c r="AB61" s="432"/>
      <c r="AC61" s="433">
        <f t="shared" si="12"/>
        <v>1220450.3999999999</v>
      </c>
      <c r="AD61" s="434">
        <v>0.97960400000000003</v>
      </c>
      <c r="AE61" s="433">
        <f t="shared" si="13"/>
        <v>1195558.0900000001</v>
      </c>
      <c r="AF61" s="433">
        <f t="shared" si="14"/>
        <v>1195.5999999999999</v>
      </c>
      <c r="AG61" s="432">
        <v>61.16</v>
      </c>
      <c r="AH61" s="432">
        <v>2348</v>
      </c>
      <c r="AI61" s="432">
        <v>1723</v>
      </c>
      <c r="AJ61" s="432">
        <f t="shared" si="15"/>
        <v>4071</v>
      </c>
      <c r="AK61" s="432">
        <v>25.2</v>
      </c>
      <c r="AL61" s="432">
        <v>2348</v>
      </c>
      <c r="AM61" s="432">
        <v>1723</v>
      </c>
      <c r="AN61" s="432">
        <f t="shared" si="16"/>
        <v>4071</v>
      </c>
      <c r="AO61" s="432">
        <v>12.61</v>
      </c>
      <c r="AP61" s="432">
        <f t="shared" si="17"/>
        <v>248982.36</v>
      </c>
      <c r="AQ61" s="432">
        <f t="shared" si="18"/>
        <v>102589.2</v>
      </c>
      <c r="AR61" s="432">
        <f t="shared" si="19"/>
        <v>51335.31</v>
      </c>
      <c r="AS61" s="432">
        <f t="shared" si="20"/>
        <v>402906.87</v>
      </c>
      <c r="AT61" s="432"/>
      <c r="AU61" s="433">
        <f t="shared" si="21"/>
        <v>402906.87</v>
      </c>
      <c r="AV61" s="434">
        <v>0.97960400000000003</v>
      </c>
      <c r="AW61" s="433">
        <f t="shared" si="22"/>
        <v>394689.18</v>
      </c>
      <c r="AX61" s="433">
        <f t="shared" si="23"/>
        <v>394.7</v>
      </c>
      <c r="AY61" s="433">
        <v>14.63</v>
      </c>
      <c r="AZ61" s="433">
        <v>854.75</v>
      </c>
      <c r="BA61" s="435">
        <v>12</v>
      </c>
      <c r="BB61" s="433">
        <f t="shared" si="24"/>
        <v>150059.91</v>
      </c>
      <c r="BC61" s="433"/>
      <c r="BD61" s="433">
        <f t="shared" si="25"/>
        <v>150059.91</v>
      </c>
      <c r="BE61" s="434">
        <v>0.97960400000000003</v>
      </c>
      <c r="BF61" s="433">
        <f t="shared" si="26"/>
        <v>146999.29</v>
      </c>
      <c r="BG61" s="433">
        <f t="shared" si="27"/>
        <v>147</v>
      </c>
      <c r="BH61" s="433">
        <f t="shared" si="28"/>
        <v>3733918.32</v>
      </c>
      <c r="BI61" s="433">
        <f t="shared" si="29"/>
        <v>0</v>
      </c>
      <c r="BJ61" s="433">
        <f t="shared" si="30"/>
        <v>0</v>
      </c>
      <c r="BK61" s="433">
        <f t="shared" si="31"/>
        <v>3733918.32</v>
      </c>
      <c r="BL61" s="436">
        <f t="shared" si="32"/>
        <v>3734</v>
      </c>
      <c r="BM61" s="437">
        <f t="shared" si="33"/>
        <v>3657761.32</v>
      </c>
      <c r="BN61" s="437">
        <f t="shared" si="34"/>
        <v>3657.8</v>
      </c>
      <c r="BO61" s="438">
        <f t="shared" si="35"/>
        <v>-76.2</v>
      </c>
      <c r="BP61" s="329">
        <v>3657.8</v>
      </c>
      <c r="BQ61" s="439">
        <f t="shared" si="36"/>
        <v>0</v>
      </c>
    </row>
    <row r="62" spans="1:69" s="329" customFormat="1" ht="15.75" hidden="1" x14ac:dyDescent="0.25">
      <c r="A62" s="431" t="s">
        <v>916</v>
      </c>
      <c r="B62" s="432"/>
      <c r="C62" s="432"/>
      <c r="D62" s="432"/>
      <c r="E62" s="432">
        <f t="shared" si="0"/>
        <v>0</v>
      </c>
      <c r="F62" s="432">
        <f t="shared" si="1"/>
        <v>0</v>
      </c>
      <c r="G62" s="432"/>
      <c r="H62" s="433">
        <f t="shared" si="2"/>
        <v>0</v>
      </c>
      <c r="I62" s="434">
        <v>0.97960400000000003</v>
      </c>
      <c r="J62" s="433">
        <f t="shared" si="3"/>
        <v>0</v>
      </c>
      <c r="K62" s="433">
        <f t="shared" si="4"/>
        <v>0</v>
      </c>
      <c r="L62" s="432">
        <v>9.9700000000000006</v>
      </c>
      <c r="M62" s="432">
        <v>6890</v>
      </c>
      <c r="N62" s="432">
        <v>11060</v>
      </c>
      <c r="O62" s="432">
        <f t="shared" si="5"/>
        <v>17950</v>
      </c>
      <c r="P62" s="432">
        <f t="shared" si="6"/>
        <v>178961.5</v>
      </c>
      <c r="Q62" s="432"/>
      <c r="R62" s="433">
        <f t="shared" si="7"/>
        <v>178961.5</v>
      </c>
      <c r="S62" s="434">
        <v>0.97960400000000003</v>
      </c>
      <c r="T62" s="433">
        <f t="shared" si="8"/>
        <v>175311.4</v>
      </c>
      <c r="U62" s="433">
        <f t="shared" si="9"/>
        <v>175.3</v>
      </c>
      <c r="V62" s="432">
        <v>10.029999999999999</v>
      </c>
      <c r="W62" s="432">
        <v>10793</v>
      </c>
      <c r="X62" s="432">
        <v>8010</v>
      </c>
      <c r="Y62" s="432">
        <f t="shared" si="10"/>
        <v>18803</v>
      </c>
      <c r="Z62" s="432">
        <f t="shared" si="11"/>
        <v>188594.09</v>
      </c>
      <c r="AA62" s="432"/>
      <c r="AB62" s="432"/>
      <c r="AC62" s="433">
        <f t="shared" si="12"/>
        <v>188594.09</v>
      </c>
      <c r="AD62" s="434">
        <v>0.97960400000000003</v>
      </c>
      <c r="AE62" s="433">
        <f t="shared" si="13"/>
        <v>184747.51999999999</v>
      </c>
      <c r="AF62" s="433">
        <f t="shared" si="14"/>
        <v>184.7</v>
      </c>
      <c r="AG62" s="432">
        <v>61.16</v>
      </c>
      <c r="AH62" s="432">
        <v>766</v>
      </c>
      <c r="AI62" s="432">
        <v>649</v>
      </c>
      <c r="AJ62" s="432">
        <f t="shared" si="15"/>
        <v>1415</v>
      </c>
      <c r="AK62" s="432">
        <v>25.2</v>
      </c>
      <c r="AL62" s="432">
        <v>766</v>
      </c>
      <c r="AM62" s="432">
        <v>649</v>
      </c>
      <c r="AN62" s="432">
        <f t="shared" si="16"/>
        <v>1415</v>
      </c>
      <c r="AO62" s="432">
        <v>12.61</v>
      </c>
      <c r="AP62" s="432">
        <f t="shared" si="17"/>
        <v>86541.4</v>
      </c>
      <c r="AQ62" s="432">
        <f t="shared" si="18"/>
        <v>35658</v>
      </c>
      <c r="AR62" s="432">
        <f t="shared" si="19"/>
        <v>17843.150000000001</v>
      </c>
      <c r="AS62" s="432">
        <f t="shared" si="20"/>
        <v>140042.54999999999</v>
      </c>
      <c r="AT62" s="432"/>
      <c r="AU62" s="433">
        <f t="shared" si="21"/>
        <v>140042.54999999999</v>
      </c>
      <c r="AV62" s="434">
        <v>0.97960400000000003</v>
      </c>
      <c r="AW62" s="433">
        <f t="shared" si="22"/>
        <v>137186.23999999999</v>
      </c>
      <c r="AX62" s="433">
        <f t="shared" si="23"/>
        <v>137.19999999999999</v>
      </c>
      <c r="AY62" s="433">
        <v>7.31</v>
      </c>
      <c r="AZ62" s="433">
        <v>854.75</v>
      </c>
      <c r="BA62" s="435">
        <v>12</v>
      </c>
      <c r="BB62" s="433">
        <f t="shared" si="24"/>
        <v>74978.67</v>
      </c>
      <c r="BC62" s="433"/>
      <c r="BD62" s="433">
        <f t="shared" si="25"/>
        <v>74978.67</v>
      </c>
      <c r="BE62" s="434">
        <v>0.97960400000000003</v>
      </c>
      <c r="BF62" s="433">
        <f t="shared" si="26"/>
        <v>73449.41</v>
      </c>
      <c r="BG62" s="433">
        <f t="shared" si="27"/>
        <v>73.400000000000006</v>
      </c>
      <c r="BH62" s="433">
        <f t="shared" si="28"/>
        <v>582576.81000000006</v>
      </c>
      <c r="BI62" s="433">
        <f t="shared" si="29"/>
        <v>0</v>
      </c>
      <c r="BJ62" s="433">
        <f t="shared" si="30"/>
        <v>0</v>
      </c>
      <c r="BK62" s="433">
        <f t="shared" si="31"/>
        <v>582576.81000000006</v>
      </c>
      <c r="BL62" s="436">
        <f t="shared" si="32"/>
        <v>582.6</v>
      </c>
      <c r="BM62" s="437">
        <f t="shared" si="33"/>
        <v>570694.56999999995</v>
      </c>
      <c r="BN62" s="437">
        <f t="shared" si="34"/>
        <v>570.6</v>
      </c>
      <c r="BO62" s="438">
        <f t="shared" si="35"/>
        <v>-12</v>
      </c>
      <c r="BP62" s="329">
        <v>570.6</v>
      </c>
      <c r="BQ62" s="439">
        <f t="shared" si="36"/>
        <v>0</v>
      </c>
    </row>
    <row r="63" spans="1:69" s="329" customFormat="1" ht="15.75" hidden="1" x14ac:dyDescent="0.25">
      <c r="A63" s="431" t="s">
        <v>788</v>
      </c>
      <c r="B63" s="432">
        <v>2588.77</v>
      </c>
      <c r="C63" s="432">
        <v>140.27000000000001</v>
      </c>
      <c r="D63" s="432">
        <v>215.41</v>
      </c>
      <c r="E63" s="432">
        <f t="shared" si="0"/>
        <v>355.7</v>
      </c>
      <c r="F63" s="432">
        <f t="shared" si="1"/>
        <v>920825.49</v>
      </c>
      <c r="G63" s="432"/>
      <c r="H63" s="433">
        <f t="shared" si="2"/>
        <v>920825.49</v>
      </c>
      <c r="I63" s="434">
        <v>0.97960400000000003</v>
      </c>
      <c r="J63" s="433">
        <f t="shared" si="3"/>
        <v>902044.33</v>
      </c>
      <c r="K63" s="433">
        <f t="shared" si="4"/>
        <v>902</v>
      </c>
      <c r="L63" s="432"/>
      <c r="M63" s="432"/>
      <c r="N63" s="432"/>
      <c r="O63" s="432">
        <f t="shared" si="5"/>
        <v>0</v>
      </c>
      <c r="P63" s="432">
        <f t="shared" si="6"/>
        <v>0</v>
      </c>
      <c r="Q63" s="432"/>
      <c r="R63" s="433">
        <f t="shared" si="7"/>
        <v>0</v>
      </c>
      <c r="S63" s="434">
        <v>0.97960400000000003</v>
      </c>
      <c r="T63" s="433">
        <f t="shared" si="8"/>
        <v>0</v>
      </c>
      <c r="U63" s="433">
        <f t="shared" si="9"/>
        <v>0</v>
      </c>
      <c r="V63" s="432">
        <v>10.029999999999999</v>
      </c>
      <c r="W63" s="432">
        <v>52600</v>
      </c>
      <c r="X63" s="432">
        <v>62046</v>
      </c>
      <c r="Y63" s="432">
        <f t="shared" si="10"/>
        <v>114646</v>
      </c>
      <c r="Z63" s="432">
        <f t="shared" si="11"/>
        <v>1149899.3799999999</v>
      </c>
      <c r="AA63" s="432"/>
      <c r="AB63" s="432"/>
      <c r="AC63" s="433">
        <f t="shared" si="12"/>
        <v>1149899.3799999999</v>
      </c>
      <c r="AD63" s="434">
        <v>0.97960400000000003</v>
      </c>
      <c r="AE63" s="433">
        <f t="shared" si="13"/>
        <v>1126446.03</v>
      </c>
      <c r="AF63" s="433">
        <f t="shared" si="14"/>
        <v>1126.4000000000001</v>
      </c>
      <c r="AG63" s="432">
        <v>61.16</v>
      </c>
      <c r="AH63" s="432">
        <v>1383</v>
      </c>
      <c r="AI63" s="432">
        <v>1316</v>
      </c>
      <c r="AJ63" s="432">
        <f t="shared" si="15"/>
        <v>2699</v>
      </c>
      <c r="AK63" s="432">
        <v>25.2</v>
      </c>
      <c r="AL63" s="432">
        <v>1383</v>
      </c>
      <c r="AM63" s="432">
        <v>1316</v>
      </c>
      <c r="AN63" s="432">
        <f t="shared" si="16"/>
        <v>2699</v>
      </c>
      <c r="AO63" s="432">
        <v>12.61</v>
      </c>
      <c r="AP63" s="432">
        <f t="shared" si="17"/>
        <v>165070.84</v>
      </c>
      <c r="AQ63" s="432">
        <f t="shared" si="18"/>
        <v>68014.8</v>
      </c>
      <c r="AR63" s="432">
        <f t="shared" si="19"/>
        <v>34034.39</v>
      </c>
      <c r="AS63" s="432">
        <f t="shared" si="20"/>
        <v>267120.03000000003</v>
      </c>
      <c r="AT63" s="432"/>
      <c r="AU63" s="433">
        <f t="shared" si="21"/>
        <v>267120.03000000003</v>
      </c>
      <c r="AV63" s="434">
        <v>0.97960400000000003</v>
      </c>
      <c r="AW63" s="433">
        <f t="shared" si="22"/>
        <v>261671.85</v>
      </c>
      <c r="AX63" s="433">
        <f t="shared" si="23"/>
        <v>261.7</v>
      </c>
      <c r="AY63" s="433">
        <v>17.559999999999999</v>
      </c>
      <c r="AZ63" s="433">
        <v>854.75</v>
      </c>
      <c r="BA63" s="435">
        <v>12</v>
      </c>
      <c r="BB63" s="433">
        <f t="shared" si="24"/>
        <v>180112.92</v>
      </c>
      <c r="BC63" s="433"/>
      <c r="BD63" s="433">
        <f t="shared" si="25"/>
        <v>180112.92</v>
      </c>
      <c r="BE63" s="434">
        <v>0.97960400000000003</v>
      </c>
      <c r="BF63" s="433">
        <f t="shared" si="26"/>
        <v>176439.34</v>
      </c>
      <c r="BG63" s="433">
        <f t="shared" si="27"/>
        <v>176.4</v>
      </c>
      <c r="BH63" s="433">
        <f t="shared" si="28"/>
        <v>2517957.8199999998</v>
      </c>
      <c r="BI63" s="433">
        <f t="shared" si="29"/>
        <v>0</v>
      </c>
      <c r="BJ63" s="433">
        <f t="shared" si="30"/>
        <v>0</v>
      </c>
      <c r="BK63" s="433">
        <f t="shared" si="31"/>
        <v>2517957.8199999998</v>
      </c>
      <c r="BL63" s="436">
        <f t="shared" si="32"/>
        <v>2518</v>
      </c>
      <c r="BM63" s="437">
        <f t="shared" si="33"/>
        <v>2466601.5499999998</v>
      </c>
      <c r="BN63" s="437">
        <f t="shared" si="34"/>
        <v>2466.5</v>
      </c>
      <c r="BO63" s="438">
        <f t="shared" si="35"/>
        <v>-51.5</v>
      </c>
      <c r="BP63" s="329">
        <v>2466.5</v>
      </c>
      <c r="BQ63" s="439">
        <f t="shared" si="36"/>
        <v>0</v>
      </c>
    </row>
    <row r="64" spans="1:69" s="329" customFormat="1" ht="15.75" hidden="1" x14ac:dyDescent="0.25">
      <c r="A64" s="431" t="s">
        <v>917</v>
      </c>
      <c r="B64" s="432">
        <v>3274.05</v>
      </c>
      <c r="C64" s="432">
        <v>174.14</v>
      </c>
      <c r="D64" s="432">
        <v>227.59</v>
      </c>
      <c r="E64" s="432">
        <f t="shared" si="0"/>
        <v>401.7</v>
      </c>
      <c r="F64" s="432">
        <f t="shared" si="1"/>
        <v>1315185.8899999999</v>
      </c>
      <c r="G64" s="432">
        <v>0</v>
      </c>
      <c r="H64" s="433">
        <f t="shared" si="2"/>
        <v>1315185.8899999999</v>
      </c>
      <c r="I64" s="434">
        <v>0.97960400000000003</v>
      </c>
      <c r="J64" s="433">
        <f t="shared" si="3"/>
        <v>1288361.3600000001</v>
      </c>
      <c r="K64" s="433">
        <f t="shared" si="4"/>
        <v>1288.4000000000001</v>
      </c>
      <c r="L64" s="432"/>
      <c r="M64" s="432"/>
      <c r="N64" s="432"/>
      <c r="O64" s="432">
        <f t="shared" si="5"/>
        <v>0</v>
      </c>
      <c r="P64" s="432">
        <f t="shared" si="6"/>
        <v>0</v>
      </c>
      <c r="Q64" s="432"/>
      <c r="R64" s="433">
        <f t="shared" si="7"/>
        <v>0</v>
      </c>
      <c r="S64" s="434">
        <v>0.97960400000000003</v>
      </c>
      <c r="T64" s="433">
        <f t="shared" si="8"/>
        <v>0</v>
      </c>
      <c r="U64" s="433">
        <f t="shared" si="9"/>
        <v>0</v>
      </c>
      <c r="V64" s="432">
        <v>10.029999999999999</v>
      </c>
      <c r="W64" s="432">
        <v>87020</v>
      </c>
      <c r="X64" s="432">
        <v>104821</v>
      </c>
      <c r="Y64" s="432">
        <f t="shared" si="10"/>
        <v>191841</v>
      </c>
      <c r="Z64" s="432">
        <f t="shared" si="11"/>
        <v>1924165.23</v>
      </c>
      <c r="AA64" s="432">
        <v>0</v>
      </c>
      <c r="AB64" s="432"/>
      <c r="AC64" s="433">
        <f t="shared" si="12"/>
        <v>1924165.23</v>
      </c>
      <c r="AD64" s="434">
        <v>0.97960400000000003</v>
      </c>
      <c r="AE64" s="433">
        <f t="shared" si="13"/>
        <v>1884919.96</v>
      </c>
      <c r="AF64" s="433">
        <f t="shared" si="14"/>
        <v>1884.9</v>
      </c>
      <c r="AG64" s="432">
        <v>61.16</v>
      </c>
      <c r="AH64" s="432">
        <v>1621</v>
      </c>
      <c r="AI64" s="432">
        <v>1278</v>
      </c>
      <c r="AJ64" s="432">
        <f t="shared" si="15"/>
        <v>2899</v>
      </c>
      <c r="AK64" s="432">
        <v>25.2</v>
      </c>
      <c r="AL64" s="432">
        <v>1621</v>
      </c>
      <c r="AM64" s="432">
        <v>1278</v>
      </c>
      <c r="AN64" s="432">
        <f t="shared" si="16"/>
        <v>2899</v>
      </c>
      <c r="AO64" s="432">
        <v>12.61</v>
      </c>
      <c r="AP64" s="432">
        <f t="shared" si="17"/>
        <v>177302.84</v>
      </c>
      <c r="AQ64" s="432">
        <f t="shared" si="18"/>
        <v>73054.8</v>
      </c>
      <c r="AR64" s="432">
        <f t="shared" si="19"/>
        <v>36556.39</v>
      </c>
      <c r="AS64" s="432">
        <f t="shared" si="20"/>
        <v>286914.03000000003</v>
      </c>
      <c r="AT64" s="432">
        <v>0</v>
      </c>
      <c r="AU64" s="433">
        <f t="shared" si="21"/>
        <v>286914.03000000003</v>
      </c>
      <c r="AV64" s="434">
        <v>0.97960400000000003</v>
      </c>
      <c r="AW64" s="433">
        <f t="shared" si="22"/>
        <v>281062.13</v>
      </c>
      <c r="AX64" s="433">
        <f t="shared" si="23"/>
        <v>281.10000000000002</v>
      </c>
      <c r="AY64" s="433">
        <v>18.5</v>
      </c>
      <c r="AZ64" s="433">
        <v>854.75</v>
      </c>
      <c r="BA64" s="435">
        <v>12</v>
      </c>
      <c r="BB64" s="433">
        <f t="shared" si="24"/>
        <v>189754.5</v>
      </c>
      <c r="BC64" s="433">
        <v>0</v>
      </c>
      <c r="BD64" s="433">
        <f t="shared" si="25"/>
        <v>189754.5</v>
      </c>
      <c r="BE64" s="434">
        <v>0.97960400000000003</v>
      </c>
      <c r="BF64" s="433">
        <f t="shared" si="26"/>
        <v>185884.27</v>
      </c>
      <c r="BG64" s="433">
        <f t="shared" si="27"/>
        <v>185.9</v>
      </c>
      <c r="BH64" s="433">
        <f t="shared" si="28"/>
        <v>3716019.65</v>
      </c>
      <c r="BI64" s="433">
        <f t="shared" si="29"/>
        <v>0</v>
      </c>
      <c r="BJ64" s="433">
        <f t="shared" si="30"/>
        <v>0</v>
      </c>
      <c r="BK64" s="433">
        <f t="shared" si="31"/>
        <v>3716019.65</v>
      </c>
      <c r="BL64" s="436">
        <f t="shared" si="32"/>
        <v>3716.1</v>
      </c>
      <c r="BM64" s="437">
        <f t="shared" si="33"/>
        <v>3640227.72</v>
      </c>
      <c r="BN64" s="437">
        <f t="shared" si="34"/>
        <v>3640.3</v>
      </c>
      <c r="BO64" s="438">
        <f t="shared" si="35"/>
        <v>-75.8</v>
      </c>
      <c r="BP64" s="329">
        <v>3640.3</v>
      </c>
      <c r="BQ64" s="439">
        <f t="shared" si="36"/>
        <v>0</v>
      </c>
    </row>
    <row r="65" spans="1:69" s="329" customFormat="1" ht="15.75" hidden="1" x14ac:dyDescent="0.25">
      <c r="A65" s="431" t="s">
        <v>790</v>
      </c>
      <c r="B65" s="432">
        <v>3274.05</v>
      </c>
      <c r="C65" s="432">
        <v>85.96</v>
      </c>
      <c r="D65" s="432">
        <v>148.13</v>
      </c>
      <c r="E65" s="432">
        <f t="shared" si="0"/>
        <v>234.1</v>
      </c>
      <c r="F65" s="432">
        <f t="shared" si="1"/>
        <v>766455.11</v>
      </c>
      <c r="G65" s="432"/>
      <c r="H65" s="433">
        <f t="shared" si="2"/>
        <v>766455.11</v>
      </c>
      <c r="I65" s="434">
        <v>0.97960400000000003</v>
      </c>
      <c r="J65" s="433">
        <f t="shared" si="3"/>
        <v>750822.49</v>
      </c>
      <c r="K65" s="433">
        <f t="shared" si="4"/>
        <v>750.8</v>
      </c>
      <c r="L65" s="432"/>
      <c r="M65" s="432"/>
      <c r="N65" s="432"/>
      <c r="O65" s="432">
        <f t="shared" si="5"/>
        <v>0</v>
      </c>
      <c r="P65" s="432">
        <f t="shared" si="6"/>
        <v>0</v>
      </c>
      <c r="Q65" s="432"/>
      <c r="R65" s="433">
        <f t="shared" si="7"/>
        <v>0</v>
      </c>
      <c r="S65" s="434">
        <v>0.97960400000000003</v>
      </c>
      <c r="T65" s="433">
        <f t="shared" si="8"/>
        <v>0</v>
      </c>
      <c r="U65" s="433">
        <f t="shared" si="9"/>
        <v>0</v>
      </c>
      <c r="V65" s="432">
        <v>10.029999999999999</v>
      </c>
      <c r="W65" s="432">
        <v>25040</v>
      </c>
      <c r="X65" s="432">
        <v>22584</v>
      </c>
      <c r="Y65" s="432">
        <f t="shared" si="10"/>
        <v>47624</v>
      </c>
      <c r="Z65" s="432">
        <f t="shared" si="11"/>
        <v>477668.72</v>
      </c>
      <c r="AA65" s="432"/>
      <c r="AB65" s="432"/>
      <c r="AC65" s="433">
        <f t="shared" si="12"/>
        <v>477668.72</v>
      </c>
      <c r="AD65" s="434">
        <v>0.97960400000000003</v>
      </c>
      <c r="AE65" s="433">
        <f t="shared" si="13"/>
        <v>467926.19</v>
      </c>
      <c r="AF65" s="433">
        <f t="shared" si="14"/>
        <v>467.9</v>
      </c>
      <c r="AG65" s="432">
        <v>61.16</v>
      </c>
      <c r="AH65" s="432">
        <v>522</v>
      </c>
      <c r="AI65" s="432">
        <v>750</v>
      </c>
      <c r="AJ65" s="432">
        <f t="shared" si="15"/>
        <v>1272</v>
      </c>
      <c r="AK65" s="432">
        <v>25.2</v>
      </c>
      <c r="AL65" s="432">
        <v>522</v>
      </c>
      <c r="AM65" s="432">
        <v>750</v>
      </c>
      <c r="AN65" s="432">
        <f t="shared" si="16"/>
        <v>1272</v>
      </c>
      <c r="AO65" s="432">
        <v>12.61</v>
      </c>
      <c r="AP65" s="432">
        <f t="shared" si="17"/>
        <v>77795.520000000004</v>
      </c>
      <c r="AQ65" s="432">
        <f t="shared" si="18"/>
        <v>32054.400000000001</v>
      </c>
      <c r="AR65" s="432">
        <f t="shared" si="19"/>
        <v>16039.92</v>
      </c>
      <c r="AS65" s="432">
        <f t="shared" si="20"/>
        <v>125889.84</v>
      </c>
      <c r="AT65" s="432"/>
      <c r="AU65" s="433">
        <f t="shared" si="21"/>
        <v>125889.84</v>
      </c>
      <c r="AV65" s="434">
        <v>0.97960400000000003</v>
      </c>
      <c r="AW65" s="433">
        <f t="shared" si="22"/>
        <v>123322.19</v>
      </c>
      <c r="AX65" s="433">
        <f t="shared" si="23"/>
        <v>123.3</v>
      </c>
      <c r="AY65" s="433">
        <v>3.88</v>
      </c>
      <c r="AZ65" s="433">
        <v>854.75</v>
      </c>
      <c r="BA65" s="435">
        <v>12</v>
      </c>
      <c r="BB65" s="433">
        <f t="shared" si="24"/>
        <v>39797.160000000003</v>
      </c>
      <c r="BC65" s="433"/>
      <c r="BD65" s="433">
        <f t="shared" si="25"/>
        <v>39797.160000000003</v>
      </c>
      <c r="BE65" s="434">
        <v>0.97960400000000003</v>
      </c>
      <c r="BF65" s="433">
        <f t="shared" si="26"/>
        <v>38985.46</v>
      </c>
      <c r="BG65" s="433">
        <f t="shared" si="27"/>
        <v>39</v>
      </c>
      <c r="BH65" s="433">
        <f t="shared" si="28"/>
        <v>1409810.83</v>
      </c>
      <c r="BI65" s="433">
        <f t="shared" si="29"/>
        <v>0</v>
      </c>
      <c r="BJ65" s="433">
        <f t="shared" si="30"/>
        <v>0</v>
      </c>
      <c r="BK65" s="433">
        <f t="shared" si="31"/>
        <v>1409810.83</v>
      </c>
      <c r="BL65" s="436">
        <f t="shared" si="32"/>
        <v>1409.9</v>
      </c>
      <c r="BM65" s="437">
        <f t="shared" si="33"/>
        <v>1381056.33</v>
      </c>
      <c r="BN65" s="437">
        <f t="shared" si="34"/>
        <v>1381</v>
      </c>
      <c r="BO65" s="438">
        <f t="shared" si="35"/>
        <v>-28.9</v>
      </c>
      <c r="BP65" s="329">
        <v>1381</v>
      </c>
      <c r="BQ65" s="439">
        <f t="shared" si="36"/>
        <v>0</v>
      </c>
    </row>
    <row r="66" spans="1:69" s="329" customFormat="1" ht="15.75" hidden="1" x14ac:dyDescent="0.25">
      <c r="A66" s="431" t="s">
        <v>791</v>
      </c>
      <c r="B66" s="432">
        <v>2588.77</v>
      </c>
      <c r="C66" s="432">
        <v>189.92</v>
      </c>
      <c r="D66" s="432">
        <v>247.97</v>
      </c>
      <c r="E66" s="432">
        <f t="shared" si="0"/>
        <v>437.9</v>
      </c>
      <c r="F66" s="432">
        <f t="shared" si="1"/>
        <v>1133622.3799999999</v>
      </c>
      <c r="G66" s="432"/>
      <c r="H66" s="433">
        <f t="shared" si="2"/>
        <v>1133622.3799999999</v>
      </c>
      <c r="I66" s="434">
        <v>0.97960400000000003</v>
      </c>
      <c r="J66" s="433">
        <f t="shared" si="3"/>
        <v>1110501.02</v>
      </c>
      <c r="K66" s="433">
        <f t="shared" si="4"/>
        <v>1110.5</v>
      </c>
      <c r="L66" s="432"/>
      <c r="M66" s="432"/>
      <c r="N66" s="432"/>
      <c r="O66" s="432">
        <f t="shared" si="5"/>
        <v>0</v>
      </c>
      <c r="P66" s="432">
        <f t="shared" si="6"/>
        <v>0</v>
      </c>
      <c r="Q66" s="432"/>
      <c r="R66" s="433">
        <f t="shared" si="7"/>
        <v>0</v>
      </c>
      <c r="S66" s="434">
        <v>0.97960400000000003</v>
      </c>
      <c r="T66" s="433">
        <f t="shared" si="8"/>
        <v>0</v>
      </c>
      <c r="U66" s="433">
        <f t="shared" si="9"/>
        <v>0</v>
      </c>
      <c r="V66" s="432">
        <v>10.029999999999999</v>
      </c>
      <c r="W66" s="432">
        <v>30980</v>
      </c>
      <c r="X66" s="432">
        <v>26123</v>
      </c>
      <c r="Y66" s="432">
        <f t="shared" si="10"/>
        <v>57103</v>
      </c>
      <c r="Z66" s="432">
        <f t="shared" si="11"/>
        <v>572743.09</v>
      </c>
      <c r="AA66" s="432"/>
      <c r="AB66" s="432"/>
      <c r="AC66" s="433">
        <f t="shared" si="12"/>
        <v>572743.09</v>
      </c>
      <c r="AD66" s="434">
        <v>0.97960400000000003</v>
      </c>
      <c r="AE66" s="433">
        <f t="shared" si="13"/>
        <v>561061.42000000004</v>
      </c>
      <c r="AF66" s="433">
        <f t="shared" si="14"/>
        <v>561.1</v>
      </c>
      <c r="AG66" s="432">
        <v>61.16</v>
      </c>
      <c r="AH66" s="432">
        <v>1445</v>
      </c>
      <c r="AI66" s="432">
        <v>1390</v>
      </c>
      <c r="AJ66" s="432">
        <f t="shared" si="15"/>
        <v>2835</v>
      </c>
      <c r="AK66" s="432">
        <v>25.2</v>
      </c>
      <c r="AL66" s="432">
        <v>1445</v>
      </c>
      <c r="AM66" s="432">
        <v>1390</v>
      </c>
      <c r="AN66" s="432">
        <f t="shared" si="16"/>
        <v>2835</v>
      </c>
      <c r="AO66" s="432">
        <v>12.61</v>
      </c>
      <c r="AP66" s="432">
        <f t="shared" si="17"/>
        <v>173388.6</v>
      </c>
      <c r="AQ66" s="432">
        <f t="shared" si="18"/>
        <v>71442</v>
      </c>
      <c r="AR66" s="432">
        <f t="shared" si="19"/>
        <v>35749.35</v>
      </c>
      <c r="AS66" s="432">
        <f t="shared" si="20"/>
        <v>280579.95</v>
      </c>
      <c r="AT66" s="432"/>
      <c r="AU66" s="433">
        <f t="shared" si="21"/>
        <v>280579.95</v>
      </c>
      <c r="AV66" s="434">
        <v>0.97960400000000003</v>
      </c>
      <c r="AW66" s="433">
        <f t="shared" si="22"/>
        <v>274857.24</v>
      </c>
      <c r="AX66" s="433">
        <f t="shared" si="23"/>
        <v>274.89999999999998</v>
      </c>
      <c r="AY66" s="433">
        <v>13.37</v>
      </c>
      <c r="AZ66" s="433">
        <v>854.75</v>
      </c>
      <c r="BA66" s="435">
        <v>12</v>
      </c>
      <c r="BB66" s="433">
        <f t="shared" si="24"/>
        <v>137136.09</v>
      </c>
      <c r="BC66" s="433"/>
      <c r="BD66" s="433">
        <f t="shared" si="25"/>
        <v>137136.09</v>
      </c>
      <c r="BE66" s="434">
        <v>0.97960400000000003</v>
      </c>
      <c r="BF66" s="433">
        <f t="shared" si="26"/>
        <v>134339.06</v>
      </c>
      <c r="BG66" s="433">
        <f t="shared" si="27"/>
        <v>134.30000000000001</v>
      </c>
      <c r="BH66" s="433">
        <f t="shared" si="28"/>
        <v>2124081.5099999998</v>
      </c>
      <c r="BI66" s="433">
        <f t="shared" si="29"/>
        <v>0</v>
      </c>
      <c r="BJ66" s="433">
        <f t="shared" si="30"/>
        <v>0</v>
      </c>
      <c r="BK66" s="433">
        <f t="shared" si="31"/>
        <v>2124081.5099999998</v>
      </c>
      <c r="BL66" s="436">
        <f t="shared" si="32"/>
        <v>2124.1</v>
      </c>
      <c r="BM66" s="437">
        <f t="shared" si="33"/>
        <v>2080758.74</v>
      </c>
      <c r="BN66" s="437">
        <f t="shared" si="34"/>
        <v>2080.8000000000002</v>
      </c>
      <c r="BO66" s="438">
        <f t="shared" si="35"/>
        <v>-43.3</v>
      </c>
      <c r="BP66" s="329">
        <v>2080.8000000000002</v>
      </c>
      <c r="BQ66" s="439">
        <f t="shared" si="36"/>
        <v>0</v>
      </c>
    </row>
    <row r="67" spans="1:69" s="329" customFormat="1" ht="15.75" hidden="1" x14ac:dyDescent="0.25">
      <c r="A67" s="431" t="s">
        <v>792</v>
      </c>
      <c r="B67" s="432">
        <v>2588.77</v>
      </c>
      <c r="C67" s="432">
        <v>111.23</v>
      </c>
      <c r="D67" s="432">
        <v>148.06</v>
      </c>
      <c r="E67" s="432">
        <f t="shared" si="0"/>
        <v>259.3</v>
      </c>
      <c r="F67" s="432">
        <f t="shared" si="1"/>
        <v>671268.06</v>
      </c>
      <c r="G67" s="432"/>
      <c r="H67" s="433">
        <f t="shared" si="2"/>
        <v>671268.06</v>
      </c>
      <c r="I67" s="434">
        <v>0.97960400000000003</v>
      </c>
      <c r="J67" s="433">
        <f t="shared" si="3"/>
        <v>657576.88</v>
      </c>
      <c r="K67" s="433">
        <f t="shared" si="4"/>
        <v>657.6</v>
      </c>
      <c r="L67" s="432"/>
      <c r="M67" s="432"/>
      <c r="N67" s="432"/>
      <c r="O67" s="432">
        <f t="shared" si="5"/>
        <v>0</v>
      </c>
      <c r="P67" s="432">
        <f t="shared" si="6"/>
        <v>0</v>
      </c>
      <c r="Q67" s="432"/>
      <c r="R67" s="433">
        <f t="shared" si="7"/>
        <v>0</v>
      </c>
      <c r="S67" s="434">
        <v>0.97960400000000003</v>
      </c>
      <c r="T67" s="433">
        <f t="shared" si="8"/>
        <v>0</v>
      </c>
      <c r="U67" s="433">
        <f t="shared" si="9"/>
        <v>0</v>
      </c>
      <c r="V67" s="432">
        <v>10.029999999999999</v>
      </c>
      <c r="W67" s="432">
        <v>33871</v>
      </c>
      <c r="X67" s="432">
        <v>30905</v>
      </c>
      <c r="Y67" s="432">
        <f t="shared" si="10"/>
        <v>64776</v>
      </c>
      <c r="Z67" s="432">
        <f t="shared" si="11"/>
        <v>649703.28</v>
      </c>
      <c r="AA67" s="432"/>
      <c r="AB67" s="432"/>
      <c r="AC67" s="433">
        <f t="shared" si="12"/>
        <v>649703.28</v>
      </c>
      <c r="AD67" s="434">
        <v>0.97960400000000003</v>
      </c>
      <c r="AE67" s="433">
        <f t="shared" si="13"/>
        <v>636451.93000000005</v>
      </c>
      <c r="AF67" s="433">
        <f t="shared" si="14"/>
        <v>636.5</v>
      </c>
      <c r="AG67" s="432">
        <v>61.16</v>
      </c>
      <c r="AH67" s="432">
        <v>1820</v>
      </c>
      <c r="AI67" s="432">
        <v>1110</v>
      </c>
      <c r="AJ67" s="432">
        <f t="shared" si="15"/>
        <v>2930</v>
      </c>
      <c r="AK67" s="432">
        <v>25.2</v>
      </c>
      <c r="AL67" s="432">
        <v>1820</v>
      </c>
      <c r="AM67" s="432">
        <v>1110</v>
      </c>
      <c r="AN67" s="432">
        <f t="shared" si="16"/>
        <v>2930</v>
      </c>
      <c r="AO67" s="432">
        <v>12.61</v>
      </c>
      <c r="AP67" s="432">
        <f t="shared" si="17"/>
        <v>179198.8</v>
      </c>
      <c r="AQ67" s="432">
        <f t="shared" si="18"/>
        <v>73836</v>
      </c>
      <c r="AR67" s="432">
        <f t="shared" si="19"/>
        <v>36947.300000000003</v>
      </c>
      <c r="AS67" s="432">
        <f t="shared" si="20"/>
        <v>289982.09999999998</v>
      </c>
      <c r="AT67" s="432"/>
      <c r="AU67" s="433">
        <f t="shared" si="21"/>
        <v>289982.09999999998</v>
      </c>
      <c r="AV67" s="434">
        <v>0.97960400000000003</v>
      </c>
      <c r="AW67" s="433">
        <f t="shared" si="22"/>
        <v>284067.63</v>
      </c>
      <c r="AX67" s="433">
        <f t="shared" si="23"/>
        <v>284.10000000000002</v>
      </c>
      <c r="AY67" s="433">
        <v>7.69</v>
      </c>
      <c r="AZ67" s="433">
        <v>854.75</v>
      </c>
      <c r="BA67" s="435">
        <v>12</v>
      </c>
      <c r="BB67" s="433">
        <f t="shared" si="24"/>
        <v>78876.33</v>
      </c>
      <c r="BC67" s="433"/>
      <c r="BD67" s="433">
        <f t="shared" si="25"/>
        <v>78876.33</v>
      </c>
      <c r="BE67" s="434">
        <v>0.97960400000000003</v>
      </c>
      <c r="BF67" s="433">
        <f t="shared" si="26"/>
        <v>77267.570000000007</v>
      </c>
      <c r="BG67" s="433">
        <f t="shared" si="27"/>
        <v>77.3</v>
      </c>
      <c r="BH67" s="433">
        <f t="shared" si="28"/>
        <v>1689829.77</v>
      </c>
      <c r="BI67" s="433">
        <f t="shared" si="29"/>
        <v>0</v>
      </c>
      <c r="BJ67" s="433">
        <f t="shared" si="30"/>
        <v>0</v>
      </c>
      <c r="BK67" s="433">
        <f t="shared" si="31"/>
        <v>1689829.77</v>
      </c>
      <c r="BL67" s="436">
        <f t="shared" si="32"/>
        <v>1689.9</v>
      </c>
      <c r="BM67" s="437">
        <f t="shared" si="33"/>
        <v>1655364.01</v>
      </c>
      <c r="BN67" s="437">
        <f t="shared" si="34"/>
        <v>1655.5</v>
      </c>
      <c r="BO67" s="438">
        <f t="shared" si="35"/>
        <v>-34.4</v>
      </c>
      <c r="BP67" s="329">
        <v>1655.5</v>
      </c>
      <c r="BQ67" s="439">
        <f t="shared" si="36"/>
        <v>0</v>
      </c>
    </row>
    <row r="68" spans="1:69" s="329" customFormat="1" ht="15.75" hidden="1" x14ac:dyDescent="0.25">
      <c r="A68" s="431" t="s">
        <v>918</v>
      </c>
      <c r="B68" s="432">
        <v>2588.77</v>
      </c>
      <c r="C68" s="432">
        <v>183.02</v>
      </c>
      <c r="D68" s="432">
        <v>262.79000000000002</v>
      </c>
      <c r="E68" s="432">
        <f t="shared" si="0"/>
        <v>445.8</v>
      </c>
      <c r="F68" s="432">
        <f t="shared" si="1"/>
        <v>1154073.67</v>
      </c>
      <c r="G68" s="432">
        <v>0</v>
      </c>
      <c r="H68" s="433">
        <f t="shared" si="2"/>
        <v>1154073.67</v>
      </c>
      <c r="I68" s="434">
        <v>0.97960400000000003</v>
      </c>
      <c r="J68" s="433">
        <f t="shared" si="3"/>
        <v>1130535.18</v>
      </c>
      <c r="K68" s="433">
        <f t="shared" si="4"/>
        <v>1130.5</v>
      </c>
      <c r="L68" s="432">
        <v>0</v>
      </c>
      <c r="M68" s="432">
        <v>0</v>
      </c>
      <c r="N68" s="432">
        <v>0</v>
      </c>
      <c r="O68" s="432">
        <f t="shared" si="5"/>
        <v>0</v>
      </c>
      <c r="P68" s="432">
        <f t="shared" si="6"/>
        <v>0</v>
      </c>
      <c r="Q68" s="432">
        <v>0</v>
      </c>
      <c r="R68" s="433">
        <f t="shared" si="7"/>
        <v>0</v>
      </c>
      <c r="S68" s="434">
        <v>0.97960400000000003</v>
      </c>
      <c r="T68" s="433">
        <f t="shared" si="8"/>
        <v>0</v>
      </c>
      <c r="U68" s="433">
        <f t="shared" si="9"/>
        <v>0</v>
      </c>
      <c r="V68" s="432">
        <v>10.029999999999999</v>
      </c>
      <c r="W68" s="432">
        <v>83600</v>
      </c>
      <c r="X68" s="432">
        <v>100680</v>
      </c>
      <c r="Y68" s="432">
        <f t="shared" si="10"/>
        <v>184280</v>
      </c>
      <c r="Z68" s="432">
        <f t="shared" si="11"/>
        <v>1848328.4</v>
      </c>
      <c r="AA68" s="432">
        <v>0</v>
      </c>
      <c r="AB68" s="432"/>
      <c r="AC68" s="433">
        <f t="shared" si="12"/>
        <v>1848328.4</v>
      </c>
      <c r="AD68" s="434">
        <v>0.97960400000000003</v>
      </c>
      <c r="AE68" s="433">
        <f t="shared" si="13"/>
        <v>1810629.89</v>
      </c>
      <c r="AF68" s="433">
        <f t="shared" si="14"/>
        <v>1810.6</v>
      </c>
      <c r="AG68" s="432">
        <v>61.16</v>
      </c>
      <c r="AH68" s="432">
        <v>2810</v>
      </c>
      <c r="AI68" s="432">
        <v>2600</v>
      </c>
      <c r="AJ68" s="432">
        <f t="shared" si="15"/>
        <v>5410</v>
      </c>
      <c r="AK68" s="432">
        <v>25.2</v>
      </c>
      <c r="AL68" s="432">
        <v>2810</v>
      </c>
      <c r="AM68" s="432">
        <v>2600</v>
      </c>
      <c r="AN68" s="432">
        <f t="shared" si="16"/>
        <v>5410</v>
      </c>
      <c r="AO68" s="432">
        <v>12.61</v>
      </c>
      <c r="AP68" s="432">
        <f t="shared" si="17"/>
        <v>330875.59999999998</v>
      </c>
      <c r="AQ68" s="432">
        <f t="shared" si="18"/>
        <v>136332</v>
      </c>
      <c r="AR68" s="432">
        <f t="shared" si="19"/>
        <v>68220.100000000006</v>
      </c>
      <c r="AS68" s="432">
        <f t="shared" si="20"/>
        <v>535427.69999999995</v>
      </c>
      <c r="AT68" s="432">
        <v>0</v>
      </c>
      <c r="AU68" s="433">
        <f t="shared" si="21"/>
        <v>535427.69999999995</v>
      </c>
      <c r="AV68" s="434">
        <v>0.97960400000000003</v>
      </c>
      <c r="AW68" s="433">
        <f t="shared" si="22"/>
        <v>524507.12</v>
      </c>
      <c r="AX68" s="433">
        <f t="shared" si="23"/>
        <v>524.5</v>
      </c>
      <c r="AY68" s="433">
        <v>18.5</v>
      </c>
      <c r="AZ68" s="433">
        <v>854.75</v>
      </c>
      <c r="BA68" s="435">
        <v>12</v>
      </c>
      <c r="BB68" s="433">
        <f t="shared" si="24"/>
        <v>189754.5</v>
      </c>
      <c r="BC68" s="433">
        <v>0</v>
      </c>
      <c r="BD68" s="433">
        <f t="shared" si="25"/>
        <v>189754.5</v>
      </c>
      <c r="BE68" s="434">
        <v>0.97960400000000003</v>
      </c>
      <c r="BF68" s="433">
        <f t="shared" si="26"/>
        <v>185884.27</v>
      </c>
      <c r="BG68" s="433">
        <f t="shared" si="27"/>
        <v>185.9</v>
      </c>
      <c r="BH68" s="433">
        <f t="shared" si="28"/>
        <v>3727584.27</v>
      </c>
      <c r="BI68" s="433">
        <f t="shared" si="29"/>
        <v>0</v>
      </c>
      <c r="BJ68" s="433">
        <f t="shared" si="30"/>
        <v>0</v>
      </c>
      <c r="BK68" s="433">
        <f t="shared" si="31"/>
        <v>3727584.27</v>
      </c>
      <c r="BL68" s="436">
        <f t="shared" si="32"/>
        <v>3727.6</v>
      </c>
      <c r="BM68" s="437">
        <f t="shared" si="33"/>
        <v>3651556.46</v>
      </c>
      <c r="BN68" s="437">
        <f t="shared" si="34"/>
        <v>3651.5</v>
      </c>
      <c r="BO68" s="438">
        <f t="shared" si="35"/>
        <v>-76.099999999999994</v>
      </c>
      <c r="BP68" s="329">
        <v>3651.5</v>
      </c>
      <c r="BQ68" s="439">
        <f t="shared" si="36"/>
        <v>0</v>
      </c>
    </row>
    <row r="69" spans="1:69" s="329" customFormat="1" ht="15.75" hidden="1" x14ac:dyDescent="0.25">
      <c r="A69" s="431" t="s">
        <v>794</v>
      </c>
      <c r="B69" s="432">
        <v>2588.77</v>
      </c>
      <c r="C69" s="432">
        <v>265.08</v>
      </c>
      <c r="D69" s="432">
        <v>365.83</v>
      </c>
      <c r="E69" s="432">
        <f t="shared" si="0"/>
        <v>630.9</v>
      </c>
      <c r="F69" s="432">
        <f t="shared" si="1"/>
        <v>1633254.99</v>
      </c>
      <c r="G69" s="432"/>
      <c r="H69" s="433">
        <f t="shared" si="2"/>
        <v>1633254.99</v>
      </c>
      <c r="I69" s="434">
        <v>0.97960400000000003</v>
      </c>
      <c r="J69" s="433">
        <f t="shared" si="3"/>
        <v>1599943.12</v>
      </c>
      <c r="K69" s="433">
        <f t="shared" si="4"/>
        <v>1599.9</v>
      </c>
      <c r="L69" s="432"/>
      <c r="M69" s="432"/>
      <c r="N69" s="432"/>
      <c r="O69" s="432">
        <f t="shared" si="5"/>
        <v>0</v>
      </c>
      <c r="P69" s="432">
        <f t="shared" si="6"/>
        <v>0</v>
      </c>
      <c r="Q69" s="432"/>
      <c r="R69" s="433">
        <f t="shared" si="7"/>
        <v>0</v>
      </c>
      <c r="S69" s="434">
        <v>0.97960400000000003</v>
      </c>
      <c r="T69" s="433">
        <f t="shared" si="8"/>
        <v>0</v>
      </c>
      <c r="U69" s="433">
        <f t="shared" si="9"/>
        <v>0</v>
      </c>
      <c r="V69" s="432">
        <v>10.029999999999999</v>
      </c>
      <c r="W69" s="432">
        <v>49670</v>
      </c>
      <c r="X69" s="432">
        <v>45495</v>
      </c>
      <c r="Y69" s="432">
        <f t="shared" si="10"/>
        <v>95165</v>
      </c>
      <c r="Z69" s="432">
        <f t="shared" si="11"/>
        <v>954504.95</v>
      </c>
      <c r="AA69" s="432"/>
      <c r="AB69" s="432"/>
      <c r="AC69" s="433">
        <f t="shared" si="12"/>
        <v>954504.95</v>
      </c>
      <c r="AD69" s="434">
        <v>0.97960400000000003</v>
      </c>
      <c r="AE69" s="433">
        <f t="shared" si="13"/>
        <v>935036.87</v>
      </c>
      <c r="AF69" s="433">
        <f t="shared" si="14"/>
        <v>935</v>
      </c>
      <c r="AG69" s="432">
        <v>61.16</v>
      </c>
      <c r="AH69" s="432">
        <v>2184</v>
      </c>
      <c r="AI69" s="432">
        <v>2013</v>
      </c>
      <c r="AJ69" s="432">
        <f t="shared" si="15"/>
        <v>4197</v>
      </c>
      <c r="AK69" s="432">
        <v>25.2</v>
      </c>
      <c r="AL69" s="432">
        <v>2184</v>
      </c>
      <c r="AM69" s="432">
        <v>2013</v>
      </c>
      <c r="AN69" s="432">
        <f t="shared" si="16"/>
        <v>4197</v>
      </c>
      <c r="AO69" s="432">
        <v>12.61</v>
      </c>
      <c r="AP69" s="432">
        <f t="shared" si="17"/>
        <v>256688.52</v>
      </c>
      <c r="AQ69" s="432">
        <f t="shared" si="18"/>
        <v>105764.4</v>
      </c>
      <c r="AR69" s="432">
        <f t="shared" si="19"/>
        <v>52924.17</v>
      </c>
      <c r="AS69" s="432">
        <f t="shared" si="20"/>
        <v>415377.09</v>
      </c>
      <c r="AT69" s="432"/>
      <c r="AU69" s="433">
        <f t="shared" si="21"/>
        <v>415377.09</v>
      </c>
      <c r="AV69" s="434">
        <v>0.97960400000000003</v>
      </c>
      <c r="AW69" s="433">
        <f t="shared" si="22"/>
        <v>406905.06</v>
      </c>
      <c r="AX69" s="433">
        <f t="shared" si="23"/>
        <v>406.9</v>
      </c>
      <c r="AY69" s="433">
        <v>13.75</v>
      </c>
      <c r="AZ69" s="433">
        <v>854.75</v>
      </c>
      <c r="BA69" s="435">
        <v>12</v>
      </c>
      <c r="BB69" s="433">
        <f t="shared" si="24"/>
        <v>141033.75</v>
      </c>
      <c r="BC69" s="433"/>
      <c r="BD69" s="433">
        <f t="shared" si="25"/>
        <v>141033.75</v>
      </c>
      <c r="BE69" s="434">
        <v>0.97960400000000003</v>
      </c>
      <c r="BF69" s="433">
        <f t="shared" si="26"/>
        <v>138157.23000000001</v>
      </c>
      <c r="BG69" s="433">
        <f t="shared" si="27"/>
        <v>138.19999999999999</v>
      </c>
      <c r="BH69" s="433">
        <f t="shared" si="28"/>
        <v>3144170.78</v>
      </c>
      <c r="BI69" s="433">
        <f t="shared" si="29"/>
        <v>0</v>
      </c>
      <c r="BJ69" s="433">
        <f t="shared" si="30"/>
        <v>0</v>
      </c>
      <c r="BK69" s="433">
        <f t="shared" si="31"/>
        <v>3144170.78</v>
      </c>
      <c r="BL69" s="436">
        <f t="shared" si="32"/>
        <v>3144.2</v>
      </c>
      <c r="BM69" s="437">
        <f t="shared" si="33"/>
        <v>3080042.28</v>
      </c>
      <c r="BN69" s="437">
        <f t="shared" si="34"/>
        <v>3080</v>
      </c>
      <c r="BO69" s="438">
        <f t="shared" si="35"/>
        <v>-64.2</v>
      </c>
      <c r="BP69" s="329">
        <v>3080</v>
      </c>
      <c r="BQ69" s="439">
        <f t="shared" si="36"/>
        <v>0</v>
      </c>
    </row>
    <row r="70" spans="1:69" s="329" customFormat="1" ht="15.75" hidden="1" x14ac:dyDescent="0.25">
      <c r="A70" s="431" t="s">
        <v>795</v>
      </c>
      <c r="B70" s="432">
        <v>2588.77</v>
      </c>
      <c r="C70" s="432">
        <v>188.25</v>
      </c>
      <c r="D70" s="432">
        <v>294.18</v>
      </c>
      <c r="E70" s="432">
        <f t="shared" si="0"/>
        <v>482.4</v>
      </c>
      <c r="F70" s="432">
        <f t="shared" si="1"/>
        <v>1248822.6499999999</v>
      </c>
      <c r="G70" s="432"/>
      <c r="H70" s="433">
        <f t="shared" si="2"/>
        <v>1248822.6499999999</v>
      </c>
      <c r="I70" s="434">
        <v>0.97960400000000003</v>
      </c>
      <c r="J70" s="433">
        <f t="shared" si="3"/>
        <v>1223351.6599999999</v>
      </c>
      <c r="K70" s="433">
        <f t="shared" si="4"/>
        <v>1223.4000000000001</v>
      </c>
      <c r="L70" s="432"/>
      <c r="M70" s="432"/>
      <c r="N70" s="432"/>
      <c r="O70" s="432">
        <f t="shared" si="5"/>
        <v>0</v>
      </c>
      <c r="P70" s="432">
        <f t="shared" si="6"/>
        <v>0</v>
      </c>
      <c r="Q70" s="432"/>
      <c r="R70" s="433">
        <f t="shared" si="7"/>
        <v>0</v>
      </c>
      <c r="S70" s="434">
        <v>0.97960400000000003</v>
      </c>
      <c r="T70" s="433">
        <f t="shared" si="8"/>
        <v>0</v>
      </c>
      <c r="U70" s="433">
        <f t="shared" si="9"/>
        <v>0</v>
      </c>
      <c r="V70" s="432">
        <v>10.029999999999999</v>
      </c>
      <c r="W70" s="432">
        <v>121280</v>
      </c>
      <c r="X70" s="432">
        <v>145924</v>
      </c>
      <c r="Y70" s="432">
        <f t="shared" si="10"/>
        <v>267204</v>
      </c>
      <c r="Z70" s="432">
        <f t="shared" si="11"/>
        <v>2680056.12</v>
      </c>
      <c r="AA70" s="432"/>
      <c r="AB70" s="432"/>
      <c r="AC70" s="433">
        <f t="shared" si="12"/>
        <v>2680056.12</v>
      </c>
      <c r="AD70" s="434">
        <v>0.97960400000000003</v>
      </c>
      <c r="AE70" s="433">
        <f t="shared" si="13"/>
        <v>2625393.7000000002</v>
      </c>
      <c r="AF70" s="433">
        <f t="shared" si="14"/>
        <v>2625.4</v>
      </c>
      <c r="AG70" s="432">
        <v>61.16</v>
      </c>
      <c r="AH70" s="432">
        <v>2963</v>
      </c>
      <c r="AI70" s="432">
        <v>2568</v>
      </c>
      <c r="AJ70" s="432">
        <f t="shared" si="15"/>
        <v>5531</v>
      </c>
      <c r="AK70" s="432">
        <v>25.2</v>
      </c>
      <c r="AL70" s="432">
        <v>2963</v>
      </c>
      <c r="AM70" s="432">
        <v>2568</v>
      </c>
      <c r="AN70" s="432">
        <f t="shared" si="16"/>
        <v>5531</v>
      </c>
      <c r="AO70" s="432">
        <v>12.61</v>
      </c>
      <c r="AP70" s="432">
        <f t="shared" si="17"/>
        <v>338275.96</v>
      </c>
      <c r="AQ70" s="432">
        <f t="shared" si="18"/>
        <v>139381.20000000001</v>
      </c>
      <c r="AR70" s="432">
        <f t="shared" si="19"/>
        <v>69745.91</v>
      </c>
      <c r="AS70" s="432">
        <f t="shared" si="20"/>
        <v>547403.06999999995</v>
      </c>
      <c r="AT70" s="432"/>
      <c r="AU70" s="433">
        <f t="shared" si="21"/>
        <v>547403.06999999995</v>
      </c>
      <c r="AV70" s="434">
        <v>0.97960400000000003</v>
      </c>
      <c r="AW70" s="433">
        <f t="shared" si="22"/>
        <v>536238.24</v>
      </c>
      <c r="AX70" s="433">
        <f t="shared" si="23"/>
        <v>536.20000000000005</v>
      </c>
      <c r="AY70" s="433">
        <v>36.5</v>
      </c>
      <c r="AZ70" s="433">
        <v>854.75</v>
      </c>
      <c r="BA70" s="435">
        <v>12</v>
      </c>
      <c r="BB70" s="433">
        <f t="shared" si="24"/>
        <v>374380.5</v>
      </c>
      <c r="BC70" s="433"/>
      <c r="BD70" s="433">
        <f t="shared" si="25"/>
        <v>374380.5</v>
      </c>
      <c r="BE70" s="434">
        <v>0.97960400000000003</v>
      </c>
      <c r="BF70" s="433">
        <f t="shared" si="26"/>
        <v>366744.64</v>
      </c>
      <c r="BG70" s="433">
        <f t="shared" si="27"/>
        <v>366.7</v>
      </c>
      <c r="BH70" s="433">
        <f t="shared" si="28"/>
        <v>4850662.34</v>
      </c>
      <c r="BI70" s="433">
        <f t="shared" si="29"/>
        <v>0</v>
      </c>
      <c r="BJ70" s="433">
        <f t="shared" si="30"/>
        <v>0</v>
      </c>
      <c r="BK70" s="433">
        <f t="shared" si="31"/>
        <v>4850662.34</v>
      </c>
      <c r="BL70" s="436">
        <f t="shared" si="32"/>
        <v>4850.7</v>
      </c>
      <c r="BM70" s="437">
        <f t="shared" si="33"/>
        <v>4751728.24</v>
      </c>
      <c r="BN70" s="437">
        <f t="shared" si="34"/>
        <v>4751.7</v>
      </c>
      <c r="BO70" s="438">
        <f t="shared" si="35"/>
        <v>-99</v>
      </c>
      <c r="BP70" s="329">
        <v>4751.7</v>
      </c>
      <c r="BQ70" s="439">
        <f t="shared" si="36"/>
        <v>0</v>
      </c>
    </row>
    <row r="71" spans="1:69" s="329" customFormat="1" ht="16.5" hidden="1" thickBot="1" x14ac:dyDescent="0.3">
      <c r="A71" s="431" t="s">
        <v>919</v>
      </c>
      <c r="B71" s="432">
        <v>2588.77</v>
      </c>
      <c r="C71" s="432">
        <v>240.54</v>
      </c>
      <c r="D71" s="432">
        <v>346.7</v>
      </c>
      <c r="E71" s="432">
        <f t="shared" si="0"/>
        <v>587.20000000000005</v>
      </c>
      <c r="F71" s="432">
        <f t="shared" si="1"/>
        <v>1520125.74</v>
      </c>
      <c r="G71" s="432"/>
      <c r="H71" s="433">
        <f t="shared" si="2"/>
        <v>1520125.74</v>
      </c>
      <c r="I71" s="434">
        <v>0.97960400000000003</v>
      </c>
      <c r="J71" s="433">
        <f t="shared" si="3"/>
        <v>1489121.26</v>
      </c>
      <c r="K71" s="433">
        <f t="shared" si="4"/>
        <v>1489.1</v>
      </c>
      <c r="L71" s="432"/>
      <c r="M71" s="432"/>
      <c r="N71" s="432"/>
      <c r="O71" s="432">
        <f t="shared" si="5"/>
        <v>0</v>
      </c>
      <c r="P71" s="432">
        <f t="shared" si="6"/>
        <v>0</v>
      </c>
      <c r="Q71" s="432"/>
      <c r="R71" s="433">
        <f t="shared" si="7"/>
        <v>0</v>
      </c>
      <c r="S71" s="434">
        <v>0.97960400000000003</v>
      </c>
      <c r="T71" s="433">
        <f t="shared" si="8"/>
        <v>0</v>
      </c>
      <c r="U71" s="433">
        <f t="shared" si="9"/>
        <v>0</v>
      </c>
      <c r="V71" s="432">
        <v>10.029999999999999</v>
      </c>
      <c r="W71" s="432">
        <v>68434</v>
      </c>
      <c r="X71" s="432">
        <v>77578</v>
      </c>
      <c r="Y71" s="432">
        <f t="shared" si="10"/>
        <v>146012</v>
      </c>
      <c r="Z71" s="432">
        <f t="shared" si="11"/>
        <v>1464500.36</v>
      </c>
      <c r="AA71" s="432"/>
      <c r="AB71" s="432"/>
      <c r="AC71" s="433">
        <f t="shared" si="12"/>
        <v>1464500.36</v>
      </c>
      <c r="AD71" s="434">
        <v>0.97960400000000003</v>
      </c>
      <c r="AE71" s="433">
        <f t="shared" si="13"/>
        <v>1434630.41</v>
      </c>
      <c r="AF71" s="433">
        <f t="shared" si="14"/>
        <v>1434.6</v>
      </c>
      <c r="AG71" s="432">
        <v>61.16</v>
      </c>
      <c r="AH71" s="432">
        <v>1976</v>
      </c>
      <c r="AI71" s="432">
        <v>1902</v>
      </c>
      <c r="AJ71" s="432">
        <f t="shared" si="15"/>
        <v>3878</v>
      </c>
      <c r="AK71" s="432">
        <v>25.2</v>
      </c>
      <c r="AL71" s="432">
        <v>1976</v>
      </c>
      <c r="AM71" s="432">
        <v>1902</v>
      </c>
      <c r="AN71" s="432">
        <f t="shared" si="16"/>
        <v>3878</v>
      </c>
      <c r="AO71" s="432">
        <v>12.61</v>
      </c>
      <c r="AP71" s="432">
        <f t="shared" si="17"/>
        <v>237178.48</v>
      </c>
      <c r="AQ71" s="432">
        <f t="shared" si="18"/>
        <v>97725.6</v>
      </c>
      <c r="AR71" s="432">
        <f t="shared" si="19"/>
        <v>48901.58</v>
      </c>
      <c r="AS71" s="432">
        <f t="shared" si="20"/>
        <v>383805.66</v>
      </c>
      <c r="AT71" s="432"/>
      <c r="AU71" s="433">
        <f t="shared" si="21"/>
        <v>383805.66</v>
      </c>
      <c r="AV71" s="434">
        <v>0.97960400000000003</v>
      </c>
      <c r="AW71" s="433">
        <f t="shared" si="22"/>
        <v>375977.56</v>
      </c>
      <c r="AX71" s="433">
        <f t="shared" si="23"/>
        <v>376</v>
      </c>
      <c r="AY71" s="433">
        <v>12.5</v>
      </c>
      <c r="AZ71" s="433">
        <v>854.75</v>
      </c>
      <c r="BA71" s="435">
        <v>12</v>
      </c>
      <c r="BB71" s="433">
        <f t="shared" si="24"/>
        <v>128212.5</v>
      </c>
      <c r="BC71" s="433"/>
      <c r="BD71" s="433">
        <f t="shared" si="25"/>
        <v>128212.5</v>
      </c>
      <c r="BE71" s="434">
        <v>0.97960400000000003</v>
      </c>
      <c r="BF71" s="433">
        <f t="shared" si="26"/>
        <v>125597.48</v>
      </c>
      <c r="BG71" s="433">
        <f t="shared" si="27"/>
        <v>125.6</v>
      </c>
      <c r="BH71" s="433">
        <f t="shared" si="28"/>
        <v>3496644.26</v>
      </c>
      <c r="BI71" s="433">
        <f t="shared" si="29"/>
        <v>0</v>
      </c>
      <c r="BJ71" s="433">
        <f t="shared" si="30"/>
        <v>0</v>
      </c>
      <c r="BK71" s="433">
        <f t="shared" si="31"/>
        <v>3496644.26</v>
      </c>
      <c r="BL71" s="436">
        <f t="shared" si="32"/>
        <v>3496.7</v>
      </c>
      <c r="BM71" s="437">
        <f t="shared" si="33"/>
        <v>3425326.71</v>
      </c>
      <c r="BN71" s="437">
        <f t="shared" si="34"/>
        <v>3425.3</v>
      </c>
      <c r="BO71" s="438">
        <f t="shared" si="35"/>
        <v>-71.400000000000006</v>
      </c>
      <c r="BP71" s="329">
        <v>3425.3</v>
      </c>
      <c r="BQ71" s="439">
        <f t="shared" si="36"/>
        <v>0</v>
      </c>
    </row>
    <row r="72" spans="1:69" ht="16.5" hidden="1" thickBot="1" x14ac:dyDescent="0.3">
      <c r="A72" s="444" t="s">
        <v>920</v>
      </c>
      <c r="B72" s="445"/>
      <c r="C72" s="446">
        <f t="shared" ref="C72:H72" si="37">SUM(C15:C71)</f>
        <v>7461.54</v>
      </c>
      <c r="D72" s="446">
        <f t="shared" si="37"/>
        <v>10565.17</v>
      </c>
      <c r="E72" s="446">
        <f t="shared" si="37"/>
        <v>18027.099999999999</v>
      </c>
      <c r="F72" s="446">
        <f t="shared" si="37"/>
        <v>52915046.759999998</v>
      </c>
      <c r="G72" s="447">
        <f t="shared" si="37"/>
        <v>0</v>
      </c>
      <c r="H72" s="446">
        <f t="shared" si="37"/>
        <v>52915046.759999998</v>
      </c>
      <c r="I72" s="447"/>
      <c r="J72" s="446">
        <f t="shared" ref="J72:K72" si="38">SUM(J15:J71)</f>
        <v>51835791.460000001</v>
      </c>
      <c r="K72" s="448">
        <f t="shared" si="38"/>
        <v>51835.6</v>
      </c>
      <c r="L72" s="447"/>
      <c r="M72" s="448">
        <f t="shared" ref="M72:P72" si="39">SUM(M15:M71)</f>
        <v>165110</v>
      </c>
      <c r="N72" s="448">
        <f t="shared" si="39"/>
        <v>246180</v>
      </c>
      <c r="O72" s="448">
        <f t="shared" si="39"/>
        <v>411290</v>
      </c>
      <c r="P72" s="446">
        <f t="shared" si="39"/>
        <v>4100561.3</v>
      </c>
      <c r="Q72" s="447">
        <f>SUM(Q15:Q71)</f>
        <v>0</v>
      </c>
      <c r="R72" s="446">
        <f t="shared" ref="R72" si="40">SUM(R15:R71)</f>
        <v>4100561.3</v>
      </c>
      <c r="S72" s="447"/>
      <c r="T72" s="446">
        <f t="shared" ref="T72:U72" si="41">SUM(T15:T71)</f>
        <v>4016926.25</v>
      </c>
      <c r="U72" s="446">
        <f t="shared" si="41"/>
        <v>4016.9</v>
      </c>
      <c r="V72" s="447"/>
      <c r="W72" s="446">
        <f t="shared" ref="W72:Z72" si="42">SUM(W15:W71)</f>
        <v>2378392</v>
      </c>
      <c r="X72" s="446">
        <f t="shared" si="42"/>
        <v>2504777</v>
      </c>
      <c r="Y72" s="446">
        <f t="shared" si="42"/>
        <v>4883169</v>
      </c>
      <c r="Z72" s="446">
        <f t="shared" si="42"/>
        <v>48912185.07</v>
      </c>
      <c r="AA72" s="447">
        <f>SUM(AA15:AA71)</f>
        <v>0</v>
      </c>
      <c r="AB72" s="447">
        <f>SUM(AB15:AB71)</f>
        <v>0</v>
      </c>
      <c r="AC72" s="446">
        <f t="shared" ref="AC72" si="43">SUM(AC15:AC71)</f>
        <v>48912185.07</v>
      </c>
      <c r="AD72" s="447"/>
      <c r="AE72" s="446">
        <f t="shared" ref="AE72:AF72" si="44">SUM(AE15:AE71)</f>
        <v>47914572.159999996</v>
      </c>
      <c r="AF72" s="446">
        <f t="shared" si="44"/>
        <v>47914.7</v>
      </c>
      <c r="AG72" s="447"/>
      <c r="AH72" s="446">
        <f t="shared" ref="AH72:AN72" si="45">SUM(AH15:AH71)</f>
        <v>71621</v>
      </c>
      <c r="AI72" s="446">
        <f t="shared" si="45"/>
        <v>60556</v>
      </c>
      <c r="AJ72" s="446">
        <f t="shared" si="45"/>
        <v>132177</v>
      </c>
      <c r="AK72" s="446">
        <f t="shared" si="45"/>
        <v>1436.4</v>
      </c>
      <c r="AL72" s="446">
        <f t="shared" si="45"/>
        <v>71621</v>
      </c>
      <c r="AM72" s="446">
        <f t="shared" si="45"/>
        <v>60556</v>
      </c>
      <c r="AN72" s="446">
        <f t="shared" si="45"/>
        <v>132177</v>
      </c>
      <c r="AO72" s="447"/>
      <c r="AP72" s="446">
        <f t="shared" ref="AP72:AS72" si="46">SUM(AP15:AP71)</f>
        <v>8083945.3200000003</v>
      </c>
      <c r="AQ72" s="446">
        <f t="shared" si="46"/>
        <v>3330860.4</v>
      </c>
      <c r="AR72" s="446">
        <f t="shared" si="46"/>
        <v>1666751.97</v>
      </c>
      <c r="AS72" s="446">
        <f t="shared" si="46"/>
        <v>13078557.689999999</v>
      </c>
      <c r="AT72" s="447"/>
      <c r="AU72" s="446">
        <f t="shared" ref="AU72" si="47">SUM(AU15:AU71)</f>
        <v>13078557.689999999</v>
      </c>
      <c r="AV72" s="447"/>
      <c r="AW72" s="446">
        <f t="shared" ref="AW72:AY72" si="48">SUM(AW15:AW71)</f>
        <v>12811807.42</v>
      </c>
      <c r="AX72" s="446">
        <f t="shared" si="48"/>
        <v>12811.6</v>
      </c>
      <c r="AY72" s="446">
        <f t="shared" si="48"/>
        <v>674.61</v>
      </c>
      <c r="AZ72" s="447"/>
      <c r="BA72" s="447"/>
      <c r="BB72" s="446">
        <f t="shared" ref="BB72" si="49">SUM(BB15:BB71)</f>
        <v>6919474.7699999996</v>
      </c>
      <c r="BC72" s="447"/>
      <c r="BD72" s="446">
        <f t="shared" ref="BD72" si="50">SUM(BD15:BD71)</f>
        <v>6919474.7699999996</v>
      </c>
      <c r="BE72" s="447"/>
      <c r="BF72" s="446">
        <f t="shared" ref="BF72:BQ72" si="51">SUM(BF15:BF71)</f>
        <v>6778345.1699999999</v>
      </c>
      <c r="BG72" s="446">
        <f t="shared" si="51"/>
        <v>6777.7</v>
      </c>
      <c r="BH72" s="446">
        <f t="shared" si="51"/>
        <v>125925825.59</v>
      </c>
      <c r="BI72" s="446">
        <f t="shared" si="51"/>
        <v>0</v>
      </c>
      <c r="BJ72" s="446">
        <f t="shared" si="51"/>
        <v>0</v>
      </c>
      <c r="BK72" s="446">
        <f t="shared" si="51"/>
        <v>125925825.59</v>
      </c>
      <c r="BL72" s="446">
        <f t="shared" si="51"/>
        <v>125928.9</v>
      </c>
      <c r="BM72" s="446">
        <f t="shared" si="51"/>
        <v>123357442.45999999</v>
      </c>
      <c r="BN72" s="446">
        <f t="shared" si="51"/>
        <v>123356.5</v>
      </c>
      <c r="BO72" s="446">
        <f t="shared" si="51"/>
        <v>-2572.4</v>
      </c>
      <c r="BP72" s="446">
        <f t="shared" si="51"/>
        <v>123356.5</v>
      </c>
      <c r="BQ72" s="446">
        <f t="shared" si="51"/>
        <v>0</v>
      </c>
    </row>
    <row r="73" spans="1:69" ht="15.75" hidden="1" x14ac:dyDescent="0.25">
      <c r="A73" s="449" t="s">
        <v>619</v>
      </c>
      <c r="B73" s="450"/>
      <c r="C73" s="451">
        <f t="shared" ref="C73:H73" si="52">C72-C74</f>
        <v>6669.63</v>
      </c>
      <c r="D73" s="451">
        <f t="shared" si="52"/>
        <v>9347.9500000000007</v>
      </c>
      <c r="E73" s="451">
        <f t="shared" si="52"/>
        <v>16017.9</v>
      </c>
      <c r="F73" s="451">
        <f t="shared" si="52"/>
        <v>47280437.509999998</v>
      </c>
      <c r="G73" s="452">
        <f t="shared" si="52"/>
        <v>0</v>
      </c>
      <c r="H73" s="451">
        <f t="shared" si="52"/>
        <v>47280437.509999998</v>
      </c>
      <c r="I73" s="452"/>
      <c r="J73" s="451">
        <f t="shared" ref="J73:K73" si="53">J72-J74</f>
        <v>46316105.700000003</v>
      </c>
      <c r="K73" s="453">
        <f t="shared" si="53"/>
        <v>46316</v>
      </c>
      <c r="L73" s="452"/>
      <c r="M73" s="453">
        <f t="shared" ref="M73:P73" si="54">M72-M74</f>
        <v>33280</v>
      </c>
      <c r="N73" s="453">
        <f t="shared" si="54"/>
        <v>61610</v>
      </c>
      <c r="O73" s="453">
        <f t="shared" si="54"/>
        <v>94890</v>
      </c>
      <c r="P73" s="451">
        <f t="shared" si="54"/>
        <v>946053.3</v>
      </c>
      <c r="Q73" s="452">
        <f>Q72-Q74</f>
        <v>0</v>
      </c>
      <c r="R73" s="451">
        <f t="shared" ref="R73" si="55">R72-R74</f>
        <v>946053.3</v>
      </c>
      <c r="S73" s="452"/>
      <c r="T73" s="451">
        <f t="shared" ref="T73:U73" si="56">T72-T74</f>
        <v>926757.59</v>
      </c>
      <c r="U73" s="451">
        <f t="shared" si="56"/>
        <v>926.7</v>
      </c>
      <c r="V73" s="452"/>
      <c r="W73" s="451">
        <f t="shared" ref="W73:Z73" si="57">W72-W74</f>
        <v>2008581</v>
      </c>
      <c r="X73" s="451">
        <f t="shared" si="57"/>
        <v>2190310</v>
      </c>
      <c r="Y73" s="451">
        <f t="shared" si="57"/>
        <v>4198891</v>
      </c>
      <c r="Z73" s="451">
        <f t="shared" si="57"/>
        <v>42114876.729999997</v>
      </c>
      <c r="AA73" s="452">
        <f>AA72-AA74</f>
        <v>0</v>
      </c>
      <c r="AB73" s="452">
        <f>AB72-AB74</f>
        <v>0</v>
      </c>
      <c r="AC73" s="451">
        <f t="shared" ref="AC73" si="58">AC72-AC74</f>
        <v>42114876.729999997</v>
      </c>
      <c r="AD73" s="452"/>
      <c r="AE73" s="451">
        <f t="shared" ref="AE73:AF73" si="59">AE72-AE74</f>
        <v>41255901.710000001</v>
      </c>
      <c r="AF73" s="451">
        <f t="shared" si="59"/>
        <v>41255.9</v>
      </c>
      <c r="AG73" s="452"/>
      <c r="AH73" s="451">
        <f t="shared" ref="AH73:AN73" si="60">AH72-AH74</f>
        <v>60109</v>
      </c>
      <c r="AI73" s="451">
        <f t="shared" si="60"/>
        <v>55785</v>
      </c>
      <c r="AJ73" s="451">
        <f t="shared" si="60"/>
        <v>115894</v>
      </c>
      <c r="AK73" s="451">
        <f t="shared" si="60"/>
        <v>1260</v>
      </c>
      <c r="AL73" s="451">
        <f t="shared" si="60"/>
        <v>60109</v>
      </c>
      <c r="AM73" s="451">
        <f t="shared" si="60"/>
        <v>55785</v>
      </c>
      <c r="AN73" s="451">
        <f t="shared" si="60"/>
        <v>115894</v>
      </c>
      <c r="AO73" s="452"/>
      <c r="AP73" s="451">
        <f t="shared" ref="AP73:AS73" si="61">AP72-AP74</f>
        <v>7088077.04</v>
      </c>
      <c r="AQ73" s="451">
        <f t="shared" si="61"/>
        <v>2920528.8</v>
      </c>
      <c r="AR73" s="451">
        <f t="shared" si="61"/>
        <v>1461423.34</v>
      </c>
      <c r="AS73" s="451">
        <f t="shared" si="61"/>
        <v>11470029.18</v>
      </c>
      <c r="AT73" s="452"/>
      <c r="AU73" s="451">
        <f t="shared" ref="AU73" si="62">AU72-AU74</f>
        <v>11470029.18</v>
      </c>
      <c r="AV73" s="452"/>
      <c r="AW73" s="451">
        <f t="shared" ref="AW73:AY73" si="63">AW72-AW74</f>
        <v>11236086.460000001</v>
      </c>
      <c r="AX73" s="451">
        <f t="shared" si="63"/>
        <v>11236.1</v>
      </c>
      <c r="AY73" s="451">
        <f t="shared" si="63"/>
        <v>571.05999999999995</v>
      </c>
      <c r="AZ73" s="452"/>
      <c r="BA73" s="452"/>
      <c r="BB73" s="451">
        <f t="shared" ref="BB73" si="64">BB72-BB74</f>
        <v>5857362.4199999999</v>
      </c>
      <c r="BC73" s="452"/>
      <c r="BD73" s="451">
        <f t="shared" ref="BD73" si="65">BD72-BD74</f>
        <v>5857362.4199999999</v>
      </c>
      <c r="BE73" s="452"/>
      <c r="BF73" s="451">
        <f t="shared" ref="BF73:BQ73" si="66">BF72-BF74</f>
        <v>5737895.6799999997</v>
      </c>
      <c r="BG73" s="451">
        <f t="shared" si="66"/>
        <v>5737.3</v>
      </c>
      <c r="BH73" s="451">
        <f t="shared" si="66"/>
        <v>107668759.14</v>
      </c>
      <c r="BI73" s="451">
        <f t="shared" si="66"/>
        <v>0</v>
      </c>
      <c r="BJ73" s="451">
        <f t="shared" si="66"/>
        <v>0</v>
      </c>
      <c r="BK73" s="451">
        <f t="shared" si="66"/>
        <v>107668759.14</v>
      </c>
      <c r="BL73" s="451">
        <f t="shared" si="66"/>
        <v>107671.5</v>
      </c>
      <c r="BM73" s="451">
        <f t="shared" si="66"/>
        <v>105472747.14</v>
      </c>
      <c r="BN73" s="451">
        <f t="shared" si="66"/>
        <v>105472</v>
      </c>
      <c r="BO73" s="451">
        <f t="shared" si="66"/>
        <v>-2199.5</v>
      </c>
      <c r="BP73" s="451">
        <f t="shared" si="66"/>
        <v>105472</v>
      </c>
      <c r="BQ73" s="451">
        <f t="shared" si="66"/>
        <v>0</v>
      </c>
    </row>
    <row r="74" spans="1:69" ht="16.5" hidden="1" thickBot="1" x14ac:dyDescent="0.3">
      <c r="A74" s="454" t="s">
        <v>620</v>
      </c>
      <c r="B74" s="455"/>
      <c r="C74" s="456">
        <f>C15+C18+C21+C51+C53+C20+C22</f>
        <v>791.91</v>
      </c>
      <c r="D74" s="456">
        <f t="shared" ref="D74:BD74" si="67">D15+D18+D21+D51+D53+D20+D22</f>
        <v>1217.22</v>
      </c>
      <c r="E74" s="456">
        <f t="shared" si="67"/>
        <v>2009.2</v>
      </c>
      <c r="F74" s="456">
        <f t="shared" si="67"/>
        <v>5634609.25</v>
      </c>
      <c r="G74" s="457">
        <f t="shared" si="67"/>
        <v>0</v>
      </c>
      <c r="H74" s="456">
        <f t="shared" si="67"/>
        <v>5634609.25</v>
      </c>
      <c r="I74" s="457"/>
      <c r="J74" s="456">
        <f t="shared" ref="J74:K74" si="68">J15+J18+J21+J51+J53+J20+J22</f>
        <v>5519685.7599999998</v>
      </c>
      <c r="K74" s="458">
        <f t="shared" si="68"/>
        <v>5519.6</v>
      </c>
      <c r="L74" s="457"/>
      <c r="M74" s="458">
        <f t="shared" ref="M74:P74" si="69">M15+M18+M21+M51+M53+M20+M22</f>
        <v>131830</v>
      </c>
      <c r="N74" s="458">
        <f t="shared" si="69"/>
        <v>184570</v>
      </c>
      <c r="O74" s="458">
        <f t="shared" si="69"/>
        <v>316400</v>
      </c>
      <c r="P74" s="456">
        <f t="shared" si="69"/>
        <v>3154508</v>
      </c>
      <c r="Q74" s="457">
        <f t="shared" si="67"/>
        <v>0</v>
      </c>
      <c r="R74" s="456">
        <f t="shared" si="67"/>
        <v>3154508</v>
      </c>
      <c r="S74" s="457"/>
      <c r="T74" s="456">
        <f t="shared" ref="T74:U74" si="70">T15+T18+T21+T51+T53+T20+T22</f>
        <v>3090168.66</v>
      </c>
      <c r="U74" s="456">
        <f t="shared" si="70"/>
        <v>3090.2</v>
      </c>
      <c r="V74" s="457"/>
      <c r="W74" s="456">
        <f t="shared" ref="W74:Z74" si="71">W15+W18+W21+W51+W53+W20+W22</f>
        <v>369811</v>
      </c>
      <c r="X74" s="456">
        <f t="shared" si="71"/>
        <v>314467</v>
      </c>
      <c r="Y74" s="456">
        <f t="shared" si="71"/>
        <v>684278</v>
      </c>
      <c r="Z74" s="456">
        <f t="shared" si="71"/>
        <v>6797308.3399999999</v>
      </c>
      <c r="AA74" s="457">
        <f t="shared" si="67"/>
        <v>0</v>
      </c>
      <c r="AB74" s="457">
        <f t="shared" si="67"/>
        <v>0</v>
      </c>
      <c r="AC74" s="456">
        <f t="shared" si="67"/>
        <v>6797308.3399999999</v>
      </c>
      <c r="AD74" s="457"/>
      <c r="AE74" s="456">
        <f t="shared" ref="AE74:AF74" si="72">AE15+AE18+AE21+AE51+AE53+AE20+AE22</f>
        <v>6658670.4500000002</v>
      </c>
      <c r="AF74" s="456">
        <f t="shared" si="72"/>
        <v>6658.8</v>
      </c>
      <c r="AG74" s="457"/>
      <c r="AH74" s="456">
        <f t="shared" ref="AH74:AN74" si="73">AH15+AH18+AH21+AH51+AH53+AH20+AH22</f>
        <v>11512</v>
      </c>
      <c r="AI74" s="456">
        <f t="shared" si="73"/>
        <v>4771</v>
      </c>
      <c r="AJ74" s="456">
        <f t="shared" si="73"/>
        <v>16283</v>
      </c>
      <c r="AK74" s="456">
        <f t="shared" si="73"/>
        <v>176.4</v>
      </c>
      <c r="AL74" s="456">
        <f t="shared" si="73"/>
        <v>11512</v>
      </c>
      <c r="AM74" s="456">
        <f t="shared" si="73"/>
        <v>4771</v>
      </c>
      <c r="AN74" s="456">
        <f t="shared" si="73"/>
        <v>16283</v>
      </c>
      <c r="AO74" s="457"/>
      <c r="AP74" s="456">
        <f t="shared" ref="AP74:AS74" si="74">AP15+AP18+AP21+AP51+AP53+AP20+AP22</f>
        <v>995868.28</v>
      </c>
      <c r="AQ74" s="456">
        <f t="shared" si="74"/>
        <v>410331.6</v>
      </c>
      <c r="AR74" s="456">
        <f t="shared" si="74"/>
        <v>205328.63</v>
      </c>
      <c r="AS74" s="456">
        <f t="shared" si="74"/>
        <v>1608528.51</v>
      </c>
      <c r="AT74" s="457">
        <f t="shared" si="67"/>
        <v>0</v>
      </c>
      <c r="AU74" s="456">
        <f t="shared" si="67"/>
        <v>1608528.51</v>
      </c>
      <c r="AV74" s="457"/>
      <c r="AW74" s="456">
        <f t="shared" ref="AW74:AY74" si="75">AW15+AW18+AW21+AW51+AW53+AW20+AW22</f>
        <v>1575720.96</v>
      </c>
      <c r="AX74" s="456">
        <f t="shared" si="75"/>
        <v>1575.5</v>
      </c>
      <c r="AY74" s="456">
        <f t="shared" si="75"/>
        <v>103.55</v>
      </c>
      <c r="AZ74" s="457"/>
      <c r="BA74" s="457"/>
      <c r="BB74" s="456">
        <f t="shared" ref="BB74" si="76">BB15+BB18+BB21+BB51+BB53+BB20+BB22</f>
        <v>1062112.3500000001</v>
      </c>
      <c r="BC74" s="457">
        <f t="shared" si="67"/>
        <v>0</v>
      </c>
      <c r="BD74" s="456">
        <f t="shared" si="67"/>
        <v>1062112.3500000001</v>
      </c>
      <c r="BE74" s="457"/>
      <c r="BF74" s="456">
        <f t="shared" ref="BF74:BQ74" si="77">BF15+BF18+BF21+BF51+BF53+BF20+BF22</f>
        <v>1040449.49</v>
      </c>
      <c r="BG74" s="456">
        <f t="shared" si="77"/>
        <v>1040.4000000000001</v>
      </c>
      <c r="BH74" s="456">
        <f t="shared" si="77"/>
        <v>18257066.449999999</v>
      </c>
      <c r="BI74" s="456">
        <f t="shared" si="77"/>
        <v>0</v>
      </c>
      <c r="BJ74" s="456">
        <f t="shared" si="77"/>
        <v>0</v>
      </c>
      <c r="BK74" s="456">
        <f t="shared" si="77"/>
        <v>18257066.449999999</v>
      </c>
      <c r="BL74" s="456">
        <f t="shared" si="77"/>
        <v>18257.400000000001</v>
      </c>
      <c r="BM74" s="456">
        <f t="shared" si="77"/>
        <v>17884695.32</v>
      </c>
      <c r="BN74" s="456">
        <f t="shared" si="77"/>
        <v>17884.5</v>
      </c>
      <c r="BO74" s="456">
        <f t="shared" si="77"/>
        <v>-372.9</v>
      </c>
      <c r="BP74" s="456">
        <f t="shared" si="77"/>
        <v>17884.5</v>
      </c>
      <c r="BQ74" s="456">
        <f t="shared" si="77"/>
        <v>0</v>
      </c>
    </row>
    <row r="75" spans="1:69" s="329" customFormat="1" ht="31.5" hidden="1" x14ac:dyDescent="0.25">
      <c r="A75" s="459" t="s">
        <v>921</v>
      </c>
      <c r="B75" s="432">
        <v>2588.77</v>
      </c>
      <c r="C75" s="432">
        <v>72.599999999999994</v>
      </c>
      <c r="D75" s="432">
        <v>121.81</v>
      </c>
      <c r="E75" s="432">
        <f>ROUND(C75+D75,1)</f>
        <v>194.4</v>
      </c>
      <c r="F75" s="432">
        <f>ROUND(B75*E75,2)</f>
        <v>503256.89</v>
      </c>
      <c r="G75" s="432"/>
      <c r="H75" s="433">
        <f>ROUND(F75-G75,2)</f>
        <v>503256.89</v>
      </c>
      <c r="I75" s="434">
        <v>0.97960400000000003</v>
      </c>
      <c r="J75" s="433">
        <f>ROUND(H75*I75,2)</f>
        <v>492992.46</v>
      </c>
      <c r="K75" s="433">
        <f>ROUND(J75/1000,1)</f>
        <v>493</v>
      </c>
      <c r="L75" s="432"/>
      <c r="M75" s="432"/>
      <c r="N75" s="432"/>
      <c r="O75" s="432">
        <f>ROUND(M75+N75,1)</f>
        <v>0</v>
      </c>
      <c r="P75" s="432">
        <f>ROUND(L75*O75,2)</f>
        <v>0</v>
      </c>
      <c r="Q75" s="432"/>
      <c r="R75" s="433">
        <f>ROUND(P75-Q75,2)</f>
        <v>0</v>
      </c>
      <c r="S75" s="434">
        <v>0.97960400000000003</v>
      </c>
      <c r="T75" s="433">
        <f>ROUND(R75*S75,2)</f>
        <v>0</v>
      </c>
      <c r="U75" s="433">
        <f>ROUND(T75/1000,1)</f>
        <v>0</v>
      </c>
      <c r="V75" s="432">
        <v>10.029999999999999</v>
      </c>
      <c r="W75" s="432">
        <v>23000</v>
      </c>
      <c r="X75" s="432">
        <v>25224</v>
      </c>
      <c r="Y75" s="432">
        <f>ROUND(W75+X75,1)</f>
        <v>48224</v>
      </c>
      <c r="Z75" s="432">
        <f>ROUND(V75*Y75,2)</f>
        <v>483686.72</v>
      </c>
      <c r="AA75" s="432">
        <v>149380</v>
      </c>
      <c r="AB75" s="432"/>
      <c r="AC75" s="433">
        <f t="shared" ref="AC75:AC105" si="78">ROUND(Z75-AA75-AB75,2)</f>
        <v>334306.71999999997</v>
      </c>
      <c r="AD75" s="434">
        <v>0.97960400000000003</v>
      </c>
      <c r="AE75" s="433">
        <f>ROUND(AC75*AD75,2)</f>
        <v>327488.2</v>
      </c>
      <c r="AF75" s="433">
        <f>ROUND(AE75/1000,1)</f>
        <v>327.5</v>
      </c>
      <c r="AG75" s="432">
        <v>61.16</v>
      </c>
      <c r="AH75" s="432">
        <v>479</v>
      </c>
      <c r="AI75" s="432">
        <v>275</v>
      </c>
      <c r="AJ75" s="432">
        <f>ROUND(AH75+AI75,1)</f>
        <v>754</v>
      </c>
      <c r="AK75" s="432">
        <v>25.2</v>
      </c>
      <c r="AL75" s="432">
        <v>479</v>
      </c>
      <c r="AM75" s="432">
        <v>275</v>
      </c>
      <c r="AN75" s="432">
        <f>ROUND(AL75+AM75,1)</f>
        <v>754</v>
      </c>
      <c r="AO75" s="432">
        <v>12.61</v>
      </c>
      <c r="AP75" s="432">
        <f>ROUND(AG75*AJ75,2)</f>
        <v>46114.64</v>
      </c>
      <c r="AQ75" s="432">
        <f>ROUND(AK75*AN75,2)</f>
        <v>19000.8</v>
      </c>
      <c r="AR75" s="432">
        <f t="shared" ref="AR75:AR105" si="79">ROUND(AN75*AO75,2)</f>
        <v>9507.94</v>
      </c>
      <c r="AS75" s="432">
        <f>AR75+AP75+AQ75</f>
        <v>74623.38</v>
      </c>
      <c r="AT75" s="432">
        <v>32816.800000000003</v>
      </c>
      <c r="AU75" s="433">
        <f>ROUND(AS75-AT75,2)</f>
        <v>41806.58</v>
      </c>
      <c r="AV75" s="434">
        <v>0.97960400000000003</v>
      </c>
      <c r="AW75" s="433">
        <f>ROUND(AU75*AV75,2)</f>
        <v>40953.89</v>
      </c>
      <c r="AX75" s="433">
        <f>ROUND(AW75/1000,1)</f>
        <v>41</v>
      </c>
      <c r="AY75" s="433">
        <v>9</v>
      </c>
      <c r="AZ75" s="433">
        <v>854.75</v>
      </c>
      <c r="BA75" s="435">
        <v>12</v>
      </c>
      <c r="BB75" s="433">
        <f>ROUND(AY75*AZ75*BA75,2)</f>
        <v>92313</v>
      </c>
      <c r="BC75" s="433"/>
      <c r="BD75" s="433">
        <f>ROUND(BB75-BC75,2)</f>
        <v>92313</v>
      </c>
      <c r="BE75" s="434">
        <v>0.97960400000000003</v>
      </c>
      <c r="BF75" s="433">
        <f>ROUND(BD75*BE75,2)</f>
        <v>90430.18</v>
      </c>
      <c r="BG75" s="433">
        <f>ROUND(BF75/1000,1)</f>
        <v>90.4</v>
      </c>
      <c r="BH75" s="433">
        <f>F75+P75+Z75+AS75+BB75</f>
        <v>1153879.99</v>
      </c>
      <c r="BI75" s="433">
        <f>ROUND(G75+Q75+AA75+AT75+BC75,2)</f>
        <v>182196.8</v>
      </c>
      <c r="BJ75" s="433">
        <f t="shared" ref="BJ75:BJ105" si="80">AB75</f>
        <v>0</v>
      </c>
      <c r="BK75" s="433">
        <f t="shared" ref="BK75:BK105" si="81">ROUND(BH75-BI75-BJ75,2)</f>
        <v>971683.19</v>
      </c>
      <c r="BL75" s="436">
        <f t="shared" ref="BL75:BL105" si="82">ROUNDUP(BK75/1000,1)</f>
        <v>971.7</v>
      </c>
      <c r="BM75" s="437">
        <f>ROUND(J75+T75+AE75+AW75+BF75,2)</f>
        <v>951864.73</v>
      </c>
      <c r="BN75" s="437">
        <f>ROUND(K75+U75+AF75+AX75+BG75,1)</f>
        <v>951.9</v>
      </c>
      <c r="BO75" s="438">
        <f t="shared" ref="BO75:BO116" si="83">BN75-BL75</f>
        <v>-19.8</v>
      </c>
      <c r="BP75" s="329">
        <v>951.9</v>
      </c>
      <c r="BQ75" s="439">
        <f t="shared" si="36"/>
        <v>0</v>
      </c>
    </row>
    <row r="76" spans="1:69" s="329" customFormat="1" ht="31.5" hidden="1" x14ac:dyDescent="0.25">
      <c r="A76" s="431" t="s">
        <v>922</v>
      </c>
      <c r="B76" s="432">
        <v>3274.05</v>
      </c>
      <c r="C76" s="432">
        <v>180.7</v>
      </c>
      <c r="D76" s="432">
        <v>335.39</v>
      </c>
      <c r="E76" s="432">
        <f t="shared" ref="E76:E105" si="84">ROUND(C76+D76,1)</f>
        <v>516.1</v>
      </c>
      <c r="F76" s="432">
        <f t="shared" ref="F76:F105" si="85">ROUND(B76*E76,2)</f>
        <v>1689737.21</v>
      </c>
      <c r="G76" s="432"/>
      <c r="H76" s="433">
        <f t="shared" ref="H76:H105" si="86">ROUND(F76-G76,2)</f>
        <v>1689737.21</v>
      </c>
      <c r="I76" s="434">
        <v>0.97960400000000003</v>
      </c>
      <c r="J76" s="433">
        <f t="shared" ref="J76:J105" si="87">ROUND(H76*I76,2)</f>
        <v>1655273.33</v>
      </c>
      <c r="K76" s="433">
        <f t="shared" ref="K76:K105" si="88">ROUND(J76/1000,1)</f>
        <v>1655.3</v>
      </c>
      <c r="L76" s="432"/>
      <c r="M76" s="432"/>
      <c r="N76" s="432"/>
      <c r="O76" s="432">
        <f t="shared" ref="O76:O105" si="89">ROUND(M76+N76,1)</f>
        <v>0</v>
      </c>
      <c r="P76" s="432">
        <f t="shared" ref="P76:P105" si="90">ROUND(L76*O76,2)</f>
        <v>0</v>
      </c>
      <c r="Q76" s="432"/>
      <c r="R76" s="433">
        <f t="shared" ref="R76:R105" si="91">ROUND(P76-Q76,2)</f>
        <v>0</v>
      </c>
      <c r="S76" s="434">
        <v>0.97960400000000003</v>
      </c>
      <c r="T76" s="433">
        <f t="shared" ref="T76:T105" si="92">ROUND(R76*S76,2)</f>
        <v>0</v>
      </c>
      <c r="U76" s="433">
        <f t="shared" ref="U76:U105" si="93">ROUND(T76/1000,1)</f>
        <v>0</v>
      </c>
      <c r="V76" s="432">
        <v>10.029999999999999</v>
      </c>
      <c r="W76" s="432">
        <v>37540</v>
      </c>
      <c r="X76" s="432">
        <v>35400</v>
      </c>
      <c r="Y76" s="432">
        <f t="shared" ref="Y76:Y105" si="94">ROUND(W76+X76,1)</f>
        <v>72940</v>
      </c>
      <c r="Z76" s="432">
        <f t="shared" ref="Z76:Z105" si="95">ROUND(V76*Y76,2)</f>
        <v>731588.2</v>
      </c>
      <c r="AA76" s="432">
        <v>194700</v>
      </c>
      <c r="AB76" s="432"/>
      <c r="AC76" s="433">
        <f t="shared" si="78"/>
        <v>536888.19999999995</v>
      </c>
      <c r="AD76" s="434">
        <v>0.97960400000000003</v>
      </c>
      <c r="AE76" s="433">
        <f t="shared" ref="AE76:AE105" si="96">ROUND(AC76*AD76,2)</f>
        <v>525937.82999999996</v>
      </c>
      <c r="AF76" s="433">
        <f t="shared" ref="AF76:AF105" si="97">ROUND(AE76/1000,1)</f>
        <v>525.9</v>
      </c>
      <c r="AG76" s="432">
        <v>61.16</v>
      </c>
      <c r="AH76" s="432">
        <v>970</v>
      </c>
      <c r="AI76" s="432">
        <v>940</v>
      </c>
      <c r="AJ76" s="432">
        <f t="shared" ref="AJ76:AJ105" si="98">ROUND(AH76+AI76,1)</f>
        <v>1910</v>
      </c>
      <c r="AK76" s="432">
        <v>25.2</v>
      </c>
      <c r="AL76" s="432">
        <v>970</v>
      </c>
      <c r="AM76" s="432">
        <v>940</v>
      </c>
      <c r="AN76" s="432">
        <f t="shared" ref="AN76:AN105" si="99">ROUND(AL76+AM76,1)</f>
        <v>1910</v>
      </c>
      <c r="AO76" s="432">
        <v>12.61</v>
      </c>
      <c r="AP76" s="432">
        <f t="shared" ref="AP76:AP105" si="100">ROUND(AG76*AJ76,2)</f>
        <v>116815.6</v>
      </c>
      <c r="AQ76" s="432">
        <f t="shared" ref="AQ76:AQ105" si="101">ROUND(AK76*AN76,2)</f>
        <v>48132</v>
      </c>
      <c r="AR76" s="432">
        <f t="shared" si="79"/>
        <v>24085.1</v>
      </c>
      <c r="AS76" s="432">
        <f t="shared" ref="AS76:AS105" si="102">AR76+AP76+AQ76</f>
        <v>189032.7</v>
      </c>
      <c r="AT76" s="432">
        <v>73406</v>
      </c>
      <c r="AU76" s="433">
        <f t="shared" ref="AU76:AU105" si="103">ROUND(AS76-AT76,2)</f>
        <v>115626.7</v>
      </c>
      <c r="AV76" s="434">
        <v>0.97960400000000003</v>
      </c>
      <c r="AW76" s="433">
        <f t="shared" ref="AW76:AW105" si="104">ROUND(AU76*AV76,2)</f>
        <v>113268.38</v>
      </c>
      <c r="AX76" s="433">
        <f t="shared" ref="AX76:AX105" si="105">ROUND(AW76/1000,1)</f>
        <v>113.3</v>
      </c>
      <c r="AY76" s="433">
        <v>13.38</v>
      </c>
      <c r="AZ76" s="433">
        <v>854.75</v>
      </c>
      <c r="BA76" s="435">
        <v>12</v>
      </c>
      <c r="BB76" s="433">
        <f t="shared" ref="BB76:BB105" si="106">ROUND(AY76*AZ76*BA76,2)</f>
        <v>137238.66</v>
      </c>
      <c r="BC76" s="433"/>
      <c r="BD76" s="433">
        <f t="shared" ref="BD76:BD105" si="107">ROUND(BB76-BC76,2)</f>
        <v>137238.66</v>
      </c>
      <c r="BE76" s="434">
        <v>0.97960400000000003</v>
      </c>
      <c r="BF76" s="433">
        <f t="shared" ref="BF76:BF105" si="108">ROUND(BD76*BE76,2)</f>
        <v>134439.54</v>
      </c>
      <c r="BG76" s="433">
        <f t="shared" ref="BG76:BG104" si="109">ROUND(BF76/1000,1)</f>
        <v>134.4</v>
      </c>
      <c r="BH76" s="433">
        <f t="shared" ref="BH76:BH105" si="110">F76+P76+Z76+AS76+BB76</f>
        <v>2747596.77</v>
      </c>
      <c r="BI76" s="433">
        <f t="shared" ref="BI76:BI105" si="111">ROUND(G76+Q76+AA76+AT76+BC76,2)</f>
        <v>268106</v>
      </c>
      <c r="BJ76" s="433">
        <f t="shared" si="80"/>
        <v>0</v>
      </c>
      <c r="BK76" s="433">
        <f t="shared" si="81"/>
        <v>2479490.77</v>
      </c>
      <c r="BL76" s="436">
        <f t="shared" si="82"/>
        <v>2479.5</v>
      </c>
      <c r="BM76" s="437">
        <f t="shared" ref="BM76:BM105" si="112">ROUND(J76+T76+AE76+AW76+BF76,2)</f>
        <v>2428919.08</v>
      </c>
      <c r="BN76" s="437">
        <f>ROUND(K76+U76+AF76+AX76+BG76,1)</f>
        <v>2428.9</v>
      </c>
      <c r="BO76" s="438">
        <f t="shared" si="83"/>
        <v>-50.6</v>
      </c>
      <c r="BP76" s="329">
        <v>2428.9</v>
      </c>
      <c r="BQ76" s="439">
        <f t="shared" si="36"/>
        <v>0</v>
      </c>
    </row>
    <row r="77" spans="1:69" s="329" customFormat="1" ht="31.5" hidden="1" x14ac:dyDescent="0.25">
      <c r="A77" s="431" t="s">
        <v>713</v>
      </c>
      <c r="B77" s="432">
        <v>2588.77</v>
      </c>
      <c r="C77" s="432">
        <v>226</v>
      </c>
      <c r="D77" s="432">
        <v>282</v>
      </c>
      <c r="E77" s="432">
        <f t="shared" si="84"/>
        <v>508</v>
      </c>
      <c r="F77" s="432">
        <f t="shared" si="85"/>
        <v>1315095.1599999999</v>
      </c>
      <c r="G77" s="432">
        <v>27513.53</v>
      </c>
      <c r="H77" s="433">
        <f t="shared" si="86"/>
        <v>1287581.6299999999</v>
      </c>
      <c r="I77" s="434">
        <v>0.97960400000000003</v>
      </c>
      <c r="J77" s="433">
        <f t="shared" si="87"/>
        <v>1261320.1200000001</v>
      </c>
      <c r="K77" s="433">
        <f t="shared" si="88"/>
        <v>1261.3</v>
      </c>
      <c r="L77" s="432"/>
      <c r="M77" s="432"/>
      <c r="N77" s="432"/>
      <c r="O77" s="432">
        <f t="shared" si="89"/>
        <v>0</v>
      </c>
      <c r="P77" s="432">
        <f t="shared" si="90"/>
        <v>0</v>
      </c>
      <c r="Q77" s="432"/>
      <c r="R77" s="433">
        <f t="shared" si="91"/>
        <v>0</v>
      </c>
      <c r="S77" s="434">
        <v>0.97960400000000003</v>
      </c>
      <c r="T77" s="433">
        <f t="shared" si="92"/>
        <v>0</v>
      </c>
      <c r="U77" s="433">
        <f t="shared" si="93"/>
        <v>0</v>
      </c>
      <c r="V77" s="432">
        <v>10.029999999999999</v>
      </c>
      <c r="W77" s="432">
        <v>27097</v>
      </c>
      <c r="X77" s="432">
        <v>29611</v>
      </c>
      <c r="Y77" s="432">
        <f t="shared" si="94"/>
        <v>56708</v>
      </c>
      <c r="Z77" s="432">
        <f t="shared" si="95"/>
        <v>568781.24</v>
      </c>
      <c r="AA77" s="432">
        <v>110000</v>
      </c>
      <c r="AB77" s="432"/>
      <c r="AC77" s="433">
        <f t="shared" si="78"/>
        <v>458781.24</v>
      </c>
      <c r="AD77" s="434">
        <v>0.97960400000000003</v>
      </c>
      <c r="AE77" s="433">
        <f t="shared" si="96"/>
        <v>449423.94</v>
      </c>
      <c r="AF77" s="433">
        <f t="shared" si="97"/>
        <v>449.4</v>
      </c>
      <c r="AG77" s="432">
        <v>61.16</v>
      </c>
      <c r="AH77" s="432">
        <v>623</v>
      </c>
      <c r="AI77" s="432">
        <v>788</v>
      </c>
      <c r="AJ77" s="432">
        <f t="shared" si="98"/>
        <v>1411</v>
      </c>
      <c r="AK77" s="432">
        <v>25.2</v>
      </c>
      <c r="AL77" s="432">
        <v>623</v>
      </c>
      <c r="AM77" s="432">
        <v>788</v>
      </c>
      <c r="AN77" s="432">
        <f t="shared" si="99"/>
        <v>1411</v>
      </c>
      <c r="AO77" s="432">
        <v>12.61</v>
      </c>
      <c r="AP77" s="432">
        <f t="shared" si="100"/>
        <v>86296.76</v>
      </c>
      <c r="AQ77" s="432">
        <f t="shared" si="101"/>
        <v>35557.199999999997</v>
      </c>
      <c r="AR77" s="432">
        <f t="shared" si="79"/>
        <v>17792.71</v>
      </c>
      <c r="AS77" s="432">
        <f t="shared" si="102"/>
        <v>139646.67000000001</v>
      </c>
      <c r="AT77" s="432">
        <v>8344</v>
      </c>
      <c r="AU77" s="433">
        <f t="shared" si="103"/>
        <v>131302.67000000001</v>
      </c>
      <c r="AV77" s="434">
        <v>0.97960400000000003</v>
      </c>
      <c r="AW77" s="433">
        <f t="shared" si="104"/>
        <v>128624.62</v>
      </c>
      <c r="AX77" s="433">
        <f t="shared" si="105"/>
        <v>128.6</v>
      </c>
      <c r="AY77" s="433">
        <v>6.69</v>
      </c>
      <c r="AZ77" s="433">
        <v>854.75</v>
      </c>
      <c r="BA77" s="435">
        <v>12</v>
      </c>
      <c r="BB77" s="433">
        <f t="shared" si="106"/>
        <v>68619.33</v>
      </c>
      <c r="BC77" s="433"/>
      <c r="BD77" s="433">
        <f t="shared" si="107"/>
        <v>68619.33</v>
      </c>
      <c r="BE77" s="434">
        <v>0.97960400000000003</v>
      </c>
      <c r="BF77" s="433">
        <f t="shared" si="108"/>
        <v>67219.77</v>
      </c>
      <c r="BG77" s="433">
        <f t="shared" si="109"/>
        <v>67.2</v>
      </c>
      <c r="BH77" s="433">
        <f t="shared" si="110"/>
        <v>2092142.4</v>
      </c>
      <c r="BI77" s="433">
        <f t="shared" si="111"/>
        <v>145857.53</v>
      </c>
      <c r="BJ77" s="433">
        <f t="shared" si="80"/>
        <v>0</v>
      </c>
      <c r="BK77" s="433">
        <f t="shared" si="81"/>
        <v>1946284.87</v>
      </c>
      <c r="BL77" s="436">
        <f t="shared" si="82"/>
        <v>1946.3</v>
      </c>
      <c r="BM77" s="437">
        <f t="shared" si="112"/>
        <v>1906588.45</v>
      </c>
      <c r="BN77" s="437">
        <f t="shared" ref="BN77:BN103" si="113">ROUND(K77+U77+AF77+AX77+BG77,1)</f>
        <v>1906.5</v>
      </c>
      <c r="BO77" s="438">
        <f t="shared" si="83"/>
        <v>-39.799999999999997</v>
      </c>
      <c r="BP77" s="329">
        <v>1906.5</v>
      </c>
      <c r="BQ77" s="439">
        <f t="shared" si="36"/>
        <v>0</v>
      </c>
    </row>
    <row r="78" spans="1:69" s="329" customFormat="1" ht="15.75" hidden="1" x14ac:dyDescent="0.25">
      <c r="A78" s="431" t="s">
        <v>714</v>
      </c>
      <c r="B78" s="432">
        <v>2588.77</v>
      </c>
      <c r="C78" s="432">
        <v>117.34</v>
      </c>
      <c r="D78" s="432">
        <v>200.02</v>
      </c>
      <c r="E78" s="432">
        <f t="shared" si="84"/>
        <v>317.39999999999998</v>
      </c>
      <c r="F78" s="432">
        <f t="shared" si="85"/>
        <v>821675.6</v>
      </c>
      <c r="G78" s="432">
        <v>0</v>
      </c>
      <c r="H78" s="433">
        <f t="shared" si="86"/>
        <v>821675.6</v>
      </c>
      <c r="I78" s="434">
        <v>0.97960400000000003</v>
      </c>
      <c r="J78" s="433">
        <f t="shared" si="87"/>
        <v>804916.7</v>
      </c>
      <c r="K78" s="433">
        <f t="shared" si="88"/>
        <v>804.9</v>
      </c>
      <c r="L78" s="432"/>
      <c r="M78" s="432"/>
      <c r="N78" s="432"/>
      <c r="O78" s="432">
        <f t="shared" si="89"/>
        <v>0</v>
      </c>
      <c r="P78" s="432">
        <f t="shared" si="90"/>
        <v>0</v>
      </c>
      <c r="Q78" s="432"/>
      <c r="R78" s="433">
        <f t="shared" si="91"/>
        <v>0</v>
      </c>
      <c r="S78" s="434">
        <v>0.97960400000000003</v>
      </c>
      <c r="T78" s="433">
        <f t="shared" si="92"/>
        <v>0</v>
      </c>
      <c r="U78" s="433">
        <f t="shared" si="93"/>
        <v>0</v>
      </c>
      <c r="V78" s="432">
        <v>10.029999999999999</v>
      </c>
      <c r="W78" s="432">
        <v>13954</v>
      </c>
      <c r="X78" s="432">
        <v>17083</v>
      </c>
      <c r="Y78" s="432">
        <f t="shared" si="94"/>
        <v>31037</v>
      </c>
      <c r="Z78" s="432">
        <f t="shared" si="95"/>
        <v>311301.11</v>
      </c>
      <c r="AA78" s="432">
        <v>80000</v>
      </c>
      <c r="AB78" s="432"/>
      <c r="AC78" s="433">
        <f t="shared" si="78"/>
        <v>231301.11</v>
      </c>
      <c r="AD78" s="434">
        <v>0.97960400000000003</v>
      </c>
      <c r="AE78" s="433">
        <f t="shared" si="96"/>
        <v>226583.49</v>
      </c>
      <c r="AF78" s="433">
        <f t="shared" si="97"/>
        <v>226.6</v>
      </c>
      <c r="AG78" s="432">
        <v>61.16</v>
      </c>
      <c r="AH78" s="432">
        <v>491</v>
      </c>
      <c r="AI78" s="432">
        <v>465</v>
      </c>
      <c r="AJ78" s="432">
        <f t="shared" si="98"/>
        <v>956</v>
      </c>
      <c r="AK78" s="432">
        <v>25.2</v>
      </c>
      <c r="AL78" s="432">
        <v>491</v>
      </c>
      <c r="AM78" s="432">
        <v>465</v>
      </c>
      <c r="AN78" s="432">
        <f t="shared" si="99"/>
        <v>956</v>
      </c>
      <c r="AO78" s="432">
        <v>12.61</v>
      </c>
      <c r="AP78" s="432">
        <f t="shared" si="100"/>
        <v>58468.959999999999</v>
      </c>
      <c r="AQ78" s="432">
        <f t="shared" si="101"/>
        <v>24091.200000000001</v>
      </c>
      <c r="AR78" s="432">
        <f t="shared" si="79"/>
        <v>12055.16</v>
      </c>
      <c r="AS78" s="432">
        <f t="shared" si="102"/>
        <v>94615.32</v>
      </c>
      <c r="AT78" s="432">
        <v>6500</v>
      </c>
      <c r="AU78" s="433">
        <f t="shared" si="103"/>
        <v>88115.32</v>
      </c>
      <c r="AV78" s="434">
        <v>0.97960400000000003</v>
      </c>
      <c r="AW78" s="433">
        <f t="shared" si="104"/>
        <v>86318.12</v>
      </c>
      <c r="AX78" s="433">
        <f t="shared" si="105"/>
        <v>86.3</v>
      </c>
      <c r="AY78" s="433">
        <v>9.19</v>
      </c>
      <c r="AZ78" s="433">
        <v>854.75</v>
      </c>
      <c r="BA78" s="435">
        <v>12</v>
      </c>
      <c r="BB78" s="433">
        <f t="shared" si="106"/>
        <v>94261.83</v>
      </c>
      <c r="BC78" s="433">
        <v>0</v>
      </c>
      <c r="BD78" s="433">
        <f t="shared" si="107"/>
        <v>94261.83</v>
      </c>
      <c r="BE78" s="434">
        <v>0.97960400000000003</v>
      </c>
      <c r="BF78" s="433">
        <f t="shared" si="108"/>
        <v>92339.27</v>
      </c>
      <c r="BG78" s="433">
        <f t="shared" si="109"/>
        <v>92.3</v>
      </c>
      <c r="BH78" s="433">
        <f t="shared" si="110"/>
        <v>1321853.8600000001</v>
      </c>
      <c r="BI78" s="433">
        <f t="shared" si="111"/>
        <v>86500</v>
      </c>
      <c r="BJ78" s="433">
        <f t="shared" si="80"/>
        <v>0</v>
      </c>
      <c r="BK78" s="433">
        <f t="shared" si="81"/>
        <v>1235353.8600000001</v>
      </c>
      <c r="BL78" s="436">
        <f t="shared" si="82"/>
        <v>1235.4000000000001</v>
      </c>
      <c r="BM78" s="437">
        <f t="shared" si="112"/>
        <v>1210157.58</v>
      </c>
      <c r="BN78" s="437">
        <f t="shared" si="113"/>
        <v>1210.0999999999999</v>
      </c>
      <c r="BO78" s="438">
        <f t="shared" si="83"/>
        <v>-25.3</v>
      </c>
      <c r="BP78" s="329">
        <v>1210.0999999999999</v>
      </c>
      <c r="BQ78" s="439">
        <f t="shared" si="36"/>
        <v>0</v>
      </c>
    </row>
    <row r="79" spans="1:69" s="329" customFormat="1" ht="15.75" hidden="1" x14ac:dyDescent="0.25">
      <c r="A79" s="431" t="s">
        <v>715</v>
      </c>
      <c r="B79" s="432">
        <v>1981.57</v>
      </c>
      <c r="C79" s="432">
        <v>177.94</v>
      </c>
      <c r="D79" s="432">
        <v>270.07</v>
      </c>
      <c r="E79" s="432">
        <f t="shared" si="84"/>
        <v>448</v>
      </c>
      <c r="F79" s="432">
        <f t="shared" si="85"/>
        <v>887743.36</v>
      </c>
      <c r="G79" s="432"/>
      <c r="H79" s="433">
        <f t="shared" si="86"/>
        <v>887743.36</v>
      </c>
      <c r="I79" s="434">
        <v>0.97960400000000003</v>
      </c>
      <c r="J79" s="433">
        <f t="shared" si="87"/>
        <v>869636.95</v>
      </c>
      <c r="K79" s="433">
        <f t="shared" si="88"/>
        <v>869.6</v>
      </c>
      <c r="L79" s="432"/>
      <c r="M79" s="432"/>
      <c r="N79" s="432"/>
      <c r="O79" s="432">
        <f t="shared" si="89"/>
        <v>0</v>
      </c>
      <c r="P79" s="432">
        <f t="shared" si="90"/>
        <v>0</v>
      </c>
      <c r="Q79" s="432"/>
      <c r="R79" s="433">
        <f t="shared" si="91"/>
        <v>0</v>
      </c>
      <c r="S79" s="434">
        <v>0.97960400000000003</v>
      </c>
      <c r="T79" s="433">
        <f t="shared" si="92"/>
        <v>0</v>
      </c>
      <c r="U79" s="433">
        <f t="shared" si="93"/>
        <v>0</v>
      </c>
      <c r="V79" s="432">
        <v>10.029999999999999</v>
      </c>
      <c r="W79" s="432">
        <v>19515</v>
      </c>
      <c r="X79" s="432">
        <v>20805</v>
      </c>
      <c r="Y79" s="432">
        <f t="shared" si="94"/>
        <v>40320</v>
      </c>
      <c r="Z79" s="432">
        <f t="shared" si="95"/>
        <v>404409.59999999998</v>
      </c>
      <c r="AA79" s="432">
        <v>151272</v>
      </c>
      <c r="AB79" s="432"/>
      <c r="AC79" s="433">
        <f t="shared" si="78"/>
        <v>253137.6</v>
      </c>
      <c r="AD79" s="434">
        <v>0.97960400000000003</v>
      </c>
      <c r="AE79" s="433">
        <f t="shared" si="96"/>
        <v>247974.61</v>
      </c>
      <c r="AF79" s="433">
        <f t="shared" si="97"/>
        <v>248</v>
      </c>
      <c r="AG79" s="432">
        <v>61.16</v>
      </c>
      <c r="AH79" s="432">
        <v>789</v>
      </c>
      <c r="AI79" s="432">
        <v>918</v>
      </c>
      <c r="AJ79" s="432">
        <f t="shared" si="98"/>
        <v>1707</v>
      </c>
      <c r="AK79" s="432">
        <v>25.2</v>
      </c>
      <c r="AL79" s="432">
        <v>789</v>
      </c>
      <c r="AM79" s="432">
        <v>918</v>
      </c>
      <c r="AN79" s="432">
        <f t="shared" si="99"/>
        <v>1707</v>
      </c>
      <c r="AO79" s="432">
        <v>12.61</v>
      </c>
      <c r="AP79" s="432">
        <f t="shared" si="100"/>
        <v>104400.12</v>
      </c>
      <c r="AQ79" s="432">
        <f t="shared" si="101"/>
        <v>43016.4</v>
      </c>
      <c r="AR79" s="432">
        <f t="shared" si="79"/>
        <v>21525.27</v>
      </c>
      <c r="AS79" s="432">
        <f t="shared" si="102"/>
        <v>168941.79</v>
      </c>
      <c r="AT79" s="432">
        <v>14192.82</v>
      </c>
      <c r="AU79" s="433">
        <f t="shared" si="103"/>
        <v>154748.97</v>
      </c>
      <c r="AV79" s="434">
        <v>0.97960400000000003</v>
      </c>
      <c r="AW79" s="433">
        <f t="shared" si="104"/>
        <v>151592.71</v>
      </c>
      <c r="AX79" s="433">
        <f t="shared" si="105"/>
        <v>151.6</v>
      </c>
      <c r="AY79" s="433">
        <v>8.56</v>
      </c>
      <c r="AZ79" s="433">
        <v>854.75</v>
      </c>
      <c r="BA79" s="435">
        <v>12</v>
      </c>
      <c r="BB79" s="433">
        <f t="shared" si="106"/>
        <v>87799.92</v>
      </c>
      <c r="BC79" s="433"/>
      <c r="BD79" s="433">
        <f t="shared" si="107"/>
        <v>87799.92</v>
      </c>
      <c r="BE79" s="434">
        <v>0.97960400000000003</v>
      </c>
      <c r="BF79" s="433">
        <f t="shared" si="108"/>
        <v>86009.15</v>
      </c>
      <c r="BG79" s="433">
        <f t="shared" si="109"/>
        <v>86</v>
      </c>
      <c r="BH79" s="433">
        <f t="shared" si="110"/>
        <v>1548894.67</v>
      </c>
      <c r="BI79" s="433">
        <f t="shared" si="111"/>
        <v>165464.82</v>
      </c>
      <c r="BJ79" s="433">
        <f t="shared" si="80"/>
        <v>0</v>
      </c>
      <c r="BK79" s="433">
        <f t="shared" si="81"/>
        <v>1383429.85</v>
      </c>
      <c r="BL79" s="436">
        <f t="shared" si="82"/>
        <v>1383.5</v>
      </c>
      <c r="BM79" s="437">
        <f t="shared" si="112"/>
        <v>1355213.42</v>
      </c>
      <c r="BN79" s="437">
        <f>ROUND(K79+U79+AF79+AX79+BG79,1)</f>
        <v>1355.2</v>
      </c>
      <c r="BO79" s="438">
        <f t="shared" si="83"/>
        <v>-28.3</v>
      </c>
      <c r="BP79" s="329">
        <v>1355.2</v>
      </c>
      <c r="BQ79" s="439">
        <f t="shared" si="36"/>
        <v>0</v>
      </c>
    </row>
    <row r="80" spans="1:69" s="329" customFormat="1" ht="15.75" hidden="1" x14ac:dyDescent="0.25">
      <c r="A80" s="431" t="s">
        <v>923</v>
      </c>
      <c r="B80" s="432">
        <v>3274.05</v>
      </c>
      <c r="C80" s="432">
        <v>105.04</v>
      </c>
      <c r="D80" s="432">
        <v>190.1</v>
      </c>
      <c r="E80" s="432">
        <f t="shared" si="84"/>
        <v>295.10000000000002</v>
      </c>
      <c r="F80" s="432">
        <f t="shared" si="85"/>
        <v>966172.16000000003</v>
      </c>
      <c r="G80" s="432"/>
      <c r="H80" s="433">
        <f t="shared" si="86"/>
        <v>966172.16000000003</v>
      </c>
      <c r="I80" s="434">
        <v>0.97960400000000003</v>
      </c>
      <c r="J80" s="433">
        <f t="shared" si="87"/>
        <v>946466.11</v>
      </c>
      <c r="K80" s="433">
        <f t="shared" si="88"/>
        <v>946.5</v>
      </c>
      <c r="L80" s="432"/>
      <c r="M80" s="432"/>
      <c r="N80" s="432"/>
      <c r="O80" s="432">
        <f t="shared" si="89"/>
        <v>0</v>
      </c>
      <c r="P80" s="432">
        <f t="shared" si="90"/>
        <v>0</v>
      </c>
      <c r="Q80" s="432"/>
      <c r="R80" s="433">
        <f t="shared" si="91"/>
        <v>0</v>
      </c>
      <c r="S80" s="434">
        <v>0.97960400000000003</v>
      </c>
      <c r="T80" s="433">
        <f t="shared" si="92"/>
        <v>0</v>
      </c>
      <c r="U80" s="433">
        <f t="shared" si="93"/>
        <v>0</v>
      </c>
      <c r="V80" s="432">
        <v>10.029999999999999</v>
      </c>
      <c r="W80" s="432">
        <v>22202</v>
      </c>
      <c r="X80" s="432">
        <v>27153</v>
      </c>
      <c r="Y80" s="432">
        <f t="shared" si="94"/>
        <v>49355</v>
      </c>
      <c r="Z80" s="432">
        <f t="shared" si="95"/>
        <v>495030.65</v>
      </c>
      <c r="AA80" s="432">
        <v>25000</v>
      </c>
      <c r="AB80" s="432"/>
      <c r="AC80" s="433">
        <f t="shared" si="78"/>
        <v>470030.65</v>
      </c>
      <c r="AD80" s="434">
        <v>0.97960400000000003</v>
      </c>
      <c r="AE80" s="433">
        <f t="shared" si="96"/>
        <v>460443.9</v>
      </c>
      <c r="AF80" s="433">
        <f t="shared" si="97"/>
        <v>460.4</v>
      </c>
      <c r="AG80" s="432">
        <v>61.16</v>
      </c>
      <c r="AH80" s="432">
        <v>534</v>
      </c>
      <c r="AI80" s="432">
        <v>657</v>
      </c>
      <c r="AJ80" s="432">
        <f t="shared" si="98"/>
        <v>1191</v>
      </c>
      <c r="AK80" s="432">
        <v>25.2</v>
      </c>
      <c r="AL80" s="432">
        <v>534</v>
      </c>
      <c r="AM80" s="432">
        <v>657</v>
      </c>
      <c r="AN80" s="432">
        <f t="shared" si="99"/>
        <v>1191</v>
      </c>
      <c r="AO80" s="432">
        <v>12.61</v>
      </c>
      <c r="AP80" s="432">
        <f t="shared" si="100"/>
        <v>72841.56</v>
      </c>
      <c r="AQ80" s="432">
        <f t="shared" si="101"/>
        <v>30013.200000000001</v>
      </c>
      <c r="AR80" s="432">
        <f t="shared" si="79"/>
        <v>15018.51</v>
      </c>
      <c r="AS80" s="432">
        <f t="shared" si="102"/>
        <v>117873.27</v>
      </c>
      <c r="AT80" s="432">
        <v>6000</v>
      </c>
      <c r="AU80" s="433">
        <f t="shared" si="103"/>
        <v>111873.27</v>
      </c>
      <c r="AV80" s="434">
        <v>0.97960400000000003</v>
      </c>
      <c r="AW80" s="433">
        <f t="shared" si="104"/>
        <v>109591.5</v>
      </c>
      <c r="AX80" s="433">
        <f t="shared" si="105"/>
        <v>109.6</v>
      </c>
      <c r="AY80" s="433">
        <v>9.44</v>
      </c>
      <c r="AZ80" s="433">
        <v>854.75</v>
      </c>
      <c r="BA80" s="435">
        <v>12</v>
      </c>
      <c r="BB80" s="433">
        <f t="shared" si="106"/>
        <v>96826.08</v>
      </c>
      <c r="BC80" s="433"/>
      <c r="BD80" s="433">
        <f t="shared" si="107"/>
        <v>96826.08</v>
      </c>
      <c r="BE80" s="434">
        <v>0.97960400000000003</v>
      </c>
      <c r="BF80" s="433">
        <f t="shared" si="108"/>
        <v>94851.22</v>
      </c>
      <c r="BG80" s="433">
        <f t="shared" si="109"/>
        <v>94.9</v>
      </c>
      <c r="BH80" s="433">
        <f t="shared" si="110"/>
        <v>1675902.16</v>
      </c>
      <c r="BI80" s="433">
        <f t="shared" si="111"/>
        <v>31000</v>
      </c>
      <c r="BJ80" s="433">
        <f t="shared" si="80"/>
        <v>0</v>
      </c>
      <c r="BK80" s="433">
        <f t="shared" si="81"/>
        <v>1644902.16</v>
      </c>
      <c r="BL80" s="436">
        <f t="shared" si="82"/>
        <v>1645</v>
      </c>
      <c r="BM80" s="437">
        <f t="shared" si="112"/>
        <v>1611352.73</v>
      </c>
      <c r="BN80" s="437">
        <f t="shared" si="113"/>
        <v>1611.4</v>
      </c>
      <c r="BO80" s="438">
        <f t="shared" si="83"/>
        <v>-33.6</v>
      </c>
      <c r="BP80" s="329">
        <v>1611.4</v>
      </c>
      <c r="BQ80" s="439">
        <f t="shared" ref="BQ80:BQ120" si="114">BP80-BN80</f>
        <v>0</v>
      </c>
    </row>
    <row r="81" spans="1:69" s="329" customFormat="1" ht="15.75" hidden="1" x14ac:dyDescent="0.25">
      <c r="A81" s="431" t="s">
        <v>924</v>
      </c>
      <c r="B81" s="432">
        <v>2588.77</v>
      </c>
      <c r="C81" s="432">
        <v>146.38</v>
      </c>
      <c r="D81" s="432">
        <v>254.29</v>
      </c>
      <c r="E81" s="432">
        <f t="shared" si="84"/>
        <v>400.7</v>
      </c>
      <c r="F81" s="432">
        <f t="shared" si="85"/>
        <v>1037320.14</v>
      </c>
      <c r="G81" s="432"/>
      <c r="H81" s="433">
        <f t="shared" si="86"/>
        <v>1037320.14</v>
      </c>
      <c r="I81" s="434">
        <v>0.97960400000000003</v>
      </c>
      <c r="J81" s="433">
        <f t="shared" si="87"/>
        <v>1016162.96</v>
      </c>
      <c r="K81" s="433">
        <f t="shared" si="88"/>
        <v>1016.2</v>
      </c>
      <c r="L81" s="432"/>
      <c r="M81" s="432"/>
      <c r="N81" s="432"/>
      <c r="O81" s="432">
        <f t="shared" si="89"/>
        <v>0</v>
      </c>
      <c r="P81" s="432">
        <f t="shared" si="90"/>
        <v>0</v>
      </c>
      <c r="Q81" s="432"/>
      <c r="R81" s="433">
        <f t="shared" si="91"/>
        <v>0</v>
      </c>
      <c r="S81" s="434">
        <v>0.97960400000000003</v>
      </c>
      <c r="T81" s="433">
        <f t="shared" si="92"/>
        <v>0</v>
      </c>
      <c r="U81" s="433">
        <f t="shared" si="93"/>
        <v>0</v>
      </c>
      <c r="V81" s="432">
        <v>10.029999999999999</v>
      </c>
      <c r="W81" s="432">
        <v>21273</v>
      </c>
      <c r="X81" s="432">
        <v>26201</v>
      </c>
      <c r="Y81" s="432">
        <f t="shared" si="94"/>
        <v>47474</v>
      </c>
      <c r="Z81" s="432">
        <f t="shared" si="95"/>
        <v>476164.22</v>
      </c>
      <c r="AA81" s="432">
        <v>7554</v>
      </c>
      <c r="AB81" s="432"/>
      <c r="AC81" s="433">
        <f t="shared" si="78"/>
        <v>468610.22</v>
      </c>
      <c r="AD81" s="434">
        <v>0.97960400000000003</v>
      </c>
      <c r="AE81" s="433">
        <f t="shared" si="96"/>
        <v>459052.45</v>
      </c>
      <c r="AF81" s="433">
        <f t="shared" si="97"/>
        <v>459.1</v>
      </c>
      <c r="AG81" s="432">
        <v>61.16</v>
      </c>
      <c r="AH81" s="432">
        <v>393</v>
      </c>
      <c r="AI81" s="432">
        <v>563</v>
      </c>
      <c r="AJ81" s="432">
        <f t="shared" si="98"/>
        <v>956</v>
      </c>
      <c r="AK81" s="432">
        <v>25.2</v>
      </c>
      <c r="AL81" s="432">
        <v>393</v>
      </c>
      <c r="AM81" s="432">
        <v>563</v>
      </c>
      <c r="AN81" s="432">
        <f t="shared" si="99"/>
        <v>956</v>
      </c>
      <c r="AO81" s="432">
        <v>12.61</v>
      </c>
      <c r="AP81" s="432">
        <f t="shared" si="100"/>
        <v>58468.959999999999</v>
      </c>
      <c r="AQ81" s="432">
        <f t="shared" si="101"/>
        <v>24091.200000000001</v>
      </c>
      <c r="AR81" s="432">
        <f t="shared" si="79"/>
        <v>12055.16</v>
      </c>
      <c r="AS81" s="432">
        <f t="shared" si="102"/>
        <v>94615.32</v>
      </c>
      <c r="AT81" s="432">
        <v>6218</v>
      </c>
      <c r="AU81" s="433">
        <f t="shared" si="103"/>
        <v>88397.32</v>
      </c>
      <c r="AV81" s="434">
        <v>0.97960400000000003</v>
      </c>
      <c r="AW81" s="433">
        <f t="shared" si="104"/>
        <v>86594.37</v>
      </c>
      <c r="AX81" s="433">
        <f t="shared" si="105"/>
        <v>86.6</v>
      </c>
      <c r="AY81" s="433">
        <v>6.69</v>
      </c>
      <c r="AZ81" s="433">
        <v>854.75</v>
      </c>
      <c r="BA81" s="435">
        <v>12</v>
      </c>
      <c r="BB81" s="433">
        <f t="shared" si="106"/>
        <v>68619.33</v>
      </c>
      <c r="BC81" s="433"/>
      <c r="BD81" s="433">
        <f t="shared" si="107"/>
        <v>68619.33</v>
      </c>
      <c r="BE81" s="434">
        <v>0.97960400000000003</v>
      </c>
      <c r="BF81" s="433">
        <f t="shared" si="108"/>
        <v>67219.77</v>
      </c>
      <c r="BG81" s="433">
        <f t="shared" si="109"/>
        <v>67.2</v>
      </c>
      <c r="BH81" s="433">
        <f t="shared" si="110"/>
        <v>1676719.01</v>
      </c>
      <c r="BI81" s="433">
        <f t="shared" si="111"/>
        <v>13772</v>
      </c>
      <c r="BJ81" s="433">
        <f t="shared" si="80"/>
        <v>0</v>
      </c>
      <c r="BK81" s="433">
        <f t="shared" si="81"/>
        <v>1662947.01</v>
      </c>
      <c r="BL81" s="436">
        <f t="shared" si="82"/>
        <v>1663</v>
      </c>
      <c r="BM81" s="437">
        <f t="shared" si="112"/>
        <v>1629029.55</v>
      </c>
      <c r="BN81" s="437">
        <f t="shared" si="113"/>
        <v>1629.1</v>
      </c>
      <c r="BO81" s="438">
        <f t="shared" si="83"/>
        <v>-33.9</v>
      </c>
      <c r="BP81" s="329">
        <v>1629.1</v>
      </c>
      <c r="BQ81" s="439">
        <f t="shared" si="114"/>
        <v>0</v>
      </c>
    </row>
    <row r="82" spans="1:69" s="329" customFormat="1" ht="15.75" hidden="1" x14ac:dyDescent="0.25">
      <c r="A82" s="431" t="s">
        <v>718</v>
      </c>
      <c r="B82" s="432">
        <v>2588.77</v>
      </c>
      <c r="C82" s="432">
        <v>98.84</v>
      </c>
      <c r="D82" s="432">
        <v>159.01</v>
      </c>
      <c r="E82" s="432">
        <f t="shared" si="84"/>
        <v>257.89999999999998</v>
      </c>
      <c r="F82" s="432">
        <f t="shared" si="85"/>
        <v>667643.78</v>
      </c>
      <c r="G82" s="432">
        <v>0</v>
      </c>
      <c r="H82" s="433">
        <f t="shared" si="86"/>
        <v>667643.78</v>
      </c>
      <c r="I82" s="434">
        <v>0.97960400000000003</v>
      </c>
      <c r="J82" s="433">
        <f t="shared" si="87"/>
        <v>654026.52</v>
      </c>
      <c r="K82" s="433">
        <f t="shared" si="88"/>
        <v>654</v>
      </c>
      <c r="L82" s="432"/>
      <c r="M82" s="432"/>
      <c r="N82" s="432"/>
      <c r="O82" s="432">
        <f t="shared" si="89"/>
        <v>0</v>
      </c>
      <c r="P82" s="432">
        <f t="shared" si="90"/>
        <v>0</v>
      </c>
      <c r="Q82" s="432"/>
      <c r="R82" s="433">
        <f t="shared" si="91"/>
        <v>0</v>
      </c>
      <c r="S82" s="434">
        <v>0.97960400000000003</v>
      </c>
      <c r="T82" s="433">
        <f t="shared" si="92"/>
        <v>0</v>
      </c>
      <c r="U82" s="433">
        <f t="shared" si="93"/>
        <v>0</v>
      </c>
      <c r="V82" s="432">
        <v>10.029999999999999</v>
      </c>
      <c r="W82" s="432">
        <v>30370</v>
      </c>
      <c r="X82" s="432">
        <v>35148</v>
      </c>
      <c r="Y82" s="432">
        <f t="shared" si="94"/>
        <v>65518</v>
      </c>
      <c r="Z82" s="432">
        <f t="shared" si="95"/>
        <v>657145.54</v>
      </c>
      <c r="AA82" s="432">
        <v>85210.32</v>
      </c>
      <c r="AB82" s="432"/>
      <c r="AC82" s="433">
        <f t="shared" si="78"/>
        <v>571935.22</v>
      </c>
      <c r="AD82" s="434">
        <v>0.97960400000000003</v>
      </c>
      <c r="AE82" s="433">
        <f t="shared" si="96"/>
        <v>560270.03</v>
      </c>
      <c r="AF82" s="433">
        <f t="shared" si="97"/>
        <v>560.29999999999995</v>
      </c>
      <c r="AG82" s="432">
        <v>61.16</v>
      </c>
      <c r="AH82" s="432">
        <v>630</v>
      </c>
      <c r="AI82" s="432">
        <v>885</v>
      </c>
      <c r="AJ82" s="432">
        <f t="shared" si="98"/>
        <v>1515</v>
      </c>
      <c r="AK82" s="432">
        <v>25.2</v>
      </c>
      <c r="AL82" s="432">
        <v>630</v>
      </c>
      <c r="AM82" s="432">
        <v>885</v>
      </c>
      <c r="AN82" s="432">
        <f t="shared" si="99"/>
        <v>1515</v>
      </c>
      <c r="AO82" s="432">
        <v>12.61</v>
      </c>
      <c r="AP82" s="432">
        <f t="shared" si="100"/>
        <v>92657.4</v>
      </c>
      <c r="AQ82" s="432">
        <f t="shared" si="101"/>
        <v>38178</v>
      </c>
      <c r="AR82" s="432">
        <f t="shared" si="79"/>
        <v>19104.150000000001</v>
      </c>
      <c r="AS82" s="432">
        <f t="shared" si="102"/>
        <v>149939.54999999999</v>
      </c>
      <c r="AT82" s="432">
        <v>11293.02</v>
      </c>
      <c r="AU82" s="433">
        <f t="shared" si="103"/>
        <v>138646.53</v>
      </c>
      <c r="AV82" s="434">
        <v>0.97960400000000003</v>
      </c>
      <c r="AW82" s="433">
        <f t="shared" si="104"/>
        <v>135818.70000000001</v>
      </c>
      <c r="AX82" s="433">
        <f t="shared" si="105"/>
        <v>135.80000000000001</v>
      </c>
      <c r="AY82" s="433">
        <v>15</v>
      </c>
      <c r="AZ82" s="433">
        <v>854.75</v>
      </c>
      <c r="BA82" s="435">
        <v>12</v>
      </c>
      <c r="BB82" s="433">
        <f t="shared" si="106"/>
        <v>153855</v>
      </c>
      <c r="BC82" s="433"/>
      <c r="BD82" s="433">
        <f t="shared" si="107"/>
        <v>153855</v>
      </c>
      <c r="BE82" s="434">
        <v>0.97960400000000003</v>
      </c>
      <c r="BF82" s="433">
        <f t="shared" si="108"/>
        <v>150716.97</v>
      </c>
      <c r="BG82" s="433">
        <f t="shared" si="109"/>
        <v>150.69999999999999</v>
      </c>
      <c r="BH82" s="433">
        <f t="shared" si="110"/>
        <v>1628583.87</v>
      </c>
      <c r="BI82" s="433">
        <f t="shared" si="111"/>
        <v>96503.34</v>
      </c>
      <c r="BJ82" s="433">
        <f t="shared" si="80"/>
        <v>0</v>
      </c>
      <c r="BK82" s="433">
        <f t="shared" si="81"/>
        <v>1532080.53</v>
      </c>
      <c r="BL82" s="436">
        <f t="shared" si="82"/>
        <v>1532.1</v>
      </c>
      <c r="BM82" s="437">
        <f t="shared" si="112"/>
        <v>1500832.22</v>
      </c>
      <c r="BN82" s="437">
        <f>ROUND(K82+U82+AF82+AX82+BG82,1)</f>
        <v>1500.8</v>
      </c>
      <c r="BO82" s="438">
        <f t="shared" si="83"/>
        <v>-31.3</v>
      </c>
      <c r="BP82" s="329">
        <v>1500.8</v>
      </c>
      <c r="BQ82" s="439">
        <f t="shared" si="114"/>
        <v>0</v>
      </c>
    </row>
    <row r="83" spans="1:69" s="329" customFormat="1" ht="15.75" hidden="1" x14ac:dyDescent="0.25">
      <c r="A83" s="431" t="s">
        <v>719</v>
      </c>
      <c r="B83" s="432">
        <v>2588.77</v>
      </c>
      <c r="C83" s="432">
        <v>134.4</v>
      </c>
      <c r="D83" s="432">
        <v>229.59</v>
      </c>
      <c r="E83" s="432">
        <f t="shared" si="84"/>
        <v>364</v>
      </c>
      <c r="F83" s="432">
        <f t="shared" si="85"/>
        <v>942312.28</v>
      </c>
      <c r="G83" s="432"/>
      <c r="H83" s="433">
        <f t="shared" si="86"/>
        <v>942312.28</v>
      </c>
      <c r="I83" s="434">
        <v>0.97960400000000003</v>
      </c>
      <c r="J83" s="433">
        <f t="shared" si="87"/>
        <v>923092.88</v>
      </c>
      <c r="K83" s="433">
        <f t="shared" si="88"/>
        <v>923.1</v>
      </c>
      <c r="L83" s="432"/>
      <c r="M83" s="432"/>
      <c r="N83" s="432"/>
      <c r="O83" s="432">
        <f t="shared" si="89"/>
        <v>0</v>
      </c>
      <c r="P83" s="432">
        <f t="shared" si="90"/>
        <v>0</v>
      </c>
      <c r="Q83" s="432"/>
      <c r="R83" s="433">
        <f t="shared" si="91"/>
        <v>0</v>
      </c>
      <c r="S83" s="434">
        <v>0.97960400000000003</v>
      </c>
      <c r="T83" s="433">
        <f t="shared" si="92"/>
        <v>0</v>
      </c>
      <c r="U83" s="433">
        <f t="shared" si="93"/>
        <v>0</v>
      </c>
      <c r="V83" s="432">
        <v>10.029999999999999</v>
      </c>
      <c r="W83" s="432">
        <v>66000</v>
      </c>
      <c r="X83" s="432">
        <v>61480</v>
      </c>
      <c r="Y83" s="432">
        <f t="shared" si="94"/>
        <v>127480</v>
      </c>
      <c r="Z83" s="432">
        <f t="shared" si="95"/>
        <v>1278624.3999999999</v>
      </c>
      <c r="AA83" s="432">
        <v>220000</v>
      </c>
      <c r="AB83" s="432"/>
      <c r="AC83" s="433">
        <f t="shared" si="78"/>
        <v>1058624.3999999999</v>
      </c>
      <c r="AD83" s="434">
        <v>0.97960400000000003</v>
      </c>
      <c r="AE83" s="433">
        <f t="shared" si="96"/>
        <v>1037032.7</v>
      </c>
      <c r="AF83" s="433">
        <f t="shared" si="97"/>
        <v>1037</v>
      </c>
      <c r="AG83" s="432">
        <v>61.16</v>
      </c>
      <c r="AH83" s="432">
        <v>1010</v>
      </c>
      <c r="AI83" s="432">
        <v>1811</v>
      </c>
      <c r="AJ83" s="432">
        <f t="shared" si="98"/>
        <v>2821</v>
      </c>
      <c r="AK83" s="432">
        <v>25.2</v>
      </c>
      <c r="AL83" s="432">
        <v>1010</v>
      </c>
      <c r="AM83" s="432">
        <v>1811</v>
      </c>
      <c r="AN83" s="432">
        <f t="shared" si="99"/>
        <v>2821</v>
      </c>
      <c r="AO83" s="432">
        <v>12.61</v>
      </c>
      <c r="AP83" s="432">
        <f t="shared" si="100"/>
        <v>172532.36</v>
      </c>
      <c r="AQ83" s="432">
        <f t="shared" si="101"/>
        <v>71089.2</v>
      </c>
      <c r="AR83" s="432">
        <f t="shared" si="79"/>
        <v>35572.81</v>
      </c>
      <c r="AS83" s="432">
        <f t="shared" si="102"/>
        <v>279194.37</v>
      </c>
      <c r="AT83" s="432">
        <v>36703</v>
      </c>
      <c r="AU83" s="433">
        <f t="shared" si="103"/>
        <v>242491.37</v>
      </c>
      <c r="AV83" s="434">
        <v>0.97960400000000003</v>
      </c>
      <c r="AW83" s="433">
        <f t="shared" si="104"/>
        <v>237545.52</v>
      </c>
      <c r="AX83" s="433">
        <f t="shared" si="105"/>
        <v>237.5</v>
      </c>
      <c r="AY83" s="433">
        <v>12.29</v>
      </c>
      <c r="AZ83" s="433">
        <v>854.75</v>
      </c>
      <c r="BA83" s="435">
        <v>12</v>
      </c>
      <c r="BB83" s="433">
        <f t="shared" si="106"/>
        <v>126058.53</v>
      </c>
      <c r="BC83" s="433"/>
      <c r="BD83" s="433">
        <f t="shared" si="107"/>
        <v>126058.53</v>
      </c>
      <c r="BE83" s="434">
        <v>0.97960400000000003</v>
      </c>
      <c r="BF83" s="433">
        <f t="shared" si="108"/>
        <v>123487.44</v>
      </c>
      <c r="BG83" s="433">
        <f t="shared" si="109"/>
        <v>123.5</v>
      </c>
      <c r="BH83" s="433">
        <f t="shared" si="110"/>
        <v>2626189.58</v>
      </c>
      <c r="BI83" s="433">
        <f t="shared" si="111"/>
        <v>256703</v>
      </c>
      <c r="BJ83" s="433">
        <f t="shared" si="80"/>
        <v>0</v>
      </c>
      <c r="BK83" s="433">
        <f t="shared" si="81"/>
        <v>2369486.58</v>
      </c>
      <c r="BL83" s="436">
        <f t="shared" si="82"/>
        <v>2369.5</v>
      </c>
      <c r="BM83" s="437">
        <f t="shared" si="112"/>
        <v>2321158.54</v>
      </c>
      <c r="BN83" s="437">
        <f t="shared" si="113"/>
        <v>2321.1</v>
      </c>
      <c r="BO83" s="438">
        <f t="shared" si="83"/>
        <v>-48.4</v>
      </c>
      <c r="BP83" s="329">
        <v>2321.1</v>
      </c>
      <c r="BQ83" s="439">
        <f t="shared" si="114"/>
        <v>0</v>
      </c>
    </row>
    <row r="84" spans="1:69" s="329" customFormat="1" ht="15.75" hidden="1" x14ac:dyDescent="0.25">
      <c r="A84" s="431" t="s">
        <v>925</v>
      </c>
      <c r="B84" s="432">
        <v>3274.05</v>
      </c>
      <c r="C84" s="432">
        <v>178.5</v>
      </c>
      <c r="D84" s="432">
        <v>293.19</v>
      </c>
      <c r="E84" s="432">
        <f t="shared" si="84"/>
        <v>471.7</v>
      </c>
      <c r="F84" s="432">
        <f t="shared" si="85"/>
        <v>1544369.39</v>
      </c>
      <c r="G84" s="432">
        <v>0</v>
      </c>
      <c r="H84" s="433">
        <f t="shared" si="86"/>
        <v>1544369.39</v>
      </c>
      <c r="I84" s="434">
        <v>0.97960400000000003</v>
      </c>
      <c r="J84" s="433">
        <f t="shared" si="87"/>
        <v>1512870.43</v>
      </c>
      <c r="K84" s="433">
        <f t="shared" si="88"/>
        <v>1512.9</v>
      </c>
      <c r="L84" s="432"/>
      <c r="M84" s="432"/>
      <c r="N84" s="432"/>
      <c r="O84" s="432">
        <f t="shared" si="89"/>
        <v>0</v>
      </c>
      <c r="P84" s="432">
        <f t="shared" si="90"/>
        <v>0</v>
      </c>
      <c r="Q84" s="432">
        <v>0</v>
      </c>
      <c r="R84" s="433">
        <f t="shared" si="91"/>
        <v>0</v>
      </c>
      <c r="S84" s="434">
        <v>0.97960400000000003</v>
      </c>
      <c r="T84" s="433">
        <f t="shared" si="92"/>
        <v>0</v>
      </c>
      <c r="U84" s="433">
        <f t="shared" si="93"/>
        <v>0</v>
      </c>
      <c r="V84" s="432">
        <v>10.029999999999999</v>
      </c>
      <c r="W84" s="432">
        <v>26000</v>
      </c>
      <c r="X84" s="432">
        <v>27960</v>
      </c>
      <c r="Y84" s="432">
        <f t="shared" si="94"/>
        <v>53960</v>
      </c>
      <c r="Z84" s="432">
        <f t="shared" si="95"/>
        <v>541218.80000000005</v>
      </c>
      <c r="AA84" s="432">
        <v>90200</v>
      </c>
      <c r="AB84" s="432"/>
      <c r="AC84" s="433">
        <f t="shared" si="78"/>
        <v>451018.8</v>
      </c>
      <c r="AD84" s="434">
        <v>0.97960400000000003</v>
      </c>
      <c r="AE84" s="433">
        <f t="shared" si="96"/>
        <v>441819.82</v>
      </c>
      <c r="AF84" s="433">
        <f t="shared" si="97"/>
        <v>441.8</v>
      </c>
      <c r="AG84" s="432">
        <v>61.16</v>
      </c>
      <c r="AH84" s="432">
        <v>434</v>
      </c>
      <c r="AI84" s="432">
        <v>522</v>
      </c>
      <c r="AJ84" s="432">
        <f t="shared" si="98"/>
        <v>956</v>
      </c>
      <c r="AK84" s="432">
        <v>25.2</v>
      </c>
      <c r="AL84" s="432">
        <v>434</v>
      </c>
      <c r="AM84" s="432">
        <v>522</v>
      </c>
      <c r="AN84" s="432">
        <f t="shared" si="99"/>
        <v>956</v>
      </c>
      <c r="AO84" s="432">
        <v>12.61</v>
      </c>
      <c r="AP84" s="432">
        <f t="shared" si="100"/>
        <v>58468.959999999999</v>
      </c>
      <c r="AQ84" s="432">
        <f t="shared" si="101"/>
        <v>24091.200000000001</v>
      </c>
      <c r="AR84" s="432">
        <f t="shared" si="79"/>
        <v>12055.16</v>
      </c>
      <c r="AS84" s="432">
        <f t="shared" si="102"/>
        <v>94615.32</v>
      </c>
      <c r="AT84" s="432">
        <v>19862.8</v>
      </c>
      <c r="AU84" s="433">
        <f t="shared" si="103"/>
        <v>74752.52</v>
      </c>
      <c r="AV84" s="434">
        <v>0.97960400000000003</v>
      </c>
      <c r="AW84" s="433">
        <f t="shared" si="104"/>
        <v>73227.87</v>
      </c>
      <c r="AX84" s="433">
        <f t="shared" si="105"/>
        <v>73.2</v>
      </c>
      <c r="AY84" s="433">
        <v>9.25</v>
      </c>
      <c r="AZ84" s="433">
        <v>854.75</v>
      </c>
      <c r="BA84" s="435">
        <v>12</v>
      </c>
      <c r="BB84" s="433">
        <f t="shared" si="106"/>
        <v>94877.25</v>
      </c>
      <c r="BC84" s="433">
        <v>0</v>
      </c>
      <c r="BD84" s="433">
        <f t="shared" si="107"/>
        <v>94877.25</v>
      </c>
      <c r="BE84" s="434">
        <v>0.97960400000000003</v>
      </c>
      <c r="BF84" s="433">
        <f t="shared" si="108"/>
        <v>92942.13</v>
      </c>
      <c r="BG84" s="433">
        <f t="shared" si="109"/>
        <v>92.9</v>
      </c>
      <c r="BH84" s="433">
        <f t="shared" si="110"/>
        <v>2275080.7599999998</v>
      </c>
      <c r="BI84" s="433">
        <f t="shared" si="111"/>
        <v>110062.8</v>
      </c>
      <c r="BJ84" s="433">
        <f t="shared" si="80"/>
        <v>0</v>
      </c>
      <c r="BK84" s="433">
        <f t="shared" si="81"/>
        <v>2165017.96</v>
      </c>
      <c r="BL84" s="436">
        <f t="shared" si="82"/>
        <v>2165.1</v>
      </c>
      <c r="BM84" s="437">
        <f t="shared" si="112"/>
        <v>2120860.25</v>
      </c>
      <c r="BN84" s="437">
        <f>ROUND(K84+U84+AF84+AX84+BG84,1)</f>
        <v>2120.8000000000002</v>
      </c>
      <c r="BO84" s="438">
        <f t="shared" si="83"/>
        <v>-44.3</v>
      </c>
      <c r="BP84" s="329">
        <v>2120.8000000000002</v>
      </c>
      <c r="BQ84" s="439">
        <f t="shared" si="114"/>
        <v>0</v>
      </c>
    </row>
    <row r="85" spans="1:69" s="329" customFormat="1" ht="31.5" hidden="1" x14ac:dyDescent="0.25">
      <c r="A85" s="431" t="s">
        <v>926</v>
      </c>
      <c r="B85" s="432">
        <v>2588.77</v>
      </c>
      <c r="C85" s="432">
        <v>190.81</v>
      </c>
      <c r="D85" s="432">
        <v>303.42</v>
      </c>
      <c r="E85" s="432">
        <f t="shared" si="84"/>
        <v>494.2</v>
      </c>
      <c r="F85" s="432">
        <f t="shared" si="85"/>
        <v>1279370.1299999999</v>
      </c>
      <c r="G85" s="432"/>
      <c r="H85" s="433">
        <f t="shared" si="86"/>
        <v>1279370.1299999999</v>
      </c>
      <c r="I85" s="434">
        <v>0.97960400000000003</v>
      </c>
      <c r="J85" s="433">
        <f t="shared" si="87"/>
        <v>1253276.1000000001</v>
      </c>
      <c r="K85" s="433">
        <f t="shared" si="88"/>
        <v>1253.3</v>
      </c>
      <c r="L85" s="432"/>
      <c r="M85" s="432"/>
      <c r="N85" s="432"/>
      <c r="O85" s="432">
        <f t="shared" si="89"/>
        <v>0</v>
      </c>
      <c r="P85" s="432">
        <f t="shared" si="90"/>
        <v>0</v>
      </c>
      <c r="Q85" s="432"/>
      <c r="R85" s="433">
        <f t="shared" si="91"/>
        <v>0</v>
      </c>
      <c r="S85" s="434">
        <v>0.97960400000000003</v>
      </c>
      <c r="T85" s="433">
        <f t="shared" si="92"/>
        <v>0</v>
      </c>
      <c r="U85" s="433">
        <f t="shared" si="93"/>
        <v>0</v>
      </c>
      <c r="V85" s="432">
        <v>10.029999999999999</v>
      </c>
      <c r="W85" s="432">
        <v>30320</v>
      </c>
      <c r="X85" s="432">
        <v>20720</v>
      </c>
      <c r="Y85" s="432">
        <f t="shared" si="94"/>
        <v>51040</v>
      </c>
      <c r="Z85" s="432">
        <f t="shared" si="95"/>
        <v>511931.2</v>
      </c>
      <c r="AA85" s="432">
        <v>144000</v>
      </c>
      <c r="AB85" s="432"/>
      <c r="AC85" s="433">
        <f t="shared" si="78"/>
        <v>367931.2</v>
      </c>
      <c r="AD85" s="434">
        <v>0.97960400000000003</v>
      </c>
      <c r="AE85" s="433">
        <f t="shared" si="96"/>
        <v>360426.88</v>
      </c>
      <c r="AF85" s="433">
        <f t="shared" si="97"/>
        <v>360.4</v>
      </c>
      <c r="AG85" s="432">
        <v>61.16</v>
      </c>
      <c r="AH85" s="432">
        <v>459</v>
      </c>
      <c r="AI85" s="432">
        <v>421</v>
      </c>
      <c r="AJ85" s="432">
        <f t="shared" si="98"/>
        <v>880</v>
      </c>
      <c r="AK85" s="432">
        <v>25.2</v>
      </c>
      <c r="AL85" s="432">
        <v>459</v>
      </c>
      <c r="AM85" s="432">
        <v>421</v>
      </c>
      <c r="AN85" s="432">
        <f t="shared" si="99"/>
        <v>880</v>
      </c>
      <c r="AO85" s="432">
        <v>12.61</v>
      </c>
      <c r="AP85" s="432">
        <f t="shared" si="100"/>
        <v>53820.800000000003</v>
      </c>
      <c r="AQ85" s="432">
        <f t="shared" si="101"/>
        <v>22176</v>
      </c>
      <c r="AR85" s="432">
        <f t="shared" si="79"/>
        <v>11096.8</v>
      </c>
      <c r="AS85" s="432">
        <f t="shared" si="102"/>
        <v>87093.6</v>
      </c>
      <c r="AT85" s="432">
        <v>12000</v>
      </c>
      <c r="AU85" s="433">
        <f t="shared" si="103"/>
        <v>75093.600000000006</v>
      </c>
      <c r="AV85" s="434">
        <v>0.97960400000000003</v>
      </c>
      <c r="AW85" s="433">
        <f t="shared" si="104"/>
        <v>73561.990000000005</v>
      </c>
      <c r="AX85" s="433">
        <f t="shared" si="105"/>
        <v>73.599999999999994</v>
      </c>
      <c r="AY85" s="433">
        <v>13.79</v>
      </c>
      <c r="AZ85" s="433">
        <v>854.75</v>
      </c>
      <c r="BA85" s="435">
        <v>12</v>
      </c>
      <c r="BB85" s="433">
        <f t="shared" si="106"/>
        <v>141444.03</v>
      </c>
      <c r="BC85" s="433">
        <v>0</v>
      </c>
      <c r="BD85" s="433">
        <f t="shared" si="107"/>
        <v>141444.03</v>
      </c>
      <c r="BE85" s="434">
        <v>0.97960400000000003</v>
      </c>
      <c r="BF85" s="433">
        <f t="shared" si="108"/>
        <v>138559.14000000001</v>
      </c>
      <c r="BG85" s="433">
        <f t="shared" si="109"/>
        <v>138.6</v>
      </c>
      <c r="BH85" s="433">
        <f t="shared" si="110"/>
        <v>2019838.96</v>
      </c>
      <c r="BI85" s="433">
        <f t="shared" si="111"/>
        <v>156000</v>
      </c>
      <c r="BJ85" s="433">
        <f t="shared" si="80"/>
        <v>0</v>
      </c>
      <c r="BK85" s="433">
        <f t="shared" si="81"/>
        <v>1863838.96</v>
      </c>
      <c r="BL85" s="436">
        <f t="shared" si="82"/>
        <v>1863.9</v>
      </c>
      <c r="BM85" s="437">
        <f t="shared" si="112"/>
        <v>1825824.11</v>
      </c>
      <c r="BN85" s="437">
        <f t="shared" si="113"/>
        <v>1825.9</v>
      </c>
      <c r="BO85" s="438">
        <f t="shared" si="83"/>
        <v>-38</v>
      </c>
      <c r="BP85" s="329">
        <v>1825.9</v>
      </c>
      <c r="BQ85" s="439">
        <f t="shared" si="114"/>
        <v>0</v>
      </c>
    </row>
    <row r="86" spans="1:69" s="329" customFormat="1" ht="15.75" hidden="1" x14ac:dyDescent="0.25">
      <c r="A86" s="431" t="s">
        <v>927</v>
      </c>
      <c r="B86" s="432">
        <v>2588.77</v>
      </c>
      <c r="C86" s="432">
        <v>60.15</v>
      </c>
      <c r="D86" s="432">
        <v>93.35</v>
      </c>
      <c r="E86" s="432">
        <f t="shared" si="84"/>
        <v>153.5</v>
      </c>
      <c r="F86" s="432">
        <f t="shared" si="85"/>
        <v>397376.2</v>
      </c>
      <c r="G86" s="432"/>
      <c r="H86" s="433">
        <f t="shared" si="86"/>
        <v>397376.2</v>
      </c>
      <c r="I86" s="434">
        <v>0.97960400000000003</v>
      </c>
      <c r="J86" s="433">
        <f t="shared" si="87"/>
        <v>389271.32</v>
      </c>
      <c r="K86" s="433">
        <f t="shared" si="88"/>
        <v>389.3</v>
      </c>
      <c r="L86" s="432"/>
      <c r="M86" s="432"/>
      <c r="N86" s="432"/>
      <c r="O86" s="432">
        <f t="shared" si="89"/>
        <v>0</v>
      </c>
      <c r="P86" s="432">
        <f t="shared" si="90"/>
        <v>0</v>
      </c>
      <c r="Q86" s="432"/>
      <c r="R86" s="433">
        <f t="shared" si="91"/>
        <v>0</v>
      </c>
      <c r="S86" s="434">
        <v>0.97960400000000003</v>
      </c>
      <c r="T86" s="433">
        <f t="shared" si="92"/>
        <v>0</v>
      </c>
      <c r="U86" s="433">
        <f t="shared" si="93"/>
        <v>0</v>
      </c>
      <c r="V86" s="432">
        <v>10.029999999999999</v>
      </c>
      <c r="W86" s="432">
        <v>16330</v>
      </c>
      <c r="X86" s="432">
        <v>18453</v>
      </c>
      <c r="Y86" s="432">
        <f t="shared" si="94"/>
        <v>34783</v>
      </c>
      <c r="Z86" s="432">
        <f t="shared" si="95"/>
        <v>348873.49</v>
      </c>
      <c r="AA86" s="432">
        <v>69300</v>
      </c>
      <c r="AB86" s="432"/>
      <c r="AC86" s="433">
        <f t="shared" si="78"/>
        <v>279573.49</v>
      </c>
      <c r="AD86" s="434">
        <v>0.97960400000000003</v>
      </c>
      <c r="AE86" s="433">
        <f t="shared" si="96"/>
        <v>273871.31</v>
      </c>
      <c r="AF86" s="433">
        <f t="shared" si="97"/>
        <v>273.89999999999998</v>
      </c>
      <c r="AG86" s="432">
        <v>61.16</v>
      </c>
      <c r="AH86" s="432">
        <v>338</v>
      </c>
      <c r="AI86" s="432">
        <v>254</v>
      </c>
      <c r="AJ86" s="432">
        <f t="shared" si="98"/>
        <v>592</v>
      </c>
      <c r="AK86" s="432">
        <v>25.2</v>
      </c>
      <c r="AL86" s="432">
        <v>338</v>
      </c>
      <c r="AM86" s="432">
        <v>254</v>
      </c>
      <c r="AN86" s="432">
        <f t="shared" si="99"/>
        <v>592</v>
      </c>
      <c r="AO86" s="432">
        <v>12.61</v>
      </c>
      <c r="AP86" s="432">
        <f t="shared" si="100"/>
        <v>36206.720000000001</v>
      </c>
      <c r="AQ86" s="432">
        <f t="shared" si="101"/>
        <v>14918.4</v>
      </c>
      <c r="AR86" s="432">
        <f t="shared" si="79"/>
        <v>7465.12</v>
      </c>
      <c r="AS86" s="432">
        <f t="shared" si="102"/>
        <v>58590.239999999998</v>
      </c>
      <c r="AT86" s="432">
        <v>3506.4</v>
      </c>
      <c r="AU86" s="433">
        <f t="shared" si="103"/>
        <v>55083.839999999997</v>
      </c>
      <c r="AV86" s="434">
        <v>0.97960400000000003</v>
      </c>
      <c r="AW86" s="433">
        <f t="shared" si="104"/>
        <v>53960.35</v>
      </c>
      <c r="AX86" s="433">
        <f t="shared" si="105"/>
        <v>54</v>
      </c>
      <c r="AY86" s="433">
        <v>8.44</v>
      </c>
      <c r="AZ86" s="433">
        <v>854.75</v>
      </c>
      <c r="BA86" s="435">
        <v>12</v>
      </c>
      <c r="BB86" s="433">
        <f t="shared" si="106"/>
        <v>86569.08</v>
      </c>
      <c r="BC86" s="433"/>
      <c r="BD86" s="433">
        <f t="shared" si="107"/>
        <v>86569.08</v>
      </c>
      <c r="BE86" s="434">
        <v>0.97960400000000003</v>
      </c>
      <c r="BF86" s="433">
        <f t="shared" si="108"/>
        <v>84803.42</v>
      </c>
      <c r="BG86" s="433">
        <f t="shared" si="109"/>
        <v>84.8</v>
      </c>
      <c r="BH86" s="433">
        <f t="shared" si="110"/>
        <v>891409.01</v>
      </c>
      <c r="BI86" s="433">
        <f t="shared" si="111"/>
        <v>72806.399999999994</v>
      </c>
      <c r="BJ86" s="433">
        <f t="shared" si="80"/>
        <v>0</v>
      </c>
      <c r="BK86" s="433">
        <f t="shared" si="81"/>
        <v>818602.61</v>
      </c>
      <c r="BL86" s="436">
        <f t="shared" si="82"/>
        <v>818.7</v>
      </c>
      <c r="BM86" s="437">
        <f t="shared" si="112"/>
        <v>801906.4</v>
      </c>
      <c r="BN86" s="437">
        <f>ROUND(K86+U86+AF86+AX86+BG86,1)</f>
        <v>802</v>
      </c>
      <c r="BO86" s="438">
        <f t="shared" si="83"/>
        <v>-16.7</v>
      </c>
      <c r="BP86" s="329">
        <v>802</v>
      </c>
      <c r="BQ86" s="439">
        <f t="shared" si="114"/>
        <v>0</v>
      </c>
    </row>
    <row r="87" spans="1:69" s="329" customFormat="1" ht="15.75" hidden="1" x14ac:dyDescent="0.25">
      <c r="A87" s="431" t="s">
        <v>723</v>
      </c>
      <c r="B87" s="432">
        <v>2588.77</v>
      </c>
      <c r="C87" s="432">
        <v>104.79</v>
      </c>
      <c r="D87" s="432">
        <v>182.09</v>
      </c>
      <c r="E87" s="432">
        <f t="shared" si="84"/>
        <v>286.89999999999998</v>
      </c>
      <c r="F87" s="432">
        <f t="shared" si="85"/>
        <v>742718.11</v>
      </c>
      <c r="G87" s="432"/>
      <c r="H87" s="433">
        <f t="shared" si="86"/>
        <v>742718.11</v>
      </c>
      <c r="I87" s="434">
        <v>0.97960400000000003</v>
      </c>
      <c r="J87" s="433">
        <f t="shared" si="87"/>
        <v>727569.63</v>
      </c>
      <c r="K87" s="433">
        <f t="shared" si="88"/>
        <v>727.6</v>
      </c>
      <c r="L87" s="432"/>
      <c r="M87" s="432"/>
      <c r="N87" s="432"/>
      <c r="O87" s="432">
        <f t="shared" si="89"/>
        <v>0</v>
      </c>
      <c r="P87" s="432">
        <f t="shared" si="90"/>
        <v>0</v>
      </c>
      <c r="Q87" s="432"/>
      <c r="R87" s="433">
        <f t="shared" si="91"/>
        <v>0</v>
      </c>
      <c r="S87" s="434">
        <v>0.97960400000000003</v>
      </c>
      <c r="T87" s="433">
        <f t="shared" si="92"/>
        <v>0</v>
      </c>
      <c r="U87" s="433">
        <f t="shared" si="93"/>
        <v>0</v>
      </c>
      <c r="V87" s="432">
        <v>10.029999999999999</v>
      </c>
      <c r="W87" s="432">
        <v>67767</v>
      </c>
      <c r="X87" s="432">
        <v>71927</v>
      </c>
      <c r="Y87" s="432">
        <f t="shared" si="94"/>
        <v>139694</v>
      </c>
      <c r="Z87" s="432">
        <f t="shared" si="95"/>
        <v>1401130.82</v>
      </c>
      <c r="AA87" s="432">
        <v>279804.79999999999</v>
      </c>
      <c r="AB87" s="432"/>
      <c r="AC87" s="433">
        <f t="shared" si="78"/>
        <v>1121326.02</v>
      </c>
      <c r="AD87" s="434">
        <v>0.97960400000000003</v>
      </c>
      <c r="AE87" s="433">
        <f>ROUND(AC87*AD87,2)</f>
        <v>1098455.45</v>
      </c>
      <c r="AF87" s="433">
        <f t="shared" si="97"/>
        <v>1098.5</v>
      </c>
      <c r="AG87" s="432">
        <v>61.16</v>
      </c>
      <c r="AH87" s="432">
        <v>865</v>
      </c>
      <c r="AI87" s="432">
        <v>834</v>
      </c>
      <c r="AJ87" s="432">
        <f t="shared" si="98"/>
        <v>1699</v>
      </c>
      <c r="AK87" s="432">
        <v>25.2</v>
      </c>
      <c r="AL87" s="432">
        <v>865</v>
      </c>
      <c r="AM87" s="432">
        <v>834</v>
      </c>
      <c r="AN87" s="432">
        <f t="shared" si="99"/>
        <v>1699</v>
      </c>
      <c r="AO87" s="432">
        <v>12.61</v>
      </c>
      <c r="AP87" s="432">
        <f t="shared" si="100"/>
        <v>103910.84</v>
      </c>
      <c r="AQ87" s="432">
        <f t="shared" si="101"/>
        <v>42814.8</v>
      </c>
      <c r="AR87" s="432">
        <f t="shared" si="79"/>
        <v>21424.39</v>
      </c>
      <c r="AS87" s="432">
        <f t="shared" si="102"/>
        <v>168150.03</v>
      </c>
      <c r="AT87" s="432">
        <v>55695.65</v>
      </c>
      <c r="AU87" s="433">
        <f t="shared" si="103"/>
        <v>112454.38</v>
      </c>
      <c r="AV87" s="434">
        <v>0.97960400000000003</v>
      </c>
      <c r="AW87" s="433">
        <f t="shared" si="104"/>
        <v>110160.76</v>
      </c>
      <c r="AX87" s="433">
        <f t="shared" si="105"/>
        <v>110.2</v>
      </c>
      <c r="AY87" s="433">
        <v>9.25</v>
      </c>
      <c r="AZ87" s="433">
        <v>854.75</v>
      </c>
      <c r="BA87" s="435">
        <v>12</v>
      </c>
      <c r="BB87" s="433">
        <f t="shared" si="106"/>
        <v>94877.25</v>
      </c>
      <c r="BC87" s="433">
        <v>31375.68</v>
      </c>
      <c r="BD87" s="433">
        <f t="shared" si="107"/>
        <v>63501.57</v>
      </c>
      <c r="BE87" s="434">
        <v>0.97960400000000003</v>
      </c>
      <c r="BF87" s="433">
        <f t="shared" si="108"/>
        <v>62206.39</v>
      </c>
      <c r="BG87" s="433">
        <f t="shared" si="109"/>
        <v>62.2</v>
      </c>
      <c r="BH87" s="433">
        <f t="shared" si="110"/>
        <v>2406876.21</v>
      </c>
      <c r="BI87" s="433">
        <f t="shared" si="111"/>
        <v>366876.13</v>
      </c>
      <c r="BJ87" s="433">
        <f t="shared" si="80"/>
        <v>0</v>
      </c>
      <c r="BK87" s="433">
        <f t="shared" si="81"/>
        <v>2040000.08</v>
      </c>
      <c r="BL87" s="436">
        <f t="shared" si="82"/>
        <v>2040.1</v>
      </c>
      <c r="BM87" s="437">
        <f t="shared" si="112"/>
        <v>1998392.23</v>
      </c>
      <c r="BN87" s="437">
        <f t="shared" si="113"/>
        <v>1998.5</v>
      </c>
      <c r="BO87" s="438">
        <f t="shared" si="83"/>
        <v>-41.6</v>
      </c>
      <c r="BP87" s="329">
        <v>1998.5</v>
      </c>
      <c r="BQ87" s="439">
        <f t="shared" si="114"/>
        <v>0</v>
      </c>
    </row>
    <row r="88" spans="1:69" s="329" customFormat="1" ht="15.75" hidden="1" x14ac:dyDescent="0.25">
      <c r="A88" s="431" t="s">
        <v>724</v>
      </c>
      <c r="B88" s="432">
        <v>3274.05</v>
      </c>
      <c r="C88" s="432">
        <v>127</v>
      </c>
      <c r="D88" s="432">
        <v>219.42</v>
      </c>
      <c r="E88" s="432">
        <f t="shared" si="84"/>
        <v>346.4</v>
      </c>
      <c r="F88" s="432">
        <f t="shared" si="85"/>
        <v>1134130.92</v>
      </c>
      <c r="G88" s="432"/>
      <c r="H88" s="433">
        <f t="shared" si="86"/>
        <v>1134130.92</v>
      </c>
      <c r="I88" s="434">
        <v>0.97960400000000003</v>
      </c>
      <c r="J88" s="433">
        <f t="shared" si="87"/>
        <v>1110999.19</v>
      </c>
      <c r="K88" s="433">
        <f t="shared" si="88"/>
        <v>1111</v>
      </c>
      <c r="L88" s="432"/>
      <c r="M88" s="432"/>
      <c r="N88" s="432"/>
      <c r="O88" s="432">
        <f t="shared" si="89"/>
        <v>0</v>
      </c>
      <c r="P88" s="432">
        <f t="shared" si="90"/>
        <v>0</v>
      </c>
      <c r="Q88" s="432"/>
      <c r="R88" s="433">
        <f t="shared" si="91"/>
        <v>0</v>
      </c>
      <c r="S88" s="434">
        <v>0.97960400000000003</v>
      </c>
      <c r="T88" s="433">
        <f t="shared" si="92"/>
        <v>0</v>
      </c>
      <c r="U88" s="433">
        <f t="shared" si="93"/>
        <v>0</v>
      </c>
      <c r="V88" s="432">
        <v>10.029999999999999</v>
      </c>
      <c r="W88" s="432">
        <v>26573</v>
      </c>
      <c r="X88" s="432">
        <v>27514</v>
      </c>
      <c r="Y88" s="432">
        <f t="shared" si="94"/>
        <v>54087</v>
      </c>
      <c r="Z88" s="432">
        <f t="shared" si="95"/>
        <v>542492.61</v>
      </c>
      <c r="AA88" s="432">
        <v>191477</v>
      </c>
      <c r="AB88" s="432"/>
      <c r="AC88" s="433">
        <f t="shared" si="78"/>
        <v>351015.61</v>
      </c>
      <c r="AD88" s="434">
        <v>0.97960400000000003</v>
      </c>
      <c r="AE88" s="433">
        <f t="shared" si="96"/>
        <v>343856.3</v>
      </c>
      <c r="AF88" s="433">
        <f t="shared" si="97"/>
        <v>343.9</v>
      </c>
      <c r="AG88" s="432">
        <v>61.16</v>
      </c>
      <c r="AH88" s="432">
        <v>586</v>
      </c>
      <c r="AI88" s="432">
        <v>495</v>
      </c>
      <c r="AJ88" s="432">
        <f t="shared" si="98"/>
        <v>1081</v>
      </c>
      <c r="AK88" s="432">
        <v>25.2</v>
      </c>
      <c r="AL88" s="432">
        <v>586</v>
      </c>
      <c r="AM88" s="432">
        <v>495</v>
      </c>
      <c r="AN88" s="432">
        <f t="shared" si="99"/>
        <v>1081</v>
      </c>
      <c r="AO88" s="432">
        <v>12.61</v>
      </c>
      <c r="AP88" s="432">
        <f t="shared" si="100"/>
        <v>66113.960000000006</v>
      </c>
      <c r="AQ88" s="432">
        <f t="shared" si="101"/>
        <v>27241.200000000001</v>
      </c>
      <c r="AR88" s="432">
        <f t="shared" si="79"/>
        <v>13631.41</v>
      </c>
      <c r="AS88" s="432">
        <f t="shared" si="102"/>
        <v>106986.57</v>
      </c>
      <c r="AT88" s="432">
        <v>26008.639999999999</v>
      </c>
      <c r="AU88" s="433">
        <f t="shared" si="103"/>
        <v>80977.929999999993</v>
      </c>
      <c r="AV88" s="434">
        <v>0.97960400000000003</v>
      </c>
      <c r="AW88" s="433">
        <f t="shared" si="104"/>
        <v>79326.3</v>
      </c>
      <c r="AX88" s="433">
        <f t="shared" si="105"/>
        <v>79.3</v>
      </c>
      <c r="AY88" s="433">
        <v>9.25</v>
      </c>
      <c r="AZ88" s="433">
        <v>854.75</v>
      </c>
      <c r="BA88" s="435">
        <v>12</v>
      </c>
      <c r="BB88" s="433">
        <f t="shared" si="106"/>
        <v>94877.25</v>
      </c>
      <c r="BC88" s="433"/>
      <c r="BD88" s="433">
        <f t="shared" si="107"/>
        <v>94877.25</v>
      </c>
      <c r="BE88" s="434">
        <v>0.97960400000000003</v>
      </c>
      <c r="BF88" s="433">
        <f t="shared" si="108"/>
        <v>92942.13</v>
      </c>
      <c r="BG88" s="433">
        <f t="shared" si="109"/>
        <v>92.9</v>
      </c>
      <c r="BH88" s="433">
        <f t="shared" si="110"/>
        <v>1878487.35</v>
      </c>
      <c r="BI88" s="433">
        <f t="shared" si="111"/>
        <v>217485.64</v>
      </c>
      <c r="BJ88" s="433">
        <f t="shared" si="80"/>
        <v>0</v>
      </c>
      <c r="BK88" s="433">
        <f t="shared" si="81"/>
        <v>1661001.71</v>
      </c>
      <c r="BL88" s="436">
        <f t="shared" si="82"/>
        <v>1661.1</v>
      </c>
      <c r="BM88" s="437">
        <f t="shared" si="112"/>
        <v>1627123.92</v>
      </c>
      <c r="BN88" s="437">
        <f t="shared" si="113"/>
        <v>1627.1</v>
      </c>
      <c r="BO88" s="438">
        <f t="shared" si="83"/>
        <v>-34</v>
      </c>
      <c r="BP88" s="329">
        <v>1627.1</v>
      </c>
      <c r="BQ88" s="439">
        <f t="shared" si="114"/>
        <v>0</v>
      </c>
    </row>
    <row r="89" spans="1:69" s="329" customFormat="1" ht="15.75" hidden="1" x14ac:dyDescent="0.25">
      <c r="A89" s="431" t="s">
        <v>725</v>
      </c>
      <c r="B89" s="432">
        <v>3274.05</v>
      </c>
      <c r="C89" s="432">
        <v>255.7</v>
      </c>
      <c r="D89" s="432">
        <v>421.75</v>
      </c>
      <c r="E89" s="432">
        <f t="shared" si="84"/>
        <v>677.5</v>
      </c>
      <c r="F89" s="432">
        <f t="shared" si="85"/>
        <v>2218168.88</v>
      </c>
      <c r="G89" s="432"/>
      <c r="H89" s="433">
        <f t="shared" si="86"/>
        <v>2218168.88</v>
      </c>
      <c r="I89" s="434">
        <v>0.97960400000000003</v>
      </c>
      <c r="J89" s="433">
        <f t="shared" si="87"/>
        <v>2172927.11</v>
      </c>
      <c r="K89" s="433">
        <f t="shared" si="88"/>
        <v>2172.9</v>
      </c>
      <c r="L89" s="432"/>
      <c r="M89" s="432"/>
      <c r="N89" s="432"/>
      <c r="O89" s="432">
        <f t="shared" si="89"/>
        <v>0</v>
      </c>
      <c r="P89" s="432">
        <f t="shared" si="90"/>
        <v>0</v>
      </c>
      <c r="Q89" s="432"/>
      <c r="R89" s="433">
        <f t="shared" si="91"/>
        <v>0</v>
      </c>
      <c r="S89" s="434">
        <v>0.97960400000000003</v>
      </c>
      <c r="T89" s="433">
        <f t="shared" si="92"/>
        <v>0</v>
      </c>
      <c r="U89" s="433">
        <f t="shared" si="93"/>
        <v>0</v>
      </c>
      <c r="V89" s="432">
        <v>10.029999999999999</v>
      </c>
      <c r="W89" s="432">
        <v>34556</v>
      </c>
      <c r="X89" s="432">
        <v>34540</v>
      </c>
      <c r="Y89" s="432">
        <f t="shared" si="94"/>
        <v>69096</v>
      </c>
      <c r="Z89" s="432">
        <f t="shared" si="95"/>
        <v>693032.88</v>
      </c>
      <c r="AA89" s="432">
        <v>182000</v>
      </c>
      <c r="AB89" s="432"/>
      <c r="AC89" s="433">
        <f t="shared" si="78"/>
        <v>511032.88</v>
      </c>
      <c r="AD89" s="434">
        <v>0.97960400000000003</v>
      </c>
      <c r="AE89" s="433">
        <f t="shared" si="96"/>
        <v>500609.85</v>
      </c>
      <c r="AF89" s="433">
        <f t="shared" si="97"/>
        <v>500.6</v>
      </c>
      <c r="AG89" s="432">
        <v>61.16</v>
      </c>
      <c r="AH89" s="432">
        <v>914</v>
      </c>
      <c r="AI89" s="432">
        <v>899</v>
      </c>
      <c r="AJ89" s="432">
        <f t="shared" si="98"/>
        <v>1813</v>
      </c>
      <c r="AK89" s="432">
        <v>25.2</v>
      </c>
      <c r="AL89" s="432">
        <v>914</v>
      </c>
      <c r="AM89" s="432">
        <v>899</v>
      </c>
      <c r="AN89" s="432">
        <f t="shared" si="99"/>
        <v>1813</v>
      </c>
      <c r="AO89" s="432">
        <v>12.61</v>
      </c>
      <c r="AP89" s="432">
        <f t="shared" si="100"/>
        <v>110883.08</v>
      </c>
      <c r="AQ89" s="432">
        <f t="shared" si="101"/>
        <v>45687.6</v>
      </c>
      <c r="AR89" s="432">
        <f t="shared" si="79"/>
        <v>22861.93</v>
      </c>
      <c r="AS89" s="432">
        <f t="shared" si="102"/>
        <v>179432.61</v>
      </c>
      <c r="AT89" s="432">
        <v>45300</v>
      </c>
      <c r="AU89" s="433">
        <f t="shared" si="103"/>
        <v>134132.60999999999</v>
      </c>
      <c r="AV89" s="434">
        <v>0.97960400000000003</v>
      </c>
      <c r="AW89" s="433">
        <f t="shared" si="104"/>
        <v>131396.84</v>
      </c>
      <c r="AX89" s="433">
        <f t="shared" si="105"/>
        <v>131.4</v>
      </c>
      <c r="AY89" s="433">
        <v>7.81</v>
      </c>
      <c r="AZ89" s="433">
        <v>854.75</v>
      </c>
      <c r="BA89" s="435">
        <v>12</v>
      </c>
      <c r="BB89" s="433">
        <f t="shared" si="106"/>
        <v>80107.17</v>
      </c>
      <c r="BC89" s="433"/>
      <c r="BD89" s="433">
        <f t="shared" si="107"/>
        <v>80107.17</v>
      </c>
      <c r="BE89" s="434">
        <v>0.97960400000000003</v>
      </c>
      <c r="BF89" s="433">
        <f t="shared" si="108"/>
        <v>78473.3</v>
      </c>
      <c r="BG89" s="433">
        <f t="shared" si="109"/>
        <v>78.5</v>
      </c>
      <c r="BH89" s="433">
        <f t="shared" si="110"/>
        <v>3170741.54</v>
      </c>
      <c r="BI89" s="433">
        <f t="shared" si="111"/>
        <v>227300</v>
      </c>
      <c r="BJ89" s="433">
        <f t="shared" si="80"/>
        <v>0</v>
      </c>
      <c r="BK89" s="433">
        <f t="shared" si="81"/>
        <v>2943441.54</v>
      </c>
      <c r="BL89" s="436">
        <f t="shared" si="82"/>
        <v>2943.5</v>
      </c>
      <c r="BM89" s="437">
        <f t="shared" si="112"/>
        <v>2883407.1</v>
      </c>
      <c r="BN89" s="437">
        <f t="shared" si="113"/>
        <v>2883.4</v>
      </c>
      <c r="BO89" s="438">
        <f t="shared" si="83"/>
        <v>-60.1</v>
      </c>
      <c r="BP89" s="329">
        <v>2883.4</v>
      </c>
      <c r="BQ89" s="439">
        <f t="shared" si="114"/>
        <v>0</v>
      </c>
    </row>
    <row r="90" spans="1:69" s="329" customFormat="1" ht="15.75" hidden="1" x14ac:dyDescent="0.25">
      <c r="A90" s="431" t="s">
        <v>726</v>
      </c>
      <c r="B90" s="432"/>
      <c r="C90" s="432"/>
      <c r="D90" s="432"/>
      <c r="E90" s="432">
        <f t="shared" si="84"/>
        <v>0</v>
      </c>
      <c r="F90" s="432">
        <f t="shared" si="85"/>
        <v>0</v>
      </c>
      <c r="G90" s="432"/>
      <c r="H90" s="433">
        <f t="shared" si="86"/>
        <v>0</v>
      </c>
      <c r="I90" s="434">
        <v>0.97960400000000003</v>
      </c>
      <c r="J90" s="433">
        <f t="shared" si="87"/>
        <v>0</v>
      </c>
      <c r="K90" s="433">
        <f t="shared" si="88"/>
        <v>0</v>
      </c>
      <c r="L90" s="432">
        <v>9.9700000000000006</v>
      </c>
      <c r="M90" s="432">
        <v>18250</v>
      </c>
      <c r="N90" s="432">
        <v>24960</v>
      </c>
      <c r="O90" s="432">
        <f t="shared" si="89"/>
        <v>43210</v>
      </c>
      <c r="P90" s="432">
        <f t="shared" si="90"/>
        <v>430803.7</v>
      </c>
      <c r="Q90" s="432"/>
      <c r="R90" s="433">
        <f t="shared" si="91"/>
        <v>430803.7</v>
      </c>
      <c r="S90" s="434">
        <v>0.97960400000000003</v>
      </c>
      <c r="T90" s="433">
        <f t="shared" si="92"/>
        <v>422017.03</v>
      </c>
      <c r="U90" s="433">
        <f t="shared" si="93"/>
        <v>422</v>
      </c>
      <c r="V90" s="432">
        <v>10.029999999999999</v>
      </c>
      <c r="W90" s="432">
        <v>31970</v>
      </c>
      <c r="X90" s="432">
        <v>27246</v>
      </c>
      <c r="Y90" s="432">
        <f t="shared" si="94"/>
        <v>59216</v>
      </c>
      <c r="Z90" s="432">
        <f t="shared" si="95"/>
        <v>593936.48</v>
      </c>
      <c r="AA90" s="432">
        <v>11550</v>
      </c>
      <c r="AB90" s="432"/>
      <c r="AC90" s="433">
        <f t="shared" si="78"/>
        <v>582386.48</v>
      </c>
      <c r="AD90" s="434">
        <v>0.97960400000000003</v>
      </c>
      <c r="AE90" s="433">
        <f t="shared" si="96"/>
        <v>570508.13</v>
      </c>
      <c r="AF90" s="433">
        <f t="shared" si="97"/>
        <v>570.5</v>
      </c>
      <c r="AG90" s="432">
        <v>61.16</v>
      </c>
      <c r="AH90" s="432">
        <v>607</v>
      </c>
      <c r="AI90" s="432">
        <v>940</v>
      </c>
      <c r="AJ90" s="432">
        <f t="shared" si="98"/>
        <v>1547</v>
      </c>
      <c r="AK90" s="432">
        <v>25.2</v>
      </c>
      <c r="AL90" s="432">
        <v>607</v>
      </c>
      <c r="AM90" s="432">
        <v>940</v>
      </c>
      <c r="AN90" s="432">
        <f t="shared" si="99"/>
        <v>1547</v>
      </c>
      <c r="AO90" s="432">
        <v>12.61</v>
      </c>
      <c r="AP90" s="432">
        <f t="shared" si="100"/>
        <v>94614.52</v>
      </c>
      <c r="AQ90" s="432">
        <f t="shared" si="101"/>
        <v>38984.400000000001</v>
      </c>
      <c r="AR90" s="432">
        <f t="shared" si="79"/>
        <v>19507.669999999998</v>
      </c>
      <c r="AS90" s="432">
        <f t="shared" si="102"/>
        <v>153106.59</v>
      </c>
      <c r="AT90" s="432">
        <v>11474</v>
      </c>
      <c r="AU90" s="433">
        <f t="shared" si="103"/>
        <v>141632.59</v>
      </c>
      <c r="AV90" s="434">
        <v>0.97960400000000003</v>
      </c>
      <c r="AW90" s="433">
        <f t="shared" si="104"/>
        <v>138743.85</v>
      </c>
      <c r="AX90" s="433">
        <f t="shared" si="105"/>
        <v>138.69999999999999</v>
      </c>
      <c r="AY90" s="433">
        <v>12.06</v>
      </c>
      <c r="AZ90" s="433">
        <v>854.75</v>
      </c>
      <c r="BA90" s="435">
        <v>12</v>
      </c>
      <c r="BB90" s="433">
        <f t="shared" si="106"/>
        <v>123699.42</v>
      </c>
      <c r="BC90" s="433"/>
      <c r="BD90" s="433">
        <f t="shared" si="107"/>
        <v>123699.42</v>
      </c>
      <c r="BE90" s="434">
        <v>0.97960400000000003</v>
      </c>
      <c r="BF90" s="433">
        <f t="shared" si="108"/>
        <v>121176.45</v>
      </c>
      <c r="BG90" s="433">
        <f t="shared" si="109"/>
        <v>121.2</v>
      </c>
      <c r="BH90" s="433">
        <f t="shared" si="110"/>
        <v>1301546.19</v>
      </c>
      <c r="BI90" s="433">
        <f t="shared" si="111"/>
        <v>23024</v>
      </c>
      <c r="BJ90" s="433">
        <f t="shared" si="80"/>
        <v>0</v>
      </c>
      <c r="BK90" s="433">
        <f t="shared" si="81"/>
        <v>1278522.19</v>
      </c>
      <c r="BL90" s="436">
        <f t="shared" si="82"/>
        <v>1278.5999999999999</v>
      </c>
      <c r="BM90" s="437">
        <f t="shared" si="112"/>
        <v>1252445.46</v>
      </c>
      <c r="BN90" s="437">
        <f t="shared" si="113"/>
        <v>1252.4000000000001</v>
      </c>
      <c r="BO90" s="438">
        <f t="shared" si="83"/>
        <v>-26.2</v>
      </c>
      <c r="BP90" s="329">
        <v>1252.4000000000001</v>
      </c>
      <c r="BQ90" s="439">
        <f t="shared" si="114"/>
        <v>0</v>
      </c>
    </row>
    <row r="91" spans="1:69" s="329" customFormat="1" ht="15.75" hidden="1" x14ac:dyDescent="0.25">
      <c r="A91" s="431" t="s">
        <v>727</v>
      </c>
      <c r="B91" s="432">
        <v>3274.05</v>
      </c>
      <c r="C91" s="432">
        <v>180</v>
      </c>
      <c r="D91" s="432">
        <v>309.52</v>
      </c>
      <c r="E91" s="432">
        <f t="shared" si="84"/>
        <v>489.5</v>
      </c>
      <c r="F91" s="432">
        <f>ROUND(B91*E91,2)</f>
        <v>1602647.48</v>
      </c>
      <c r="G91" s="432"/>
      <c r="H91" s="433">
        <f t="shared" si="86"/>
        <v>1602647.48</v>
      </c>
      <c r="I91" s="434">
        <v>0.97960400000000003</v>
      </c>
      <c r="J91" s="433">
        <f t="shared" si="87"/>
        <v>1569959.88</v>
      </c>
      <c r="K91" s="433">
        <f t="shared" si="88"/>
        <v>1570</v>
      </c>
      <c r="L91" s="432"/>
      <c r="M91" s="432"/>
      <c r="N91" s="432"/>
      <c r="O91" s="432">
        <f t="shared" si="89"/>
        <v>0</v>
      </c>
      <c r="P91" s="432">
        <f t="shared" si="90"/>
        <v>0</v>
      </c>
      <c r="Q91" s="432"/>
      <c r="R91" s="433">
        <f t="shared" si="91"/>
        <v>0</v>
      </c>
      <c r="S91" s="434">
        <v>0.97960400000000003</v>
      </c>
      <c r="T91" s="433">
        <f t="shared" si="92"/>
        <v>0</v>
      </c>
      <c r="U91" s="433">
        <f t="shared" si="93"/>
        <v>0</v>
      </c>
      <c r="V91" s="432">
        <v>10.029999999999999</v>
      </c>
      <c r="W91" s="432">
        <v>43407</v>
      </c>
      <c r="X91" s="432">
        <v>54434</v>
      </c>
      <c r="Y91" s="432">
        <f t="shared" si="94"/>
        <v>97841</v>
      </c>
      <c r="Z91" s="432">
        <f t="shared" si="95"/>
        <v>981345.23</v>
      </c>
      <c r="AA91" s="432">
        <v>80000</v>
      </c>
      <c r="AB91" s="432"/>
      <c r="AC91" s="433">
        <f t="shared" si="78"/>
        <v>901345.23</v>
      </c>
      <c r="AD91" s="434">
        <v>0.97960400000000003</v>
      </c>
      <c r="AE91" s="433">
        <f t="shared" si="96"/>
        <v>882961.39</v>
      </c>
      <c r="AF91" s="433">
        <f t="shared" si="97"/>
        <v>883</v>
      </c>
      <c r="AG91" s="432">
        <v>61.16</v>
      </c>
      <c r="AH91" s="432">
        <v>1195</v>
      </c>
      <c r="AI91" s="432">
        <v>1065</v>
      </c>
      <c r="AJ91" s="432">
        <f t="shared" si="98"/>
        <v>2260</v>
      </c>
      <c r="AK91" s="432">
        <v>25.2</v>
      </c>
      <c r="AL91" s="432">
        <v>1195</v>
      </c>
      <c r="AM91" s="432">
        <v>1065</v>
      </c>
      <c r="AN91" s="432">
        <f t="shared" si="99"/>
        <v>2260</v>
      </c>
      <c r="AO91" s="432">
        <v>12.61</v>
      </c>
      <c r="AP91" s="432">
        <f t="shared" si="100"/>
        <v>138221.6</v>
      </c>
      <c r="AQ91" s="432">
        <f t="shared" si="101"/>
        <v>56952</v>
      </c>
      <c r="AR91" s="432">
        <f t="shared" si="79"/>
        <v>28498.6</v>
      </c>
      <c r="AS91" s="432">
        <f t="shared" si="102"/>
        <v>223672.2</v>
      </c>
      <c r="AT91" s="432">
        <v>50000</v>
      </c>
      <c r="AU91" s="433">
        <f t="shared" si="103"/>
        <v>173672.2</v>
      </c>
      <c r="AV91" s="434">
        <v>0.97960400000000003</v>
      </c>
      <c r="AW91" s="433">
        <f t="shared" si="104"/>
        <v>170129.98</v>
      </c>
      <c r="AX91" s="433">
        <f t="shared" si="105"/>
        <v>170.1</v>
      </c>
      <c r="AY91" s="433">
        <v>18.420000000000002</v>
      </c>
      <c r="AZ91" s="433">
        <v>854.75</v>
      </c>
      <c r="BA91" s="435">
        <v>12</v>
      </c>
      <c r="BB91" s="433">
        <f t="shared" si="106"/>
        <v>188933.94</v>
      </c>
      <c r="BC91" s="433">
        <v>0</v>
      </c>
      <c r="BD91" s="433">
        <f t="shared" si="107"/>
        <v>188933.94</v>
      </c>
      <c r="BE91" s="434">
        <v>0.97960400000000003</v>
      </c>
      <c r="BF91" s="433">
        <f t="shared" si="108"/>
        <v>185080.44</v>
      </c>
      <c r="BG91" s="433">
        <f t="shared" si="109"/>
        <v>185.1</v>
      </c>
      <c r="BH91" s="433">
        <f t="shared" si="110"/>
        <v>2996598.85</v>
      </c>
      <c r="BI91" s="433">
        <f t="shared" si="111"/>
        <v>130000</v>
      </c>
      <c r="BJ91" s="433">
        <f t="shared" si="80"/>
        <v>0</v>
      </c>
      <c r="BK91" s="433">
        <f t="shared" si="81"/>
        <v>2866598.85</v>
      </c>
      <c r="BL91" s="436">
        <f t="shared" si="82"/>
        <v>2866.6</v>
      </c>
      <c r="BM91" s="437">
        <f t="shared" si="112"/>
        <v>2808131.69</v>
      </c>
      <c r="BN91" s="437">
        <f>ROUND(K91+U91+AF91+AX91+BG91,1)</f>
        <v>2808.2</v>
      </c>
      <c r="BO91" s="438">
        <f t="shared" si="83"/>
        <v>-58.4</v>
      </c>
      <c r="BP91" s="329">
        <v>2808.2</v>
      </c>
      <c r="BQ91" s="439">
        <f t="shared" si="114"/>
        <v>0</v>
      </c>
    </row>
    <row r="92" spans="1:69" s="329" customFormat="1" ht="31.5" hidden="1" x14ac:dyDescent="0.25">
      <c r="A92" s="431" t="s">
        <v>728</v>
      </c>
      <c r="B92" s="432">
        <v>3274.05</v>
      </c>
      <c r="C92" s="432">
        <v>186.6</v>
      </c>
      <c r="D92" s="432">
        <v>332.31</v>
      </c>
      <c r="E92" s="432">
        <f t="shared" si="84"/>
        <v>518.9</v>
      </c>
      <c r="F92" s="432">
        <f t="shared" si="85"/>
        <v>1698904.55</v>
      </c>
      <c r="G92" s="432"/>
      <c r="H92" s="433">
        <f t="shared" si="86"/>
        <v>1698904.55</v>
      </c>
      <c r="I92" s="434">
        <v>0.97960400000000003</v>
      </c>
      <c r="J92" s="433">
        <f t="shared" si="87"/>
        <v>1664253.69</v>
      </c>
      <c r="K92" s="433">
        <f t="shared" si="88"/>
        <v>1664.3</v>
      </c>
      <c r="L92" s="432"/>
      <c r="M92" s="432"/>
      <c r="N92" s="432"/>
      <c r="O92" s="432">
        <f t="shared" si="89"/>
        <v>0</v>
      </c>
      <c r="P92" s="432">
        <f t="shared" si="90"/>
        <v>0</v>
      </c>
      <c r="Q92" s="432"/>
      <c r="R92" s="433">
        <f t="shared" si="91"/>
        <v>0</v>
      </c>
      <c r="S92" s="434">
        <v>0.97960400000000003</v>
      </c>
      <c r="T92" s="433">
        <f t="shared" si="92"/>
        <v>0</v>
      </c>
      <c r="U92" s="433">
        <f t="shared" si="93"/>
        <v>0</v>
      </c>
      <c r="V92" s="432">
        <v>10.029999999999999</v>
      </c>
      <c r="W92" s="432">
        <v>21898</v>
      </c>
      <c r="X92" s="432">
        <v>25855</v>
      </c>
      <c r="Y92" s="432">
        <f t="shared" si="94"/>
        <v>47753</v>
      </c>
      <c r="Z92" s="432">
        <f t="shared" si="95"/>
        <v>478962.59</v>
      </c>
      <c r="AA92" s="432">
        <v>50380</v>
      </c>
      <c r="AB92" s="432"/>
      <c r="AC92" s="433">
        <f t="shared" si="78"/>
        <v>428582.59</v>
      </c>
      <c r="AD92" s="434">
        <v>0.97960400000000003</v>
      </c>
      <c r="AE92" s="433">
        <f t="shared" si="96"/>
        <v>419841.22</v>
      </c>
      <c r="AF92" s="433">
        <f t="shared" si="97"/>
        <v>419.8</v>
      </c>
      <c r="AG92" s="432">
        <v>61.16</v>
      </c>
      <c r="AH92" s="432">
        <v>665</v>
      </c>
      <c r="AI92" s="432">
        <v>603</v>
      </c>
      <c r="AJ92" s="432">
        <f t="shared" si="98"/>
        <v>1268</v>
      </c>
      <c r="AK92" s="432">
        <v>25.2</v>
      </c>
      <c r="AL92" s="432">
        <v>665</v>
      </c>
      <c r="AM92" s="432">
        <v>603</v>
      </c>
      <c r="AN92" s="432">
        <f t="shared" si="99"/>
        <v>1268</v>
      </c>
      <c r="AO92" s="432">
        <v>12.61</v>
      </c>
      <c r="AP92" s="432">
        <f t="shared" si="100"/>
        <v>77550.880000000005</v>
      </c>
      <c r="AQ92" s="432">
        <f t="shared" si="101"/>
        <v>31953.599999999999</v>
      </c>
      <c r="AR92" s="432">
        <f t="shared" si="79"/>
        <v>15989.48</v>
      </c>
      <c r="AS92" s="432">
        <f t="shared" si="102"/>
        <v>125493.96</v>
      </c>
      <c r="AT92" s="432">
        <v>12266.8</v>
      </c>
      <c r="AU92" s="433">
        <f t="shared" si="103"/>
        <v>113227.16</v>
      </c>
      <c r="AV92" s="434">
        <v>0.97960400000000003</v>
      </c>
      <c r="AW92" s="433">
        <f t="shared" si="104"/>
        <v>110917.78</v>
      </c>
      <c r="AX92" s="433">
        <f t="shared" si="105"/>
        <v>110.9</v>
      </c>
      <c r="AY92" s="433">
        <v>12.5</v>
      </c>
      <c r="AZ92" s="433">
        <v>854.75</v>
      </c>
      <c r="BA92" s="435">
        <v>12</v>
      </c>
      <c r="BB92" s="433">
        <f t="shared" si="106"/>
        <v>128212.5</v>
      </c>
      <c r="BC92" s="433"/>
      <c r="BD92" s="433">
        <f t="shared" si="107"/>
        <v>128212.5</v>
      </c>
      <c r="BE92" s="434">
        <v>0.97960400000000003</v>
      </c>
      <c r="BF92" s="433">
        <f t="shared" si="108"/>
        <v>125597.48</v>
      </c>
      <c r="BG92" s="433">
        <f t="shared" si="109"/>
        <v>125.6</v>
      </c>
      <c r="BH92" s="433">
        <f t="shared" si="110"/>
        <v>2431573.6</v>
      </c>
      <c r="BI92" s="433">
        <f t="shared" si="111"/>
        <v>62646.8</v>
      </c>
      <c r="BJ92" s="433">
        <f t="shared" si="80"/>
        <v>0</v>
      </c>
      <c r="BK92" s="433">
        <f t="shared" si="81"/>
        <v>2368926.7999999998</v>
      </c>
      <c r="BL92" s="436">
        <f t="shared" si="82"/>
        <v>2369</v>
      </c>
      <c r="BM92" s="437">
        <f t="shared" si="112"/>
        <v>2320610.17</v>
      </c>
      <c r="BN92" s="437">
        <f t="shared" si="113"/>
        <v>2320.6</v>
      </c>
      <c r="BO92" s="438">
        <f t="shared" si="83"/>
        <v>-48.4</v>
      </c>
      <c r="BP92" s="329">
        <v>2320.6</v>
      </c>
      <c r="BQ92" s="439">
        <f t="shared" si="114"/>
        <v>0</v>
      </c>
    </row>
    <row r="93" spans="1:69" s="329" customFormat="1" ht="15.75" hidden="1" x14ac:dyDescent="0.25">
      <c r="A93" s="431" t="s">
        <v>729</v>
      </c>
      <c r="B93" s="432">
        <v>0</v>
      </c>
      <c r="C93" s="432">
        <v>0</v>
      </c>
      <c r="D93" s="432">
        <v>0</v>
      </c>
      <c r="E93" s="432">
        <f t="shared" si="84"/>
        <v>0</v>
      </c>
      <c r="F93" s="432">
        <f t="shared" si="85"/>
        <v>0</v>
      </c>
      <c r="G93" s="432">
        <v>0</v>
      </c>
      <c r="H93" s="433">
        <f t="shared" si="86"/>
        <v>0</v>
      </c>
      <c r="I93" s="434">
        <v>0.97960400000000003</v>
      </c>
      <c r="J93" s="433">
        <f t="shared" si="87"/>
        <v>0</v>
      </c>
      <c r="K93" s="433">
        <f t="shared" si="88"/>
        <v>0</v>
      </c>
      <c r="L93" s="432">
        <v>9.9700000000000006</v>
      </c>
      <c r="M93" s="432">
        <v>24800</v>
      </c>
      <c r="N93" s="432">
        <v>37100</v>
      </c>
      <c r="O93" s="432">
        <f t="shared" si="89"/>
        <v>61900</v>
      </c>
      <c r="P93" s="432">
        <f t="shared" si="90"/>
        <v>617143</v>
      </c>
      <c r="Q93" s="432">
        <v>0</v>
      </c>
      <c r="R93" s="433">
        <f t="shared" si="91"/>
        <v>617143</v>
      </c>
      <c r="S93" s="434">
        <v>0.97960400000000003</v>
      </c>
      <c r="T93" s="433">
        <f t="shared" si="92"/>
        <v>604555.75</v>
      </c>
      <c r="U93" s="433">
        <f t="shared" si="93"/>
        <v>604.6</v>
      </c>
      <c r="V93" s="432">
        <v>10.029999999999999</v>
      </c>
      <c r="W93" s="432">
        <v>21500</v>
      </c>
      <c r="X93" s="432">
        <v>21580</v>
      </c>
      <c r="Y93" s="432">
        <f t="shared" si="94"/>
        <v>43080</v>
      </c>
      <c r="Z93" s="432">
        <f t="shared" si="95"/>
        <v>432092.4</v>
      </c>
      <c r="AA93" s="432">
        <v>93500</v>
      </c>
      <c r="AB93" s="432"/>
      <c r="AC93" s="433">
        <f t="shared" si="78"/>
        <v>338592.4</v>
      </c>
      <c r="AD93" s="434">
        <v>0.97960400000000003</v>
      </c>
      <c r="AE93" s="433">
        <f t="shared" si="96"/>
        <v>331686.46999999997</v>
      </c>
      <c r="AF93" s="433">
        <f t="shared" si="97"/>
        <v>331.7</v>
      </c>
      <c r="AG93" s="432">
        <v>61.16</v>
      </c>
      <c r="AH93" s="432">
        <v>337</v>
      </c>
      <c r="AI93" s="432">
        <v>381</v>
      </c>
      <c r="AJ93" s="432">
        <f t="shared" si="98"/>
        <v>718</v>
      </c>
      <c r="AK93" s="432">
        <v>25.2</v>
      </c>
      <c r="AL93" s="432">
        <v>337</v>
      </c>
      <c r="AM93" s="432">
        <v>381</v>
      </c>
      <c r="AN93" s="432">
        <f t="shared" si="99"/>
        <v>718</v>
      </c>
      <c r="AO93" s="432">
        <v>12.61</v>
      </c>
      <c r="AP93" s="432">
        <f t="shared" si="100"/>
        <v>43912.88</v>
      </c>
      <c r="AQ93" s="432">
        <f t="shared" si="101"/>
        <v>18093.599999999999</v>
      </c>
      <c r="AR93" s="432">
        <f t="shared" si="79"/>
        <v>9053.98</v>
      </c>
      <c r="AS93" s="432">
        <f t="shared" si="102"/>
        <v>71060.460000000006</v>
      </c>
      <c r="AT93" s="432">
        <v>5259</v>
      </c>
      <c r="AU93" s="433">
        <f t="shared" si="103"/>
        <v>65801.460000000006</v>
      </c>
      <c r="AV93" s="434">
        <v>0.97960400000000003</v>
      </c>
      <c r="AW93" s="433">
        <f t="shared" si="104"/>
        <v>64459.37</v>
      </c>
      <c r="AX93" s="433">
        <f t="shared" si="105"/>
        <v>64.5</v>
      </c>
      <c r="AY93" s="433">
        <v>8.25</v>
      </c>
      <c r="AZ93" s="433">
        <v>854.75</v>
      </c>
      <c r="BA93" s="435">
        <v>12</v>
      </c>
      <c r="BB93" s="433">
        <f t="shared" si="106"/>
        <v>84620.25</v>
      </c>
      <c r="BC93" s="433">
        <v>0</v>
      </c>
      <c r="BD93" s="433">
        <f t="shared" si="107"/>
        <v>84620.25</v>
      </c>
      <c r="BE93" s="434">
        <v>0.97960400000000003</v>
      </c>
      <c r="BF93" s="433">
        <f t="shared" si="108"/>
        <v>82894.34</v>
      </c>
      <c r="BG93" s="433">
        <f t="shared" si="109"/>
        <v>82.9</v>
      </c>
      <c r="BH93" s="433">
        <f t="shared" si="110"/>
        <v>1204916.1100000001</v>
      </c>
      <c r="BI93" s="433">
        <f t="shared" si="111"/>
        <v>98759</v>
      </c>
      <c r="BJ93" s="433">
        <f t="shared" si="80"/>
        <v>0</v>
      </c>
      <c r="BK93" s="433">
        <f t="shared" si="81"/>
        <v>1106157.1100000001</v>
      </c>
      <c r="BL93" s="436">
        <f t="shared" si="82"/>
        <v>1106.2</v>
      </c>
      <c r="BM93" s="437">
        <f t="shared" si="112"/>
        <v>1083595.93</v>
      </c>
      <c r="BN93" s="437">
        <f>ROUND(K93+U93+AF93+AX93+BG93,1)</f>
        <v>1083.7</v>
      </c>
      <c r="BO93" s="438">
        <f t="shared" si="83"/>
        <v>-22.5</v>
      </c>
      <c r="BP93" s="329">
        <v>1083.7</v>
      </c>
      <c r="BQ93" s="439">
        <f t="shared" si="114"/>
        <v>0</v>
      </c>
    </row>
    <row r="94" spans="1:69" s="329" customFormat="1" ht="15.75" hidden="1" x14ac:dyDescent="0.25">
      <c r="A94" s="431" t="s">
        <v>730</v>
      </c>
      <c r="B94" s="432">
        <v>2588.77</v>
      </c>
      <c r="C94" s="432">
        <v>249.1</v>
      </c>
      <c r="D94" s="432">
        <v>445.3</v>
      </c>
      <c r="E94" s="432">
        <f t="shared" si="84"/>
        <v>694.4</v>
      </c>
      <c r="F94" s="432">
        <f t="shared" si="85"/>
        <v>1797641.89</v>
      </c>
      <c r="G94" s="432">
        <v>4711.5600000000004</v>
      </c>
      <c r="H94" s="433">
        <f t="shared" si="86"/>
        <v>1792930.33</v>
      </c>
      <c r="I94" s="434">
        <v>0.97960400000000003</v>
      </c>
      <c r="J94" s="433">
        <f t="shared" si="87"/>
        <v>1756361.72</v>
      </c>
      <c r="K94" s="433">
        <f t="shared" si="88"/>
        <v>1756.4</v>
      </c>
      <c r="L94" s="432"/>
      <c r="M94" s="432"/>
      <c r="N94" s="432"/>
      <c r="O94" s="432">
        <f t="shared" si="89"/>
        <v>0</v>
      </c>
      <c r="P94" s="432">
        <f t="shared" si="90"/>
        <v>0</v>
      </c>
      <c r="Q94" s="432"/>
      <c r="R94" s="433">
        <f t="shared" si="91"/>
        <v>0</v>
      </c>
      <c r="S94" s="434">
        <v>0.97960400000000003</v>
      </c>
      <c r="T94" s="433">
        <f t="shared" si="92"/>
        <v>0</v>
      </c>
      <c r="U94" s="433">
        <f t="shared" si="93"/>
        <v>0</v>
      </c>
      <c r="V94" s="432">
        <v>10.029999999999999</v>
      </c>
      <c r="W94" s="432">
        <v>51113</v>
      </c>
      <c r="X94" s="432">
        <v>43897</v>
      </c>
      <c r="Y94" s="432">
        <f t="shared" si="94"/>
        <v>95010</v>
      </c>
      <c r="Z94" s="432">
        <f t="shared" si="95"/>
        <v>952950.3</v>
      </c>
      <c r="AA94" s="432">
        <v>418000</v>
      </c>
      <c r="AB94" s="432"/>
      <c r="AC94" s="433">
        <f t="shared" si="78"/>
        <v>534950.30000000005</v>
      </c>
      <c r="AD94" s="434">
        <v>0.97960400000000003</v>
      </c>
      <c r="AE94" s="433">
        <f t="shared" si="96"/>
        <v>524039.45</v>
      </c>
      <c r="AF94" s="433">
        <f t="shared" si="97"/>
        <v>524</v>
      </c>
      <c r="AG94" s="432">
        <v>61.16</v>
      </c>
      <c r="AH94" s="432">
        <v>1531</v>
      </c>
      <c r="AI94" s="432">
        <v>1485</v>
      </c>
      <c r="AJ94" s="432">
        <f t="shared" si="98"/>
        <v>3016</v>
      </c>
      <c r="AK94" s="432">
        <v>25.2</v>
      </c>
      <c r="AL94" s="432">
        <v>1531</v>
      </c>
      <c r="AM94" s="432">
        <v>1485</v>
      </c>
      <c r="AN94" s="432">
        <f t="shared" si="99"/>
        <v>3016</v>
      </c>
      <c r="AO94" s="432">
        <v>12.61</v>
      </c>
      <c r="AP94" s="432">
        <f t="shared" si="100"/>
        <v>184458.56</v>
      </c>
      <c r="AQ94" s="432">
        <f t="shared" si="101"/>
        <v>76003.199999999997</v>
      </c>
      <c r="AR94" s="432">
        <f t="shared" si="79"/>
        <v>38031.760000000002</v>
      </c>
      <c r="AS94" s="432">
        <f t="shared" si="102"/>
        <v>298493.52</v>
      </c>
      <c r="AT94" s="432">
        <v>38862</v>
      </c>
      <c r="AU94" s="433">
        <f t="shared" si="103"/>
        <v>259631.52</v>
      </c>
      <c r="AV94" s="434">
        <v>0.97960400000000003</v>
      </c>
      <c r="AW94" s="433">
        <f t="shared" si="104"/>
        <v>254336.08</v>
      </c>
      <c r="AX94" s="433">
        <f t="shared" si="105"/>
        <v>254.3</v>
      </c>
      <c r="AY94" s="433">
        <v>15.63</v>
      </c>
      <c r="AZ94" s="433">
        <v>854.75</v>
      </c>
      <c r="BA94" s="435">
        <v>12</v>
      </c>
      <c r="BB94" s="433">
        <f t="shared" si="106"/>
        <v>160316.91</v>
      </c>
      <c r="BC94" s="433">
        <v>0</v>
      </c>
      <c r="BD94" s="433">
        <f t="shared" si="107"/>
        <v>160316.91</v>
      </c>
      <c r="BE94" s="434">
        <v>0.97960400000000003</v>
      </c>
      <c r="BF94" s="433">
        <f t="shared" si="108"/>
        <v>157047.09</v>
      </c>
      <c r="BG94" s="433">
        <f t="shared" si="109"/>
        <v>157</v>
      </c>
      <c r="BH94" s="433">
        <f t="shared" si="110"/>
        <v>3209402.62</v>
      </c>
      <c r="BI94" s="433">
        <f t="shared" si="111"/>
        <v>461573.56</v>
      </c>
      <c r="BJ94" s="433">
        <f t="shared" si="80"/>
        <v>0</v>
      </c>
      <c r="BK94" s="433">
        <f t="shared" si="81"/>
        <v>2747829.06</v>
      </c>
      <c r="BL94" s="436">
        <f t="shared" si="82"/>
        <v>2747.9</v>
      </c>
      <c r="BM94" s="437">
        <f t="shared" si="112"/>
        <v>2691784.34</v>
      </c>
      <c r="BN94" s="437">
        <f t="shared" si="113"/>
        <v>2691.7</v>
      </c>
      <c r="BO94" s="438">
        <f t="shared" si="83"/>
        <v>-56.2</v>
      </c>
      <c r="BP94" s="329">
        <v>2691.7</v>
      </c>
      <c r="BQ94" s="439">
        <f t="shared" si="114"/>
        <v>0</v>
      </c>
    </row>
    <row r="95" spans="1:69" s="329" customFormat="1" ht="15.75" hidden="1" x14ac:dyDescent="0.25">
      <c r="A95" s="431" t="s">
        <v>928</v>
      </c>
      <c r="B95" s="432">
        <v>2588.77</v>
      </c>
      <c r="C95" s="432">
        <v>217.4</v>
      </c>
      <c r="D95" s="432">
        <v>313.29000000000002</v>
      </c>
      <c r="E95" s="432">
        <f t="shared" si="84"/>
        <v>530.70000000000005</v>
      </c>
      <c r="F95" s="432">
        <f t="shared" si="85"/>
        <v>1373860.24</v>
      </c>
      <c r="G95" s="432"/>
      <c r="H95" s="433">
        <f t="shared" si="86"/>
        <v>1373860.24</v>
      </c>
      <c r="I95" s="434">
        <v>0.97960400000000003</v>
      </c>
      <c r="J95" s="433">
        <f t="shared" si="87"/>
        <v>1345838.99</v>
      </c>
      <c r="K95" s="433">
        <f t="shared" si="88"/>
        <v>1345.8</v>
      </c>
      <c r="L95" s="432">
        <v>9.9700000000000006</v>
      </c>
      <c r="M95" s="432">
        <v>28030</v>
      </c>
      <c r="N95" s="432">
        <v>46670</v>
      </c>
      <c r="O95" s="432">
        <f t="shared" si="89"/>
        <v>74700</v>
      </c>
      <c r="P95" s="432">
        <f t="shared" si="90"/>
        <v>744759</v>
      </c>
      <c r="Q95" s="432"/>
      <c r="R95" s="433">
        <f t="shared" si="91"/>
        <v>744759</v>
      </c>
      <c r="S95" s="434">
        <v>0.97960400000000003</v>
      </c>
      <c r="T95" s="433">
        <f t="shared" si="92"/>
        <v>729568.9</v>
      </c>
      <c r="U95" s="433">
        <f t="shared" si="93"/>
        <v>729.6</v>
      </c>
      <c r="V95" s="432">
        <v>10.029999999999999</v>
      </c>
      <c r="W95" s="432">
        <v>89216</v>
      </c>
      <c r="X95" s="432">
        <v>104316</v>
      </c>
      <c r="Y95" s="432">
        <f t="shared" si="94"/>
        <v>193532</v>
      </c>
      <c r="Z95" s="432">
        <f t="shared" si="95"/>
        <v>1941125.96</v>
      </c>
      <c r="AA95" s="432">
        <v>950400</v>
      </c>
      <c r="AB95" s="432"/>
      <c r="AC95" s="433">
        <f t="shared" si="78"/>
        <v>990725.96</v>
      </c>
      <c r="AD95" s="434">
        <v>0.97960400000000003</v>
      </c>
      <c r="AE95" s="433">
        <f t="shared" si="96"/>
        <v>970519.11</v>
      </c>
      <c r="AF95" s="433">
        <f t="shared" si="97"/>
        <v>970.5</v>
      </c>
      <c r="AG95" s="432">
        <v>61.16</v>
      </c>
      <c r="AH95" s="432">
        <v>2990</v>
      </c>
      <c r="AI95" s="432">
        <v>2397</v>
      </c>
      <c r="AJ95" s="432">
        <f t="shared" si="98"/>
        <v>5387</v>
      </c>
      <c r="AK95" s="432">
        <v>25.2</v>
      </c>
      <c r="AL95" s="432">
        <v>2990</v>
      </c>
      <c r="AM95" s="432">
        <v>2397</v>
      </c>
      <c r="AN95" s="432">
        <f t="shared" si="99"/>
        <v>5387</v>
      </c>
      <c r="AO95" s="432">
        <v>12.61</v>
      </c>
      <c r="AP95" s="432">
        <f t="shared" si="100"/>
        <v>329468.92</v>
      </c>
      <c r="AQ95" s="432">
        <f t="shared" si="101"/>
        <v>135752.4</v>
      </c>
      <c r="AR95" s="432">
        <f t="shared" si="79"/>
        <v>67930.070000000007</v>
      </c>
      <c r="AS95" s="432">
        <f t="shared" si="102"/>
        <v>533151.39</v>
      </c>
      <c r="AT95" s="432">
        <v>88510</v>
      </c>
      <c r="AU95" s="433">
        <f t="shared" si="103"/>
        <v>444641.39</v>
      </c>
      <c r="AV95" s="434">
        <v>0.97960400000000003</v>
      </c>
      <c r="AW95" s="433">
        <f t="shared" si="104"/>
        <v>435572.47999999998</v>
      </c>
      <c r="AX95" s="433">
        <f t="shared" si="105"/>
        <v>435.6</v>
      </c>
      <c r="AY95" s="433">
        <v>21.92</v>
      </c>
      <c r="AZ95" s="433">
        <v>854.75</v>
      </c>
      <c r="BA95" s="435">
        <v>12</v>
      </c>
      <c r="BB95" s="433">
        <f t="shared" si="106"/>
        <v>224833.44</v>
      </c>
      <c r="BC95" s="433"/>
      <c r="BD95" s="433">
        <f t="shared" si="107"/>
        <v>224833.44</v>
      </c>
      <c r="BE95" s="434">
        <v>0.97960400000000003</v>
      </c>
      <c r="BF95" s="433">
        <f t="shared" si="108"/>
        <v>220247.74</v>
      </c>
      <c r="BG95" s="433">
        <f t="shared" si="109"/>
        <v>220.2</v>
      </c>
      <c r="BH95" s="433">
        <f t="shared" si="110"/>
        <v>4817730.03</v>
      </c>
      <c r="BI95" s="433">
        <f t="shared" si="111"/>
        <v>1038910</v>
      </c>
      <c r="BJ95" s="433">
        <f t="shared" si="80"/>
        <v>0</v>
      </c>
      <c r="BK95" s="433">
        <f t="shared" si="81"/>
        <v>3778820.03</v>
      </c>
      <c r="BL95" s="436">
        <f t="shared" si="82"/>
        <v>3778.9</v>
      </c>
      <c r="BM95" s="437">
        <f t="shared" si="112"/>
        <v>3701747.22</v>
      </c>
      <c r="BN95" s="437">
        <f t="shared" si="113"/>
        <v>3701.7</v>
      </c>
      <c r="BO95" s="438">
        <f t="shared" si="83"/>
        <v>-77.2</v>
      </c>
      <c r="BP95" s="329">
        <v>3701.7</v>
      </c>
      <c r="BQ95" s="439">
        <f t="shared" si="114"/>
        <v>0</v>
      </c>
    </row>
    <row r="96" spans="1:69" s="329" customFormat="1" ht="15.75" hidden="1" x14ac:dyDescent="0.25">
      <c r="A96" s="431" t="s">
        <v>732</v>
      </c>
      <c r="B96" s="432">
        <v>2588.77</v>
      </c>
      <c r="C96" s="432">
        <v>265.14</v>
      </c>
      <c r="D96" s="432">
        <v>422.85</v>
      </c>
      <c r="E96" s="432">
        <f t="shared" si="84"/>
        <v>688</v>
      </c>
      <c r="F96" s="432">
        <f t="shared" si="85"/>
        <v>1781073.76</v>
      </c>
      <c r="G96" s="432">
        <v>33654</v>
      </c>
      <c r="H96" s="433">
        <f t="shared" si="86"/>
        <v>1747419.76</v>
      </c>
      <c r="I96" s="434">
        <v>0.97960400000000003</v>
      </c>
      <c r="J96" s="433">
        <f t="shared" si="87"/>
        <v>1711779.39</v>
      </c>
      <c r="K96" s="433">
        <f t="shared" si="88"/>
        <v>1711.8</v>
      </c>
      <c r="L96" s="432"/>
      <c r="M96" s="432"/>
      <c r="N96" s="432"/>
      <c r="O96" s="432">
        <f t="shared" si="89"/>
        <v>0</v>
      </c>
      <c r="P96" s="432">
        <f t="shared" si="90"/>
        <v>0</v>
      </c>
      <c r="Q96" s="432"/>
      <c r="R96" s="433">
        <f t="shared" si="91"/>
        <v>0</v>
      </c>
      <c r="S96" s="434">
        <v>0.97960400000000003</v>
      </c>
      <c r="T96" s="433">
        <f t="shared" si="92"/>
        <v>0</v>
      </c>
      <c r="U96" s="433">
        <f t="shared" si="93"/>
        <v>0</v>
      </c>
      <c r="V96" s="432">
        <v>10.029999999999999</v>
      </c>
      <c r="W96" s="432">
        <v>52844</v>
      </c>
      <c r="X96" s="432">
        <v>49690</v>
      </c>
      <c r="Y96" s="432">
        <f t="shared" si="94"/>
        <v>102534</v>
      </c>
      <c r="Z96" s="432">
        <f t="shared" si="95"/>
        <v>1028416.02</v>
      </c>
      <c r="AA96" s="432">
        <v>605440</v>
      </c>
      <c r="AB96" s="432"/>
      <c r="AC96" s="433">
        <f t="shared" si="78"/>
        <v>422976.02</v>
      </c>
      <c r="AD96" s="434">
        <v>0.97960400000000003</v>
      </c>
      <c r="AE96" s="433">
        <f t="shared" si="96"/>
        <v>414349</v>
      </c>
      <c r="AF96" s="433">
        <f t="shared" si="97"/>
        <v>414.3</v>
      </c>
      <c r="AG96" s="432">
        <v>61.16</v>
      </c>
      <c r="AH96" s="432">
        <v>1640</v>
      </c>
      <c r="AI96" s="432">
        <v>2242</v>
      </c>
      <c r="AJ96" s="432">
        <f t="shared" si="98"/>
        <v>3882</v>
      </c>
      <c r="AK96" s="432">
        <v>25.2</v>
      </c>
      <c r="AL96" s="432">
        <v>1640</v>
      </c>
      <c r="AM96" s="432">
        <v>2242</v>
      </c>
      <c r="AN96" s="432">
        <f t="shared" si="99"/>
        <v>3882</v>
      </c>
      <c r="AO96" s="432">
        <v>12.61</v>
      </c>
      <c r="AP96" s="432">
        <f t="shared" si="100"/>
        <v>237423.12</v>
      </c>
      <c r="AQ96" s="432">
        <f t="shared" si="101"/>
        <v>97826.4</v>
      </c>
      <c r="AR96" s="432">
        <f t="shared" si="79"/>
        <v>48952.02</v>
      </c>
      <c r="AS96" s="432">
        <f t="shared" si="102"/>
        <v>384201.54</v>
      </c>
      <c r="AT96" s="432">
        <v>40157</v>
      </c>
      <c r="AU96" s="433">
        <f t="shared" si="103"/>
        <v>344044.54</v>
      </c>
      <c r="AV96" s="434">
        <v>0.97960400000000003</v>
      </c>
      <c r="AW96" s="433">
        <f t="shared" si="104"/>
        <v>337027.41</v>
      </c>
      <c r="AX96" s="433">
        <f t="shared" si="105"/>
        <v>337</v>
      </c>
      <c r="AY96" s="433">
        <v>16.88</v>
      </c>
      <c r="AZ96" s="433">
        <v>854.75</v>
      </c>
      <c r="BA96" s="435">
        <v>12</v>
      </c>
      <c r="BB96" s="433">
        <f t="shared" si="106"/>
        <v>173138.16</v>
      </c>
      <c r="BC96" s="433">
        <v>3077</v>
      </c>
      <c r="BD96" s="433">
        <f t="shared" si="107"/>
        <v>170061.16</v>
      </c>
      <c r="BE96" s="434">
        <v>0.97960400000000003</v>
      </c>
      <c r="BF96" s="433">
        <f t="shared" si="108"/>
        <v>166592.59</v>
      </c>
      <c r="BG96" s="433">
        <f t="shared" si="109"/>
        <v>166.6</v>
      </c>
      <c r="BH96" s="433">
        <f t="shared" si="110"/>
        <v>3366829.48</v>
      </c>
      <c r="BI96" s="433">
        <f t="shared" si="111"/>
        <v>682328</v>
      </c>
      <c r="BJ96" s="433">
        <f t="shared" si="80"/>
        <v>0</v>
      </c>
      <c r="BK96" s="433">
        <f t="shared" si="81"/>
        <v>2684501.48</v>
      </c>
      <c r="BL96" s="436">
        <f t="shared" si="82"/>
        <v>2684.6</v>
      </c>
      <c r="BM96" s="437">
        <f t="shared" si="112"/>
        <v>2629748.39</v>
      </c>
      <c r="BN96" s="437">
        <f t="shared" si="113"/>
        <v>2629.7</v>
      </c>
      <c r="BO96" s="438">
        <f t="shared" si="83"/>
        <v>-54.9</v>
      </c>
      <c r="BP96" s="329">
        <v>2629.7</v>
      </c>
      <c r="BQ96" s="439">
        <f t="shared" si="114"/>
        <v>0</v>
      </c>
    </row>
    <row r="97" spans="1:69" s="329" customFormat="1" ht="15.75" hidden="1" x14ac:dyDescent="0.25">
      <c r="A97" s="431" t="s">
        <v>733</v>
      </c>
      <c r="B97" s="432">
        <v>3274.05</v>
      </c>
      <c r="C97" s="432">
        <v>237.3</v>
      </c>
      <c r="D97" s="432">
        <v>385.54</v>
      </c>
      <c r="E97" s="432">
        <f t="shared" si="84"/>
        <v>622.79999999999995</v>
      </c>
      <c r="F97" s="432">
        <f t="shared" si="85"/>
        <v>2039078.34</v>
      </c>
      <c r="G97" s="432"/>
      <c r="H97" s="433">
        <f t="shared" si="86"/>
        <v>2039078.34</v>
      </c>
      <c r="I97" s="434">
        <v>0.97960400000000003</v>
      </c>
      <c r="J97" s="433">
        <f t="shared" si="87"/>
        <v>1997489.3</v>
      </c>
      <c r="K97" s="433">
        <f t="shared" si="88"/>
        <v>1997.5</v>
      </c>
      <c r="L97" s="432"/>
      <c r="M97" s="432"/>
      <c r="N97" s="432"/>
      <c r="O97" s="432">
        <f t="shared" si="89"/>
        <v>0</v>
      </c>
      <c r="P97" s="432">
        <f t="shared" si="90"/>
        <v>0</v>
      </c>
      <c r="Q97" s="432"/>
      <c r="R97" s="433">
        <f t="shared" si="91"/>
        <v>0</v>
      </c>
      <c r="S97" s="434">
        <v>0.97960400000000003</v>
      </c>
      <c r="T97" s="433">
        <f t="shared" si="92"/>
        <v>0</v>
      </c>
      <c r="U97" s="433">
        <f t="shared" si="93"/>
        <v>0</v>
      </c>
      <c r="V97" s="432">
        <v>10.029999999999999</v>
      </c>
      <c r="W97" s="432">
        <v>17880</v>
      </c>
      <c r="X97" s="432">
        <v>19440</v>
      </c>
      <c r="Y97" s="432">
        <f t="shared" si="94"/>
        <v>37320</v>
      </c>
      <c r="Z97" s="432">
        <f t="shared" si="95"/>
        <v>374319.6</v>
      </c>
      <c r="AA97" s="432">
        <v>28600</v>
      </c>
      <c r="AB97" s="432"/>
      <c r="AC97" s="433">
        <f t="shared" si="78"/>
        <v>345719.6</v>
      </c>
      <c r="AD97" s="434">
        <v>0.97960400000000003</v>
      </c>
      <c r="AE97" s="433">
        <f t="shared" si="96"/>
        <v>338668.3</v>
      </c>
      <c r="AF97" s="433">
        <f t="shared" si="97"/>
        <v>338.7</v>
      </c>
      <c r="AG97" s="432">
        <v>61.16</v>
      </c>
      <c r="AH97" s="432">
        <v>496</v>
      </c>
      <c r="AI97" s="432">
        <v>540</v>
      </c>
      <c r="AJ97" s="432">
        <f t="shared" si="98"/>
        <v>1036</v>
      </c>
      <c r="AK97" s="432">
        <v>25.2</v>
      </c>
      <c r="AL97" s="432">
        <v>496</v>
      </c>
      <c r="AM97" s="432">
        <v>540</v>
      </c>
      <c r="AN97" s="432">
        <f t="shared" si="99"/>
        <v>1036</v>
      </c>
      <c r="AO97" s="432">
        <v>12.61</v>
      </c>
      <c r="AP97" s="432">
        <f t="shared" si="100"/>
        <v>63361.760000000002</v>
      </c>
      <c r="AQ97" s="432">
        <f t="shared" si="101"/>
        <v>26107.200000000001</v>
      </c>
      <c r="AR97" s="432">
        <f t="shared" si="79"/>
        <v>13063.96</v>
      </c>
      <c r="AS97" s="432">
        <f t="shared" si="102"/>
        <v>102532.92</v>
      </c>
      <c r="AT97" s="432">
        <v>11227.5</v>
      </c>
      <c r="AU97" s="433">
        <f t="shared" si="103"/>
        <v>91305.42</v>
      </c>
      <c r="AV97" s="434">
        <v>0.97960400000000003</v>
      </c>
      <c r="AW97" s="433">
        <f t="shared" si="104"/>
        <v>89443.15</v>
      </c>
      <c r="AX97" s="433">
        <f t="shared" si="105"/>
        <v>89.4</v>
      </c>
      <c r="AY97" s="433">
        <v>6.13</v>
      </c>
      <c r="AZ97" s="433">
        <v>854.75</v>
      </c>
      <c r="BA97" s="435">
        <v>12</v>
      </c>
      <c r="BB97" s="433">
        <f t="shared" si="106"/>
        <v>62875.41</v>
      </c>
      <c r="BC97" s="433"/>
      <c r="BD97" s="433">
        <f t="shared" si="107"/>
        <v>62875.41</v>
      </c>
      <c r="BE97" s="434">
        <v>0.97960400000000003</v>
      </c>
      <c r="BF97" s="433">
        <f t="shared" si="108"/>
        <v>61593</v>
      </c>
      <c r="BG97" s="433">
        <f t="shared" si="109"/>
        <v>61.6</v>
      </c>
      <c r="BH97" s="433">
        <f t="shared" si="110"/>
        <v>2578806.27</v>
      </c>
      <c r="BI97" s="433">
        <f t="shared" si="111"/>
        <v>39827.5</v>
      </c>
      <c r="BJ97" s="433">
        <f t="shared" si="80"/>
        <v>0</v>
      </c>
      <c r="BK97" s="433">
        <f t="shared" si="81"/>
        <v>2538978.77</v>
      </c>
      <c r="BL97" s="436">
        <f t="shared" si="82"/>
        <v>2539</v>
      </c>
      <c r="BM97" s="437">
        <f t="shared" si="112"/>
        <v>2487193.75</v>
      </c>
      <c r="BN97" s="437">
        <f t="shared" si="113"/>
        <v>2487.1999999999998</v>
      </c>
      <c r="BO97" s="438">
        <f t="shared" si="83"/>
        <v>-51.8</v>
      </c>
      <c r="BP97" s="329">
        <v>2487.1999999999998</v>
      </c>
      <c r="BQ97" s="439">
        <f t="shared" si="114"/>
        <v>0</v>
      </c>
    </row>
    <row r="98" spans="1:69" s="329" customFormat="1" ht="15.75" hidden="1" x14ac:dyDescent="0.25">
      <c r="A98" s="431" t="s">
        <v>734</v>
      </c>
      <c r="B98" s="432">
        <v>3274.05</v>
      </c>
      <c r="C98" s="432">
        <v>234</v>
      </c>
      <c r="D98" s="432">
        <v>406.09</v>
      </c>
      <c r="E98" s="432">
        <f t="shared" si="84"/>
        <v>640.1</v>
      </c>
      <c r="F98" s="432">
        <f t="shared" si="85"/>
        <v>2095719.41</v>
      </c>
      <c r="G98" s="432"/>
      <c r="H98" s="433">
        <f t="shared" si="86"/>
        <v>2095719.41</v>
      </c>
      <c r="I98" s="434">
        <v>0.97960400000000003</v>
      </c>
      <c r="J98" s="433">
        <f t="shared" si="87"/>
        <v>2052975.12</v>
      </c>
      <c r="K98" s="433">
        <f t="shared" si="88"/>
        <v>2053</v>
      </c>
      <c r="L98" s="432"/>
      <c r="M98" s="432"/>
      <c r="N98" s="432"/>
      <c r="O98" s="432">
        <f t="shared" si="89"/>
        <v>0</v>
      </c>
      <c r="P98" s="432">
        <f t="shared" si="90"/>
        <v>0</v>
      </c>
      <c r="Q98" s="432"/>
      <c r="R98" s="433">
        <f t="shared" si="91"/>
        <v>0</v>
      </c>
      <c r="S98" s="434">
        <v>0.97960400000000003</v>
      </c>
      <c r="T98" s="433">
        <f t="shared" si="92"/>
        <v>0</v>
      </c>
      <c r="U98" s="433">
        <f t="shared" si="93"/>
        <v>0</v>
      </c>
      <c r="V98" s="432">
        <v>10.029999999999999</v>
      </c>
      <c r="W98" s="432">
        <v>17256</v>
      </c>
      <c r="X98" s="432">
        <v>19940</v>
      </c>
      <c r="Y98" s="432">
        <f t="shared" si="94"/>
        <v>37196</v>
      </c>
      <c r="Z98" s="432">
        <f t="shared" si="95"/>
        <v>373075.88</v>
      </c>
      <c r="AA98" s="432">
        <v>116000</v>
      </c>
      <c r="AB98" s="432"/>
      <c r="AC98" s="433">
        <f t="shared" si="78"/>
        <v>257075.88</v>
      </c>
      <c r="AD98" s="434">
        <v>0.97960400000000003</v>
      </c>
      <c r="AE98" s="433">
        <f t="shared" si="96"/>
        <v>251832.56</v>
      </c>
      <c r="AF98" s="433">
        <f t="shared" si="97"/>
        <v>251.8</v>
      </c>
      <c r="AG98" s="432">
        <v>61.16</v>
      </c>
      <c r="AH98" s="432">
        <v>232</v>
      </c>
      <c r="AI98" s="432">
        <v>253</v>
      </c>
      <c r="AJ98" s="432">
        <f t="shared" si="98"/>
        <v>485</v>
      </c>
      <c r="AK98" s="432">
        <v>25.2</v>
      </c>
      <c r="AL98" s="432">
        <v>232</v>
      </c>
      <c r="AM98" s="432">
        <v>253</v>
      </c>
      <c r="AN98" s="432">
        <f t="shared" si="99"/>
        <v>485</v>
      </c>
      <c r="AO98" s="432">
        <v>12.61</v>
      </c>
      <c r="AP98" s="432">
        <f t="shared" si="100"/>
        <v>29662.6</v>
      </c>
      <c r="AQ98" s="432">
        <f t="shared" si="101"/>
        <v>12222</v>
      </c>
      <c r="AR98" s="432">
        <f t="shared" si="79"/>
        <v>6115.85</v>
      </c>
      <c r="AS98" s="432">
        <f t="shared" si="102"/>
        <v>48000.45</v>
      </c>
      <c r="AT98" s="432">
        <v>8000</v>
      </c>
      <c r="AU98" s="433">
        <f t="shared" si="103"/>
        <v>40000.449999999997</v>
      </c>
      <c r="AV98" s="434">
        <v>0.97960400000000003</v>
      </c>
      <c r="AW98" s="433">
        <f t="shared" si="104"/>
        <v>39184.6</v>
      </c>
      <c r="AX98" s="433">
        <f t="shared" si="105"/>
        <v>39.200000000000003</v>
      </c>
      <c r="AY98" s="433">
        <v>15.38</v>
      </c>
      <c r="AZ98" s="433">
        <v>854.75</v>
      </c>
      <c r="BA98" s="435">
        <v>12</v>
      </c>
      <c r="BB98" s="433">
        <f t="shared" si="106"/>
        <v>157752.66</v>
      </c>
      <c r="BC98" s="433"/>
      <c r="BD98" s="433">
        <f t="shared" si="107"/>
        <v>157752.66</v>
      </c>
      <c r="BE98" s="434">
        <v>0.97960400000000003</v>
      </c>
      <c r="BF98" s="433">
        <f t="shared" si="108"/>
        <v>154535.14000000001</v>
      </c>
      <c r="BG98" s="433">
        <f t="shared" si="109"/>
        <v>154.5</v>
      </c>
      <c r="BH98" s="433">
        <f t="shared" si="110"/>
        <v>2674548.4</v>
      </c>
      <c r="BI98" s="433">
        <f t="shared" si="111"/>
        <v>124000</v>
      </c>
      <c r="BJ98" s="433">
        <f t="shared" si="80"/>
        <v>0</v>
      </c>
      <c r="BK98" s="433">
        <f t="shared" si="81"/>
        <v>2550548.4</v>
      </c>
      <c r="BL98" s="436">
        <f t="shared" si="82"/>
        <v>2550.6</v>
      </c>
      <c r="BM98" s="437">
        <f t="shared" si="112"/>
        <v>2498527.42</v>
      </c>
      <c r="BN98" s="437">
        <f>ROUND(K98+U98+AF98+AX98+BG98,1)</f>
        <v>2498.5</v>
      </c>
      <c r="BO98" s="438">
        <f t="shared" si="83"/>
        <v>-52.1</v>
      </c>
      <c r="BP98" s="329">
        <v>2498.5</v>
      </c>
      <c r="BQ98" s="439">
        <f t="shared" si="114"/>
        <v>0</v>
      </c>
    </row>
    <row r="99" spans="1:69" s="329" customFormat="1" ht="15.75" hidden="1" x14ac:dyDescent="0.25">
      <c r="A99" s="431" t="s">
        <v>735</v>
      </c>
      <c r="B99" s="432">
        <v>2588.77</v>
      </c>
      <c r="C99" s="432">
        <v>290.25</v>
      </c>
      <c r="D99" s="432">
        <v>392.09</v>
      </c>
      <c r="E99" s="432">
        <f t="shared" si="84"/>
        <v>682.3</v>
      </c>
      <c r="F99" s="432">
        <f t="shared" si="85"/>
        <v>1766317.77</v>
      </c>
      <c r="G99" s="432"/>
      <c r="H99" s="433">
        <f t="shared" si="86"/>
        <v>1766317.77</v>
      </c>
      <c r="I99" s="434">
        <v>0.97960400000000003</v>
      </c>
      <c r="J99" s="433">
        <f t="shared" si="87"/>
        <v>1730291.95</v>
      </c>
      <c r="K99" s="433">
        <f t="shared" si="88"/>
        <v>1730.3</v>
      </c>
      <c r="L99" s="432"/>
      <c r="M99" s="432"/>
      <c r="N99" s="432"/>
      <c r="O99" s="432">
        <f t="shared" si="89"/>
        <v>0</v>
      </c>
      <c r="P99" s="432">
        <f t="shared" si="90"/>
        <v>0</v>
      </c>
      <c r="Q99" s="432"/>
      <c r="R99" s="433">
        <f t="shared" si="91"/>
        <v>0</v>
      </c>
      <c r="S99" s="434">
        <v>0.97960400000000003</v>
      </c>
      <c r="T99" s="433">
        <f t="shared" si="92"/>
        <v>0</v>
      </c>
      <c r="U99" s="433">
        <f t="shared" si="93"/>
        <v>0</v>
      </c>
      <c r="V99" s="432">
        <v>10.029999999999999</v>
      </c>
      <c r="W99" s="432">
        <f>36929-4200</f>
        <v>32729</v>
      </c>
      <c r="X99" s="432">
        <f>41734-6000</f>
        <v>35734</v>
      </c>
      <c r="Y99" s="432">
        <f t="shared" si="94"/>
        <v>68463</v>
      </c>
      <c r="Z99" s="432">
        <f t="shared" si="95"/>
        <v>686683.89</v>
      </c>
      <c r="AA99" s="432">
        <v>106029</v>
      </c>
      <c r="AB99" s="432"/>
      <c r="AC99" s="433">
        <f t="shared" si="78"/>
        <v>580654.89</v>
      </c>
      <c r="AD99" s="434">
        <v>0.97960400000000003</v>
      </c>
      <c r="AE99" s="433">
        <f t="shared" si="96"/>
        <v>568811.85</v>
      </c>
      <c r="AF99" s="433">
        <f>ROUND(AE99/1000,1)</f>
        <v>568.79999999999995</v>
      </c>
      <c r="AG99" s="432">
        <v>61.16</v>
      </c>
      <c r="AH99" s="432">
        <v>1637</v>
      </c>
      <c r="AI99" s="432">
        <f>1070-12</f>
        <v>1058</v>
      </c>
      <c r="AJ99" s="432">
        <f t="shared" si="98"/>
        <v>2695</v>
      </c>
      <c r="AK99" s="432">
        <v>25.2</v>
      </c>
      <c r="AL99" s="432">
        <f>1652-15</f>
        <v>1637</v>
      </c>
      <c r="AM99" s="432">
        <f>1070-12</f>
        <v>1058</v>
      </c>
      <c r="AN99" s="432">
        <f t="shared" si="99"/>
        <v>2695</v>
      </c>
      <c r="AO99" s="432">
        <v>12.61</v>
      </c>
      <c r="AP99" s="432">
        <f t="shared" si="100"/>
        <v>164826.20000000001</v>
      </c>
      <c r="AQ99" s="432">
        <f t="shared" si="101"/>
        <v>67914</v>
      </c>
      <c r="AR99" s="432">
        <f t="shared" si="79"/>
        <v>33983.949999999997</v>
      </c>
      <c r="AS99" s="432">
        <f t="shared" si="102"/>
        <v>266724.15000000002</v>
      </c>
      <c r="AT99" s="432">
        <v>22077.599999999999</v>
      </c>
      <c r="AU99" s="433">
        <f t="shared" si="103"/>
        <v>244646.55</v>
      </c>
      <c r="AV99" s="434">
        <v>0.97960400000000003</v>
      </c>
      <c r="AW99" s="433">
        <f t="shared" si="104"/>
        <v>239656.74</v>
      </c>
      <c r="AX99" s="433">
        <f t="shared" si="105"/>
        <v>239.7</v>
      </c>
      <c r="AY99" s="433">
        <v>20.38</v>
      </c>
      <c r="AZ99" s="433">
        <v>854.75</v>
      </c>
      <c r="BA99" s="435">
        <v>12</v>
      </c>
      <c r="BB99" s="433">
        <f t="shared" si="106"/>
        <v>209037.66</v>
      </c>
      <c r="BC99" s="433">
        <v>16014.06</v>
      </c>
      <c r="BD99" s="433">
        <f t="shared" si="107"/>
        <v>193023.6</v>
      </c>
      <c r="BE99" s="434">
        <v>0.97960400000000003</v>
      </c>
      <c r="BF99" s="433">
        <f t="shared" si="108"/>
        <v>189086.69</v>
      </c>
      <c r="BG99" s="433">
        <f t="shared" si="109"/>
        <v>189.1</v>
      </c>
      <c r="BH99" s="433">
        <f t="shared" si="110"/>
        <v>2928763.47</v>
      </c>
      <c r="BI99" s="433">
        <f t="shared" si="111"/>
        <v>144120.66</v>
      </c>
      <c r="BJ99" s="433">
        <f t="shared" si="80"/>
        <v>0</v>
      </c>
      <c r="BK99" s="433">
        <f t="shared" si="81"/>
        <v>2784642.81</v>
      </c>
      <c r="BL99" s="436">
        <f t="shared" si="82"/>
        <v>2784.7</v>
      </c>
      <c r="BM99" s="437">
        <f t="shared" si="112"/>
        <v>2727847.23</v>
      </c>
      <c r="BN99" s="437">
        <f t="shared" si="113"/>
        <v>2727.9</v>
      </c>
      <c r="BO99" s="438">
        <f t="shared" si="83"/>
        <v>-56.8</v>
      </c>
      <c r="BP99" s="329">
        <v>2727.9</v>
      </c>
      <c r="BQ99" s="439">
        <f t="shared" si="114"/>
        <v>0</v>
      </c>
    </row>
    <row r="100" spans="1:69" s="329" customFormat="1" ht="15.75" hidden="1" x14ac:dyDescent="0.25">
      <c r="A100" s="431" t="s">
        <v>736</v>
      </c>
      <c r="B100" s="432">
        <v>3274.05</v>
      </c>
      <c r="C100" s="432">
        <v>160.88</v>
      </c>
      <c r="D100" s="432">
        <v>284.02</v>
      </c>
      <c r="E100" s="432">
        <f t="shared" si="84"/>
        <v>444.9</v>
      </c>
      <c r="F100" s="432">
        <f t="shared" si="85"/>
        <v>1456624.85</v>
      </c>
      <c r="G100" s="432"/>
      <c r="H100" s="433">
        <f t="shared" si="86"/>
        <v>1456624.85</v>
      </c>
      <c r="I100" s="434">
        <v>0.97960400000000003</v>
      </c>
      <c r="J100" s="433">
        <f t="shared" si="87"/>
        <v>1426915.53</v>
      </c>
      <c r="K100" s="433">
        <f t="shared" si="88"/>
        <v>1426.9</v>
      </c>
      <c r="L100" s="432"/>
      <c r="M100" s="432"/>
      <c r="N100" s="432"/>
      <c r="O100" s="432">
        <f t="shared" si="89"/>
        <v>0</v>
      </c>
      <c r="P100" s="432">
        <f t="shared" si="90"/>
        <v>0</v>
      </c>
      <c r="Q100" s="432"/>
      <c r="R100" s="433">
        <f t="shared" si="91"/>
        <v>0</v>
      </c>
      <c r="S100" s="434">
        <v>0.97960400000000003</v>
      </c>
      <c r="T100" s="433">
        <f t="shared" si="92"/>
        <v>0</v>
      </c>
      <c r="U100" s="433">
        <f t="shared" si="93"/>
        <v>0</v>
      </c>
      <c r="V100" s="432">
        <v>10.029999999999999</v>
      </c>
      <c r="W100" s="432">
        <v>37487</v>
      </c>
      <c r="X100" s="432">
        <v>44286</v>
      </c>
      <c r="Y100" s="432">
        <f t="shared" si="94"/>
        <v>81773</v>
      </c>
      <c r="Z100" s="432">
        <f t="shared" si="95"/>
        <v>820183.19</v>
      </c>
      <c r="AA100" s="432">
        <v>30030</v>
      </c>
      <c r="AB100" s="432"/>
      <c r="AC100" s="433">
        <f t="shared" si="78"/>
        <v>790153.19</v>
      </c>
      <c r="AD100" s="434">
        <v>0.97960400000000003</v>
      </c>
      <c r="AE100" s="433">
        <f t="shared" si="96"/>
        <v>774037.23</v>
      </c>
      <c r="AF100" s="433">
        <f t="shared" si="97"/>
        <v>774</v>
      </c>
      <c r="AG100" s="432">
        <v>61.16</v>
      </c>
      <c r="AH100" s="432">
        <v>625</v>
      </c>
      <c r="AI100" s="432">
        <v>822</v>
      </c>
      <c r="AJ100" s="432">
        <f t="shared" si="98"/>
        <v>1447</v>
      </c>
      <c r="AK100" s="432">
        <v>25.2</v>
      </c>
      <c r="AL100" s="432">
        <v>625</v>
      </c>
      <c r="AM100" s="432">
        <v>822</v>
      </c>
      <c r="AN100" s="432">
        <f t="shared" si="99"/>
        <v>1447</v>
      </c>
      <c r="AO100" s="432">
        <v>12.61</v>
      </c>
      <c r="AP100" s="432">
        <f t="shared" si="100"/>
        <v>88498.52</v>
      </c>
      <c r="AQ100" s="432">
        <f t="shared" si="101"/>
        <v>36464.400000000001</v>
      </c>
      <c r="AR100" s="432">
        <f t="shared" si="79"/>
        <v>18246.669999999998</v>
      </c>
      <c r="AS100" s="432">
        <f t="shared" si="102"/>
        <v>143209.59</v>
      </c>
      <c r="AT100" s="432">
        <v>10076</v>
      </c>
      <c r="AU100" s="433">
        <f t="shared" si="103"/>
        <v>133133.59</v>
      </c>
      <c r="AV100" s="434">
        <v>0.97960400000000003</v>
      </c>
      <c r="AW100" s="433">
        <f t="shared" si="104"/>
        <v>130418.2</v>
      </c>
      <c r="AX100" s="433">
        <f t="shared" si="105"/>
        <v>130.4</v>
      </c>
      <c r="AY100" s="433">
        <v>12.44</v>
      </c>
      <c r="AZ100" s="433">
        <v>854.75</v>
      </c>
      <c r="BA100" s="435">
        <v>12</v>
      </c>
      <c r="BB100" s="433">
        <f t="shared" si="106"/>
        <v>127597.08</v>
      </c>
      <c r="BC100" s="433">
        <v>0</v>
      </c>
      <c r="BD100" s="433">
        <f t="shared" si="107"/>
        <v>127597.08</v>
      </c>
      <c r="BE100" s="434">
        <v>0.97960400000000003</v>
      </c>
      <c r="BF100" s="433">
        <f t="shared" si="108"/>
        <v>124994.61</v>
      </c>
      <c r="BG100" s="433">
        <f t="shared" si="109"/>
        <v>125</v>
      </c>
      <c r="BH100" s="433">
        <f t="shared" si="110"/>
        <v>2547614.71</v>
      </c>
      <c r="BI100" s="433">
        <f t="shared" si="111"/>
        <v>40106</v>
      </c>
      <c r="BJ100" s="433">
        <f t="shared" si="80"/>
        <v>0</v>
      </c>
      <c r="BK100" s="433">
        <f t="shared" si="81"/>
        <v>2507508.71</v>
      </c>
      <c r="BL100" s="436">
        <f t="shared" si="82"/>
        <v>2507.6</v>
      </c>
      <c r="BM100" s="437">
        <f t="shared" si="112"/>
        <v>2456365.5699999998</v>
      </c>
      <c r="BN100" s="437">
        <f t="shared" si="113"/>
        <v>2456.3000000000002</v>
      </c>
      <c r="BO100" s="438">
        <f t="shared" si="83"/>
        <v>-51.3</v>
      </c>
      <c r="BP100" s="329">
        <v>2456.3000000000002</v>
      </c>
      <c r="BQ100" s="439">
        <f t="shared" si="114"/>
        <v>0</v>
      </c>
    </row>
    <row r="101" spans="1:69" s="329" customFormat="1" ht="15.75" hidden="1" x14ac:dyDescent="0.25">
      <c r="A101" s="431" t="s">
        <v>737</v>
      </c>
      <c r="B101" s="432">
        <v>2588.77</v>
      </c>
      <c r="C101" s="432">
        <v>383.24</v>
      </c>
      <c r="D101" s="432">
        <v>576.77</v>
      </c>
      <c r="E101" s="432">
        <f t="shared" si="84"/>
        <v>960</v>
      </c>
      <c r="F101" s="432">
        <f t="shared" si="85"/>
        <v>2485219.2000000002</v>
      </c>
      <c r="G101" s="432"/>
      <c r="H101" s="433">
        <f t="shared" si="86"/>
        <v>2485219.2000000002</v>
      </c>
      <c r="I101" s="434">
        <v>0.97960400000000003</v>
      </c>
      <c r="J101" s="433">
        <f t="shared" si="87"/>
        <v>2434530.67</v>
      </c>
      <c r="K101" s="433">
        <f t="shared" si="88"/>
        <v>2434.5</v>
      </c>
      <c r="L101" s="432"/>
      <c r="M101" s="432"/>
      <c r="N101" s="432"/>
      <c r="O101" s="432">
        <f t="shared" si="89"/>
        <v>0</v>
      </c>
      <c r="P101" s="432">
        <f t="shared" si="90"/>
        <v>0</v>
      </c>
      <c r="Q101" s="432"/>
      <c r="R101" s="433">
        <f t="shared" si="91"/>
        <v>0</v>
      </c>
      <c r="S101" s="434">
        <v>0.97960400000000003</v>
      </c>
      <c r="T101" s="433">
        <f t="shared" si="92"/>
        <v>0</v>
      </c>
      <c r="U101" s="433">
        <f t="shared" si="93"/>
        <v>0</v>
      </c>
      <c r="V101" s="432">
        <v>10.029999999999999</v>
      </c>
      <c r="W101" s="432">
        <v>44820</v>
      </c>
      <c r="X101" s="432">
        <v>47304</v>
      </c>
      <c r="Y101" s="432">
        <f t="shared" si="94"/>
        <v>92124</v>
      </c>
      <c r="Z101" s="432">
        <f>ROUND(V101*Y101,2)</f>
        <v>924003.72</v>
      </c>
      <c r="AA101" s="432">
        <f>136800</f>
        <v>136800</v>
      </c>
      <c r="AB101" s="432"/>
      <c r="AC101" s="433">
        <f t="shared" si="78"/>
        <v>787203.72</v>
      </c>
      <c r="AD101" s="434">
        <v>0.97960400000000003</v>
      </c>
      <c r="AE101" s="433">
        <f t="shared" si="96"/>
        <v>771147.91</v>
      </c>
      <c r="AF101" s="433">
        <f t="shared" si="97"/>
        <v>771.1</v>
      </c>
      <c r="AG101" s="432">
        <v>61.16</v>
      </c>
      <c r="AH101" s="432">
        <v>1379</v>
      </c>
      <c r="AI101" s="432">
        <v>1400</v>
      </c>
      <c r="AJ101" s="432">
        <f t="shared" si="98"/>
        <v>2779</v>
      </c>
      <c r="AK101" s="432">
        <v>25.2</v>
      </c>
      <c r="AL101" s="432">
        <v>1379</v>
      </c>
      <c r="AM101" s="432">
        <v>1400</v>
      </c>
      <c r="AN101" s="432">
        <f t="shared" si="99"/>
        <v>2779</v>
      </c>
      <c r="AO101" s="432">
        <v>12.61</v>
      </c>
      <c r="AP101" s="432">
        <f t="shared" si="100"/>
        <v>169963.64</v>
      </c>
      <c r="AQ101" s="432">
        <f t="shared" si="101"/>
        <v>70030.8</v>
      </c>
      <c r="AR101" s="432">
        <f t="shared" si="79"/>
        <v>35043.19</v>
      </c>
      <c r="AS101" s="432">
        <f t="shared" si="102"/>
        <v>275037.63</v>
      </c>
      <c r="AT101" s="432">
        <v>111300</v>
      </c>
      <c r="AU101" s="433">
        <f t="shared" si="103"/>
        <v>163737.63</v>
      </c>
      <c r="AV101" s="434">
        <v>0.97960400000000003</v>
      </c>
      <c r="AW101" s="433">
        <f t="shared" si="104"/>
        <v>160398.04</v>
      </c>
      <c r="AX101" s="433">
        <f t="shared" si="105"/>
        <v>160.4</v>
      </c>
      <c r="AY101" s="433">
        <v>20.83</v>
      </c>
      <c r="AZ101" s="433">
        <v>854.75</v>
      </c>
      <c r="BA101" s="435">
        <v>12</v>
      </c>
      <c r="BB101" s="433">
        <f t="shared" si="106"/>
        <v>213653.31</v>
      </c>
      <c r="BC101" s="433"/>
      <c r="BD101" s="433">
        <f t="shared" si="107"/>
        <v>213653.31</v>
      </c>
      <c r="BE101" s="434">
        <v>0.97960400000000003</v>
      </c>
      <c r="BF101" s="433">
        <f t="shared" si="108"/>
        <v>209295.64</v>
      </c>
      <c r="BG101" s="433">
        <f t="shared" si="109"/>
        <v>209.3</v>
      </c>
      <c r="BH101" s="433">
        <f t="shared" si="110"/>
        <v>3897913.86</v>
      </c>
      <c r="BI101" s="433">
        <f t="shared" si="111"/>
        <v>248100</v>
      </c>
      <c r="BJ101" s="433">
        <f t="shared" si="80"/>
        <v>0</v>
      </c>
      <c r="BK101" s="433">
        <f t="shared" si="81"/>
        <v>3649813.86</v>
      </c>
      <c r="BL101" s="436">
        <f t="shared" si="82"/>
        <v>3649.9</v>
      </c>
      <c r="BM101" s="437">
        <f t="shared" si="112"/>
        <v>3575372.26</v>
      </c>
      <c r="BN101" s="437">
        <f t="shared" si="113"/>
        <v>3575.3</v>
      </c>
      <c r="BO101" s="438">
        <f t="shared" si="83"/>
        <v>-74.599999999999994</v>
      </c>
      <c r="BP101" s="329">
        <v>3575.3</v>
      </c>
      <c r="BQ101" s="439">
        <f t="shared" si="114"/>
        <v>0</v>
      </c>
    </row>
    <row r="102" spans="1:69" s="329" customFormat="1" ht="15.75" hidden="1" x14ac:dyDescent="0.25">
      <c r="A102" s="431" t="s">
        <v>929</v>
      </c>
      <c r="B102" s="432">
        <v>2588.77</v>
      </c>
      <c r="C102" s="432">
        <v>268.17</v>
      </c>
      <c r="D102" s="432">
        <v>400.87</v>
      </c>
      <c r="E102" s="432">
        <f t="shared" si="84"/>
        <v>669</v>
      </c>
      <c r="F102" s="432">
        <f t="shared" si="85"/>
        <v>1731887.13</v>
      </c>
      <c r="G102" s="432">
        <v>5802.84</v>
      </c>
      <c r="H102" s="433">
        <f t="shared" si="86"/>
        <v>1726084.29</v>
      </c>
      <c r="I102" s="434">
        <v>0.97960400000000003</v>
      </c>
      <c r="J102" s="433">
        <f t="shared" si="87"/>
        <v>1690879.07</v>
      </c>
      <c r="K102" s="433">
        <f t="shared" si="88"/>
        <v>1690.9</v>
      </c>
      <c r="L102" s="432"/>
      <c r="M102" s="432"/>
      <c r="N102" s="432"/>
      <c r="O102" s="432">
        <f t="shared" si="89"/>
        <v>0</v>
      </c>
      <c r="P102" s="432">
        <f t="shared" si="90"/>
        <v>0</v>
      </c>
      <c r="Q102" s="432"/>
      <c r="R102" s="433">
        <f t="shared" si="91"/>
        <v>0</v>
      </c>
      <c r="S102" s="434">
        <v>0.97960400000000003</v>
      </c>
      <c r="T102" s="433">
        <f t="shared" si="92"/>
        <v>0</v>
      </c>
      <c r="U102" s="433">
        <f t="shared" si="93"/>
        <v>0</v>
      </c>
      <c r="V102" s="432">
        <v>10.029999999999999</v>
      </c>
      <c r="W102" s="432">
        <v>64200</v>
      </c>
      <c r="X102" s="432">
        <v>75267</v>
      </c>
      <c r="Y102" s="432">
        <f t="shared" si="94"/>
        <v>139467</v>
      </c>
      <c r="Z102" s="432">
        <f t="shared" si="95"/>
        <v>1398854.01</v>
      </c>
      <c r="AA102" s="432">
        <v>23496</v>
      </c>
      <c r="AB102" s="432"/>
      <c r="AC102" s="433">
        <f t="shared" si="78"/>
        <v>1375358.01</v>
      </c>
      <c r="AD102" s="434">
        <v>0.97960400000000003</v>
      </c>
      <c r="AE102" s="433">
        <f t="shared" si="96"/>
        <v>1347306.21</v>
      </c>
      <c r="AF102" s="433">
        <f t="shared" si="97"/>
        <v>1347.3</v>
      </c>
      <c r="AG102" s="432">
        <v>61.16</v>
      </c>
      <c r="AH102" s="432">
        <v>2175</v>
      </c>
      <c r="AI102" s="432">
        <v>1817</v>
      </c>
      <c r="AJ102" s="432">
        <f t="shared" si="98"/>
        <v>3992</v>
      </c>
      <c r="AK102" s="432">
        <v>25.2</v>
      </c>
      <c r="AL102" s="432">
        <v>2175</v>
      </c>
      <c r="AM102" s="432">
        <v>1817</v>
      </c>
      <c r="AN102" s="432">
        <f t="shared" si="99"/>
        <v>3992</v>
      </c>
      <c r="AO102" s="432">
        <v>12.61</v>
      </c>
      <c r="AP102" s="432">
        <f t="shared" si="100"/>
        <v>244150.72</v>
      </c>
      <c r="AQ102" s="432">
        <f t="shared" si="101"/>
        <v>100598.39999999999</v>
      </c>
      <c r="AR102" s="432">
        <f t="shared" si="79"/>
        <v>50339.12</v>
      </c>
      <c r="AS102" s="432">
        <f t="shared" si="102"/>
        <v>395088.24</v>
      </c>
      <c r="AT102" s="432">
        <v>4160.68</v>
      </c>
      <c r="AU102" s="433">
        <f t="shared" si="103"/>
        <v>390927.56</v>
      </c>
      <c r="AV102" s="434">
        <v>0.97960400000000003</v>
      </c>
      <c r="AW102" s="433">
        <f t="shared" si="104"/>
        <v>382954.2</v>
      </c>
      <c r="AX102" s="433">
        <f t="shared" si="105"/>
        <v>383</v>
      </c>
      <c r="AY102" s="433">
        <v>17.75</v>
      </c>
      <c r="AZ102" s="433">
        <v>854.75</v>
      </c>
      <c r="BA102" s="435">
        <v>12</v>
      </c>
      <c r="BB102" s="433">
        <f t="shared" si="106"/>
        <v>182061.75</v>
      </c>
      <c r="BC102" s="433"/>
      <c r="BD102" s="433">
        <f t="shared" si="107"/>
        <v>182061.75</v>
      </c>
      <c r="BE102" s="434">
        <v>0.97960400000000003</v>
      </c>
      <c r="BF102" s="433">
        <f t="shared" si="108"/>
        <v>178348.42</v>
      </c>
      <c r="BG102" s="433">
        <f t="shared" si="109"/>
        <v>178.3</v>
      </c>
      <c r="BH102" s="433">
        <f t="shared" si="110"/>
        <v>3707891.13</v>
      </c>
      <c r="BI102" s="433">
        <f t="shared" si="111"/>
        <v>33459.519999999997</v>
      </c>
      <c r="BJ102" s="433">
        <f t="shared" si="80"/>
        <v>0</v>
      </c>
      <c r="BK102" s="433">
        <f t="shared" si="81"/>
        <v>3674431.61</v>
      </c>
      <c r="BL102" s="436">
        <f t="shared" si="82"/>
        <v>3674.5</v>
      </c>
      <c r="BM102" s="437">
        <f t="shared" si="112"/>
        <v>3599487.9</v>
      </c>
      <c r="BN102" s="437">
        <f>ROUND(K102+U102+AF102+AX102+BG102,1)</f>
        <v>3599.5</v>
      </c>
      <c r="BO102" s="438">
        <f t="shared" si="83"/>
        <v>-75</v>
      </c>
      <c r="BP102" s="329">
        <v>3599.5</v>
      </c>
      <c r="BQ102" s="439">
        <f t="shared" si="114"/>
        <v>0</v>
      </c>
    </row>
    <row r="103" spans="1:69" s="329" customFormat="1" ht="15.75" hidden="1" x14ac:dyDescent="0.25">
      <c r="A103" s="431" t="s">
        <v>739</v>
      </c>
      <c r="B103" s="432">
        <v>3274.05</v>
      </c>
      <c r="C103" s="432">
        <v>212.71</v>
      </c>
      <c r="D103" s="432">
        <v>381.82</v>
      </c>
      <c r="E103" s="432">
        <f t="shared" si="84"/>
        <v>594.5</v>
      </c>
      <c r="F103" s="432">
        <f t="shared" si="85"/>
        <v>1946422.73</v>
      </c>
      <c r="G103" s="432">
        <v>0</v>
      </c>
      <c r="H103" s="433">
        <f t="shared" si="86"/>
        <v>1946422.73</v>
      </c>
      <c r="I103" s="434">
        <v>0.97960400000000003</v>
      </c>
      <c r="J103" s="433">
        <f t="shared" si="87"/>
        <v>1906723.49</v>
      </c>
      <c r="K103" s="433">
        <f t="shared" si="88"/>
        <v>1906.7</v>
      </c>
      <c r="L103" s="432"/>
      <c r="M103" s="432"/>
      <c r="N103" s="432"/>
      <c r="O103" s="432">
        <f t="shared" si="89"/>
        <v>0</v>
      </c>
      <c r="P103" s="432">
        <f t="shared" si="90"/>
        <v>0</v>
      </c>
      <c r="Q103" s="432"/>
      <c r="R103" s="433">
        <f t="shared" si="91"/>
        <v>0</v>
      </c>
      <c r="S103" s="434">
        <v>0.97960400000000003</v>
      </c>
      <c r="T103" s="433">
        <f t="shared" si="92"/>
        <v>0</v>
      </c>
      <c r="U103" s="433">
        <f t="shared" si="93"/>
        <v>0</v>
      </c>
      <c r="V103" s="432">
        <v>10.029999999999999</v>
      </c>
      <c r="W103" s="432">
        <v>80915</v>
      </c>
      <c r="X103" s="432">
        <v>89834</v>
      </c>
      <c r="Y103" s="432">
        <f t="shared" si="94"/>
        <v>170749</v>
      </c>
      <c r="Z103" s="432">
        <f t="shared" si="95"/>
        <v>1712612.47</v>
      </c>
      <c r="AA103" s="432">
        <v>441760</v>
      </c>
      <c r="AB103" s="432"/>
      <c r="AC103" s="433">
        <f t="shared" si="78"/>
        <v>1270852.47</v>
      </c>
      <c r="AD103" s="434">
        <v>0.97960400000000003</v>
      </c>
      <c r="AE103" s="433">
        <f t="shared" si="96"/>
        <v>1244932.1599999999</v>
      </c>
      <c r="AF103" s="433">
        <f t="shared" si="97"/>
        <v>1244.9000000000001</v>
      </c>
      <c r="AG103" s="432">
        <v>61.16</v>
      </c>
      <c r="AH103" s="432">
        <v>2052</v>
      </c>
      <c r="AI103" s="432">
        <v>1991</v>
      </c>
      <c r="AJ103" s="432">
        <f t="shared" si="98"/>
        <v>4043</v>
      </c>
      <c r="AK103" s="432">
        <v>25.2</v>
      </c>
      <c r="AL103" s="432">
        <v>2052</v>
      </c>
      <c r="AM103" s="432">
        <v>1991</v>
      </c>
      <c r="AN103" s="432">
        <f t="shared" si="99"/>
        <v>4043</v>
      </c>
      <c r="AO103" s="432">
        <v>12.61</v>
      </c>
      <c r="AP103" s="432">
        <f t="shared" si="100"/>
        <v>247269.88</v>
      </c>
      <c r="AQ103" s="432">
        <f t="shared" si="101"/>
        <v>101883.6</v>
      </c>
      <c r="AR103" s="432">
        <f t="shared" si="79"/>
        <v>50982.23</v>
      </c>
      <c r="AS103" s="432">
        <f t="shared" si="102"/>
        <v>400135.71</v>
      </c>
      <c r="AT103" s="432">
        <v>31427.07</v>
      </c>
      <c r="AU103" s="433">
        <f t="shared" si="103"/>
        <v>368708.64</v>
      </c>
      <c r="AV103" s="434">
        <v>0.97960400000000003</v>
      </c>
      <c r="AW103" s="433">
        <f t="shared" si="104"/>
        <v>361188.46</v>
      </c>
      <c r="AX103" s="433">
        <f t="shared" si="105"/>
        <v>361.2</v>
      </c>
      <c r="AY103" s="433">
        <v>20.88</v>
      </c>
      <c r="AZ103" s="433">
        <v>854.75</v>
      </c>
      <c r="BA103" s="435">
        <v>12</v>
      </c>
      <c r="BB103" s="433">
        <f t="shared" si="106"/>
        <v>214166.16</v>
      </c>
      <c r="BC103" s="433">
        <v>0</v>
      </c>
      <c r="BD103" s="433">
        <f t="shared" si="107"/>
        <v>214166.16</v>
      </c>
      <c r="BE103" s="434">
        <v>0.97960400000000003</v>
      </c>
      <c r="BF103" s="433">
        <f t="shared" si="108"/>
        <v>209798.03</v>
      </c>
      <c r="BG103" s="433">
        <f t="shared" si="109"/>
        <v>209.8</v>
      </c>
      <c r="BH103" s="433">
        <f t="shared" si="110"/>
        <v>4273337.07</v>
      </c>
      <c r="BI103" s="433">
        <f t="shared" si="111"/>
        <v>473187.07</v>
      </c>
      <c r="BJ103" s="433">
        <f t="shared" si="80"/>
        <v>0</v>
      </c>
      <c r="BK103" s="433">
        <f t="shared" si="81"/>
        <v>3800150</v>
      </c>
      <c r="BL103" s="436">
        <f t="shared" si="82"/>
        <v>3800.2</v>
      </c>
      <c r="BM103" s="437">
        <f t="shared" si="112"/>
        <v>3722642.14</v>
      </c>
      <c r="BN103" s="437">
        <f t="shared" si="113"/>
        <v>3722.6</v>
      </c>
      <c r="BO103" s="438">
        <f t="shared" si="83"/>
        <v>-77.599999999999994</v>
      </c>
      <c r="BP103" s="329">
        <v>3722.6</v>
      </c>
      <c r="BQ103" s="439">
        <f t="shared" si="114"/>
        <v>0</v>
      </c>
    </row>
    <row r="104" spans="1:69" s="329" customFormat="1" ht="15.75" hidden="1" x14ac:dyDescent="0.25">
      <c r="A104" s="431" t="s">
        <v>930</v>
      </c>
      <c r="B104" s="432">
        <v>2588.77</v>
      </c>
      <c r="C104" s="432">
        <v>281.39999999999998</v>
      </c>
      <c r="D104" s="432">
        <v>431.63</v>
      </c>
      <c r="E104" s="432">
        <f t="shared" si="84"/>
        <v>713</v>
      </c>
      <c r="F104" s="432">
        <f t="shared" si="85"/>
        <v>1845793.01</v>
      </c>
      <c r="G104" s="432"/>
      <c r="H104" s="433">
        <f t="shared" si="86"/>
        <v>1845793.01</v>
      </c>
      <c r="I104" s="434">
        <v>0.97960400000000003</v>
      </c>
      <c r="J104" s="433">
        <f t="shared" si="87"/>
        <v>1808146.22</v>
      </c>
      <c r="K104" s="433">
        <f t="shared" si="88"/>
        <v>1808.1</v>
      </c>
      <c r="L104" s="432"/>
      <c r="M104" s="432"/>
      <c r="N104" s="432"/>
      <c r="O104" s="432">
        <f t="shared" si="89"/>
        <v>0</v>
      </c>
      <c r="P104" s="432">
        <f t="shared" si="90"/>
        <v>0</v>
      </c>
      <c r="Q104" s="432"/>
      <c r="R104" s="433">
        <f t="shared" si="91"/>
        <v>0</v>
      </c>
      <c r="S104" s="434">
        <v>0.97960400000000003</v>
      </c>
      <c r="T104" s="433">
        <f t="shared" si="92"/>
        <v>0</v>
      </c>
      <c r="U104" s="433">
        <f t="shared" si="93"/>
        <v>0</v>
      </c>
      <c r="V104" s="432">
        <v>10.029999999999999</v>
      </c>
      <c r="W104" s="432">
        <v>33250</v>
      </c>
      <c r="X104" s="432">
        <v>34800</v>
      </c>
      <c r="Y104" s="432">
        <f t="shared" si="94"/>
        <v>68050</v>
      </c>
      <c r="Z104" s="432">
        <f t="shared" si="95"/>
        <v>682541.5</v>
      </c>
      <c r="AA104" s="432">
        <v>126720</v>
      </c>
      <c r="AB104" s="432"/>
      <c r="AC104" s="433">
        <f t="shared" si="78"/>
        <v>555821.5</v>
      </c>
      <c r="AD104" s="434">
        <v>0.97960400000000003</v>
      </c>
      <c r="AE104" s="433">
        <f t="shared" si="96"/>
        <v>544484.96</v>
      </c>
      <c r="AF104" s="433">
        <f t="shared" si="97"/>
        <v>544.5</v>
      </c>
      <c r="AG104" s="432">
        <v>61.16</v>
      </c>
      <c r="AH104" s="432">
        <v>2288</v>
      </c>
      <c r="AI104" s="432">
        <v>1147</v>
      </c>
      <c r="AJ104" s="432">
        <f t="shared" si="98"/>
        <v>3435</v>
      </c>
      <c r="AK104" s="432">
        <v>25.2</v>
      </c>
      <c r="AL104" s="432">
        <v>2288</v>
      </c>
      <c r="AM104" s="432">
        <v>1147</v>
      </c>
      <c r="AN104" s="432">
        <f t="shared" si="99"/>
        <v>3435</v>
      </c>
      <c r="AO104" s="432">
        <v>12.61</v>
      </c>
      <c r="AP104" s="432">
        <f t="shared" si="100"/>
        <v>210084.6</v>
      </c>
      <c r="AQ104" s="432">
        <f t="shared" si="101"/>
        <v>86562</v>
      </c>
      <c r="AR104" s="432">
        <f t="shared" si="79"/>
        <v>43315.35</v>
      </c>
      <c r="AS104" s="432">
        <f t="shared" si="102"/>
        <v>339961.95</v>
      </c>
      <c r="AT104" s="432">
        <v>38862</v>
      </c>
      <c r="AU104" s="433">
        <f t="shared" si="103"/>
        <v>301099.95</v>
      </c>
      <c r="AV104" s="434">
        <v>0.97960400000000003</v>
      </c>
      <c r="AW104" s="433">
        <f t="shared" si="104"/>
        <v>294958.71999999997</v>
      </c>
      <c r="AX104" s="433">
        <f t="shared" si="105"/>
        <v>295</v>
      </c>
      <c r="AY104" s="433">
        <v>20.02</v>
      </c>
      <c r="AZ104" s="433">
        <v>854.75</v>
      </c>
      <c r="BA104" s="435">
        <v>12</v>
      </c>
      <c r="BB104" s="433">
        <f t="shared" si="106"/>
        <v>205345.14</v>
      </c>
      <c r="BC104" s="433"/>
      <c r="BD104" s="433">
        <f t="shared" si="107"/>
        <v>205345.14</v>
      </c>
      <c r="BE104" s="434">
        <v>0.97960400000000003</v>
      </c>
      <c r="BF104" s="433">
        <f t="shared" si="108"/>
        <v>201156.92</v>
      </c>
      <c r="BG104" s="433">
        <f t="shared" si="109"/>
        <v>201.2</v>
      </c>
      <c r="BH104" s="433">
        <f t="shared" si="110"/>
        <v>3073641.6</v>
      </c>
      <c r="BI104" s="433">
        <f t="shared" si="111"/>
        <v>165582</v>
      </c>
      <c r="BJ104" s="433">
        <f t="shared" si="80"/>
        <v>0</v>
      </c>
      <c r="BK104" s="433">
        <f t="shared" si="81"/>
        <v>2908059.6</v>
      </c>
      <c r="BL104" s="436">
        <f t="shared" si="82"/>
        <v>2908.1</v>
      </c>
      <c r="BM104" s="437">
        <f t="shared" si="112"/>
        <v>2848746.82</v>
      </c>
      <c r="BN104" s="437">
        <f>ROUND(K104+U104+AF104+AX104+BG104,1)</f>
        <v>2848.8</v>
      </c>
      <c r="BO104" s="438">
        <f t="shared" si="83"/>
        <v>-59.3</v>
      </c>
      <c r="BP104" s="329">
        <v>2848.8</v>
      </c>
      <c r="BQ104" s="439">
        <f t="shared" si="114"/>
        <v>0</v>
      </c>
    </row>
    <row r="105" spans="1:69" s="329" customFormat="1" ht="16.5" hidden="1" thickBot="1" x14ac:dyDescent="0.3">
      <c r="A105" s="460" t="s">
        <v>931</v>
      </c>
      <c r="B105" s="461">
        <v>3274.05</v>
      </c>
      <c r="C105" s="461">
        <f>743.33*1.118</f>
        <v>831.04</v>
      </c>
      <c r="D105" s="461">
        <f>1164.52*1.118</f>
        <v>1301.93</v>
      </c>
      <c r="E105" s="461">
        <f t="shared" si="84"/>
        <v>2133</v>
      </c>
      <c r="F105" s="461">
        <f t="shared" si="85"/>
        <v>6983548.6500000004</v>
      </c>
      <c r="G105" s="461"/>
      <c r="H105" s="462">
        <f t="shared" si="86"/>
        <v>6983548.6500000004</v>
      </c>
      <c r="I105" s="463">
        <v>0.97960400000000003</v>
      </c>
      <c r="J105" s="462">
        <f t="shared" si="87"/>
        <v>6841112.1900000004</v>
      </c>
      <c r="K105" s="462">
        <f t="shared" si="88"/>
        <v>6841.1</v>
      </c>
      <c r="L105" s="461"/>
      <c r="M105" s="461"/>
      <c r="N105" s="461"/>
      <c r="O105" s="461">
        <f t="shared" si="89"/>
        <v>0</v>
      </c>
      <c r="P105" s="461">
        <f t="shared" si="90"/>
        <v>0</v>
      </c>
      <c r="Q105" s="461"/>
      <c r="R105" s="462">
        <f t="shared" si="91"/>
        <v>0</v>
      </c>
      <c r="S105" s="463">
        <v>0.97960400000000003</v>
      </c>
      <c r="T105" s="462">
        <f t="shared" si="92"/>
        <v>0</v>
      </c>
      <c r="U105" s="462">
        <f t="shared" si="93"/>
        <v>0</v>
      </c>
      <c r="V105" s="461">
        <v>10.029999999999999</v>
      </c>
      <c r="W105" s="461">
        <f>120990*1.118</f>
        <v>135266.82</v>
      </c>
      <c r="X105" s="461">
        <f>128711*1.118</f>
        <v>143898.9</v>
      </c>
      <c r="Y105" s="461">
        <f t="shared" si="94"/>
        <v>279165.7</v>
      </c>
      <c r="Z105" s="461">
        <f t="shared" si="95"/>
        <v>2800031.97</v>
      </c>
      <c r="AA105" s="461">
        <v>250000</v>
      </c>
      <c r="AB105" s="461"/>
      <c r="AC105" s="462">
        <f t="shared" si="78"/>
        <v>2550031.9700000002</v>
      </c>
      <c r="AD105" s="463">
        <v>0.97960400000000003</v>
      </c>
      <c r="AE105" s="462">
        <f t="shared" si="96"/>
        <v>2498021.52</v>
      </c>
      <c r="AF105" s="462">
        <f t="shared" si="97"/>
        <v>2498</v>
      </c>
      <c r="AG105" s="461">
        <v>61.16</v>
      </c>
      <c r="AH105" s="461">
        <f>1379*1.18</f>
        <v>1627.22</v>
      </c>
      <c r="AI105" s="461">
        <f>2419*1.18</f>
        <v>2854.42</v>
      </c>
      <c r="AJ105" s="461">
        <f t="shared" si="98"/>
        <v>4481.6000000000004</v>
      </c>
      <c r="AK105" s="461">
        <v>25.2</v>
      </c>
      <c r="AL105" s="461">
        <f>1379*1.18</f>
        <v>1627.22</v>
      </c>
      <c r="AM105" s="461">
        <f>2419*1.18</f>
        <v>2854.42</v>
      </c>
      <c r="AN105" s="461">
        <f t="shared" si="99"/>
        <v>4481.6000000000004</v>
      </c>
      <c r="AO105" s="461">
        <v>12.61</v>
      </c>
      <c r="AP105" s="461">
        <f t="shared" si="100"/>
        <v>274094.65999999997</v>
      </c>
      <c r="AQ105" s="461">
        <f t="shared" si="101"/>
        <v>112936.32000000001</v>
      </c>
      <c r="AR105" s="461">
        <f t="shared" si="79"/>
        <v>56512.98</v>
      </c>
      <c r="AS105" s="461">
        <f t="shared" si="102"/>
        <v>443543.96</v>
      </c>
      <c r="AT105" s="461">
        <v>50000</v>
      </c>
      <c r="AU105" s="462">
        <f t="shared" si="103"/>
        <v>393543.96</v>
      </c>
      <c r="AV105" s="463">
        <v>0.97960400000000003</v>
      </c>
      <c r="AW105" s="462">
        <f t="shared" si="104"/>
        <v>385517.24</v>
      </c>
      <c r="AX105" s="462">
        <f t="shared" si="105"/>
        <v>385.5</v>
      </c>
      <c r="AY105" s="462">
        <f>12.77*1.18</f>
        <v>15.07</v>
      </c>
      <c r="AZ105" s="462">
        <v>854.75</v>
      </c>
      <c r="BA105" s="464">
        <v>12</v>
      </c>
      <c r="BB105" s="462">
        <f t="shared" si="106"/>
        <v>154572.99</v>
      </c>
      <c r="BC105" s="462"/>
      <c r="BD105" s="462">
        <f t="shared" si="107"/>
        <v>154572.99</v>
      </c>
      <c r="BE105" s="463">
        <v>0.97960400000000003</v>
      </c>
      <c r="BF105" s="462">
        <f t="shared" si="108"/>
        <v>151420.32</v>
      </c>
      <c r="BG105" s="465">
        <f>ROUND(BF105/1000,1)+0.5</f>
        <v>151.9</v>
      </c>
      <c r="BH105" s="462">
        <f t="shared" si="110"/>
        <v>10381697.57</v>
      </c>
      <c r="BI105" s="462">
        <f t="shared" si="111"/>
        <v>300000</v>
      </c>
      <c r="BJ105" s="462">
        <f t="shared" si="80"/>
        <v>0</v>
      </c>
      <c r="BK105" s="462">
        <f t="shared" si="81"/>
        <v>10081697.57</v>
      </c>
      <c r="BL105" s="466">
        <f t="shared" si="82"/>
        <v>10081.700000000001</v>
      </c>
      <c r="BM105" s="467">
        <f t="shared" si="112"/>
        <v>9876071.2699999996</v>
      </c>
      <c r="BN105" s="467">
        <f>ROUND(K105+U105+AF105+AX105+BG105,1)</f>
        <v>9876.5</v>
      </c>
      <c r="BO105" s="468">
        <f t="shared" si="83"/>
        <v>-205.2</v>
      </c>
      <c r="BP105" s="329">
        <v>9876.5</v>
      </c>
      <c r="BQ105" s="439">
        <f t="shared" si="114"/>
        <v>0</v>
      </c>
    </row>
    <row r="106" spans="1:69" s="474" customFormat="1" ht="16.5" hidden="1" thickBot="1" x14ac:dyDescent="0.3">
      <c r="A106" s="469" t="s">
        <v>932</v>
      </c>
      <c r="B106" s="470"/>
      <c r="C106" s="471">
        <f t="shared" ref="C106:H106" si="115">SUM(C75:C105)</f>
        <v>6173.42</v>
      </c>
      <c r="D106" s="471">
        <f t="shared" si="115"/>
        <v>9939.5300000000007</v>
      </c>
      <c r="E106" s="471">
        <f t="shared" si="115"/>
        <v>16112.9</v>
      </c>
      <c r="F106" s="471">
        <f t="shared" si="115"/>
        <v>46751829.219999999</v>
      </c>
      <c r="G106" s="471">
        <f t="shared" si="115"/>
        <v>71681.929999999993</v>
      </c>
      <c r="H106" s="471">
        <f t="shared" si="115"/>
        <v>46680147.289999999</v>
      </c>
      <c r="I106" s="471"/>
      <c r="J106" s="471">
        <f>SUM(J75:J105)</f>
        <v>45728059.020000003</v>
      </c>
      <c r="K106" s="471">
        <f>SUM(K75:K105)</f>
        <v>45728.2</v>
      </c>
      <c r="L106" s="471"/>
      <c r="M106" s="471">
        <f t="shared" ref="M106:O106" si="116">SUM(M75:M105)</f>
        <v>71080</v>
      </c>
      <c r="N106" s="471">
        <f t="shared" si="116"/>
        <v>108730</v>
      </c>
      <c r="O106" s="471">
        <f t="shared" si="116"/>
        <v>179810</v>
      </c>
      <c r="P106" s="471">
        <f>SUM(P75:P105)</f>
        <v>1792705.7</v>
      </c>
      <c r="Q106" s="471">
        <f>SUM(Q75:Q105)</f>
        <v>0</v>
      </c>
      <c r="R106" s="471">
        <f>SUM(R75:R105)</f>
        <v>1792705.7</v>
      </c>
      <c r="S106" s="471"/>
      <c r="T106" s="471">
        <f>SUM(T75:T105)</f>
        <v>1756141.68</v>
      </c>
      <c r="U106" s="471">
        <f>SUM(U75:U105)</f>
        <v>1756.2</v>
      </c>
      <c r="V106" s="471"/>
      <c r="W106" s="471">
        <f t="shared" ref="W106:X106" si="117">SUM(W75:W105)</f>
        <v>1238248.82</v>
      </c>
      <c r="X106" s="471">
        <f t="shared" si="117"/>
        <v>1316740.8999999999</v>
      </c>
      <c r="Y106" s="471">
        <f>SUM(Y75:Y105)</f>
        <v>2554989.7000000002</v>
      </c>
      <c r="Z106" s="471">
        <f>SUM(Z75:Z105)</f>
        <v>25626546.690000001</v>
      </c>
      <c r="AA106" s="471">
        <f>SUM(AA75:AA105)</f>
        <v>5448603.1200000001</v>
      </c>
      <c r="AB106" s="471">
        <f>SUM(AB75:AB105)</f>
        <v>0</v>
      </c>
      <c r="AC106" s="471">
        <f>SUM(AC75:AC105)</f>
        <v>20177943.57</v>
      </c>
      <c r="AD106" s="471"/>
      <c r="AE106" s="471">
        <f>SUM(AE75:AE105)</f>
        <v>19766394.23</v>
      </c>
      <c r="AF106" s="471">
        <f>SUM(AF75:AF105)</f>
        <v>19766.2</v>
      </c>
      <c r="AG106" s="471"/>
      <c r="AH106" s="471">
        <f t="shared" ref="AH106:AI106" si="118">SUM(AH75:AH105)</f>
        <v>30991.22</v>
      </c>
      <c r="AI106" s="471">
        <f t="shared" si="118"/>
        <v>31722.42</v>
      </c>
      <c r="AJ106" s="471">
        <f>SUM(AJ75:AJ105)</f>
        <v>62713.599999999999</v>
      </c>
      <c r="AK106" s="471"/>
      <c r="AL106" s="471">
        <f t="shared" ref="AL106:AY106" si="119">SUM(AL75:AL105)</f>
        <v>30991.22</v>
      </c>
      <c r="AM106" s="471">
        <f t="shared" si="119"/>
        <v>31722.42</v>
      </c>
      <c r="AN106" s="471">
        <f t="shared" si="119"/>
        <v>62713.599999999999</v>
      </c>
      <c r="AO106" s="471"/>
      <c r="AP106" s="471">
        <f t="shared" si="119"/>
        <v>3835563.78</v>
      </c>
      <c r="AQ106" s="471">
        <f t="shared" si="119"/>
        <v>1580382.72</v>
      </c>
      <c r="AR106" s="471">
        <f t="shared" si="119"/>
        <v>790818.5</v>
      </c>
      <c r="AS106" s="471">
        <f t="shared" si="119"/>
        <v>6206765</v>
      </c>
      <c r="AT106" s="471">
        <f t="shared" si="119"/>
        <v>891506.78</v>
      </c>
      <c r="AU106" s="471">
        <f t="shared" si="119"/>
        <v>5315258.22</v>
      </c>
      <c r="AV106" s="471"/>
      <c r="AW106" s="471">
        <f t="shared" si="119"/>
        <v>5206848.22</v>
      </c>
      <c r="AX106" s="471">
        <f t="shared" si="119"/>
        <v>5206.8999999999996</v>
      </c>
      <c r="AY106" s="471">
        <f t="shared" si="119"/>
        <v>402.57</v>
      </c>
      <c r="AZ106" s="471"/>
      <c r="BA106" s="471"/>
      <c r="BB106" s="471">
        <f t="shared" ref="BB106:BP106" si="120">SUM(BB75:BB105)</f>
        <v>4129160.49</v>
      </c>
      <c r="BC106" s="471">
        <f t="shared" si="120"/>
        <v>50466.74</v>
      </c>
      <c r="BD106" s="471">
        <f t="shared" si="120"/>
        <v>4078693.75</v>
      </c>
      <c r="BE106" s="471"/>
      <c r="BF106" s="471">
        <f t="shared" si="120"/>
        <v>3995504.72</v>
      </c>
      <c r="BG106" s="471">
        <f t="shared" si="120"/>
        <v>3995.8</v>
      </c>
      <c r="BH106" s="471">
        <f t="shared" si="120"/>
        <v>84507007.099999994</v>
      </c>
      <c r="BI106" s="471">
        <f t="shared" si="120"/>
        <v>6462258.5700000003</v>
      </c>
      <c r="BJ106" s="471">
        <f t="shared" si="120"/>
        <v>0</v>
      </c>
      <c r="BK106" s="471">
        <f t="shared" si="120"/>
        <v>78044748.530000001</v>
      </c>
      <c r="BL106" s="471">
        <f t="shared" si="120"/>
        <v>78046.5</v>
      </c>
      <c r="BM106" s="471">
        <f t="shared" si="120"/>
        <v>76452947.870000005</v>
      </c>
      <c r="BN106" s="471">
        <f t="shared" si="120"/>
        <v>76453.3</v>
      </c>
      <c r="BO106" s="471">
        <f t="shared" si="120"/>
        <v>-1593.2</v>
      </c>
      <c r="BP106" s="472">
        <f t="shared" si="120"/>
        <v>76453.3</v>
      </c>
      <c r="BQ106" s="473">
        <f t="shared" si="114"/>
        <v>0</v>
      </c>
    </row>
    <row r="107" spans="1:69" ht="15.75" hidden="1" x14ac:dyDescent="0.25">
      <c r="A107" s="475" t="s">
        <v>619</v>
      </c>
      <c r="B107" s="476"/>
      <c r="C107" s="477">
        <f t="shared" ref="C107:H107" si="121">SUM(C76,C78:C82,C86,C87:C88,C90:C91,C93,C96:C101,C102,C104)</f>
        <v>3418.56</v>
      </c>
      <c r="D107" s="477">
        <f t="shared" si="121"/>
        <v>5513.12</v>
      </c>
      <c r="E107" s="477">
        <f t="shared" si="121"/>
        <v>8931.6</v>
      </c>
      <c r="F107" s="477">
        <f t="shared" si="121"/>
        <v>25148878.43</v>
      </c>
      <c r="G107" s="477">
        <f t="shared" si="121"/>
        <v>39456.839999999997</v>
      </c>
      <c r="H107" s="477">
        <f t="shared" si="121"/>
        <v>25109421.59</v>
      </c>
      <c r="I107" s="477"/>
      <c r="J107" s="477">
        <f>SUM(J76,J78:J82,J86,J87:J88,J90:J91,J93,J96:J101,J102,J104)</f>
        <v>24597289.84</v>
      </c>
      <c r="K107" s="477">
        <f>SUM(K76,K78:K82,K86,K87:K88,K90:K91,K93,K96:K101,K102,K104)</f>
        <v>24597.4</v>
      </c>
      <c r="L107" s="477"/>
      <c r="M107" s="477">
        <f t="shared" ref="M107:O107" si="122">SUM(M76,M78:M82,M86,M87:M88,M90:M91,M93,M96:M101,M102,M104)</f>
        <v>43050</v>
      </c>
      <c r="N107" s="477">
        <f t="shared" si="122"/>
        <v>62060</v>
      </c>
      <c r="O107" s="477">
        <f t="shared" si="122"/>
        <v>105110</v>
      </c>
      <c r="P107" s="477">
        <f>SUM(P76,P78:P82,P86,P87:P88,P90:P91,P93,P96:P101,P102,P104)</f>
        <v>1047946.7</v>
      </c>
      <c r="Q107" s="477">
        <f>SUM(Q76,Q78:Q82,Q86,Q87:Q88,Q90:Q91,Q93,Q96:Q101,Q102,Q104)</f>
        <v>0</v>
      </c>
      <c r="R107" s="477">
        <f>SUM(R76,R78:R82,R86,R87:R88,R90:R91,R93,R96:R101,R102,R104)</f>
        <v>1047946.7</v>
      </c>
      <c r="S107" s="477"/>
      <c r="T107" s="477">
        <f>SUM(T76,T78:T82,T86,T87:T88,T90:T91,T93,T96:T101,T102,T104)</f>
        <v>1026572.78</v>
      </c>
      <c r="U107" s="477">
        <f>SUM(U76,U78:U82,U86,U87:U88,U90:U91,U93,U96:U101,U102,U104)</f>
        <v>1026.5999999999999</v>
      </c>
      <c r="V107" s="477"/>
      <c r="W107" s="477">
        <f t="shared" ref="W107:X107" si="123">SUM(W76,W78:W82,W86,W87:W88,W90:W91,W93,W96:W101,W102,W104)</f>
        <v>652867</v>
      </c>
      <c r="X107" s="477">
        <f t="shared" si="123"/>
        <v>709405</v>
      </c>
      <c r="Y107" s="477">
        <f>SUM(Y76,Y78:Y82,Y86,Y87:Y88,Y90:Y91,Y93,Y96:Y101,Y102,Y104)</f>
        <v>1362272</v>
      </c>
      <c r="Z107" s="477">
        <f>SUM(Z76,Z78:Z82,Z86,Z87:Z88,Z90:Z91,Z93,Z96:Z101,Z102,Z104)</f>
        <v>13663588.16</v>
      </c>
      <c r="AA107" s="477">
        <f>SUM(AA76,AA78:AA82,AA86,AA87:AA88,AA90:AA91,AA93,AA96:AA101,AA102,AA104)</f>
        <v>2442483.12</v>
      </c>
      <c r="AB107" s="477">
        <f>SUM(AB76,AB78:AB82,AB86,AB87:AB88,AB90:AB91,AB93,AB96:AB101,AB102,AB104)</f>
        <v>0</v>
      </c>
      <c r="AC107" s="477">
        <f>SUM(AC76,AC78:AC82,AC86,AC87:AC88,AC90:AC91,AC93,AC96:AC101,AC102,AC104)</f>
        <v>11221105.039999999</v>
      </c>
      <c r="AD107" s="477"/>
      <c r="AE107" s="477">
        <f>SUM(AE76,AE78:AE82,AE86,AE87:AE88,AE90:AE91,AE93,AE96:AE101,AE102,AE104)</f>
        <v>10992239.380000001</v>
      </c>
      <c r="AF107" s="477">
        <f>SUM(AF76,AF78:AF82,AF86,AF87:AF88,AF90:AF91,AF93,AF96:AF101,AF102,AF104)</f>
        <v>10992.3</v>
      </c>
      <c r="AG107" s="477"/>
      <c r="AH107" s="477">
        <f t="shared" ref="AH107:AI107" si="124">SUM(AH76,AH78:AH82,AH86,AH87:AH88,AH90:AH91,AH93,AH96:AH101,AH102,AH104)</f>
        <v>18207</v>
      </c>
      <c r="AI107" s="477">
        <f t="shared" si="124"/>
        <v>17676</v>
      </c>
      <c r="AJ107" s="477">
        <f>SUM(AJ76,AJ78:AJ82,AJ86,AJ87:AJ88,AJ90:AJ91,AJ93,AJ96:AJ101,AJ102,AJ104)</f>
        <v>35883</v>
      </c>
      <c r="AK107" s="477"/>
      <c r="AL107" s="477">
        <f t="shared" ref="AL107:AY107" si="125">SUM(AL76,AL78:AL82,AL86,AL87:AL88,AL90:AL91,AL93,AL96:AL101,AL102,AL104)</f>
        <v>18207</v>
      </c>
      <c r="AM107" s="477">
        <f t="shared" si="125"/>
        <v>17676</v>
      </c>
      <c r="AN107" s="477">
        <f t="shared" si="125"/>
        <v>35883</v>
      </c>
      <c r="AO107" s="477"/>
      <c r="AP107" s="477">
        <f t="shared" si="125"/>
        <v>2194604.2799999998</v>
      </c>
      <c r="AQ107" s="477">
        <f t="shared" si="125"/>
        <v>904251.6</v>
      </c>
      <c r="AR107" s="477">
        <f t="shared" si="125"/>
        <v>452484.63</v>
      </c>
      <c r="AS107" s="477">
        <f t="shared" si="125"/>
        <v>3551340.51</v>
      </c>
      <c r="AT107" s="477">
        <f t="shared" si="125"/>
        <v>515414.31</v>
      </c>
      <c r="AU107" s="477">
        <f t="shared" si="125"/>
        <v>3035926.2</v>
      </c>
      <c r="AV107" s="477"/>
      <c r="AW107" s="477">
        <f t="shared" si="125"/>
        <v>2974005.45</v>
      </c>
      <c r="AX107" s="477">
        <f t="shared" si="125"/>
        <v>2974.1</v>
      </c>
      <c r="AY107" s="477">
        <f t="shared" si="125"/>
        <v>257.74</v>
      </c>
      <c r="AZ107" s="477"/>
      <c r="BA107" s="477"/>
      <c r="BB107" s="477">
        <f t="shared" ref="BB107:BP107" si="126">SUM(BB76,BB78:BB82,BB86,BB87:BB88,BB90:BB91,BB93,BB96:BB101,BB102,BB104)</f>
        <v>2643639.1800000002</v>
      </c>
      <c r="BC107" s="477">
        <f t="shared" si="126"/>
        <v>50466.74</v>
      </c>
      <c r="BD107" s="477">
        <f t="shared" si="126"/>
        <v>2593172.44</v>
      </c>
      <c r="BE107" s="477"/>
      <c r="BF107" s="477">
        <f t="shared" si="126"/>
        <v>2540282.1</v>
      </c>
      <c r="BG107" s="477">
        <f t="shared" si="126"/>
        <v>2540.1999999999998</v>
      </c>
      <c r="BH107" s="477">
        <f t="shared" si="126"/>
        <v>46055392.979999997</v>
      </c>
      <c r="BI107" s="477">
        <f t="shared" si="126"/>
        <v>3047821.01</v>
      </c>
      <c r="BJ107" s="477">
        <f t="shared" si="126"/>
        <v>0</v>
      </c>
      <c r="BK107" s="478">
        <f t="shared" si="126"/>
        <v>43007571.969999999</v>
      </c>
      <c r="BL107" s="478">
        <f t="shared" si="126"/>
        <v>43008.800000000003</v>
      </c>
      <c r="BM107" s="478">
        <f t="shared" si="126"/>
        <v>42130389.549999997</v>
      </c>
      <c r="BN107" s="478">
        <f t="shared" si="126"/>
        <v>42130.6</v>
      </c>
      <c r="BO107" s="478">
        <f t="shared" si="126"/>
        <v>-878.2</v>
      </c>
      <c r="BP107" s="479">
        <f t="shared" si="126"/>
        <v>42130.6</v>
      </c>
      <c r="BQ107" s="439">
        <f t="shared" si="114"/>
        <v>0</v>
      </c>
    </row>
    <row r="108" spans="1:69" ht="16.5" hidden="1" thickBot="1" x14ac:dyDescent="0.3">
      <c r="A108" s="480" t="s">
        <v>620</v>
      </c>
      <c r="B108" s="481"/>
      <c r="C108" s="482">
        <f t="shared" ref="C108:H108" si="127">C75+C77+C83+C84+C85+C89+C94+C92+C95+C103+C105</f>
        <v>2754.86</v>
      </c>
      <c r="D108" s="482">
        <f t="shared" si="127"/>
        <v>4426.41</v>
      </c>
      <c r="E108" s="482">
        <f t="shared" si="127"/>
        <v>7181.3</v>
      </c>
      <c r="F108" s="482">
        <f t="shared" si="127"/>
        <v>21602950.789999999</v>
      </c>
      <c r="G108" s="482">
        <f t="shared" si="127"/>
        <v>32225.09</v>
      </c>
      <c r="H108" s="482">
        <f t="shared" si="127"/>
        <v>21570725.699999999</v>
      </c>
      <c r="I108" s="482"/>
      <c r="J108" s="482">
        <f>J75+J77+J83+J84+J85+J89+J94+J92+J95+J103+J105</f>
        <v>21130769.18</v>
      </c>
      <c r="K108" s="482">
        <f>K75+K77+K83+K84+K85+K89+K94+K92+K95+K103+K105</f>
        <v>21130.799999999999</v>
      </c>
      <c r="L108" s="482"/>
      <c r="M108" s="482">
        <f t="shared" ref="M108:O108" si="128">M75+M77+M83+M84+M85+M89+M94+M92+M95+M103+M105</f>
        <v>28030</v>
      </c>
      <c r="N108" s="482">
        <f t="shared" si="128"/>
        <v>46670</v>
      </c>
      <c r="O108" s="482">
        <f t="shared" si="128"/>
        <v>74700</v>
      </c>
      <c r="P108" s="482">
        <f>P75+P77+P83+P84+P85+P89+P94+P92+P95+P103+P105</f>
        <v>744759</v>
      </c>
      <c r="Q108" s="482">
        <f>Q75+Q77+Q83+Q84+Q85+Q89+Q94+Q92+Q95+Q103+Q105</f>
        <v>0</v>
      </c>
      <c r="R108" s="482">
        <f>R75+R77+R83+R84+R85+R89+R94+R92+R95+R103+R105</f>
        <v>744759</v>
      </c>
      <c r="S108" s="482"/>
      <c r="T108" s="482">
        <f>T75+T77+T83+T84+T85+T89+T94+T92+T95+T103+T105</f>
        <v>729568.9</v>
      </c>
      <c r="U108" s="482">
        <f>U75+U77+U83+U84+U85+U89+U94+U92+U95+U103+U105</f>
        <v>729.6</v>
      </c>
      <c r="V108" s="482"/>
      <c r="W108" s="482">
        <f t="shared" ref="W108:X108" si="129">W75+W77+W83+W84+W85+W89+W94+W92+W95+W103+W105</f>
        <v>585381.81999999995</v>
      </c>
      <c r="X108" s="482">
        <f t="shared" si="129"/>
        <v>607335.9</v>
      </c>
      <c r="Y108" s="482">
        <f>Y75+Y77+Y83+Y84+Y85+Y89+Y94+Y92+Y95+Y103+Y105</f>
        <v>1192717.7</v>
      </c>
      <c r="Z108" s="482">
        <f>Z75+Z77+Z83+Z84+Z85+Z89+Z94+Z92+Z95+Z103+Z105</f>
        <v>11962958.529999999</v>
      </c>
      <c r="AA108" s="482">
        <f>AA75+AA77+AA83+AA84+AA85+AA89+AA94+AA92+AA95+AA103+AA105</f>
        <v>3006120</v>
      </c>
      <c r="AB108" s="482">
        <f>AB75+AB77+AB83+AB84+AB85+AB89+AB94+AB92+AB95+AB103+AB105</f>
        <v>0</v>
      </c>
      <c r="AC108" s="482">
        <f>AC75+AC77+AC83+AC84+AC85+AC89+AC94+AC92+AC95+AC103+AC105</f>
        <v>8956838.5299999993</v>
      </c>
      <c r="AD108" s="482"/>
      <c r="AE108" s="482">
        <f>AE75+AE77+AE83+AE84+AE85+AE89+AE94+AE92+AE95+AE103+AE105</f>
        <v>8774154.8499999996</v>
      </c>
      <c r="AF108" s="482">
        <f>AF75+AF77+AF83+AF84+AF85+AF89+AF94+AF92+AF95+AF103+AF105</f>
        <v>8773.9</v>
      </c>
      <c r="AG108" s="482"/>
      <c r="AH108" s="482">
        <f t="shared" ref="AH108:AI108" si="130">AH75+AH77+AH83+AH84+AH85+AH89+AH94+AH92+AH95+AH103+AH105</f>
        <v>12784.22</v>
      </c>
      <c r="AI108" s="482">
        <f t="shared" si="130"/>
        <v>14046.42</v>
      </c>
      <c r="AJ108" s="482">
        <f>AJ75+AJ77+AJ83+AJ84+AJ85+AJ89+AJ94+AJ92+AJ95+AJ103+AJ105</f>
        <v>26830.6</v>
      </c>
      <c r="AK108" s="482"/>
      <c r="AL108" s="482">
        <f t="shared" ref="AL108:AY108" si="131">AL75+AL77+AL83+AL84+AL85+AL89+AL94+AL92+AL95+AL103+AL105</f>
        <v>12784.22</v>
      </c>
      <c r="AM108" s="482">
        <f t="shared" si="131"/>
        <v>14046.42</v>
      </c>
      <c r="AN108" s="482">
        <f t="shared" si="131"/>
        <v>26830.6</v>
      </c>
      <c r="AO108" s="482"/>
      <c r="AP108" s="482">
        <f t="shared" si="131"/>
        <v>1640959.5</v>
      </c>
      <c r="AQ108" s="482">
        <f t="shared" si="131"/>
        <v>676131.12</v>
      </c>
      <c r="AR108" s="482">
        <f t="shared" si="131"/>
        <v>338333.87</v>
      </c>
      <c r="AS108" s="482">
        <f t="shared" si="131"/>
        <v>2655424.4900000002</v>
      </c>
      <c r="AT108" s="482">
        <f t="shared" si="131"/>
        <v>376092.47</v>
      </c>
      <c r="AU108" s="482">
        <f t="shared" si="131"/>
        <v>2279332.02</v>
      </c>
      <c r="AV108" s="482"/>
      <c r="AW108" s="482">
        <f t="shared" si="131"/>
        <v>2232842.77</v>
      </c>
      <c r="AX108" s="482">
        <f t="shared" si="131"/>
        <v>2232.8000000000002</v>
      </c>
      <c r="AY108" s="482">
        <f t="shared" si="131"/>
        <v>144.83000000000001</v>
      </c>
      <c r="AZ108" s="482"/>
      <c r="BA108" s="482"/>
      <c r="BB108" s="482">
        <f t="shared" ref="BB108:BP108" si="132">BB75+BB77+BB83+BB84+BB85+BB89+BB94+BB92+BB95+BB103+BB105</f>
        <v>1485521.31</v>
      </c>
      <c r="BC108" s="482">
        <f t="shared" si="132"/>
        <v>0</v>
      </c>
      <c r="BD108" s="482">
        <f t="shared" si="132"/>
        <v>1485521.31</v>
      </c>
      <c r="BE108" s="482"/>
      <c r="BF108" s="482">
        <f t="shared" si="132"/>
        <v>1455222.62</v>
      </c>
      <c r="BG108" s="482">
        <f t="shared" si="132"/>
        <v>1455.6</v>
      </c>
      <c r="BH108" s="482">
        <f t="shared" si="132"/>
        <v>38451614.119999997</v>
      </c>
      <c r="BI108" s="482">
        <f t="shared" si="132"/>
        <v>3414437.56</v>
      </c>
      <c r="BJ108" s="482">
        <f t="shared" si="132"/>
        <v>0</v>
      </c>
      <c r="BK108" s="483">
        <f t="shared" si="132"/>
        <v>35037176.560000002</v>
      </c>
      <c r="BL108" s="483">
        <f t="shared" si="132"/>
        <v>35037.699999999997</v>
      </c>
      <c r="BM108" s="483">
        <f t="shared" si="132"/>
        <v>34322558.32</v>
      </c>
      <c r="BN108" s="483">
        <f t="shared" si="132"/>
        <v>34322.699999999997</v>
      </c>
      <c r="BO108" s="483">
        <f t="shared" si="132"/>
        <v>-715</v>
      </c>
      <c r="BP108" s="484">
        <f t="shared" si="132"/>
        <v>34322.699999999997</v>
      </c>
      <c r="BQ108" s="439">
        <f t="shared" si="114"/>
        <v>0</v>
      </c>
    </row>
    <row r="109" spans="1:69" s="329" customFormat="1" ht="15.75" x14ac:dyDescent="0.25">
      <c r="A109" s="459" t="s">
        <v>359</v>
      </c>
      <c r="B109" s="485">
        <v>3274.05</v>
      </c>
      <c r="C109" s="485">
        <v>158.37</v>
      </c>
      <c r="D109" s="485">
        <v>401.82</v>
      </c>
      <c r="E109" s="485">
        <f>ROUND(C109+D109,1)</f>
        <v>560.20000000000005</v>
      </c>
      <c r="F109" s="485">
        <f>ROUND(B109*E109,2)</f>
        <v>1834122.81</v>
      </c>
      <c r="G109" s="485">
        <v>63000</v>
      </c>
      <c r="H109" s="486">
        <f>ROUND(F109-G109,2)</f>
        <v>1771122.81</v>
      </c>
      <c r="I109" s="487">
        <v>0.97960400000000003</v>
      </c>
      <c r="J109" s="486">
        <f>ROUND(H109*I109,2)</f>
        <v>1734998.99</v>
      </c>
      <c r="K109" s="486">
        <f>ROUND(J109/1000,1)</f>
        <v>1735</v>
      </c>
      <c r="L109" s="485"/>
      <c r="M109" s="485"/>
      <c r="N109" s="485"/>
      <c r="O109" s="485">
        <f>ROUND(M109+N109,1)</f>
        <v>0</v>
      </c>
      <c r="P109" s="485">
        <f>ROUND(L109*O109,2)</f>
        <v>0</v>
      </c>
      <c r="Q109" s="485"/>
      <c r="R109" s="486">
        <f>ROUND(P109-Q109,2)</f>
        <v>0</v>
      </c>
      <c r="S109" s="487">
        <v>0.97960400000000003</v>
      </c>
      <c r="T109" s="486">
        <f>ROUND(R109*S109,2)</f>
        <v>0</v>
      </c>
      <c r="U109" s="486">
        <f>ROUND(T109/1000,1)</f>
        <v>0</v>
      </c>
      <c r="V109" s="485">
        <v>10.029999999999999</v>
      </c>
      <c r="W109" s="485">
        <v>27832</v>
      </c>
      <c r="X109" s="485">
        <v>34441</v>
      </c>
      <c r="Y109" s="485">
        <f>ROUND(W109+X109,1)</f>
        <v>62273</v>
      </c>
      <c r="Z109" s="485">
        <f>ROUND(V109*Y109,2)</f>
        <v>624598.18999999994</v>
      </c>
      <c r="AA109" s="485">
        <v>20000</v>
      </c>
      <c r="AB109" s="485"/>
      <c r="AC109" s="486">
        <f t="shared" ref="AC109:AC112" si="133">ROUND(Z109-AA109-AB109,2)</f>
        <v>604598.18999999994</v>
      </c>
      <c r="AD109" s="487">
        <v>0.97960400000000003</v>
      </c>
      <c r="AE109" s="486">
        <f>ROUND(AC109*AD109,2)</f>
        <v>592266.81000000006</v>
      </c>
      <c r="AF109" s="486">
        <f>ROUND(AE109/1000,1)</f>
        <v>592.29999999999995</v>
      </c>
      <c r="AG109" s="485">
        <v>61.16</v>
      </c>
      <c r="AH109" s="485">
        <v>593</v>
      </c>
      <c r="AI109" s="485">
        <v>730</v>
      </c>
      <c r="AJ109" s="485">
        <f>ROUND(AH109+AI109,1)</f>
        <v>1323</v>
      </c>
      <c r="AK109" s="485">
        <v>25.2</v>
      </c>
      <c r="AL109" s="485">
        <v>593</v>
      </c>
      <c r="AM109" s="485">
        <v>730</v>
      </c>
      <c r="AN109" s="485">
        <f>ROUND(AL109+AM109,1)</f>
        <v>1323</v>
      </c>
      <c r="AO109" s="485">
        <v>12.61</v>
      </c>
      <c r="AP109" s="485">
        <f>ROUND(AG109*AJ109,2)</f>
        <v>80914.679999999993</v>
      </c>
      <c r="AQ109" s="485">
        <f>ROUND(AK109*AN109,2)</f>
        <v>33339.599999999999</v>
      </c>
      <c r="AR109" s="485">
        <f t="shared" ref="AR109:AR112" si="134">ROUND(AN109*AO109,2)</f>
        <v>16683.03</v>
      </c>
      <c r="AS109" s="485">
        <f>AR109+AP109+AQ109</f>
        <v>130937.31</v>
      </c>
      <c r="AT109" s="485">
        <v>10000</v>
      </c>
      <c r="AU109" s="486">
        <f>ROUND(AS109-AT109,2)</f>
        <v>120937.31</v>
      </c>
      <c r="AV109" s="487">
        <v>0.97960400000000003</v>
      </c>
      <c r="AW109" s="486">
        <f>ROUND(AU109*AV109,2)</f>
        <v>118470.67</v>
      </c>
      <c r="AX109" s="486">
        <f>ROUND(AW109/1000,1)</f>
        <v>118.5</v>
      </c>
      <c r="AY109" s="486">
        <v>9.2100000000000009</v>
      </c>
      <c r="AZ109" s="486">
        <v>854.75</v>
      </c>
      <c r="BA109" s="488">
        <v>12</v>
      </c>
      <c r="BB109" s="486">
        <f>ROUND(AY109*AZ109*BA109,2)</f>
        <v>94466.97</v>
      </c>
      <c r="BC109" s="486"/>
      <c r="BD109" s="486">
        <f>ROUND(BB109-BC109,2)</f>
        <v>94466.97</v>
      </c>
      <c r="BE109" s="487">
        <v>0.97960400000000003</v>
      </c>
      <c r="BF109" s="486">
        <f>ROUND(BD109*BE109,2)</f>
        <v>92540.22</v>
      </c>
      <c r="BG109" s="486">
        <f>ROUND(BF109/1000,1)</f>
        <v>92.5</v>
      </c>
      <c r="BH109" s="486">
        <f>F109+P109+Z109+AS109+BB109</f>
        <v>2684125.2799999998</v>
      </c>
      <c r="BI109" s="486">
        <f>ROUND(G109+Q109+AA109+AT109+BC109,2)</f>
        <v>93000</v>
      </c>
      <c r="BJ109" s="486">
        <f t="shared" ref="BJ109:BJ112" si="135">AB109</f>
        <v>0</v>
      </c>
      <c r="BK109" s="486">
        <f t="shared" ref="BK109:BK112" si="136">ROUND(BH109-BI109-BJ109,2)</f>
        <v>2591125.2799999998</v>
      </c>
      <c r="BL109" s="489">
        <f t="shared" ref="BL109:BL112" si="137">ROUNDUP(BK109/1000,1)</f>
        <v>2591.1999999999998</v>
      </c>
      <c r="BM109" s="490">
        <f>ROUND(J109+T109+AE109+AW109+BF109,2)</f>
        <v>2538276.69</v>
      </c>
      <c r="BN109" s="490">
        <f>ROUND(K109+U109+AF109+AX109+BG109,1)</f>
        <v>2538.3000000000002</v>
      </c>
      <c r="BO109" s="491">
        <f t="shared" si="83"/>
        <v>-52.9</v>
      </c>
      <c r="BP109" s="329">
        <v>2538.3000000000002</v>
      </c>
      <c r="BQ109" s="439">
        <f t="shared" si="114"/>
        <v>0</v>
      </c>
    </row>
    <row r="110" spans="1:69" s="329" customFormat="1" ht="15.75" x14ac:dyDescent="0.25">
      <c r="A110" s="431" t="s">
        <v>62</v>
      </c>
      <c r="B110" s="432"/>
      <c r="C110" s="432"/>
      <c r="D110" s="432"/>
      <c r="E110" s="432">
        <f>ROUND(C110+D110,1)</f>
        <v>0</v>
      </c>
      <c r="F110" s="432">
        <f>ROUND(B110*E110,2)</f>
        <v>0</v>
      </c>
      <c r="G110" s="432"/>
      <c r="H110" s="433">
        <f>ROUND(F110-G110,2)</f>
        <v>0</v>
      </c>
      <c r="I110" s="434">
        <v>0.97960400000000003</v>
      </c>
      <c r="J110" s="433">
        <f>ROUND(H110*I110,2)</f>
        <v>0</v>
      </c>
      <c r="K110" s="433">
        <f>ROUND(J110/1000,1)</f>
        <v>0</v>
      </c>
      <c r="L110" s="432">
        <v>9.9700000000000006</v>
      </c>
      <c r="M110" s="432">
        <v>2730</v>
      </c>
      <c r="N110" s="432">
        <v>4730</v>
      </c>
      <c r="O110" s="432">
        <f>ROUND(M110+N110,1)</f>
        <v>7460</v>
      </c>
      <c r="P110" s="432">
        <f>ROUND(L110*O110,2)</f>
        <v>74376.2</v>
      </c>
      <c r="Q110" s="432"/>
      <c r="R110" s="433">
        <f>ROUND(P110-Q110,2)</f>
        <v>74376.2</v>
      </c>
      <c r="S110" s="434">
        <v>0.97960400000000003</v>
      </c>
      <c r="T110" s="433">
        <f>ROUND(R110*S110,2)</f>
        <v>72859.22</v>
      </c>
      <c r="U110" s="433">
        <f>ROUND(T110/1000,1)</f>
        <v>72.900000000000006</v>
      </c>
      <c r="V110" s="432">
        <v>10.029999999999999</v>
      </c>
      <c r="W110" s="432">
        <v>1446</v>
      </c>
      <c r="X110" s="432">
        <v>1204</v>
      </c>
      <c r="Y110" s="432">
        <f>ROUND(W110+X110,1)</f>
        <v>2650</v>
      </c>
      <c r="Z110" s="432">
        <f>ROUND(V110*Y110,2)</f>
        <v>26579.5</v>
      </c>
      <c r="AA110" s="432"/>
      <c r="AB110" s="432"/>
      <c r="AC110" s="433">
        <f t="shared" si="133"/>
        <v>26579.5</v>
      </c>
      <c r="AD110" s="434">
        <v>0.97960400000000003</v>
      </c>
      <c r="AE110" s="433">
        <f>ROUND(AC110*AD110,2)</f>
        <v>26037.38</v>
      </c>
      <c r="AF110" s="433">
        <f>ROUND(AE110/1000,1)</f>
        <v>26</v>
      </c>
      <c r="AG110" s="432">
        <v>61.16</v>
      </c>
      <c r="AH110" s="432">
        <v>115</v>
      </c>
      <c r="AI110" s="432">
        <v>57</v>
      </c>
      <c r="AJ110" s="432">
        <f>ROUND(AH110+AI110,1)</f>
        <v>172</v>
      </c>
      <c r="AK110" s="432">
        <v>25.2</v>
      </c>
      <c r="AL110" s="432">
        <v>115</v>
      </c>
      <c r="AM110" s="432">
        <v>57</v>
      </c>
      <c r="AN110" s="432">
        <f>ROUND(AL110+AM110,1)</f>
        <v>172</v>
      </c>
      <c r="AO110" s="432">
        <v>12.61</v>
      </c>
      <c r="AP110" s="432">
        <f>ROUND(AG110*AJ110,2)</f>
        <v>10519.52</v>
      </c>
      <c r="AQ110" s="432">
        <f>ROUND(AK110*AN110,2)</f>
        <v>4334.3999999999996</v>
      </c>
      <c r="AR110" s="432">
        <f>ROUND(AN110*AO110,2)</f>
        <v>2168.92</v>
      </c>
      <c r="AS110" s="432">
        <f>AR110+AP110+AQ110</f>
        <v>17022.84</v>
      </c>
      <c r="AT110" s="432"/>
      <c r="AU110" s="433">
        <f>ROUND(AS110-AT110,2)</f>
        <v>17022.84</v>
      </c>
      <c r="AV110" s="434">
        <v>0.97960400000000003</v>
      </c>
      <c r="AW110" s="433">
        <f>ROUND(AU110*AV110,2)</f>
        <v>16675.64</v>
      </c>
      <c r="AX110" s="433">
        <f>ROUND(AW110/1000,1)</f>
        <v>16.7</v>
      </c>
      <c r="AY110" s="433">
        <v>1.17</v>
      </c>
      <c r="AZ110" s="433">
        <v>854.75</v>
      </c>
      <c r="BA110" s="435">
        <v>12</v>
      </c>
      <c r="BB110" s="433">
        <f>ROUND(AY110*AZ110*BA110,2)</f>
        <v>12000.69</v>
      </c>
      <c r="BC110" s="433"/>
      <c r="BD110" s="433">
        <f>ROUND(BB110-BC110,2)</f>
        <v>12000.69</v>
      </c>
      <c r="BE110" s="434">
        <v>0.97960400000000003</v>
      </c>
      <c r="BF110" s="433">
        <f>ROUND(BD110*BE110,2)</f>
        <v>11755.92</v>
      </c>
      <c r="BG110" s="433">
        <f>ROUND(BF110/1000,1)</f>
        <v>11.8</v>
      </c>
      <c r="BH110" s="433">
        <f>F110+P110+Z110+AS110+BB110</f>
        <v>129979.23</v>
      </c>
      <c r="BI110" s="433">
        <f>ROUND(G110+Q110+AA110+AT110+BC110,2)</f>
        <v>0</v>
      </c>
      <c r="BJ110" s="433">
        <f t="shared" si="135"/>
        <v>0</v>
      </c>
      <c r="BK110" s="433">
        <f t="shared" si="136"/>
        <v>129979.23</v>
      </c>
      <c r="BL110" s="436">
        <f t="shared" si="137"/>
        <v>130</v>
      </c>
      <c r="BM110" s="437">
        <f>ROUND(J110+T110+AE110+AW110+BF110,2)</f>
        <v>127328.16</v>
      </c>
      <c r="BN110" s="437">
        <f>ROUND(K110+U110+AF110+AX110+BG110,1)</f>
        <v>127.4</v>
      </c>
      <c r="BO110" s="438">
        <f t="shared" si="83"/>
        <v>-2.6</v>
      </c>
      <c r="BP110" s="329">
        <v>127.4</v>
      </c>
      <c r="BQ110" s="439">
        <f t="shared" si="114"/>
        <v>0</v>
      </c>
    </row>
    <row r="111" spans="1:69" s="329" customFormat="1" ht="15.75" x14ac:dyDescent="0.25">
      <c r="A111" s="431" t="s">
        <v>933</v>
      </c>
      <c r="B111" s="432">
        <v>2588.77</v>
      </c>
      <c r="C111" s="443">
        <f>175.62-27.12+84.34</f>
        <v>232.84</v>
      </c>
      <c r="D111" s="432">
        <v>334.2</v>
      </c>
      <c r="E111" s="432">
        <f>ROUND(C111+D111,1)</f>
        <v>567</v>
      </c>
      <c r="F111" s="432">
        <f>ROUND(B111*E111,2)</f>
        <v>1467832.59</v>
      </c>
      <c r="G111" s="432"/>
      <c r="H111" s="433">
        <f>ROUND(F111-G111,2)</f>
        <v>1467832.59</v>
      </c>
      <c r="I111" s="434">
        <v>0.97960400000000003</v>
      </c>
      <c r="J111" s="433">
        <f>ROUND(H111*I111,2)</f>
        <v>1437894.68</v>
      </c>
      <c r="K111" s="433">
        <f>ROUND(J111/1000,1)</f>
        <v>1437.9</v>
      </c>
      <c r="L111" s="432"/>
      <c r="M111" s="432"/>
      <c r="N111" s="432"/>
      <c r="O111" s="432">
        <f>ROUND(M111+N111,1)</f>
        <v>0</v>
      </c>
      <c r="P111" s="432">
        <f>ROUND(L111*O111,2)</f>
        <v>0</v>
      </c>
      <c r="Q111" s="432"/>
      <c r="R111" s="433">
        <f>ROUND(P111-Q111,2)</f>
        <v>0</v>
      </c>
      <c r="S111" s="434">
        <v>0.97960400000000003</v>
      </c>
      <c r="T111" s="433">
        <f>ROUND(R111*S111,2)</f>
        <v>0</v>
      </c>
      <c r="U111" s="433">
        <f>ROUND(T111/1000,1)</f>
        <v>0</v>
      </c>
      <c r="V111" s="432">
        <v>10.029999999999999</v>
      </c>
      <c r="W111" s="443">
        <f>27083-6800+14890</f>
        <v>35173</v>
      </c>
      <c r="X111" s="443">
        <v>38824</v>
      </c>
      <c r="Y111" s="432">
        <f>ROUND(W111+X111,1)</f>
        <v>73997</v>
      </c>
      <c r="Z111" s="432">
        <f>ROUND(V111*Y111,2)</f>
        <v>742189.91</v>
      </c>
      <c r="AA111" s="432"/>
      <c r="AB111" s="432"/>
      <c r="AC111" s="433">
        <f t="shared" si="133"/>
        <v>742189.91</v>
      </c>
      <c r="AD111" s="434">
        <v>0.97960400000000003</v>
      </c>
      <c r="AE111" s="433">
        <f>ROUND(AC111*AD111,2)</f>
        <v>727052.2</v>
      </c>
      <c r="AF111" s="433">
        <f>ROUND(AE111/1000,1)</f>
        <v>727.1</v>
      </c>
      <c r="AG111" s="432">
        <v>61.16</v>
      </c>
      <c r="AH111" s="432">
        <f>224+83-15</f>
        <v>292</v>
      </c>
      <c r="AI111" s="432">
        <f>250-17</f>
        <v>233</v>
      </c>
      <c r="AJ111" s="432">
        <f>ROUND(AH111+AI111,1)</f>
        <v>525</v>
      </c>
      <c r="AK111" s="432">
        <v>25.2</v>
      </c>
      <c r="AL111" s="432">
        <f>224+83-15</f>
        <v>292</v>
      </c>
      <c r="AM111" s="432">
        <f>250-17</f>
        <v>233</v>
      </c>
      <c r="AN111" s="432">
        <f>ROUND(AL111+AM111,1)</f>
        <v>525</v>
      </c>
      <c r="AO111" s="432">
        <v>12.61</v>
      </c>
      <c r="AP111" s="432">
        <f>ROUND(AG111*AJ111,2)</f>
        <v>32109</v>
      </c>
      <c r="AQ111" s="432">
        <f>ROUND(AK111*AN111,2)</f>
        <v>13230</v>
      </c>
      <c r="AR111" s="432">
        <f>ROUND(AN111*AO111,2)</f>
        <v>6620.25</v>
      </c>
      <c r="AS111" s="432">
        <f>AR111+AP111+AQ111</f>
        <v>51959.25</v>
      </c>
      <c r="AT111" s="432"/>
      <c r="AU111" s="433">
        <f>ROUND(AS111-AT111,2)</f>
        <v>51959.25</v>
      </c>
      <c r="AV111" s="434">
        <v>0.97960400000000003</v>
      </c>
      <c r="AW111" s="433">
        <f>ROUND(AU111*AV111,2)</f>
        <v>50899.49</v>
      </c>
      <c r="AX111" s="433">
        <f>ROUND(AW111/1000,1)</f>
        <v>50.9</v>
      </c>
      <c r="AY111" s="433">
        <f>24.63+6.75</f>
        <v>31.38</v>
      </c>
      <c r="AZ111" s="433">
        <v>854.75</v>
      </c>
      <c r="BA111" s="435">
        <v>12</v>
      </c>
      <c r="BB111" s="433">
        <f>ROUND(AY111*AZ111*BA111,2)</f>
        <v>321864.65999999997</v>
      </c>
      <c r="BC111" s="433"/>
      <c r="BD111" s="433">
        <f>ROUND(BB111-BC111,2)</f>
        <v>321864.65999999997</v>
      </c>
      <c r="BE111" s="434">
        <v>0.97960400000000003</v>
      </c>
      <c r="BF111" s="433">
        <f>ROUND(BD111*BE111,2)</f>
        <v>315299.90999999997</v>
      </c>
      <c r="BG111" s="433">
        <f>ROUND(BF111/1000,1)</f>
        <v>315.3</v>
      </c>
      <c r="BH111" s="433">
        <f>F111+P111+Z111+AS111+BB111</f>
        <v>2583846.41</v>
      </c>
      <c r="BI111" s="433">
        <f>ROUND(G111+Q111+AA111+AT111+BC111,2)</f>
        <v>0</v>
      </c>
      <c r="BJ111" s="433">
        <f t="shared" si="135"/>
        <v>0</v>
      </c>
      <c r="BK111" s="433">
        <f t="shared" si="136"/>
        <v>2583846.41</v>
      </c>
      <c r="BL111" s="436">
        <f t="shared" si="137"/>
        <v>2583.9</v>
      </c>
      <c r="BM111" s="437">
        <f>ROUND(J111+T111+AE111+AW111+BF111,2)</f>
        <v>2531146.2799999998</v>
      </c>
      <c r="BN111" s="437">
        <f>ROUND(K111+U111+AF111+AX111+BG111,1)</f>
        <v>2531.1999999999998</v>
      </c>
      <c r="BO111" s="438">
        <f t="shared" si="83"/>
        <v>-52.7</v>
      </c>
      <c r="BP111" s="329">
        <v>2531.1999999999998</v>
      </c>
      <c r="BQ111" s="439">
        <f t="shared" si="114"/>
        <v>0</v>
      </c>
    </row>
    <row r="112" spans="1:69" s="329" customFormat="1" ht="16.5" thickBot="1" x14ac:dyDescent="0.3">
      <c r="A112" s="460" t="s">
        <v>360</v>
      </c>
      <c r="B112" s="461">
        <v>3274.05</v>
      </c>
      <c r="C112" s="461">
        <v>121.2</v>
      </c>
      <c r="D112" s="461">
        <v>165.15</v>
      </c>
      <c r="E112" s="461">
        <f>ROUND(C112+D112,1)</f>
        <v>286.39999999999998</v>
      </c>
      <c r="F112" s="461">
        <f>ROUND(B112*E112,2)</f>
        <v>937687.92</v>
      </c>
      <c r="G112" s="461">
        <v>23310</v>
      </c>
      <c r="H112" s="462">
        <f>ROUND(F112-G112,2)</f>
        <v>914377.92</v>
      </c>
      <c r="I112" s="463">
        <v>0.97960400000000003</v>
      </c>
      <c r="J112" s="462">
        <f>ROUND(H112*I112,2)</f>
        <v>895728.27</v>
      </c>
      <c r="K112" s="462">
        <f>ROUND(J112/1000,1)</f>
        <v>895.7</v>
      </c>
      <c r="L112" s="461">
        <v>9.9700000000000006</v>
      </c>
      <c r="M112" s="461">
        <v>10780</v>
      </c>
      <c r="N112" s="461">
        <v>18810</v>
      </c>
      <c r="O112" s="461">
        <f>ROUND(M112+N112,1)</f>
        <v>29590</v>
      </c>
      <c r="P112" s="461">
        <f>ROUND(L112*O112,2)</f>
        <v>295012.3</v>
      </c>
      <c r="Q112" s="461"/>
      <c r="R112" s="462">
        <f>ROUND(P112-Q112,2)</f>
        <v>295012.3</v>
      </c>
      <c r="S112" s="463">
        <v>0.97960400000000003</v>
      </c>
      <c r="T112" s="462">
        <f>ROUND(R112*S112,2)</f>
        <v>288995.23</v>
      </c>
      <c r="U112" s="462">
        <f>ROUND(T112/1000,1)</f>
        <v>289</v>
      </c>
      <c r="V112" s="461">
        <v>10.029999999999999</v>
      </c>
      <c r="W112" s="461">
        <v>25234</v>
      </c>
      <c r="X112" s="461">
        <v>28779</v>
      </c>
      <c r="Y112" s="461">
        <f>ROUND(W112+X112,1)</f>
        <v>54013</v>
      </c>
      <c r="Z112" s="461">
        <f>ROUND(V112*Y112,2)</f>
        <v>541750.39</v>
      </c>
      <c r="AA112" s="461"/>
      <c r="AB112" s="461"/>
      <c r="AC112" s="462">
        <f t="shared" si="133"/>
        <v>541750.39</v>
      </c>
      <c r="AD112" s="463">
        <v>0.97960400000000003</v>
      </c>
      <c r="AE112" s="462">
        <f>ROUND(AC112*AD112,2)</f>
        <v>530700.85</v>
      </c>
      <c r="AF112" s="462">
        <f>ROUND(AE112/1000,1)</f>
        <v>530.70000000000005</v>
      </c>
      <c r="AG112" s="461">
        <v>61.16</v>
      </c>
      <c r="AH112" s="461">
        <v>238</v>
      </c>
      <c r="AI112" s="461">
        <v>258</v>
      </c>
      <c r="AJ112" s="461">
        <f>ROUND(AH112+AI112,1)</f>
        <v>496</v>
      </c>
      <c r="AK112" s="461">
        <v>25.2</v>
      </c>
      <c r="AL112" s="461">
        <v>238</v>
      </c>
      <c r="AM112" s="461">
        <v>258</v>
      </c>
      <c r="AN112" s="461">
        <f>ROUND(AL112+AM112,1)</f>
        <v>496</v>
      </c>
      <c r="AO112" s="461">
        <v>12.61</v>
      </c>
      <c r="AP112" s="461">
        <f>ROUND(AG112*AJ112,2)</f>
        <v>30335.360000000001</v>
      </c>
      <c r="AQ112" s="461">
        <f>ROUND(AK112*AN112,2)</f>
        <v>12499.2</v>
      </c>
      <c r="AR112" s="461">
        <f t="shared" si="134"/>
        <v>6254.56</v>
      </c>
      <c r="AS112" s="461">
        <f>AR112+AP112+AQ112</f>
        <v>49089.120000000003</v>
      </c>
      <c r="AT112" s="461"/>
      <c r="AU112" s="462">
        <f>ROUND(AS112-AT112,2)</f>
        <v>49089.120000000003</v>
      </c>
      <c r="AV112" s="463">
        <v>0.97960400000000003</v>
      </c>
      <c r="AW112" s="462">
        <f>ROUND(AU112*AV112,2)</f>
        <v>48087.9</v>
      </c>
      <c r="AX112" s="462">
        <f>ROUND(AW112/1000,1)</f>
        <v>48.1</v>
      </c>
      <c r="AY112" s="462">
        <v>12.14</v>
      </c>
      <c r="AZ112" s="462">
        <v>854.75</v>
      </c>
      <c r="BA112" s="464">
        <v>12</v>
      </c>
      <c r="BB112" s="462">
        <f>ROUND(AY112*AZ112*BA112,2)</f>
        <v>124519.98</v>
      </c>
      <c r="BC112" s="462"/>
      <c r="BD112" s="462">
        <f>ROUND(BB112-BC112,2)</f>
        <v>124519.98</v>
      </c>
      <c r="BE112" s="463">
        <v>0.97960400000000003</v>
      </c>
      <c r="BF112" s="462">
        <f>ROUND(BD112*BE112,2)</f>
        <v>121980.27</v>
      </c>
      <c r="BG112" s="462">
        <f>ROUND(BF112/1000,1)</f>
        <v>122</v>
      </c>
      <c r="BH112" s="462">
        <f>F112+P112+Z112+AS112+BB112</f>
        <v>1948059.71</v>
      </c>
      <c r="BI112" s="462">
        <f>ROUND(G112+Q112+AA112+AT112+BC112,2)</f>
        <v>23310</v>
      </c>
      <c r="BJ112" s="462">
        <f t="shared" si="135"/>
        <v>0</v>
      </c>
      <c r="BK112" s="462">
        <f t="shared" si="136"/>
        <v>1924749.71</v>
      </c>
      <c r="BL112" s="466">
        <f t="shared" si="137"/>
        <v>1924.8</v>
      </c>
      <c r="BM112" s="467">
        <f>ROUND(J112+T112+AE112+AW112+BF112,2)</f>
        <v>1885492.52</v>
      </c>
      <c r="BN112" s="467">
        <f>ROUND(K112+U112+AF112+AX112+BG112,1)</f>
        <v>1885.5</v>
      </c>
      <c r="BO112" s="468">
        <f t="shared" si="83"/>
        <v>-39.299999999999997</v>
      </c>
      <c r="BP112" s="329">
        <v>1885.5</v>
      </c>
      <c r="BQ112" s="439">
        <f t="shared" si="114"/>
        <v>0</v>
      </c>
    </row>
    <row r="113" spans="1:69" ht="16.5" thickBot="1" x14ac:dyDescent="0.3">
      <c r="A113" s="469" t="s">
        <v>934</v>
      </c>
      <c r="B113" s="492"/>
      <c r="C113" s="471">
        <f t="shared" ref="C113:H113" si="138">SUM(C109:C112)</f>
        <v>512.41</v>
      </c>
      <c r="D113" s="471">
        <f t="shared" si="138"/>
        <v>901.17</v>
      </c>
      <c r="E113" s="471">
        <f t="shared" si="138"/>
        <v>1413.6</v>
      </c>
      <c r="F113" s="471">
        <f t="shared" si="138"/>
        <v>4239643.32</v>
      </c>
      <c r="G113" s="471">
        <f t="shared" si="138"/>
        <v>86310</v>
      </c>
      <c r="H113" s="471">
        <f t="shared" si="138"/>
        <v>4153333.32</v>
      </c>
      <c r="I113" s="493">
        <v>0.97960400000000003</v>
      </c>
      <c r="J113" s="471">
        <f>SUM(J109:J112)</f>
        <v>4068621.94</v>
      </c>
      <c r="K113" s="471">
        <f>SUM(K109:K112)</f>
        <v>4068.6</v>
      </c>
      <c r="L113" s="471"/>
      <c r="M113" s="471">
        <f t="shared" ref="M113:R113" si="139">SUM(M109:M112)</f>
        <v>13510</v>
      </c>
      <c r="N113" s="471">
        <f t="shared" si="139"/>
        <v>23540</v>
      </c>
      <c r="O113" s="471">
        <f t="shared" si="139"/>
        <v>37050</v>
      </c>
      <c r="P113" s="471">
        <f t="shared" si="139"/>
        <v>369388.5</v>
      </c>
      <c r="Q113" s="471">
        <f t="shared" si="139"/>
        <v>0</v>
      </c>
      <c r="R113" s="471">
        <f t="shared" si="139"/>
        <v>369388.5</v>
      </c>
      <c r="S113" s="493">
        <v>0.97960400000000003</v>
      </c>
      <c r="T113" s="471">
        <f>SUM(T109:T112)</f>
        <v>361854.45</v>
      </c>
      <c r="U113" s="471">
        <f>SUM(U109:U112)</f>
        <v>361.9</v>
      </c>
      <c r="V113" s="471"/>
      <c r="W113" s="471">
        <f t="shared" ref="W113:AC113" si="140">SUM(W109:W112)</f>
        <v>89685</v>
      </c>
      <c r="X113" s="471">
        <f t="shared" si="140"/>
        <v>103248</v>
      </c>
      <c r="Y113" s="471">
        <f t="shared" si="140"/>
        <v>192933</v>
      </c>
      <c r="Z113" s="471">
        <f t="shared" si="140"/>
        <v>1935117.99</v>
      </c>
      <c r="AA113" s="471">
        <f t="shared" si="140"/>
        <v>20000</v>
      </c>
      <c r="AB113" s="471">
        <f t="shared" si="140"/>
        <v>0</v>
      </c>
      <c r="AC113" s="471">
        <f t="shared" si="140"/>
        <v>1915117.99</v>
      </c>
      <c r="AD113" s="493">
        <v>0.97960400000000003</v>
      </c>
      <c r="AE113" s="471">
        <f>SUM(AE109:AE112)</f>
        <v>1876057.24</v>
      </c>
      <c r="AF113" s="471">
        <f>SUM(AF109:AF112)</f>
        <v>1876.1</v>
      </c>
      <c r="AG113" s="471"/>
      <c r="AH113" s="471">
        <f>SUM(AH109:AH112)</f>
        <v>1238</v>
      </c>
      <c r="AI113" s="471">
        <f>SUM(AI109:AI112)</f>
        <v>1278</v>
      </c>
      <c r="AJ113" s="471">
        <f>SUM(AJ109:AJ112)</f>
        <v>2516</v>
      </c>
      <c r="AK113" s="471"/>
      <c r="AL113" s="471">
        <f>SUM(AL109:AL112)</f>
        <v>1238</v>
      </c>
      <c r="AM113" s="471">
        <f>SUM(AM109:AM112)</f>
        <v>1278</v>
      </c>
      <c r="AN113" s="471">
        <f>SUM(AN109:AN112)</f>
        <v>2516</v>
      </c>
      <c r="AO113" s="471"/>
      <c r="AP113" s="471">
        <f t="shared" ref="AP113:AY113" si="141">SUM(AP109:AP112)</f>
        <v>153878.56</v>
      </c>
      <c r="AQ113" s="471">
        <f t="shared" si="141"/>
        <v>63403.199999999997</v>
      </c>
      <c r="AR113" s="471">
        <f t="shared" si="141"/>
        <v>31726.76</v>
      </c>
      <c r="AS113" s="471">
        <f t="shared" si="141"/>
        <v>249008.52</v>
      </c>
      <c r="AT113" s="471">
        <f t="shared" si="141"/>
        <v>10000</v>
      </c>
      <c r="AU113" s="471">
        <f t="shared" si="141"/>
        <v>239008.52</v>
      </c>
      <c r="AV113" s="493">
        <v>0.97960400000000003</v>
      </c>
      <c r="AW113" s="471">
        <f t="shared" si="141"/>
        <v>234133.7</v>
      </c>
      <c r="AX113" s="471">
        <f t="shared" si="141"/>
        <v>234.2</v>
      </c>
      <c r="AY113" s="471">
        <f t="shared" si="141"/>
        <v>53.9</v>
      </c>
      <c r="AZ113" s="471"/>
      <c r="BA113" s="471"/>
      <c r="BB113" s="471">
        <f>SUM(BB109:BB112)</f>
        <v>552852.30000000005</v>
      </c>
      <c r="BC113" s="471">
        <f>SUM(BC109:BC112)</f>
        <v>0</v>
      </c>
      <c r="BD113" s="471">
        <f>SUM(BD109:BD112)</f>
        <v>552852.30000000005</v>
      </c>
      <c r="BE113" s="493">
        <v>0.97960400000000003</v>
      </c>
      <c r="BF113" s="471">
        <f t="shared" ref="BF113:BP113" si="142">SUM(BF109:BF112)</f>
        <v>541576.31999999995</v>
      </c>
      <c r="BG113" s="471">
        <f t="shared" si="142"/>
        <v>541.6</v>
      </c>
      <c r="BH113" s="471">
        <f t="shared" si="142"/>
        <v>7346010.6299999999</v>
      </c>
      <c r="BI113" s="471">
        <f t="shared" si="142"/>
        <v>116310</v>
      </c>
      <c r="BJ113" s="471">
        <f t="shared" si="142"/>
        <v>0</v>
      </c>
      <c r="BK113" s="471">
        <f t="shared" si="142"/>
        <v>7229700.6299999999</v>
      </c>
      <c r="BL113" s="471">
        <f t="shared" si="142"/>
        <v>7229.9</v>
      </c>
      <c r="BM113" s="471">
        <f t="shared" si="142"/>
        <v>7082243.6500000004</v>
      </c>
      <c r="BN113" s="471">
        <f t="shared" si="142"/>
        <v>7082.4</v>
      </c>
      <c r="BO113" s="471">
        <f t="shared" si="142"/>
        <v>-147.5</v>
      </c>
      <c r="BP113" s="472">
        <f t="shared" si="142"/>
        <v>7082.4</v>
      </c>
      <c r="BQ113" s="439">
        <f t="shared" si="114"/>
        <v>0</v>
      </c>
    </row>
    <row r="114" spans="1:69" ht="15.75" x14ac:dyDescent="0.25">
      <c r="A114" s="494" t="s">
        <v>619</v>
      </c>
      <c r="B114" s="495"/>
      <c r="C114" s="496">
        <f>SUM(C110:C112)</f>
        <v>354.04</v>
      </c>
      <c r="D114" s="496">
        <f t="shared" ref="D114:BO114" si="143">SUM(D110:D112)</f>
        <v>499.35</v>
      </c>
      <c r="E114" s="496">
        <f t="shared" si="143"/>
        <v>853.4</v>
      </c>
      <c r="F114" s="496">
        <f t="shared" si="143"/>
        <v>2405520.5099999998</v>
      </c>
      <c r="G114" s="496">
        <f t="shared" si="143"/>
        <v>23310</v>
      </c>
      <c r="H114" s="496">
        <f t="shared" si="143"/>
        <v>2382210.5099999998</v>
      </c>
      <c r="I114" s="487"/>
      <c r="J114" s="496">
        <f t="shared" si="143"/>
        <v>2333622.9500000002</v>
      </c>
      <c r="K114" s="496">
        <f t="shared" si="143"/>
        <v>2333.6</v>
      </c>
      <c r="L114" s="496"/>
      <c r="M114" s="496">
        <f t="shared" si="143"/>
        <v>13510</v>
      </c>
      <c r="N114" s="496">
        <f t="shared" si="143"/>
        <v>23540</v>
      </c>
      <c r="O114" s="496">
        <f t="shared" si="143"/>
        <v>37050</v>
      </c>
      <c r="P114" s="496">
        <f t="shared" si="143"/>
        <v>369388.5</v>
      </c>
      <c r="Q114" s="496">
        <f t="shared" si="143"/>
        <v>0</v>
      </c>
      <c r="R114" s="496">
        <f t="shared" si="143"/>
        <v>369388.5</v>
      </c>
      <c r="S114" s="487"/>
      <c r="T114" s="496">
        <f t="shared" si="143"/>
        <v>361854.45</v>
      </c>
      <c r="U114" s="496">
        <f t="shared" si="143"/>
        <v>361.9</v>
      </c>
      <c r="V114" s="496"/>
      <c r="W114" s="496">
        <f t="shared" si="143"/>
        <v>61853</v>
      </c>
      <c r="X114" s="496">
        <f t="shared" si="143"/>
        <v>68807</v>
      </c>
      <c r="Y114" s="496">
        <f t="shared" si="143"/>
        <v>130660</v>
      </c>
      <c r="Z114" s="496">
        <f t="shared" si="143"/>
        <v>1310519.8</v>
      </c>
      <c r="AA114" s="496">
        <f t="shared" si="143"/>
        <v>0</v>
      </c>
      <c r="AB114" s="496">
        <f t="shared" si="143"/>
        <v>0</v>
      </c>
      <c r="AC114" s="496">
        <f t="shared" si="143"/>
        <v>1310519.8</v>
      </c>
      <c r="AD114" s="487"/>
      <c r="AE114" s="496">
        <f t="shared" si="143"/>
        <v>1283790.43</v>
      </c>
      <c r="AF114" s="496">
        <f t="shared" si="143"/>
        <v>1283.8</v>
      </c>
      <c r="AG114" s="496"/>
      <c r="AH114" s="496">
        <f t="shared" si="143"/>
        <v>645</v>
      </c>
      <c r="AI114" s="496">
        <f t="shared" si="143"/>
        <v>548</v>
      </c>
      <c r="AJ114" s="496">
        <f t="shared" si="143"/>
        <v>1193</v>
      </c>
      <c r="AK114" s="496">
        <f t="shared" si="143"/>
        <v>75.599999999999994</v>
      </c>
      <c r="AL114" s="496">
        <f t="shared" si="143"/>
        <v>645</v>
      </c>
      <c r="AM114" s="496">
        <f t="shared" si="143"/>
        <v>548</v>
      </c>
      <c r="AN114" s="496">
        <f t="shared" si="143"/>
        <v>1193</v>
      </c>
      <c r="AO114" s="496"/>
      <c r="AP114" s="496">
        <f t="shared" si="143"/>
        <v>72963.88</v>
      </c>
      <c r="AQ114" s="496">
        <f t="shared" si="143"/>
        <v>30063.599999999999</v>
      </c>
      <c r="AR114" s="496">
        <f t="shared" si="143"/>
        <v>15043.73</v>
      </c>
      <c r="AS114" s="496">
        <f t="shared" si="143"/>
        <v>118071.21</v>
      </c>
      <c r="AT114" s="496">
        <f t="shared" si="143"/>
        <v>0</v>
      </c>
      <c r="AU114" s="496">
        <f t="shared" si="143"/>
        <v>118071.21</v>
      </c>
      <c r="AV114" s="487"/>
      <c r="AW114" s="496">
        <f t="shared" si="143"/>
        <v>115663.03</v>
      </c>
      <c r="AX114" s="496">
        <f t="shared" si="143"/>
        <v>115.7</v>
      </c>
      <c r="AY114" s="496">
        <f t="shared" si="143"/>
        <v>44.69</v>
      </c>
      <c r="AZ114" s="496">
        <f t="shared" si="143"/>
        <v>2564.25</v>
      </c>
      <c r="BA114" s="496">
        <f t="shared" si="143"/>
        <v>36</v>
      </c>
      <c r="BB114" s="496">
        <f t="shared" si="143"/>
        <v>458385.33</v>
      </c>
      <c r="BC114" s="496">
        <f t="shared" si="143"/>
        <v>0</v>
      </c>
      <c r="BD114" s="496">
        <f t="shared" si="143"/>
        <v>458385.33</v>
      </c>
      <c r="BE114" s="487"/>
      <c r="BF114" s="496">
        <f t="shared" si="143"/>
        <v>449036.1</v>
      </c>
      <c r="BG114" s="496">
        <f t="shared" si="143"/>
        <v>449.1</v>
      </c>
      <c r="BH114" s="496">
        <f t="shared" si="143"/>
        <v>4661885.3499999996</v>
      </c>
      <c r="BI114" s="496">
        <f t="shared" si="143"/>
        <v>23310</v>
      </c>
      <c r="BJ114" s="496">
        <f t="shared" si="143"/>
        <v>0</v>
      </c>
      <c r="BK114" s="497">
        <f t="shared" si="143"/>
        <v>4638575.3499999996</v>
      </c>
      <c r="BL114" s="497">
        <f t="shared" si="143"/>
        <v>4638.7</v>
      </c>
      <c r="BM114" s="497">
        <f t="shared" si="143"/>
        <v>4543966.96</v>
      </c>
      <c r="BN114" s="497">
        <f t="shared" si="143"/>
        <v>4544.1000000000004</v>
      </c>
      <c r="BO114" s="497">
        <f t="shared" si="143"/>
        <v>-94.6</v>
      </c>
      <c r="BP114" s="498">
        <f t="shared" ref="BP114" si="144">SUM(BP110:BP112)</f>
        <v>4544.1000000000004</v>
      </c>
      <c r="BQ114" s="439">
        <f t="shared" si="114"/>
        <v>0</v>
      </c>
    </row>
    <row r="115" spans="1:69" ht="16.5" thickBot="1" x14ac:dyDescent="0.3">
      <c r="A115" s="480" t="s">
        <v>620</v>
      </c>
      <c r="B115" s="499"/>
      <c r="C115" s="482">
        <f t="shared" ref="C115:H115" si="145">C109</f>
        <v>158.37</v>
      </c>
      <c r="D115" s="482">
        <f t="shared" si="145"/>
        <v>401.82</v>
      </c>
      <c r="E115" s="482">
        <f t="shared" si="145"/>
        <v>560.20000000000005</v>
      </c>
      <c r="F115" s="482">
        <f t="shared" si="145"/>
        <v>1834122.81</v>
      </c>
      <c r="G115" s="482">
        <f t="shared" si="145"/>
        <v>63000</v>
      </c>
      <c r="H115" s="482">
        <f t="shared" si="145"/>
        <v>1771122.81</v>
      </c>
      <c r="I115" s="500"/>
      <c r="J115" s="482">
        <f>J109</f>
        <v>1734998.99</v>
      </c>
      <c r="K115" s="482">
        <f>K109</f>
        <v>1735</v>
      </c>
      <c r="L115" s="482"/>
      <c r="M115" s="482"/>
      <c r="N115" s="482"/>
      <c r="O115" s="482">
        <f>O109</f>
        <v>0</v>
      </c>
      <c r="P115" s="482">
        <f>P109</f>
        <v>0</v>
      </c>
      <c r="Q115" s="482">
        <f>Q109</f>
        <v>0</v>
      </c>
      <c r="R115" s="482">
        <f>R109</f>
        <v>0</v>
      </c>
      <c r="S115" s="500"/>
      <c r="T115" s="482">
        <f>T109</f>
        <v>0</v>
      </c>
      <c r="U115" s="482">
        <f>U109</f>
        <v>0</v>
      </c>
      <c r="V115" s="482"/>
      <c r="W115" s="482">
        <f t="shared" ref="W115:AF115" si="146">W109</f>
        <v>27832</v>
      </c>
      <c r="X115" s="482">
        <f t="shared" si="146"/>
        <v>34441</v>
      </c>
      <c r="Y115" s="482">
        <f t="shared" si="146"/>
        <v>62273</v>
      </c>
      <c r="Z115" s="482">
        <f t="shared" si="146"/>
        <v>624598.18999999994</v>
      </c>
      <c r="AA115" s="482">
        <f t="shared" si="146"/>
        <v>20000</v>
      </c>
      <c r="AB115" s="482">
        <f t="shared" si="146"/>
        <v>0</v>
      </c>
      <c r="AC115" s="482">
        <f t="shared" si="146"/>
        <v>604598.18999999994</v>
      </c>
      <c r="AD115" s="500"/>
      <c r="AE115" s="482">
        <f t="shared" si="146"/>
        <v>592266.81000000006</v>
      </c>
      <c r="AF115" s="482">
        <f t="shared" si="146"/>
        <v>592.29999999999995</v>
      </c>
      <c r="AG115" s="482"/>
      <c r="AH115" s="482">
        <f t="shared" ref="AH115:AI115" si="147">AH109</f>
        <v>593</v>
      </c>
      <c r="AI115" s="482">
        <f t="shared" si="147"/>
        <v>730</v>
      </c>
      <c r="AJ115" s="482">
        <f>AJ109</f>
        <v>1323</v>
      </c>
      <c r="AK115" s="482"/>
      <c r="AL115" s="482">
        <f t="shared" ref="AL115:AM115" si="148">AL109</f>
        <v>593</v>
      </c>
      <c r="AM115" s="482">
        <f t="shared" si="148"/>
        <v>730</v>
      </c>
      <c r="AN115" s="482">
        <f>AN109</f>
        <v>1323</v>
      </c>
      <c r="AO115" s="482"/>
      <c r="AP115" s="482">
        <f t="shared" ref="AP115:AY115" si="149">AP109</f>
        <v>80914.679999999993</v>
      </c>
      <c r="AQ115" s="482">
        <f t="shared" si="149"/>
        <v>33339.599999999999</v>
      </c>
      <c r="AR115" s="482">
        <f t="shared" si="149"/>
        <v>16683.03</v>
      </c>
      <c r="AS115" s="482">
        <f t="shared" si="149"/>
        <v>130937.31</v>
      </c>
      <c r="AT115" s="482">
        <f t="shared" si="149"/>
        <v>10000</v>
      </c>
      <c r="AU115" s="482">
        <f t="shared" si="149"/>
        <v>120937.31</v>
      </c>
      <c r="AV115" s="500"/>
      <c r="AW115" s="482">
        <f t="shared" si="149"/>
        <v>118470.67</v>
      </c>
      <c r="AX115" s="482">
        <f t="shared" si="149"/>
        <v>118.5</v>
      </c>
      <c r="AY115" s="482">
        <f t="shared" si="149"/>
        <v>9.2100000000000009</v>
      </c>
      <c r="AZ115" s="482"/>
      <c r="BA115" s="482"/>
      <c r="BB115" s="482">
        <f t="shared" ref="BB115:BP115" si="150">BB109</f>
        <v>94466.97</v>
      </c>
      <c r="BC115" s="482">
        <f t="shared" si="150"/>
        <v>0</v>
      </c>
      <c r="BD115" s="482">
        <f t="shared" si="150"/>
        <v>94466.97</v>
      </c>
      <c r="BE115" s="500"/>
      <c r="BF115" s="482">
        <f t="shared" si="150"/>
        <v>92540.22</v>
      </c>
      <c r="BG115" s="482">
        <f t="shared" si="150"/>
        <v>92.5</v>
      </c>
      <c r="BH115" s="482">
        <f t="shared" si="150"/>
        <v>2684125.2799999998</v>
      </c>
      <c r="BI115" s="482">
        <f t="shared" si="150"/>
        <v>93000</v>
      </c>
      <c r="BJ115" s="482">
        <f t="shared" si="150"/>
        <v>0</v>
      </c>
      <c r="BK115" s="483">
        <f t="shared" si="150"/>
        <v>2591125.2799999998</v>
      </c>
      <c r="BL115" s="483">
        <f t="shared" si="150"/>
        <v>2591.1999999999998</v>
      </c>
      <c r="BM115" s="483">
        <f t="shared" si="150"/>
        <v>2538276.69</v>
      </c>
      <c r="BN115" s="483">
        <f t="shared" si="150"/>
        <v>2538.3000000000002</v>
      </c>
      <c r="BO115" s="483">
        <f t="shared" si="150"/>
        <v>-52.9</v>
      </c>
      <c r="BP115" s="484">
        <f t="shared" si="150"/>
        <v>2538.3000000000002</v>
      </c>
      <c r="BQ115" s="439">
        <f t="shared" si="114"/>
        <v>0</v>
      </c>
    </row>
    <row r="116" spans="1:69" s="329" customFormat="1" ht="15.75" hidden="1" x14ac:dyDescent="0.25">
      <c r="A116" s="459" t="s">
        <v>691</v>
      </c>
      <c r="B116" s="485">
        <v>3274.05</v>
      </c>
      <c r="C116" s="485">
        <v>10.06</v>
      </c>
      <c r="D116" s="485">
        <v>13.3</v>
      </c>
      <c r="E116" s="485">
        <f>ROUND(C116+D116,1)</f>
        <v>23.4</v>
      </c>
      <c r="F116" s="485">
        <f>ROUND(B116*E116,2)</f>
        <v>76612.77</v>
      </c>
      <c r="G116" s="485"/>
      <c r="H116" s="486">
        <f>ROUND(F116-G116,2)</f>
        <v>76612.77</v>
      </c>
      <c r="I116" s="487">
        <v>0.97960400000000003</v>
      </c>
      <c r="J116" s="486">
        <f>ROUND(H116*I116,2)</f>
        <v>75050.179999999993</v>
      </c>
      <c r="K116" s="486">
        <f>ROUND(J116/1000,1)</f>
        <v>75.099999999999994</v>
      </c>
      <c r="L116" s="485"/>
      <c r="M116" s="485"/>
      <c r="N116" s="485"/>
      <c r="O116" s="485">
        <f>ROUND(M116+N116,1)</f>
        <v>0</v>
      </c>
      <c r="P116" s="485">
        <f>ROUND(L116*O116,2)</f>
        <v>0</v>
      </c>
      <c r="Q116" s="485"/>
      <c r="R116" s="486">
        <f>ROUND(P116-Q116,2)</f>
        <v>0</v>
      </c>
      <c r="S116" s="487">
        <v>0.97960400000000003</v>
      </c>
      <c r="T116" s="486">
        <f>ROUND(R116*S116,2)</f>
        <v>0</v>
      </c>
      <c r="U116" s="486">
        <f>ROUND(T116/1000,1)</f>
        <v>0</v>
      </c>
      <c r="V116" s="485"/>
      <c r="W116" s="485"/>
      <c r="X116" s="485"/>
      <c r="Y116" s="485">
        <f>ROUND(W116+X116,1)</f>
        <v>0</v>
      </c>
      <c r="Z116" s="485">
        <f>ROUND(V116*Y116,2)</f>
        <v>0</v>
      </c>
      <c r="AA116" s="485"/>
      <c r="AB116" s="485"/>
      <c r="AC116" s="486">
        <f>ROUND(Z116-AA116-AB116,2)</f>
        <v>0</v>
      </c>
      <c r="AD116" s="487">
        <v>0.97960400000000003</v>
      </c>
      <c r="AE116" s="486">
        <f>ROUND(AC116*AD116,2)</f>
        <v>0</v>
      </c>
      <c r="AF116" s="486">
        <f>ROUND(AE116/1000,1)</f>
        <v>0</v>
      </c>
      <c r="AG116" s="485"/>
      <c r="AH116" s="485"/>
      <c r="AI116" s="485"/>
      <c r="AJ116" s="485">
        <f>ROUND(AH116+AI116,1)</f>
        <v>0</v>
      </c>
      <c r="AK116" s="485"/>
      <c r="AL116" s="485"/>
      <c r="AM116" s="485"/>
      <c r="AN116" s="485">
        <f>ROUND(AL116+AM116,1)</f>
        <v>0</v>
      </c>
      <c r="AO116" s="485"/>
      <c r="AP116" s="485">
        <f>ROUND(AG116*AJ116,2)</f>
        <v>0</v>
      </c>
      <c r="AQ116" s="485">
        <f>ROUND(AK116*AN116,2)</f>
        <v>0</v>
      </c>
      <c r="AR116" s="485">
        <f>ROUND(AL116*AO116,2)</f>
        <v>0</v>
      </c>
      <c r="AS116" s="485">
        <f>AR116+AP116+AQ116</f>
        <v>0</v>
      </c>
      <c r="AT116" s="485"/>
      <c r="AU116" s="486">
        <f>ROUND(AS116-AT116,2)</f>
        <v>0</v>
      </c>
      <c r="AV116" s="487">
        <v>0.97960400000000003</v>
      </c>
      <c r="AW116" s="486">
        <f>ROUND(AU116*AV116,2)</f>
        <v>0</v>
      </c>
      <c r="AX116" s="486">
        <f>ROUND(AW116/1000,1)</f>
        <v>0</v>
      </c>
      <c r="AY116" s="486">
        <v>0.51</v>
      </c>
      <c r="AZ116" s="486">
        <v>854.75</v>
      </c>
      <c r="BA116" s="488">
        <v>12</v>
      </c>
      <c r="BB116" s="486">
        <f>ROUND(AY116*AZ116*BA116,2)</f>
        <v>5231.07</v>
      </c>
      <c r="BC116" s="486"/>
      <c r="BD116" s="486">
        <f>ROUND(BB116-BC116,2)</f>
        <v>5231.07</v>
      </c>
      <c r="BE116" s="487">
        <v>0.97960400000000003</v>
      </c>
      <c r="BF116" s="486">
        <f>ROUND(BD116*BE116,2)</f>
        <v>5124.38</v>
      </c>
      <c r="BG116" s="486">
        <f>ROUND(BF116/1000,1)</f>
        <v>5.0999999999999996</v>
      </c>
      <c r="BH116" s="486">
        <f>F116+P116+Z116+AS116+BB116</f>
        <v>81843.839999999997</v>
      </c>
      <c r="BI116" s="486">
        <f>ROUND(G116+Q116+AA116+AT116+BC116,2)</f>
        <v>0</v>
      </c>
      <c r="BJ116" s="486">
        <f t="shared" ref="BJ116" si="151">AB116</f>
        <v>0</v>
      </c>
      <c r="BK116" s="486">
        <f t="shared" ref="BK116" si="152">ROUND(BH116-BI116-BJ116,2)</f>
        <v>81843.839999999997</v>
      </c>
      <c r="BL116" s="489">
        <f t="shared" ref="BL116" si="153">ROUNDUP(BK116/1000,1)</f>
        <v>81.900000000000006</v>
      </c>
      <c r="BM116" s="490">
        <f>ROUND(J116+T116+AE116+AW116+BF116,2)</f>
        <v>80174.559999999998</v>
      </c>
      <c r="BN116" s="490">
        <f>ROUND(K116+U116+AF116+AX116+BG116,1)</f>
        <v>80.2</v>
      </c>
      <c r="BO116" s="491">
        <f t="shared" si="83"/>
        <v>-1.7</v>
      </c>
      <c r="BP116" s="329">
        <v>80.2</v>
      </c>
      <c r="BQ116" s="439">
        <f t="shared" si="114"/>
        <v>0</v>
      </c>
    </row>
    <row r="117" spans="1:69" ht="16.5" hidden="1" thickBot="1" x14ac:dyDescent="0.3">
      <c r="AR117" s="461"/>
      <c r="BK117" s="501"/>
      <c r="BM117" s="502"/>
      <c r="BN117" s="502"/>
      <c r="BP117" s="329">
        <v>81.2</v>
      </c>
      <c r="BQ117" s="439">
        <f t="shared" si="114"/>
        <v>81.2</v>
      </c>
    </row>
    <row r="118" spans="1:69" ht="23.25" hidden="1" customHeight="1" thickBot="1" x14ac:dyDescent="0.3">
      <c r="A118" s="503" t="s">
        <v>648</v>
      </c>
      <c r="B118" s="504"/>
      <c r="C118" s="505">
        <f t="shared" ref="C118:H118" si="154">C72+C106+C113+C116</f>
        <v>14157.43</v>
      </c>
      <c r="D118" s="505">
        <f t="shared" si="154"/>
        <v>21419.17</v>
      </c>
      <c r="E118" s="505">
        <f t="shared" si="154"/>
        <v>35577</v>
      </c>
      <c r="F118" s="505">
        <f t="shared" si="154"/>
        <v>103983132.06999999</v>
      </c>
      <c r="G118" s="505">
        <f t="shared" si="154"/>
        <v>157991.93</v>
      </c>
      <c r="H118" s="506">
        <f t="shared" si="154"/>
        <v>103825140.14</v>
      </c>
      <c r="I118" s="505"/>
      <c r="J118" s="505">
        <f>J72+J106+J113+J116</f>
        <v>101707522.59999999</v>
      </c>
      <c r="K118" s="507">
        <f>K72+K106+K113+K116</f>
        <v>101707.5</v>
      </c>
      <c r="L118" s="505"/>
      <c r="M118" s="505">
        <f t="shared" ref="M118:R118" si="155">M72+M106+M113+M116</f>
        <v>249700</v>
      </c>
      <c r="N118" s="505">
        <f t="shared" si="155"/>
        <v>378450</v>
      </c>
      <c r="O118" s="505">
        <f t="shared" si="155"/>
        <v>628150</v>
      </c>
      <c r="P118" s="505">
        <f t="shared" si="155"/>
        <v>6262655.5</v>
      </c>
      <c r="Q118" s="505">
        <f t="shared" si="155"/>
        <v>0</v>
      </c>
      <c r="R118" s="471">
        <f t="shared" si="155"/>
        <v>6262655.5</v>
      </c>
      <c r="S118" s="505"/>
      <c r="T118" s="506">
        <f>T72+T106+T113+T116</f>
        <v>6134922.3799999999</v>
      </c>
      <c r="U118" s="508">
        <f>U72+U106+U113+U116</f>
        <v>6135</v>
      </c>
      <c r="V118" s="505"/>
      <c r="W118" s="505">
        <f t="shared" ref="W118:AC118" si="156">W72+W106+W113+W116</f>
        <v>3706325.82</v>
      </c>
      <c r="X118" s="505">
        <f t="shared" si="156"/>
        <v>3924765.9</v>
      </c>
      <c r="Y118" s="505">
        <f t="shared" si="156"/>
        <v>7631091.7000000002</v>
      </c>
      <c r="Z118" s="505">
        <f t="shared" si="156"/>
        <v>76473849.75</v>
      </c>
      <c r="AA118" s="505">
        <f t="shared" si="156"/>
        <v>5468603.1200000001</v>
      </c>
      <c r="AB118" s="505">
        <f t="shared" si="156"/>
        <v>0</v>
      </c>
      <c r="AC118" s="471">
        <f t="shared" si="156"/>
        <v>71005246.629999995</v>
      </c>
      <c r="AD118" s="505"/>
      <c r="AE118" s="505">
        <f>AE72+AE106+AE113+AE116</f>
        <v>69557023.629999995</v>
      </c>
      <c r="AF118" s="508">
        <f>AF72+AF106+AF113+AF116</f>
        <v>69557</v>
      </c>
      <c r="AG118" s="505"/>
      <c r="AH118" s="505">
        <f>AH72+AH106+AH113+AH116</f>
        <v>103850.22</v>
      </c>
      <c r="AI118" s="505">
        <f>AI72+AI106+AI113+AI116</f>
        <v>93556.42</v>
      </c>
      <c r="AJ118" s="505">
        <f>AJ72+AJ106+AJ113+AJ116</f>
        <v>197406.6</v>
      </c>
      <c r="AK118" s="505"/>
      <c r="AL118" s="505">
        <f t="shared" ref="AL118:AU118" si="157">AL72+AL106+AL113+AL116</f>
        <v>103850.22</v>
      </c>
      <c r="AM118" s="505">
        <f t="shared" si="157"/>
        <v>93556.42</v>
      </c>
      <c r="AN118" s="505">
        <f t="shared" si="157"/>
        <v>197406.6</v>
      </c>
      <c r="AO118" s="505">
        <f t="shared" si="157"/>
        <v>0</v>
      </c>
      <c r="AP118" s="505">
        <f t="shared" si="157"/>
        <v>12073387.66</v>
      </c>
      <c r="AQ118" s="505">
        <f t="shared" si="157"/>
        <v>4974646.32</v>
      </c>
      <c r="AR118" s="505">
        <f t="shared" si="157"/>
        <v>2489297.23</v>
      </c>
      <c r="AS118" s="505">
        <f t="shared" si="157"/>
        <v>19534331.210000001</v>
      </c>
      <c r="AT118" s="505">
        <f t="shared" si="157"/>
        <v>901506.78</v>
      </c>
      <c r="AU118" s="471">
        <f t="shared" si="157"/>
        <v>18632824.43</v>
      </c>
      <c r="AV118" s="505"/>
      <c r="AW118" s="505">
        <f>AW72+AW106+AW113+AW116</f>
        <v>18252789.34</v>
      </c>
      <c r="AX118" s="508">
        <f>AX72+AX106+AX113+AX116</f>
        <v>18252.7</v>
      </c>
      <c r="AY118" s="505">
        <f>AY72+AY106+AY113+AY116</f>
        <v>1131.5899999999999</v>
      </c>
      <c r="AZ118" s="505"/>
      <c r="BA118" s="505"/>
      <c r="BB118" s="505">
        <f>BB72+BB106+BB113+BB116</f>
        <v>11606718.630000001</v>
      </c>
      <c r="BC118" s="505">
        <f>BC72+BC106+BC113+BC116</f>
        <v>50466.74</v>
      </c>
      <c r="BD118" s="471">
        <f>BD72+BD106+BD113+BD116</f>
        <v>11556251.890000001</v>
      </c>
      <c r="BE118" s="505"/>
      <c r="BF118" s="505">
        <f t="shared" ref="BF118:BP118" si="158">BF72+BF106+BF113+BF116</f>
        <v>11320550.59</v>
      </c>
      <c r="BG118" s="508">
        <f t="shared" si="158"/>
        <v>11320.2</v>
      </c>
      <c r="BH118" s="505">
        <f t="shared" si="158"/>
        <v>217860687.16</v>
      </c>
      <c r="BI118" s="505">
        <f t="shared" si="158"/>
        <v>6578568.5700000003</v>
      </c>
      <c r="BJ118" s="505">
        <f t="shared" si="158"/>
        <v>0</v>
      </c>
      <c r="BK118" s="471">
        <f t="shared" si="158"/>
        <v>211282118.59</v>
      </c>
      <c r="BL118" s="471">
        <f t="shared" si="158"/>
        <v>211287.2</v>
      </c>
      <c r="BM118" s="471">
        <f t="shared" si="158"/>
        <v>206972808.53999999</v>
      </c>
      <c r="BN118" s="471">
        <f t="shared" si="158"/>
        <v>206972.4</v>
      </c>
      <c r="BO118" s="471">
        <f t="shared" si="158"/>
        <v>-4314.8</v>
      </c>
      <c r="BP118" s="471">
        <f t="shared" si="158"/>
        <v>206972.4</v>
      </c>
      <c r="BQ118" s="439">
        <f t="shared" si="114"/>
        <v>0</v>
      </c>
    </row>
    <row r="119" spans="1:69" ht="15.75" hidden="1" x14ac:dyDescent="0.25">
      <c r="A119" s="494" t="s">
        <v>619</v>
      </c>
      <c r="B119" s="495"/>
      <c r="C119" s="496">
        <f t="shared" ref="C119:H119" si="159">C73+C107+C114+C116</f>
        <v>10452.290000000001</v>
      </c>
      <c r="D119" s="496">
        <f t="shared" si="159"/>
        <v>15373.72</v>
      </c>
      <c r="E119" s="496">
        <f t="shared" si="159"/>
        <v>25826.3</v>
      </c>
      <c r="F119" s="496">
        <f t="shared" si="159"/>
        <v>74911449.219999999</v>
      </c>
      <c r="G119" s="496">
        <f t="shared" si="159"/>
        <v>62766.84</v>
      </c>
      <c r="H119" s="496">
        <f t="shared" si="159"/>
        <v>74848682.379999995</v>
      </c>
      <c r="I119" s="496"/>
      <c r="J119" s="496">
        <f>J73+J107+J114+J116</f>
        <v>73322068.670000002</v>
      </c>
      <c r="K119" s="509">
        <f>K73+K107+K114+K116</f>
        <v>73322.100000000006</v>
      </c>
      <c r="L119" s="496"/>
      <c r="M119" s="496">
        <f t="shared" ref="M119:R119" si="160">M73+M107+M114+M116</f>
        <v>89840</v>
      </c>
      <c r="N119" s="496">
        <f t="shared" si="160"/>
        <v>147210</v>
      </c>
      <c r="O119" s="496">
        <f t="shared" si="160"/>
        <v>237050</v>
      </c>
      <c r="P119" s="496">
        <f t="shared" si="160"/>
        <v>2363388.5</v>
      </c>
      <c r="Q119" s="496">
        <f t="shared" si="160"/>
        <v>0</v>
      </c>
      <c r="R119" s="496">
        <f t="shared" si="160"/>
        <v>2363388.5</v>
      </c>
      <c r="S119" s="496"/>
      <c r="T119" s="496">
        <f>T73+T107+T114+T116</f>
        <v>2315184.8199999998</v>
      </c>
      <c r="U119" s="510">
        <f>U73+U107+U114+U116</f>
        <v>2315.1999999999998</v>
      </c>
      <c r="V119" s="496"/>
      <c r="W119" s="496">
        <f t="shared" ref="W119:AC119" si="161">W73+W107+W114+W116</f>
        <v>2723301</v>
      </c>
      <c r="X119" s="496">
        <f t="shared" si="161"/>
        <v>2968522</v>
      </c>
      <c r="Y119" s="496">
        <f t="shared" si="161"/>
        <v>5691823</v>
      </c>
      <c r="Z119" s="496">
        <f t="shared" si="161"/>
        <v>57088984.689999998</v>
      </c>
      <c r="AA119" s="496">
        <f t="shared" si="161"/>
        <v>2442483.12</v>
      </c>
      <c r="AB119" s="496">
        <f t="shared" si="161"/>
        <v>0</v>
      </c>
      <c r="AC119" s="496">
        <f t="shared" si="161"/>
        <v>54646501.57</v>
      </c>
      <c r="AD119" s="496"/>
      <c r="AE119" s="496">
        <f>AE73+AE107+AE114+AE116</f>
        <v>53531931.520000003</v>
      </c>
      <c r="AF119" s="510">
        <f>AF73+AF107+AF114+AF116</f>
        <v>53532</v>
      </c>
      <c r="AG119" s="496"/>
      <c r="AH119" s="496">
        <f>AH73+AH107+AH114+AH116</f>
        <v>78961</v>
      </c>
      <c r="AI119" s="496">
        <f>AI73+AI107+AI114+AI116</f>
        <v>74009</v>
      </c>
      <c r="AJ119" s="496">
        <f>AJ73+AJ107+AJ114+AJ116</f>
        <v>152970</v>
      </c>
      <c r="AK119" s="496"/>
      <c r="AL119" s="496">
        <f t="shared" ref="AL119:AU119" si="162">AL73+AL107+AL114+AL116</f>
        <v>78961</v>
      </c>
      <c r="AM119" s="496">
        <f t="shared" si="162"/>
        <v>74009</v>
      </c>
      <c r="AN119" s="496">
        <f t="shared" si="162"/>
        <v>152970</v>
      </c>
      <c r="AO119" s="496">
        <f t="shared" si="162"/>
        <v>0</v>
      </c>
      <c r="AP119" s="496">
        <f t="shared" si="162"/>
        <v>9355645.1999999993</v>
      </c>
      <c r="AQ119" s="496">
        <f t="shared" si="162"/>
        <v>3854844</v>
      </c>
      <c r="AR119" s="496">
        <f t="shared" si="162"/>
        <v>1928951.7</v>
      </c>
      <c r="AS119" s="496">
        <f t="shared" si="162"/>
        <v>15139440.9</v>
      </c>
      <c r="AT119" s="496">
        <f t="shared" si="162"/>
        <v>515414.31</v>
      </c>
      <c r="AU119" s="496">
        <f t="shared" si="162"/>
        <v>14624026.59</v>
      </c>
      <c r="AV119" s="496"/>
      <c r="AW119" s="496">
        <f>AW73+AW107+AW114+AW116</f>
        <v>14325754.939999999</v>
      </c>
      <c r="AX119" s="510">
        <f>AX73+AX107+AX114+AX116</f>
        <v>14325.9</v>
      </c>
      <c r="AY119" s="496">
        <f>AY73+AY107+AY114+AY116</f>
        <v>874</v>
      </c>
      <c r="AZ119" s="496"/>
      <c r="BA119" s="496"/>
      <c r="BB119" s="496">
        <f>BB73+BB107+BB114+BB116</f>
        <v>8964618</v>
      </c>
      <c r="BC119" s="496">
        <f>BC73+BC107+BC114+BC116</f>
        <v>50466.74</v>
      </c>
      <c r="BD119" s="496">
        <f>BD73+BD107+BD114+BD116</f>
        <v>8914151.2599999998</v>
      </c>
      <c r="BE119" s="496"/>
      <c r="BF119" s="496">
        <f t="shared" ref="BF119:BP119" si="163">BF73+BF107+BF114+BF116</f>
        <v>8732338.2599999998</v>
      </c>
      <c r="BG119" s="510">
        <f t="shared" si="163"/>
        <v>8731.7000000000007</v>
      </c>
      <c r="BH119" s="496">
        <f t="shared" si="163"/>
        <v>158467881.31</v>
      </c>
      <c r="BI119" s="496">
        <f t="shared" si="163"/>
        <v>3071131.01</v>
      </c>
      <c r="BJ119" s="496">
        <f t="shared" si="163"/>
        <v>0</v>
      </c>
      <c r="BK119" s="497">
        <f t="shared" si="163"/>
        <v>155396750.30000001</v>
      </c>
      <c r="BL119" s="497">
        <f t="shared" si="163"/>
        <v>155400.9</v>
      </c>
      <c r="BM119" s="497">
        <f t="shared" si="163"/>
        <v>152227278.21000001</v>
      </c>
      <c r="BN119" s="497">
        <f t="shared" si="163"/>
        <v>152226.9</v>
      </c>
      <c r="BO119" s="497">
        <f t="shared" si="163"/>
        <v>-3174</v>
      </c>
      <c r="BP119" s="497">
        <f t="shared" si="163"/>
        <v>152226.9</v>
      </c>
      <c r="BQ119" s="439">
        <f t="shared" si="114"/>
        <v>0</v>
      </c>
    </row>
    <row r="120" spans="1:69" ht="16.5" hidden="1" thickBot="1" x14ac:dyDescent="0.3">
      <c r="A120" s="480" t="s">
        <v>620</v>
      </c>
      <c r="B120" s="499"/>
      <c r="C120" s="482">
        <f t="shared" ref="C120:H120" si="164">C74+C108+C115</f>
        <v>3705.14</v>
      </c>
      <c r="D120" s="482">
        <f t="shared" si="164"/>
        <v>6045.45</v>
      </c>
      <c r="E120" s="482">
        <f t="shared" si="164"/>
        <v>9750.7000000000007</v>
      </c>
      <c r="F120" s="482">
        <f t="shared" si="164"/>
        <v>29071682.850000001</v>
      </c>
      <c r="G120" s="482">
        <f t="shared" si="164"/>
        <v>95225.09</v>
      </c>
      <c r="H120" s="482">
        <f t="shared" si="164"/>
        <v>28976457.760000002</v>
      </c>
      <c r="I120" s="482"/>
      <c r="J120" s="482">
        <f>J74+J108+J115</f>
        <v>28385453.93</v>
      </c>
      <c r="K120" s="511">
        <f>K74+K108+K115</f>
        <v>28385.4</v>
      </c>
      <c r="L120" s="482"/>
      <c r="M120" s="482">
        <f t="shared" ref="M120:R120" si="165">M74+M108+M115</f>
        <v>159860</v>
      </c>
      <c r="N120" s="482">
        <f t="shared" si="165"/>
        <v>231240</v>
      </c>
      <c r="O120" s="482">
        <f t="shared" si="165"/>
        <v>391100</v>
      </c>
      <c r="P120" s="482">
        <f t="shared" si="165"/>
        <v>3899267</v>
      </c>
      <c r="Q120" s="482">
        <f t="shared" si="165"/>
        <v>0</v>
      </c>
      <c r="R120" s="482">
        <f t="shared" si="165"/>
        <v>3899267</v>
      </c>
      <c r="S120" s="482"/>
      <c r="T120" s="482">
        <f>T74+T108+T115</f>
        <v>3819737.56</v>
      </c>
      <c r="U120" s="512">
        <f>U74+U108+U115</f>
        <v>3819.8</v>
      </c>
      <c r="V120" s="482"/>
      <c r="W120" s="482">
        <f t="shared" ref="W120:AC120" si="166">W74+W108+W115</f>
        <v>983024.82</v>
      </c>
      <c r="X120" s="482">
        <f t="shared" si="166"/>
        <v>956243.9</v>
      </c>
      <c r="Y120" s="482">
        <f t="shared" si="166"/>
        <v>1939268.7</v>
      </c>
      <c r="Z120" s="482">
        <f t="shared" si="166"/>
        <v>19384865.059999999</v>
      </c>
      <c r="AA120" s="482">
        <f t="shared" si="166"/>
        <v>3026120</v>
      </c>
      <c r="AB120" s="482">
        <f t="shared" si="166"/>
        <v>0</v>
      </c>
      <c r="AC120" s="482">
        <f t="shared" si="166"/>
        <v>16358745.060000001</v>
      </c>
      <c r="AD120" s="482"/>
      <c r="AE120" s="482">
        <f>AE74+AE108+AE115</f>
        <v>16025092.109999999</v>
      </c>
      <c r="AF120" s="512">
        <f>AF74+AF108+AF115</f>
        <v>16025</v>
      </c>
      <c r="AG120" s="482"/>
      <c r="AH120" s="482">
        <f>AH74+AH108+AH115</f>
        <v>24889.22</v>
      </c>
      <c r="AI120" s="482">
        <f>AI74+AI108+AI115</f>
        <v>19547.419999999998</v>
      </c>
      <c r="AJ120" s="482">
        <f>AJ74+AJ108+AJ115</f>
        <v>44436.6</v>
      </c>
      <c r="AK120" s="482"/>
      <c r="AL120" s="482">
        <f t="shared" ref="AL120:AU120" si="167">AL74+AL108+AL115</f>
        <v>24889.22</v>
      </c>
      <c r="AM120" s="482">
        <f t="shared" si="167"/>
        <v>19547.419999999998</v>
      </c>
      <c r="AN120" s="482">
        <f t="shared" si="167"/>
        <v>44436.6</v>
      </c>
      <c r="AO120" s="482">
        <f t="shared" si="167"/>
        <v>0</v>
      </c>
      <c r="AP120" s="482">
        <f t="shared" si="167"/>
        <v>2717742.46</v>
      </c>
      <c r="AQ120" s="482">
        <f t="shared" si="167"/>
        <v>1119802.32</v>
      </c>
      <c r="AR120" s="482">
        <f t="shared" si="167"/>
        <v>560345.53</v>
      </c>
      <c r="AS120" s="482">
        <f t="shared" si="167"/>
        <v>4394890.3099999996</v>
      </c>
      <c r="AT120" s="482">
        <f t="shared" si="167"/>
        <v>386092.47</v>
      </c>
      <c r="AU120" s="482">
        <f t="shared" si="167"/>
        <v>4008797.84</v>
      </c>
      <c r="AV120" s="482"/>
      <c r="AW120" s="482">
        <f>AW74+AW108+AW115</f>
        <v>3927034.4</v>
      </c>
      <c r="AX120" s="512">
        <f>AX74+AX108+AX115</f>
        <v>3926.8</v>
      </c>
      <c r="AY120" s="482">
        <f>AY74+AY108+AY115</f>
        <v>257.58999999999997</v>
      </c>
      <c r="AZ120" s="482"/>
      <c r="BA120" s="482"/>
      <c r="BB120" s="482">
        <f>BB74+BB108+BB115</f>
        <v>2642100.63</v>
      </c>
      <c r="BC120" s="482">
        <f>BC74+BC108+BC115</f>
        <v>0</v>
      </c>
      <c r="BD120" s="482">
        <f>BD74+BD108+BD115</f>
        <v>2642100.63</v>
      </c>
      <c r="BE120" s="482"/>
      <c r="BF120" s="482">
        <f t="shared" ref="BF120:BP120" si="168">BF74+BF108+BF115</f>
        <v>2588212.33</v>
      </c>
      <c r="BG120" s="512">
        <f t="shared" si="168"/>
        <v>2588.5</v>
      </c>
      <c r="BH120" s="482">
        <f t="shared" si="168"/>
        <v>59392805.850000001</v>
      </c>
      <c r="BI120" s="482">
        <f t="shared" si="168"/>
        <v>3507437.56</v>
      </c>
      <c r="BJ120" s="482">
        <f t="shared" si="168"/>
        <v>0</v>
      </c>
      <c r="BK120" s="483">
        <f t="shared" si="168"/>
        <v>55885368.289999999</v>
      </c>
      <c r="BL120" s="483">
        <f t="shared" si="168"/>
        <v>55886.3</v>
      </c>
      <c r="BM120" s="483">
        <f t="shared" si="168"/>
        <v>54745530.329999998</v>
      </c>
      <c r="BN120" s="483">
        <f t="shared" si="168"/>
        <v>54745.5</v>
      </c>
      <c r="BO120" s="483">
        <f t="shared" si="168"/>
        <v>-1140.8</v>
      </c>
      <c r="BP120" s="483">
        <f t="shared" si="168"/>
        <v>54745.5</v>
      </c>
      <c r="BQ120" s="439">
        <f t="shared" si="114"/>
        <v>0</v>
      </c>
    </row>
    <row r="121" spans="1:69" hidden="1" x14ac:dyDescent="0.25">
      <c r="K121" s="513"/>
      <c r="U121" s="513"/>
      <c r="AF121" s="513"/>
      <c r="AX121" s="513"/>
      <c r="BG121" s="513"/>
      <c r="BK121" s="514">
        <f>BH118-BI118-BJ118</f>
        <v>211282118.59</v>
      </c>
      <c r="BL121" s="513"/>
      <c r="BM121" s="515">
        <f>BK121*BE116</f>
        <v>206972808.5</v>
      </c>
    </row>
    <row r="122" spans="1:69" s="520" customFormat="1" ht="31.5" hidden="1" customHeight="1" x14ac:dyDescent="0.25">
      <c r="A122" s="516" t="s">
        <v>935</v>
      </c>
      <c r="B122" s="517"/>
      <c r="C122" s="517"/>
      <c r="D122" s="517"/>
      <c r="E122" s="517"/>
      <c r="F122" s="517"/>
      <c r="G122" s="517"/>
      <c r="H122" s="517"/>
      <c r="I122" s="517"/>
      <c r="J122" s="517"/>
      <c r="K122" s="518">
        <v>104170</v>
      </c>
      <c r="L122" s="519"/>
      <c r="M122" s="519"/>
      <c r="N122" s="519"/>
      <c r="O122" s="519"/>
      <c r="P122" s="519"/>
      <c r="Q122" s="519"/>
      <c r="R122" s="519"/>
      <c r="S122" s="517"/>
      <c r="T122" s="519"/>
      <c r="U122" s="518">
        <v>4944.2</v>
      </c>
      <c r="V122" s="519"/>
      <c r="W122" s="519"/>
      <c r="X122" s="519"/>
      <c r="Y122" s="519"/>
      <c r="Z122" s="519"/>
      <c r="AA122" s="519"/>
      <c r="AB122" s="519"/>
      <c r="AC122" s="519">
        <f>Z118-AA118</f>
        <v>71005246.599999994</v>
      </c>
      <c r="AD122" s="517"/>
      <c r="AE122" s="519"/>
      <c r="AF122" s="518">
        <v>66311.100000000006</v>
      </c>
      <c r="AG122" s="519"/>
      <c r="AH122" s="519"/>
      <c r="AI122" s="519"/>
      <c r="AJ122" s="519"/>
      <c r="AK122" s="519"/>
      <c r="AL122" s="519"/>
      <c r="AM122" s="519"/>
      <c r="AN122" s="519"/>
      <c r="AO122" s="519"/>
      <c r="AP122" s="519"/>
      <c r="AQ122" s="519"/>
      <c r="AR122" s="519"/>
      <c r="AS122" s="519"/>
      <c r="AT122" s="519"/>
      <c r="AU122" s="519"/>
      <c r="AV122" s="517"/>
      <c r="AW122" s="519"/>
      <c r="AX122" s="518">
        <v>15625.9</v>
      </c>
      <c r="AY122" s="519"/>
      <c r="AZ122" s="519"/>
      <c r="BA122" s="519"/>
      <c r="BB122" s="519"/>
      <c r="BC122" s="519"/>
      <c r="BD122" s="519"/>
      <c r="BE122" s="517"/>
      <c r="BF122" s="519"/>
      <c r="BG122" s="518">
        <v>9506.5</v>
      </c>
      <c r="BH122" s="519"/>
      <c r="BI122" s="519"/>
      <c r="BJ122" s="519"/>
      <c r="BK122" s="519"/>
      <c r="BL122" s="518">
        <f>K122+U122+AF122+AX122+BG122</f>
        <v>200557.7</v>
      </c>
      <c r="BM122" s="519"/>
      <c r="BN122" s="519"/>
      <c r="BO122" s="519"/>
    </row>
    <row r="123" spans="1:69" s="520" customFormat="1" ht="15.75" hidden="1" x14ac:dyDescent="0.25">
      <c r="A123" s="516" t="s">
        <v>936</v>
      </c>
      <c r="B123" s="517"/>
      <c r="C123" s="517"/>
      <c r="D123" s="517"/>
      <c r="E123" s="517"/>
      <c r="F123" s="517"/>
      <c r="G123" s="517"/>
      <c r="H123" s="517"/>
      <c r="I123" s="517"/>
      <c r="J123" s="517"/>
      <c r="K123" s="518">
        <f>ROUND(K118/K122*100-100,1)</f>
        <v>-2.4</v>
      </c>
      <c r="L123" s="519"/>
      <c r="M123" s="519"/>
      <c r="N123" s="519"/>
      <c r="O123" s="519"/>
      <c r="P123" s="519"/>
      <c r="Q123" s="519"/>
      <c r="R123" s="519"/>
      <c r="S123" s="517"/>
      <c r="T123" s="519"/>
      <c r="U123" s="518">
        <f>ROUND(U118/U122*100-100,1)</f>
        <v>24.1</v>
      </c>
      <c r="V123" s="519"/>
      <c r="W123" s="519"/>
      <c r="X123" s="519"/>
      <c r="Y123" s="519"/>
      <c r="Z123" s="519"/>
      <c r="AA123" s="519"/>
      <c r="AB123" s="519"/>
      <c r="AC123" s="519"/>
      <c r="AD123" s="517"/>
      <c r="AE123" s="519"/>
      <c r="AF123" s="518">
        <f>ROUND(AF118/AF122*100-100,1)</f>
        <v>4.9000000000000004</v>
      </c>
      <c r="AG123" s="519"/>
      <c r="AH123" s="519"/>
      <c r="AI123" s="519"/>
      <c r="AJ123" s="519"/>
      <c r="AK123" s="519"/>
      <c r="AL123" s="519"/>
      <c r="AM123" s="519"/>
      <c r="AN123" s="519"/>
      <c r="AO123" s="519"/>
      <c r="AP123" s="519"/>
      <c r="AQ123" s="519"/>
      <c r="AR123" s="519"/>
      <c r="AS123" s="519"/>
      <c r="AT123" s="519"/>
      <c r="AU123" s="519"/>
      <c r="AV123" s="517"/>
      <c r="AW123" s="519"/>
      <c r="AX123" s="518">
        <f>ROUND(AX118/AX122*100-100,1)</f>
        <v>16.8</v>
      </c>
      <c r="AY123" s="519"/>
      <c r="AZ123" s="519"/>
      <c r="BA123" s="519"/>
      <c r="BB123" s="519"/>
      <c r="BC123" s="519"/>
      <c r="BD123" s="519"/>
      <c r="BE123" s="517"/>
      <c r="BF123" s="519"/>
      <c r="BG123" s="518">
        <f>ROUND(BG118/BG122*100-100,1)</f>
        <v>19.100000000000001</v>
      </c>
      <c r="BH123" s="519"/>
      <c r="BI123" s="519"/>
      <c r="BJ123" s="519"/>
      <c r="BK123" s="519"/>
      <c r="BL123" s="518">
        <f>ROUND(BL118/BL122*100-100,1)</f>
        <v>5.3</v>
      </c>
      <c r="BM123" s="519"/>
      <c r="BN123" s="519"/>
      <c r="BO123" s="519"/>
    </row>
    <row r="124" spans="1:69" s="520" customFormat="1" ht="31.5" hidden="1" x14ac:dyDescent="0.25">
      <c r="A124" s="516" t="s">
        <v>937</v>
      </c>
      <c r="B124" s="517"/>
      <c r="C124" s="517"/>
      <c r="D124" s="517"/>
      <c r="E124" s="517"/>
      <c r="F124" s="517"/>
      <c r="G124" s="517"/>
      <c r="H124" s="517"/>
      <c r="I124" s="517"/>
      <c r="J124" s="517"/>
      <c r="K124" s="518">
        <v>0</v>
      </c>
      <c r="L124" s="519"/>
      <c r="M124" s="519"/>
      <c r="N124" s="519"/>
      <c r="O124" s="519"/>
      <c r="P124" s="519"/>
      <c r="Q124" s="519"/>
      <c r="R124" s="519"/>
      <c r="S124" s="517"/>
      <c r="T124" s="519"/>
      <c r="U124" s="518">
        <f>U22+U20-1948.9</f>
        <v>1141.3</v>
      </c>
      <c r="V124" s="519"/>
      <c r="W124" s="519"/>
      <c r="X124" s="519"/>
      <c r="Y124" s="519"/>
      <c r="Z124" s="519"/>
      <c r="AA124" s="519"/>
      <c r="AB124" s="519"/>
      <c r="AC124" s="519"/>
      <c r="AD124" s="517"/>
      <c r="AE124" s="519"/>
      <c r="AF124" s="518">
        <f>AF20+AF22-1141.5</f>
        <v>1314.9</v>
      </c>
      <c r="AG124" s="519"/>
      <c r="AH124" s="519"/>
      <c r="AI124" s="519"/>
      <c r="AJ124" s="519"/>
      <c r="AK124" s="519"/>
      <c r="AL124" s="519"/>
      <c r="AM124" s="519"/>
      <c r="AN124" s="519"/>
      <c r="AO124" s="519"/>
      <c r="AP124" s="519"/>
      <c r="AQ124" s="519"/>
      <c r="AR124" s="519"/>
      <c r="AS124" s="519"/>
      <c r="AT124" s="519"/>
      <c r="AU124" s="519"/>
      <c r="AV124" s="517"/>
      <c r="AW124" s="519"/>
      <c r="AX124" s="518">
        <f>AX20+AX22-86.3</f>
        <v>553.6</v>
      </c>
      <c r="AY124" s="519"/>
      <c r="AZ124" s="519"/>
      <c r="BA124" s="519"/>
      <c r="BB124" s="519"/>
      <c r="BC124" s="519"/>
      <c r="BD124" s="519"/>
      <c r="BE124" s="517"/>
      <c r="BF124" s="519"/>
      <c r="BG124" s="518">
        <f>BG20+BG22-295.3</f>
        <v>42.1</v>
      </c>
      <c r="BH124" s="519"/>
      <c r="BI124" s="519"/>
      <c r="BJ124" s="519"/>
      <c r="BK124" s="519"/>
      <c r="BL124" s="518">
        <f t="shared" ref="BL124:BL126" si="169">K124+U124+AF124+AX124+BG124</f>
        <v>3051.9</v>
      </c>
      <c r="BM124" s="519"/>
      <c r="BN124" s="519"/>
      <c r="BO124" s="519"/>
    </row>
    <row r="125" spans="1:69" s="520" customFormat="1" ht="31.5" hidden="1" x14ac:dyDescent="0.25">
      <c r="A125" s="516" t="s">
        <v>938</v>
      </c>
      <c r="B125" s="517"/>
      <c r="C125" s="517"/>
      <c r="D125" s="517"/>
      <c r="E125" s="517"/>
      <c r="F125" s="517"/>
      <c r="G125" s="517"/>
      <c r="H125" s="517"/>
      <c r="I125" s="517"/>
      <c r="J125" s="517"/>
      <c r="K125" s="518">
        <v>436.7</v>
      </c>
      <c r="L125" s="519"/>
      <c r="M125" s="519"/>
      <c r="N125" s="519"/>
      <c r="O125" s="519"/>
      <c r="P125" s="519"/>
      <c r="Q125" s="519"/>
      <c r="R125" s="519"/>
      <c r="S125" s="517"/>
      <c r="T125" s="519"/>
      <c r="U125" s="518">
        <v>0</v>
      </c>
      <c r="V125" s="519"/>
      <c r="W125" s="519"/>
      <c r="X125" s="519"/>
      <c r="Y125" s="519"/>
      <c r="Z125" s="519"/>
      <c r="AA125" s="519"/>
      <c r="AB125" s="519"/>
      <c r="AC125" s="519"/>
      <c r="AD125" s="517"/>
      <c r="AE125" s="519"/>
      <c r="AF125" s="518">
        <v>298.7</v>
      </c>
      <c r="AG125" s="519"/>
      <c r="AH125" s="519"/>
      <c r="AI125" s="519"/>
      <c r="AJ125" s="519"/>
      <c r="AK125" s="519"/>
      <c r="AL125" s="519"/>
      <c r="AM125" s="519"/>
      <c r="AN125" s="519"/>
      <c r="AO125" s="519"/>
      <c r="AP125" s="519"/>
      <c r="AQ125" s="519"/>
      <c r="AR125" s="519"/>
      <c r="AS125" s="519"/>
      <c r="AT125" s="519"/>
      <c r="AU125" s="519"/>
      <c r="AV125" s="517"/>
      <c r="AW125" s="519"/>
      <c r="AX125" s="518">
        <f>ROUND((166*61.16+166*25.2+166*12.61)/1000,1)</f>
        <v>16.399999999999999</v>
      </c>
      <c r="AY125" s="519"/>
      <c r="AZ125" s="519"/>
      <c r="BA125" s="519"/>
      <c r="BB125" s="519"/>
      <c r="BC125" s="519"/>
      <c r="BD125" s="519"/>
      <c r="BE125" s="517"/>
      <c r="BF125" s="519"/>
      <c r="BG125" s="518">
        <f>6.75*12*854.75/1000</f>
        <v>69.2</v>
      </c>
      <c r="BH125" s="519"/>
      <c r="BI125" s="519"/>
      <c r="BJ125" s="519"/>
      <c r="BK125" s="519"/>
      <c r="BL125" s="518">
        <f t="shared" si="169"/>
        <v>821</v>
      </c>
      <c r="BM125" s="519"/>
      <c r="BN125" s="519"/>
      <c r="BO125" s="519"/>
    </row>
    <row r="126" spans="1:69" s="520" customFormat="1" ht="78.75" hidden="1" x14ac:dyDescent="0.25">
      <c r="A126" s="516" t="s">
        <v>939</v>
      </c>
      <c r="B126" s="517"/>
      <c r="C126" s="517"/>
      <c r="D126" s="517"/>
      <c r="E126" s="517"/>
      <c r="F126" s="517"/>
      <c r="G126" s="517"/>
      <c r="H126" s="517"/>
      <c r="I126" s="517"/>
      <c r="J126" s="517"/>
      <c r="K126" s="518">
        <v>737.2</v>
      </c>
      <c r="L126" s="519"/>
      <c r="M126" s="519"/>
      <c r="N126" s="519"/>
      <c r="O126" s="519"/>
      <c r="P126" s="519"/>
      <c r="Q126" s="519"/>
      <c r="R126" s="519"/>
      <c r="S126" s="517"/>
      <c r="T126" s="519"/>
      <c r="U126" s="518">
        <v>0</v>
      </c>
      <c r="V126" s="519"/>
      <c r="W126" s="519"/>
      <c r="X126" s="519"/>
      <c r="Y126" s="519"/>
      <c r="Z126" s="519"/>
      <c r="AA126" s="519"/>
      <c r="AB126" s="519"/>
      <c r="AC126" s="519"/>
      <c r="AD126" s="517"/>
      <c r="AE126" s="519"/>
      <c r="AF126" s="518">
        <v>295.5</v>
      </c>
      <c r="AG126" s="519"/>
      <c r="AH126" s="519"/>
      <c r="AI126" s="519"/>
      <c r="AJ126" s="519"/>
      <c r="AK126" s="519"/>
      <c r="AL126" s="519"/>
      <c r="AM126" s="519"/>
      <c r="AN126" s="519"/>
      <c r="AO126" s="519"/>
      <c r="AP126" s="519"/>
      <c r="AQ126" s="519"/>
      <c r="AR126" s="519"/>
      <c r="AS126" s="519"/>
      <c r="AT126" s="519"/>
      <c r="AU126" s="519"/>
      <c r="AV126" s="517"/>
      <c r="AW126" s="519"/>
      <c r="AX126" s="518">
        <f>41.8+17.2+8.6</f>
        <v>67.599999999999994</v>
      </c>
      <c r="AY126" s="519"/>
      <c r="AZ126" s="519"/>
      <c r="BA126" s="519"/>
      <c r="BB126" s="519"/>
      <c r="BC126" s="519"/>
      <c r="BD126" s="519"/>
      <c r="BE126" s="517"/>
      <c r="BF126" s="519"/>
      <c r="BG126" s="518">
        <v>2</v>
      </c>
      <c r="BH126" s="519"/>
      <c r="BI126" s="519"/>
      <c r="BJ126" s="519"/>
      <c r="BK126" s="519"/>
      <c r="BL126" s="518">
        <f t="shared" si="169"/>
        <v>1102.3</v>
      </c>
      <c r="BM126" s="519"/>
      <c r="BN126" s="519"/>
      <c r="BO126" s="519"/>
    </row>
    <row r="127" spans="1:69" s="520" customFormat="1" ht="33.75" hidden="1" customHeight="1" x14ac:dyDescent="0.25">
      <c r="A127" s="516" t="s">
        <v>940</v>
      </c>
      <c r="B127" s="517"/>
      <c r="C127" s="517"/>
      <c r="D127" s="517"/>
      <c r="E127" s="517"/>
      <c r="F127" s="517"/>
      <c r="G127" s="517"/>
      <c r="H127" s="517"/>
      <c r="I127" s="517"/>
      <c r="J127" s="517"/>
      <c r="K127" s="518">
        <f>K118-K124-K125-K126</f>
        <v>100533.6</v>
      </c>
      <c r="L127" s="519"/>
      <c r="M127" s="519"/>
      <c r="N127" s="519"/>
      <c r="O127" s="519"/>
      <c r="P127" s="519"/>
      <c r="Q127" s="519"/>
      <c r="R127" s="519"/>
      <c r="S127" s="517"/>
      <c r="T127" s="519"/>
      <c r="U127" s="518">
        <f>U118-U124-U125</f>
        <v>4993.7</v>
      </c>
      <c r="V127" s="519"/>
      <c r="W127" s="519"/>
      <c r="X127" s="519"/>
      <c r="Y127" s="519"/>
      <c r="Z127" s="519"/>
      <c r="AA127" s="519"/>
      <c r="AB127" s="519"/>
      <c r="AC127" s="519"/>
      <c r="AD127" s="517"/>
      <c r="AE127" s="519"/>
      <c r="AF127" s="518">
        <f>AF118-AF124-AF125-AF126</f>
        <v>67647.899999999994</v>
      </c>
      <c r="AG127" s="519"/>
      <c r="AH127" s="519"/>
      <c r="AI127" s="519"/>
      <c r="AJ127" s="519"/>
      <c r="AK127" s="519"/>
      <c r="AL127" s="519"/>
      <c r="AM127" s="519"/>
      <c r="AN127" s="519"/>
      <c r="AO127" s="519"/>
      <c r="AP127" s="519"/>
      <c r="AQ127" s="519"/>
      <c r="AR127" s="519"/>
      <c r="AS127" s="519"/>
      <c r="AT127" s="519"/>
      <c r="AU127" s="519"/>
      <c r="AV127" s="517"/>
      <c r="AW127" s="519"/>
      <c r="AX127" s="518">
        <f>AX118-AX124-AX125-AX126</f>
        <v>17615.099999999999</v>
      </c>
      <c r="AY127" s="519"/>
      <c r="AZ127" s="519"/>
      <c r="BA127" s="519"/>
      <c r="BB127" s="519"/>
      <c r="BC127" s="519"/>
      <c r="BD127" s="519"/>
      <c r="BE127" s="517"/>
      <c r="BF127" s="519"/>
      <c r="BG127" s="518">
        <f>BG118-BG124-BG125</f>
        <v>11208.9</v>
      </c>
      <c r="BH127" s="519"/>
      <c r="BI127" s="519"/>
      <c r="BJ127" s="519"/>
      <c r="BK127" s="519"/>
      <c r="BL127" s="518">
        <f>BL118-BL124-BL125</f>
        <v>207414.3</v>
      </c>
      <c r="BM127" s="519"/>
      <c r="BN127" s="519"/>
      <c r="BO127" s="519"/>
    </row>
    <row r="128" spans="1:69" s="520" customFormat="1" ht="15.75" hidden="1" x14ac:dyDescent="0.25">
      <c r="A128" s="516" t="s">
        <v>936</v>
      </c>
      <c r="B128" s="517"/>
      <c r="C128" s="517"/>
      <c r="D128" s="517"/>
      <c r="E128" s="517"/>
      <c r="F128" s="517"/>
      <c r="G128" s="517"/>
      <c r="H128" s="517"/>
      <c r="I128" s="517"/>
      <c r="J128" s="517"/>
      <c r="K128" s="521">
        <f>ROUND(K127/K122*100-100,1)</f>
        <v>-3.5</v>
      </c>
      <c r="L128" s="519"/>
      <c r="M128" s="519"/>
      <c r="N128" s="519"/>
      <c r="O128" s="519"/>
      <c r="P128" s="519"/>
      <c r="Q128" s="519"/>
      <c r="R128" s="519"/>
      <c r="S128" s="517"/>
      <c r="T128" s="519"/>
      <c r="U128" s="521">
        <f>ROUND(U127/U122*100-100,1)</f>
        <v>1</v>
      </c>
      <c r="V128" s="519"/>
      <c r="W128" s="519"/>
      <c r="X128" s="519"/>
      <c r="Y128" s="519"/>
      <c r="Z128" s="519"/>
      <c r="AA128" s="519"/>
      <c r="AB128" s="519"/>
      <c r="AC128" s="519"/>
      <c r="AD128" s="517"/>
      <c r="AE128" s="519"/>
      <c r="AF128" s="521">
        <f>ROUND(AF127/AF122*100-100,1)</f>
        <v>2</v>
      </c>
      <c r="AG128" s="519"/>
      <c r="AH128" s="519"/>
      <c r="AI128" s="519"/>
      <c r="AJ128" s="519"/>
      <c r="AK128" s="519"/>
      <c r="AL128" s="519"/>
      <c r="AM128" s="519"/>
      <c r="AN128" s="519"/>
      <c r="AO128" s="519"/>
      <c r="AP128" s="519"/>
      <c r="AQ128" s="519"/>
      <c r="AR128" s="519"/>
      <c r="AS128" s="519"/>
      <c r="AT128" s="519"/>
      <c r="AU128" s="519"/>
      <c r="AV128" s="517"/>
      <c r="AW128" s="519"/>
      <c r="AX128" s="522">
        <f>ROUND(AX127/AX122*100-100,1)</f>
        <v>12.7</v>
      </c>
      <c r="AY128" s="519"/>
      <c r="AZ128" s="519"/>
      <c r="BA128" s="519"/>
      <c r="BB128" s="519"/>
      <c r="BC128" s="519"/>
      <c r="BD128" s="519"/>
      <c r="BE128" s="517"/>
      <c r="BF128" s="519"/>
      <c r="BG128" s="522">
        <f>ROUND(BG127/BG122*100-100,1)</f>
        <v>17.899999999999999</v>
      </c>
      <c r="BH128" s="519"/>
      <c r="BI128" s="519"/>
      <c r="BJ128" s="519"/>
      <c r="BK128" s="519"/>
      <c r="BL128" s="521">
        <f>ROUND(BL127/BL122*100-100,1)</f>
        <v>3.4</v>
      </c>
      <c r="BM128" s="519"/>
      <c r="BN128" s="519"/>
      <c r="BO128" s="519"/>
    </row>
    <row r="129" spans="1:67" s="520" customFormat="1" ht="15.75" hidden="1" x14ac:dyDescent="0.25">
      <c r="A129" s="523"/>
      <c r="B129" s="524"/>
      <c r="C129" s="524"/>
      <c r="D129" s="524"/>
      <c r="E129" s="524"/>
      <c r="F129" s="524"/>
      <c r="G129" s="524"/>
      <c r="H129" s="524"/>
      <c r="I129" s="524"/>
      <c r="J129" s="524"/>
      <c r="K129" s="525"/>
      <c r="L129" s="525"/>
      <c r="M129" s="525"/>
      <c r="N129" s="525"/>
      <c r="O129" s="525"/>
      <c r="P129" s="525"/>
      <c r="Q129" s="525"/>
      <c r="R129" s="525"/>
      <c r="S129" s="524"/>
      <c r="T129" s="525"/>
      <c r="U129" s="525"/>
      <c r="V129" s="525"/>
      <c r="W129" s="525"/>
      <c r="X129" s="525"/>
      <c r="Y129" s="525"/>
      <c r="Z129" s="525"/>
      <c r="AA129" s="525"/>
      <c r="AB129" s="525"/>
      <c r="AC129" s="525"/>
      <c r="AD129" s="524"/>
      <c r="AE129" s="525"/>
      <c r="AF129" s="525"/>
      <c r="AG129" s="525"/>
      <c r="AH129" s="525"/>
      <c r="AI129" s="525"/>
      <c r="AJ129" s="525"/>
      <c r="AK129" s="525"/>
      <c r="AL129" s="525"/>
      <c r="AM129" s="525"/>
      <c r="AN129" s="525"/>
      <c r="AO129" s="525"/>
      <c r="AP129" s="525"/>
      <c r="AQ129" s="525"/>
      <c r="AR129" s="525"/>
      <c r="AS129" s="525"/>
      <c r="AT129" s="525"/>
      <c r="AU129" s="525"/>
      <c r="AV129" s="524"/>
      <c r="AW129" s="525"/>
      <c r="AX129" s="525"/>
      <c r="AY129" s="525"/>
      <c r="AZ129" s="525"/>
      <c r="BA129" s="525"/>
      <c r="BB129" s="525"/>
      <c r="BC129" s="525"/>
      <c r="BD129" s="525"/>
      <c r="BE129" s="524"/>
      <c r="BF129" s="525"/>
      <c r="BG129" s="525"/>
      <c r="BH129" s="525"/>
      <c r="BI129" s="525"/>
      <c r="BJ129" s="525"/>
      <c r="BK129" s="525"/>
      <c r="BL129" s="525"/>
      <c r="BM129" s="525"/>
      <c r="BN129" s="525"/>
      <c r="BO129" s="525"/>
    </row>
    <row r="130" spans="1:67" s="520" customFormat="1" ht="15.75" hidden="1" x14ac:dyDescent="0.25">
      <c r="A130" s="524"/>
      <c r="B130" s="524"/>
      <c r="C130" s="524"/>
      <c r="D130" s="524"/>
      <c r="E130" s="524"/>
      <c r="F130" s="524"/>
      <c r="G130" s="524"/>
      <c r="H130" s="524"/>
      <c r="I130" s="524"/>
      <c r="J130" s="524"/>
      <c r="K130" s="525"/>
      <c r="L130" s="525"/>
      <c r="M130" s="525"/>
      <c r="N130" s="525"/>
      <c r="O130" s="525"/>
      <c r="P130" s="525"/>
      <c r="Q130" s="525"/>
      <c r="R130" s="525"/>
      <c r="S130" s="524"/>
      <c r="T130" s="525"/>
      <c r="U130" s="525"/>
      <c r="V130" s="525"/>
      <c r="W130" s="525"/>
      <c r="X130" s="525"/>
      <c r="Y130" s="525"/>
      <c r="Z130" s="525"/>
      <c r="AA130" s="525"/>
      <c r="AB130" s="525"/>
      <c r="AC130" s="525"/>
      <c r="AD130" s="524"/>
      <c r="AE130" s="525"/>
      <c r="AF130" s="525"/>
      <c r="AG130" s="525"/>
      <c r="AH130" s="525"/>
      <c r="AI130" s="525"/>
      <c r="AJ130" s="525"/>
      <c r="AK130" s="525"/>
      <c r="AL130" s="525"/>
      <c r="AM130" s="525"/>
      <c r="AN130" s="525"/>
      <c r="AO130" s="525"/>
      <c r="AP130" s="525"/>
      <c r="AQ130" s="525"/>
      <c r="AR130" s="525"/>
      <c r="AS130" s="525"/>
      <c r="AT130" s="525"/>
      <c r="AU130" s="525"/>
      <c r="AV130" s="524"/>
      <c r="AW130" s="525"/>
      <c r="AX130" s="525"/>
      <c r="AY130" s="525"/>
      <c r="AZ130" s="525"/>
      <c r="BA130" s="525"/>
      <c r="BB130" s="525"/>
      <c r="BC130" s="525"/>
      <c r="BD130" s="525"/>
      <c r="BE130" s="524"/>
      <c r="BF130" s="525"/>
      <c r="BG130" s="525"/>
      <c r="BH130" s="525"/>
      <c r="BI130" s="525"/>
      <c r="BJ130" s="525"/>
      <c r="BK130" s="525"/>
      <c r="BL130" s="525"/>
      <c r="BM130" s="525"/>
      <c r="BN130" s="525"/>
      <c r="BO130" s="525"/>
    </row>
    <row r="131" spans="1:67" s="520" customFormat="1" ht="15.75" hidden="1" x14ac:dyDescent="0.25">
      <c r="A131" s="524"/>
      <c r="B131" s="524"/>
      <c r="C131" s="524"/>
      <c r="D131" s="524"/>
      <c r="E131" s="524"/>
      <c r="F131" s="524"/>
      <c r="G131" s="524"/>
      <c r="H131" s="524"/>
      <c r="I131" s="524"/>
      <c r="J131" s="524"/>
      <c r="K131" s="525"/>
      <c r="L131" s="525"/>
      <c r="M131" s="525"/>
      <c r="N131" s="525"/>
      <c r="O131" s="525"/>
      <c r="P131" s="525"/>
      <c r="Q131" s="525"/>
      <c r="R131" s="525"/>
      <c r="S131" s="524"/>
      <c r="T131" s="525"/>
      <c r="U131" s="525"/>
      <c r="V131" s="525"/>
      <c r="W131" s="525"/>
      <c r="X131" s="525"/>
      <c r="Y131" s="525"/>
      <c r="Z131" s="525"/>
      <c r="AA131" s="525"/>
      <c r="AB131" s="525"/>
      <c r="AC131" s="525"/>
      <c r="AD131" s="524"/>
      <c r="AE131" s="525"/>
      <c r="AF131" s="525"/>
      <c r="AG131" s="525"/>
      <c r="AH131" s="525"/>
      <c r="AI131" s="525"/>
      <c r="AJ131" s="525"/>
      <c r="AK131" s="525"/>
      <c r="AL131" s="525"/>
      <c r="AM131" s="525"/>
      <c r="AN131" s="525"/>
      <c r="AO131" s="525"/>
      <c r="AP131" s="525"/>
      <c r="AQ131" s="525"/>
      <c r="AR131" s="525"/>
      <c r="AS131" s="525"/>
      <c r="AT131" s="525"/>
      <c r="AU131" s="525"/>
      <c r="AV131" s="524"/>
      <c r="AW131" s="525"/>
      <c r="AX131" s="525"/>
      <c r="AY131" s="525"/>
      <c r="AZ131" s="525"/>
      <c r="BA131" s="525"/>
      <c r="BB131" s="525"/>
      <c r="BC131" s="525"/>
      <c r="BD131" s="525"/>
      <c r="BE131" s="524"/>
      <c r="BF131" s="525"/>
      <c r="BG131" s="525"/>
      <c r="BH131" s="525"/>
      <c r="BI131" s="525"/>
      <c r="BJ131" s="525"/>
      <c r="BK131" s="525"/>
      <c r="BL131" s="525"/>
      <c r="BM131" s="525"/>
      <c r="BN131" s="525"/>
      <c r="BO131" s="525"/>
    </row>
    <row r="132" spans="1:67" s="520" customFormat="1" ht="15.75" x14ac:dyDescent="0.25">
      <c r="A132" s="524"/>
      <c r="B132" s="524"/>
      <c r="C132" s="524"/>
      <c r="D132" s="524"/>
      <c r="E132" s="524"/>
      <c r="F132" s="524"/>
      <c r="G132" s="524"/>
      <c r="H132" s="524"/>
      <c r="I132" s="524"/>
      <c r="J132" s="524"/>
      <c r="K132" s="525"/>
      <c r="L132" s="525"/>
      <c r="M132" s="525"/>
      <c r="N132" s="525"/>
      <c r="O132" s="525"/>
      <c r="P132" s="525"/>
      <c r="Q132" s="525"/>
      <c r="R132" s="525"/>
      <c r="S132" s="524"/>
      <c r="T132" s="525"/>
      <c r="U132" s="525"/>
      <c r="V132" s="525"/>
      <c r="W132" s="525"/>
      <c r="X132" s="525"/>
      <c r="Y132" s="525"/>
      <c r="Z132" s="525"/>
      <c r="AA132" s="525"/>
      <c r="AB132" s="525"/>
      <c r="AC132" s="525"/>
      <c r="AD132" s="524"/>
      <c r="AE132" s="525"/>
      <c r="AF132" s="525"/>
      <c r="AG132" s="525"/>
      <c r="AH132" s="525"/>
      <c r="AI132" s="525"/>
      <c r="AJ132" s="525"/>
      <c r="AK132" s="525"/>
      <c r="AL132" s="525"/>
      <c r="AM132" s="525"/>
      <c r="AN132" s="525"/>
      <c r="AO132" s="525"/>
      <c r="AP132" s="525"/>
      <c r="AQ132" s="525"/>
      <c r="AR132" s="525"/>
      <c r="AS132" s="525"/>
      <c r="AT132" s="525"/>
      <c r="AU132" s="525"/>
      <c r="AV132" s="524"/>
      <c r="AW132" s="525"/>
      <c r="AX132" s="525"/>
      <c r="AY132" s="525"/>
      <c r="AZ132" s="525"/>
      <c r="BA132" s="525"/>
      <c r="BB132" s="525"/>
      <c r="BC132" s="525"/>
      <c r="BD132" s="525"/>
      <c r="BE132" s="524"/>
      <c r="BF132" s="525"/>
      <c r="BG132" s="525"/>
      <c r="BH132" s="525"/>
      <c r="BI132" s="525"/>
      <c r="BJ132" s="525"/>
      <c r="BK132" s="525"/>
      <c r="BL132" s="525"/>
      <c r="BM132" s="525"/>
      <c r="BN132" s="525"/>
      <c r="BO132" s="525"/>
    </row>
    <row r="133" spans="1:67" x14ac:dyDescent="0.25">
      <c r="K133" s="526"/>
      <c r="L133" s="526"/>
      <c r="M133" s="526"/>
      <c r="N133" s="526"/>
      <c r="O133" s="526"/>
      <c r="P133" s="526"/>
      <c r="Q133" s="526"/>
      <c r="R133" s="526"/>
      <c r="T133" s="526"/>
      <c r="U133" s="526"/>
      <c r="V133" s="526"/>
      <c r="W133" s="526"/>
      <c r="X133" s="526"/>
      <c r="Y133" s="526"/>
      <c r="Z133" s="526"/>
      <c r="AA133" s="526"/>
      <c r="AB133" s="526"/>
      <c r="AC133" s="526"/>
      <c r="AE133" s="526"/>
      <c r="AF133" s="526"/>
      <c r="AG133" s="526"/>
      <c r="AH133" s="526"/>
      <c r="AI133" s="526"/>
      <c r="AJ133" s="526"/>
      <c r="AK133" s="526"/>
      <c r="AL133" s="526"/>
      <c r="AM133" s="526"/>
      <c r="AN133" s="526"/>
      <c r="AO133" s="526"/>
      <c r="AP133" s="526"/>
      <c r="AQ133" s="526"/>
      <c r="AR133" s="526"/>
      <c r="AS133" s="526"/>
      <c r="AT133" s="526"/>
      <c r="AU133" s="526"/>
      <c r="AW133" s="526"/>
      <c r="AX133" s="526"/>
      <c r="AY133" s="526"/>
      <c r="AZ133" s="526"/>
      <c r="BA133" s="526"/>
      <c r="BB133" s="526"/>
      <c r="BC133" s="526"/>
      <c r="BD133" s="526"/>
      <c r="BF133" s="526"/>
      <c r="BG133" s="526"/>
      <c r="BH133" s="526"/>
      <c r="BI133" s="526"/>
      <c r="BJ133" s="526"/>
      <c r="BK133" s="526"/>
      <c r="BL133" s="526"/>
      <c r="BM133" s="526"/>
      <c r="BN133" s="526"/>
      <c r="BO133" s="526"/>
    </row>
    <row r="134" spans="1:67" x14ac:dyDescent="0.25">
      <c r="K134" s="526"/>
      <c r="L134" s="526"/>
      <c r="M134" s="526"/>
      <c r="N134" s="526"/>
      <c r="O134" s="526"/>
      <c r="P134" s="526"/>
      <c r="Q134" s="526"/>
      <c r="R134" s="526"/>
      <c r="T134" s="526"/>
      <c r="U134" s="526"/>
      <c r="V134" s="526"/>
      <c r="W134" s="526"/>
      <c r="X134" s="526"/>
      <c r="Y134" s="526"/>
      <c r="Z134" s="526"/>
      <c r="AA134" s="526"/>
      <c r="AB134" s="526"/>
      <c r="AC134" s="526"/>
      <c r="AE134" s="526"/>
      <c r="AF134" s="526"/>
      <c r="AG134" s="526"/>
      <c r="AH134" s="526"/>
      <c r="AI134" s="526"/>
      <c r="AJ134" s="526"/>
      <c r="AK134" s="526"/>
      <c r="AL134" s="526"/>
      <c r="AM134" s="526"/>
      <c r="AN134" s="526"/>
      <c r="AO134" s="526"/>
      <c r="AP134" s="526"/>
      <c r="AQ134" s="526"/>
      <c r="AR134" s="526"/>
      <c r="AS134" s="526"/>
      <c r="AT134" s="526"/>
      <c r="AU134" s="526"/>
      <c r="AW134" s="526"/>
      <c r="AX134" s="526"/>
      <c r="AY134" s="526"/>
      <c r="AZ134" s="526"/>
      <c r="BA134" s="526"/>
      <c r="BB134" s="526"/>
      <c r="BC134" s="526"/>
      <c r="BD134" s="526"/>
      <c r="BF134" s="526"/>
      <c r="BG134" s="526"/>
      <c r="BH134" s="526"/>
      <c r="BI134" s="526"/>
      <c r="BJ134" s="526"/>
      <c r="BK134" s="526"/>
      <c r="BL134" s="526"/>
      <c r="BM134" s="526"/>
      <c r="BN134" s="526"/>
      <c r="BO134" s="526"/>
    </row>
    <row r="135" spans="1:67" x14ac:dyDescent="0.25">
      <c r="K135" s="526"/>
      <c r="L135" s="526"/>
      <c r="M135" s="526"/>
      <c r="N135" s="526"/>
      <c r="O135" s="526"/>
      <c r="P135" s="526"/>
      <c r="Q135" s="526"/>
      <c r="R135" s="526"/>
      <c r="T135" s="526"/>
      <c r="U135" s="526"/>
      <c r="V135" s="526"/>
      <c r="W135" s="526"/>
      <c r="X135" s="526"/>
      <c r="Y135" s="526"/>
      <c r="Z135" s="526"/>
      <c r="AA135" s="526"/>
      <c r="AB135" s="526"/>
      <c r="AC135" s="526"/>
      <c r="AE135" s="526"/>
      <c r="AF135" s="526"/>
      <c r="AG135" s="526"/>
      <c r="AH135" s="526"/>
      <c r="AI135" s="526"/>
      <c r="AJ135" s="526"/>
      <c r="AK135" s="526"/>
      <c r="AL135" s="526"/>
      <c r="AM135" s="526"/>
      <c r="AN135" s="526"/>
      <c r="AO135" s="526"/>
      <c r="AP135" s="526"/>
      <c r="AQ135" s="526"/>
      <c r="AR135" s="526"/>
      <c r="AS135" s="526"/>
      <c r="AT135" s="526"/>
      <c r="AU135" s="526"/>
      <c r="AW135" s="526"/>
      <c r="AX135" s="526"/>
      <c r="AY135" s="526"/>
      <c r="AZ135" s="526"/>
      <c r="BA135" s="526"/>
      <c r="BB135" s="526"/>
      <c r="BC135" s="526"/>
      <c r="BD135" s="526"/>
      <c r="BF135" s="526"/>
      <c r="BG135" s="526"/>
      <c r="BH135" s="526"/>
      <c r="BI135" s="526"/>
      <c r="BJ135" s="526"/>
      <c r="BK135" s="526"/>
      <c r="BL135" s="526"/>
      <c r="BM135" s="526"/>
      <c r="BN135" s="526"/>
      <c r="BO135" s="526"/>
    </row>
  </sheetData>
  <mergeCells count="77">
    <mergeCell ref="AT10:AT12"/>
    <mergeCell ref="F10:F12"/>
    <mergeCell ref="G10:G12"/>
    <mergeCell ref="P10:P12"/>
    <mergeCell ref="Q10:Q12"/>
    <mergeCell ref="Z10:Z12"/>
    <mergeCell ref="AA10:AA12"/>
    <mergeCell ref="AE8:AE12"/>
    <mergeCell ref="AF8:AF12"/>
    <mergeCell ref="AG8:AG12"/>
    <mergeCell ref="AH8:AH12"/>
    <mergeCell ref="AI8:AI12"/>
    <mergeCell ref="AJ8:AJ12"/>
    <mergeCell ref="W8:W12"/>
    <mergeCell ref="X8:X12"/>
    <mergeCell ref="Y8:Y12"/>
    <mergeCell ref="BD8:BD12"/>
    <mergeCell ref="BE8:BE12"/>
    <mergeCell ref="BF8:BG12"/>
    <mergeCell ref="BM8:BM12"/>
    <mergeCell ref="BN8:BN12"/>
    <mergeCell ref="AZ9:AZ12"/>
    <mergeCell ref="BA9:BA12"/>
    <mergeCell ref="BB9:BB12"/>
    <mergeCell ref="AU8:AU12"/>
    <mergeCell ref="AV8:AV12"/>
    <mergeCell ref="AW8:AW12"/>
    <mergeCell ref="AX8:AX12"/>
    <mergeCell ref="AY8:BB8"/>
    <mergeCell ref="BO7:BO12"/>
    <mergeCell ref="B8:B12"/>
    <mergeCell ref="C8:C12"/>
    <mergeCell ref="D8:D12"/>
    <mergeCell ref="E8:E12"/>
    <mergeCell ref="F8:G9"/>
    <mergeCell ref="H8:H12"/>
    <mergeCell ref="I8:I12"/>
    <mergeCell ref="J8:J12"/>
    <mergeCell ref="K8:K12"/>
    <mergeCell ref="BH7:BH12"/>
    <mergeCell ref="BI7:BI12"/>
    <mergeCell ref="BJ7:BJ12"/>
    <mergeCell ref="BK7:BK12"/>
    <mergeCell ref="BL7:BL12"/>
    <mergeCell ref="BM7:BN7"/>
    <mergeCell ref="A7:A13"/>
    <mergeCell ref="B7:K7"/>
    <mergeCell ref="L7:U7"/>
    <mergeCell ref="V7:AF7"/>
    <mergeCell ref="AG7:AX7"/>
    <mergeCell ref="Z8:AB9"/>
    <mergeCell ref="AC8:AC12"/>
    <mergeCell ref="AD8:AD12"/>
    <mergeCell ref="AB10:AB12"/>
    <mergeCell ref="P8:Q9"/>
    <mergeCell ref="R8:R12"/>
    <mergeCell ref="S8:S12"/>
    <mergeCell ref="T8:T12"/>
    <mergeCell ref="U8:U12"/>
    <mergeCell ref="V8:V12"/>
    <mergeCell ref="AK8:AK12"/>
    <mergeCell ref="AY7:BG7"/>
    <mergeCell ref="L8:L12"/>
    <mergeCell ref="M8:M12"/>
    <mergeCell ref="N8:N12"/>
    <mergeCell ref="O8:O12"/>
    <mergeCell ref="BC8:BC12"/>
    <mergeCell ref="AL8:AL12"/>
    <mergeCell ref="AM8:AM12"/>
    <mergeCell ref="AN8:AN12"/>
    <mergeCell ref="AO8:AO12"/>
    <mergeCell ref="AP8:AT9"/>
    <mergeCell ref="AP10:AP12"/>
    <mergeCell ref="AQ10:AQ12"/>
    <mergeCell ref="AR10:AR12"/>
    <mergeCell ref="AS10:AS12"/>
    <mergeCell ref="AY9:AY12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  <pageSetUpPr fitToPage="1"/>
  </sheetPr>
  <dimension ref="A1:R266"/>
  <sheetViews>
    <sheetView view="pageBreakPreview" zoomScaleSheetLayoutView="100" workbookViewId="0">
      <pane xSplit="2" ySplit="8" topLeftCell="C247" activePane="bottomRight" state="frozen"/>
      <selection pane="topRight" activeCell="C1" sqref="C1"/>
      <selection pane="bottomLeft" activeCell="A9" sqref="A9"/>
      <selection pane="bottomRight" activeCell="L262" sqref="L262"/>
    </sheetView>
  </sheetViews>
  <sheetFormatPr defaultRowHeight="15" x14ac:dyDescent="0.25"/>
  <cols>
    <col min="1" max="1" width="4.85546875" style="1" customWidth="1"/>
    <col min="2" max="2" width="33.28515625" style="1" customWidth="1"/>
    <col min="3" max="3" width="8.28515625" style="1" customWidth="1"/>
    <col min="4" max="4" width="7.85546875" style="1" customWidth="1"/>
    <col min="5" max="5" width="7.42578125" style="1" customWidth="1"/>
    <col min="6" max="6" width="7.28515625" style="1" customWidth="1"/>
    <col min="7" max="7" width="11.5703125" style="1" customWidth="1"/>
    <col min="8" max="8" width="12" style="1" customWidth="1"/>
    <col min="9" max="9" width="11.28515625" style="1" customWidth="1"/>
    <col min="10" max="10" width="11.7109375" style="1" customWidth="1"/>
    <col min="11" max="11" width="7.85546875" style="1" customWidth="1"/>
    <col min="12" max="13" width="9.42578125" style="1" customWidth="1"/>
    <col min="14" max="14" width="7.28515625" style="1" customWidth="1"/>
    <col min="15" max="15" width="8.28515625" style="1" customWidth="1"/>
    <col min="16" max="16" width="43.85546875" style="1" customWidth="1"/>
    <col min="17" max="17" width="9.85546875" style="9" customWidth="1"/>
    <col min="18" max="16384" width="9.140625" style="1"/>
  </cols>
  <sheetData>
    <row r="1" spans="1:17" x14ac:dyDescent="0.25">
      <c r="P1" s="1" t="s">
        <v>454</v>
      </c>
    </row>
    <row r="2" spans="1:17" x14ac:dyDescent="0.25">
      <c r="B2" s="1051" t="s">
        <v>354</v>
      </c>
      <c r="C2" s="1051"/>
      <c r="D2" s="1051"/>
      <c r="E2" s="1051"/>
      <c r="F2" s="1051"/>
      <c r="G2" s="1051"/>
      <c r="H2" s="1051"/>
      <c r="I2" s="1051"/>
      <c r="J2" s="1051"/>
      <c r="K2" s="1051"/>
      <c r="L2" s="1051"/>
      <c r="M2" s="1051"/>
      <c r="N2" s="1051"/>
      <c r="O2" s="1051"/>
      <c r="P2" s="1051"/>
    </row>
    <row r="3" spans="1:17" x14ac:dyDescent="0.25">
      <c r="B3" s="1051" t="s">
        <v>355</v>
      </c>
      <c r="C3" s="1051"/>
      <c r="D3" s="1051"/>
      <c r="E3" s="1051"/>
      <c r="F3" s="1051"/>
      <c r="G3" s="1051"/>
      <c r="H3" s="1051"/>
      <c r="I3" s="1051"/>
      <c r="J3" s="1051"/>
      <c r="K3" s="1051"/>
      <c r="L3" s="1051"/>
      <c r="M3" s="1051"/>
      <c r="N3" s="1051"/>
      <c r="O3" s="1051"/>
      <c r="P3" s="1051"/>
    </row>
    <row r="4" spans="1:17" x14ac:dyDescent="0.25">
      <c r="B4" s="1051" t="s">
        <v>682</v>
      </c>
      <c r="C4" s="1051"/>
      <c r="D4" s="1051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</row>
    <row r="5" spans="1:17" x14ac:dyDescent="0.25">
      <c r="B5" s="1186" t="s">
        <v>231</v>
      </c>
      <c r="C5" s="1186"/>
      <c r="D5" s="1186"/>
      <c r="E5" s="1186"/>
      <c r="F5" s="1186"/>
      <c r="G5" s="1186"/>
      <c r="H5" s="1186"/>
      <c r="I5" s="1186"/>
      <c r="J5" s="1186"/>
      <c r="K5" s="1186"/>
      <c r="L5" s="1186"/>
      <c r="M5" s="1186"/>
      <c r="N5" s="1186"/>
      <c r="O5" s="1186"/>
      <c r="P5" s="1186"/>
    </row>
    <row r="6" spans="1:17" ht="60" customHeight="1" x14ac:dyDescent="0.25">
      <c r="A6" s="1187" t="s">
        <v>239</v>
      </c>
      <c r="B6" s="1043" t="s">
        <v>3</v>
      </c>
      <c r="C6" s="1018" t="s">
        <v>430</v>
      </c>
      <c r="D6" s="1018" t="s">
        <v>507</v>
      </c>
      <c r="E6" s="1189" t="s">
        <v>220</v>
      </c>
      <c r="F6" s="1190"/>
      <c r="G6" s="1018" t="s">
        <v>508</v>
      </c>
      <c r="H6" s="1191" t="s">
        <v>29</v>
      </c>
      <c r="I6" s="1192"/>
      <c r="J6" s="1193"/>
      <c r="K6" s="1018" t="s">
        <v>84</v>
      </c>
      <c r="L6" s="1018" t="s">
        <v>350</v>
      </c>
      <c r="M6" s="1191" t="s">
        <v>29</v>
      </c>
      <c r="N6" s="1192"/>
      <c r="O6" s="1193"/>
      <c r="P6" s="1036" t="s">
        <v>74</v>
      </c>
      <c r="Q6" s="1183" t="s">
        <v>509</v>
      </c>
    </row>
    <row r="7" spans="1:17" ht="65.25" customHeight="1" x14ac:dyDescent="0.25">
      <c r="A7" s="1188"/>
      <c r="B7" s="1045"/>
      <c r="C7" s="1019"/>
      <c r="D7" s="1019"/>
      <c r="E7" s="34" t="s">
        <v>510</v>
      </c>
      <c r="F7" s="34" t="s">
        <v>511</v>
      </c>
      <c r="G7" s="1019"/>
      <c r="H7" s="34" t="s">
        <v>178</v>
      </c>
      <c r="I7" s="34" t="s">
        <v>242</v>
      </c>
      <c r="J7" s="34" t="s">
        <v>179</v>
      </c>
      <c r="K7" s="1019"/>
      <c r="L7" s="1019"/>
      <c r="M7" s="34" t="s">
        <v>178</v>
      </c>
      <c r="N7" s="34" t="s">
        <v>242</v>
      </c>
      <c r="O7" s="34" t="s">
        <v>179</v>
      </c>
      <c r="P7" s="1038"/>
      <c r="Q7" s="1184"/>
    </row>
    <row r="8" spans="1:17" ht="33.75" x14ac:dyDescent="0.25">
      <c r="A8" s="53">
        <v>1</v>
      </c>
      <c r="B8" s="236">
        <v>2</v>
      </c>
      <c r="C8" s="3">
        <v>3</v>
      </c>
      <c r="D8" s="3">
        <v>4</v>
      </c>
      <c r="E8" s="3">
        <v>5</v>
      </c>
      <c r="F8" s="3">
        <v>6</v>
      </c>
      <c r="G8" s="3" t="s">
        <v>267</v>
      </c>
      <c r="H8" s="3" t="s">
        <v>268</v>
      </c>
      <c r="I8" s="3" t="s">
        <v>269</v>
      </c>
      <c r="J8" s="3">
        <v>9</v>
      </c>
      <c r="K8" s="3">
        <v>10</v>
      </c>
      <c r="L8" s="3" t="s">
        <v>270</v>
      </c>
      <c r="M8" s="3" t="s">
        <v>271</v>
      </c>
      <c r="N8" s="3" t="s">
        <v>272</v>
      </c>
      <c r="O8" s="3" t="s">
        <v>273</v>
      </c>
      <c r="P8" s="3">
        <v>14</v>
      </c>
      <c r="Q8" s="3">
        <v>15</v>
      </c>
    </row>
    <row r="9" spans="1:17" ht="15" customHeight="1" x14ac:dyDescent="0.25">
      <c r="A9" s="46"/>
      <c r="B9" s="240"/>
      <c r="C9" s="1185" t="s">
        <v>93</v>
      </c>
      <c r="D9" s="1181"/>
      <c r="E9" s="1181"/>
      <c r="F9" s="1181"/>
      <c r="G9" s="1181"/>
      <c r="H9" s="1181"/>
      <c r="I9" s="1181"/>
      <c r="J9" s="1181"/>
      <c r="K9" s="1181"/>
      <c r="L9" s="1181"/>
      <c r="M9" s="1181"/>
      <c r="N9" s="1181"/>
      <c r="O9" s="1181"/>
      <c r="P9" s="48"/>
      <c r="Q9" s="47"/>
    </row>
    <row r="10" spans="1:17" ht="22.5" x14ac:dyDescent="0.25">
      <c r="A10" s="41"/>
      <c r="B10" s="40" t="s">
        <v>76</v>
      </c>
      <c r="C10" s="20">
        <v>5</v>
      </c>
      <c r="D10" s="22">
        <v>273996</v>
      </c>
      <c r="E10" s="24">
        <f>1+1+2+1+1</f>
        <v>6</v>
      </c>
      <c r="F10" s="24">
        <f>1*29/10</f>
        <v>3</v>
      </c>
      <c r="G10" s="242">
        <f>(E10+F10)/D10/C10</f>
        <v>6.5694000000000002E-6</v>
      </c>
      <c r="H10" s="242">
        <f>G10-J10</f>
        <v>6.5694000000000002E-6</v>
      </c>
      <c r="I10" s="242">
        <f>(F10)/D10/C10</f>
        <v>2.1898000000000002E-6</v>
      </c>
      <c r="J10" s="242"/>
      <c r="K10" s="20">
        <v>40000</v>
      </c>
      <c r="L10" s="243">
        <f>G10*K10</f>
        <v>0.26278000000000001</v>
      </c>
      <c r="M10" s="243">
        <f>H10*K10</f>
        <v>0.26278000000000001</v>
      </c>
      <c r="N10" s="243">
        <f>I10*K10</f>
        <v>8.7590000000000001E-2</v>
      </c>
      <c r="O10" s="243">
        <f>L10-M10</f>
        <v>0</v>
      </c>
      <c r="P10" s="21" t="s">
        <v>171</v>
      </c>
      <c r="Q10" s="21"/>
    </row>
    <row r="11" spans="1:17" ht="22.5" x14ac:dyDescent="0.25">
      <c r="A11" s="41"/>
      <c r="B11" s="40" t="s">
        <v>77</v>
      </c>
      <c r="C11" s="20">
        <v>5</v>
      </c>
      <c r="D11" s="22">
        <v>273996</v>
      </c>
      <c r="E11" s="24">
        <f>E10</f>
        <v>6</v>
      </c>
      <c r="F11" s="24">
        <f>F10</f>
        <v>3</v>
      </c>
      <c r="G11" s="242">
        <f t="shared" ref="G11:G74" si="0">(E11+F11)/D11/C11</f>
        <v>6.5694000000000002E-6</v>
      </c>
      <c r="H11" s="242">
        <f t="shared" ref="H11:H17" si="1">G11-J11</f>
        <v>6.5694000000000002E-6</v>
      </c>
      <c r="I11" s="242">
        <f>(F11)/D11/C11</f>
        <v>2.1898000000000002E-6</v>
      </c>
      <c r="J11" s="242"/>
      <c r="K11" s="20">
        <v>6700</v>
      </c>
      <c r="L11" s="243">
        <f t="shared" ref="L11:L74" si="2">G11*K11</f>
        <v>4.4010000000000001E-2</v>
      </c>
      <c r="M11" s="243">
        <f t="shared" ref="M11:M17" si="3">H11*K11</f>
        <v>4.4010000000000001E-2</v>
      </c>
      <c r="N11" s="243">
        <f t="shared" ref="N11:N17" si="4">I11*K11</f>
        <v>1.4670000000000001E-2</v>
      </c>
      <c r="O11" s="243">
        <f t="shared" ref="O11:O17" si="5">L11-M11</f>
        <v>0</v>
      </c>
      <c r="P11" s="21" t="s">
        <v>171</v>
      </c>
      <c r="Q11" s="21"/>
    </row>
    <row r="12" spans="1:17" ht="33.75" x14ac:dyDescent="0.25">
      <c r="A12" s="41"/>
      <c r="B12" s="40" t="s">
        <v>78</v>
      </c>
      <c r="C12" s="20">
        <v>5</v>
      </c>
      <c r="D12" s="22">
        <v>273996</v>
      </c>
      <c r="E12" s="24">
        <v>1</v>
      </c>
      <c r="F12" s="24"/>
      <c r="G12" s="242">
        <f t="shared" si="0"/>
        <v>7.2989999999999999E-7</v>
      </c>
      <c r="H12" s="242">
        <f t="shared" si="1"/>
        <v>7.2989999999999999E-7</v>
      </c>
      <c r="I12" s="242"/>
      <c r="J12" s="242"/>
      <c r="K12" s="20">
        <v>25800</v>
      </c>
      <c r="L12" s="243">
        <f t="shared" si="2"/>
        <v>1.883E-2</v>
      </c>
      <c r="M12" s="243">
        <f t="shared" si="3"/>
        <v>1.883E-2</v>
      </c>
      <c r="N12" s="243">
        <f t="shared" si="4"/>
        <v>0</v>
      </c>
      <c r="O12" s="243">
        <f t="shared" si="5"/>
        <v>0</v>
      </c>
      <c r="P12" s="20" t="s">
        <v>86</v>
      </c>
      <c r="Q12" s="21"/>
    </row>
    <row r="13" spans="1:17" x14ac:dyDescent="0.25">
      <c r="A13" s="41"/>
      <c r="B13" s="40" t="s">
        <v>79</v>
      </c>
      <c r="C13" s="20">
        <v>5</v>
      </c>
      <c r="D13" s="22">
        <v>273996</v>
      </c>
      <c r="E13" s="24">
        <v>1</v>
      </c>
      <c r="F13" s="24"/>
      <c r="G13" s="242">
        <f t="shared" si="0"/>
        <v>7.2989999999999999E-7</v>
      </c>
      <c r="H13" s="242">
        <f t="shared" si="1"/>
        <v>7.2989999999999999E-7</v>
      </c>
      <c r="I13" s="242"/>
      <c r="J13" s="242"/>
      <c r="K13" s="20">
        <v>7500</v>
      </c>
      <c r="L13" s="243">
        <f t="shared" si="2"/>
        <v>5.47E-3</v>
      </c>
      <c r="M13" s="243">
        <f t="shared" si="3"/>
        <v>5.47E-3</v>
      </c>
      <c r="N13" s="243">
        <f t="shared" si="4"/>
        <v>0</v>
      </c>
      <c r="O13" s="243">
        <f t="shared" si="5"/>
        <v>0</v>
      </c>
      <c r="P13" s="20" t="s">
        <v>85</v>
      </c>
      <c r="Q13" s="21"/>
    </row>
    <row r="14" spans="1:17" ht="22.5" x14ac:dyDescent="0.25">
      <c r="A14" s="41"/>
      <c r="B14" s="40" t="s">
        <v>82</v>
      </c>
      <c r="C14" s="20">
        <v>1</v>
      </c>
      <c r="D14" s="22">
        <v>273996</v>
      </c>
      <c r="E14" s="24">
        <f>1*E11/5</f>
        <v>1</v>
      </c>
      <c r="F14" s="24">
        <f>1*F11/5</f>
        <v>1</v>
      </c>
      <c r="G14" s="242">
        <f t="shared" si="0"/>
        <v>7.2993999999999999E-6</v>
      </c>
      <c r="H14" s="242">
        <f t="shared" si="1"/>
        <v>7.2993999999999999E-6</v>
      </c>
      <c r="I14" s="242">
        <f>(F14)/D14/C14</f>
        <v>3.6497E-6</v>
      </c>
      <c r="J14" s="242"/>
      <c r="K14" s="20">
        <v>7000</v>
      </c>
      <c r="L14" s="243">
        <f t="shared" si="2"/>
        <v>5.11E-2</v>
      </c>
      <c r="M14" s="243">
        <f t="shared" si="3"/>
        <v>5.11E-2</v>
      </c>
      <c r="N14" s="243">
        <f t="shared" si="4"/>
        <v>2.555E-2</v>
      </c>
      <c r="O14" s="243">
        <f t="shared" si="5"/>
        <v>0</v>
      </c>
      <c r="P14" s="20" t="s">
        <v>211</v>
      </c>
      <c r="Q14" s="21"/>
    </row>
    <row r="15" spans="1:17" x14ac:dyDescent="0.25">
      <c r="A15" s="41"/>
      <c r="B15" s="40" t="s">
        <v>83</v>
      </c>
      <c r="C15" s="20">
        <v>1</v>
      </c>
      <c r="D15" s="22">
        <v>273996</v>
      </c>
      <c r="E15" s="24">
        <f>1*E12</f>
        <v>1</v>
      </c>
      <c r="F15" s="24">
        <f>1*F12</f>
        <v>0</v>
      </c>
      <c r="G15" s="242">
        <f t="shared" si="0"/>
        <v>3.6497E-6</v>
      </c>
      <c r="H15" s="242">
        <f t="shared" si="1"/>
        <v>3.6497E-6</v>
      </c>
      <c r="I15" s="242"/>
      <c r="J15" s="242"/>
      <c r="K15" s="20">
        <v>9000</v>
      </c>
      <c r="L15" s="243">
        <f t="shared" si="2"/>
        <v>3.2849999999999997E-2</v>
      </c>
      <c r="M15" s="243">
        <f t="shared" si="3"/>
        <v>3.2849999999999997E-2</v>
      </c>
      <c r="N15" s="243">
        <f t="shared" si="4"/>
        <v>0</v>
      </c>
      <c r="O15" s="243">
        <f t="shared" si="5"/>
        <v>0</v>
      </c>
      <c r="P15" s="20" t="s">
        <v>81</v>
      </c>
      <c r="Q15" s="21"/>
    </row>
    <row r="16" spans="1:17" ht="22.5" x14ac:dyDescent="0.25">
      <c r="A16" s="41"/>
      <c r="B16" s="40" t="s">
        <v>80</v>
      </c>
      <c r="C16" s="20">
        <v>1</v>
      </c>
      <c r="D16" s="22">
        <v>273996</v>
      </c>
      <c r="E16" s="24">
        <f>1*E13*12</f>
        <v>12</v>
      </c>
      <c r="F16" s="24">
        <f>1*F13*12</f>
        <v>0</v>
      </c>
      <c r="G16" s="242">
        <f t="shared" si="0"/>
        <v>4.3796299999999999E-5</v>
      </c>
      <c r="H16" s="242">
        <f t="shared" si="1"/>
        <v>4.3796299999999999E-5</v>
      </c>
      <c r="I16" s="242"/>
      <c r="J16" s="242"/>
      <c r="K16" s="20">
        <v>90</v>
      </c>
      <c r="L16" s="243">
        <f t="shared" si="2"/>
        <v>3.9399999999999999E-3</v>
      </c>
      <c r="M16" s="243">
        <f t="shared" si="3"/>
        <v>3.9399999999999999E-3</v>
      </c>
      <c r="N16" s="243">
        <f t="shared" si="4"/>
        <v>0</v>
      </c>
      <c r="O16" s="243">
        <f t="shared" si="5"/>
        <v>0</v>
      </c>
      <c r="P16" s="20" t="s">
        <v>87</v>
      </c>
      <c r="Q16" s="21"/>
    </row>
    <row r="17" spans="1:17" ht="33.75" x14ac:dyDescent="0.25">
      <c r="A17" s="41"/>
      <c r="B17" s="40" t="s">
        <v>75</v>
      </c>
      <c r="C17" s="20">
        <v>1</v>
      </c>
      <c r="D17" s="22">
        <v>273996</v>
      </c>
      <c r="E17" s="22">
        <f>(1+4+1+2)*12</f>
        <v>96</v>
      </c>
      <c r="F17" s="22">
        <f>2*29*4</f>
        <v>232</v>
      </c>
      <c r="G17" s="242">
        <f t="shared" si="0"/>
        <v>1.1970978000000001E-3</v>
      </c>
      <c r="H17" s="242">
        <f t="shared" si="1"/>
        <v>1.1970978000000001E-3</v>
      </c>
      <c r="I17" s="242">
        <f>(F17)/D17/C17</f>
        <v>8.4672770000000005E-4</v>
      </c>
      <c r="J17" s="242"/>
      <c r="K17" s="20">
        <v>220</v>
      </c>
      <c r="L17" s="243">
        <f t="shared" si="2"/>
        <v>0.26335999999999998</v>
      </c>
      <c r="M17" s="243">
        <f t="shared" si="3"/>
        <v>0.26335999999999998</v>
      </c>
      <c r="N17" s="243">
        <f t="shared" si="4"/>
        <v>0.18628</v>
      </c>
      <c r="O17" s="243">
        <f t="shared" si="5"/>
        <v>0</v>
      </c>
      <c r="P17" s="21" t="s">
        <v>172</v>
      </c>
      <c r="Q17" s="21"/>
    </row>
    <row r="18" spans="1:17" x14ac:dyDescent="0.25">
      <c r="A18" s="41"/>
      <c r="B18" s="1177" t="s">
        <v>88</v>
      </c>
      <c r="C18" s="1177"/>
      <c r="D18" s="1177"/>
      <c r="E18" s="1177"/>
      <c r="F18" s="1177"/>
      <c r="G18" s="1177"/>
      <c r="H18" s="1177"/>
      <c r="I18" s="1177"/>
      <c r="J18" s="1177"/>
      <c r="K18" s="1177"/>
      <c r="L18" s="1177"/>
      <c r="M18" s="1177"/>
      <c r="N18" s="1177"/>
      <c r="O18" s="1177"/>
      <c r="P18" s="1178"/>
      <c r="Q18" s="21"/>
    </row>
    <row r="19" spans="1:17" ht="56.25" x14ac:dyDescent="0.25">
      <c r="A19" s="41"/>
      <c r="B19" s="40" t="s">
        <v>89</v>
      </c>
      <c r="C19" s="20">
        <v>3</v>
      </c>
      <c r="D19" s="22">
        <v>273996</v>
      </c>
      <c r="E19" s="24">
        <f>1*6+1+1</f>
        <v>8</v>
      </c>
      <c r="F19" s="24">
        <f>1*29</f>
        <v>29</v>
      </c>
      <c r="G19" s="242">
        <f t="shared" si="0"/>
        <v>4.5012799999999997E-5</v>
      </c>
      <c r="H19" s="242">
        <f>G19-J19</f>
        <v>4.5012799999999997E-5</v>
      </c>
      <c r="I19" s="242"/>
      <c r="J19" s="242"/>
      <c r="K19" s="20">
        <v>500</v>
      </c>
      <c r="L19" s="243">
        <f t="shared" si="2"/>
        <v>2.2509999999999999E-2</v>
      </c>
      <c r="M19" s="243">
        <f>H19*K19</f>
        <v>2.2509999999999999E-2</v>
      </c>
      <c r="N19" s="243">
        <f>I19*K19</f>
        <v>0</v>
      </c>
      <c r="O19" s="243">
        <f>L19-M19</f>
        <v>0</v>
      </c>
      <c r="P19" s="21" t="s">
        <v>173</v>
      </c>
      <c r="Q19" s="21"/>
    </row>
    <row r="20" spans="1:17" x14ac:dyDescent="0.25">
      <c r="A20" s="41"/>
      <c r="B20" s="40" t="s">
        <v>90</v>
      </c>
      <c r="C20" s="20">
        <v>5</v>
      </c>
      <c r="D20" s="22">
        <v>273996</v>
      </c>
      <c r="E20" s="22">
        <v>2</v>
      </c>
      <c r="F20" s="22"/>
      <c r="G20" s="242">
        <f t="shared" si="0"/>
        <v>1.4599E-6</v>
      </c>
      <c r="H20" s="242">
        <f>G20-J20</f>
        <v>1.4599E-6</v>
      </c>
      <c r="I20" s="242"/>
      <c r="J20" s="242"/>
      <c r="K20" s="20">
        <v>5500</v>
      </c>
      <c r="L20" s="243">
        <f t="shared" si="2"/>
        <v>8.0300000000000007E-3</v>
      </c>
      <c r="M20" s="243">
        <f>H20*K20</f>
        <v>8.0300000000000007E-3</v>
      </c>
      <c r="N20" s="243">
        <f>I20*K20</f>
        <v>0</v>
      </c>
      <c r="O20" s="243">
        <f>L20-M20</f>
        <v>0</v>
      </c>
      <c r="P20" s="20" t="s">
        <v>91</v>
      </c>
      <c r="Q20" s="21"/>
    </row>
    <row r="21" spans="1:17" x14ac:dyDescent="0.25">
      <c r="A21" s="41"/>
      <c r="B21" s="39" t="s">
        <v>229</v>
      </c>
      <c r="C21" s="35"/>
      <c r="D21" s="36"/>
      <c r="E21" s="36"/>
      <c r="F21" s="36"/>
      <c r="G21" s="37"/>
      <c r="H21" s="37"/>
      <c r="I21" s="37"/>
      <c r="J21" s="37"/>
      <c r="K21" s="35"/>
      <c r="L21" s="244">
        <f>SUM(L10:L17,L19:L20)</f>
        <v>0.71287999999999996</v>
      </c>
      <c r="M21" s="244">
        <f>SUM(M10:M17,M19:M20)</f>
        <v>0.71287999999999996</v>
      </c>
      <c r="N21" s="244">
        <f>SUM(N10:N17,N19:N20)</f>
        <v>0.31408999999999998</v>
      </c>
      <c r="O21" s="244">
        <f>SUM(O10:O17,O19:O20)</f>
        <v>0</v>
      </c>
      <c r="P21" s="35"/>
      <c r="Q21" s="21"/>
    </row>
    <row r="22" spans="1:17" x14ac:dyDescent="0.25">
      <c r="A22" s="41" t="s">
        <v>240</v>
      </c>
      <c r="B22" s="39"/>
      <c r="C22" s="35"/>
      <c r="D22" s="36"/>
      <c r="E22" s="36"/>
      <c r="F22" s="36"/>
      <c r="G22" s="37"/>
      <c r="H22" s="37"/>
      <c r="I22" s="37"/>
      <c r="J22" s="37"/>
      <c r="K22" s="35"/>
      <c r="L22" s="244">
        <f>SUM(M22:O22)</f>
        <v>0.31408999999999998</v>
      </c>
      <c r="M22" s="244"/>
      <c r="N22" s="244">
        <f>N21</f>
        <v>0.31408999999999998</v>
      </c>
      <c r="O22" s="244"/>
      <c r="P22" s="35"/>
      <c r="Q22" s="21"/>
    </row>
    <row r="23" spans="1:17" x14ac:dyDescent="0.25">
      <c r="A23" s="41" t="s">
        <v>241</v>
      </c>
      <c r="B23" s="39"/>
      <c r="C23" s="35"/>
      <c r="D23" s="36"/>
      <c r="E23" s="36"/>
      <c r="F23" s="36"/>
      <c r="G23" s="37"/>
      <c r="H23" s="37"/>
      <c r="I23" s="37"/>
      <c r="J23" s="37"/>
      <c r="K23" s="35"/>
      <c r="L23" s="244">
        <f>SUM(M23:O23)</f>
        <v>0.39878999999999998</v>
      </c>
      <c r="M23" s="244">
        <f>M21-N22</f>
        <v>0.39878999999999998</v>
      </c>
      <c r="N23" s="244"/>
      <c r="O23" s="244"/>
      <c r="P23" s="35"/>
      <c r="Q23" s="21"/>
    </row>
    <row r="24" spans="1:17" x14ac:dyDescent="0.25">
      <c r="A24" s="46"/>
      <c r="B24" s="1181" t="s">
        <v>92</v>
      </c>
      <c r="C24" s="1181"/>
      <c r="D24" s="1181"/>
      <c r="E24" s="1181"/>
      <c r="F24" s="1181"/>
      <c r="G24" s="1181"/>
      <c r="H24" s="1181"/>
      <c r="I24" s="1181"/>
      <c r="J24" s="1181"/>
      <c r="K24" s="1181"/>
      <c r="L24" s="1181"/>
      <c r="M24" s="1181"/>
      <c r="N24" s="1181"/>
      <c r="O24" s="1181"/>
      <c r="P24" s="1182"/>
      <c r="Q24" s="47"/>
    </row>
    <row r="25" spans="1:17" ht="22.5" x14ac:dyDescent="0.25">
      <c r="A25" s="41"/>
      <c r="B25" s="40" t="s">
        <v>94</v>
      </c>
      <c r="C25" s="20">
        <v>1</v>
      </c>
      <c r="D25" s="22">
        <v>273996</v>
      </c>
      <c r="E25" s="22">
        <f>6*1</f>
        <v>6</v>
      </c>
      <c r="F25" s="24">
        <f>29</f>
        <v>29</v>
      </c>
      <c r="G25" s="242">
        <f t="shared" si="0"/>
        <v>1.2773910000000001E-4</v>
      </c>
      <c r="H25" s="242">
        <f t="shared" ref="H25:H65" si="6">G25-J25</f>
        <v>1.2773910000000001E-4</v>
      </c>
      <c r="I25" s="242">
        <f t="shared" ref="I25:I65" si="7">(F25)/D25/C25</f>
        <v>1.0584100000000001E-4</v>
      </c>
      <c r="J25" s="242"/>
      <c r="K25" s="20">
        <v>170</v>
      </c>
      <c r="L25" s="243">
        <f t="shared" si="2"/>
        <v>2.172E-2</v>
      </c>
      <c r="M25" s="243">
        <f t="shared" ref="M25:M65" si="8">H25*K25</f>
        <v>2.172E-2</v>
      </c>
      <c r="N25" s="243">
        <f t="shared" ref="N25:N65" si="9">I25*K25</f>
        <v>1.7989999999999999E-2</v>
      </c>
      <c r="O25" s="243">
        <f t="shared" ref="O25:O65" si="10">L25-M25</f>
        <v>0</v>
      </c>
      <c r="P25" s="20" t="s">
        <v>174</v>
      </c>
      <c r="Q25" s="21"/>
    </row>
    <row r="26" spans="1:17" x14ac:dyDescent="0.25">
      <c r="A26" s="41"/>
      <c r="B26" s="40" t="s">
        <v>95</v>
      </c>
      <c r="C26" s="20">
        <v>5</v>
      </c>
      <c r="D26" s="22">
        <v>273996</v>
      </c>
      <c r="E26" s="22">
        <f>6*1</f>
        <v>6</v>
      </c>
      <c r="F26" s="24">
        <v>29</v>
      </c>
      <c r="G26" s="242">
        <f t="shared" si="0"/>
        <v>2.55478E-5</v>
      </c>
      <c r="H26" s="242">
        <f t="shared" si="6"/>
        <v>2.55478E-5</v>
      </c>
      <c r="I26" s="242">
        <f t="shared" si="7"/>
        <v>2.1168199999999998E-5</v>
      </c>
      <c r="J26" s="242"/>
      <c r="K26" s="20">
        <v>360</v>
      </c>
      <c r="L26" s="243">
        <f t="shared" si="2"/>
        <v>9.1999999999999998E-3</v>
      </c>
      <c r="M26" s="243">
        <f t="shared" si="8"/>
        <v>9.1999999999999998E-3</v>
      </c>
      <c r="N26" s="243">
        <f t="shared" si="9"/>
        <v>7.62E-3</v>
      </c>
      <c r="O26" s="243">
        <f t="shared" si="10"/>
        <v>0</v>
      </c>
      <c r="P26" s="20" t="s">
        <v>174</v>
      </c>
      <c r="Q26" s="21"/>
    </row>
    <row r="27" spans="1:17" x14ac:dyDescent="0.25">
      <c r="A27" s="41"/>
      <c r="B27" s="40" t="s">
        <v>96</v>
      </c>
      <c r="C27" s="20">
        <v>3</v>
      </c>
      <c r="D27" s="22">
        <v>273996</v>
      </c>
      <c r="E27" s="22">
        <f>6*1</f>
        <v>6</v>
      </c>
      <c r="F27" s="24">
        <v>29</v>
      </c>
      <c r="G27" s="242">
        <f t="shared" si="0"/>
        <v>4.2579700000000002E-5</v>
      </c>
      <c r="H27" s="242">
        <f t="shared" si="6"/>
        <v>4.2579700000000002E-5</v>
      </c>
      <c r="I27" s="242">
        <f t="shared" si="7"/>
        <v>3.5280300000000002E-5</v>
      </c>
      <c r="J27" s="242"/>
      <c r="K27" s="20">
        <v>20</v>
      </c>
      <c r="L27" s="243">
        <f t="shared" si="2"/>
        <v>8.4999999999999995E-4</v>
      </c>
      <c r="M27" s="243">
        <f t="shared" si="8"/>
        <v>8.4999999999999995E-4</v>
      </c>
      <c r="N27" s="243">
        <f t="shared" si="9"/>
        <v>7.1000000000000002E-4</v>
      </c>
      <c r="O27" s="243">
        <f t="shared" si="10"/>
        <v>0</v>
      </c>
      <c r="P27" s="20" t="s">
        <v>174</v>
      </c>
      <c r="Q27" s="21"/>
    </row>
    <row r="28" spans="1:17" x14ac:dyDescent="0.25">
      <c r="A28" s="41"/>
      <c r="B28" s="40" t="s">
        <v>97</v>
      </c>
      <c r="C28" s="20">
        <v>1</v>
      </c>
      <c r="D28" s="22">
        <v>273996</v>
      </c>
      <c r="E28" s="22">
        <f>6*1</f>
        <v>6</v>
      </c>
      <c r="F28" s="24">
        <v>29</v>
      </c>
      <c r="G28" s="242">
        <f t="shared" si="0"/>
        <v>1.2773910000000001E-4</v>
      </c>
      <c r="H28" s="242">
        <f t="shared" si="6"/>
        <v>1.2773910000000001E-4</v>
      </c>
      <c r="I28" s="242">
        <f t="shared" si="7"/>
        <v>1.0584100000000001E-4</v>
      </c>
      <c r="J28" s="242"/>
      <c r="K28" s="20">
        <v>20</v>
      </c>
      <c r="L28" s="243">
        <f t="shared" si="2"/>
        <v>2.5500000000000002E-3</v>
      </c>
      <c r="M28" s="243">
        <f t="shared" si="8"/>
        <v>2.5500000000000002E-3</v>
      </c>
      <c r="N28" s="243">
        <f t="shared" si="9"/>
        <v>2.1199999999999999E-3</v>
      </c>
      <c r="O28" s="243">
        <f t="shared" si="10"/>
        <v>0</v>
      </c>
      <c r="P28" s="20" t="s">
        <v>174</v>
      </c>
      <c r="Q28" s="21"/>
    </row>
    <row r="29" spans="1:17" x14ac:dyDescent="0.25">
      <c r="A29" s="41"/>
      <c r="B29" s="40" t="s">
        <v>98</v>
      </c>
      <c r="C29" s="20">
        <v>1</v>
      </c>
      <c r="D29" s="22">
        <v>273996</v>
      </c>
      <c r="E29" s="22">
        <v>5</v>
      </c>
      <c r="F29" s="22"/>
      <c r="G29" s="242">
        <f t="shared" si="0"/>
        <v>1.82484E-5</v>
      </c>
      <c r="H29" s="242">
        <f t="shared" si="6"/>
        <v>1.82484E-5</v>
      </c>
      <c r="I29" s="242">
        <f t="shared" si="7"/>
        <v>0</v>
      </c>
      <c r="J29" s="242"/>
      <c r="K29" s="20">
        <v>120</v>
      </c>
      <c r="L29" s="243">
        <f t="shared" si="2"/>
        <v>2.1900000000000001E-3</v>
      </c>
      <c r="M29" s="243">
        <f t="shared" si="8"/>
        <v>2.1900000000000001E-3</v>
      </c>
      <c r="N29" s="243">
        <f t="shared" si="9"/>
        <v>0</v>
      </c>
      <c r="O29" s="243">
        <f t="shared" si="10"/>
        <v>0</v>
      </c>
      <c r="P29" s="20" t="s">
        <v>99</v>
      </c>
      <c r="Q29" s="21"/>
    </row>
    <row r="30" spans="1:17" x14ac:dyDescent="0.25">
      <c r="A30" s="41"/>
      <c r="B30" s="40" t="s">
        <v>100</v>
      </c>
      <c r="C30" s="20">
        <v>1</v>
      </c>
      <c r="D30" s="22">
        <v>273996</v>
      </c>
      <c r="E30" s="24">
        <f>6*4</f>
        <v>24</v>
      </c>
      <c r="F30" s="24">
        <f>4*98</f>
        <v>392</v>
      </c>
      <c r="G30" s="242">
        <f t="shared" si="0"/>
        <v>1.5182703000000001E-3</v>
      </c>
      <c r="H30" s="242">
        <f t="shared" si="6"/>
        <v>1.5182703000000001E-3</v>
      </c>
      <c r="I30" s="242">
        <f t="shared" si="7"/>
        <v>1.4306778E-3</v>
      </c>
      <c r="J30" s="242"/>
      <c r="K30" s="20">
        <v>15</v>
      </c>
      <c r="L30" s="243">
        <f t="shared" si="2"/>
        <v>2.2769999999999999E-2</v>
      </c>
      <c r="M30" s="243">
        <f t="shared" si="8"/>
        <v>2.2769999999999999E-2</v>
      </c>
      <c r="N30" s="243">
        <f t="shared" si="9"/>
        <v>2.146E-2</v>
      </c>
      <c r="O30" s="243">
        <f t="shared" si="10"/>
        <v>0</v>
      </c>
      <c r="P30" s="26" t="s">
        <v>101</v>
      </c>
      <c r="Q30" s="21"/>
    </row>
    <row r="31" spans="1:17" x14ac:dyDescent="0.25">
      <c r="A31" s="41"/>
      <c r="B31" s="40" t="s">
        <v>102</v>
      </c>
      <c r="C31" s="20">
        <v>1</v>
      </c>
      <c r="D31" s="22">
        <v>273996</v>
      </c>
      <c r="E31" s="24">
        <f>6*4</f>
        <v>24</v>
      </c>
      <c r="F31" s="24">
        <f>4*977</f>
        <v>3908</v>
      </c>
      <c r="G31" s="242">
        <f t="shared" si="0"/>
        <v>1.4350574499999999E-2</v>
      </c>
      <c r="H31" s="242">
        <f t="shared" si="6"/>
        <v>1.4350574499999999E-2</v>
      </c>
      <c r="I31" s="242">
        <f t="shared" si="7"/>
        <v>1.4262981900000001E-2</v>
      </c>
      <c r="J31" s="242"/>
      <c r="K31" s="20">
        <v>15</v>
      </c>
      <c r="L31" s="243">
        <f t="shared" si="2"/>
        <v>0.21526000000000001</v>
      </c>
      <c r="M31" s="243">
        <f t="shared" si="8"/>
        <v>0.21526000000000001</v>
      </c>
      <c r="N31" s="243">
        <f t="shared" si="9"/>
        <v>0.21393999999999999</v>
      </c>
      <c r="O31" s="243">
        <f t="shared" si="10"/>
        <v>0</v>
      </c>
      <c r="P31" s="26" t="s">
        <v>293</v>
      </c>
      <c r="Q31" s="21"/>
    </row>
    <row r="32" spans="1:17" ht="22.5" x14ac:dyDescent="0.25">
      <c r="A32" s="41"/>
      <c r="B32" s="40" t="s">
        <v>103</v>
      </c>
      <c r="C32" s="20">
        <v>1</v>
      </c>
      <c r="D32" s="22">
        <v>273996</v>
      </c>
      <c r="E32" s="22">
        <f>6*1</f>
        <v>6</v>
      </c>
      <c r="F32" s="22">
        <f>29*1</f>
        <v>29</v>
      </c>
      <c r="G32" s="242">
        <f t="shared" si="0"/>
        <v>1.2773910000000001E-4</v>
      </c>
      <c r="H32" s="242">
        <f t="shared" si="6"/>
        <v>1.2773910000000001E-4</v>
      </c>
      <c r="I32" s="242">
        <f t="shared" si="7"/>
        <v>1.0584100000000001E-4</v>
      </c>
      <c r="J32" s="242"/>
      <c r="K32" s="20">
        <v>250</v>
      </c>
      <c r="L32" s="243">
        <f t="shared" si="2"/>
        <v>3.193E-2</v>
      </c>
      <c r="M32" s="243">
        <f t="shared" si="8"/>
        <v>3.193E-2</v>
      </c>
      <c r="N32" s="243">
        <f t="shared" si="9"/>
        <v>2.6460000000000001E-2</v>
      </c>
      <c r="O32" s="243">
        <f t="shared" si="10"/>
        <v>0</v>
      </c>
      <c r="P32" s="25" t="s">
        <v>105</v>
      </c>
      <c r="Q32" s="21"/>
    </row>
    <row r="33" spans="1:17" x14ac:dyDescent="0.25">
      <c r="A33" s="41"/>
      <c r="B33" s="40" t="s">
        <v>104</v>
      </c>
      <c r="C33" s="20">
        <v>1</v>
      </c>
      <c r="D33" s="22">
        <v>273996</v>
      </c>
      <c r="E33" s="22">
        <f>6*1</f>
        <v>6</v>
      </c>
      <c r="F33" s="22">
        <f>29*1</f>
        <v>29</v>
      </c>
      <c r="G33" s="242">
        <f t="shared" si="0"/>
        <v>1.2773910000000001E-4</v>
      </c>
      <c r="H33" s="242">
        <f t="shared" si="6"/>
        <v>1.2773910000000001E-4</v>
      </c>
      <c r="I33" s="242">
        <f t="shared" si="7"/>
        <v>1.0584100000000001E-4</v>
      </c>
      <c r="J33" s="242"/>
      <c r="K33" s="20">
        <v>260</v>
      </c>
      <c r="L33" s="243">
        <f t="shared" si="2"/>
        <v>3.3210000000000003E-2</v>
      </c>
      <c r="M33" s="243">
        <f t="shared" si="8"/>
        <v>3.3210000000000003E-2</v>
      </c>
      <c r="N33" s="243">
        <f t="shared" si="9"/>
        <v>2.7519999999999999E-2</v>
      </c>
      <c r="O33" s="243">
        <f t="shared" si="10"/>
        <v>0</v>
      </c>
      <c r="P33" s="26" t="s">
        <v>174</v>
      </c>
      <c r="Q33" s="21"/>
    </row>
    <row r="34" spans="1:17" x14ac:dyDescent="0.25">
      <c r="A34" s="41"/>
      <c r="B34" s="40" t="s">
        <v>106</v>
      </c>
      <c r="C34" s="20">
        <v>1</v>
      </c>
      <c r="D34" s="22">
        <v>273996</v>
      </c>
      <c r="E34" s="24">
        <f>6*4</f>
        <v>24</v>
      </c>
      <c r="F34" s="24">
        <f>4*98</f>
        <v>392</v>
      </c>
      <c r="G34" s="242">
        <f t="shared" si="0"/>
        <v>1.5182703000000001E-3</v>
      </c>
      <c r="H34" s="242">
        <f t="shared" si="6"/>
        <v>1.5182703000000001E-3</v>
      </c>
      <c r="I34" s="242">
        <f t="shared" si="7"/>
        <v>1.4306778E-3</v>
      </c>
      <c r="J34" s="242"/>
      <c r="K34" s="20">
        <v>10</v>
      </c>
      <c r="L34" s="243">
        <f t="shared" si="2"/>
        <v>1.5180000000000001E-2</v>
      </c>
      <c r="M34" s="243">
        <f t="shared" si="8"/>
        <v>1.5180000000000001E-2</v>
      </c>
      <c r="N34" s="243">
        <f t="shared" si="9"/>
        <v>1.431E-2</v>
      </c>
      <c r="O34" s="243">
        <f t="shared" si="10"/>
        <v>0</v>
      </c>
      <c r="P34" s="26" t="s">
        <v>101</v>
      </c>
      <c r="Q34" s="21"/>
    </row>
    <row r="35" spans="1:17" x14ac:dyDescent="0.25">
      <c r="A35" s="41"/>
      <c r="B35" s="40" t="s">
        <v>107</v>
      </c>
      <c r="C35" s="20">
        <v>5</v>
      </c>
      <c r="D35" s="22">
        <v>273996</v>
      </c>
      <c r="E35" s="22">
        <f>6*1</f>
        <v>6</v>
      </c>
      <c r="F35" s="22">
        <f>29*1</f>
        <v>29</v>
      </c>
      <c r="G35" s="242">
        <f t="shared" si="0"/>
        <v>2.55478E-5</v>
      </c>
      <c r="H35" s="242">
        <f t="shared" si="6"/>
        <v>2.55478E-5</v>
      </c>
      <c r="I35" s="242">
        <f t="shared" si="7"/>
        <v>2.1168199999999998E-5</v>
      </c>
      <c r="J35" s="242"/>
      <c r="K35" s="20">
        <v>27</v>
      </c>
      <c r="L35" s="243">
        <f t="shared" si="2"/>
        <v>6.8999999999999997E-4</v>
      </c>
      <c r="M35" s="243">
        <f t="shared" si="8"/>
        <v>6.8999999999999997E-4</v>
      </c>
      <c r="N35" s="243">
        <f t="shared" si="9"/>
        <v>5.6999999999999998E-4</v>
      </c>
      <c r="O35" s="243">
        <f t="shared" si="10"/>
        <v>0</v>
      </c>
      <c r="P35" s="20" t="s">
        <v>174</v>
      </c>
      <c r="Q35" s="21"/>
    </row>
    <row r="36" spans="1:17" x14ac:dyDescent="0.25">
      <c r="A36" s="41"/>
      <c r="B36" s="40" t="s">
        <v>108</v>
      </c>
      <c r="C36" s="20">
        <v>3</v>
      </c>
      <c r="D36" s="22">
        <v>273996</v>
      </c>
      <c r="E36" s="22">
        <f>6*1</f>
        <v>6</v>
      </c>
      <c r="F36" s="22">
        <f>29*1</f>
        <v>29</v>
      </c>
      <c r="G36" s="242">
        <f t="shared" si="0"/>
        <v>4.2579700000000002E-5</v>
      </c>
      <c r="H36" s="242">
        <f t="shared" si="6"/>
        <v>4.2579700000000002E-5</v>
      </c>
      <c r="I36" s="242">
        <f t="shared" si="7"/>
        <v>3.5280300000000002E-5</v>
      </c>
      <c r="J36" s="242"/>
      <c r="K36" s="20">
        <v>250</v>
      </c>
      <c r="L36" s="243">
        <f t="shared" si="2"/>
        <v>1.064E-2</v>
      </c>
      <c r="M36" s="243">
        <f t="shared" si="8"/>
        <v>1.064E-2</v>
      </c>
      <c r="N36" s="243">
        <f t="shared" si="9"/>
        <v>8.8199999999999997E-3</v>
      </c>
      <c r="O36" s="243">
        <f t="shared" si="10"/>
        <v>0</v>
      </c>
      <c r="P36" s="20" t="s">
        <v>174</v>
      </c>
      <c r="Q36" s="21"/>
    </row>
    <row r="37" spans="1:17" x14ac:dyDescent="0.25">
      <c r="A37" s="41"/>
      <c r="B37" s="40" t="s">
        <v>109</v>
      </c>
      <c r="C37" s="20">
        <v>3</v>
      </c>
      <c r="D37" s="22">
        <v>273996</v>
      </c>
      <c r="E37" s="22">
        <f>6*1</f>
        <v>6</v>
      </c>
      <c r="F37" s="22">
        <f>29*1</f>
        <v>29</v>
      </c>
      <c r="G37" s="242">
        <f t="shared" si="0"/>
        <v>4.2579700000000002E-5</v>
      </c>
      <c r="H37" s="242">
        <f t="shared" si="6"/>
        <v>4.2579700000000002E-5</v>
      </c>
      <c r="I37" s="242">
        <f t="shared" si="7"/>
        <v>3.5280300000000002E-5</v>
      </c>
      <c r="J37" s="242"/>
      <c r="K37" s="20">
        <v>316</v>
      </c>
      <c r="L37" s="243">
        <f t="shared" si="2"/>
        <v>1.346E-2</v>
      </c>
      <c r="M37" s="243">
        <f t="shared" si="8"/>
        <v>1.346E-2</v>
      </c>
      <c r="N37" s="243">
        <f t="shared" si="9"/>
        <v>1.115E-2</v>
      </c>
      <c r="O37" s="243">
        <f t="shared" si="10"/>
        <v>0</v>
      </c>
      <c r="P37" s="20" t="s">
        <v>174</v>
      </c>
      <c r="Q37" s="21"/>
    </row>
    <row r="38" spans="1:17" x14ac:dyDescent="0.25">
      <c r="A38" s="41"/>
      <c r="B38" s="40" t="s">
        <v>110</v>
      </c>
      <c r="C38" s="20">
        <v>1</v>
      </c>
      <c r="D38" s="22">
        <v>273996</v>
      </c>
      <c r="E38" s="22">
        <f>6*4</f>
        <v>24</v>
      </c>
      <c r="F38" s="22">
        <f>29*4</f>
        <v>116</v>
      </c>
      <c r="G38" s="242">
        <f t="shared" si="0"/>
        <v>5.1095640000000005E-4</v>
      </c>
      <c r="H38" s="242">
        <f t="shared" si="6"/>
        <v>5.1095640000000005E-4</v>
      </c>
      <c r="I38" s="242">
        <f t="shared" si="7"/>
        <v>4.2336380000000001E-4</v>
      </c>
      <c r="J38" s="242"/>
      <c r="K38" s="20">
        <v>20</v>
      </c>
      <c r="L38" s="243">
        <f t="shared" si="2"/>
        <v>1.022E-2</v>
      </c>
      <c r="M38" s="243">
        <f t="shared" si="8"/>
        <v>1.022E-2</v>
      </c>
      <c r="N38" s="243">
        <f t="shared" si="9"/>
        <v>8.4700000000000001E-3</v>
      </c>
      <c r="O38" s="243">
        <f t="shared" si="10"/>
        <v>0</v>
      </c>
      <c r="P38" s="20" t="s">
        <v>176</v>
      </c>
      <c r="Q38" s="21"/>
    </row>
    <row r="39" spans="1:17" x14ac:dyDescent="0.25">
      <c r="A39" s="41"/>
      <c r="B39" s="40" t="s">
        <v>111</v>
      </c>
      <c r="C39" s="20">
        <v>1</v>
      </c>
      <c r="D39" s="22">
        <v>273996</v>
      </c>
      <c r="E39" s="22">
        <f>6*4</f>
        <v>24</v>
      </c>
      <c r="F39" s="22">
        <f>29*4</f>
        <v>116</v>
      </c>
      <c r="G39" s="242">
        <f t="shared" si="0"/>
        <v>5.1095640000000005E-4</v>
      </c>
      <c r="H39" s="242">
        <f t="shared" si="6"/>
        <v>5.1095640000000005E-4</v>
      </c>
      <c r="I39" s="242">
        <f t="shared" si="7"/>
        <v>4.2336380000000001E-4</v>
      </c>
      <c r="J39" s="242"/>
      <c r="K39" s="20">
        <v>30</v>
      </c>
      <c r="L39" s="243">
        <f t="shared" si="2"/>
        <v>1.533E-2</v>
      </c>
      <c r="M39" s="243">
        <f t="shared" si="8"/>
        <v>1.533E-2</v>
      </c>
      <c r="N39" s="243">
        <f t="shared" si="9"/>
        <v>1.2699999999999999E-2</v>
      </c>
      <c r="O39" s="243">
        <f t="shared" si="10"/>
        <v>0</v>
      </c>
      <c r="P39" s="20" t="s">
        <v>176</v>
      </c>
      <c r="Q39" s="21"/>
    </row>
    <row r="40" spans="1:17" x14ac:dyDescent="0.25">
      <c r="A40" s="41"/>
      <c r="B40" s="40" t="s">
        <v>292</v>
      </c>
      <c r="C40" s="20">
        <v>1</v>
      </c>
      <c r="D40" s="22">
        <v>273996</v>
      </c>
      <c r="E40" s="22">
        <f t="shared" ref="E40:E73" si="11">6*1</f>
        <v>6</v>
      </c>
      <c r="F40" s="22">
        <f t="shared" ref="F40:F73" si="12">29*1</f>
        <v>29</v>
      </c>
      <c r="G40" s="242">
        <f t="shared" si="0"/>
        <v>1.2773910000000001E-4</v>
      </c>
      <c r="H40" s="242">
        <f t="shared" si="6"/>
        <v>1.2773910000000001E-4</v>
      </c>
      <c r="I40" s="242">
        <f t="shared" si="7"/>
        <v>1.0584100000000001E-4</v>
      </c>
      <c r="J40" s="242"/>
      <c r="K40" s="20">
        <v>20</v>
      </c>
      <c r="L40" s="243">
        <f t="shared" si="2"/>
        <v>2.5500000000000002E-3</v>
      </c>
      <c r="M40" s="243">
        <f t="shared" si="8"/>
        <v>2.5500000000000002E-3</v>
      </c>
      <c r="N40" s="243">
        <f t="shared" si="9"/>
        <v>2.1199999999999999E-3</v>
      </c>
      <c r="O40" s="243">
        <f t="shared" si="10"/>
        <v>0</v>
      </c>
      <c r="P40" s="20" t="s">
        <v>174</v>
      </c>
      <c r="Q40" s="21"/>
    </row>
    <row r="41" spans="1:17" x14ac:dyDescent="0.25">
      <c r="A41" s="41"/>
      <c r="B41" s="40" t="s">
        <v>112</v>
      </c>
      <c r="C41" s="20">
        <v>1</v>
      </c>
      <c r="D41" s="22">
        <v>273996</v>
      </c>
      <c r="E41" s="22">
        <f>6*4</f>
        <v>24</v>
      </c>
      <c r="F41" s="22">
        <f>29*4</f>
        <v>116</v>
      </c>
      <c r="G41" s="242">
        <f t="shared" si="0"/>
        <v>5.1095640000000005E-4</v>
      </c>
      <c r="H41" s="242">
        <f t="shared" si="6"/>
        <v>5.1095640000000005E-4</v>
      </c>
      <c r="I41" s="242">
        <f t="shared" si="7"/>
        <v>4.2336380000000001E-4</v>
      </c>
      <c r="J41" s="242"/>
      <c r="K41" s="20">
        <v>25</v>
      </c>
      <c r="L41" s="243">
        <f t="shared" si="2"/>
        <v>1.277E-2</v>
      </c>
      <c r="M41" s="243">
        <f t="shared" si="8"/>
        <v>1.277E-2</v>
      </c>
      <c r="N41" s="243">
        <f t="shared" si="9"/>
        <v>1.0580000000000001E-2</v>
      </c>
      <c r="O41" s="243">
        <f t="shared" si="10"/>
        <v>0</v>
      </c>
      <c r="P41" s="20" t="s">
        <v>176</v>
      </c>
      <c r="Q41" s="21"/>
    </row>
    <row r="42" spans="1:17" x14ac:dyDescent="0.25">
      <c r="A42" s="41"/>
      <c r="B42" s="40" t="s">
        <v>113</v>
      </c>
      <c r="C42" s="20">
        <v>1</v>
      </c>
      <c r="D42" s="22">
        <v>273996</v>
      </c>
      <c r="E42" s="22">
        <f t="shared" si="11"/>
        <v>6</v>
      </c>
      <c r="F42" s="22">
        <f t="shared" si="12"/>
        <v>29</v>
      </c>
      <c r="G42" s="242">
        <f t="shared" si="0"/>
        <v>1.2773910000000001E-4</v>
      </c>
      <c r="H42" s="242">
        <f t="shared" si="6"/>
        <v>1.2773910000000001E-4</v>
      </c>
      <c r="I42" s="242">
        <f t="shared" si="7"/>
        <v>1.0584100000000001E-4</v>
      </c>
      <c r="J42" s="242"/>
      <c r="K42" s="20">
        <v>60</v>
      </c>
      <c r="L42" s="243">
        <f t="shared" si="2"/>
        <v>7.6600000000000001E-3</v>
      </c>
      <c r="M42" s="243">
        <f t="shared" si="8"/>
        <v>7.6600000000000001E-3</v>
      </c>
      <c r="N42" s="243">
        <f t="shared" si="9"/>
        <v>6.3499999999999997E-3</v>
      </c>
      <c r="O42" s="243">
        <f t="shared" si="10"/>
        <v>0</v>
      </c>
      <c r="P42" s="20" t="s">
        <v>174</v>
      </c>
      <c r="Q42" s="21"/>
    </row>
    <row r="43" spans="1:17" x14ac:dyDescent="0.25">
      <c r="A43" s="41"/>
      <c r="B43" s="40" t="s">
        <v>114</v>
      </c>
      <c r="C43" s="20">
        <v>1</v>
      </c>
      <c r="D43" s="22">
        <v>273996</v>
      </c>
      <c r="E43" s="22">
        <f t="shared" si="11"/>
        <v>6</v>
      </c>
      <c r="F43" s="22">
        <f t="shared" si="12"/>
        <v>29</v>
      </c>
      <c r="G43" s="242">
        <f t="shared" si="0"/>
        <v>1.2773910000000001E-4</v>
      </c>
      <c r="H43" s="242">
        <f t="shared" si="6"/>
        <v>1.2773910000000001E-4</v>
      </c>
      <c r="I43" s="242">
        <f t="shared" si="7"/>
        <v>1.0584100000000001E-4</v>
      </c>
      <c r="J43" s="242"/>
      <c r="K43" s="20">
        <v>60</v>
      </c>
      <c r="L43" s="243">
        <f t="shared" si="2"/>
        <v>7.6600000000000001E-3</v>
      </c>
      <c r="M43" s="243">
        <f t="shared" si="8"/>
        <v>7.6600000000000001E-3</v>
      </c>
      <c r="N43" s="243">
        <f t="shared" si="9"/>
        <v>6.3499999999999997E-3</v>
      </c>
      <c r="O43" s="243">
        <f t="shared" si="10"/>
        <v>0</v>
      </c>
      <c r="P43" s="20" t="s">
        <v>174</v>
      </c>
      <c r="Q43" s="21"/>
    </row>
    <row r="44" spans="1:17" x14ac:dyDescent="0.25">
      <c r="A44" s="41"/>
      <c r="B44" s="40" t="s">
        <v>115</v>
      </c>
      <c r="C44" s="20">
        <v>5</v>
      </c>
      <c r="D44" s="22">
        <v>273996</v>
      </c>
      <c r="E44" s="22">
        <f t="shared" si="11"/>
        <v>6</v>
      </c>
      <c r="F44" s="22">
        <f t="shared" si="12"/>
        <v>29</v>
      </c>
      <c r="G44" s="242">
        <f t="shared" si="0"/>
        <v>2.55478E-5</v>
      </c>
      <c r="H44" s="242">
        <f t="shared" si="6"/>
        <v>2.55478E-5</v>
      </c>
      <c r="I44" s="242">
        <f t="shared" si="7"/>
        <v>2.1168199999999998E-5</v>
      </c>
      <c r="J44" s="242"/>
      <c r="K44" s="20">
        <v>1000</v>
      </c>
      <c r="L44" s="243">
        <f t="shared" si="2"/>
        <v>2.555E-2</v>
      </c>
      <c r="M44" s="243">
        <f t="shared" si="8"/>
        <v>2.555E-2</v>
      </c>
      <c r="N44" s="243">
        <f t="shared" si="9"/>
        <v>2.1170000000000001E-2</v>
      </c>
      <c r="O44" s="243">
        <f t="shared" si="10"/>
        <v>0</v>
      </c>
      <c r="P44" s="20" t="s">
        <v>174</v>
      </c>
      <c r="Q44" s="21"/>
    </row>
    <row r="45" spans="1:17" x14ac:dyDescent="0.25">
      <c r="A45" s="41"/>
      <c r="B45" s="40" t="s">
        <v>116</v>
      </c>
      <c r="C45" s="20">
        <v>1</v>
      </c>
      <c r="D45" s="22">
        <v>273996</v>
      </c>
      <c r="E45" s="22">
        <f>6*4</f>
        <v>24</v>
      </c>
      <c r="F45" s="22">
        <f>29*4</f>
        <v>116</v>
      </c>
      <c r="G45" s="242">
        <f t="shared" si="0"/>
        <v>5.1095640000000005E-4</v>
      </c>
      <c r="H45" s="242">
        <f t="shared" si="6"/>
        <v>5.1095640000000005E-4</v>
      </c>
      <c r="I45" s="242">
        <f t="shared" si="7"/>
        <v>4.2336380000000001E-4</v>
      </c>
      <c r="J45" s="242"/>
      <c r="K45" s="20">
        <v>20</v>
      </c>
      <c r="L45" s="243">
        <f t="shared" si="2"/>
        <v>1.022E-2</v>
      </c>
      <c r="M45" s="243">
        <f t="shared" si="8"/>
        <v>1.022E-2</v>
      </c>
      <c r="N45" s="243">
        <f t="shared" si="9"/>
        <v>8.4700000000000001E-3</v>
      </c>
      <c r="O45" s="243">
        <f t="shared" si="10"/>
        <v>0</v>
      </c>
      <c r="P45" s="20" t="s">
        <v>176</v>
      </c>
      <c r="Q45" s="21"/>
    </row>
    <row r="46" spans="1:17" x14ac:dyDescent="0.25">
      <c r="A46" s="41"/>
      <c r="B46" s="40" t="s">
        <v>117</v>
      </c>
      <c r="C46" s="20">
        <v>1</v>
      </c>
      <c r="D46" s="22">
        <v>273996</v>
      </c>
      <c r="E46" s="22">
        <f t="shared" si="11"/>
        <v>6</v>
      </c>
      <c r="F46" s="22">
        <f t="shared" si="12"/>
        <v>29</v>
      </c>
      <c r="G46" s="242">
        <f t="shared" si="0"/>
        <v>1.2773910000000001E-4</v>
      </c>
      <c r="H46" s="242">
        <f t="shared" si="6"/>
        <v>1.2773910000000001E-4</v>
      </c>
      <c r="I46" s="242">
        <f t="shared" si="7"/>
        <v>1.0584100000000001E-4</v>
      </c>
      <c r="J46" s="242"/>
      <c r="K46" s="20">
        <v>25</v>
      </c>
      <c r="L46" s="243">
        <f t="shared" si="2"/>
        <v>3.1900000000000001E-3</v>
      </c>
      <c r="M46" s="243">
        <f t="shared" si="8"/>
        <v>3.1900000000000001E-3</v>
      </c>
      <c r="N46" s="243">
        <f t="shared" si="9"/>
        <v>2.65E-3</v>
      </c>
      <c r="O46" s="243">
        <f t="shared" si="10"/>
        <v>0</v>
      </c>
      <c r="P46" s="20" t="s">
        <v>174</v>
      </c>
      <c r="Q46" s="21"/>
    </row>
    <row r="47" spans="1:17" x14ac:dyDescent="0.25">
      <c r="A47" s="41"/>
      <c r="B47" s="40" t="s">
        <v>118</v>
      </c>
      <c r="C47" s="20">
        <v>5</v>
      </c>
      <c r="D47" s="22">
        <v>273996</v>
      </c>
      <c r="E47" s="22">
        <f t="shared" si="11"/>
        <v>6</v>
      </c>
      <c r="F47" s="22">
        <f t="shared" si="12"/>
        <v>29</v>
      </c>
      <c r="G47" s="242">
        <f t="shared" si="0"/>
        <v>2.55478E-5</v>
      </c>
      <c r="H47" s="242">
        <f t="shared" si="6"/>
        <v>2.55478E-5</v>
      </c>
      <c r="I47" s="242">
        <f t="shared" si="7"/>
        <v>2.1168199999999998E-5</v>
      </c>
      <c r="J47" s="242"/>
      <c r="K47" s="20">
        <v>60</v>
      </c>
      <c r="L47" s="243">
        <f t="shared" si="2"/>
        <v>1.5299999999999999E-3</v>
      </c>
      <c r="M47" s="243">
        <f t="shared" si="8"/>
        <v>1.5299999999999999E-3</v>
      </c>
      <c r="N47" s="243">
        <f t="shared" si="9"/>
        <v>1.2700000000000001E-3</v>
      </c>
      <c r="O47" s="243">
        <f t="shared" si="10"/>
        <v>0</v>
      </c>
      <c r="P47" s="20" t="s">
        <v>174</v>
      </c>
      <c r="Q47" s="21"/>
    </row>
    <row r="48" spans="1:17" ht="22.5" x14ac:dyDescent="0.25">
      <c r="A48" s="41"/>
      <c r="B48" s="40" t="s">
        <v>119</v>
      </c>
      <c r="C48" s="20">
        <v>5</v>
      </c>
      <c r="D48" s="22">
        <v>273996</v>
      </c>
      <c r="E48" s="22">
        <v>4</v>
      </c>
      <c r="F48" s="22"/>
      <c r="G48" s="242">
        <f t="shared" si="0"/>
        <v>2.9198E-6</v>
      </c>
      <c r="H48" s="242">
        <f t="shared" si="6"/>
        <v>2.9198E-6</v>
      </c>
      <c r="I48" s="242">
        <f t="shared" si="7"/>
        <v>0</v>
      </c>
      <c r="J48" s="242"/>
      <c r="K48" s="20">
        <v>250</v>
      </c>
      <c r="L48" s="243">
        <f t="shared" si="2"/>
        <v>7.2999999999999996E-4</v>
      </c>
      <c r="M48" s="243">
        <f t="shared" si="8"/>
        <v>7.2999999999999996E-4</v>
      </c>
      <c r="N48" s="243">
        <f t="shared" si="9"/>
        <v>0</v>
      </c>
      <c r="O48" s="243">
        <f t="shared" si="10"/>
        <v>0</v>
      </c>
      <c r="P48" s="21" t="s">
        <v>123</v>
      </c>
      <c r="Q48" s="21"/>
    </row>
    <row r="49" spans="1:17" x14ac:dyDescent="0.25">
      <c r="A49" s="41"/>
      <c r="B49" s="40" t="s">
        <v>120</v>
      </c>
      <c r="C49" s="20">
        <v>1</v>
      </c>
      <c r="D49" s="22">
        <v>273996</v>
      </c>
      <c r="E49" s="22">
        <f t="shared" si="11"/>
        <v>6</v>
      </c>
      <c r="F49" s="22">
        <f t="shared" si="12"/>
        <v>29</v>
      </c>
      <c r="G49" s="242">
        <f t="shared" si="0"/>
        <v>1.2773910000000001E-4</v>
      </c>
      <c r="H49" s="242">
        <f t="shared" si="6"/>
        <v>1.2773910000000001E-4</v>
      </c>
      <c r="I49" s="242">
        <f t="shared" si="7"/>
        <v>1.0584100000000001E-4</v>
      </c>
      <c r="J49" s="242"/>
      <c r="K49" s="20">
        <v>3</v>
      </c>
      <c r="L49" s="243">
        <f t="shared" si="2"/>
        <v>3.8000000000000002E-4</v>
      </c>
      <c r="M49" s="243">
        <f t="shared" si="8"/>
        <v>3.8000000000000002E-4</v>
      </c>
      <c r="N49" s="243">
        <f t="shared" si="9"/>
        <v>3.2000000000000003E-4</v>
      </c>
      <c r="O49" s="243">
        <f t="shared" si="10"/>
        <v>0</v>
      </c>
      <c r="P49" s="20" t="s">
        <v>174</v>
      </c>
      <c r="Q49" s="21"/>
    </row>
    <row r="50" spans="1:17" x14ac:dyDescent="0.25">
      <c r="A50" s="41"/>
      <c r="B50" s="40" t="s">
        <v>121</v>
      </c>
      <c r="C50" s="20">
        <v>1</v>
      </c>
      <c r="D50" s="22">
        <v>273996</v>
      </c>
      <c r="E50" s="22">
        <f t="shared" si="11"/>
        <v>6</v>
      </c>
      <c r="F50" s="22">
        <f t="shared" si="12"/>
        <v>29</v>
      </c>
      <c r="G50" s="242">
        <f t="shared" si="0"/>
        <v>1.2773910000000001E-4</v>
      </c>
      <c r="H50" s="242">
        <f t="shared" si="6"/>
        <v>1.2773910000000001E-4</v>
      </c>
      <c r="I50" s="242">
        <f t="shared" si="7"/>
        <v>1.0584100000000001E-4</v>
      </c>
      <c r="J50" s="242"/>
      <c r="K50" s="20">
        <v>6</v>
      </c>
      <c r="L50" s="243">
        <f t="shared" si="2"/>
        <v>7.6999999999999996E-4</v>
      </c>
      <c r="M50" s="243">
        <f t="shared" si="8"/>
        <v>7.6999999999999996E-4</v>
      </c>
      <c r="N50" s="243">
        <f t="shared" si="9"/>
        <v>6.4000000000000005E-4</v>
      </c>
      <c r="O50" s="243">
        <f t="shared" si="10"/>
        <v>0</v>
      </c>
      <c r="P50" s="20" t="s">
        <v>174</v>
      </c>
      <c r="Q50" s="21"/>
    </row>
    <row r="51" spans="1:17" x14ac:dyDescent="0.25">
      <c r="A51" s="41"/>
      <c r="B51" s="40" t="s">
        <v>122</v>
      </c>
      <c r="C51" s="20">
        <v>1</v>
      </c>
      <c r="D51" s="22">
        <v>273996</v>
      </c>
      <c r="E51" s="22">
        <f t="shared" si="11"/>
        <v>6</v>
      </c>
      <c r="F51" s="22">
        <f t="shared" si="12"/>
        <v>29</v>
      </c>
      <c r="G51" s="242">
        <f t="shared" si="0"/>
        <v>1.2773910000000001E-4</v>
      </c>
      <c r="H51" s="242">
        <f t="shared" si="6"/>
        <v>1.2773910000000001E-4</v>
      </c>
      <c r="I51" s="242">
        <f t="shared" si="7"/>
        <v>1.0584100000000001E-4</v>
      </c>
      <c r="J51" s="242"/>
      <c r="K51" s="20">
        <v>13</v>
      </c>
      <c r="L51" s="243">
        <f t="shared" si="2"/>
        <v>1.66E-3</v>
      </c>
      <c r="M51" s="243">
        <f t="shared" si="8"/>
        <v>1.66E-3</v>
      </c>
      <c r="N51" s="243">
        <f t="shared" si="9"/>
        <v>1.3799999999999999E-3</v>
      </c>
      <c r="O51" s="243">
        <f t="shared" si="10"/>
        <v>0</v>
      </c>
      <c r="P51" s="20" t="s">
        <v>174</v>
      </c>
      <c r="Q51" s="21"/>
    </row>
    <row r="52" spans="1:17" ht="22.5" x14ac:dyDescent="0.25">
      <c r="A52" s="41"/>
      <c r="B52" s="40" t="s">
        <v>124</v>
      </c>
      <c r="C52" s="20">
        <v>2</v>
      </c>
      <c r="D52" s="22">
        <v>273996</v>
      </c>
      <c r="E52" s="22">
        <f t="shared" si="11"/>
        <v>6</v>
      </c>
      <c r="F52" s="22">
        <f t="shared" si="12"/>
        <v>29</v>
      </c>
      <c r="G52" s="242">
        <f t="shared" si="0"/>
        <v>6.3869500000000002E-5</v>
      </c>
      <c r="H52" s="242">
        <f t="shared" si="6"/>
        <v>6.3869500000000002E-5</v>
      </c>
      <c r="I52" s="242">
        <f t="shared" si="7"/>
        <v>5.2920500000000003E-5</v>
      </c>
      <c r="J52" s="242"/>
      <c r="K52" s="20">
        <v>50</v>
      </c>
      <c r="L52" s="243">
        <f t="shared" si="2"/>
        <v>3.1900000000000001E-3</v>
      </c>
      <c r="M52" s="243">
        <f t="shared" si="8"/>
        <v>3.1900000000000001E-3</v>
      </c>
      <c r="N52" s="243">
        <f t="shared" si="9"/>
        <v>2.65E-3</v>
      </c>
      <c r="O52" s="243">
        <f t="shared" si="10"/>
        <v>0</v>
      </c>
      <c r="P52" s="20" t="s">
        <v>174</v>
      </c>
      <c r="Q52" s="21"/>
    </row>
    <row r="53" spans="1:17" x14ac:dyDescent="0.25">
      <c r="A53" s="41"/>
      <c r="B53" s="40" t="s">
        <v>125</v>
      </c>
      <c r="C53" s="20">
        <v>1</v>
      </c>
      <c r="D53" s="22">
        <v>273996</v>
      </c>
      <c r="E53" s="22">
        <f t="shared" si="11"/>
        <v>6</v>
      </c>
      <c r="F53" s="22">
        <f t="shared" si="12"/>
        <v>29</v>
      </c>
      <c r="G53" s="242">
        <f t="shared" si="0"/>
        <v>1.2773910000000001E-4</v>
      </c>
      <c r="H53" s="242">
        <f t="shared" si="6"/>
        <v>1.2773910000000001E-4</v>
      </c>
      <c r="I53" s="242">
        <f t="shared" si="7"/>
        <v>1.0584100000000001E-4</v>
      </c>
      <c r="J53" s="242"/>
      <c r="K53" s="20">
        <v>50</v>
      </c>
      <c r="L53" s="243">
        <f t="shared" si="2"/>
        <v>6.3899999999999998E-3</v>
      </c>
      <c r="M53" s="243">
        <f t="shared" si="8"/>
        <v>6.3899999999999998E-3</v>
      </c>
      <c r="N53" s="243">
        <f t="shared" si="9"/>
        <v>5.2900000000000004E-3</v>
      </c>
      <c r="O53" s="243">
        <f t="shared" si="10"/>
        <v>0</v>
      </c>
      <c r="P53" s="20" t="s">
        <v>174</v>
      </c>
      <c r="Q53" s="21"/>
    </row>
    <row r="54" spans="1:17" x14ac:dyDescent="0.25">
      <c r="A54" s="41"/>
      <c r="B54" s="40" t="s">
        <v>126</v>
      </c>
      <c r="C54" s="20">
        <v>1</v>
      </c>
      <c r="D54" s="22">
        <v>273996</v>
      </c>
      <c r="E54" s="22">
        <f t="shared" si="11"/>
        <v>6</v>
      </c>
      <c r="F54" s="22">
        <f t="shared" si="12"/>
        <v>29</v>
      </c>
      <c r="G54" s="242">
        <f t="shared" si="0"/>
        <v>1.2773910000000001E-4</v>
      </c>
      <c r="H54" s="242">
        <f t="shared" si="6"/>
        <v>1.2773910000000001E-4</v>
      </c>
      <c r="I54" s="242">
        <f t="shared" si="7"/>
        <v>1.0584100000000001E-4</v>
      </c>
      <c r="J54" s="242"/>
      <c r="K54" s="20">
        <v>50</v>
      </c>
      <c r="L54" s="243">
        <f t="shared" si="2"/>
        <v>6.3899999999999998E-3</v>
      </c>
      <c r="M54" s="243">
        <f t="shared" si="8"/>
        <v>6.3899999999999998E-3</v>
      </c>
      <c r="N54" s="243">
        <f t="shared" si="9"/>
        <v>5.2900000000000004E-3</v>
      </c>
      <c r="O54" s="243">
        <f t="shared" si="10"/>
        <v>0</v>
      </c>
      <c r="P54" s="20" t="s">
        <v>174</v>
      </c>
      <c r="Q54" s="21"/>
    </row>
    <row r="55" spans="1:17" x14ac:dyDescent="0.25">
      <c r="A55" s="41"/>
      <c r="B55" s="40" t="s">
        <v>127</v>
      </c>
      <c r="C55" s="20">
        <v>5</v>
      </c>
      <c r="D55" s="22">
        <v>273996</v>
      </c>
      <c r="E55" s="22">
        <f t="shared" si="11"/>
        <v>6</v>
      </c>
      <c r="F55" s="22">
        <f t="shared" si="12"/>
        <v>29</v>
      </c>
      <c r="G55" s="242">
        <f t="shared" si="0"/>
        <v>2.55478E-5</v>
      </c>
      <c r="H55" s="242">
        <f t="shared" si="6"/>
        <v>2.55478E-5</v>
      </c>
      <c r="I55" s="242">
        <f t="shared" si="7"/>
        <v>2.1168199999999998E-5</v>
      </c>
      <c r="J55" s="242"/>
      <c r="K55" s="20">
        <v>100</v>
      </c>
      <c r="L55" s="243">
        <f t="shared" si="2"/>
        <v>2.5500000000000002E-3</v>
      </c>
      <c r="M55" s="243">
        <f t="shared" si="8"/>
        <v>2.5500000000000002E-3</v>
      </c>
      <c r="N55" s="243">
        <f t="shared" si="9"/>
        <v>2.1199999999999999E-3</v>
      </c>
      <c r="O55" s="243">
        <f t="shared" si="10"/>
        <v>0</v>
      </c>
      <c r="P55" s="20" t="s">
        <v>174</v>
      </c>
      <c r="Q55" s="21"/>
    </row>
    <row r="56" spans="1:17" ht="33.75" x14ac:dyDescent="0.25">
      <c r="A56" s="41"/>
      <c r="B56" s="40" t="s">
        <v>128</v>
      </c>
      <c r="C56" s="20">
        <v>1</v>
      </c>
      <c r="D56" s="22">
        <v>273996</v>
      </c>
      <c r="E56" s="22">
        <f>6*2</f>
        <v>12</v>
      </c>
      <c r="F56" s="22">
        <f>29*2</f>
        <v>58</v>
      </c>
      <c r="G56" s="242">
        <f t="shared" si="0"/>
        <v>2.5547820000000002E-4</v>
      </c>
      <c r="H56" s="242">
        <f t="shared" si="6"/>
        <v>2.5547820000000002E-4</v>
      </c>
      <c r="I56" s="242">
        <f t="shared" si="7"/>
        <v>2.116819E-4</v>
      </c>
      <c r="J56" s="242"/>
      <c r="K56" s="20">
        <v>40</v>
      </c>
      <c r="L56" s="243">
        <f t="shared" si="2"/>
        <v>1.022E-2</v>
      </c>
      <c r="M56" s="243">
        <f t="shared" si="8"/>
        <v>1.022E-2</v>
      </c>
      <c r="N56" s="243">
        <f t="shared" si="9"/>
        <v>8.4700000000000001E-3</v>
      </c>
      <c r="O56" s="243">
        <f t="shared" si="10"/>
        <v>0</v>
      </c>
      <c r="P56" s="20" t="s">
        <v>175</v>
      </c>
      <c r="Q56" s="21"/>
    </row>
    <row r="57" spans="1:17" ht="22.5" x14ac:dyDescent="0.25">
      <c r="A57" s="41"/>
      <c r="B57" s="40" t="s">
        <v>129</v>
      </c>
      <c r="C57" s="20">
        <v>1</v>
      </c>
      <c r="D57" s="22">
        <v>273996</v>
      </c>
      <c r="E57" s="22">
        <f>6*2</f>
        <v>12</v>
      </c>
      <c r="F57" s="22">
        <f>29*2</f>
        <v>58</v>
      </c>
      <c r="G57" s="242">
        <f t="shared" si="0"/>
        <v>2.5547820000000002E-4</v>
      </c>
      <c r="H57" s="242">
        <f t="shared" si="6"/>
        <v>2.5547820000000002E-4</v>
      </c>
      <c r="I57" s="242">
        <f t="shared" si="7"/>
        <v>2.116819E-4</v>
      </c>
      <c r="J57" s="242"/>
      <c r="K57" s="20">
        <v>200</v>
      </c>
      <c r="L57" s="243">
        <f t="shared" si="2"/>
        <v>5.11E-2</v>
      </c>
      <c r="M57" s="243">
        <f t="shared" si="8"/>
        <v>5.11E-2</v>
      </c>
      <c r="N57" s="243">
        <f t="shared" si="9"/>
        <v>4.2340000000000003E-2</v>
      </c>
      <c r="O57" s="243">
        <f t="shared" si="10"/>
        <v>0</v>
      </c>
      <c r="P57" s="20" t="s">
        <v>175</v>
      </c>
      <c r="Q57" s="21"/>
    </row>
    <row r="58" spans="1:17" x14ac:dyDescent="0.25">
      <c r="A58" s="41"/>
      <c r="B58" s="40" t="s">
        <v>130</v>
      </c>
      <c r="C58" s="20">
        <v>1</v>
      </c>
      <c r="D58" s="22">
        <v>273996</v>
      </c>
      <c r="E58" s="22">
        <f t="shared" si="11"/>
        <v>6</v>
      </c>
      <c r="F58" s="22">
        <f t="shared" si="12"/>
        <v>29</v>
      </c>
      <c r="G58" s="242">
        <f t="shared" si="0"/>
        <v>1.2773910000000001E-4</v>
      </c>
      <c r="H58" s="242">
        <f t="shared" si="6"/>
        <v>1.2773910000000001E-4</v>
      </c>
      <c r="I58" s="242">
        <f t="shared" si="7"/>
        <v>1.0584100000000001E-4</v>
      </c>
      <c r="J58" s="242"/>
      <c r="K58" s="20">
        <v>50</v>
      </c>
      <c r="L58" s="243">
        <f t="shared" si="2"/>
        <v>6.3899999999999998E-3</v>
      </c>
      <c r="M58" s="243">
        <f t="shared" si="8"/>
        <v>6.3899999999999998E-3</v>
      </c>
      <c r="N58" s="243">
        <f t="shared" si="9"/>
        <v>5.2900000000000004E-3</v>
      </c>
      <c r="O58" s="243">
        <f t="shared" si="10"/>
        <v>0</v>
      </c>
      <c r="P58" s="20" t="s">
        <v>174</v>
      </c>
      <c r="Q58" s="21"/>
    </row>
    <row r="59" spans="1:17" x14ac:dyDescent="0.25">
      <c r="A59" s="41"/>
      <c r="B59" s="40" t="s">
        <v>131</v>
      </c>
      <c r="C59" s="20">
        <v>1</v>
      </c>
      <c r="D59" s="22">
        <v>273996</v>
      </c>
      <c r="E59" s="22">
        <f>6*2</f>
        <v>12</v>
      </c>
      <c r="F59" s="22">
        <f>29*2</f>
        <v>58</v>
      </c>
      <c r="G59" s="242">
        <f t="shared" si="0"/>
        <v>2.5547820000000002E-4</v>
      </c>
      <c r="H59" s="242">
        <f t="shared" si="6"/>
        <v>2.5547820000000002E-4</v>
      </c>
      <c r="I59" s="242">
        <f t="shared" si="7"/>
        <v>2.116819E-4</v>
      </c>
      <c r="J59" s="242"/>
      <c r="K59" s="20">
        <v>45</v>
      </c>
      <c r="L59" s="243">
        <f t="shared" si="2"/>
        <v>1.15E-2</v>
      </c>
      <c r="M59" s="243">
        <f t="shared" si="8"/>
        <v>1.15E-2</v>
      </c>
      <c r="N59" s="243">
        <f t="shared" si="9"/>
        <v>9.5300000000000003E-3</v>
      </c>
      <c r="O59" s="243">
        <f t="shared" si="10"/>
        <v>0</v>
      </c>
      <c r="P59" s="20" t="s">
        <v>175</v>
      </c>
      <c r="Q59" s="21"/>
    </row>
    <row r="60" spans="1:17" x14ac:dyDescent="0.25">
      <c r="A60" s="41"/>
      <c r="B60" s="40" t="s">
        <v>132</v>
      </c>
      <c r="C60" s="20">
        <v>3</v>
      </c>
      <c r="D60" s="22">
        <v>273996</v>
      </c>
      <c r="E60" s="22">
        <f t="shared" si="11"/>
        <v>6</v>
      </c>
      <c r="F60" s="22">
        <f t="shared" si="12"/>
        <v>29</v>
      </c>
      <c r="G60" s="242">
        <f t="shared" si="0"/>
        <v>4.2579700000000002E-5</v>
      </c>
      <c r="H60" s="242">
        <f t="shared" si="6"/>
        <v>4.2579700000000002E-5</v>
      </c>
      <c r="I60" s="242">
        <f t="shared" si="7"/>
        <v>3.5280300000000002E-5</v>
      </c>
      <c r="J60" s="242"/>
      <c r="K60" s="20">
        <v>60</v>
      </c>
      <c r="L60" s="243">
        <f t="shared" si="2"/>
        <v>2.5500000000000002E-3</v>
      </c>
      <c r="M60" s="243">
        <f t="shared" si="8"/>
        <v>2.5500000000000002E-3</v>
      </c>
      <c r="N60" s="243">
        <f t="shared" si="9"/>
        <v>2.1199999999999999E-3</v>
      </c>
      <c r="O60" s="243">
        <f t="shared" si="10"/>
        <v>0</v>
      </c>
      <c r="P60" s="20" t="s">
        <v>174</v>
      </c>
      <c r="Q60" s="21"/>
    </row>
    <row r="61" spans="1:17" x14ac:dyDescent="0.25">
      <c r="A61" s="41"/>
      <c r="B61" s="40" t="s">
        <v>133</v>
      </c>
      <c r="C61" s="20">
        <v>1</v>
      </c>
      <c r="D61" s="22">
        <v>273996</v>
      </c>
      <c r="E61" s="22">
        <f t="shared" si="11"/>
        <v>6</v>
      </c>
      <c r="F61" s="22">
        <f t="shared" si="12"/>
        <v>29</v>
      </c>
      <c r="G61" s="242">
        <f t="shared" si="0"/>
        <v>1.2773910000000001E-4</v>
      </c>
      <c r="H61" s="242">
        <f t="shared" si="6"/>
        <v>1.2773910000000001E-4</v>
      </c>
      <c r="I61" s="242">
        <f t="shared" si="7"/>
        <v>1.0584100000000001E-4</v>
      </c>
      <c r="J61" s="242"/>
      <c r="K61" s="20">
        <v>60</v>
      </c>
      <c r="L61" s="243">
        <f t="shared" si="2"/>
        <v>7.6600000000000001E-3</v>
      </c>
      <c r="M61" s="243">
        <f t="shared" si="8"/>
        <v>7.6600000000000001E-3</v>
      </c>
      <c r="N61" s="243">
        <f t="shared" si="9"/>
        <v>6.3499999999999997E-3</v>
      </c>
      <c r="O61" s="243">
        <f t="shared" si="10"/>
        <v>0</v>
      </c>
      <c r="P61" s="20" t="s">
        <v>174</v>
      </c>
      <c r="Q61" s="21"/>
    </row>
    <row r="62" spans="1:17" x14ac:dyDescent="0.25">
      <c r="A62" s="41"/>
      <c r="B62" s="40" t="s">
        <v>134</v>
      </c>
      <c r="C62" s="20">
        <v>5</v>
      </c>
      <c r="D62" s="22">
        <v>273996</v>
      </c>
      <c r="E62" s="22">
        <f t="shared" si="11"/>
        <v>6</v>
      </c>
      <c r="F62" s="22">
        <f t="shared" si="12"/>
        <v>29</v>
      </c>
      <c r="G62" s="242">
        <f t="shared" si="0"/>
        <v>2.55478E-5</v>
      </c>
      <c r="H62" s="242">
        <f t="shared" si="6"/>
        <v>2.55478E-5</v>
      </c>
      <c r="I62" s="242">
        <f t="shared" si="7"/>
        <v>2.1168199999999998E-5</v>
      </c>
      <c r="J62" s="242"/>
      <c r="K62" s="20">
        <v>150</v>
      </c>
      <c r="L62" s="243">
        <f t="shared" si="2"/>
        <v>3.8300000000000001E-3</v>
      </c>
      <c r="M62" s="243">
        <f t="shared" si="8"/>
        <v>3.8300000000000001E-3</v>
      </c>
      <c r="N62" s="243">
        <f t="shared" si="9"/>
        <v>3.1800000000000001E-3</v>
      </c>
      <c r="O62" s="243">
        <f t="shared" si="10"/>
        <v>0</v>
      </c>
      <c r="P62" s="20" t="s">
        <v>174</v>
      </c>
      <c r="Q62" s="21"/>
    </row>
    <row r="63" spans="1:17" x14ac:dyDescent="0.25">
      <c r="A63" s="41"/>
      <c r="B63" s="40" t="s">
        <v>135</v>
      </c>
      <c r="C63" s="20">
        <v>5</v>
      </c>
      <c r="D63" s="22">
        <v>273996</v>
      </c>
      <c r="E63" s="22">
        <f t="shared" si="11"/>
        <v>6</v>
      </c>
      <c r="F63" s="22">
        <f t="shared" si="12"/>
        <v>29</v>
      </c>
      <c r="G63" s="242">
        <f t="shared" si="0"/>
        <v>2.55478E-5</v>
      </c>
      <c r="H63" s="242">
        <f t="shared" si="6"/>
        <v>2.55478E-5</v>
      </c>
      <c r="I63" s="242">
        <f t="shared" si="7"/>
        <v>2.1168199999999998E-5</v>
      </c>
      <c r="J63" s="242"/>
      <c r="K63" s="20">
        <v>300</v>
      </c>
      <c r="L63" s="243">
        <f t="shared" si="2"/>
        <v>7.6600000000000001E-3</v>
      </c>
      <c r="M63" s="243">
        <f t="shared" si="8"/>
        <v>7.6600000000000001E-3</v>
      </c>
      <c r="N63" s="243">
        <f t="shared" si="9"/>
        <v>6.3499999999999997E-3</v>
      </c>
      <c r="O63" s="243">
        <f t="shared" si="10"/>
        <v>0</v>
      </c>
      <c r="P63" s="20" t="s">
        <v>174</v>
      </c>
      <c r="Q63" s="21"/>
    </row>
    <row r="64" spans="1:17" x14ac:dyDescent="0.25">
      <c r="A64" s="41"/>
      <c r="B64" s="40" t="s">
        <v>136</v>
      </c>
      <c r="C64" s="20">
        <v>1</v>
      </c>
      <c r="D64" s="22">
        <v>273996</v>
      </c>
      <c r="E64" s="22">
        <v>2</v>
      </c>
      <c r="F64" s="22"/>
      <c r="G64" s="242">
        <f t="shared" si="0"/>
        <v>7.2993999999999999E-6</v>
      </c>
      <c r="H64" s="242">
        <f t="shared" si="6"/>
        <v>7.2993999999999999E-6</v>
      </c>
      <c r="I64" s="242">
        <f t="shared" si="7"/>
        <v>0</v>
      </c>
      <c r="J64" s="242"/>
      <c r="K64" s="20">
        <v>60</v>
      </c>
      <c r="L64" s="243">
        <f t="shared" si="2"/>
        <v>4.4000000000000002E-4</v>
      </c>
      <c r="M64" s="243">
        <f t="shared" si="8"/>
        <v>4.4000000000000002E-4</v>
      </c>
      <c r="N64" s="243">
        <f t="shared" si="9"/>
        <v>0</v>
      </c>
      <c r="O64" s="243">
        <f t="shared" si="10"/>
        <v>0</v>
      </c>
      <c r="P64" s="20" t="s">
        <v>138</v>
      </c>
      <c r="Q64" s="21"/>
    </row>
    <row r="65" spans="1:17" x14ac:dyDescent="0.25">
      <c r="A65" s="41"/>
      <c r="B65" s="40" t="s">
        <v>137</v>
      </c>
      <c r="C65" s="20">
        <v>1</v>
      </c>
      <c r="D65" s="22">
        <v>273996</v>
      </c>
      <c r="E65" s="22">
        <f t="shared" si="11"/>
        <v>6</v>
      </c>
      <c r="F65" s="22">
        <f t="shared" si="12"/>
        <v>29</v>
      </c>
      <c r="G65" s="242">
        <f t="shared" si="0"/>
        <v>1.2773910000000001E-4</v>
      </c>
      <c r="H65" s="242">
        <f t="shared" si="6"/>
        <v>1.2773910000000001E-4</v>
      </c>
      <c r="I65" s="242">
        <f t="shared" si="7"/>
        <v>1.0584100000000001E-4</v>
      </c>
      <c r="J65" s="242"/>
      <c r="K65" s="20">
        <v>600</v>
      </c>
      <c r="L65" s="243">
        <f t="shared" si="2"/>
        <v>7.664E-2</v>
      </c>
      <c r="M65" s="243">
        <f t="shared" si="8"/>
        <v>7.664E-2</v>
      </c>
      <c r="N65" s="243">
        <f t="shared" si="9"/>
        <v>6.3500000000000001E-2</v>
      </c>
      <c r="O65" s="243">
        <f t="shared" si="10"/>
        <v>0</v>
      </c>
      <c r="P65" s="20" t="s">
        <v>174</v>
      </c>
      <c r="Q65" s="21"/>
    </row>
    <row r="66" spans="1:17" x14ac:dyDescent="0.25">
      <c r="A66" s="41"/>
      <c r="B66" s="39" t="s">
        <v>229</v>
      </c>
      <c r="C66" s="35"/>
      <c r="D66" s="36"/>
      <c r="E66" s="36"/>
      <c r="F66" s="36"/>
      <c r="G66" s="37"/>
      <c r="H66" s="37"/>
      <c r="I66" s="37"/>
      <c r="J66" s="37"/>
      <c r="K66" s="35"/>
      <c r="L66" s="244">
        <f>SUM(L25:L65)</f>
        <v>0.67637999999999998</v>
      </c>
      <c r="M66" s="244">
        <f>SUM(M25:M65)</f>
        <v>0.67637999999999998</v>
      </c>
      <c r="N66" s="244">
        <f>SUM(N25:N65)</f>
        <v>0.59762000000000004</v>
      </c>
      <c r="O66" s="244">
        <f>SUM(O25:O65)</f>
        <v>0</v>
      </c>
      <c r="P66" s="35"/>
      <c r="Q66" s="21"/>
    </row>
    <row r="67" spans="1:17" x14ac:dyDescent="0.25">
      <c r="A67" s="41" t="s">
        <v>240</v>
      </c>
      <c r="B67" s="39"/>
      <c r="C67" s="35"/>
      <c r="D67" s="36"/>
      <c r="E67" s="36"/>
      <c r="F67" s="36"/>
      <c r="G67" s="37"/>
      <c r="H67" s="37"/>
      <c r="I67" s="37"/>
      <c r="J67" s="37"/>
      <c r="K67" s="35"/>
      <c r="L67" s="244">
        <f>SUM(M67:O67)</f>
        <v>0.59762000000000004</v>
      </c>
      <c r="M67" s="244"/>
      <c r="N67" s="244">
        <f>N66</f>
        <v>0.59762000000000004</v>
      </c>
      <c r="O67" s="244"/>
      <c r="P67" s="35"/>
      <c r="Q67" s="21"/>
    </row>
    <row r="68" spans="1:17" x14ac:dyDescent="0.25">
      <c r="A68" s="41" t="s">
        <v>241</v>
      </c>
      <c r="B68" s="39"/>
      <c r="C68" s="35"/>
      <c r="D68" s="36"/>
      <c r="E68" s="36"/>
      <c r="F68" s="36"/>
      <c r="G68" s="37"/>
      <c r="H68" s="37"/>
      <c r="I68" s="37"/>
      <c r="J68" s="37"/>
      <c r="K68" s="35"/>
      <c r="L68" s="244">
        <f>SUM(M68:O68)</f>
        <v>7.8759999999999997E-2</v>
      </c>
      <c r="M68" s="244">
        <f>M66-N67</f>
        <v>7.8759999999999997E-2</v>
      </c>
      <c r="N68" s="244"/>
      <c r="O68" s="244"/>
      <c r="P68" s="35"/>
      <c r="Q68" s="21"/>
    </row>
    <row r="69" spans="1:17" x14ac:dyDescent="0.25">
      <c r="A69" s="46"/>
      <c r="B69" s="1181" t="s">
        <v>151</v>
      </c>
      <c r="C69" s="1181"/>
      <c r="D69" s="1181"/>
      <c r="E69" s="1181"/>
      <c r="F69" s="1181"/>
      <c r="G69" s="1181"/>
      <c r="H69" s="1181"/>
      <c r="I69" s="1181"/>
      <c r="J69" s="1181"/>
      <c r="K69" s="1181"/>
      <c r="L69" s="1181"/>
      <c r="M69" s="1181"/>
      <c r="N69" s="1181"/>
      <c r="O69" s="1181"/>
      <c r="P69" s="1182"/>
      <c r="Q69" s="47"/>
    </row>
    <row r="70" spans="1:17" x14ac:dyDescent="0.25">
      <c r="A70" s="41"/>
      <c r="B70" s="40" t="s">
        <v>139</v>
      </c>
      <c r="C70" s="20">
        <v>5</v>
      </c>
      <c r="D70" s="22">
        <v>273996</v>
      </c>
      <c r="E70" s="22">
        <f t="shared" si="11"/>
        <v>6</v>
      </c>
      <c r="F70" s="22">
        <f>17*1</f>
        <v>17</v>
      </c>
      <c r="G70" s="242">
        <f t="shared" si="0"/>
        <v>1.6788600000000001E-5</v>
      </c>
      <c r="H70" s="242">
        <f t="shared" ref="H70:H86" si="13">G70-J70</f>
        <v>1.6788600000000001E-5</v>
      </c>
      <c r="I70" s="242"/>
      <c r="J70" s="242"/>
      <c r="K70" s="20">
        <v>80</v>
      </c>
      <c r="L70" s="243">
        <f t="shared" si="2"/>
        <v>1.34E-3</v>
      </c>
      <c r="M70" s="243">
        <f t="shared" ref="M70:M86" si="14">H70*K70</f>
        <v>1.34E-3</v>
      </c>
      <c r="N70" s="243">
        <f t="shared" ref="N70:N86" si="15">I70*K70</f>
        <v>0</v>
      </c>
      <c r="O70" s="243">
        <f t="shared" ref="O70:O86" si="16">L70-M70</f>
        <v>0</v>
      </c>
      <c r="P70" s="20" t="s">
        <v>150</v>
      </c>
      <c r="Q70" s="21"/>
    </row>
    <row r="71" spans="1:17" ht="22.5" x14ac:dyDescent="0.25">
      <c r="A71" s="41"/>
      <c r="B71" s="40" t="s">
        <v>142</v>
      </c>
      <c r="C71" s="20">
        <v>5</v>
      </c>
      <c r="D71" s="22">
        <v>273996</v>
      </c>
      <c r="E71" s="22">
        <v>2</v>
      </c>
      <c r="F71" s="22">
        <v>2</v>
      </c>
      <c r="G71" s="242">
        <f t="shared" si="0"/>
        <v>2.9198E-6</v>
      </c>
      <c r="H71" s="242">
        <f t="shared" si="13"/>
        <v>2.9198E-6</v>
      </c>
      <c r="I71" s="242"/>
      <c r="J71" s="242"/>
      <c r="K71" s="20">
        <v>80</v>
      </c>
      <c r="L71" s="243">
        <f t="shared" si="2"/>
        <v>2.3000000000000001E-4</v>
      </c>
      <c r="M71" s="243">
        <f t="shared" si="14"/>
        <v>2.3000000000000001E-4</v>
      </c>
      <c r="N71" s="243">
        <f t="shared" si="15"/>
        <v>0</v>
      </c>
      <c r="O71" s="243">
        <f t="shared" si="16"/>
        <v>0</v>
      </c>
      <c r="P71" s="21" t="s">
        <v>165</v>
      </c>
      <c r="Q71" s="21"/>
    </row>
    <row r="72" spans="1:17" ht="45" x14ac:dyDescent="0.25">
      <c r="A72" s="41"/>
      <c r="B72" s="40" t="s">
        <v>143</v>
      </c>
      <c r="C72" s="20">
        <v>1</v>
      </c>
      <c r="D72" s="22">
        <v>273996</v>
      </c>
      <c r="E72" s="24">
        <f>(E70+E71)*12</f>
        <v>96</v>
      </c>
      <c r="F72" s="24">
        <f>(F70+F71)*12</f>
        <v>228</v>
      </c>
      <c r="G72" s="242">
        <f t="shared" si="0"/>
        <v>1.1824990000000001E-3</v>
      </c>
      <c r="H72" s="242">
        <f t="shared" si="13"/>
        <v>1.1824990000000001E-3</v>
      </c>
      <c r="I72" s="242"/>
      <c r="J72" s="242"/>
      <c r="K72" s="20">
        <v>16</v>
      </c>
      <c r="L72" s="243">
        <f t="shared" si="2"/>
        <v>1.8919999999999999E-2</v>
      </c>
      <c r="M72" s="243">
        <f t="shared" si="14"/>
        <v>1.8919999999999999E-2</v>
      </c>
      <c r="N72" s="243">
        <f t="shared" si="15"/>
        <v>0</v>
      </c>
      <c r="O72" s="243">
        <f t="shared" si="16"/>
        <v>0</v>
      </c>
      <c r="P72" s="21" t="s">
        <v>166</v>
      </c>
      <c r="Q72" s="21"/>
    </row>
    <row r="73" spans="1:17" x14ac:dyDescent="0.25">
      <c r="A73" s="41"/>
      <c r="B73" s="40" t="s">
        <v>140</v>
      </c>
      <c r="C73" s="20">
        <v>10</v>
      </c>
      <c r="D73" s="22">
        <v>273996</v>
      </c>
      <c r="E73" s="22">
        <f t="shared" si="11"/>
        <v>6</v>
      </c>
      <c r="F73" s="22">
        <f t="shared" si="12"/>
        <v>29</v>
      </c>
      <c r="G73" s="242">
        <f t="shared" si="0"/>
        <v>1.27739E-5</v>
      </c>
      <c r="H73" s="242">
        <f t="shared" si="13"/>
        <v>1.27739E-5</v>
      </c>
      <c r="I73" s="242"/>
      <c r="J73" s="242"/>
      <c r="K73" s="20">
        <v>100</v>
      </c>
      <c r="L73" s="243">
        <f t="shared" si="2"/>
        <v>1.2800000000000001E-3</v>
      </c>
      <c r="M73" s="243">
        <f t="shared" si="14"/>
        <v>1.2800000000000001E-3</v>
      </c>
      <c r="N73" s="243">
        <f t="shared" si="15"/>
        <v>0</v>
      </c>
      <c r="O73" s="243">
        <f t="shared" si="16"/>
        <v>0</v>
      </c>
      <c r="P73" s="20" t="s">
        <v>174</v>
      </c>
      <c r="Q73" s="21"/>
    </row>
    <row r="74" spans="1:17" ht="22.5" x14ac:dyDescent="0.25">
      <c r="A74" s="41"/>
      <c r="B74" s="40" t="s">
        <v>141</v>
      </c>
      <c r="C74" s="20">
        <v>1</v>
      </c>
      <c r="D74" s="22">
        <v>273996</v>
      </c>
      <c r="E74" s="22">
        <v>2</v>
      </c>
      <c r="F74" s="22">
        <v>1</v>
      </c>
      <c r="G74" s="242">
        <f t="shared" si="0"/>
        <v>1.09491E-5</v>
      </c>
      <c r="H74" s="242">
        <f t="shared" si="13"/>
        <v>1.09491E-5</v>
      </c>
      <c r="I74" s="242"/>
      <c r="J74" s="242"/>
      <c r="K74" s="20">
        <v>30</v>
      </c>
      <c r="L74" s="243">
        <f t="shared" si="2"/>
        <v>3.3E-4</v>
      </c>
      <c r="M74" s="243">
        <f t="shared" si="14"/>
        <v>3.3E-4</v>
      </c>
      <c r="N74" s="243">
        <f t="shared" si="15"/>
        <v>0</v>
      </c>
      <c r="O74" s="243">
        <f t="shared" si="16"/>
        <v>0</v>
      </c>
      <c r="P74" s="21" t="s">
        <v>163</v>
      </c>
      <c r="Q74" s="21"/>
    </row>
    <row r="75" spans="1:17" x14ac:dyDescent="0.25">
      <c r="A75" s="41"/>
      <c r="B75" s="40" t="s">
        <v>145</v>
      </c>
      <c r="C75" s="20">
        <v>1</v>
      </c>
      <c r="D75" s="22">
        <v>273996</v>
      </c>
      <c r="E75" s="22">
        <f>1+1+2+1+1</f>
        <v>6</v>
      </c>
      <c r="F75" s="22">
        <f>1*29/10</f>
        <v>3</v>
      </c>
      <c r="G75" s="242">
        <f t="shared" ref="G75:G86" si="17">(E75+F75)/D75/C75</f>
        <v>3.28472E-5</v>
      </c>
      <c r="H75" s="242">
        <f t="shared" si="13"/>
        <v>3.28472E-5</v>
      </c>
      <c r="I75" s="242"/>
      <c r="J75" s="242"/>
      <c r="K75" s="20">
        <v>200</v>
      </c>
      <c r="L75" s="243">
        <f t="shared" ref="L75:L86" si="18">G75*K75</f>
        <v>6.5700000000000003E-3</v>
      </c>
      <c r="M75" s="243">
        <f t="shared" si="14"/>
        <v>6.5700000000000003E-3</v>
      </c>
      <c r="N75" s="243">
        <f t="shared" si="15"/>
        <v>0</v>
      </c>
      <c r="O75" s="243">
        <f t="shared" si="16"/>
        <v>0</v>
      </c>
      <c r="P75" s="20" t="s">
        <v>159</v>
      </c>
      <c r="Q75" s="21"/>
    </row>
    <row r="76" spans="1:17" ht="22.5" x14ac:dyDescent="0.25">
      <c r="A76" s="41"/>
      <c r="B76" s="40" t="s">
        <v>152</v>
      </c>
      <c r="C76" s="20">
        <v>1</v>
      </c>
      <c r="D76" s="22">
        <v>273996</v>
      </c>
      <c r="E76" s="22">
        <v>12</v>
      </c>
      <c r="F76" s="22"/>
      <c r="G76" s="242">
        <f t="shared" si="17"/>
        <v>4.3796299999999999E-5</v>
      </c>
      <c r="H76" s="242">
        <f t="shared" si="13"/>
        <v>4.3796299999999999E-5</v>
      </c>
      <c r="I76" s="242"/>
      <c r="J76" s="242"/>
      <c r="K76" s="20">
        <v>55</v>
      </c>
      <c r="L76" s="243">
        <f t="shared" si="18"/>
        <v>2.4099999999999998E-3</v>
      </c>
      <c r="M76" s="243">
        <f t="shared" si="14"/>
        <v>2.4099999999999998E-3</v>
      </c>
      <c r="N76" s="243">
        <f t="shared" si="15"/>
        <v>0</v>
      </c>
      <c r="O76" s="243">
        <f t="shared" si="16"/>
        <v>0</v>
      </c>
      <c r="P76" s="20" t="s">
        <v>153</v>
      </c>
      <c r="Q76" s="21"/>
    </row>
    <row r="77" spans="1:17" ht="22.5" x14ac:dyDescent="0.25">
      <c r="A77" s="41"/>
      <c r="B77" s="40" t="s">
        <v>154</v>
      </c>
      <c r="C77" s="20">
        <v>5</v>
      </c>
      <c r="D77" s="22">
        <v>273996</v>
      </c>
      <c r="E77" s="27">
        <f>3*1</f>
        <v>3</v>
      </c>
      <c r="F77" s="22"/>
      <c r="G77" s="242">
        <f t="shared" si="17"/>
        <v>2.1898000000000002E-6</v>
      </c>
      <c r="H77" s="242">
        <f t="shared" si="13"/>
        <v>2.1898000000000002E-6</v>
      </c>
      <c r="I77" s="242"/>
      <c r="J77" s="242"/>
      <c r="K77" s="20">
        <v>250</v>
      </c>
      <c r="L77" s="243">
        <f t="shared" si="18"/>
        <v>5.5000000000000003E-4</v>
      </c>
      <c r="M77" s="243">
        <f t="shared" si="14"/>
        <v>5.5000000000000003E-4</v>
      </c>
      <c r="N77" s="243">
        <f t="shared" si="15"/>
        <v>0</v>
      </c>
      <c r="O77" s="243">
        <f t="shared" si="16"/>
        <v>0</v>
      </c>
      <c r="P77" s="26" t="s">
        <v>222</v>
      </c>
      <c r="Q77" s="21"/>
    </row>
    <row r="78" spans="1:17" ht="22.5" x14ac:dyDescent="0.25">
      <c r="A78" s="41"/>
      <c r="B78" s="40" t="s">
        <v>158</v>
      </c>
      <c r="C78" s="20">
        <v>5</v>
      </c>
      <c r="D78" s="22">
        <v>273996</v>
      </c>
      <c r="E78" s="27">
        <f>3*1</f>
        <v>3</v>
      </c>
      <c r="F78" s="22"/>
      <c r="G78" s="242">
        <f t="shared" si="17"/>
        <v>2.1898000000000002E-6</v>
      </c>
      <c r="H78" s="242">
        <f t="shared" si="13"/>
        <v>2.1898000000000002E-6</v>
      </c>
      <c r="I78" s="242"/>
      <c r="J78" s="242"/>
      <c r="K78" s="20">
        <v>1282</v>
      </c>
      <c r="L78" s="243">
        <f t="shared" si="18"/>
        <v>2.81E-3</v>
      </c>
      <c r="M78" s="243">
        <f t="shared" si="14"/>
        <v>2.81E-3</v>
      </c>
      <c r="N78" s="243">
        <f t="shared" si="15"/>
        <v>0</v>
      </c>
      <c r="O78" s="243">
        <f t="shared" si="16"/>
        <v>0</v>
      </c>
      <c r="P78" s="26" t="s">
        <v>222</v>
      </c>
      <c r="Q78" s="21"/>
    </row>
    <row r="79" spans="1:17" ht="22.5" x14ac:dyDescent="0.25">
      <c r="A79" s="41"/>
      <c r="B79" s="40" t="s">
        <v>155</v>
      </c>
      <c r="C79" s="20">
        <v>1</v>
      </c>
      <c r="D79" s="22">
        <v>273996</v>
      </c>
      <c r="E79" s="27">
        <f>3*4</f>
        <v>12</v>
      </c>
      <c r="F79" s="22"/>
      <c r="G79" s="242">
        <f t="shared" si="17"/>
        <v>4.3796299999999999E-5</v>
      </c>
      <c r="H79" s="242">
        <f t="shared" si="13"/>
        <v>4.3796299999999999E-5</v>
      </c>
      <c r="I79" s="242"/>
      <c r="J79" s="242"/>
      <c r="K79" s="20">
        <v>270</v>
      </c>
      <c r="L79" s="243">
        <f t="shared" si="18"/>
        <v>1.183E-2</v>
      </c>
      <c r="M79" s="243">
        <f t="shared" si="14"/>
        <v>1.183E-2</v>
      </c>
      <c r="N79" s="243">
        <f t="shared" si="15"/>
        <v>0</v>
      </c>
      <c r="O79" s="243">
        <f t="shared" si="16"/>
        <v>0</v>
      </c>
      <c r="P79" s="26" t="s">
        <v>294</v>
      </c>
      <c r="Q79" s="21"/>
    </row>
    <row r="80" spans="1:17" ht="33.75" x14ac:dyDescent="0.25">
      <c r="A80" s="41"/>
      <c r="B80" s="40" t="s">
        <v>146</v>
      </c>
      <c r="C80" s="20">
        <v>1</v>
      </c>
      <c r="D80" s="22">
        <v>273996</v>
      </c>
      <c r="E80" s="22">
        <v>2</v>
      </c>
      <c r="F80" s="22">
        <v>2</v>
      </c>
      <c r="G80" s="242">
        <f t="shared" si="17"/>
        <v>1.45988E-5</v>
      </c>
      <c r="H80" s="242">
        <f t="shared" si="13"/>
        <v>1.45988E-5</v>
      </c>
      <c r="I80" s="242"/>
      <c r="J80" s="242"/>
      <c r="K80" s="20">
        <v>150</v>
      </c>
      <c r="L80" s="243">
        <f t="shared" si="18"/>
        <v>2.1900000000000001E-3</v>
      </c>
      <c r="M80" s="243">
        <f t="shared" si="14"/>
        <v>2.1900000000000001E-3</v>
      </c>
      <c r="N80" s="243">
        <f t="shared" si="15"/>
        <v>0</v>
      </c>
      <c r="O80" s="243">
        <f t="shared" si="16"/>
        <v>0</v>
      </c>
      <c r="P80" s="21" t="s">
        <v>167</v>
      </c>
      <c r="Q80" s="21"/>
    </row>
    <row r="81" spans="1:17" ht="22.5" x14ac:dyDescent="0.25">
      <c r="A81" s="41"/>
      <c r="B81" s="40" t="s">
        <v>160</v>
      </c>
      <c r="C81" s="20">
        <v>1</v>
      </c>
      <c r="D81" s="22">
        <v>273996</v>
      </c>
      <c r="E81" s="22">
        <v>12</v>
      </c>
      <c r="F81" s="22"/>
      <c r="G81" s="242">
        <f t="shared" si="17"/>
        <v>4.3796299999999999E-5</v>
      </c>
      <c r="H81" s="242">
        <f t="shared" si="13"/>
        <v>4.3796299999999999E-5</v>
      </c>
      <c r="I81" s="242"/>
      <c r="J81" s="242"/>
      <c r="K81" s="20">
        <v>150</v>
      </c>
      <c r="L81" s="243">
        <f t="shared" si="18"/>
        <v>6.5700000000000003E-3</v>
      </c>
      <c r="M81" s="243">
        <f t="shared" si="14"/>
        <v>6.5700000000000003E-3</v>
      </c>
      <c r="N81" s="243">
        <f t="shared" si="15"/>
        <v>0</v>
      </c>
      <c r="O81" s="243">
        <f t="shared" si="16"/>
        <v>0</v>
      </c>
      <c r="P81" s="21" t="s">
        <v>161</v>
      </c>
      <c r="Q81" s="21"/>
    </row>
    <row r="82" spans="1:17" ht="22.5" x14ac:dyDescent="0.25">
      <c r="A82" s="41"/>
      <c r="B82" s="40" t="s">
        <v>223</v>
      </c>
      <c r="C82" s="20">
        <v>1</v>
      </c>
      <c r="D82" s="22">
        <v>273996</v>
      </c>
      <c r="E82" s="22">
        <v>2</v>
      </c>
      <c r="F82" s="22">
        <f>0.5*17</f>
        <v>9</v>
      </c>
      <c r="G82" s="242">
        <f t="shared" si="17"/>
        <v>4.0146599999999999E-5</v>
      </c>
      <c r="H82" s="242">
        <f t="shared" si="13"/>
        <v>4.0146599999999999E-5</v>
      </c>
      <c r="I82" s="242"/>
      <c r="J82" s="242"/>
      <c r="K82" s="20">
        <v>300</v>
      </c>
      <c r="L82" s="243">
        <f t="shared" si="18"/>
        <v>1.204E-2</v>
      </c>
      <c r="M82" s="243">
        <f t="shared" si="14"/>
        <v>1.204E-2</v>
      </c>
      <c r="N82" s="243">
        <f t="shared" si="15"/>
        <v>0</v>
      </c>
      <c r="O82" s="243">
        <f t="shared" si="16"/>
        <v>0</v>
      </c>
      <c r="P82" s="25" t="s">
        <v>224</v>
      </c>
      <c r="Q82" s="21"/>
    </row>
    <row r="83" spans="1:17" x14ac:dyDescent="0.25">
      <c r="A83" s="41"/>
      <c r="B83" s="40" t="s">
        <v>156</v>
      </c>
      <c r="C83" s="20">
        <v>1</v>
      </c>
      <c r="D83" s="22">
        <v>273996</v>
      </c>
      <c r="E83" s="22">
        <f>3*2*12</f>
        <v>72</v>
      </c>
      <c r="F83" s="22"/>
      <c r="G83" s="242">
        <f t="shared" si="17"/>
        <v>2.627776E-4</v>
      </c>
      <c r="H83" s="242">
        <f t="shared" si="13"/>
        <v>2.627776E-4</v>
      </c>
      <c r="I83" s="242"/>
      <c r="J83" s="242"/>
      <c r="K83" s="20">
        <v>50</v>
      </c>
      <c r="L83" s="243">
        <f t="shared" si="18"/>
        <v>1.3140000000000001E-2</v>
      </c>
      <c r="M83" s="243">
        <f t="shared" si="14"/>
        <v>1.3140000000000001E-2</v>
      </c>
      <c r="N83" s="243">
        <f t="shared" si="15"/>
        <v>0</v>
      </c>
      <c r="O83" s="243">
        <f t="shared" si="16"/>
        <v>0</v>
      </c>
      <c r="P83" s="20" t="s">
        <v>164</v>
      </c>
      <c r="Q83" s="21"/>
    </row>
    <row r="84" spans="1:17" ht="33.75" x14ac:dyDescent="0.25">
      <c r="A84" s="41"/>
      <c r="B84" s="40" t="s">
        <v>157</v>
      </c>
      <c r="C84" s="20">
        <v>1</v>
      </c>
      <c r="D84" s="22">
        <v>273996</v>
      </c>
      <c r="E84" s="22">
        <f>4*12</f>
        <v>48</v>
      </c>
      <c r="F84" s="22">
        <f>40*12</f>
        <v>480</v>
      </c>
      <c r="G84" s="242">
        <f t="shared" si="17"/>
        <v>1.9270354E-3</v>
      </c>
      <c r="H84" s="242">
        <f t="shared" si="13"/>
        <v>1.9270354E-3</v>
      </c>
      <c r="I84" s="242"/>
      <c r="J84" s="242"/>
      <c r="K84" s="20">
        <v>13</v>
      </c>
      <c r="L84" s="243">
        <f t="shared" si="18"/>
        <v>2.5049999999999999E-2</v>
      </c>
      <c r="M84" s="243">
        <f t="shared" si="14"/>
        <v>2.5049999999999999E-2</v>
      </c>
      <c r="N84" s="243">
        <f t="shared" si="15"/>
        <v>0</v>
      </c>
      <c r="O84" s="243">
        <f t="shared" si="16"/>
        <v>0</v>
      </c>
      <c r="P84" s="21" t="s">
        <v>169</v>
      </c>
      <c r="Q84" s="21"/>
    </row>
    <row r="85" spans="1:17" ht="33.75" x14ac:dyDescent="0.25">
      <c r="A85" s="41"/>
      <c r="B85" s="40" t="s">
        <v>144</v>
      </c>
      <c r="C85" s="20">
        <v>1</v>
      </c>
      <c r="D85" s="22">
        <v>273996</v>
      </c>
      <c r="E85" s="22">
        <f>2*12</f>
        <v>24</v>
      </c>
      <c r="F85" s="22">
        <f>8*12</f>
        <v>96</v>
      </c>
      <c r="G85" s="242">
        <f t="shared" si="17"/>
        <v>4.3796260000000001E-4</v>
      </c>
      <c r="H85" s="242">
        <f t="shared" si="13"/>
        <v>4.3796260000000001E-4</v>
      </c>
      <c r="I85" s="242"/>
      <c r="J85" s="242"/>
      <c r="K85" s="20">
        <v>60</v>
      </c>
      <c r="L85" s="243">
        <f t="shared" si="18"/>
        <v>2.6280000000000001E-2</v>
      </c>
      <c r="M85" s="243">
        <f t="shared" si="14"/>
        <v>2.6280000000000001E-2</v>
      </c>
      <c r="N85" s="243">
        <f t="shared" si="15"/>
        <v>0</v>
      </c>
      <c r="O85" s="243">
        <f t="shared" si="16"/>
        <v>0</v>
      </c>
      <c r="P85" s="21" t="s">
        <v>168</v>
      </c>
      <c r="Q85" s="21"/>
    </row>
    <row r="86" spans="1:17" ht="22.5" x14ac:dyDescent="0.25">
      <c r="A86" s="41"/>
      <c r="B86" s="40" t="s">
        <v>221</v>
      </c>
      <c r="C86" s="26">
        <v>5</v>
      </c>
      <c r="D86" s="22">
        <v>273996</v>
      </c>
      <c r="E86" s="27">
        <f>3*1</f>
        <v>3</v>
      </c>
      <c r="F86" s="27"/>
      <c r="G86" s="245">
        <f t="shared" si="17"/>
        <v>2.1898000000000002E-6</v>
      </c>
      <c r="H86" s="242">
        <f t="shared" si="13"/>
        <v>2.1898000000000002E-6</v>
      </c>
      <c r="I86" s="242"/>
      <c r="J86" s="245"/>
      <c r="K86" s="26">
        <v>750</v>
      </c>
      <c r="L86" s="246">
        <f t="shared" si="18"/>
        <v>1.64E-3</v>
      </c>
      <c r="M86" s="243">
        <f t="shared" si="14"/>
        <v>1.64E-3</v>
      </c>
      <c r="N86" s="243">
        <f t="shared" si="15"/>
        <v>0</v>
      </c>
      <c r="O86" s="243">
        <f t="shared" si="16"/>
        <v>0</v>
      </c>
      <c r="P86" s="20" t="s">
        <v>222</v>
      </c>
      <c r="Q86" s="21"/>
    </row>
    <row r="87" spans="1:17" x14ac:dyDescent="0.25">
      <c r="A87" s="41" t="s">
        <v>241</v>
      </c>
      <c r="B87" s="39" t="s">
        <v>229</v>
      </c>
      <c r="C87" s="35"/>
      <c r="D87" s="36"/>
      <c r="E87" s="36"/>
      <c r="F87" s="36"/>
      <c r="G87" s="37"/>
      <c r="H87" s="37"/>
      <c r="I87" s="37"/>
      <c r="J87" s="37"/>
      <c r="K87" s="35"/>
      <c r="L87" s="244">
        <f>SUM(L70:L86)</f>
        <v>0.13317999999999999</v>
      </c>
      <c r="M87" s="244">
        <f>SUM(M70:M86)</f>
        <v>0.13317999999999999</v>
      </c>
      <c r="N87" s="244">
        <f>SUM(N70:N86)</f>
        <v>0</v>
      </c>
      <c r="O87" s="244">
        <f>SUM(O70:O86)</f>
        <v>0</v>
      </c>
      <c r="P87" s="35"/>
      <c r="Q87" s="21"/>
    </row>
    <row r="88" spans="1:17" x14ac:dyDescent="0.25">
      <c r="A88" s="46"/>
      <c r="B88" s="1181" t="s">
        <v>512</v>
      </c>
      <c r="C88" s="1181"/>
      <c r="D88" s="1181"/>
      <c r="E88" s="1181"/>
      <c r="F88" s="1181"/>
      <c r="G88" s="1181"/>
      <c r="H88" s="1181"/>
      <c r="I88" s="1181"/>
      <c r="J88" s="1181"/>
      <c r="K88" s="1181"/>
      <c r="L88" s="1181"/>
      <c r="M88" s="1181"/>
      <c r="N88" s="1181"/>
      <c r="O88" s="1181"/>
      <c r="P88" s="1182"/>
      <c r="Q88" s="47"/>
    </row>
    <row r="89" spans="1:17" hidden="1" x14ac:dyDescent="0.25">
      <c r="A89" s="296" t="s">
        <v>243</v>
      </c>
      <c r="B89" s="40" t="s">
        <v>149</v>
      </c>
      <c r="C89" s="26">
        <v>10</v>
      </c>
      <c r="D89" s="22">
        <v>273996</v>
      </c>
      <c r="E89" s="27">
        <f>1*1+17*1</f>
        <v>18</v>
      </c>
      <c r="F89" s="27"/>
      <c r="G89" s="245">
        <f>(E89+F89)/D89/C89</f>
        <v>6.5694000000000002E-6</v>
      </c>
      <c r="H89" s="242">
        <f>G89-J89</f>
        <v>0</v>
      </c>
      <c r="I89" s="242"/>
      <c r="J89" s="242">
        <f>E89/D89/C89</f>
        <v>6.5694000000000002E-6</v>
      </c>
      <c r="K89" s="247"/>
      <c r="L89" s="246">
        <f>G89*K89</f>
        <v>0</v>
      </c>
      <c r="M89" s="243">
        <f>H89*K89</f>
        <v>0</v>
      </c>
      <c r="N89" s="243">
        <f>I89*K89</f>
        <v>0</v>
      </c>
      <c r="O89" s="243">
        <f>L89-M89</f>
        <v>0</v>
      </c>
      <c r="P89" s="26" t="s">
        <v>162</v>
      </c>
      <c r="Q89" s="21"/>
    </row>
    <row r="90" spans="1:17" hidden="1" x14ac:dyDescent="0.25">
      <c r="A90" s="20" t="s">
        <v>243</v>
      </c>
      <c r="B90" s="40" t="s">
        <v>147</v>
      </c>
      <c r="C90" s="20">
        <v>1</v>
      </c>
      <c r="D90" s="22">
        <v>273996</v>
      </c>
      <c r="E90" s="22">
        <f>1*1+17*1</f>
        <v>18</v>
      </c>
      <c r="F90" s="22"/>
      <c r="G90" s="242">
        <f>(E90+F90)/D90/C90</f>
        <v>6.5694399999999999E-5</v>
      </c>
      <c r="H90" s="242">
        <f>G90-J90</f>
        <v>0</v>
      </c>
      <c r="I90" s="242"/>
      <c r="J90" s="242">
        <f>E90/D90/C90</f>
        <v>6.5694399999999999E-5</v>
      </c>
      <c r="K90" s="247">
        <f>250-250</f>
        <v>0</v>
      </c>
      <c r="L90" s="243">
        <f>G90*K90</f>
        <v>0</v>
      </c>
      <c r="M90" s="243">
        <f>H90*K90</f>
        <v>0</v>
      </c>
      <c r="N90" s="243">
        <f>I90*K90</f>
        <v>0</v>
      </c>
      <c r="O90" s="243">
        <f>L90-M90</f>
        <v>0</v>
      </c>
      <c r="P90" s="20" t="s">
        <v>148</v>
      </c>
      <c r="Q90" s="21"/>
    </row>
    <row r="91" spans="1:17" hidden="1" x14ac:dyDescent="0.25">
      <c r="A91" s="20"/>
      <c r="B91" s="40"/>
      <c r="C91" s="20">
        <v>1</v>
      </c>
      <c r="D91" s="22">
        <v>273996</v>
      </c>
      <c r="E91" s="22">
        <v>1</v>
      </c>
      <c r="F91" s="22"/>
      <c r="G91" s="242">
        <f>(E91+F91)/D91/C91</f>
        <v>3.6497E-6</v>
      </c>
      <c r="H91" s="242">
        <f>G91-J91</f>
        <v>0</v>
      </c>
      <c r="I91" s="242"/>
      <c r="J91" s="242">
        <f>E91/D91/C91</f>
        <v>3.6497E-6</v>
      </c>
      <c r="K91" s="26"/>
      <c r="L91" s="243">
        <f>G91*K91</f>
        <v>0</v>
      </c>
      <c r="M91" s="243">
        <f>H91*K91</f>
        <v>0</v>
      </c>
      <c r="N91" s="243">
        <f>I91*K91</f>
        <v>0</v>
      </c>
      <c r="O91" s="243">
        <f>L91-M91</f>
        <v>0</v>
      </c>
      <c r="P91" s="20"/>
      <c r="Q91" s="21"/>
    </row>
    <row r="92" spans="1:17" ht="22.5" x14ac:dyDescent="0.25">
      <c r="A92" s="20" t="s">
        <v>243</v>
      </c>
      <c r="B92" s="40" t="s">
        <v>513</v>
      </c>
      <c r="C92" s="20">
        <v>5</v>
      </c>
      <c r="D92" s="22">
        <v>273996</v>
      </c>
      <c r="E92" s="22">
        <f>433.01/5</f>
        <v>87</v>
      </c>
      <c r="F92" s="22"/>
      <c r="G92" s="242">
        <f t="shared" ref="G92:G102" si="19">(E92+F92)/D92/C92</f>
        <v>6.3504599999999995E-5</v>
      </c>
      <c r="H92" s="242">
        <f t="shared" ref="H92:H102" si="20">G92-J92</f>
        <v>0</v>
      </c>
      <c r="I92" s="242"/>
      <c r="J92" s="242">
        <f t="shared" ref="J92:J102" si="21">E92/D92/C92</f>
        <v>6.3504599999999995E-5</v>
      </c>
      <c r="K92" s="26">
        <v>1500</v>
      </c>
      <c r="L92" s="243">
        <f t="shared" ref="L92:L102" si="22">G92*K92</f>
        <v>9.5259999999999997E-2</v>
      </c>
      <c r="M92" s="243">
        <f t="shared" ref="M92:M102" si="23">H92*K92</f>
        <v>0</v>
      </c>
      <c r="N92" s="243">
        <f t="shared" ref="N92:N102" si="24">I92*K92</f>
        <v>0</v>
      </c>
      <c r="O92" s="243">
        <f t="shared" ref="O92:O102" si="25">L92-M92</f>
        <v>9.5259999999999997E-2</v>
      </c>
      <c r="P92" s="20" t="s">
        <v>514</v>
      </c>
      <c r="Q92" s="21"/>
    </row>
    <row r="93" spans="1:17" ht="22.5" x14ac:dyDescent="0.25">
      <c r="A93" s="20" t="s">
        <v>243</v>
      </c>
      <c r="B93" s="40" t="s">
        <v>515</v>
      </c>
      <c r="C93" s="20">
        <v>2</v>
      </c>
      <c r="D93" s="22">
        <v>273996</v>
      </c>
      <c r="E93" s="22">
        <f>300/5</f>
        <v>60</v>
      </c>
      <c r="F93" s="22"/>
      <c r="G93" s="242">
        <f t="shared" si="19"/>
        <v>1.094906E-4</v>
      </c>
      <c r="H93" s="242">
        <f t="shared" si="20"/>
        <v>0</v>
      </c>
      <c r="I93" s="242"/>
      <c r="J93" s="242">
        <f t="shared" si="21"/>
        <v>1.094906E-4</v>
      </c>
      <c r="K93" s="26">
        <v>35</v>
      </c>
      <c r="L93" s="243">
        <f t="shared" si="22"/>
        <v>3.8300000000000001E-3</v>
      </c>
      <c r="M93" s="243">
        <f t="shared" si="23"/>
        <v>0</v>
      </c>
      <c r="N93" s="243">
        <f t="shared" si="24"/>
        <v>0</v>
      </c>
      <c r="O93" s="243">
        <f t="shared" si="25"/>
        <v>3.8300000000000001E-3</v>
      </c>
      <c r="P93" s="20" t="s">
        <v>516</v>
      </c>
      <c r="Q93" s="21"/>
    </row>
    <row r="94" spans="1:17" hidden="1" x14ac:dyDescent="0.25">
      <c r="A94" s="20"/>
      <c r="B94" s="40"/>
      <c r="C94" s="20">
        <v>1</v>
      </c>
      <c r="D94" s="22">
        <v>273996</v>
      </c>
      <c r="E94" s="22">
        <v>1</v>
      </c>
      <c r="F94" s="22"/>
      <c r="G94" s="242">
        <f t="shared" si="19"/>
        <v>3.6497E-6</v>
      </c>
      <c r="H94" s="242">
        <f t="shared" si="20"/>
        <v>0</v>
      </c>
      <c r="I94" s="242"/>
      <c r="J94" s="242">
        <f t="shared" si="21"/>
        <v>3.6497E-6</v>
      </c>
      <c r="K94" s="26"/>
      <c r="L94" s="243">
        <f t="shared" si="22"/>
        <v>0</v>
      </c>
      <c r="M94" s="243">
        <f t="shared" si="23"/>
        <v>0</v>
      </c>
      <c r="N94" s="243">
        <f t="shared" si="24"/>
        <v>0</v>
      </c>
      <c r="O94" s="243">
        <f t="shared" si="25"/>
        <v>0</v>
      </c>
      <c r="P94" s="20"/>
      <c r="Q94" s="21"/>
    </row>
    <row r="95" spans="1:17" ht="22.5" hidden="1" x14ac:dyDescent="0.25">
      <c r="A95" s="20" t="s">
        <v>258</v>
      </c>
      <c r="B95" s="40" t="s">
        <v>517</v>
      </c>
      <c r="C95" s="20">
        <v>1</v>
      </c>
      <c r="D95" s="22">
        <v>273996</v>
      </c>
      <c r="E95" s="22">
        <v>365</v>
      </c>
      <c r="F95" s="22"/>
      <c r="G95" s="242">
        <f t="shared" si="19"/>
        <v>1.3321361999999999E-3</v>
      </c>
      <c r="H95" s="242">
        <f t="shared" si="20"/>
        <v>0</v>
      </c>
      <c r="I95" s="242"/>
      <c r="J95" s="242">
        <f t="shared" si="21"/>
        <v>1.3321361999999999E-3</v>
      </c>
      <c r="K95" s="247"/>
      <c r="L95" s="243">
        <f t="shared" si="22"/>
        <v>0</v>
      </c>
      <c r="M95" s="243">
        <f t="shared" si="23"/>
        <v>0</v>
      </c>
      <c r="N95" s="243">
        <f t="shared" si="24"/>
        <v>0</v>
      </c>
      <c r="O95" s="243">
        <f t="shared" si="25"/>
        <v>0</v>
      </c>
      <c r="P95" s="20" t="s">
        <v>518</v>
      </c>
      <c r="Q95" s="21"/>
    </row>
    <row r="96" spans="1:17" ht="22.5" x14ac:dyDescent="0.25">
      <c r="A96" s="20" t="s">
        <v>258</v>
      </c>
      <c r="B96" s="40" t="s">
        <v>519</v>
      </c>
      <c r="C96" s="20">
        <v>1</v>
      </c>
      <c r="D96" s="22">
        <v>273996</v>
      </c>
      <c r="E96" s="22">
        <v>1</v>
      </c>
      <c r="F96" s="22"/>
      <c r="G96" s="242">
        <f t="shared" si="19"/>
        <v>3.6497E-6</v>
      </c>
      <c r="H96" s="242">
        <f t="shared" si="20"/>
        <v>0</v>
      </c>
      <c r="I96" s="242"/>
      <c r="J96" s="242">
        <f t="shared" si="21"/>
        <v>3.6497E-6</v>
      </c>
      <c r="K96" s="26">
        <f>550</f>
        <v>550</v>
      </c>
      <c r="L96" s="243">
        <f t="shared" si="22"/>
        <v>2.0100000000000001E-3</v>
      </c>
      <c r="M96" s="243">
        <f t="shared" si="23"/>
        <v>0</v>
      </c>
      <c r="N96" s="243">
        <f t="shared" si="24"/>
        <v>0</v>
      </c>
      <c r="O96" s="243">
        <f t="shared" si="25"/>
        <v>2.0100000000000001E-3</v>
      </c>
      <c r="P96" s="20" t="s">
        <v>520</v>
      </c>
      <c r="Q96" s="21"/>
    </row>
    <row r="97" spans="1:17" hidden="1" x14ac:dyDescent="0.25">
      <c r="A97" s="20" t="s">
        <v>258</v>
      </c>
      <c r="B97" s="40" t="s">
        <v>521</v>
      </c>
      <c r="C97" s="20">
        <v>1</v>
      </c>
      <c r="D97" s="22">
        <v>273996</v>
      </c>
      <c r="E97" s="22">
        <v>1</v>
      </c>
      <c r="F97" s="22"/>
      <c r="G97" s="242">
        <f t="shared" si="19"/>
        <v>3.6497E-6</v>
      </c>
      <c r="H97" s="242">
        <f t="shared" si="20"/>
        <v>0</v>
      </c>
      <c r="I97" s="242"/>
      <c r="J97" s="242">
        <f t="shared" si="21"/>
        <v>3.6497E-6</v>
      </c>
      <c r="K97" s="247"/>
      <c r="L97" s="243">
        <f t="shared" si="22"/>
        <v>0</v>
      </c>
      <c r="M97" s="243">
        <f t="shared" si="23"/>
        <v>0</v>
      </c>
      <c r="N97" s="243">
        <f t="shared" si="24"/>
        <v>0</v>
      </c>
      <c r="O97" s="243">
        <f t="shared" si="25"/>
        <v>0</v>
      </c>
      <c r="P97" s="20" t="s">
        <v>520</v>
      </c>
      <c r="Q97" s="21"/>
    </row>
    <row r="98" spans="1:17" ht="45" x14ac:dyDescent="0.25">
      <c r="A98" s="20" t="s">
        <v>243</v>
      </c>
      <c r="B98" s="40" t="s">
        <v>522</v>
      </c>
      <c r="C98" s="20">
        <v>1</v>
      </c>
      <c r="D98" s="22">
        <v>273996</v>
      </c>
      <c r="E98" s="22">
        <v>1</v>
      </c>
      <c r="F98" s="22"/>
      <c r="G98" s="242">
        <f t="shared" si="19"/>
        <v>3.6497E-6</v>
      </c>
      <c r="H98" s="242">
        <f t="shared" si="20"/>
        <v>0</v>
      </c>
      <c r="I98" s="242"/>
      <c r="J98" s="242">
        <f t="shared" si="21"/>
        <v>3.6497E-6</v>
      </c>
      <c r="K98" s="26">
        <f>5021</f>
        <v>5021</v>
      </c>
      <c r="L98" s="243">
        <f t="shared" si="22"/>
        <v>1.8329999999999999E-2</v>
      </c>
      <c r="M98" s="243">
        <f t="shared" si="23"/>
        <v>0</v>
      </c>
      <c r="N98" s="243">
        <f t="shared" si="24"/>
        <v>0</v>
      </c>
      <c r="O98" s="243">
        <f t="shared" si="25"/>
        <v>1.8329999999999999E-2</v>
      </c>
      <c r="P98" s="20" t="s">
        <v>520</v>
      </c>
      <c r="Q98" s="21"/>
    </row>
    <row r="99" spans="1:17" ht="22.5" x14ac:dyDescent="0.25">
      <c r="A99" s="20" t="s">
        <v>243</v>
      </c>
      <c r="B99" s="40" t="s">
        <v>523</v>
      </c>
      <c r="C99" s="20">
        <v>1</v>
      </c>
      <c r="D99" s="22">
        <v>273996</v>
      </c>
      <c r="E99" s="22">
        <v>218</v>
      </c>
      <c r="F99" s="22"/>
      <c r="G99" s="242">
        <f t="shared" si="19"/>
        <v>7.9563210000000004E-4</v>
      </c>
      <c r="H99" s="242">
        <f t="shared" si="20"/>
        <v>0</v>
      </c>
      <c r="I99" s="242"/>
      <c r="J99" s="242">
        <f t="shared" si="21"/>
        <v>7.9563210000000004E-4</v>
      </c>
      <c r="K99" s="26">
        <v>44</v>
      </c>
      <c r="L99" s="243">
        <f t="shared" si="22"/>
        <v>3.5009999999999999E-2</v>
      </c>
      <c r="M99" s="243">
        <f t="shared" si="23"/>
        <v>0</v>
      </c>
      <c r="N99" s="243">
        <f t="shared" si="24"/>
        <v>0</v>
      </c>
      <c r="O99" s="243">
        <f t="shared" si="25"/>
        <v>3.5009999999999999E-2</v>
      </c>
      <c r="P99" s="21" t="s">
        <v>524</v>
      </c>
      <c r="Q99" s="21"/>
    </row>
    <row r="100" spans="1:17" hidden="1" x14ac:dyDescent="0.25">
      <c r="A100" s="20"/>
      <c r="B100" s="40"/>
      <c r="C100" s="20">
        <v>1</v>
      </c>
      <c r="D100" s="22">
        <v>273996</v>
      </c>
      <c r="E100" s="22">
        <v>1</v>
      </c>
      <c r="F100" s="22"/>
      <c r="G100" s="242">
        <f t="shared" si="19"/>
        <v>3.6497E-6</v>
      </c>
      <c r="H100" s="242">
        <f t="shared" si="20"/>
        <v>0</v>
      </c>
      <c r="I100" s="242"/>
      <c r="J100" s="242">
        <f t="shared" si="21"/>
        <v>3.6497E-6</v>
      </c>
      <c r="K100" s="26"/>
      <c r="L100" s="243">
        <f t="shared" si="22"/>
        <v>0</v>
      </c>
      <c r="M100" s="243">
        <f t="shared" si="23"/>
        <v>0</v>
      </c>
      <c r="N100" s="243">
        <f t="shared" si="24"/>
        <v>0</v>
      </c>
      <c r="O100" s="243">
        <f t="shared" si="25"/>
        <v>0</v>
      </c>
      <c r="P100" s="20"/>
      <c r="Q100" s="21"/>
    </row>
    <row r="101" spans="1:17" x14ac:dyDescent="0.25">
      <c r="A101" s="20" t="s">
        <v>243</v>
      </c>
      <c r="B101" s="40" t="s">
        <v>525</v>
      </c>
      <c r="C101" s="20">
        <v>1</v>
      </c>
      <c r="D101" s="22">
        <v>273996</v>
      </c>
      <c r="E101" s="22">
        <v>55</v>
      </c>
      <c r="F101" s="22"/>
      <c r="G101" s="242">
        <f t="shared" si="19"/>
        <v>2.007329E-4</v>
      </c>
      <c r="H101" s="242">
        <f t="shared" si="20"/>
        <v>0</v>
      </c>
      <c r="I101" s="242"/>
      <c r="J101" s="242">
        <f t="shared" si="21"/>
        <v>2.007329E-4</v>
      </c>
      <c r="K101" s="27">
        <v>10364</v>
      </c>
      <c r="L101" s="243">
        <f t="shared" si="22"/>
        <v>2.0804</v>
      </c>
      <c r="M101" s="243">
        <f t="shared" si="23"/>
        <v>0</v>
      </c>
      <c r="N101" s="243">
        <f t="shared" si="24"/>
        <v>0</v>
      </c>
      <c r="O101" s="243">
        <f t="shared" si="25"/>
        <v>2.0804</v>
      </c>
      <c r="P101" s="21" t="s">
        <v>526</v>
      </c>
      <c r="Q101" s="21"/>
    </row>
    <row r="102" spans="1:17" x14ac:dyDescent="0.25">
      <c r="A102" s="41"/>
      <c r="B102" s="40"/>
      <c r="C102" s="20">
        <v>1</v>
      </c>
      <c r="D102" s="22">
        <v>273996</v>
      </c>
      <c r="E102" s="22">
        <v>1</v>
      </c>
      <c r="F102" s="22"/>
      <c r="G102" s="242">
        <f t="shared" si="19"/>
        <v>3.6497E-6</v>
      </c>
      <c r="H102" s="242">
        <f t="shared" si="20"/>
        <v>0</v>
      </c>
      <c r="I102" s="242"/>
      <c r="J102" s="242">
        <f t="shared" si="21"/>
        <v>3.6497E-6</v>
      </c>
      <c r="K102" s="26"/>
      <c r="L102" s="243">
        <f t="shared" si="22"/>
        <v>0</v>
      </c>
      <c r="M102" s="243">
        <f t="shared" si="23"/>
        <v>0</v>
      </c>
      <c r="N102" s="243">
        <f t="shared" si="24"/>
        <v>0</v>
      </c>
      <c r="O102" s="243">
        <f t="shared" si="25"/>
        <v>0</v>
      </c>
      <c r="P102" s="20"/>
      <c r="Q102" s="21"/>
    </row>
    <row r="103" spans="1:17" x14ac:dyDescent="0.25">
      <c r="A103" s="41"/>
      <c r="B103" s="39" t="s">
        <v>229</v>
      </c>
      <c r="C103" s="35"/>
      <c r="D103" s="36"/>
      <c r="E103" s="36"/>
      <c r="F103" s="36"/>
      <c r="G103" s="37"/>
      <c r="H103" s="37"/>
      <c r="I103" s="37"/>
      <c r="J103" s="37"/>
      <c r="K103" s="35"/>
      <c r="L103" s="244">
        <f>SUM(L89:L102)</f>
        <v>2.2348400000000002</v>
      </c>
      <c r="M103" s="244">
        <f>SUM(M89:M102)</f>
        <v>0</v>
      </c>
      <c r="N103" s="244">
        <f>SUM(N89:N102)</f>
        <v>0</v>
      </c>
      <c r="O103" s="244">
        <f>SUM(O89:O102)</f>
        <v>2.2348400000000002</v>
      </c>
      <c r="P103" s="35"/>
      <c r="Q103" s="21"/>
    </row>
    <row r="104" spans="1:17" x14ac:dyDescent="0.25">
      <c r="A104" s="41" t="s">
        <v>258</v>
      </c>
      <c r="B104" s="39"/>
      <c r="C104" s="35"/>
      <c r="D104" s="36"/>
      <c r="E104" s="36"/>
      <c r="F104" s="36"/>
      <c r="G104" s="37"/>
      <c r="H104" s="37"/>
      <c r="I104" s="37"/>
      <c r="J104" s="37"/>
      <c r="K104" s="35"/>
      <c r="L104" s="244">
        <f>SUM(M104:O104)</f>
        <v>2.0100000000000001E-3</v>
      </c>
      <c r="M104" s="244"/>
      <c r="N104" s="244"/>
      <c r="O104" s="248">
        <f>O95+O96+O97</f>
        <v>2.0100000000000001E-3</v>
      </c>
      <c r="P104" s="35"/>
      <c r="Q104" s="21"/>
    </row>
    <row r="105" spans="1:17" x14ac:dyDescent="0.25">
      <c r="A105" s="41" t="s">
        <v>243</v>
      </c>
      <c r="B105" s="39"/>
      <c r="C105" s="35"/>
      <c r="D105" s="36"/>
      <c r="E105" s="36"/>
      <c r="F105" s="36"/>
      <c r="G105" s="37"/>
      <c r="H105" s="37"/>
      <c r="I105" s="37"/>
      <c r="J105" s="37"/>
      <c r="K105" s="35"/>
      <c r="L105" s="244">
        <f>SUM(M105:O105)</f>
        <v>2.2328299999999999</v>
      </c>
      <c r="M105" s="244">
        <f>M103-N104</f>
        <v>0</v>
      </c>
      <c r="N105" s="244"/>
      <c r="O105" s="248">
        <f>O103-O104</f>
        <v>2.2328299999999999</v>
      </c>
      <c r="P105" s="35"/>
      <c r="Q105" s="21"/>
    </row>
    <row r="106" spans="1:17" x14ac:dyDescent="0.25">
      <c r="A106" s="46"/>
      <c r="B106" s="1181" t="s">
        <v>177</v>
      </c>
      <c r="C106" s="1181"/>
      <c r="D106" s="1181"/>
      <c r="E106" s="1181"/>
      <c r="F106" s="1181"/>
      <c r="G106" s="1181"/>
      <c r="H106" s="1181"/>
      <c r="I106" s="1181"/>
      <c r="J106" s="1181"/>
      <c r="K106" s="1181"/>
      <c r="L106" s="1181"/>
      <c r="M106" s="1181"/>
      <c r="N106" s="1181"/>
      <c r="O106" s="1181"/>
      <c r="P106" s="1182"/>
      <c r="Q106" s="47"/>
    </row>
    <row r="107" spans="1:17" ht="22.5" x14ac:dyDescent="0.25">
      <c r="A107" s="41"/>
      <c r="B107" s="40" t="s">
        <v>180</v>
      </c>
      <c r="C107" s="20">
        <v>1</v>
      </c>
      <c r="D107" s="22">
        <v>273996</v>
      </c>
      <c r="E107" s="22">
        <v>1</v>
      </c>
      <c r="F107" s="22"/>
      <c r="G107" s="242">
        <f t="shared" ref="G107:G175" si="26">(E107+F107)/D107/C107</f>
        <v>3.6497E-6</v>
      </c>
      <c r="H107" s="242">
        <f t="shared" ref="H107:H115" si="27">G107-J107</f>
        <v>0</v>
      </c>
      <c r="I107" s="242"/>
      <c r="J107" s="242">
        <f t="shared" ref="J107:J115" si="28">E107/D107/C107</f>
        <v>3.6497E-6</v>
      </c>
      <c r="K107" s="20">
        <v>1200</v>
      </c>
      <c r="L107" s="243">
        <f t="shared" ref="L107:L175" si="29">G107*K107</f>
        <v>4.3800000000000002E-3</v>
      </c>
      <c r="M107" s="243">
        <f t="shared" ref="M107:M115" si="30">H107*K107</f>
        <v>0</v>
      </c>
      <c r="N107" s="243">
        <f t="shared" ref="N107:N115" si="31">I107*K107</f>
        <v>0</v>
      </c>
      <c r="O107" s="243">
        <f t="shared" ref="O107:O115" si="32">L107-M107</f>
        <v>4.3800000000000002E-3</v>
      </c>
      <c r="P107" s="20" t="s">
        <v>185</v>
      </c>
      <c r="Q107" s="21"/>
    </row>
    <row r="108" spans="1:17" x14ac:dyDescent="0.25">
      <c r="A108" s="41"/>
      <c r="B108" s="40" t="s">
        <v>181</v>
      </c>
      <c r="C108" s="20">
        <v>1</v>
      </c>
      <c r="D108" s="22">
        <v>273996</v>
      </c>
      <c r="E108" s="22">
        <v>1</v>
      </c>
      <c r="F108" s="22"/>
      <c r="G108" s="242">
        <f t="shared" si="26"/>
        <v>3.6497E-6</v>
      </c>
      <c r="H108" s="242">
        <f t="shared" si="27"/>
        <v>0</v>
      </c>
      <c r="I108" s="242"/>
      <c r="J108" s="242">
        <f t="shared" si="28"/>
        <v>3.6497E-6</v>
      </c>
      <c r="K108" s="20">
        <v>1200</v>
      </c>
      <c r="L108" s="243">
        <f t="shared" si="29"/>
        <v>4.3800000000000002E-3</v>
      </c>
      <c r="M108" s="243">
        <f t="shared" si="30"/>
        <v>0</v>
      </c>
      <c r="N108" s="243">
        <f t="shared" si="31"/>
        <v>0</v>
      </c>
      <c r="O108" s="243">
        <f t="shared" si="32"/>
        <v>4.3800000000000002E-3</v>
      </c>
      <c r="P108" s="20" t="s">
        <v>185</v>
      </c>
      <c r="Q108" s="21"/>
    </row>
    <row r="109" spans="1:17" ht="22.5" x14ac:dyDescent="0.25">
      <c r="A109" s="41"/>
      <c r="B109" s="40" t="s">
        <v>183</v>
      </c>
      <c r="C109" s="20">
        <v>1</v>
      </c>
      <c r="D109" s="22">
        <v>273996</v>
      </c>
      <c r="E109" s="22">
        <v>2</v>
      </c>
      <c r="F109" s="22"/>
      <c r="G109" s="242">
        <f t="shared" si="26"/>
        <v>7.2993999999999999E-6</v>
      </c>
      <c r="H109" s="242">
        <f t="shared" si="27"/>
        <v>0</v>
      </c>
      <c r="I109" s="242"/>
      <c r="J109" s="242">
        <f t="shared" si="28"/>
        <v>7.2993999999999999E-6</v>
      </c>
      <c r="K109" s="20">
        <v>1200</v>
      </c>
      <c r="L109" s="243">
        <f t="shared" si="29"/>
        <v>8.7600000000000004E-3</v>
      </c>
      <c r="M109" s="243">
        <f t="shared" si="30"/>
        <v>0</v>
      </c>
      <c r="N109" s="243">
        <f t="shared" si="31"/>
        <v>0</v>
      </c>
      <c r="O109" s="243">
        <f t="shared" si="32"/>
        <v>8.7600000000000004E-3</v>
      </c>
      <c r="P109" s="20" t="s">
        <v>186</v>
      </c>
      <c r="Q109" s="21"/>
    </row>
    <row r="110" spans="1:17" x14ac:dyDescent="0.25">
      <c r="A110" s="41"/>
      <c r="B110" s="40" t="s">
        <v>182</v>
      </c>
      <c r="C110" s="20">
        <v>1</v>
      </c>
      <c r="D110" s="22">
        <v>273996</v>
      </c>
      <c r="E110" s="22">
        <v>2</v>
      </c>
      <c r="F110" s="22"/>
      <c r="G110" s="242">
        <f t="shared" si="26"/>
        <v>7.2993999999999999E-6</v>
      </c>
      <c r="H110" s="242">
        <f t="shared" si="27"/>
        <v>0</v>
      </c>
      <c r="I110" s="242"/>
      <c r="J110" s="242">
        <f t="shared" si="28"/>
        <v>7.2993999999999999E-6</v>
      </c>
      <c r="K110" s="20">
        <v>1500</v>
      </c>
      <c r="L110" s="243">
        <f t="shared" si="29"/>
        <v>1.095E-2</v>
      </c>
      <c r="M110" s="243">
        <f t="shared" si="30"/>
        <v>0</v>
      </c>
      <c r="N110" s="243">
        <f t="shared" si="31"/>
        <v>0</v>
      </c>
      <c r="O110" s="243">
        <f t="shared" si="32"/>
        <v>1.095E-2</v>
      </c>
      <c r="P110" s="20" t="s">
        <v>186</v>
      </c>
      <c r="Q110" s="21"/>
    </row>
    <row r="111" spans="1:17" x14ac:dyDescent="0.25">
      <c r="A111" s="41"/>
      <c r="B111" s="40" t="s">
        <v>527</v>
      </c>
      <c r="C111" s="20">
        <v>1</v>
      </c>
      <c r="D111" s="22">
        <v>273996</v>
      </c>
      <c r="E111" s="22">
        <v>3</v>
      </c>
      <c r="F111" s="22"/>
      <c r="G111" s="242">
        <f>(E111+F111)/D111/C111</f>
        <v>1.09491E-5</v>
      </c>
      <c r="H111" s="242">
        <f>G111-J111</f>
        <v>0</v>
      </c>
      <c r="I111" s="242"/>
      <c r="J111" s="242">
        <f>E111/D111/C111</f>
        <v>1.09491E-5</v>
      </c>
      <c r="K111" s="20">
        <v>8000</v>
      </c>
      <c r="L111" s="243">
        <f>G111*K111</f>
        <v>8.7590000000000001E-2</v>
      </c>
      <c r="M111" s="243">
        <f>H111*K111</f>
        <v>0</v>
      </c>
      <c r="N111" s="243">
        <f>I111*K111</f>
        <v>0</v>
      </c>
      <c r="O111" s="243">
        <f>L111-M111</f>
        <v>8.7590000000000001E-2</v>
      </c>
      <c r="P111" s="20" t="s">
        <v>528</v>
      </c>
      <c r="Q111" s="21"/>
    </row>
    <row r="112" spans="1:17" x14ac:dyDescent="0.25">
      <c r="A112" s="41"/>
      <c r="B112" s="40" t="s">
        <v>184</v>
      </c>
      <c r="C112" s="20">
        <v>1</v>
      </c>
      <c r="D112" s="22">
        <v>273996</v>
      </c>
      <c r="E112" s="22">
        <v>68</v>
      </c>
      <c r="F112" s="22"/>
      <c r="G112" s="242">
        <f t="shared" si="26"/>
        <v>2.481788E-4</v>
      </c>
      <c r="H112" s="242">
        <f t="shared" si="27"/>
        <v>0</v>
      </c>
      <c r="I112" s="242"/>
      <c r="J112" s="242">
        <f t="shared" si="28"/>
        <v>2.481788E-4</v>
      </c>
      <c r="K112" s="20">
        <v>450</v>
      </c>
      <c r="L112" s="243">
        <f t="shared" si="29"/>
        <v>0.11168</v>
      </c>
      <c r="M112" s="243">
        <f t="shared" si="30"/>
        <v>0</v>
      </c>
      <c r="N112" s="243">
        <f t="shared" si="31"/>
        <v>0</v>
      </c>
      <c r="O112" s="243">
        <f t="shared" si="32"/>
        <v>0.11168</v>
      </c>
      <c r="P112" s="20" t="s">
        <v>187</v>
      </c>
      <c r="Q112" s="21"/>
    </row>
    <row r="113" spans="1:17" ht="23.25" customHeight="1" x14ac:dyDescent="0.25">
      <c r="A113" s="41"/>
      <c r="B113" s="40" t="s">
        <v>170</v>
      </c>
      <c r="C113" s="20">
        <v>1</v>
      </c>
      <c r="D113" s="22">
        <v>273996</v>
      </c>
      <c r="E113" s="22">
        <v>1</v>
      </c>
      <c r="F113" s="22"/>
      <c r="G113" s="242">
        <f>(E113+F113)/D113/C113</f>
        <v>3.6497E-6</v>
      </c>
      <c r="H113" s="242">
        <f>G113-J113</f>
        <v>0</v>
      </c>
      <c r="I113" s="242"/>
      <c r="J113" s="242">
        <f>E113/D113/C113</f>
        <v>3.6497E-6</v>
      </c>
      <c r="K113" s="20">
        <v>500</v>
      </c>
      <c r="L113" s="243">
        <f>G113*K113</f>
        <v>1.82E-3</v>
      </c>
      <c r="M113" s="243">
        <f>H113*K113</f>
        <v>0</v>
      </c>
      <c r="N113" s="243">
        <f>I113*K113</f>
        <v>0</v>
      </c>
      <c r="O113" s="243">
        <f>L113-M113</f>
        <v>1.82E-3</v>
      </c>
      <c r="P113" s="20" t="s">
        <v>185</v>
      </c>
      <c r="Q113" s="21"/>
    </row>
    <row r="114" spans="1:17" x14ac:dyDescent="0.25">
      <c r="A114" s="41"/>
      <c r="B114" s="40" t="s">
        <v>529</v>
      </c>
      <c r="C114" s="20">
        <v>1</v>
      </c>
      <c r="D114" s="22">
        <v>273996</v>
      </c>
      <c r="E114" s="22">
        <v>2</v>
      </c>
      <c r="F114" s="22"/>
      <c r="G114" s="242">
        <f>(E114+F114)/D114/C114</f>
        <v>7.2993999999999999E-6</v>
      </c>
      <c r="H114" s="242">
        <f>G114-J114</f>
        <v>0</v>
      </c>
      <c r="I114" s="242"/>
      <c r="J114" s="242">
        <f>E114/D114/C114</f>
        <v>7.2993999999999999E-6</v>
      </c>
      <c r="K114" s="20">
        <v>1000</v>
      </c>
      <c r="L114" s="243">
        <f>G114*K114</f>
        <v>7.3000000000000001E-3</v>
      </c>
      <c r="M114" s="243">
        <f>H114*K114</f>
        <v>0</v>
      </c>
      <c r="N114" s="243">
        <f>I114*K114</f>
        <v>0</v>
      </c>
      <c r="O114" s="243">
        <f>L114-M114</f>
        <v>7.3000000000000001E-3</v>
      </c>
      <c r="P114" s="20" t="s">
        <v>185</v>
      </c>
      <c r="Q114" s="21"/>
    </row>
    <row r="115" spans="1:17" ht="33.75" customHeight="1" x14ac:dyDescent="0.25">
      <c r="A115" s="41"/>
      <c r="B115" s="40" t="s">
        <v>530</v>
      </c>
      <c r="C115" s="20">
        <v>1</v>
      </c>
      <c r="D115" s="22">
        <v>273996</v>
      </c>
      <c r="E115" s="22">
        <v>1</v>
      </c>
      <c r="F115" s="22"/>
      <c r="G115" s="242">
        <f t="shared" si="26"/>
        <v>3.6497E-6</v>
      </c>
      <c r="H115" s="242">
        <f t="shared" si="27"/>
        <v>0</v>
      </c>
      <c r="I115" s="242"/>
      <c r="J115" s="242">
        <f t="shared" si="28"/>
        <v>3.6497E-6</v>
      </c>
      <c r="K115" s="26">
        <f>15000</f>
        <v>15000</v>
      </c>
      <c r="L115" s="243">
        <f t="shared" si="29"/>
        <v>5.475E-2</v>
      </c>
      <c r="M115" s="243">
        <f t="shared" si="30"/>
        <v>0</v>
      </c>
      <c r="N115" s="243">
        <f t="shared" si="31"/>
        <v>0</v>
      </c>
      <c r="O115" s="243">
        <f t="shared" si="32"/>
        <v>5.475E-2</v>
      </c>
      <c r="P115" s="20" t="s">
        <v>185</v>
      </c>
      <c r="Q115" s="21"/>
    </row>
    <row r="116" spans="1:17" x14ac:dyDescent="0.25">
      <c r="A116" s="41" t="s">
        <v>243</v>
      </c>
      <c r="B116" s="39" t="s">
        <v>229</v>
      </c>
      <c r="C116" s="35"/>
      <c r="D116" s="36"/>
      <c r="E116" s="36"/>
      <c r="F116" s="36"/>
      <c r="G116" s="37"/>
      <c r="H116" s="37"/>
      <c r="I116" s="37"/>
      <c r="J116" s="37"/>
      <c r="K116" s="35"/>
      <c r="L116" s="244">
        <f>SUM(L107:L115)</f>
        <v>0.29160999999999998</v>
      </c>
      <c r="M116" s="244">
        <f>SUM(M107:M115)</f>
        <v>0</v>
      </c>
      <c r="N116" s="244">
        <f>SUM(N107:N115)</f>
        <v>0</v>
      </c>
      <c r="O116" s="244">
        <f>SUM(O107:O115)</f>
        <v>0.29160999999999998</v>
      </c>
      <c r="P116" s="35"/>
      <c r="Q116" s="21"/>
    </row>
    <row r="117" spans="1:17" x14ac:dyDescent="0.25">
      <c r="A117" s="46"/>
      <c r="B117" s="1181" t="s">
        <v>188</v>
      </c>
      <c r="C117" s="1181"/>
      <c r="D117" s="1181"/>
      <c r="E117" s="1181"/>
      <c r="F117" s="1181"/>
      <c r="G117" s="1181"/>
      <c r="H117" s="1181"/>
      <c r="I117" s="1181"/>
      <c r="J117" s="1181"/>
      <c r="K117" s="1181"/>
      <c r="L117" s="1181"/>
      <c r="M117" s="1181"/>
      <c r="N117" s="1181"/>
      <c r="O117" s="1181"/>
      <c r="P117" s="1182"/>
      <c r="Q117" s="47"/>
    </row>
    <row r="118" spans="1:17" x14ac:dyDescent="0.25">
      <c r="A118" s="41"/>
      <c r="B118" s="40" t="s">
        <v>189</v>
      </c>
      <c r="C118" s="26">
        <v>1</v>
      </c>
      <c r="D118" s="27">
        <v>273996</v>
      </c>
      <c r="E118" s="27">
        <v>8</v>
      </c>
      <c r="F118" s="27">
        <f>22-8</f>
        <v>14</v>
      </c>
      <c r="G118" s="242">
        <f t="shared" si="26"/>
        <v>8.0293100000000005E-5</v>
      </c>
      <c r="H118" s="242">
        <f t="shared" ref="H118:H126" si="33">G118-J118</f>
        <v>5.1095599999999999E-5</v>
      </c>
      <c r="I118" s="242">
        <f>(F118)/D118/C118</f>
        <v>5.1095599999999999E-5</v>
      </c>
      <c r="J118" s="242">
        <f t="shared" ref="J118:J126" si="34">E118/D118/C118</f>
        <v>2.91975E-5</v>
      </c>
      <c r="K118" s="20">
        <v>1310</v>
      </c>
      <c r="L118" s="23">
        <f t="shared" si="29"/>
        <v>0.10518</v>
      </c>
      <c r="M118" s="23">
        <f t="shared" ref="M118:M126" si="35">H118*K118</f>
        <v>6.694E-2</v>
      </c>
      <c r="N118" s="23">
        <f t="shared" ref="N118:N126" si="36">I118*K118</f>
        <v>6.694E-2</v>
      </c>
      <c r="O118" s="23">
        <f t="shared" ref="O118:O126" si="37">L118-M118</f>
        <v>3.8240000000000003E-2</v>
      </c>
      <c r="P118" s="20" t="s">
        <v>204</v>
      </c>
      <c r="Q118" s="21"/>
    </row>
    <row r="119" spans="1:17" x14ac:dyDescent="0.25">
      <c r="A119" s="41"/>
      <c r="B119" s="40" t="s">
        <v>190</v>
      </c>
      <c r="C119" s="26">
        <v>1</v>
      </c>
      <c r="D119" s="27">
        <v>273996</v>
      </c>
      <c r="E119" s="27">
        <v>18</v>
      </c>
      <c r="F119" s="27">
        <f>46-18</f>
        <v>28</v>
      </c>
      <c r="G119" s="242">
        <f t="shared" si="26"/>
        <v>1.6788569999999999E-4</v>
      </c>
      <c r="H119" s="242">
        <f>G119-J119</f>
        <v>1.0219130000000001E-4</v>
      </c>
      <c r="I119" s="242">
        <f>(F119)/D119/C119</f>
        <v>1.0219130000000001E-4</v>
      </c>
      <c r="J119" s="242">
        <f t="shared" si="34"/>
        <v>6.5694399999999999E-5</v>
      </c>
      <c r="K119" s="20">
        <v>1628</v>
      </c>
      <c r="L119" s="23">
        <f t="shared" si="29"/>
        <v>0.27332000000000001</v>
      </c>
      <c r="M119" s="23">
        <f t="shared" si="35"/>
        <v>0.16636999999999999</v>
      </c>
      <c r="N119" s="23">
        <f t="shared" si="36"/>
        <v>0.16636999999999999</v>
      </c>
      <c r="O119" s="23">
        <f t="shared" si="37"/>
        <v>0.10695</v>
      </c>
      <c r="P119" s="20" t="s">
        <v>204</v>
      </c>
      <c r="Q119" s="21"/>
    </row>
    <row r="120" spans="1:17" x14ac:dyDescent="0.25">
      <c r="A120" s="41"/>
      <c r="B120" s="40" t="s">
        <v>191</v>
      </c>
      <c r="C120" s="26">
        <v>1</v>
      </c>
      <c r="D120" s="27">
        <f>519552</f>
        <v>519552</v>
      </c>
      <c r="E120" s="20">
        <v>0.22</v>
      </c>
      <c r="F120" s="22"/>
      <c r="G120" s="242">
        <f t="shared" si="26"/>
        <v>4.2339999999999999E-7</v>
      </c>
      <c r="H120" s="242">
        <f t="shared" si="33"/>
        <v>0</v>
      </c>
      <c r="I120" s="242"/>
      <c r="J120" s="242">
        <f t="shared" si="34"/>
        <v>4.2339999999999999E-7</v>
      </c>
      <c r="K120" s="22">
        <v>2000</v>
      </c>
      <c r="L120" s="23">
        <f t="shared" si="29"/>
        <v>8.4999999999999995E-4</v>
      </c>
      <c r="M120" s="23">
        <f t="shared" si="35"/>
        <v>0</v>
      </c>
      <c r="N120" s="23">
        <f t="shared" si="36"/>
        <v>0</v>
      </c>
      <c r="O120" s="23">
        <f t="shared" si="37"/>
        <v>8.4999999999999995E-4</v>
      </c>
      <c r="P120" s="21" t="s">
        <v>531</v>
      </c>
      <c r="Q120" s="21" t="s">
        <v>48</v>
      </c>
    </row>
    <row r="121" spans="1:17" x14ac:dyDescent="0.25">
      <c r="A121" s="41"/>
      <c r="B121" s="40" t="s">
        <v>192</v>
      </c>
      <c r="C121" s="26">
        <v>1</v>
      </c>
      <c r="D121" s="27">
        <f>519552</f>
        <v>519552</v>
      </c>
      <c r="E121" s="20">
        <v>0.22</v>
      </c>
      <c r="F121" s="22"/>
      <c r="G121" s="242">
        <f t="shared" si="26"/>
        <v>4.2339999999999999E-7</v>
      </c>
      <c r="H121" s="242">
        <f t="shared" si="33"/>
        <v>0</v>
      </c>
      <c r="I121" s="242"/>
      <c r="J121" s="242">
        <f t="shared" si="34"/>
        <v>4.2339999999999999E-7</v>
      </c>
      <c r="K121" s="22">
        <v>2000</v>
      </c>
      <c r="L121" s="23">
        <f t="shared" si="29"/>
        <v>8.4999999999999995E-4</v>
      </c>
      <c r="M121" s="23">
        <f t="shared" si="35"/>
        <v>0</v>
      </c>
      <c r="N121" s="23">
        <f t="shared" si="36"/>
        <v>0</v>
      </c>
      <c r="O121" s="23">
        <f t="shared" si="37"/>
        <v>8.4999999999999995E-4</v>
      </c>
      <c r="P121" s="21" t="s">
        <v>531</v>
      </c>
      <c r="Q121" s="21" t="s">
        <v>48</v>
      </c>
    </row>
    <row r="122" spans="1:17" x14ac:dyDescent="0.25">
      <c r="A122" s="41"/>
      <c r="B122" s="40" t="s">
        <v>193</v>
      </c>
      <c r="C122" s="26">
        <v>1</v>
      </c>
      <c r="D122" s="27">
        <f>519552</f>
        <v>519552</v>
      </c>
      <c r="E122" s="22">
        <v>1</v>
      </c>
      <c r="F122" s="22"/>
      <c r="G122" s="242">
        <f t="shared" si="26"/>
        <v>1.9247E-6</v>
      </c>
      <c r="H122" s="242">
        <f t="shared" si="33"/>
        <v>0</v>
      </c>
      <c r="I122" s="242"/>
      <c r="J122" s="242">
        <f t="shared" si="34"/>
        <v>1.9247E-6</v>
      </c>
      <c r="K122" s="20">
        <v>700</v>
      </c>
      <c r="L122" s="23">
        <f t="shared" si="29"/>
        <v>1.3500000000000001E-3</v>
      </c>
      <c r="M122" s="23">
        <f t="shared" si="35"/>
        <v>0</v>
      </c>
      <c r="N122" s="23">
        <f t="shared" si="36"/>
        <v>0</v>
      </c>
      <c r="O122" s="23">
        <f t="shared" si="37"/>
        <v>1.3500000000000001E-3</v>
      </c>
      <c r="P122" s="20" t="s">
        <v>196</v>
      </c>
      <c r="Q122" s="21" t="s">
        <v>48</v>
      </c>
    </row>
    <row r="123" spans="1:17" x14ac:dyDescent="0.25">
      <c r="A123" s="41"/>
      <c r="B123" s="40" t="s">
        <v>532</v>
      </c>
      <c r="C123" s="26">
        <v>1</v>
      </c>
      <c r="D123" s="27">
        <f>519552</f>
        <v>519552</v>
      </c>
      <c r="E123" s="22">
        <v>1</v>
      </c>
      <c r="F123" s="22"/>
      <c r="G123" s="242">
        <f>(E123+F123)/D123/C123</f>
        <v>1.9247E-6</v>
      </c>
      <c r="H123" s="242">
        <f>G123-J123</f>
        <v>0</v>
      </c>
      <c r="I123" s="242"/>
      <c r="J123" s="242">
        <f>E123/D123/C123</f>
        <v>1.9247E-6</v>
      </c>
      <c r="K123" s="20">
        <v>700</v>
      </c>
      <c r="L123" s="23">
        <f>G123*K123</f>
        <v>1.3500000000000001E-3</v>
      </c>
      <c r="M123" s="23">
        <f>H123*K123</f>
        <v>0</v>
      </c>
      <c r="N123" s="23">
        <f>I123*K123</f>
        <v>0</v>
      </c>
      <c r="O123" s="23">
        <f>L123-M123</f>
        <v>1.3500000000000001E-3</v>
      </c>
      <c r="P123" s="20" t="s">
        <v>196</v>
      </c>
      <c r="Q123" s="21" t="s">
        <v>48</v>
      </c>
    </row>
    <row r="124" spans="1:17" x14ac:dyDescent="0.25">
      <c r="A124" s="41"/>
      <c r="B124" s="40" t="s">
        <v>194</v>
      </c>
      <c r="C124" s="26">
        <v>1</v>
      </c>
      <c r="D124" s="27">
        <v>397619</v>
      </c>
      <c r="E124" s="22">
        <v>5</v>
      </c>
      <c r="F124" s="22"/>
      <c r="G124" s="242">
        <f t="shared" si="26"/>
        <v>1.2574900000000001E-5</v>
      </c>
      <c r="H124" s="242">
        <f t="shared" si="33"/>
        <v>0</v>
      </c>
      <c r="I124" s="242"/>
      <c r="J124" s="242">
        <f t="shared" si="34"/>
        <v>1.2574900000000001E-5</v>
      </c>
      <c r="K124" s="20">
        <v>1200</v>
      </c>
      <c r="L124" s="23">
        <f t="shared" si="29"/>
        <v>1.5089999999999999E-2</v>
      </c>
      <c r="M124" s="23">
        <f t="shared" si="35"/>
        <v>0</v>
      </c>
      <c r="N124" s="23">
        <f t="shared" si="36"/>
        <v>0</v>
      </c>
      <c r="O124" s="23">
        <f t="shared" si="37"/>
        <v>1.5089999999999999E-2</v>
      </c>
      <c r="P124" s="20" t="s">
        <v>533</v>
      </c>
      <c r="Q124" s="21" t="s">
        <v>48</v>
      </c>
    </row>
    <row r="125" spans="1:17" ht="15" hidden="1" customHeight="1" x14ac:dyDescent="0.25">
      <c r="A125" s="41"/>
      <c r="B125" s="40" t="s">
        <v>197</v>
      </c>
      <c r="C125" s="26">
        <v>1</v>
      </c>
      <c r="D125" s="27">
        <v>273996</v>
      </c>
      <c r="E125" s="22"/>
      <c r="F125" s="22"/>
      <c r="G125" s="242">
        <f t="shared" si="26"/>
        <v>0</v>
      </c>
      <c r="H125" s="242">
        <f>G125-J125</f>
        <v>0</v>
      </c>
      <c r="I125" s="242"/>
      <c r="J125" s="242">
        <f>E125/D125/C125</f>
        <v>0</v>
      </c>
      <c r="K125" s="247"/>
      <c r="L125" s="23">
        <f t="shared" si="29"/>
        <v>0</v>
      </c>
      <c r="M125" s="23"/>
      <c r="N125" s="23"/>
      <c r="O125" s="23"/>
      <c r="P125" s="20"/>
      <c r="Q125" s="21"/>
    </row>
    <row r="126" spans="1:17" ht="14.25" customHeight="1" x14ac:dyDescent="0.25">
      <c r="A126" s="41"/>
      <c r="B126" s="40" t="s">
        <v>195</v>
      </c>
      <c r="C126" s="26">
        <v>1</v>
      </c>
      <c r="D126" s="27">
        <f>397619</f>
        <v>397619</v>
      </c>
      <c r="E126" s="22">
        <v>1</v>
      </c>
      <c r="F126" s="22"/>
      <c r="G126" s="242">
        <f t="shared" si="26"/>
        <v>2.5150000000000001E-6</v>
      </c>
      <c r="H126" s="242">
        <f t="shared" si="33"/>
        <v>0</v>
      </c>
      <c r="I126" s="242"/>
      <c r="J126" s="242">
        <f t="shared" si="34"/>
        <v>2.5150000000000001E-6</v>
      </c>
      <c r="K126" s="20">
        <v>2500</v>
      </c>
      <c r="L126" s="23">
        <f t="shared" si="29"/>
        <v>6.2899999999999996E-3</v>
      </c>
      <c r="M126" s="23">
        <f t="shared" si="35"/>
        <v>0</v>
      </c>
      <c r="N126" s="23">
        <f t="shared" si="36"/>
        <v>0</v>
      </c>
      <c r="O126" s="23">
        <f t="shared" si="37"/>
        <v>6.2899999999999996E-3</v>
      </c>
      <c r="P126" s="20" t="s">
        <v>196</v>
      </c>
      <c r="Q126" s="21" t="s">
        <v>49</v>
      </c>
    </row>
    <row r="127" spans="1:17" ht="15" customHeight="1" x14ac:dyDescent="0.25">
      <c r="A127" s="41"/>
      <c r="B127" s="40" t="s">
        <v>534</v>
      </c>
      <c r="C127" s="26">
        <v>1</v>
      </c>
      <c r="D127" s="27">
        <f>260532</f>
        <v>260532</v>
      </c>
      <c r="E127" s="22">
        <f>1*90</f>
        <v>90</v>
      </c>
      <c r="F127" s="22"/>
      <c r="G127" s="242">
        <f>(E127+F127)/D127/C127</f>
        <v>3.4544699999999997E-4</v>
      </c>
      <c r="H127" s="242">
        <f>G127-J127</f>
        <v>0</v>
      </c>
      <c r="I127" s="242"/>
      <c r="J127" s="242">
        <f>E127/D127/C127</f>
        <v>3.4544699999999997E-4</v>
      </c>
      <c r="K127" s="20">
        <v>45</v>
      </c>
      <c r="L127" s="23">
        <f t="shared" si="29"/>
        <v>1.555E-2</v>
      </c>
      <c r="M127" s="23">
        <f>H127*K127</f>
        <v>0</v>
      </c>
      <c r="N127" s="23">
        <f>I127*K127</f>
        <v>0</v>
      </c>
      <c r="O127" s="23">
        <f>L127-M127</f>
        <v>1.555E-2</v>
      </c>
      <c r="P127" s="20" t="s">
        <v>535</v>
      </c>
      <c r="Q127" s="21" t="s">
        <v>502</v>
      </c>
    </row>
    <row r="128" spans="1:17" x14ac:dyDescent="0.25">
      <c r="A128" s="41"/>
      <c r="B128" s="39" t="s">
        <v>229</v>
      </c>
      <c r="C128" s="35"/>
      <c r="D128" s="36"/>
      <c r="E128" s="36"/>
      <c r="F128" s="36"/>
      <c r="G128" s="37"/>
      <c r="H128" s="37"/>
      <c r="I128" s="37"/>
      <c r="J128" s="37"/>
      <c r="K128" s="35"/>
      <c r="L128" s="244">
        <f>SUM(L118:L126)</f>
        <v>0.40427999999999997</v>
      </c>
      <c r="M128" s="244">
        <f>SUM(M118:M126)</f>
        <v>0.23330999999999999</v>
      </c>
      <c r="N128" s="244">
        <f>SUM(N118:N127)</f>
        <v>0.23330999999999999</v>
      </c>
      <c r="O128" s="244">
        <f>SUM(O118:O126)</f>
        <v>0.17097000000000001</v>
      </c>
      <c r="P128" s="82"/>
      <c r="Q128" s="83"/>
    </row>
    <row r="129" spans="1:17" x14ac:dyDescent="0.25">
      <c r="A129" s="41" t="s">
        <v>241</v>
      </c>
      <c r="B129" s="39"/>
      <c r="C129" s="35"/>
      <c r="D129" s="36"/>
      <c r="E129" s="36"/>
      <c r="F129" s="36"/>
      <c r="G129" s="37"/>
      <c r="H129" s="37"/>
      <c r="I129" s="37"/>
      <c r="J129" s="37"/>
      <c r="K129" s="35"/>
      <c r="L129" s="244">
        <f>SUM(M129:O129)</f>
        <v>0.23330999999999999</v>
      </c>
      <c r="M129" s="244"/>
      <c r="N129" s="244">
        <f>N128</f>
        <v>0.23330999999999999</v>
      </c>
      <c r="O129" s="244"/>
      <c r="P129" s="35"/>
      <c r="Q129" s="21"/>
    </row>
    <row r="130" spans="1:17" x14ac:dyDescent="0.25">
      <c r="A130" s="41" t="s">
        <v>243</v>
      </c>
      <c r="B130" s="39"/>
      <c r="C130" s="35"/>
      <c r="D130" s="36"/>
      <c r="E130" s="36"/>
      <c r="F130" s="36"/>
      <c r="G130" s="37"/>
      <c r="H130" s="37"/>
      <c r="I130" s="37"/>
      <c r="J130" s="37"/>
      <c r="K130" s="35"/>
      <c r="L130" s="244">
        <f>SUM(M130:O130)</f>
        <v>0.17097000000000001</v>
      </c>
      <c r="M130" s="244">
        <f>M128-N129</f>
        <v>0</v>
      </c>
      <c r="N130" s="244"/>
      <c r="O130" s="244">
        <f>O128</f>
        <v>0.17097000000000001</v>
      </c>
      <c r="P130" s="35"/>
      <c r="Q130" s="21"/>
    </row>
    <row r="131" spans="1:17" x14ac:dyDescent="0.25">
      <c r="A131" s="46"/>
      <c r="B131" s="1181" t="s">
        <v>199</v>
      </c>
      <c r="C131" s="1181"/>
      <c r="D131" s="1181"/>
      <c r="E131" s="1181"/>
      <c r="F131" s="1181"/>
      <c r="G131" s="1181"/>
      <c r="H131" s="1181"/>
      <c r="I131" s="1181"/>
      <c r="J131" s="1181"/>
      <c r="K131" s="1181"/>
      <c r="L131" s="1181"/>
      <c r="M131" s="1181"/>
      <c r="N131" s="1181"/>
      <c r="O131" s="1181"/>
      <c r="P131" s="1182"/>
      <c r="Q131" s="47"/>
    </row>
    <row r="132" spans="1:17" x14ac:dyDescent="0.25">
      <c r="A132" s="41"/>
      <c r="B132" s="33" t="s">
        <v>536</v>
      </c>
      <c r="C132" s="20">
        <v>1</v>
      </c>
      <c r="D132" s="27">
        <f>519552</f>
        <v>519552</v>
      </c>
      <c r="E132" s="27">
        <v>12</v>
      </c>
      <c r="F132" s="22"/>
      <c r="G132" s="242">
        <f>(E132+F132)/D132/C132</f>
        <v>2.3096799999999999E-5</v>
      </c>
      <c r="H132" s="242">
        <f t="shared" ref="H132:H138" si="38">G132-J132</f>
        <v>2.3096799999999999E-5</v>
      </c>
      <c r="I132" s="242"/>
      <c r="J132" s="242"/>
      <c r="K132" s="27">
        <v>3390</v>
      </c>
      <c r="L132" s="243">
        <f>G132*K132</f>
        <v>7.8299999999999995E-2</v>
      </c>
      <c r="M132" s="243">
        <f t="shared" ref="M132:M138" si="39">H132*K132</f>
        <v>7.8299999999999995E-2</v>
      </c>
      <c r="N132" s="243">
        <f t="shared" ref="N132:N138" si="40">I132*K132</f>
        <v>0</v>
      </c>
      <c r="O132" s="243">
        <f t="shared" ref="O132:O138" si="41">L132-M132</f>
        <v>0</v>
      </c>
      <c r="P132" s="20" t="s">
        <v>200</v>
      </c>
      <c r="Q132" s="21" t="s">
        <v>48</v>
      </c>
    </row>
    <row r="133" spans="1:17" ht="22.5" x14ac:dyDescent="0.25">
      <c r="A133" s="41"/>
      <c r="B133" s="33" t="s">
        <v>537</v>
      </c>
      <c r="C133" s="20">
        <v>1</v>
      </c>
      <c r="D133" s="27">
        <f>519552</f>
        <v>519552</v>
      </c>
      <c r="E133" s="27">
        <v>12</v>
      </c>
      <c r="F133" s="22"/>
      <c r="G133" s="242">
        <f>(E133+F133)/D133/C133</f>
        <v>2.3096799999999999E-5</v>
      </c>
      <c r="H133" s="242">
        <f t="shared" si="38"/>
        <v>2.3096799999999999E-5</v>
      </c>
      <c r="I133" s="242"/>
      <c r="J133" s="242"/>
      <c r="K133" s="27">
        <v>5272.44</v>
      </c>
      <c r="L133" s="243">
        <f>G133*K133</f>
        <v>0.12178</v>
      </c>
      <c r="M133" s="243">
        <f t="shared" si="39"/>
        <v>0.12178</v>
      </c>
      <c r="N133" s="243">
        <f t="shared" si="40"/>
        <v>0</v>
      </c>
      <c r="O133" s="243">
        <f t="shared" si="41"/>
        <v>0</v>
      </c>
      <c r="P133" s="20" t="s">
        <v>200</v>
      </c>
      <c r="Q133" s="21" t="s">
        <v>48</v>
      </c>
    </row>
    <row r="134" spans="1:17" ht="22.5" x14ac:dyDescent="0.25">
      <c r="A134" s="41"/>
      <c r="B134" s="33" t="s">
        <v>538</v>
      </c>
      <c r="C134" s="20">
        <v>1</v>
      </c>
      <c r="D134" s="27">
        <f>519552</f>
        <v>519552</v>
      </c>
      <c r="E134" s="27">
        <v>12</v>
      </c>
      <c r="F134" s="22"/>
      <c r="G134" s="242">
        <f>(E134+F134)/D134/C134</f>
        <v>2.3096799999999999E-5</v>
      </c>
      <c r="H134" s="242">
        <f t="shared" si="38"/>
        <v>2.3096799999999999E-5</v>
      </c>
      <c r="I134" s="242"/>
      <c r="J134" s="242"/>
      <c r="K134" s="27">
        <v>400</v>
      </c>
      <c r="L134" s="243">
        <f>G134*K134</f>
        <v>9.2399999999999999E-3</v>
      </c>
      <c r="M134" s="243">
        <f t="shared" si="39"/>
        <v>9.2399999999999999E-3</v>
      </c>
      <c r="N134" s="243">
        <f t="shared" si="40"/>
        <v>0</v>
      </c>
      <c r="O134" s="243">
        <f t="shared" si="41"/>
        <v>0</v>
      </c>
      <c r="P134" s="20" t="s">
        <v>200</v>
      </c>
      <c r="Q134" s="21" t="s">
        <v>48</v>
      </c>
    </row>
    <row r="135" spans="1:17" ht="22.5" x14ac:dyDescent="0.25">
      <c r="A135" s="41"/>
      <c r="B135" s="33" t="s">
        <v>539</v>
      </c>
      <c r="C135" s="20">
        <v>1</v>
      </c>
      <c r="D135" s="27">
        <f>519552</f>
        <v>519552</v>
      </c>
      <c r="E135" s="27">
        <v>1</v>
      </c>
      <c r="F135" s="22"/>
      <c r="G135" s="242">
        <f>(E135+F135)/D135/C135</f>
        <v>1.9247E-6</v>
      </c>
      <c r="H135" s="242">
        <f t="shared" si="38"/>
        <v>1.9247E-6</v>
      </c>
      <c r="I135" s="242"/>
      <c r="J135" s="242"/>
      <c r="K135" s="27">
        <v>6320</v>
      </c>
      <c r="L135" s="243">
        <f>G135*K135</f>
        <v>1.2160000000000001E-2</v>
      </c>
      <c r="M135" s="243">
        <f t="shared" si="39"/>
        <v>1.2160000000000001E-2</v>
      </c>
      <c r="N135" s="243">
        <f t="shared" si="40"/>
        <v>0</v>
      </c>
      <c r="O135" s="243">
        <f t="shared" si="41"/>
        <v>0</v>
      </c>
      <c r="P135" s="20" t="s">
        <v>200</v>
      </c>
      <c r="Q135" s="21" t="s">
        <v>48</v>
      </c>
    </row>
    <row r="136" spans="1:17" x14ac:dyDescent="0.25">
      <c r="A136" s="41"/>
      <c r="B136" s="33" t="s">
        <v>540</v>
      </c>
      <c r="C136" s="20">
        <v>1</v>
      </c>
      <c r="D136" s="27">
        <f>260532</f>
        <v>260532</v>
      </c>
      <c r="E136" s="27">
        <v>12</v>
      </c>
      <c r="F136" s="22"/>
      <c r="G136" s="242">
        <f>(E136+F136)/D136/C136</f>
        <v>4.6059600000000002E-5</v>
      </c>
      <c r="H136" s="242">
        <f t="shared" si="38"/>
        <v>4.6059600000000002E-5</v>
      </c>
      <c r="I136" s="242"/>
      <c r="J136" s="242"/>
      <c r="K136" s="27">
        <v>300</v>
      </c>
      <c r="L136" s="243">
        <f>G136*K136</f>
        <v>1.3820000000000001E-2</v>
      </c>
      <c r="M136" s="243">
        <f t="shared" si="39"/>
        <v>1.3820000000000001E-2</v>
      </c>
      <c r="N136" s="243">
        <f t="shared" si="40"/>
        <v>0</v>
      </c>
      <c r="O136" s="243">
        <f t="shared" si="41"/>
        <v>0</v>
      </c>
      <c r="P136" s="20" t="s">
        <v>200</v>
      </c>
      <c r="Q136" s="21" t="s">
        <v>502</v>
      </c>
    </row>
    <row r="137" spans="1:17" ht="22.5" x14ac:dyDescent="0.25">
      <c r="A137" s="41"/>
      <c r="B137" s="33" t="s">
        <v>541</v>
      </c>
      <c r="C137" s="20">
        <v>1</v>
      </c>
      <c r="D137" s="27">
        <f>260532</f>
        <v>260532</v>
      </c>
      <c r="E137" s="22">
        <v>12</v>
      </c>
      <c r="F137" s="22"/>
      <c r="G137" s="242">
        <f t="shared" si="26"/>
        <v>4.6059600000000002E-5</v>
      </c>
      <c r="H137" s="242">
        <f t="shared" si="38"/>
        <v>4.6059600000000002E-5</v>
      </c>
      <c r="I137" s="242"/>
      <c r="J137" s="242"/>
      <c r="K137" s="22">
        <v>100</v>
      </c>
      <c r="L137" s="243">
        <f t="shared" si="29"/>
        <v>4.6100000000000004E-3</v>
      </c>
      <c r="M137" s="243">
        <f t="shared" si="39"/>
        <v>4.6100000000000004E-3</v>
      </c>
      <c r="N137" s="243">
        <f t="shared" si="40"/>
        <v>0</v>
      </c>
      <c r="O137" s="243">
        <f t="shared" si="41"/>
        <v>0</v>
      </c>
      <c r="P137" s="20" t="s">
        <v>200</v>
      </c>
      <c r="Q137" s="21"/>
    </row>
    <row r="138" spans="1:17" ht="33.75" hidden="1" x14ac:dyDescent="0.25">
      <c r="A138" s="41"/>
      <c r="B138" s="33" t="s">
        <v>542</v>
      </c>
      <c r="C138" s="20">
        <v>1</v>
      </c>
      <c r="D138" s="27">
        <f>260532</f>
        <v>260532</v>
      </c>
      <c r="E138" s="22">
        <v>12</v>
      </c>
      <c r="F138" s="22"/>
      <c r="G138" s="242">
        <f>(E138+F138)/D138/C138</f>
        <v>4.6059600000000002E-5</v>
      </c>
      <c r="H138" s="242">
        <f t="shared" si="38"/>
        <v>0</v>
      </c>
      <c r="I138" s="242"/>
      <c r="J138" s="242">
        <f>E138/D138/C138</f>
        <v>4.6059600000000002E-5</v>
      </c>
      <c r="K138" s="247"/>
      <c r="L138" s="243">
        <f t="shared" si="29"/>
        <v>0</v>
      </c>
      <c r="M138" s="243">
        <f t="shared" si="39"/>
        <v>0</v>
      </c>
      <c r="N138" s="243">
        <f t="shared" si="40"/>
        <v>0</v>
      </c>
      <c r="O138" s="243">
        <f t="shared" si="41"/>
        <v>0</v>
      </c>
      <c r="P138" s="20" t="s">
        <v>200</v>
      </c>
      <c r="Q138" s="21" t="s">
        <v>502</v>
      </c>
    </row>
    <row r="139" spans="1:17" x14ac:dyDescent="0.25">
      <c r="A139" s="41" t="s">
        <v>256</v>
      </c>
      <c r="B139" s="39" t="s">
        <v>229</v>
      </c>
      <c r="C139" s="35"/>
      <c r="D139" s="36"/>
      <c r="E139" s="36"/>
      <c r="F139" s="36"/>
      <c r="G139" s="37"/>
      <c r="H139" s="37"/>
      <c r="I139" s="37"/>
      <c r="J139" s="37"/>
      <c r="K139" s="35"/>
      <c r="L139" s="244">
        <f>SUM(L132:L138)</f>
        <v>0.23991000000000001</v>
      </c>
      <c r="M139" s="244">
        <f>SUM(M132:M138)</f>
        <v>0.23991000000000001</v>
      </c>
      <c r="N139" s="244">
        <f>SUM(N132:N138)</f>
        <v>0</v>
      </c>
      <c r="O139" s="244">
        <f>SUM(O132:O138)</f>
        <v>0</v>
      </c>
      <c r="P139" s="35"/>
      <c r="Q139" s="21"/>
    </row>
    <row r="140" spans="1:17" x14ac:dyDescent="0.25">
      <c r="A140" s="46"/>
      <c r="B140" s="1181" t="s">
        <v>201</v>
      </c>
      <c r="C140" s="1181"/>
      <c r="D140" s="1181"/>
      <c r="E140" s="1181"/>
      <c r="F140" s="1181"/>
      <c r="G140" s="1181"/>
      <c r="H140" s="1181"/>
      <c r="I140" s="1181"/>
      <c r="J140" s="1181"/>
      <c r="K140" s="1181"/>
      <c r="L140" s="1181"/>
      <c r="M140" s="1181"/>
      <c r="N140" s="1181"/>
      <c r="O140" s="1181"/>
      <c r="P140" s="1182"/>
      <c r="Q140" s="47"/>
    </row>
    <row r="141" spans="1:17" hidden="1" x14ac:dyDescent="0.25">
      <c r="A141" s="41"/>
      <c r="B141" s="40" t="s">
        <v>504</v>
      </c>
      <c r="C141" s="20">
        <v>1</v>
      </c>
      <c r="D141" s="22">
        <v>273996</v>
      </c>
      <c r="E141" s="22">
        <v>12</v>
      </c>
      <c r="F141" s="22"/>
      <c r="G141" s="242">
        <f t="shared" si="26"/>
        <v>4.3796299999999999E-5</v>
      </c>
      <c r="H141" s="242">
        <f>G141-J141</f>
        <v>0</v>
      </c>
      <c r="I141" s="242"/>
      <c r="J141" s="242">
        <f>E141/D141/C141</f>
        <v>4.3796299999999999E-5</v>
      </c>
      <c r="K141" s="249">
        <f>2200-2200</f>
        <v>0</v>
      </c>
      <c r="L141" s="243">
        <f t="shared" si="29"/>
        <v>0</v>
      </c>
      <c r="M141" s="243">
        <f>H141*K141</f>
        <v>0</v>
      </c>
      <c r="N141" s="243">
        <f>I141*K141</f>
        <v>0</v>
      </c>
      <c r="O141" s="243">
        <f>L141-M141</f>
        <v>0</v>
      </c>
      <c r="P141" s="20" t="s">
        <v>200</v>
      </c>
      <c r="Q141" s="21"/>
    </row>
    <row r="142" spans="1:17" ht="22.5" x14ac:dyDescent="0.25">
      <c r="A142" s="41"/>
      <c r="B142" s="40" t="s">
        <v>543</v>
      </c>
      <c r="C142" s="20">
        <v>1</v>
      </c>
      <c r="D142" s="27">
        <f>519552</f>
        <v>519552</v>
      </c>
      <c r="E142" s="22">
        <f>2*12</f>
        <v>24</v>
      </c>
      <c r="F142" s="22"/>
      <c r="G142" s="242">
        <f>(E142+F142)/D142/C142</f>
        <v>4.6193599999999998E-5</v>
      </c>
      <c r="H142" s="242">
        <f>G142-J142</f>
        <v>0</v>
      </c>
      <c r="I142" s="242"/>
      <c r="J142" s="242">
        <f>E142/D142/C142</f>
        <v>4.6193599999999998E-5</v>
      </c>
      <c r="K142" s="22">
        <v>800</v>
      </c>
      <c r="L142" s="243">
        <f>G142*K142</f>
        <v>3.6949999999999997E-2</v>
      </c>
      <c r="M142" s="243">
        <f>H142*K142</f>
        <v>0</v>
      </c>
      <c r="N142" s="243">
        <f>I142*K142</f>
        <v>0</v>
      </c>
      <c r="O142" s="243">
        <f>L142-M142</f>
        <v>3.6949999999999997E-2</v>
      </c>
      <c r="P142" s="21" t="s">
        <v>544</v>
      </c>
      <c r="Q142" s="21" t="s">
        <v>48</v>
      </c>
    </row>
    <row r="143" spans="1:17" x14ac:dyDescent="0.25">
      <c r="A143" s="41"/>
      <c r="B143" s="33" t="s">
        <v>202</v>
      </c>
      <c r="C143" s="20">
        <v>1</v>
      </c>
      <c r="D143" s="27">
        <f>519552</f>
        <v>519552</v>
      </c>
      <c r="E143" s="29">
        <f>5500.7*12</f>
        <v>66008.399999999994</v>
      </c>
      <c r="F143" s="22"/>
      <c r="G143" s="242">
        <f t="shared" si="26"/>
        <v>0.1270486881</v>
      </c>
      <c r="H143" s="242">
        <f>G143-J143</f>
        <v>0</v>
      </c>
      <c r="I143" s="242"/>
      <c r="J143" s="242">
        <f>E143/D143/C143</f>
        <v>0.1270486881</v>
      </c>
      <c r="K143" s="250">
        <v>0.6</v>
      </c>
      <c r="L143" s="243">
        <f t="shared" si="29"/>
        <v>7.6230000000000006E-2</v>
      </c>
      <c r="M143" s="243">
        <f>H143*K143</f>
        <v>0</v>
      </c>
      <c r="N143" s="243">
        <f>I143*K143</f>
        <v>0</v>
      </c>
      <c r="O143" s="243">
        <f>L143-M143</f>
        <v>7.6230000000000006E-2</v>
      </c>
      <c r="P143" s="21" t="s">
        <v>545</v>
      </c>
      <c r="Q143" s="21" t="s">
        <v>48</v>
      </c>
    </row>
    <row r="144" spans="1:17" x14ac:dyDescent="0.25">
      <c r="A144" s="41"/>
      <c r="B144" s="33" t="s">
        <v>203</v>
      </c>
      <c r="C144" s="20">
        <v>1</v>
      </c>
      <c r="D144" s="27">
        <f>519552</f>
        <v>519552</v>
      </c>
      <c r="E144" s="29">
        <f>5500.7*12</f>
        <v>66008.399999999994</v>
      </c>
      <c r="F144" s="22"/>
      <c r="G144" s="242">
        <f t="shared" si="26"/>
        <v>0.1270486881</v>
      </c>
      <c r="H144" s="242">
        <f>G144-J144</f>
        <v>0</v>
      </c>
      <c r="I144" s="242"/>
      <c r="J144" s="242">
        <f>E144/D144/C144</f>
        <v>0.1270486881</v>
      </c>
      <c r="K144" s="30">
        <v>0.7</v>
      </c>
      <c r="L144" s="243">
        <f t="shared" si="29"/>
        <v>8.8929999999999995E-2</v>
      </c>
      <c r="M144" s="243">
        <f>H144*K144</f>
        <v>0</v>
      </c>
      <c r="N144" s="243">
        <f>I144*K144</f>
        <v>0</v>
      </c>
      <c r="O144" s="243">
        <f>L144-M144</f>
        <v>8.8929999999999995E-2</v>
      </c>
      <c r="P144" s="21" t="s">
        <v>545</v>
      </c>
      <c r="Q144" s="21" t="s">
        <v>48</v>
      </c>
    </row>
    <row r="145" spans="1:17" x14ac:dyDescent="0.25">
      <c r="A145" s="41" t="s">
        <v>257</v>
      </c>
      <c r="B145" s="39" t="s">
        <v>229</v>
      </c>
      <c r="C145" s="35"/>
      <c r="D145" s="36"/>
      <c r="E145" s="36"/>
      <c r="F145" s="36"/>
      <c r="G145" s="37"/>
      <c r="H145" s="37"/>
      <c r="I145" s="37"/>
      <c r="J145" s="37"/>
      <c r="K145" s="35"/>
      <c r="L145" s="244">
        <f>SUM(L141:L144)</f>
        <v>0.20211000000000001</v>
      </c>
      <c r="M145" s="244">
        <f>SUM(M141:M144)</f>
        <v>0</v>
      </c>
      <c r="N145" s="244">
        <f>SUM(N141:N144)</f>
        <v>0</v>
      </c>
      <c r="O145" s="244">
        <f>SUM(O141:O144)</f>
        <v>0.20211000000000001</v>
      </c>
      <c r="P145" s="35"/>
      <c r="Q145" s="21"/>
    </row>
    <row r="146" spans="1:17" x14ac:dyDescent="0.25">
      <c r="A146" s="46"/>
      <c r="B146" s="1181" t="s">
        <v>205</v>
      </c>
      <c r="C146" s="1181"/>
      <c r="D146" s="1181"/>
      <c r="E146" s="1181"/>
      <c r="F146" s="1181"/>
      <c r="G146" s="1181"/>
      <c r="H146" s="1181"/>
      <c r="I146" s="1181"/>
      <c r="J146" s="1181"/>
      <c r="K146" s="1181"/>
      <c r="L146" s="1181"/>
      <c r="M146" s="1181"/>
      <c r="N146" s="1181"/>
      <c r="O146" s="1181"/>
      <c r="P146" s="1182"/>
      <c r="Q146" s="47"/>
    </row>
    <row r="147" spans="1:17" x14ac:dyDescent="0.25">
      <c r="A147" s="41"/>
      <c r="B147" s="40" t="s">
        <v>546</v>
      </c>
      <c r="C147" s="20">
        <v>1</v>
      </c>
      <c r="D147" s="22">
        <v>273996</v>
      </c>
      <c r="E147" s="22">
        <v>1</v>
      </c>
      <c r="F147" s="22"/>
      <c r="G147" s="242">
        <f t="shared" si="26"/>
        <v>3.6497E-6</v>
      </c>
      <c r="H147" s="242">
        <f t="shared" ref="H147:H156" si="42">G147-J147</f>
        <v>0</v>
      </c>
      <c r="I147" s="242"/>
      <c r="J147" s="242">
        <f t="shared" ref="J147:J152" si="43">E147/D147/C147</f>
        <v>3.6497E-6</v>
      </c>
      <c r="K147" s="20">
        <v>1680</v>
      </c>
      <c r="L147" s="243">
        <f t="shared" si="29"/>
        <v>6.13E-3</v>
      </c>
      <c r="M147" s="243">
        <f t="shared" ref="M147:M159" si="44">H147*K147</f>
        <v>0</v>
      </c>
      <c r="N147" s="243">
        <f t="shared" ref="N147:N159" si="45">I147*K147</f>
        <v>0</v>
      </c>
      <c r="O147" s="243">
        <f t="shared" ref="O147:O159" si="46">L147-M147</f>
        <v>6.13E-3</v>
      </c>
      <c r="P147" s="20" t="s">
        <v>547</v>
      </c>
      <c r="Q147" s="21"/>
    </row>
    <row r="148" spans="1:17" x14ac:dyDescent="0.25">
      <c r="A148" s="41"/>
      <c r="B148" s="40" t="s">
        <v>548</v>
      </c>
      <c r="C148" s="20">
        <v>1</v>
      </c>
      <c r="D148" s="22">
        <v>273996</v>
      </c>
      <c r="E148" s="22">
        <v>1</v>
      </c>
      <c r="F148" s="22"/>
      <c r="G148" s="242">
        <f t="shared" si="26"/>
        <v>3.6497E-6</v>
      </c>
      <c r="H148" s="242">
        <f t="shared" si="42"/>
        <v>0</v>
      </c>
      <c r="I148" s="242"/>
      <c r="J148" s="242">
        <f t="shared" si="43"/>
        <v>3.6497E-6</v>
      </c>
      <c r="K148" s="20">
        <v>7200</v>
      </c>
      <c r="L148" s="243">
        <f t="shared" si="29"/>
        <v>2.6280000000000001E-2</v>
      </c>
      <c r="M148" s="243">
        <f t="shared" si="44"/>
        <v>0</v>
      </c>
      <c r="N148" s="243">
        <f t="shared" si="45"/>
        <v>0</v>
      </c>
      <c r="O148" s="243">
        <f t="shared" si="46"/>
        <v>2.6280000000000001E-2</v>
      </c>
      <c r="P148" s="20" t="s">
        <v>547</v>
      </c>
      <c r="Q148" s="21"/>
    </row>
    <row r="149" spans="1:17" x14ac:dyDescent="0.25">
      <c r="A149" s="41"/>
      <c r="B149" s="40" t="s">
        <v>549</v>
      </c>
      <c r="C149" s="20">
        <v>1</v>
      </c>
      <c r="D149" s="22">
        <v>273996</v>
      </c>
      <c r="E149" s="22">
        <v>5</v>
      </c>
      <c r="F149" s="22"/>
      <c r="G149" s="242">
        <f t="shared" si="26"/>
        <v>1.82484E-5</v>
      </c>
      <c r="H149" s="242">
        <f t="shared" si="42"/>
        <v>0</v>
      </c>
      <c r="I149" s="242"/>
      <c r="J149" s="242">
        <f t="shared" si="43"/>
        <v>1.82484E-5</v>
      </c>
      <c r="K149" s="20">
        <v>12432</v>
      </c>
      <c r="L149" s="243">
        <f t="shared" si="29"/>
        <v>0.22686000000000001</v>
      </c>
      <c r="M149" s="243">
        <f t="shared" si="44"/>
        <v>0</v>
      </c>
      <c r="N149" s="243">
        <f t="shared" si="45"/>
        <v>0</v>
      </c>
      <c r="O149" s="243">
        <f t="shared" si="46"/>
        <v>0.22686000000000001</v>
      </c>
      <c r="P149" s="20" t="s">
        <v>547</v>
      </c>
      <c r="Q149" s="21"/>
    </row>
    <row r="150" spans="1:17" ht="22.5" x14ac:dyDescent="0.25">
      <c r="A150" s="41"/>
      <c r="B150" s="40" t="s">
        <v>550</v>
      </c>
      <c r="C150" s="20">
        <v>1</v>
      </c>
      <c r="D150" s="22">
        <v>273996</v>
      </c>
      <c r="E150" s="22">
        <v>1</v>
      </c>
      <c r="F150" s="22"/>
      <c r="G150" s="242">
        <f t="shared" si="26"/>
        <v>3.6497E-6</v>
      </c>
      <c r="H150" s="242">
        <f t="shared" si="42"/>
        <v>0</v>
      </c>
      <c r="I150" s="242"/>
      <c r="J150" s="242">
        <f t="shared" si="43"/>
        <v>3.6497E-6</v>
      </c>
      <c r="K150" s="20">
        <v>840</v>
      </c>
      <c r="L150" s="243">
        <f t="shared" si="29"/>
        <v>3.0699999999999998E-3</v>
      </c>
      <c r="M150" s="243">
        <f t="shared" si="44"/>
        <v>0</v>
      </c>
      <c r="N150" s="243">
        <f t="shared" si="45"/>
        <v>0</v>
      </c>
      <c r="O150" s="243">
        <f t="shared" si="46"/>
        <v>3.0699999999999998E-3</v>
      </c>
      <c r="P150" s="20" t="s">
        <v>547</v>
      </c>
      <c r="Q150" s="21"/>
    </row>
    <row r="151" spans="1:17" ht="22.5" x14ac:dyDescent="0.25">
      <c r="A151" s="41"/>
      <c r="B151" s="40" t="s">
        <v>551</v>
      </c>
      <c r="C151" s="20">
        <v>1</v>
      </c>
      <c r="D151" s="22">
        <v>273996</v>
      </c>
      <c r="E151" s="22">
        <v>1</v>
      </c>
      <c r="F151" s="22"/>
      <c r="G151" s="242">
        <f t="shared" si="26"/>
        <v>3.6497E-6</v>
      </c>
      <c r="H151" s="242">
        <f t="shared" si="42"/>
        <v>0</v>
      </c>
      <c r="I151" s="242"/>
      <c r="J151" s="242">
        <f t="shared" si="43"/>
        <v>3.6497E-6</v>
      </c>
      <c r="K151" s="20">
        <v>4500</v>
      </c>
      <c r="L151" s="243">
        <f t="shared" si="29"/>
        <v>1.6420000000000001E-2</v>
      </c>
      <c r="M151" s="243">
        <f t="shared" si="44"/>
        <v>0</v>
      </c>
      <c r="N151" s="243">
        <f t="shared" si="45"/>
        <v>0</v>
      </c>
      <c r="O151" s="243">
        <f t="shared" si="46"/>
        <v>1.6420000000000001E-2</v>
      </c>
      <c r="P151" s="20" t="s">
        <v>547</v>
      </c>
      <c r="Q151" s="21"/>
    </row>
    <row r="152" spans="1:17" ht="22.5" x14ac:dyDescent="0.25">
      <c r="A152" s="41"/>
      <c r="B152" s="40" t="s">
        <v>552</v>
      </c>
      <c r="C152" s="20">
        <v>1</v>
      </c>
      <c r="D152" s="22">
        <v>273996</v>
      </c>
      <c r="E152" s="22">
        <v>7</v>
      </c>
      <c r="F152" s="22"/>
      <c r="G152" s="242">
        <f>(E152+F152)/D152/C152</f>
        <v>2.55478E-5</v>
      </c>
      <c r="H152" s="242">
        <f t="shared" si="42"/>
        <v>0</v>
      </c>
      <c r="I152" s="242"/>
      <c r="J152" s="242">
        <f t="shared" si="43"/>
        <v>2.55478E-5</v>
      </c>
      <c r="K152" s="22">
        <v>631</v>
      </c>
      <c r="L152" s="243">
        <f>G152*K152</f>
        <v>1.6119999999999999E-2</v>
      </c>
      <c r="M152" s="243">
        <f>H152*K152</f>
        <v>0</v>
      </c>
      <c r="N152" s="243">
        <f>I152*K152</f>
        <v>0</v>
      </c>
      <c r="O152" s="243">
        <f>L152-M152</f>
        <v>1.6119999999999999E-2</v>
      </c>
      <c r="P152" s="20" t="s">
        <v>547</v>
      </c>
      <c r="Q152" s="21"/>
    </row>
    <row r="153" spans="1:17" ht="22.5" x14ac:dyDescent="0.25">
      <c r="A153" s="41"/>
      <c r="B153" s="40" t="s">
        <v>208</v>
      </c>
      <c r="C153" s="20">
        <v>1</v>
      </c>
      <c r="D153" s="22">
        <v>273996</v>
      </c>
      <c r="E153" s="22">
        <v>10</v>
      </c>
      <c r="F153" s="22"/>
      <c r="G153" s="242">
        <f t="shared" si="26"/>
        <v>3.6496899999999999E-5</v>
      </c>
      <c r="H153" s="242">
        <f t="shared" si="42"/>
        <v>3.6496899999999999E-5</v>
      </c>
      <c r="I153" s="242">
        <f>(F153)/D153/C153</f>
        <v>0</v>
      </c>
      <c r="J153" s="242"/>
      <c r="K153" s="22">
        <v>1480</v>
      </c>
      <c r="L153" s="243">
        <f t="shared" si="29"/>
        <v>5.4019999999999999E-2</v>
      </c>
      <c r="M153" s="243">
        <f t="shared" si="44"/>
        <v>5.4019999999999999E-2</v>
      </c>
      <c r="N153" s="243">
        <f t="shared" si="45"/>
        <v>0</v>
      </c>
      <c r="O153" s="243">
        <f t="shared" si="46"/>
        <v>0</v>
      </c>
      <c r="P153" s="20" t="s">
        <v>547</v>
      </c>
      <c r="Q153" s="21"/>
    </row>
    <row r="154" spans="1:17" x14ac:dyDescent="0.25">
      <c r="A154" s="41"/>
      <c r="B154" s="40" t="s">
        <v>207</v>
      </c>
      <c r="C154" s="20">
        <v>1</v>
      </c>
      <c r="D154" s="22">
        <v>273996</v>
      </c>
      <c r="E154" s="22">
        <v>15</v>
      </c>
      <c r="F154" s="22"/>
      <c r="G154" s="242">
        <f t="shared" si="26"/>
        <v>5.4745299999999999E-5</v>
      </c>
      <c r="H154" s="242">
        <f t="shared" si="42"/>
        <v>5.4745299999999999E-5</v>
      </c>
      <c r="I154" s="242">
        <f>(F154)/D154/C154</f>
        <v>0</v>
      </c>
      <c r="J154" s="242"/>
      <c r="K154" s="22">
        <v>1147</v>
      </c>
      <c r="L154" s="243">
        <f t="shared" si="29"/>
        <v>6.2789999999999999E-2</v>
      </c>
      <c r="M154" s="243">
        <f t="shared" si="44"/>
        <v>6.2789999999999999E-2</v>
      </c>
      <c r="N154" s="243">
        <f t="shared" si="45"/>
        <v>0</v>
      </c>
      <c r="O154" s="243">
        <f t="shared" si="46"/>
        <v>0</v>
      </c>
      <c r="P154" s="20" t="s">
        <v>547</v>
      </c>
      <c r="Q154" s="21"/>
    </row>
    <row r="155" spans="1:17" x14ac:dyDescent="0.25">
      <c r="A155" s="41"/>
      <c r="B155" s="40" t="s">
        <v>553</v>
      </c>
      <c r="C155" s="20">
        <v>1</v>
      </c>
      <c r="D155" s="22">
        <v>273996</v>
      </c>
      <c r="E155" s="22">
        <v>5</v>
      </c>
      <c r="F155" s="22"/>
      <c r="G155" s="242">
        <f t="shared" si="26"/>
        <v>1.82484E-5</v>
      </c>
      <c r="H155" s="242">
        <f t="shared" si="42"/>
        <v>1.82484E-5</v>
      </c>
      <c r="I155" s="242"/>
      <c r="J155" s="242"/>
      <c r="K155" s="22">
        <v>1368</v>
      </c>
      <c r="L155" s="243">
        <f t="shared" si="29"/>
        <v>2.496E-2</v>
      </c>
      <c r="M155" s="243">
        <f t="shared" si="44"/>
        <v>2.496E-2</v>
      </c>
      <c r="N155" s="243">
        <f t="shared" si="45"/>
        <v>0</v>
      </c>
      <c r="O155" s="243">
        <f t="shared" si="46"/>
        <v>0</v>
      </c>
      <c r="P155" s="20" t="s">
        <v>547</v>
      </c>
      <c r="Q155" s="21"/>
    </row>
    <row r="156" spans="1:17" x14ac:dyDescent="0.25">
      <c r="A156" s="41"/>
      <c r="B156" s="40" t="s">
        <v>554</v>
      </c>
      <c r="C156" s="20">
        <v>1</v>
      </c>
      <c r="D156" s="22">
        <v>273996</v>
      </c>
      <c r="E156" s="22">
        <v>1</v>
      </c>
      <c r="F156" s="22"/>
      <c r="G156" s="242">
        <f t="shared" si="26"/>
        <v>3.6497E-6</v>
      </c>
      <c r="H156" s="242">
        <f t="shared" si="42"/>
        <v>0</v>
      </c>
      <c r="I156" s="242"/>
      <c r="J156" s="242">
        <f>E156/D156/C156</f>
        <v>3.6497E-6</v>
      </c>
      <c r="K156" s="22">
        <v>2883</v>
      </c>
      <c r="L156" s="243">
        <f t="shared" si="29"/>
        <v>1.052E-2</v>
      </c>
      <c r="M156" s="243">
        <f t="shared" si="44"/>
        <v>0</v>
      </c>
      <c r="N156" s="243">
        <f t="shared" si="45"/>
        <v>0</v>
      </c>
      <c r="O156" s="243">
        <f t="shared" si="46"/>
        <v>1.052E-2</v>
      </c>
      <c r="P156" s="20" t="s">
        <v>547</v>
      </c>
      <c r="Q156" s="21"/>
    </row>
    <row r="157" spans="1:17" x14ac:dyDescent="0.25">
      <c r="A157" s="41"/>
      <c r="B157" s="40"/>
      <c r="C157" s="20"/>
      <c r="D157" s="27"/>
      <c r="E157" s="22"/>
      <c r="F157" s="22"/>
      <c r="G157" s="242"/>
      <c r="H157" s="242"/>
      <c r="I157" s="242"/>
      <c r="J157" s="242"/>
      <c r="K157" s="22"/>
      <c r="L157" s="243"/>
      <c r="M157" s="243"/>
      <c r="N157" s="243"/>
      <c r="O157" s="243"/>
      <c r="P157" s="20"/>
      <c r="Q157" s="21"/>
    </row>
    <row r="158" spans="1:17" ht="22.5" x14ac:dyDescent="0.25">
      <c r="A158" s="41"/>
      <c r="B158" s="40" t="s">
        <v>206</v>
      </c>
      <c r="C158" s="20">
        <v>1</v>
      </c>
      <c r="D158" s="22">
        <v>273996</v>
      </c>
      <c r="E158" s="22">
        <v>1</v>
      </c>
      <c r="F158" s="22"/>
      <c r="G158" s="242">
        <f t="shared" si="26"/>
        <v>3.6497E-6</v>
      </c>
      <c r="H158" s="242">
        <f>G158-J158</f>
        <v>0</v>
      </c>
      <c r="I158" s="242"/>
      <c r="J158" s="242">
        <f>E158/D158/C158</f>
        <v>3.6497E-6</v>
      </c>
      <c r="K158" s="22">
        <v>59501</v>
      </c>
      <c r="L158" s="243">
        <f t="shared" si="29"/>
        <v>0.21715999999999999</v>
      </c>
      <c r="M158" s="243">
        <f t="shared" si="44"/>
        <v>0</v>
      </c>
      <c r="N158" s="243">
        <f t="shared" si="45"/>
        <v>0</v>
      </c>
      <c r="O158" s="243">
        <f t="shared" si="46"/>
        <v>0.21715999999999999</v>
      </c>
      <c r="P158" s="20" t="s">
        <v>200</v>
      </c>
      <c r="Q158" s="21"/>
    </row>
    <row r="159" spans="1:17" ht="22.5" hidden="1" x14ac:dyDescent="0.25">
      <c r="A159" s="41"/>
      <c r="B159" s="33" t="s">
        <v>259</v>
      </c>
      <c r="C159" s="20">
        <v>1</v>
      </c>
      <c r="D159" s="22">
        <v>273996</v>
      </c>
      <c r="E159" s="249">
        <v>4</v>
      </c>
      <c r="F159" s="22"/>
      <c r="G159" s="242">
        <f t="shared" si="26"/>
        <v>1.45988E-5</v>
      </c>
      <c r="H159" s="242">
        <f>G159-J159</f>
        <v>0</v>
      </c>
      <c r="I159" s="242"/>
      <c r="J159" s="242">
        <f>E159/D159/C159</f>
        <v>1.45988E-5</v>
      </c>
      <c r="K159" s="249">
        <f>5775-5775</f>
        <v>0</v>
      </c>
      <c r="L159" s="243">
        <f t="shared" si="29"/>
        <v>0</v>
      </c>
      <c r="M159" s="243">
        <f t="shared" si="44"/>
        <v>0</v>
      </c>
      <c r="N159" s="243">
        <f t="shared" si="45"/>
        <v>0</v>
      </c>
      <c r="O159" s="243">
        <f t="shared" si="46"/>
        <v>0</v>
      </c>
      <c r="P159" s="20" t="s">
        <v>209</v>
      </c>
      <c r="Q159" s="21"/>
    </row>
    <row r="160" spans="1:17" x14ac:dyDescent="0.25">
      <c r="A160" s="41"/>
      <c r="B160" s="39" t="s">
        <v>229</v>
      </c>
      <c r="C160" s="35"/>
      <c r="D160" s="36"/>
      <c r="E160" s="36"/>
      <c r="F160" s="36"/>
      <c r="G160" s="37"/>
      <c r="H160" s="37"/>
      <c r="I160" s="37"/>
      <c r="J160" s="37"/>
      <c r="K160" s="35"/>
      <c r="L160" s="244">
        <f>SUM(L147:L159)</f>
        <v>0.66432999999999998</v>
      </c>
      <c r="M160" s="244">
        <f>SUM(M147:M159)</f>
        <v>0.14177000000000001</v>
      </c>
      <c r="N160" s="244">
        <f>SUM(N147:N159)</f>
        <v>0</v>
      </c>
      <c r="O160" s="244">
        <f>SUM(O147:O159)</f>
        <v>0.52256000000000002</v>
      </c>
      <c r="P160" s="35"/>
      <c r="Q160" s="21"/>
    </row>
    <row r="161" spans="1:17" x14ac:dyDescent="0.25">
      <c r="A161" s="41" t="s">
        <v>241</v>
      </c>
      <c r="B161" s="39"/>
      <c r="C161" s="35"/>
      <c r="D161" s="36"/>
      <c r="E161" s="36"/>
      <c r="F161" s="36"/>
      <c r="G161" s="37"/>
      <c r="H161" s="37"/>
      <c r="I161" s="37"/>
      <c r="J161" s="37"/>
      <c r="K161" s="35"/>
      <c r="L161" s="244">
        <f>SUM(M161:O161)</f>
        <v>0.14177000000000001</v>
      </c>
      <c r="M161" s="244">
        <f>M160</f>
        <v>0.14177000000000001</v>
      </c>
      <c r="N161" s="244">
        <f>N160</f>
        <v>0</v>
      </c>
      <c r="O161" s="244"/>
      <c r="P161" s="35"/>
      <c r="Q161" s="21"/>
    </row>
    <row r="162" spans="1:17" x14ac:dyDescent="0.25">
      <c r="A162" s="41" t="s">
        <v>258</v>
      </c>
      <c r="B162" s="39"/>
      <c r="C162" s="35"/>
      <c r="D162" s="36"/>
      <c r="E162" s="36"/>
      <c r="F162" s="36"/>
      <c r="G162" s="37"/>
      <c r="H162" s="37"/>
      <c r="I162" s="37"/>
      <c r="J162" s="37"/>
      <c r="K162" s="35"/>
      <c r="L162" s="244">
        <f>SUM(M162:O162)</f>
        <v>0.52256000000000002</v>
      </c>
      <c r="M162" s="244"/>
      <c r="N162" s="244"/>
      <c r="O162" s="244">
        <f>O160</f>
        <v>0.52256000000000002</v>
      </c>
      <c r="P162" s="35"/>
      <c r="Q162" s="21"/>
    </row>
    <row r="163" spans="1:17" x14ac:dyDescent="0.25">
      <c r="A163" s="46"/>
      <c r="B163" s="1181" t="s">
        <v>210</v>
      </c>
      <c r="C163" s="1181"/>
      <c r="D163" s="1181"/>
      <c r="E163" s="1181"/>
      <c r="F163" s="1181"/>
      <c r="G163" s="1181"/>
      <c r="H163" s="1181"/>
      <c r="I163" s="1181"/>
      <c r="J163" s="1181"/>
      <c r="K163" s="1181"/>
      <c r="L163" s="1181"/>
      <c r="M163" s="1181"/>
      <c r="N163" s="1181"/>
      <c r="O163" s="1181"/>
      <c r="P163" s="1182"/>
      <c r="Q163" s="47"/>
    </row>
    <row r="164" spans="1:17" x14ac:dyDescent="0.25">
      <c r="A164" s="41"/>
      <c r="B164" s="40" t="s">
        <v>212</v>
      </c>
      <c r="C164" s="26">
        <v>1</v>
      </c>
      <c r="D164" s="27">
        <v>273996</v>
      </c>
      <c r="E164" s="22">
        <v>2</v>
      </c>
      <c r="F164" s="22"/>
      <c r="G164" s="242">
        <f t="shared" si="26"/>
        <v>7.2993999999999999E-6</v>
      </c>
      <c r="H164" s="242">
        <f t="shared" ref="H164:H172" si="47">G164-J164</f>
        <v>7.2993999999999999E-6</v>
      </c>
      <c r="I164" s="242"/>
      <c r="J164" s="242"/>
      <c r="K164" s="20">
        <v>4500</v>
      </c>
      <c r="L164" s="243">
        <f t="shared" si="29"/>
        <v>3.2849999999999997E-2</v>
      </c>
      <c r="M164" s="243">
        <f t="shared" ref="M164:M172" si="48">H164*K164</f>
        <v>3.2849999999999997E-2</v>
      </c>
      <c r="N164" s="243">
        <f t="shared" ref="N164:N172" si="49">I164*K164</f>
        <v>0</v>
      </c>
      <c r="O164" s="243">
        <f t="shared" ref="O164:O172" si="50">L164-M164</f>
        <v>0</v>
      </c>
      <c r="P164" s="20" t="s">
        <v>225</v>
      </c>
      <c r="Q164" s="21"/>
    </row>
    <row r="165" spans="1:17" x14ac:dyDescent="0.25">
      <c r="A165" s="41"/>
      <c r="B165" s="40" t="s">
        <v>213</v>
      </c>
      <c r="C165" s="26">
        <v>1</v>
      </c>
      <c r="D165" s="27">
        <v>273996</v>
      </c>
      <c r="E165" s="22">
        <v>2</v>
      </c>
      <c r="F165" s="22"/>
      <c r="G165" s="242">
        <f t="shared" si="26"/>
        <v>7.2993999999999999E-6</v>
      </c>
      <c r="H165" s="242">
        <f t="shared" si="47"/>
        <v>7.2993999999999999E-6</v>
      </c>
      <c r="I165" s="242"/>
      <c r="J165" s="242"/>
      <c r="K165" s="20">
        <v>7500</v>
      </c>
      <c r="L165" s="243">
        <f t="shared" si="29"/>
        <v>5.475E-2</v>
      </c>
      <c r="M165" s="243">
        <f t="shared" si="48"/>
        <v>5.475E-2</v>
      </c>
      <c r="N165" s="243">
        <f t="shared" si="49"/>
        <v>0</v>
      </c>
      <c r="O165" s="243">
        <f t="shared" si="50"/>
        <v>0</v>
      </c>
      <c r="P165" s="20" t="s">
        <v>225</v>
      </c>
      <c r="Q165" s="21"/>
    </row>
    <row r="166" spans="1:17" ht="22.5" x14ac:dyDescent="0.25">
      <c r="A166" s="41"/>
      <c r="B166" s="40" t="s">
        <v>214</v>
      </c>
      <c r="C166" s="26">
        <v>1</v>
      </c>
      <c r="D166" s="27">
        <v>273996</v>
      </c>
      <c r="E166" s="22">
        <v>1</v>
      </c>
      <c r="F166" s="22"/>
      <c r="G166" s="242">
        <f t="shared" si="26"/>
        <v>3.6497E-6</v>
      </c>
      <c r="H166" s="242">
        <f t="shared" si="47"/>
        <v>3.6497E-6</v>
      </c>
      <c r="I166" s="242"/>
      <c r="J166" s="242"/>
      <c r="K166" s="20">
        <v>20000</v>
      </c>
      <c r="L166" s="243">
        <f t="shared" si="29"/>
        <v>7.2989999999999999E-2</v>
      </c>
      <c r="M166" s="243">
        <f t="shared" si="48"/>
        <v>7.2989999999999999E-2</v>
      </c>
      <c r="N166" s="243">
        <f t="shared" si="49"/>
        <v>0</v>
      </c>
      <c r="O166" s="243">
        <f t="shared" si="50"/>
        <v>0</v>
      </c>
      <c r="P166" s="20" t="s">
        <v>225</v>
      </c>
      <c r="Q166" s="21"/>
    </row>
    <row r="167" spans="1:17" x14ac:dyDescent="0.25">
      <c r="A167" s="41"/>
      <c r="B167" s="40" t="s">
        <v>215</v>
      </c>
      <c r="C167" s="26">
        <v>1</v>
      </c>
      <c r="D167" s="27">
        <v>273996</v>
      </c>
      <c r="E167" s="22">
        <v>1</v>
      </c>
      <c r="F167" s="22"/>
      <c r="G167" s="242">
        <f t="shared" si="26"/>
        <v>3.6497E-6</v>
      </c>
      <c r="H167" s="242">
        <f t="shared" si="47"/>
        <v>3.6497E-6</v>
      </c>
      <c r="I167" s="242"/>
      <c r="J167" s="242"/>
      <c r="K167" s="20">
        <v>15000</v>
      </c>
      <c r="L167" s="243">
        <f t="shared" si="29"/>
        <v>5.475E-2</v>
      </c>
      <c r="M167" s="243">
        <f t="shared" si="48"/>
        <v>5.475E-2</v>
      </c>
      <c r="N167" s="243">
        <f t="shared" si="49"/>
        <v>0</v>
      </c>
      <c r="O167" s="243">
        <f t="shared" si="50"/>
        <v>0</v>
      </c>
      <c r="P167" s="20" t="s">
        <v>225</v>
      </c>
      <c r="Q167" s="21"/>
    </row>
    <row r="168" spans="1:17" x14ac:dyDescent="0.25">
      <c r="A168" s="41"/>
      <c r="B168" s="40" t="s">
        <v>216</v>
      </c>
      <c r="C168" s="26">
        <v>1</v>
      </c>
      <c r="D168" s="27">
        <v>273996</v>
      </c>
      <c r="E168" s="22">
        <v>1</v>
      </c>
      <c r="F168" s="22"/>
      <c r="G168" s="242">
        <f t="shared" si="26"/>
        <v>3.6497E-6</v>
      </c>
      <c r="H168" s="242">
        <f t="shared" si="47"/>
        <v>3.6497E-6</v>
      </c>
      <c r="I168" s="242"/>
      <c r="J168" s="242"/>
      <c r="K168" s="20">
        <v>5000</v>
      </c>
      <c r="L168" s="243">
        <f t="shared" si="29"/>
        <v>1.8249999999999999E-2</v>
      </c>
      <c r="M168" s="243">
        <f t="shared" si="48"/>
        <v>1.8249999999999999E-2</v>
      </c>
      <c r="N168" s="243">
        <f t="shared" si="49"/>
        <v>0</v>
      </c>
      <c r="O168" s="243">
        <f t="shared" si="50"/>
        <v>0</v>
      </c>
      <c r="P168" s="20" t="s">
        <v>225</v>
      </c>
      <c r="Q168" s="21"/>
    </row>
    <row r="169" spans="1:17" ht="22.5" x14ac:dyDescent="0.25">
      <c r="A169" s="41"/>
      <c r="B169" s="40" t="s">
        <v>217</v>
      </c>
      <c r="C169" s="26">
        <v>1</v>
      </c>
      <c r="D169" s="27">
        <v>273996</v>
      </c>
      <c r="E169" s="22">
        <v>1</v>
      </c>
      <c r="F169" s="22"/>
      <c r="G169" s="242">
        <f t="shared" si="26"/>
        <v>3.6497E-6</v>
      </c>
      <c r="H169" s="242">
        <f t="shared" si="47"/>
        <v>3.6497E-6</v>
      </c>
      <c r="I169" s="242"/>
      <c r="J169" s="242"/>
      <c r="K169" s="20">
        <v>6500</v>
      </c>
      <c r="L169" s="243">
        <f t="shared" si="29"/>
        <v>2.3720000000000001E-2</v>
      </c>
      <c r="M169" s="243">
        <f t="shared" si="48"/>
        <v>2.3720000000000001E-2</v>
      </c>
      <c r="N169" s="243">
        <f t="shared" si="49"/>
        <v>0</v>
      </c>
      <c r="O169" s="243">
        <f t="shared" si="50"/>
        <v>0</v>
      </c>
      <c r="P169" s="20" t="s">
        <v>225</v>
      </c>
      <c r="Q169" s="21"/>
    </row>
    <row r="170" spans="1:17" ht="22.5" x14ac:dyDescent="0.25">
      <c r="A170" s="41"/>
      <c r="B170" s="40" t="s">
        <v>218</v>
      </c>
      <c r="C170" s="26">
        <v>1</v>
      </c>
      <c r="D170" s="27">
        <v>273996</v>
      </c>
      <c r="E170" s="22">
        <v>12</v>
      </c>
      <c r="F170" s="22"/>
      <c r="G170" s="242">
        <f t="shared" si="26"/>
        <v>4.3796299999999999E-5</v>
      </c>
      <c r="H170" s="242">
        <f t="shared" si="47"/>
        <v>4.3796299999999999E-5</v>
      </c>
      <c r="I170" s="242"/>
      <c r="J170" s="242"/>
      <c r="K170" s="20">
        <v>2500</v>
      </c>
      <c r="L170" s="243">
        <f t="shared" si="29"/>
        <v>0.10949</v>
      </c>
      <c r="M170" s="243">
        <f t="shared" si="48"/>
        <v>0.10949</v>
      </c>
      <c r="N170" s="243">
        <f t="shared" si="49"/>
        <v>0</v>
      </c>
      <c r="O170" s="243">
        <f t="shared" si="50"/>
        <v>0</v>
      </c>
      <c r="P170" s="20" t="s">
        <v>225</v>
      </c>
      <c r="Q170" s="21"/>
    </row>
    <row r="171" spans="1:17" ht="22.5" customHeight="1" x14ac:dyDescent="0.25">
      <c r="A171" s="41"/>
      <c r="B171" s="40" t="s">
        <v>219</v>
      </c>
      <c r="C171" s="26">
        <v>1</v>
      </c>
      <c r="D171" s="27">
        <v>273996</v>
      </c>
      <c r="E171" s="22">
        <v>12</v>
      </c>
      <c r="F171" s="22"/>
      <c r="G171" s="242">
        <f t="shared" si="26"/>
        <v>4.3796299999999999E-5</v>
      </c>
      <c r="H171" s="242">
        <f t="shared" si="47"/>
        <v>4.3796299999999999E-5</v>
      </c>
      <c r="I171" s="242"/>
      <c r="J171" s="242"/>
      <c r="K171" s="20">
        <v>6200</v>
      </c>
      <c r="L171" s="243">
        <f t="shared" si="29"/>
        <v>0.27154</v>
      </c>
      <c r="M171" s="243">
        <f t="shared" si="48"/>
        <v>0.27154</v>
      </c>
      <c r="N171" s="243">
        <f t="shared" si="49"/>
        <v>0</v>
      </c>
      <c r="O171" s="243">
        <f t="shared" si="50"/>
        <v>0</v>
      </c>
      <c r="P171" s="20" t="s">
        <v>225</v>
      </c>
      <c r="Q171" s="21"/>
    </row>
    <row r="172" spans="1:17" ht="22.5" x14ac:dyDescent="0.25">
      <c r="A172" s="41"/>
      <c r="B172" s="40" t="s">
        <v>555</v>
      </c>
      <c r="C172" s="26">
        <v>1</v>
      </c>
      <c r="D172" s="27">
        <f>260532</f>
        <v>260532</v>
      </c>
      <c r="E172" s="22">
        <v>1</v>
      </c>
      <c r="F172" s="22"/>
      <c r="G172" s="242">
        <f t="shared" si="26"/>
        <v>3.8383000000000002E-6</v>
      </c>
      <c r="H172" s="242">
        <f t="shared" si="47"/>
        <v>3.8383000000000002E-6</v>
      </c>
      <c r="I172" s="242"/>
      <c r="J172" s="242"/>
      <c r="K172" s="20">
        <v>5000</v>
      </c>
      <c r="L172" s="243">
        <f t="shared" si="29"/>
        <v>1.9189999999999999E-2</v>
      </c>
      <c r="M172" s="243">
        <f t="shared" si="48"/>
        <v>1.9189999999999999E-2</v>
      </c>
      <c r="N172" s="243">
        <f t="shared" si="49"/>
        <v>0</v>
      </c>
      <c r="O172" s="243">
        <f t="shared" si="50"/>
        <v>0</v>
      </c>
      <c r="P172" s="20" t="s">
        <v>225</v>
      </c>
      <c r="Q172" s="21" t="s">
        <v>502</v>
      </c>
    </row>
    <row r="173" spans="1:17" x14ac:dyDescent="0.25">
      <c r="A173" s="44" t="s">
        <v>241</v>
      </c>
      <c r="B173" s="39" t="s">
        <v>229</v>
      </c>
      <c r="C173" s="35"/>
      <c r="D173" s="36"/>
      <c r="E173" s="36"/>
      <c r="F173" s="36"/>
      <c r="G173" s="37"/>
      <c r="H173" s="37"/>
      <c r="I173" s="37"/>
      <c r="J173" s="37"/>
      <c r="K173" s="35"/>
      <c r="L173" s="244">
        <f>SUM(L164:L172)</f>
        <v>0.65752999999999995</v>
      </c>
      <c r="M173" s="244">
        <f>SUM(M164:M172)</f>
        <v>0.65752999999999995</v>
      </c>
      <c r="N173" s="244">
        <f>SUM(N164:N172)</f>
        <v>0</v>
      </c>
      <c r="O173" s="244">
        <f>SUM(O164:O172)</f>
        <v>0</v>
      </c>
      <c r="P173" s="35"/>
      <c r="Q173" s="21"/>
    </row>
    <row r="174" spans="1:17" x14ac:dyDescent="0.25">
      <c r="A174" s="46"/>
      <c r="B174" s="1181" t="s">
        <v>226</v>
      </c>
      <c r="C174" s="1181"/>
      <c r="D174" s="1181"/>
      <c r="E174" s="1181"/>
      <c r="F174" s="1181"/>
      <c r="G174" s="1181"/>
      <c r="H174" s="1181"/>
      <c r="I174" s="1181"/>
      <c r="J174" s="1181"/>
      <c r="K174" s="1181"/>
      <c r="L174" s="1181"/>
      <c r="M174" s="1181"/>
      <c r="N174" s="1181"/>
      <c r="O174" s="1181"/>
      <c r="P174" s="1182"/>
      <c r="Q174" s="47"/>
    </row>
    <row r="175" spans="1:17" x14ac:dyDescent="0.25">
      <c r="A175" s="41"/>
      <c r="B175" s="241" t="s">
        <v>227</v>
      </c>
      <c r="C175" s="20">
        <v>1</v>
      </c>
      <c r="D175" s="22">
        <v>273996</v>
      </c>
      <c r="E175" s="22">
        <v>1</v>
      </c>
      <c r="F175" s="22"/>
      <c r="G175" s="242">
        <f t="shared" si="26"/>
        <v>3.6497E-6</v>
      </c>
      <c r="H175" s="242">
        <f>G175-J175</f>
        <v>0</v>
      </c>
      <c r="I175" s="242"/>
      <c r="J175" s="242">
        <f>E175/D175/C175</f>
        <v>3.6497E-6</v>
      </c>
      <c r="K175" s="20">
        <v>209000</v>
      </c>
      <c r="L175" s="243">
        <f t="shared" si="29"/>
        <v>0.76278999999999997</v>
      </c>
      <c r="M175" s="243">
        <f>H175*K175</f>
        <v>0</v>
      </c>
      <c r="N175" s="243">
        <f>I175*K175</f>
        <v>0</v>
      </c>
      <c r="O175" s="243">
        <f>L175-M175</f>
        <v>0.76278999999999997</v>
      </c>
      <c r="P175" s="20" t="s">
        <v>225</v>
      </c>
      <c r="Q175" s="21"/>
    </row>
    <row r="176" spans="1:17" x14ac:dyDescent="0.25">
      <c r="A176" s="41" t="s">
        <v>257</v>
      </c>
      <c r="B176" s="39" t="s">
        <v>229</v>
      </c>
      <c r="C176" s="35"/>
      <c r="D176" s="36"/>
      <c r="E176" s="36"/>
      <c r="F176" s="36"/>
      <c r="G176" s="37"/>
      <c r="H176" s="37"/>
      <c r="I176" s="37"/>
      <c r="J176" s="37"/>
      <c r="K176" s="35"/>
      <c r="L176" s="244">
        <f>SUM(L175:L175)</f>
        <v>0.76278999999999997</v>
      </c>
      <c r="M176" s="244">
        <f>SUM(M175:M175)</f>
        <v>0</v>
      </c>
      <c r="N176" s="244">
        <f>SUM(N175:N175)</f>
        <v>0</v>
      </c>
      <c r="O176" s="244">
        <f>SUM(O175:O175)</f>
        <v>0.76278999999999997</v>
      </c>
      <c r="P176" s="35"/>
      <c r="Q176" s="21"/>
    </row>
    <row r="177" spans="1:17" x14ac:dyDescent="0.25">
      <c r="A177" s="46"/>
      <c r="B177" s="1181" t="s">
        <v>244</v>
      </c>
      <c r="C177" s="1181"/>
      <c r="D177" s="1181"/>
      <c r="E177" s="1181"/>
      <c r="F177" s="1181"/>
      <c r="G177" s="1181"/>
      <c r="H177" s="1181"/>
      <c r="I177" s="1181"/>
      <c r="J177" s="1181"/>
      <c r="K177" s="1181"/>
      <c r="L177" s="1181"/>
      <c r="M177" s="1181"/>
      <c r="N177" s="1181"/>
      <c r="O177" s="1181"/>
      <c r="P177" s="1182"/>
      <c r="Q177" s="47"/>
    </row>
    <row r="178" spans="1:17" ht="22.5" x14ac:dyDescent="0.25">
      <c r="A178" s="41"/>
      <c r="B178" s="40" t="s">
        <v>556</v>
      </c>
      <c r="C178" s="20">
        <v>1</v>
      </c>
      <c r="D178" s="27">
        <v>273996</v>
      </c>
      <c r="E178" s="22">
        <f>12</f>
        <v>12</v>
      </c>
      <c r="F178" s="22"/>
      <c r="G178" s="242">
        <f>(E178+F178)/D178/C178</f>
        <v>4.3796299999999999E-5</v>
      </c>
      <c r="H178" s="242">
        <f>G178-J178</f>
        <v>0</v>
      </c>
      <c r="I178" s="242"/>
      <c r="J178" s="242">
        <f>E178/D178/C178</f>
        <v>4.3796299999999999E-5</v>
      </c>
      <c r="K178" s="26">
        <v>1702</v>
      </c>
      <c r="L178" s="28">
        <f>G178*K178</f>
        <v>7.4539999999999995E-2</v>
      </c>
      <c r="M178" s="23">
        <f>H178*K178</f>
        <v>0</v>
      </c>
      <c r="N178" s="23">
        <f>I178*K178</f>
        <v>0</v>
      </c>
      <c r="O178" s="23">
        <f>L178-M178</f>
        <v>7.4539999999999995E-2</v>
      </c>
      <c r="P178" s="20" t="s">
        <v>200</v>
      </c>
      <c r="Q178" s="21"/>
    </row>
    <row r="179" spans="1:17" x14ac:dyDescent="0.25">
      <c r="A179" s="41" t="s">
        <v>243</v>
      </c>
      <c r="B179" s="39" t="s">
        <v>229</v>
      </c>
      <c r="C179" s="35"/>
      <c r="D179" s="36"/>
      <c r="E179" s="36"/>
      <c r="F179" s="36"/>
      <c r="G179" s="37"/>
      <c r="H179" s="37"/>
      <c r="I179" s="37"/>
      <c r="J179" s="37"/>
      <c r="K179" s="35"/>
      <c r="L179" s="244">
        <f>SUM(L178:L178)</f>
        <v>7.4539999999999995E-2</v>
      </c>
      <c r="M179" s="244">
        <f>SUM(M178:M178)</f>
        <v>0</v>
      </c>
      <c r="N179" s="244">
        <f>SUM(N178:N178)</f>
        <v>0</v>
      </c>
      <c r="O179" s="244">
        <f>SUM(O178:O178)</f>
        <v>7.4539999999999995E-2</v>
      </c>
      <c r="P179" s="35"/>
      <c r="Q179" s="21"/>
    </row>
    <row r="180" spans="1:17" x14ac:dyDescent="0.25">
      <c r="A180" s="46"/>
      <c r="B180" s="1181" t="s">
        <v>246</v>
      </c>
      <c r="C180" s="1181"/>
      <c r="D180" s="1181"/>
      <c r="E180" s="1181"/>
      <c r="F180" s="1181"/>
      <c r="G180" s="1181"/>
      <c r="H180" s="1181"/>
      <c r="I180" s="1181"/>
      <c r="J180" s="1181"/>
      <c r="K180" s="1181"/>
      <c r="L180" s="1181"/>
      <c r="M180" s="1181"/>
      <c r="N180" s="1181"/>
      <c r="O180" s="1181"/>
      <c r="P180" s="1182"/>
      <c r="Q180" s="47"/>
    </row>
    <row r="181" spans="1:17" ht="22.5" customHeight="1" x14ac:dyDescent="0.25">
      <c r="A181" s="41"/>
      <c r="B181" s="40" t="s">
        <v>557</v>
      </c>
      <c r="C181" s="20">
        <v>1</v>
      </c>
      <c r="D181" s="27">
        <v>273996</v>
      </c>
      <c r="E181" s="22">
        <v>12</v>
      </c>
      <c r="F181" s="22"/>
      <c r="G181" s="242">
        <f>(E181+F181)/D181/C181</f>
        <v>4.3796299999999999E-5</v>
      </c>
      <c r="H181" s="242">
        <f>G181-J181</f>
        <v>0</v>
      </c>
      <c r="I181" s="242"/>
      <c r="J181" s="242">
        <f>E181/D181/C181</f>
        <v>4.3796299999999999E-5</v>
      </c>
      <c r="K181" s="20">
        <v>17152</v>
      </c>
      <c r="L181" s="28">
        <f>G181*K181</f>
        <v>0.75119000000000002</v>
      </c>
      <c r="M181" s="23">
        <f>H181*K181</f>
        <v>0</v>
      </c>
      <c r="N181" s="23">
        <f>I181*K181</f>
        <v>0</v>
      </c>
      <c r="O181" s="23">
        <f>L181-M181</f>
        <v>0.75119000000000002</v>
      </c>
      <c r="P181" s="20" t="s">
        <v>247</v>
      </c>
      <c r="Q181" s="21"/>
    </row>
    <row r="182" spans="1:17" hidden="1" x14ac:dyDescent="0.25">
      <c r="A182" s="41"/>
      <c r="B182" s="33"/>
      <c r="C182" s="20">
        <v>1</v>
      </c>
      <c r="D182" s="27">
        <v>273996</v>
      </c>
      <c r="E182" s="22">
        <f>12*4</f>
        <v>48</v>
      </c>
      <c r="F182" s="22"/>
      <c r="G182" s="242">
        <f>(E182+F182)/D182/C182</f>
        <v>1.7518500000000001E-4</v>
      </c>
      <c r="H182" s="242">
        <f>G182-J182</f>
        <v>0</v>
      </c>
      <c r="I182" s="242"/>
      <c r="J182" s="242">
        <f>E182/D182/C182</f>
        <v>1.7518500000000001E-4</v>
      </c>
      <c r="K182" s="247"/>
      <c r="L182" s="23">
        <f>G182*K182</f>
        <v>0</v>
      </c>
      <c r="M182" s="23">
        <f>H182*K182</f>
        <v>0</v>
      </c>
      <c r="N182" s="23">
        <f>I182*K182</f>
        <v>0</v>
      </c>
      <c r="O182" s="23">
        <f>L182-M182</f>
        <v>0</v>
      </c>
      <c r="P182" s="20" t="s">
        <v>247</v>
      </c>
      <c r="Q182" s="21"/>
    </row>
    <row r="183" spans="1:17" x14ac:dyDescent="0.25">
      <c r="A183" s="41" t="s">
        <v>258</v>
      </c>
      <c r="B183" s="39" t="s">
        <v>229</v>
      </c>
      <c r="C183" s="35"/>
      <c r="D183" s="36"/>
      <c r="E183" s="36"/>
      <c r="F183" s="36"/>
      <c r="G183" s="37"/>
      <c r="H183" s="37"/>
      <c r="I183" s="37"/>
      <c r="J183" s="37"/>
      <c r="K183" s="35"/>
      <c r="L183" s="244">
        <f>SUM(L181:L182)</f>
        <v>0.75119000000000002</v>
      </c>
      <c r="M183" s="244">
        <f>SUM(M181:M182)</f>
        <v>0</v>
      </c>
      <c r="N183" s="244">
        <f>SUM(N181:N182)</f>
        <v>0</v>
      </c>
      <c r="O183" s="244">
        <f>SUM(O181:O182)</f>
        <v>0.75119000000000002</v>
      </c>
      <c r="P183" s="35"/>
      <c r="Q183" s="21"/>
    </row>
    <row r="184" spans="1:17" x14ac:dyDescent="0.25">
      <c r="A184" s="46"/>
      <c r="B184" s="1181" t="s">
        <v>245</v>
      </c>
      <c r="C184" s="1181"/>
      <c r="D184" s="1181"/>
      <c r="E184" s="1181"/>
      <c r="F184" s="1181"/>
      <c r="G184" s="1181"/>
      <c r="H184" s="1181"/>
      <c r="I184" s="1181"/>
      <c r="J184" s="1181"/>
      <c r="K184" s="1181"/>
      <c r="L184" s="1181"/>
      <c r="M184" s="1181"/>
      <c r="N184" s="1181"/>
      <c r="O184" s="1181"/>
      <c r="P184" s="1182"/>
      <c r="Q184" s="47"/>
    </row>
    <row r="185" spans="1:17" x14ac:dyDescent="0.25">
      <c r="A185" s="41"/>
      <c r="B185" s="40" t="s">
        <v>248</v>
      </c>
      <c r="C185" s="26">
        <v>1</v>
      </c>
      <c r="D185" s="27">
        <v>273996</v>
      </c>
      <c r="E185" s="22">
        <v>5</v>
      </c>
      <c r="F185" s="22"/>
      <c r="G185" s="242">
        <f t="shared" ref="G185:G191" si="51">(E185+F185)/D185/C185</f>
        <v>1.82484E-5</v>
      </c>
      <c r="H185" s="242">
        <f t="shared" ref="H185:H191" si="52">G185-J185</f>
        <v>0</v>
      </c>
      <c r="I185" s="242"/>
      <c r="J185" s="242">
        <f t="shared" ref="J185:J191" si="53">E185/D185/C185</f>
        <v>1.82484E-5</v>
      </c>
      <c r="K185" s="20">
        <v>684</v>
      </c>
      <c r="L185" s="243">
        <f t="shared" ref="L185:L191" si="54">G185*K185</f>
        <v>1.248E-2</v>
      </c>
      <c r="M185" s="243">
        <f t="shared" ref="M185:M191" si="55">H185*K185</f>
        <v>0</v>
      </c>
      <c r="N185" s="243">
        <f t="shared" ref="N185:N191" si="56">I185*K185</f>
        <v>0</v>
      </c>
      <c r="O185" s="243">
        <f t="shared" ref="O185:O191" si="57">L185-M185</f>
        <v>1.248E-2</v>
      </c>
      <c r="P185" s="20" t="s">
        <v>251</v>
      </c>
      <c r="Q185" s="21"/>
    </row>
    <row r="186" spans="1:17" x14ac:dyDescent="0.25">
      <c r="A186" s="41"/>
      <c r="B186" s="40" t="s">
        <v>249</v>
      </c>
      <c r="C186" s="26">
        <v>1</v>
      </c>
      <c r="D186" s="27">
        <v>273996</v>
      </c>
      <c r="E186" s="22">
        <v>1</v>
      </c>
      <c r="F186" s="22"/>
      <c r="G186" s="242">
        <f t="shared" si="51"/>
        <v>3.6497E-6</v>
      </c>
      <c r="H186" s="242">
        <f t="shared" si="52"/>
        <v>0</v>
      </c>
      <c r="I186" s="242"/>
      <c r="J186" s="242">
        <f t="shared" si="53"/>
        <v>3.6497E-6</v>
      </c>
      <c r="K186" s="26">
        <v>1490</v>
      </c>
      <c r="L186" s="243">
        <f t="shared" si="54"/>
        <v>5.4400000000000004E-3</v>
      </c>
      <c r="M186" s="243">
        <f t="shared" si="55"/>
        <v>0</v>
      </c>
      <c r="N186" s="243">
        <f t="shared" si="56"/>
        <v>0</v>
      </c>
      <c r="O186" s="243">
        <f t="shared" si="57"/>
        <v>5.4400000000000004E-3</v>
      </c>
      <c r="P186" s="20" t="s">
        <v>253</v>
      </c>
      <c r="Q186" s="21"/>
    </row>
    <row r="187" spans="1:17" ht="36" customHeight="1" x14ac:dyDescent="0.25">
      <c r="A187" s="41"/>
      <c r="B187" s="40" t="s">
        <v>558</v>
      </c>
      <c r="C187" s="26">
        <v>1</v>
      </c>
      <c r="D187" s="27">
        <v>273996</v>
      </c>
      <c r="E187" s="22">
        <v>18</v>
      </c>
      <c r="F187" s="22"/>
      <c r="G187" s="242">
        <f t="shared" si="51"/>
        <v>6.5694399999999999E-5</v>
      </c>
      <c r="H187" s="242">
        <f t="shared" si="52"/>
        <v>0</v>
      </c>
      <c r="I187" s="242"/>
      <c r="J187" s="242">
        <f t="shared" si="53"/>
        <v>6.5694399999999999E-5</v>
      </c>
      <c r="K187" s="20">
        <v>800</v>
      </c>
      <c r="L187" s="243">
        <f t="shared" si="54"/>
        <v>5.2560000000000003E-2</v>
      </c>
      <c r="M187" s="243">
        <f t="shared" si="55"/>
        <v>0</v>
      </c>
      <c r="N187" s="243">
        <f t="shared" si="56"/>
        <v>0</v>
      </c>
      <c r="O187" s="243">
        <f t="shared" si="57"/>
        <v>5.2560000000000003E-2</v>
      </c>
      <c r="P187" s="20" t="s">
        <v>252</v>
      </c>
      <c r="Q187" s="21"/>
    </row>
    <row r="188" spans="1:17" ht="22.5" x14ac:dyDescent="0.25">
      <c r="A188" s="41"/>
      <c r="B188" s="40" t="s">
        <v>559</v>
      </c>
      <c r="C188" s="26">
        <v>3</v>
      </c>
      <c r="D188" s="27">
        <v>273996</v>
      </c>
      <c r="E188" s="22">
        <v>1</v>
      </c>
      <c r="F188" s="22"/>
      <c r="G188" s="242">
        <f t="shared" si="51"/>
        <v>1.2165999999999999E-6</v>
      </c>
      <c r="H188" s="242">
        <f t="shared" si="52"/>
        <v>0</v>
      </c>
      <c r="I188" s="242"/>
      <c r="J188" s="242">
        <f t="shared" si="53"/>
        <v>1.2165999999999999E-6</v>
      </c>
      <c r="K188" s="20">
        <v>120000</v>
      </c>
      <c r="L188" s="243">
        <f t="shared" si="54"/>
        <v>0.14599000000000001</v>
      </c>
      <c r="M188" s="243">
        <f t="shared" si="55"/>
        <v>0</v>
      </c>
      <c r="N188" s="243">
        <f t="shared" si="56"/>
        <v>0</v>
      </c>
      <c r="O188" s="243">
        <f t="shared" si="57"/>
        <v>0.14599000000000001</v>
      </c>
      <c r="P188" s="20" t="s">
        <v>560</v>
      </c>
      <c r="Q188" s="21"/>
    </row>
    <row r="189" spans="1:17" x14ac:dyDescent="0.25">
      <c r="A189" s="41"/>
      <c r="B189" s="40" t="s">
        <v>561</v>
      </c>
      <c r="C189" s="26">
        <v>1</v>
      </c>
      <c r="D189" s="27">
        <v>273996</v>
      </c>
      <c r="E189" s="22">
        <v>1</v>
      </c>
      <c r="F189" s="22"/>
      <c r="G189" s="242">
        <f t="shared" si="51"/>
        <v>3.6497E-6</v>
      </c>
      <c r="H189" s="242">
        <f t="shared" si="52"/>
        <v>0</v>
      </c>
      <c r="I189" s="242"/>
      <c r="J189" s="242">
        <f t="shared" si="53"/>
        <v>3.6497E-6</v>
      </c>
      <c r="K189" s="20">
        <v>5000</v>
      </c>
      <c r="L189" s="243">
        <f t="shared" si="54"/>
        <v>1.8249999999999999E-2</v>
      </c>
      <c r="M189" s="243">
        <f t="shared" si="55"/>
        <v>0</v>
      </c>
      <c r="N189" s="243">
        <f t="shared" si="56"/>
        <v>0</v>
      </c>
      <c r="O189" s="243">
        <f t="shared" si="57"/>
        <v>1.8249999999999999E-2</v>
      </c>
      <c r="P189" s="20" t="s">
        <v>253</v>
      </c>
      <c r="Q189" s="21"/>
    </row>
    <row r="190" spans="1:17" x14ac:dyDescent="0.25">
      <c r="A190" s="41"/>
      <c r="B190" s="40" t="s">
        <v>562</v>
      </c>
      <c r="C190" s="26">
        <v>20</v>
      </c>
      <c r="D190" s="27">
        <f>519552</f>
        <v>519552</v>
      </c>
      <c r="E190" s="22">
        <v>12</v>
      </c>
      <c r="F190" s="22"/>
      <c r="G190" s="242">
        <f t="shared" si="51"/>
        <v>1.1547999999999999E-6</v>
      </c>
      <c r="H190" s="242">
        <f t="shared" si="52"/>
        <v>0</v>
      </c>
      <c r="I190" s="242"/>
      <c r="J190" s="242">
        <f t="shared" si="53"/>
        <v>1.1547999999999999E-6</v>
      </c>
      <c r="K190" s="20">
        <v>1360</v>
      </c>
      <c r="L190" s="243">
        <f t="shared" si="54"/>
        <v>1.57E-3</v>
      </c>
      <c r="M190" s="243">
        <f t="shared" si="55"/>
        <v>0</v>
      </c>
      <c r="N190" s="243">
        <f t="shared" si="56"/>
        <v>0</v>
      </c>
      <c r="O190" s="243">
        <f t="shared" si="57"/>
        <v>1.57E-3</v>
      </c>
      <c r="P190" s="20" t="s">
        <v>563</v>
      </c>
      <c r="Q190" s="21" t="s">
        <v>564</v>
      </c>
    </row>
    <row r="191" spans="1:17" x14ac:dyDescent="0.25">
      <c r="A191" s="41"/>
      <c r="B191" s="33" t="s">
        <v>250</v>
      </c>
      <c r="C191" s="20">
        <v>5</v>
      </c>
      <c r="D191" s="27">
        <v>273996</v>
      </c>
      <c r="E191" s="22">
        <v>1</v>
      </c>
      <c r="F191" s="22"/>
      <c r="G191" s="242">
        <f t="shared" si="51"/>
        <v>7.2989999999999999E-7</v>
      </c>
      <c r="H191" s="242">
        <f t="shared" si="52"/>
        <v>0</v>
      </c>
      <c r="I191" s="242"/>
      <c r="J191" s="242">
        <f t="shared" si="53"/>
        <v>7.2989999999999999E-7</v>
      </c>
      <c r="K191" s="20">
        <v>7000</v>
      </c>
      <c r="L191" s="243">
        <f t="shared" si="54"/>
        <v>5.11E-3</v>
      </c>
      <c r="M191" s="243">
        <f t="shared" si="55"/>
        <v>0</v>
      </c>
      <c r="N191" s="243">
        <f t="shared" si="56"/>
        <v>0</v>
      </c>
      <c r="O191" s="243">
        <f t="shared" si="57"/>
        <v>5.11E-3</v>
      </c>
      <c r="P191" s="20" t="s">
        <v>565</v>
      </c>
      <c r="Q191" s="21"/>
    </row>
    <row r="192" spans="1:17" x14ac:dyDescent="0.25">
      <c r="A192" s="41" t="s">
        <v>258</v>
      </c>
      <c r="B192" s="39" t="s">
        <v>229</v>
      </c>
      <c r="C192" s="35"/>
      <c r="D192" s="36"/>
      <c r="E192" s="36"/>
      <c r="F192" s="36"/>
      <c r="G192" s="37"/>
      <c r="H192" s="37"/>
      <c r="I192" s="37"/>
      <c r="J192" s="37"/>
      <c r="K192" s="35"/>
      <c r="L192" s="244">
        <f>SUM(L185:L191)</f>
        <v>0.2414</v>
      </c>
      <c r="M192" s="244">
        <f>SUM(M185:M191)</f>
        <v>0</v>
      </c>
      <c r="N192" s="244">
        <f>SUM(N185:N191)</f>
        <v>0</v>
      </c>
      <c r="O192" s="244">
        <f>SUM(O185:O191)</f>
        <v>0.2414</v>
      </c>
      <c r="P192" s="35"/>
      <c r="Q192" s="21"/>
    </row>
    <row r="193" spans="1:18" hidden="1" x14ac:dyDescent="0.25">
      <c r="A193" s="46"/>
      <c r="B193" s="1181" t="s">
        <v>254</v>
      </c>
      <c r="C193" s="1181"/>
      <c r="D193" s="1181"/>
      <c r="E193" s="1181"/>
      <c r="F193" s="1181"/>
      <c r="G193" s="1181"/>
      <c r="H193" s="1181"/>
      <c r="I193" s="1181"/>
      <c r="J193" s="1181"/>
      <c r="K193" s="1181"/>
      <c r="L193" s="1181"/>
      <c r="M193" s="1181"/>
      <c r="N193" s="1181"/>
      <c r="O193" s="1181"/>
      <c r="P193" s="1182"/>
      <c r="Q193" s="47"/>
    </row>
    <row r="194" spans="1:18" hidden="1" x14ac:dyDescent="0.25">
      <c r="A194" s="41"/>
      <c r="B194" s="251"/>
      <c r="C194" s="20"/>
      <c r="D194" s="22"/>
      <c r="E194" s="22"/>
      <c r="F194" s="22"/>
      <c r="G194" s="242"/>
      <c r="H194" s="242"/>
      <c r="I194" s="242"/>
      <c r="J194" s="242"/>
      <c r="K194" s="249"/>
      <c r="L194" s="243"/>
      <c r="M194" s="243"/>
      <c r="N194" s="243"/>
      <c r="O194" s="243"/>
      <c r="P194" s="20" t="s">
        <v>255</v>
      </c>
      <c r="Q194" s="21"/>
    </row>
    <row r="195" spans="1:18" hidden="1" x14ac:dyDescent="0.25">
      <c r="A195" s="41"/>
      <c r="B195" s="251"/>
      <c r="C195" s="20"/>
      <c r="D195" s="27"/>
      <c r="E195" s="22"/>
      <c r="F195" s="22"/>
      <c r="G195" s="242"/>
      <c r="H195" s="242"/>
      <c r="I195" s="242"/>
      <c r="J195" s="242"/>
      <c r="K195" s="249"/>
      <c r="L195" s="243"/>
      <c r="M195" s="243"/>
      <c r="N195" s="243"/>
      <c r="O195" s="243"/>
      <c r="P195" s="20" t="s">
        <v>255</v>
      </c>
      <c r="Q195" s="21"/>
    </row>
    <row r="196" spans="1:18" hidden="1" x14ac:dyDescent="0.25">
      <c r="A196" s="41" t="s">
        <v>243</v>
      </c>
      <c r="B196" s="39" t="s">
        <v>229</v>
      </c>
      <c r="C196" s="35"/>
      <c r="D196" s="36"/>
      <c r="E196" s="36"/>
      <c r="F196" s="36"/>
      <c r="G196" s="37"/>
      <c r="H196" s="37"/>
      <c r="I196" s="37"/>
      <c r="J196" s="37"/>
      <c r="K196" s="35"/>
      <c r="L196" s="244">
        <f>SUM(L194:L195)</f>
        <v>0</v>
      </c>
      <c r="M196" s="244">
        <f>SUM(M194:M195)</f>
        <v>0</v>
      </c>
      <c r="N196" s="244">
        <f>SUM(N194:N195)</f>
        <v>0</v>
      </c>
      <c r="O196" s="244">
        <f>SUM(O194:O195)</f>
        <v>0</v>
      </c>
      <c r="P196" s="35"/>
      <c r="Q196" s="21"/>
    </row>
    <row r="197" spans="1:18" x14ac:dyDescent="0.25">
      <c r="A197" s="46"/>
      <c r="B197" s="1181" t="s">
        <v>295</v>
      </c>
      <c r="C197" s="1181"/>
      <c r="D197" s="1181"/>
      <c r="E197" s="1181"/>
      <c r="F197" s="1181"/>
      <c r="G197" s="1181"/>
      <c r="H197" s="1181"/>
      <c r="I197" s="1181"/>
      <c r="J197" s="1181"/>
      <c r="K197" s="1181"/>
      <c r="L197" s="1181"/>
      <c r="M197" s="1181"/>
      <c r="N197" s="1181"/>
      <c r="O197" s="1181"/>
      <c r="P197" s="1182"/>
      <c r="Q197" s="47"/>
    </row>
    <row r="198" spans="1:18" ht="33.75" x14ac:dyDescent="0.25">
      <c r="A198" s="41"/>
      <c r="B198" s="40" t="s">
        <v>296</v>
      </c>
      <c r="C198" s="20">
        <v>5</v>
      </c>
      <c r="D198" s="22">
        <v>273996</v>
      </c>
      <c r="E198" s="22">
        <f>2*10</f>
        <v>20</v>
      </c>
      <c r="F198" s="22">
        <f>(156.7/5)*10</f>
        <v>313</v>
      </c>
      <c r="G198" s="242">
        <f>(E198+F198)/D198/C198</f>
        <v>2.4306919999999999E-4</v>
      </c>
      <c r="H198" s="242">
        <f>G198-J198</f>
        <v>2.4306919999999999E-4</v>
      </c>
      <c r="I198" s="242"/>
      <c r="J198" s="242"/>
      <c r="K198" s="22">
        <v>100</v>
      </c>
      <c r="L198" s="243">
        <f>G198*K198</f>
        <v>2.4309999999999998E-2</v>
      </c>
      <c r="M198" s="243">
        <f>H198*K198</f>
        <v>2.4309999999999998E-2</v>
      </c>
      <c r="N198" s="243">
        <f>I198*K198</f>
        <v>0</v>
      </c>
      <c r="O198" s="243">
        <f>L198-M198</f>
        <v>0</v>
      </c>
      <c r="P198" s="21" t="s">
        <v>566</v>
      </c>
      <c r="Q198" s="21"/>
    </row>
    <row r="199" spans="1:18" ht="33.75" x14ac:dyDescent="0.25">
      <c r="A199" s="41"/>
      <c r="B199" s="40" t="s">
        <v>297</v>
      </c>
      <c r="C199" s="20">
        <v>5</v>
      </c>
      <c r="D199" s="22">
        <v>273996</v>
      </c>
      <c r="E199" s="22">
        <f>2*2</f>
        <v>4</v>
      </c>
      <c r="F199" s="22">
        <f>(156.7/5)*2</f>
        <v>63</v>
      </c>
      <c r="G199" s="242">
        <f>(E199+F199)/D199/C199</f>
        <v>4.8905800000000002E-5</v>
      </c>
      <c r="H199" s="242">
        <f>G199-J199</f>
        <v>4.8905800000000002E-5</v>
      </c>
      <c r="I199" s="242"/>
      <c r="J199" s="242"/>
      <c r="K199" s="22">
        <v>120</v>
      </c>
      <c r="L199" s="243">
        <f>G199*K199</f>
        <v>5.8700000000000002E-3</v>
      </c>
      <c r="M199" s="243">
        <f>H199*K199</f>
        <v>5.8700000000000002E-3</v>
      </c>
      <c r="N199" s="243">
        <f>I199*K199</f>
        <v>0</v>
      </c>
      <c r="O199" s="243">
        <f>L199-M199</f>
        <v>0</v>
      </c>
      <c r="P199" s="21" t="s">
        <v>567</v>
      </c>
      <c r="Q199" s="21"/>
    </row>
    <row r="200" spans="1:18" ht="33.75" x14ac:dyDescent="0.25">
      <c r="A200" s="41"/>
      <c r="B200" s="40" t="s">
        <v>298</v>
      </c>
      <c r="C200" s="20">
        <v>5</v>
      </c>
      <c r="D200" s="22">
        <v>273996</v>
      </c>
      <c r="E200" s="22">
        <f>2*10</f>
        <v>20</v>
      </c>
      <c r="F200" s="22">
        <f>(156.7/5)*10</f>
        <v>313</v>
      </c>
      <c r="G200" s="242">
        <f>(E200+F200)/D200/C200</f>
        <v>2.4306919999999999E-4</v>
      </c>
      <c r="H200" s="242">
        <f>G200-J200</f>
        <v>2.4306919999999999E-4</v>
      </c>
      <c r="I200" s="242"/>
      <c r="J200" s="242"/>
      <c r="K200" s="22">
        <v>550</v>
      </c>
      <c r="L200" s="243">
        <f>G200*K200</f>
        <v>0.13369</v>
      </c>
      <c r="M200" s="243">
        <f>H200*K200</f>
        <v>0.13369</v>
      </c>
      <c r="N200" s="243">
        <f>I200*K200</f>
        <v>0</v>
      </c>
      <c r="O200" s="243">
        <f>L200-M200</f>
        <v>0</v>
      </c>
      <c r="P200" s="21" t="s">
        <v>566</v>
      </c>
      <c r="Q200" s="21"/>
    </row>
    <row r="201" spans="1:18" x14ac:dyDescent="0.25">
      <c r="A201" s="41"/>
      <c r="B201" s="39" t="s">
        <v>229</v>
      </c>
      <c r="C201" s="35"/>
      <c r="D201" s="36"/>
      <c r="E201" s="36"/>
      <c r="F201" s="36"/>
      <c r="G201" s="37"/>
      <c r="H201" s="37"/>
      <c r="I201" s="37"/>
      <c r="J201" s="37"/>
      <c r="K201" s="35"/>
      <c r="L201" s="244">
        <f>SUM(L198:L200)</f>
        <v>0.16386999999999999</v>
      </c>
      <c r="M201" s="244">
        <f>SUM(M198:M200)</f>
        <v>0.16386999999999999</v>
      </c>
      <c r="N201" s="244">
        <f>SUM(N198:N200)</f>
        <v>0</v>
      </c>
      <c r="O201" s="244">
        <f>SUM(O198:O200)</f>
        <v>0</v>
      </c>
      <c r="P201" s="35"/>
      <c r="Q201" s="21"/>
    </row>
    <row r="202" spans="1:18" x14ac:dyDescent="0.25">
      <c r="A202" s="41" t="s">
        <v>241</v>
      </c>
      <c r="B202" s="39"/>
      <c r="C202" s="35"/>
      <c r="D202" s="36"/>
      <c r="E202" s="36"/>
      <c r="F202" s="36"/>
      <c r="G202" s="37"/>
      <c r="H202" s="37"/>
      <c r="I202" s="37"/>
      <c r="J202" s="37"/>
      <c r="K202" s="35"/>
      <c r="L202" s="244">
        <f>SUM(M202:O202)</f>
        <v>0.16386999999999999</v>
      </c>
      <c r="M202" s="244">
        <f>M201</f>
        <v>0.16386999999999999</v>
      </c>
      <c r="N202" s="244">
        <f>N201</f>
        <v>0</v>
      </c>
      <c r="O202" s="244"/>
      <c r="P202" s="35"/>
      <c r="Q202" s="21"/>
    </row>
    <row r="203" spans="1:18" x14ac:dyDescent="0.25">
      <c r="A203" s="41" t="s">
        <v>262</v>
      </c>
      <c r="B203" s="39"/>
      <c r="C203" s="35"/>
      <c r="D203" s="36"/>
      <c r="E203" s="36"/>
      <c r="F203" s="36"/>
      <c r="G203" s="37"/>
      <c r="H203" s="37"/>
      <c r="I203" s="37"/>
      <c r="J203" s="37"/>
      <c r="K203" s="35"/>
      <c r="L203" s="244">
        <f>SUM(M203:O203)</f>
        <v>0</v>
      </c>
      <c r="M203" s="244"/>
      <c r="N203" s="244"/>
      <c r="O203" s="244">
        <f>O201</f>
        <v>0</v>
      </c>
      <c r="P203" s="35"/>
      <c r="Q203" s="21"/>
    </row>
    <row r="204" spans="1:18" x14ac:dyDescent="0.25">
      <c r="A204" s="46"/>
      <c r="B204" s="1181" t="s">
        <v>299</v>
      </c>
      <c r="C204" s="1181"/>
      <c r="D204" s="1181"/>
      <c r="E204" s="1181"/>
      <c r="F204" s="1181"/>
      <c r="G204" s="1181"/>
      <c r="H204" s="1181"/>
      <c r="I204" s="1181"/>
      <c r="J204" s="1181"/>
      <c r="K204" s="1181"/>
      <c r="L204" s="1181"/>
      <c r="M204" s="1181"/>
      <c r="N204" s="1181"/>
      <c r="O204" s="1181"/>
      <c r="P204" s="1182"/>
      <c r="Q204" s="47"/>
    </row>
    <row r="205" spans="1:18" ht="38.25" customHeight="1" x14ac:dyDescent="0.25">
      <c r="A205" s="41"/>
      <c r="B205" s="40" t="s">
        <v>300</v>
      </c>
      <c r="C205" s="20">
        <v>5</v>
      </c>
      <c r="D205" s="22">
        <v>273996</v>
      </c>
      <c r="E205" s="22">
        <f>1+1</f>
        <v>2</v>
      </c>
      <c r="F205" s="22">
        <f>(156.7/5)</f>
        <v>31</v>
      </c>
      <c r="G205" s="242">
        <f>(E205+F205)/D205/C205</f>
        <v>2.40879E-5</v>
      </c>
      <c r="H205" s="242">
        <f>G205-J205</f>
        <v>2.40879E-5</v>
      </c>
      <c r="I205" s="242"/>
      <c r="J205" s="242"/>
      <c r="K205" s="22">
        <v>4000</v>
      </c>
      <c r="L205" s="243">
        <f>G205*K205</f>
        <v>9.6350000000000005E-2</v>
      </c>
      <c r="M205" s="243">
        <f>H205*K205</f>
        <v>9.6350000000000005E-2</v>
      </c>
      <c r="N205" s="243">
        <f>I205*K205</f>
        <v>0</v>
      </c>
      <c r="O205" s="243">
        <f>L205-M205</f>
        <v>0</v>
      </c>
      <c r="P205" s="21" t="s">
        <v>568</v>
      </c>
      <c r="Q205" s="21"/>
      <c r="R205" s="1">
        <f>K205/C205</f>
        <v>800</v>
      </c>
    </row>
    <row r="206" spans="1:18" x14ac:dyDescent="0.25">
      <c r="A206" s="41" t="s">
        <v>241</v>
      </c>
      <c r="B206" s="39" t="s">
        <v>229</v>
      </c>
      <c r="C206" s="35"/>
      <c r="D206" s="36"/>
      <c r="E206" s="36"/>
      <c r="F206" s="36"/>
      <c r="G206" s="37"/>
      <c r="H206" s="37"/>
      <c r="I206" s="37"/>
      <c r="J206" s="37"/>
      <c r="K206" s="35"/>
      <c r="L206" s="244">
        <f>SUM(L205:L205)</f>
        <v>9.6350000000000005E-2</v>
      </c>
      <c r="M206" s="244">
        <f>SUM(M205:M205)</f>
        <v>9.6350000000000005E-2</v>
      </c>
      <c r="N206" s="244">
        <f>SUM(N205:N205)</f>
        <v>0</v>
      </c>
      <c r="O206" s="244">
        <f>SUM(O205:O205)</f>
        <v>0</v>
      </c>
      <c r="P206" s="35"/>
      <c r="Q206" s="21"/>
    </row>
    <row r="207" spans="1:18" x14ac:dyDescent="0.25">
      <c r="A207" s="46"/>
      <c r="B207" s="1181" t="s">
        <v>301</v>
      </c>
      <c r="C207" s="1181"/>
      <c r="D207" s="1181"/>
      <c r="E207" s="1181"/>
      <c r="F207" s="1181"/>
      <c r="G207" s="1181"/>
      <c r="H207" s="1181"/>
      <c r="I207" s="1181"/>
      <c r="J207" s="1181"/>
      <c r="K207" s="1181"/>
      <c r="L207" s="1181"/>
      <c r="M207" s="1181"/>
      <c r="N207" s="1181"/>
      <c r="O207" s="1181"/>
      <c r="P207" s="1182"/>
      <c r="Q207" s="47"/>
    </row>
    <row r="208" spans="1:18" ht="22.5" x14ac:dyDescent="0.25">
      <c r="A208" s="41"/>
      <c r="B208" s="40" t="s">
        <v>569</v>
      </c>
      <c r="C208" s="20">
        <v>1</v>
      </c>
      <c r="D208" s="22">
        <v>273996</v>
      </c>
      <c r="E208" s="22">
        <v>12</v>
      </c>
      <c r="F208" s="22"/>
      <c r="G208" s="242">
        <f>(E208+F208)/D208/C208</f>
        <v>4.3796299999999999E-5</v>
      </c>
      <c r="H208" s="242">
        <f>G208-J208</f>
        <v>4.3796299999999999E-5</v>
      </c>
      <c r="I208" s="242">
        <f>(F208)/D208/C208</f>
        <v>0</v>
      </c>
      <c r="J208" s="242"/>
      <c r="K208" s="22">
        <v>1636</v>
      </c>
      <c r="L208" s="243">
        <f>G208*K208</f>
        <v>7.1650000000000005E-2</v>
      </c>
      <c r="M208" s="243">
        <f>H208*K208</f>
        <v>7.1650000000000005E-2</v>
      </c>
      <c r="N208" s="243">
        <f>I208*K208</f>
        <v>0</v>
      </c>
      <c r="O208" s="243">
        <f>L208-M208</f>
        <v>0</v>
      </c>
      <c r="P208" s="21" t="s">
        <v>570</v>
      </c>
      <c r="Q208" s="21"/>
    </row>
    <row r="209" spans="1:17" ht="22.5" x14ac:dyDescent="0.25">
      <c r="A209" s="41"/>
      <c r="B209" s="40" t="s">
        <v>302</v>
      </c>
      <c r="C209" s="20">
        <v>1</v>
      </c>
      <c r="D209" s="22">
        <v>273996</v>
      </c>
      <c r="E209" s="22">
        <v>12</v>
      </c>
      <c r="F209" s="22"/>
      <c r="G209" s="242">
        <f>(E209+F209)/D209/C209</f>
        <v>4.3796299999999999E-5</v>
      </c>
      <c r="H209" s="242">
        <f>G209-J209</f>
        <v>4.3796299999999999E-5</v>
      </c>
      <c r="I209" s="242">
        <f>(F209)/D209/C209</f>
        <v>0</v>
      </c>
      <c r="J209" s="242"/>
      <c r="K209" s="22">
        <v>2623</v>
      </c>
      <c r="L209" s="243">
        <f>G209*K209</f>
        <v>0.11488</v>
      </c>
      <c r="M209" s="243">
        <f>H209*K209</f>
        <v>0.11488</v>
      </c>
      <c r="N209" s="243">
        <f>I209*K209</f>
        <v>0</v>
      </c>
      <c r="O209" s="243">
        <f>L209-M209</f>
        <v>0</v>
      </c>
      <c r="P209" s="21" t="s">
        <v>571</v>
      </c>
      <c r="Q209" s="21"/>
    </row>
    <row r="210" spans="1:17" ht="22.5" x14ac:dyDescent="0.25">
      <c r="A210" s="41"/>
      <c r="B210" s="40" t="s">
        <v>303</v>
      </c>
      <c r="C210" s="20">
        <v>1</v>
      </c>
      <c r="D210" s="22">
        <v>273996</v>
      </c>
      <c r="E210" s="22"/>
      <c r="F210" s="22">
        <v>12</v>
      </c>
      <c r="G210" s="242">
        <f>(E210+F210)/D210/C210</f>
        <v>4.3796299999999999E-5</v>
      </c>
      <c r="H210" s="242">
        <f>G210-J210</f>
        <v>4.3796299999999999E-5</v>
      </c>
      <c r="I210" s="242"/>
      <c r="J210" s="242"/>
      <c r="K210" s="22">
        <v>1228</v>
      </c>
      <c r="L210" s="243">
        <f>G210*K210</f>
        <v>5.3780000000000001E-2</v>
      </c>
      <c r="M210" s="243">
        <f>H210*K210</f>
        <v>5.3780000000000001E-2</v>
      </c>
      <c r="N210" s="243">
        <f>I210*K210</f>
        <v>0</v>
      </c>
      <c r="O210" s="243">
        <f>L210-M210</f>
        <v>0</v>
      </c>
      <c r="P210" s="21" t="s">
        <v>570</v>
      </c>
      <c r="Q210" s="21"/>
    </row>
    <row r="211" spans="1:17" ht="22.5" x14ac:dyDescent="0.25">
      <c r="A211" s="41"/>
      <c r="B211" s="40" t="s">
        <v>572</v>
      </c>
      <c r="C211" s="20">
        <v>1</v>
      </c>
      <c r="D211" s="22">
        <v>273996</v>
      </c>
      <c r="E211" s="22"/>
      <c r="F211" s="22">
        <v>6</v>
      </c>
      <c r="G211" s="242">
        <f>(E211+F211)/D211/C211</f>
        <v>2.18981E-5</v>
      </c>
      <c r="H211" s="242">
        <f>G211-J211</f>
        <v>2.18981E-5</v>
      </c>
      <c r="I211" s="242"/>
      <c r="J211" s="242"/>
      <c r="K211" s="22">
        <v>1155</v>
      </c>
      <c r="L211" s="243">
        <f>G211*K211</f>
        <v>2.529E-2</v>
      </c>
      <c r="M211" s="243">
        <f>H211*K211</f>
        <v>2.529E-2</v>
      </c>
      <c r="N211" s="243">
        <f>I211*K211</f>
        <v>0</v>
      </c>
      <c r="O211" s="243">
        <f>L211-M211</f>
        <v>0</v>
      </c>
      <c r="P211" s="21" t="s">
        <v>573</v>
      </c>
      <c r="Q211" s="21"/>
    </row>
    <row r="212" spans="1:17" ht="22.5" x14ac:dyDescent="0.25">
      <c r="A212" s="41"/>
      <c r="B212" s="40" t="s">
        <v>574</v>
      </c>
      <c r="C212" s="20">
        <v>1</v>
      </c>
      <c r="D212" s="22">
        <v>273996</v>
      </c>
      <c r="E212" s="22"/>
      <c r="F212" s="22">
        <v>12</v>
      </c>
      <c r="G212" s="242">
        <f>(E212+F212)/D212/C212</f>
        <v>4.3796299999999999E-5</v>
      </c>
      <c r="H212" s="242">
        <f>G212-J212</f>
        <v>4.3796299999999999E-5</v>
      </c>
      <c r="I212" s="242"/>
      <c r="J212" s="242"/>
      <c r="K212" s="22">
        <v>1239</v>
      </c>
      <c r="L212" s="243">
        <f>G212*K212</f>
        <v>5.4260000000000003E-2</v>
      </c>
      <c r="M212" s="243">
        <f>H212*K212</f>
        <v>5.4260000000000003E-2</v>
      </c>
      <c r="N212" s="243">
        <f>I212*K212</f>
        <v>0</v>
      </c>
      <c r="O212" s="243">
        <f>L212-M212</f>
        <v>0</v>
      </c>
      <c r="P212" s="21" t="s">
        <v>570</v>
      </c>
      <c r="Q212" s="21"/>
    </row>
    <row r="213" spans="1:17" x14ac:dyDescent="0.25">
      <c r="A213" s="41" t="s">
        <v>241</v>
      </c>
      <c r="B213" s="39" t="s">
        <v>229</v>
      </c>
      <c r="C213" s="35"/>
      <c r="D213" s="36"/>
      <c r="E213" s="36"/>
      <c r="F213" s="36"/>
      <c r="G213" s="37"/>
      <c r="H213" s="37"/>
      <c r="I213" s="37"/>
      <c r="J213" s="37"/>
      <c r="K213" s="35"/>
      <c r="L213" s="244">
        <f>SUM(L208:L212)</f>
        <v>0.31985999999999998</v>
      </c>
      <c r="M213" s="244">
        <f>SUM(M208:M212)</f>
        <v>0.31985999999999998</v>
      </c>
      <c r="N213" s="244">
        <f>SUM(N208:N212)</f>
        <v>0</v>
      </c>
      <c r="O213" s="244">
        <f>SUM(O208:O212)</f>
        <v>0</v>
      </c>
      <c r="P213" s="35"/>
      <c r="Q213" s="21"/>
    </row>
    <row r="214" spans="1:17" ht="15" customHeight="1" x14ac:dyDescent="0.25">
      <c r="A214" s="46"/>
      <c r="B214" s="1179" t="s">
        <v>304</v>
      </c>
      <c r="C214" s="1179"/>
      <c r="D214" s="1179"/>
      <c r="E214" s="1179"/>
      <c r="F214" s="1179"/>
      <c r="G214" s="1179"/>
      <c r="H214" s="1179"/>
      <c r="I214" s="1179"/>
      <c r="J214" s="1179"/>
      <c r="K214" s="1179"/>
      <c r="L214" s="1179"/>
      <c r="M214" s="1179"/>
      <c r="N214" s="1179"/>
      <c r="O214" s="1179"/>
      <c r="P214" s="1180"/>
      <c r="Q214" s="47"/>
    </row>
    <row r="215" spans="1:17" ht="15" customHeight="1" x14ac:dyDescent="0.25">
      <c r="A215" s="41"/>
      <c r="B215" s="255" t="s">
        <v>305</v>
      </c>
      <c r="C215" s="257"/>
      <c r="D215" s="254">
        <v>27610</v>
      </c>
      <c r="E215" s="254"/>
      <c r="F215" s="254"/>
      <c r="G215" s="258"/>
      <c r="H215" s="258"/>
      <c r="I215" s="258"/>
      <c r="J215" s="258"/>
      <c r="K215" s="254"/>
      <c r="L215" s="256">
        <f>SUM(L216:L220)</f>
        <v>1.31691</v>
      </c>
      <c r="M215" s="256">
        <f>SUM(M216:M220)</f>
        <v>1.31691</v>
      </c>
      <c r="N215" s="256">
        <f>SUM(N216:N220)</f>
        <v>0</v>
      </c>
      <c r="O215" s="256">
        <f>SUM(O216:O220)</f>
        <v>0</v>
      </c>
      <c r="P215" s="21"/>
      <c r="Q215" s="21"/>
    </row>
    <row r="216" spans="1:17" ht="15" customHeight="1" x14ac:dyDescent="0.25">
      <c r="A216" s="41"/>
      <c r="B216" s="40" t="s">
        <v>306</v>
      </c>
      <c r="C216" s="20">
        <v>10</v>
      </c>
      <c r="D216" s="27">
        <v>27610</v>
      </c>
      <c r="E216" s="22"/>
      <c r="F216" s="22">
        <f>1*6</f>
        <v>6</v>
      </c>
      <c r="G216" s="242">
        <f t="shared" ref="G216:G248" si="58">(E216+F216)/D216/C216</f>
        <v>2.17313E-5</v>
      </c>
      <c r="H216" s="242">
        <f t="shared" ref="H216:H248" si="59">G216-J216</f>
        <v>2.17313E-5</v>
      </c>
      <c r="I216" s="242"/>
      <c r="J216" s="242"/>
      <c r="K216" s="22">
        <v>10000</v>
      </c>
      <c r="L216" s="243">
        <f t="shared" ref="L216:L248" si="60">G216*K216</f>
        <v>0.21731</v>
      </c>
      <c r="M216" s="243">
        <f>H216*K216</f>
        <v>0.21731</v>
      </c>
      <c r="N216" s="243">
        <f>I216*K216</f>
        <v>0</v>
      </c>
      <c r="O216" s="243">
        <f>L216-M216</f>
        <v>0</v>
      </c>
      <c r="P216" s="21" t="s">
        <v>307</v>
      </c>
      <c r="Q216" s="21"/>
    </row>
    <row r="217" spans="1:17" ht="15" customHeight="1" x14ac:dyDescent="0.25">
      <c r="A217" s="41"/>
      <c r="B217" s="40" t="s">
        <v>308</v>
      </c>
      <c r="C217" s="20">
        <v>5</v>
      </c>
      <c r="D217" s="27">
        <v>27610</v>
      </c>
      <c r="E217" s="22"/>
      <c r="F217" s="22">
        <f>1*56/10</f>
        <v>6</v>
      </c>
      <c r="G217" s="242">
        <f t="shared" si="58"/>
        <v>4.3462499999999999E-5</v>
      </c>
      <c r="H217" s="242">
        <f t="shared" si="59"/>
        <v>4.3462499999999999E-5</v>
      </c>
      <c r="I217" s="242"/>
      <c r="J217" s="242"/>
      <c r="K217" s="22">
        <v>5000</v>
      </c>
      <c r="L217" s="243">
        <f t="shared" si="60"/>
        <v>0.21731</v>
      </c>
      <c r="M217" s="243">
        <f>H217*K217</f>
        <v>0.21731</v>
      </c>
      <c r="N217" s="243">
        <f>I217*K217</f>
        <v>0</v>
      </c>
      <c r="O217" s="243">
        <f>L217-M217</f>
        <v>0</v>
      </c>
      <c r="P217" s="21" t="s">
        <v>309</v>
      </c>
      <c r="Q217" s="21"/>
    </row>
    <row r="218" spans="1:17" ht="15" customHeight="1" x14ac:dyDescent="0.25">
      <c r="A218" s="41"/>
      <c r="B218" s="40" t="s">
        <v>310</v>
      </c>
      <c r="C218" s="20">
        <v>5</v>
      </c>
      <c r="D218" s="27">
        <v>27610</v>
      </c>
      <c r="E218" s="22"/>
      <c r="F218" s="22">
        <f>1*56</f>
        <v>56</v>
      </c>
      <c r="G218" s="242">
        <f t="shared" si="58"/>
        <v>4.056501E-4</v>
      </c>
      <c r="H218" s="242">
        <f t="shared" si="59"/>
        <v>4.056501E-4</v>
      </c>
      <c r="I218" s="242"/>
      <c r="J218" s="242"/>
      <c r="K218" s="22">
        <v>500</v>
      </c>
      <c r="L218" s="243">
        <f t="shared" si="60"/>
        <v>0.20283000000000001</v>
      </c>
      <c r="M218" s="243">
        <f>H218*K218</f>
        <v>0.20283000000000001</v>
      </c>
      <c r="N218" s="243">
        <f>I218*K218</f>
        <v>0</v>
      </c>
      <c r="O218" s="243">
        <f>L218-M218</f>
        <v>0</v>
      </c>
      <c r="P218" s="21" t="s">
        <v>311</v>
      </c>
      <c r="Q218" s="21"/>
    </row>
    <row r="219" spans="1:17" ht="15" customHeight="1" x14ac:dyDescent="0.25">
      <c r="A219" s="41"/>
      <c r="B219" s="40" t="s">
        <v>312</v>
      </c>
      <c r="C219" s="20">
        <v>1</v>
      </c>
      <c r="D219" s="27">
        <v>27610</v>
      </c>
      <c r="E219" s="22"/>
      <c r="F219" s="22">
        <f>100</f>
        <v>100</v>
      </c>
      <c r="G219" s="242">
        <f>(E219+F219)/D219/C219</f>
        <v>3.6218761E-3</v>
      </c>
      <c r="H219" s="242">
        <f>G219-J219</f>
        <v>3.6218761E-3</v>
      </c>
      <c r="I219" s="242"/>
      <c r="J219" s="242"/>
      <c r="K219" s="22">
        <v>50</v>
      </c>
      <c r="L219" s="243">
        <f>G219*K219</f>
        <v>0.18109</v>
      </c>
      <c r="M219" s="243">
        <f>H219*K219</f>
        <v>0.18109</v>
      </c>
      <c r="N219" s="243">
        <f>I219*K219</f>
        <v>0</v>
      </c>
      <c r="O219" s="243">
        <f>L219-M219</f>
        <v>0</v>
      </c>
      <c r="P219" s="21" t="s">
        <v>588</v>
      </c>
      <c r="Q219" s="21"/>
    </row>
    <row r="220" spans="1:17" ht="15" customHeight="1" x14ac:dyDescent="0.25">
      <c r="A220" s="41"/>
      <c r="B220" s="40" t="s">
        <v>587</v>
      </c>
      <c r="C220" s="20">
        <v>5</v>
      </c>
      <c r="D220" s="27">
        <v>27610</v>
      </c>
      <c r="E220" s="22"/>
      <c r="F220" s="22">
        <v>172</v>
      </c>
      <c r="G220" s="242">
        <f t="shared" si="58"/>
        <v>1.2459254000000001E-3</v>
      </c>
      <c r="H220" s="242">
        <f t="shared" si="59"/>
        <v>1.2459254000000001E-3</v>
      </c>
      <c r="I220" s="242"/>
      <c r="J220" s="242"/>
      <c r="K220" s="22">
        <v>400</v>
      </c>
      <c r="L220" s="243">
        <f t="shared" si="60"/>
        <v>0.49836999999999998</v>
      </c>
      <c r="M220" s="243">
        <f>H220*K220</f>
        <v>0.49836999999999998</v>
      </c>
      <c r="N220" s="243">
        <f>I220*K220</f>
        <v>0</v>
      </c>
      <c r="O220" s="243">
        <f>L220-M220</f>
        <v>0</v>
      </c>
      <c r="P220" s="21" t="s">
        <v>322</v>
      </c>
      <c r="Q220" s="21"/>
    </row>
    <row r="221" spans="1:17" ht="15" customHeight="1" x14ac:dyDescent="0.25">
      <c r="A221" s="41"/>
      <c r="B221" s="255" t="s">
        <v>313</v>
      </c>
      <c r="C221" s="257"/>
      <c r="D221" s="254">
        <v>142427</v>
      </c>
      <c r="E221" s="254"/>
      <c r="F221" s="254"/>
      <c r="G221" s="258"/>
      <c r="H221" s="258"/>
      <c r="I221" s="258"/>
      <c r="J221" s="258"/>
      <c r="K221" s="254"/>
      <c r="L221" s="256">
        <f>SUM(L222:L231)</f>
        <v>1.0147600000000001</v>
      </c>
      <c r="M221" s="256">
        <f>SUM(M222:M231)</f>
        <v>1.0147600000000001</v>
      </c>
      <c r="N221" s="256">
        <f>SUM(N222:N231)</f>
        <v>0</v>
      </c>
      <c r="O221" s="256">
        <f>SUM(O222:O231)</f>
        <v>0</v>
      </c>
      <c r="P221" s="21"/>
      <c r="Q221" s="21"/>
    </row>
    <row r="222" spans="1:17" ht="15" customHeight="1" x14ac:dyDescent="0.25">
      <c r="A222" s="41"/>
      <c r="B222" s="40" t="s">
        <v>314</v>
      </c>
      <c r="C222" s="26">
        <v>20</v>
      </c>
      <c r="D222" s="27">
        <v>142427</v>
      </c>
      <c r="E222" s="22"/>
      <c r="F222" s="22">
        <v>8</v>
      </c>
      <c r="G222" s="242">
        <f t="shared" si="58"/>
        <v>2.8084999999999999E-6</v>
      </c>
      <c r="H222" s="242">
        <f t="shared" si="59"/>
        <v>2.8084999999999999E-6</v>
      </c>
      <c r="I222" s="242"/>
      <c r="J222" s="242"/>
      <c r="K222" s="22">
        <v>25000</v>
      </c>
      <c r="L222" s="243">
        <f t="shared" si="60"/>
        <v>7.0209999999999995E-2</v>
      </c>
      <c r="M222" s="243">
        <f t="shared" ref="M222:M247" si="61">H222*K222</f>
        <v>7.0209999999999995E-2</v>
      </c>
      <c r="N222" s="243">
        <f t="shared" ref="N222:N247" si="62">I222*K222</f>
        <v>0</v>
      </c>
      <c r="O222" s="243">
        <f t="shared" ref="O222:O247" si="63">L222-M222</f>
        <v>0</v>
      </c>
      <c r="P222" s="21" t="s">
        <v>315</v>
      </c>
      <c r="Q222" s="21"/>
    </row>
    <row r="223" spans="1:17" ht="15" customHeight="1" x14ac:dyDescent="0.25">
      <c r="A223" s="41"/>
      <c r="B223" s="40" t="s">
        <v>317</v>
      </c>
      <c r="C223" s="26">
        <v>5</v>
      </c>
      <c r="D223" s="27">
        <v>142427</v>
      </c>
      <c r="E223" s="22"/>
      <c r="F223" s="22">
        <v>2</v>
      </c>
      <c r="G223" s="242">
        <f t="shared" si="58"/>
        <v>2.8084999999999999E-6</v>
      </c>
      <c r="H223" s="242">
        <f t="shared" si="59"/>
        <v>2.8084999999999999E-6</v>
      </c>
      <c r="I223" s="242"/>
      <c r="J223" s="242"/>
      <c r="K223" s="22">
        <v>6500</v>
      </c>
      <c r="L223" s="243">
        <f t="shared" si="60"/>
        <v>1.8259999999999998E-2</v>
      </c>
      <c r="M223" s="243">
        <f t="shared" si="61"/>
        <v>1.8259999999999998E-2</v>
      </c>
      <c r="N223" s="243">
        <f t="shared" si="62"/>
        <v>0</v>
      </c>
      <c r="O223" s="243">
        <f t="shared" si="63"/>
        <v>0</v>
      </c>
      <c r="P223" s="21" t="s">
        <v>316</v>
      </c>
      <c r="Q223" s="21"/>
    </row>
    <row r="224" spans="1:17" ht="15" customHeight="1" x14ac:dyDescent="0.25">
      <c r="A224" s="41"/>
      <c r="B224" s="40" t="s">
        <v>318</v>
      </c>
      <c r="C224" s="26">
        <v>10</v>
      </c>
      <c r="D224" s="27">
        <v>142427</v>
      </c>
      <c r="E224" s="22"/>
      <c r="F224" s="22">
        <v>2</v>
      </c>
      <c r="G224" s="242">
        <f t="shared" si="58"/>
        <v>1.4042E-6</v>
      </c>
      <c r="H224" s="242">
        <f t="shared" si="59"/>
        <v>1.4042E-6</v>
      </c>
      <c r="I224" s="242"/>
      <c r="J224" s="242"/>
      <c r="K224" s="22">
        <v>15000</v>
      </c>
      <c r="L224" s="243">
        <f t="shared" si="60"/>
        <v>2.1059999999999999E-2</v>
      </c>
      <c r="M224" s="243">
        <f t="shared" si="61"/>
        <v>2.1059999999999999E-2</v>
      </c>
      <c r="N224" s="243">
        <f t="shared" si="62"/>
        <v>0</v>
      </c>
      <c r="O224" s="243">
        <f t="shared" si="63"/>
        <v>0</v>
      </c>
      <c r="P224" s="21" t="s">
        <v>316</v>
      </c>
      <c r="Q224" s="21"/>
    </row>
    <row r="225" spans="1:17" ht="15" customHeight="1" x14ac:dyDescent="0.25">
      <c r="A225" s="41"/>
      <c r="B225" s="40" t="s">
        <v>319</v>
      </c>
      <c r="C225" s="26">
        <v>10</v>
      </c>
      <c r="D225" s="27">
        <v>142427</v>
      </c>
      <c r="E225" s="22"/>
      <c r="F225" s="22">
        <v>2</v>
      </c>
      <c r="G225" s="242">
        <f t="shared" si="58"/>
        <v>1.4042E-6</v>
      </c>
      <c r="H225" s="242">
        <f t="shared" si="59"/>
        <v>1.4042E-6</v>
      </c>
      <c r="I225" s="242"/>
      <c r="J225" s="242"/>
      <c r="K225" s="22">
        <v>25000</v>
      </c>
      <c r="L225" s="243">
        <f t="shared" si="60"/>
        <v>3.5110000000000002E-2</v>
      </c>
      <c r="M225" s="243">
        <f t="shared" si="61"/>
        <v>3.5110000000000002E-2</v>
      </c>
      <c r="N225" s="243">
        <f t="shared" si="62"/>
        <v>0</v>
      </c>
      <c r="O225" s="243">
        <f t="shared" si="63"/>
        <v>0</v>
      </c>
      <c r="P225" s="21" t="s">
        <v>316</v>
      </c>
      <c r="Q225" s="21"/>
    </row>
    <row r="226" spans="1:17" ht="15" customHeight="1" x14ac:dyDescent="0.25">
      <c r="A226" s="41"/>
      <c r="B226" s="40" t="s">
        <v>320</v>
      </c>
      <c r="C226" s="26">
        <v>10</v>
      </c>
      <c r="D226" s="27">
        <v>142427</v>
      </c>
      <c r="E226" s="22"/>
      <c r="F226" s="22">
        <v>20</v>
      </c>
      <c r="G226" s="242">
        <f t="shared" si="58"/>
        <v>1.4042299999999999E-5</v>
      </c>
      <c r="H226" s="242">
        <f t="shared" si="59"/>
        <v>1.4042299999999999E-5</v>
      </c>
      <c r="I226" s="242"/>
      <c r="J226" s="242"/>
      <c r="K226" s="22">
        <v>15000</v>
      </c>
      <c r="L226" s="243">
        <f t="shared" si="60"/>
        <v>0.21063000000000001</v>
      </c>
      <c r="M226" s="243">
        <f t="shared" si="61"/>
        <v>0.21063000000000001</v>
      </c>
      <c r="N226" s="243">
        <f t="shared" si="62"/>
        <v>0</v>
      </c>
      <c r="O226" s="243">
        <f t="shared" si="63"/>
        <v>0</v>
      </c>
      <c r="P226" s="21" t="s">
        <v>322</v>
      </c>
      <c r="Q226" s="21"/>
    </row>
    <row r="227" spans="1:17" ht="15" customHeight="1" x14ac:dyDescent="0.25">
      <c r="A227" s="41"/>
      <c r="B227" s="40" t="s">
        <v>321</v>
      </c>
      <c r="C227" s="26">
        <v>10</v>
      </c>
      <c r="D227" s="27">
        <v>142427</v>
      </c>
      <c r="E227" s="22"/>
      <c r="F227" s="22">
        <v>1</v>
      </c>
      <c r="G227" s="242">
        <f t="shared" si="58"/>
        <v>7.0210000000000002E-7</v>
      </c>
      <c r="H227" s="242">
        <f t="shared" si="59"/>
        <v>7.0210000000000002E-7</v>
      </c>
      <c r="I227" s="242"/>
      <c r="J227" s="242"/>
      <c r="K227" s="22">
        <v>30000</v>
      </c>
      <c r="L227" s="243">
        <f t="shared" si="60"/>
        <v>2.1059999999999999E-2</v>
      </c>
      <c r="M227" s="243">
        <f t="shared" si="61"/>
        <v>2.1059999999999999E-2</v>
      </c>
      <c r="N227" s="243">
        <f t="shared" si="62"/>
        <v>0</v>
      </c>
      <c r="O227" s="243">
        <f t="shared" si="63"/>
        <v>0</v>
      </c>
      <c r="P227" s="21" t="s">
        <v>315</v>
      </c>
      <c r="Q227" s="21"/>
    </row>
    <row r="228" spans="1:17" ht="15" customHeight="1" x14ac:dyDescent="0.25">
      <c r="A228" s="41"/>
      <c r="B228" s="40" t="s">
        <v>323</v>
      </c>
      <c r="C228" s="26">
        <v>10</v>
      </c>
      <c r="D228" s="27">
        <v>142427</v>
      </c>
      <c r="E228" s="22"/>
      <c r="F228" s="22">
        <v>5</v>
      </c>
      <c r="G228" s="242">
        <f t="shared" si="58"/>
        <v>3.5105999999999999E-6</v>
      </c>
      <c r="H228" s="242">
        <f t="shared" si="59"/>
        <v>3.5105999999999999E-6</v>
      </c>
      <c r="I228" s="242"/>
      <c r="J228" s="242"/>
      <c r="K228" s="22">
        <v>5000</v>
      </c>
      <c r="L228" s="243">
        <f t="shared" si="60"/>
        <v>1.755E-2</v>
      </c>
      <c r="M228" s="243">
        <f t="shared" si="61"/>
        <v>1.755E-2</v>
      </c>
      <c r="N228" s="243">
        <f t="shared" si="62"/>
        <v>0</v>
      </c>
      <c r="O228" s="243">
        <f t="shared" si="63"/>
        <v>0</v>
      </c>
      <c r="P228" s="21" t="s">
        <v>324</v>
      </c>
      <c r="Q228" s="21"/>
    </row>
    <row r="229" spans="1:17" ht="15" customHeight="1" x14ac:dyDescent="0.25">
      <c r="A229" s="41"/>
      <c r="B229" s="40" t="s">
        <v>325</v>
      </c>
      <c r="C229" s="26">
        <v>10</v>
      </c>
      <c r="D229" s="27">
        <v>142427</v>
      </c>
      <c r="E229" s="22"/>
      <c r="F229" s="22">
        <v>5</v>
      </c>
      <c r="G229" s="242">
        <f t="shared" si="58"/>
        <v>3.5105999999999999E-6</v>
      </c>
      <c r="H229" s="242">
        <f t="shared" si="59"/>
        <v>3.5105999999999999E-6</v>
      </c>
      <c r="I229" s="242"/>
      <c r="J229" s="242"/>
      <c r="K229" s="22">
        <v>2000</v>
      </c>
      <c r="L229" s="243">
        <f t="shared" si="60"/>
        <v>7.0200000000000002E-3</v>
      </c>
      <c r="M229" s="243">
        <f t="shared" si="61"/>
        <v>7.0200000000000002E-3</v>
      </c>
      <c r="N229" s="243">
        <f t="shared" si="62"/>
        <v>0</v>
      </c>
      <c r="O229" s="243">
        <f t="shared" si="63"/>
        <v>0</v>
      </c>
      <c r="P229" s="21" t="s">
        <v>324</v>
      </c>
      <c r="Q229" s="21"/>
    </row>
    <row r="230" spans="1:17" ht="15" customHeight="1" x14ac:dyDescent="0.25">
      <c r="A230" s="41"/>
      <c r="B230" s="40" t="s">
        <v>326</v>
      </c>
      <c r="C230" s="26">
        <v>10</v>
      </c>
      <c r="D230" s="27">
        <v>142427</v>
      </c>
      <c r="E230" s="22"/>
      <c r="F230" s="22">
        <v>5</v>
      </c>
      <c r="G230" s="242">
        <f>(E230+F230)/D230/C230</f>
        <v>3.5105999999999999E-6</v>
      </c>
      <c r="H230" s="242">
        <f>G230-J230</f>
        <v>3.5105999999999999E-6</v>
      </c>
      <c r="I230" s="242"/>
      <c r="J230" s="242"/>
      <c r="K230" s="22">
        <v>3500</v>
      </c>
      <c r="L230" s="243">
        <f>G230*K230</f>
        <v>1.2290000000000001E-2</v>
      </c>
      <c r="M230" s="243">
        <f>H230*K230</f>
        <v>1.2290000000000001E-2</v>
      </c>
      <c r="N230" s="243">
        <f>I230*K230</f>
        <v>0</v>
      </c>
      <c r="O230" s="243">
        <f>L230-M230</f>
        <v>0</v>
      </c>
      <c r="P230" s="21" t="s">
        <v>324</v>
      </c>
      <c r="Q230" s="21"/>
    </row>
    <row r="231" spans="1:17" ht="15" customHeight="1" x14ac:dyDescent="0.25">
      <c r="A231" s="41"/>
      <c r="B231" s="40" t="s">
        <v>587</v>
      </c>
      <c r="C231" s="26">
        <v>5</v>
      </c>
      <c r="D231" s="27">
        <v>142427</v>
      </c>
      <c r="E231" s="22"/>
      <c r="F231" s="22">
        <v>1071</v>
      </c>
      <c r="G231" s="242">
        <f>(E231+F231)/D231/C231</f>
        <v>1.5039283E-3</v>
      </c>
      <c r="H231" s="242">
        <f>G231-J231</f>
        <v>1.5039283E-3</v>
      </c>
      <c r="I231" s="242"/>
      <c r="J231" s="242"/>
      <c r="K231" s="22">
        <v>400</v>
      </c>
      <c r="L231" s="243">
        <f>G231*K231</f>
        <v>0.60157000000000005</v>
      </c>
      <c r="M231" s="243">
        <f>H231*K231</f>
        <v>0.60157000000000005</v>
      </c>
      <c r="N231" s="243">
        <f>I231*K231</f>
        <v>0</v>
      </c>
      <c r="O231" s="243">
        <f>L231-M231</f>
        <v>0</v>
      </c>
      <c r="P231" s="21" t="s">
        <v>322</v>
      </c>
      <c r="Q231" s="21"/>
    </row>
    <row r="232" spans="1:17" ht="22.5" customHeight="1" x14ac:dyDescent="0.25">
      <c r="A232" s="41"/>
      <c r="B232" s="255" t="s">
        <v>327</v>
      </c>
      <c r="C232" s="257"/>
      <c r="D232" s="254">
        <v>52606</v>
      </c>
      <c r="E232" s="254"/>
      <c r="F232" s="254"/>
      <c r="G232" s="258"/>
      <c r="H232" s="258"/>
      <c r="I232" s="258"/>
      <c r="J232" s="258"/>
      <c r="K232" s="254"/>
      <c r="L232" s="256">
        <f>SUM(L233:L239)</f>
        <v>0.78774999999999995</v>
      </c>
      <c r="M232" s="256">
        <f>SUM(M233:M239)</f>
        <v>0.78774999999999995</v>
      </c>
      <c r="N232" s="256">
        <f>SUM(N233:N239)</f>
        <v>0</v>
      </c>
      <c r="O232" s="256">
        <f>SUM(O233:O239)</f>
        <v>0</v>
      </c>
      <c r="P232" s="21"/>
      <c r="Q232" s="21"/>
    </row>
    <row r="233" spans="1:17" ht="15" customHeight="1" x14ac:dyDescent="0.25">
      <c r="A233" s="41"/>
      <c r="B233" s="40" t="s">
        <v>328</v>
      </c>
      <c r="C233" s="20">
        <v>2</v>
      </c>
      <c r="D233" s="27">
        <v>52606</v>
      </c>
      <c r="E233" s="22"/>
      <c r="F233" s="22">
        <v>4</v>
      </c>
      <c r="G233" s="242">
        <f t="shared" si="58"/>
        <v>3.8018500000000002E-5</v>
      </c>
      <c r="H233" s="242">
        <f t="shared" si="59"/>
        <v>3.8018500000000002E-5</v>
      </c>
      <c r="I233" s="242"/>
      <c r="J233" s="242"/>
      <c r="K233" s="22">
        <v>2500</v>
      </c>
      <c r="L233" s="243">
        <f t="shared" si="60"/>
        <v>9.5049999999999996E-2</v>
      </c>
      <c r="M233" s="243">
        <f t="shared" si="61"/>
        <v>9.5049999999999996E-2</v>
      </c>
      <c r="N233" s="243">
        <f t="shared" si="62"/>
        <v>0</v>
      </c>
      <c r="O233" s="243">
        <f t="shared" si="63"/>
        <v>0</v>
      </c>
      <c r="P233" s="21" t="s">
        <v>334</v>
      </c>
      <c r="Q233" s="21"/>
    </row>
    <row r="234" spans="1:17" ht="15" customHeight="1" x14ac:dyDescent="0.25">
      <c r="A234" s="41"/>
      <c r="B234" s="40" t="s">
        <v>329</v>
      </c>
      <c r="C234" s="20">
        <v>2</v>
      </c>
      <c r="D234" s="27">
        <v>52606</v>
      </c>
      <c r="E234" s="22"/>
      <c r="F234" s="22">
        <v>4</v>
      </c>
      <c r="G234" s="242">
        <f t="shared" si="58"/>
        <v>3.8018500000000002E-5</v>
      </c>
      <c r="H234" s="242">
        <f t="shared" si="59"/>
        <v>3.8018500000000002E-5</v>
      </c>
      <c r="I234" s="242"/>
      <c r="J234" s="242"/>
      <c r="K234" s="22">
        <v>1500</v>
      </c>
      <c r="L234" s="243">
        <f t="shared" si="60"/>
        <v>5.7029999999999997E-2</v>
      </c>
      <c r="M234" s="243">
        <f t="shared" si="61"/>
        <v>5.7029999999999997E-2</v>
      </c>
      <c r="N234" s="243">
        <f t="shared" si="62"/>
        <v>0</v>
      </c>
      <c r="O234" s="243">
        <f t="shared" si="63"/>
        <v>0</v>
      </c>
      <c r="P234" s="21" t="s">
        <v>334</v>
      </c>
      <c r="Q234" s="21"/>
    </row>
    <row r="235" spans="1:17" ht="15" customHeight="1" x14ac:dyDescent="0.25">
      <c r="A235" s="41"/>
      <c r="B235" s="40" t="s">
        <v>330</v>
      </c>
      <c r="C235" s="20">
        <v>2</v>
      </c>
      <c r="D235" s="27">
        <v>52606</v>
      </c>
      <c r="E235" s="22"/>
      <c r="F235" s="22">
        <v>4</v>
      </c>
      <c r="G235" s="242">
        <f t="shared" si="58"/>
        <v>3.8018500000000002E-5</v>
      </c>
      <c r="H235" s="242">
        <f t="shared" si="59"/>
        <v>3.8018500000000002E-5</v>
      </c>
      <c r="I235" s="242"/>
      <c r="J235" s="242"/>
      <c r="K235" s="22">
        <v>1000</v>
      </c>
      <c r="L235" s="243">
        <f t="shared" si="60"/>
        <v>3.8019999999999998E-2</v>
      </c>
      <c r="M235" s="243">
        <f t="shared" si="61"/>
        <v>3.8019999999999998E-2</v>
      </c>
      <c r="N235" s="243">
        <f t="shared" si="62"/>
        <v>0</v>
      </c>
      <c r="O235" s="243">
        <f t="shared" si="63"/>
        <v>0</v>
      </c>
      <c r="P235" s="21" t="s">
        <v>334</v>
      </c>
      <c r="Q235" s="21"/>
    </row>
    <row r="236" spans="1:17" ht="15" customHeight="1" x14ac:dyDescent="0.25">
      <c r="A236" s="41"/>
      <c r="B236" s="40" t="s">
        <v>331</v>
      </c>
      <c r="C236" s="20">
        <v>10</v>
      </c>
      <c r="D236" s="27">
        <v>52606</v>
      </c>
      <c r="E236" s="22"/>
      <c r="F236" s="22">
        <v>4</v>
      </c>
      <c r="G236" s="242">
        <f t="shared" si="58"/>
        <v>7.6036999999999997E-6</v>
      </c>
      <c r="H236" s="242">
        <f t="shared" si="59"/>
        <v>7.6036999999999997E-6</v>
      </c>
      <c r="I236" s="242"/>
      <c r="J236" s="242"/>
      <c r="K236" s="22">
        <v>3000</v>
      </c>
      <c r="L236" s="243">
        <f t="shared" si="60"/>
        <v>2.281E-2</v>
      </c>
      <c r="M236" s="243">
        <f t="shared" si="61"/>
        <v>2.281E-2</v>
      </c>
      <c r="N236" s="243">
        <f t="shared" si="62"/>
        <v>0</v>
      </c>
      <c r="O236" s="243">
        <f t="shared" si="63"/>
        <v>0</v>
      </c>
      <c r="P236" s="21" t="s">
        <v>334</v>
      </c>
      <c r="Q236" s="21"/>
    </row>
    <row r="237" spans="1:17" ht="15" customHeight="1" x14ac:dyDescent="0.25">
      <c r="A237" s="41"/>
      <c r="B237" s="40" t="s">
        <v>332</v>
      </c>
      <c r="C237" s="20">
        <v>2</v>
      </c>
      <c r="D237" s="27">
        <v>52606</v>
      </c>
      <c r="E237" s="22"/>
      <c r="F237" s="22">
        <v>4</v>
      </c>
      <c r="G237" s="242">
        <f t="shared" si="58"/>
        <v>3.8018500000000002E-5</v>
      </c>
      <c r="H237" s="242">
        <f t="shared" si="59"/>
        <v>3.8018500000000002E-5</v>
      </c>
      <c r="I237" s="242"/>
      <c r="J237" s="242"/>
      <c r="K237" s="22">
        <v>2000</v>
      </c>
      <c r="L237" s="243">
        <f t="shared" si="60"/>
        <v>7.6039999999999996E-2</v>
      </c>
      <c r="M237" s="243">
        <f t="shared" si="61"/>
        <v>7.6039999999999996E-2</v>
      </c>
      <c r="N237" s="243">
        <f t="shared" si="62"/>
        <v>0</v>
      </c>
      <c r="O237" s="243">
        <f t="shared" si="63"/>
        <v>0</v>
      </c>
      <c r="P237" s="21" t="s">
        <v>334</v>
      </c>
      <c r="Q237" s="21"/>
    </row>
    <row r="238" spans="1:17" ht="15" customHeight="1" x14ac:dyDescent="0.25">
      <c r="A238" s="41"/>
      <c r="B238" s="40" t="s">
        <v>333</v>
      </c>
      <c r="C238" s="20">
        <v>2</v>
      </c>
      <c r="D238" s="27">
        <v>52606</v>
      </c>
      <c r="E238" s="22"/>
      <c r="F238" s="22">
        <v>4</v>
      </c>
      <c r="G238" s="242">
        <f>(E238+F238)/D238/C238</f>
        <v>3.8018500000000002E-5</v>
      </c>
      <c r="H238" s="242">
        <f>G238-J238</f>
        <v>3.8018500000000002E-5</v>
      </c>
      <c r="I238" s="242"/>
      <c r="J238" s="242"/>
      <c r="K238" s="22">
        <v>1000</v>
      </c>
      <c r="L238" s="243">
        <f>G238*K238</f>
        <v>3.8019999999999998E-2</v>
      </c>
      <c r="M238" s="243">
        <f>H238*K238</f>
        <v>3.8019999999999998E-2</v>
      </c>
      <c r="N238" s="243">
        <f>I238*K238</f>
        <v>0</v>
      </c>
      <c r="O238" s="243">
        <f>L238-M238</f>
        <v>0</v>
      </c>
      <c r="P238" s="21" t="s">
        <v>334</v>
      </c>
      <c r="Q238" s="21"/>
    </row>
    <row r="239" spans="1:17" ht="15" customHeight="1" x14ac:dyDescent="0.25">
      <c r="A239" s="41"/>
      <c r="B239" s="40" t="s">
        <v>587</v>
      </c>
      <c r="C239" s="20">
        <v>5</v>
      </c>
      <c r="D239" s="27">
        <v>52606</v>
      </c>
      <c r="E239" s="22"/>
      <c r="F239" s="22">
        <v>303</v>
      </c>
      <c r="G239" s="242">
        <f>(E239+F239)/D239/C239</f>
        <v>1.1519599E-3</v>
      </c>
      <c r="H239" s="242">
        <f>G239-J239</f>
        <v>1.1519599E-3</v>
      </c>
      <c r="I239" s="242"/>
      <c r="J239" s="242"/>
      <c r="K239" s="22">
        <v>400</v>
      </c>
      <c r="L239" s="243">
        <f>G239*K239</f>
        <v>0.46078000000000002</v>
      </c>
      <c r="M239" s="243">
        <f>H239*K239</f>
        <v>0.46078000000000002</v>
      </c>
      <c r="N239" s="243">
        <f>I239*K239</f>
        <v>0</v>
      </c>
      <c r="O239" s="243">
        <f>L239-M239</f>
        <v>0</v>
      </c>
      <c r="P239" s="21" t="s">
        <v>322</v>
      </c>
      <c r="Q239" s="21"/>
    </row>
    <row r="240" spans="1:17" ht="15" customHeight="1" x14ac:dyDescent="0.25">
      <c r="A240" s="41"/>
      <c r="B240" s="255" t="s">
        <v>575</v>
      </c>
      <c r="C240" s="257"/>
      <c r="D240" s="254">
        <v>41652</v>
      </c>
      <c r="E240" s="254"/>
      <c r="F240" s="254"/>
      <c r="G240" s="258"/>
      <c r="H240" s="258"/>
      <c r="I240" s="258"/>
      <c r="J240" s="258"/>
      <c r="K240" s="254"/>
      <c r="L240" s="256">
        <f>SUM(L241:L242)</f>
        <v>0.61126000000000003</v>
      </c>
      <c r="M240" s="256">
        <f>SUM(M241:M242)</f>
        <v>0.61126000000000003</v>
      </c>
      <c r="N240" s="256">
        <f>SUM(N241:N242)</f>
        <v>0</v>
      </c>
      <c r="O240" s="256">
        <f>SUM(O241:O242)</f>
        <v>0</v>
      </c>
      <c r="P240" s="21"/>
      <c r="Q240" s="21"/>
    </row>
    <row r="241" spans="1:17" ht="15" customHeight="1" x14ac:dyDescent="0.25">
      <c r="A241" s="41"/>
      <c r="B241" s="40" t="s">
        <v>576</v>
      </c>
      <c r="C241" s="26">
        <v>10</v>
      </c>
      <c r="D241" s="27">
        <v>41652</v>
      </c>
      <c r="E241" s="22"/>
      <c r="F241" s="22">
        <v>1</v>
      </c>
      <c r="G241" s="242">
        <f>(E241+F241)/D241/C241</f>
        <v>2.4008E-6</v>
      </c>
      <c r="H241" s="242">
        <f>G241-J241</f>
        <v>2.4008E-6</v>
      </c>
      <c r="I241" s="242"/>
      <c r="J241" s="242"/>
      <c r="K241" s="22">
        <v>9800</v>
      </c>
      <c r="L241" s="243">
        <f>G241*K241</f>
        <v>2.3529999999999999E-2</v>
      </c>
      <c r="M241" s="243">
        <f>H241*K241</f>
        <v>2.3529999999999999E-2</v>
      </c>
      <c r="N241" s="243">
        <f>I241*K241</f>
        <v>0</v>
      </c>
      <c r="O241" s="243">
        <f>L241-M241</f>
        <v>0</v>
      </c>
      <c r="P241" s="21" t="s">
        <v>315</v>
      </c>
      <c r="Q241" s="21"/>
    </row>
    <row r="242" spans="1:17" ht="15" customHeight="1" x14ac:dyDescent="0.25">
      <c r="A242" s="41"/>
      <c r="B242" s="40" t="s">
        <v>587</v>
      </c>
      <c r="C242" s="26">
        <v>5</v>
      </c>
      <c r="D242" s="27">
        <v>41652</v>
      </c>
      <c r="E242" s="22"/>
      <c r="F242" s="22">
        <v>306</v>
      </c>
      <c r="G242" s="242">
        <f>(E242+F242)/D242/C242</f>
        <v>1.4693172E-3</v>
      </c>
      <c r="H242" s="242">
        <f>G242-J242</f>
        <v>1.4693172E-3</v>
      </c>
      <c r="I242" s="242"/>
      <c r="J242" s="242"/>
      <c r="K242" s="22">
        <v>400</v>
      </c>
      <c r="L242" s="243">
        <f>G242*K242</f>
        <v>0.58772999999999997</v>
      </c>
      <c r="M242" s="243">
        <f>H242*K242</f>
        <v>0.58772999999999997</v>
      </c>
      <c r="N242" s="243">
        <f>I242*K242</f>
        <v>0</v>
      </c>
      <c r="O242" s="243">
        <f>L242-M242</f>
        <v>0</v>
      </c>
      <c r="P242" s="21" t="s">
        <v>322</v>
      </c>
      <c r="Q242" s="21"/>
    </row>
    <row r="243" spans="1:17" ht="15" customHeight="1" x14ac:dyDescent="0.25">
      <c r="A243" s="41"/>
      <c r="B243" s="255" t="s">
        <v>577</v>
      </c>
      <c r="C243" s="257"/>
      <c r="D243" s="254">
        <v>59052</v>
      </c>
      <c r="E243" s="254"/>
      <c r="F243" s="254"/>
      <c r="G243" s="258"/>
      <c r="H243" s="258"/>
      <c r="I243" s="258"/>
      <c r="J243" s="258"/>
      <c r="K243" s="254"/>
      <c r="L243" s="256">
        <f>SUM(L244:L244)</f>
        <v>0.10161000000000001</v>
      </c>
      <c r="M243" s="256">
        <f>SUM(M244:M244)</f>
        <v>0.10161000000000001</v>
      </c>
      <c r="N243" s="256">
        <f>SUM(N244:N244)</f>
        <v>0</v>
      </c>
      <c r="O243" s="256">
        <f>SUM(O244:O244)</f>
        <v>0</v>
      </c>
      <c r="P243" s="21"/>
      <c r="Q243" s="21"/>
    </row>
    <row r="244" spans="1:17" ht="15" customHeight="1" x14ac:dyDescent="0.25">
      <c r="A244" s="41"/>
      <c r="B244" s="40" t="s">
        <v>589</v>
      </c>
      <c r="C244" s="20">
        <v>10</v>
      </c>
      <c r="D244" s="27">
        <v>59052</v>
      </c>
      <c r="E244" s="22"/>
      <c r="F244" s="22">
        <v>3</v>
      </c>
      <c r="G244" s="242">
        <f>(E244+F244)/D244/C244</f>
        <v>5.0803000000000003E-6</v>
      </c>
      <c r="H244" s="242">
        <f>G244-J244</f>
        <v>5.0803000000000003E-6</v>
      </c>
      <c r="I244" s="242"/>
      <c r="J244" s="242"/>
      <c r="K244" s="22">
        <v>20000</v>
      </c>
      <c r="L244" s="243">
        <f>G244*K244</f>
        <v>0.10161000000000001</v>
      </c>
      <c r="M244" s="243">
        <f>H244*K244</f>
        <v>0.10161000000000001</v>
      </c>
      <c r="N244" s="243">
        <f>I244*K244</f>
        <v>0</v>
      </c>
      <c r="O244" s="243">
        <f>L244-M244</f>
        <v>0</v>
      </c>
      <c r="P244" s="21" t="s">
        <v>586</v>
      </c>
      <c r="Q244" s="21"/>
    </row>
    <row r="245" spans="1:17" ht="15" customHeight="1" x14ac:dyDescent="0.25">
      <c r="A245" s="41"/>
      <c r="B245" s="40" t="s">
        <v>587</v>
      </c>
      <c r="C245" s="20">
        <v>5</v>
      </c>
      <c r="D245" s="27">
        <v>59052</v>
      </c>
      <c r="E245" s="22"/>
      <c r="F245" s="22">
        <v>311</v>
      </c>
      <c r="G245" s="242">
        <f>(E245+F245)/D245/C245</f>
        <v>1.0533089000000001E-3</v>
      </c>
      <c r="H245" s="242">
        <f>G245-J245</f>
        <v>1.0533089000000001E-3</v>
      </c>
      <c r="I245" s="242"/>
      <c r="J245" s="242"/>
      <c r="K245" s="22">
        <v>400</v>
      </c>
      <c r="L245" s="243">
        <f>G245*K245</f>
        <v>0.42131999999999997</v>
      </c>
      <c r="M245" s="243">
        <f>H245*K245</f>
        <v>0.42131999999999997</v>
      </c>
      <c r="N245" s="243">
        <f>I245*K245</f>
        <v>0</v>
      </c>
      <c r="O245" s="243">
        <f>L245-M245</f>
        <v>0</v>
      </c>
      <c r="P245" s="21" t="s">
        <v>322</v>
      </c>
      <c r="Q245" s="21"/>
    </row>
    <row r="246" spans="1:17" ht="15" customHeight="1" x14ac:dyDescent="0.25">
      <c r="A246" s="41"/>
      <c r="B246" s="255" t="s">
        <v>585</v>
      </c>
      <c r="C246" s="257"/>
      <c r="D246" s="254">
        <v>114245</v>
      </c>
      <c r="E246" s="254"/>
      <c r="F246" s="254"/>
      <c r="G246" s="258"/>
      <c r="H246" s="258"/>
      <c r="I246" s="258"/>
      <c r="J246" s="258"/>
      <c r="K246" s="254"/>
      <c r="L246" s="256">
        <f>SUM(L247:L247)</f>
        <v>3.9390000000000001E-2</v>
      </c>
      <c r="M246" s="256">
        <f>SUM(M247:M247)</f>
        <v>3.9390000000000001E-2</v>
      </c>
      <c r="N246" s="256">
        <f>SUM(N247:N247)</f>
        <v>0</v>
      </c>
      <c r="O246" s="256">
        <f>SUM(O247:O247)</f>
        <v>0</v>
      </c>
      <c r="P246" s="21"/>
      <c r="Q246" s="21"/>
    </row>
    <row r="247" spans="1:17" ht="15" customHeight="1" x14ac:dyDescent="0.25">
      <c r="A247" s="41"/>
      <c r="B247" s="40" t="s">
        <v>590</v>
      </c>
      <c r="C247" s="20">
        <v>10</v>
      </c>
      <c r="D247" s="27">
        <v>114245</v>
      </c>
      <c r="E247" s="22"/>
      <c r="F247" s="22">
        <v>3</v>
      </c>
      <c r="G247" s="242">
        <f t="shared" si="58"/>
        <v>2.6259000000000001E-6</v>
      </c>
      <c r="H247" s="242">
        <f t="shared" si="59"/>
        <v>2.6259000000000001E-6</v>
      </c>
      <c r="I247" s="242"/>
      <c r="J247" s="242"/>
      <c r="K247" s="22">
        <v>15000</v>
      </c>
      <c r="L247" s="243">
        <f t="shared" si="60"/>
        <v>3.9390000000000001E-2</v>
      </c>
      <c r="M247" s="243">
        <f t="shared" si="61"/>
        <v>3.9390000000000001E-2</v>
      </c>
      <c r="N247" s="243">
        <f t="shared" si="62"/>
        <v>0</v>
      </c>
      <c r="O247" s="243">
        <f t="shared" si="63"/>
        <v>0</v>
      </c>
      <c r="P247" s="21" t="s">
        <v>586</v>
      </c>
      <c r="Q247" s="21"/>
    </row>
    <row r="248" spans="1:17" ht="15" customHeight="1" x14ac:dyDescent="0.25">
      <c r="A248" s="41"/>
      <c r="B248" s="40" t="s">
        <v>587</v>
      </c>
      <c r="C248" s="20">
        <v>5</v>
      </c>
      <c r="D248" s="27">
        <v>114245</v>
      </c>
      <c r="E248" s="22"/>
      <c r="F248" s="22">
        <v>561</v>
      </c>
      <c r="G248" s="242">
        <f t="shared" si="58"/>
        <v>9.8209990000000004E-4</v>
      </c>
      <c r="H248" s="242">
        <f t="shared" si="59"/>
        <v>9.8209990000000004E-4</v>
      </c>
      <c r="I248" s="242"/>
      <c r="J248" s="242"/>
      <c r="K248" s="22">
        <v>400</v>
      </c>
      <c r="L248" s="243">
        <f t="shared" si="60"/>
        <v>0.39284000000000002</v>
      </c>
      <c r="M248" s="243">
        <f>H248*K248</f>
        <v>0.39284000000000002</v>
      </c>
      <c r="N248" s="243">
        <f>I248*K248</f>
        <v>0</v>
      </c>
      <c r="O248" s="243">
        <f>L248-M248</f>
        <v>0</v>
      </c>
      <c r="P248" s="21" t="s">
        <v>322</v>
      </c>
      <c r="Q248" s="21"/>
    </row>
    <row r="249" spans="1:17" ht="15" customHeight="1" x14ac:dyDescent="0.25">
      <c r="A249" s="41" t="s">
        <v>240</v>
      </c>
      <c r="B249" s="390" t="s">
        <v>229</v>
      </c>
      <c r="C249" s="35"/>
      <c r="D249" s="36"/>
      <c r="E249" s="36"/>
      <c r="F249" s="36"/>
      <c r="G249" s="37"/>
      <c r="H249" s="37"/>
      <c r="I249" s="37"/>
      <c r="J249" s="37"/>
      <c r="K249" s="35"/>
      <c r="L249" s="244">
        <f>L215+L221+L232+L240+L243+L246</f>
        <v>3.87168</v>
      </c>
      <c r="M249" s="244">
        <f>M215+M221+M232+M240+M243+M246</f>
        <v>3.87168</v>
      </c>
      <c r="N249" s="244">
        <f>N215+N221+N232+N240+N243+N246</f>
        <v>0</v>
      </c>
      <c r="O249" s="244">
        <f>O215+O221+O232+O240+O243+O246</f>
        <v>0</v>
      </c>
      <c r="P249" s="35" t="s">
        <v>815</v>
      </c>
      <c r="Q249" s="21"/>
    </row>
    <row r="251" spans="1:17" x14ac:dyDescent="0.25">
      <c r="A251" s="46"/>
      <c r="B251" s="48" t="s">
        <v>228</v>
      </c>
      <c r="C251" s="49"/>
      <c r="D251" s="50"/>
      <c r="E251" s="50"/>
      <c r="F251" s="50"/>
      <c r="G251" s="51"/>
      <c r="H251" s="51"/>
      <c r="I251" s="51"/>
      <c r="J251" s="51"/>
      <c r="K251" s="50"/>
      <c r="L251" s="52">
        <f>L21+L66+L87+L103+L116+L128+L139+L145+L160+L173+L176+L179+L183+L192+L196+L201+L206+L213</f>
        <v>8.6300000000000008</v>
      </c>
      <c r="M251" s="52">
        <f>M21+M66+M87+M103+M116+M128+M139+M145+M160+M173+M176+M179+M183+M192+M196+M201+M206+M213</f>
        <v>3.38</v>
      </c>
      <c r="N251" s="52">
        <f>N21+N66+N87+N103+N116+N128+N139+N145+N160+N173+N176+N179+N183+N192+N196+N201+N206+N213</f>
        <v>1.1499999999999999</v>
      </c>
      <c r="O251" s="52">
        <f>O21+O66+O87+O103+O116+O128+O139+O145+O160+O173+O176+O179+O183+O192+O196+O201+O206+O213</f>
        <v>5.25</v>
      </c>
      <c r="P251" s="49"/>
      <c r="Q251" s="47"/>
    </row>
    <row r="252" spans="1:17" x14ac:dyDescent="0.25">
      <c r="L252" s="252"/>
    </row>
    <row r="253" spans="1:17" x14ac:dyDescent="0.25">
      <c r="A253" s="1" t="s">
        <v>283</v>
      </c>
    </row>
    <row r="254" spans="1:17" x14ac:dyDescent="0.25">
      <c r="A254" s="41" t="s">
        <v>261</v>
      </c>
      <c r="B254" s="39" t="s">
        <v>229</v>
      </c>
      <c r="C254" s="1176" t="s">
        <v>290</v>
      </c>
      <c r="D254" s="1177"/>
      <c r="E254" s="1177"/>
      <c r="F254" s="1177"/>
      <c r="G254" s="1177"/>
      <c r="H254" s="1177"/>
      <c r="I254" s="1177"/>
      <c r="J254" s="1177"/>
      <c r="K254" s="1178"/>
      <c r="L254" s="72">
        <v>0</v>
      </c>
      <c r="M254" s="72">
        <v>0</v>
      </c>
      <c r="N254" s="72">
        <v>0</v>
      </c>
      <c r="O254" s="72">
        <v>0</v>
      </c>
      <c r="P254" s="35" t="s">
        <v>264</v>
      </c>
      <c r="Q254" s="21"/>
    </row>
    <row r="255" spans="1:17" ht="26.25" customHeight="1" x14ac:dyDescent="0.25">
      <c r="A255" s="41" t="s">
        <v>240</v>
      </c>
      <c r="B255" s="39" t="s">
        <v>229</v>
      </c>
      <c r="C255" s="1176" t="s">
        <v>338</v>
      </c>
      <c r="D255" s="1177"/>
      <c r="E255" s="1177"/>
      <c r="F255" s="1177"/>
      <c r="G255" s="1177"/>
      <c r="H255" s="1177"/>
      <c r="I255" s="1177"/>
      <c r="J255" s="1177"/>
      <c r="K255" s="1178"/>
      <c r="L255" s="38">
        <f>L22+L67</f>
        <v>0.91</v>
      </c>
      <c r="M255" s="38">
        <f>M22+M67</f>
        <v>0</v>
      </c>
      <c r="N255" s="38">
        <f>N22+N67</f>
        <v>0.91</v>
      </c>
      <c r="O255" s="38">
        <f>O22+O67</f>
        <v>0</v>
      </c>
      <c r="P255" s="35"/>
      <c r="Q255" s="21"/>
    </row>
    <row r="256" spans="1:17" x14ac:dyDescent="0.25">
      <c r="A256" s="41" t="s">
        <v>241</v>
      </c>
      <c r="B256" s="39" t="s">
        <v>229</v>
      </c>
      <c r="C256" s="1176" t="s">
        <v>339</v>
      </c>
      <c r="D256" s="1177"/>
      <c r="E256" s="1177"/>
      <c r="F256" s="1177"/>
      <c r="G256" s="1177"/>
      <c r="H256" s="1177"/>
      <c r="I256" s="1177"/>
      <c r="J256" s="1177"/>
      <c r="K256" s="1178"/>
      <c r="L256" s="38">
        <f>L23+L68+L87+L129+L161+L173+L202+L206+L213</f>
        <v>2.2200000000000002</v>
      </c>
      <c r="M256" s="38">
        <f>M23+M68+M87+M129+M161+M173+M202+M206+M213</f>
        <v>1.99</v>
      </c>
      <c r="N256" s="38">
        <f>N23+N68+N87+N129+N161+N173+N202+N206+N213</f>
        <v>0.23</v>
      </c>
      <c r="O256" s="38">
        <f>O23+O68+O87+O129+O161+O173+O202+O206+O213</f>
        <v>0</v>
      </c>
      <c r="P256" s="35"/>
      <c r="Q256" s="21"/>
    </row>
    <row r="257" spans="1:17" x14ac:dyDescent="0.25">
      <c r="A257" s="41" t="s">
        <v>263</v>
      </c>
      <c r="B257" s="39" t="s">
        <v>229</v>
      </c>
      <c r="C257" s="1176" t="s">
        <v>12</v>
      </c>
      <c r="D257" s="1177"/>
      <c r="E257" s="1177"/>
      <c r="F257" s="1177"/>
      <c r="G257" s="1177"/>
      <c r="H257" s="1177"/>
      <c r="I257" s="1177"/>
      <c r="J257" s="1177"/>
      <c r="K257" s="1178"/>
      <c r="L257" s="72">
        <v>0</v>
      </c>
      <c r="M257" s="72">
        <v>0</v>
      </c>
      <c r="N257" s="72">
        <v>0</v>
      </c>
      <c r="O257" s="72">
        <v>0</v>
      </c>
      <c r="P257" s="35" t="s">
        <v>264</v>
      </c>
      <c r="Q257" s="21"/>
    </row>
    <row r="258" spans="1:17" x14ac:dyDescent="0.25">
      <c r="A258" s="41" t="s">
        <v>257</v>
      </c>
      <c r="B258" s="39" t="s">
        <v>229</v>
      </c>
      <c r="C258" s="1176" t="s">
        <v>14</v>
      </c>
      <c r="D258" s="1177"/>
      <c r="E258" s="1177"/>
      <c r="F258" s="1177"/>
      <c r="G258" s="1177"/>
      <c r="H258" s="1177"/>
      <c r="I258" s="1177"/>
      <c r="J258" s="1177"/>
      <c r="K258" s="1178"/>
      <c r="L258" s="253">
        <f>L145+L176</f>
        <v>0.96</v>
      </c>
      <c r="M258" s="253">
        <f>M145+M176</f>
        <v>0</v>
      </c>
      <c r="N258" s="253">
        <f>N145+N176</f>
        <v>0</v>
      </c>
      <c r="O258" s="253">
        <f>O145+O176</f>
        <v>0.96</v>
      </c>
      <c r="P258" s="35"/>
      <c r="Q258" s="21"/>
    </row>
    <row r="259" spans="1:17" ht="24" customHeight="1" x14ac:dyDescent="0.25">
      <c r="A259" s="41" t="s">
        <v>258</v>
      </c>
      <c r="B259" s="39" t="s">
        <v>229</v>
      </c>
      <c r="C259" s="1176" t="s">
        <v>16</v>
      </c>
      <c r="D259" s="1177"/>
      <c r="E259" s="1177"/>
      <c r="F259" s="1177"/>
      <c r="G259" s="1177"/>
      <c r="H259" s="1177"/>
      <c r="I259" s="1177"/>
      <c r="J259" s="1177"/>
      <c r="K259" s="1178"/>
      <c r="L259" s="38">
        <f>L104+L162+L183+L192</f>
        <v>1.52</v>
      </c>
      <c r="M259" s="38">
        <f>M104+M162+M183+M192</f>
        <v>0</v>
      </c>
      <c r="N259" s="38">
        <f>N104+N162+N183+N192</f>
        <v>0</v>
      </c>
      <c r="O259" s="38">
        <f>O104+O162+O183+O192</f>
        <v>1.52</v>
      </c>
      <c r="P259" s="35"/>
      <c r="Q259" s="21"/>
    </row>
    <row r="260" spans="1:17" x14ac:dyDescent="0.25">
      <c r="A260" s="41" t="s">
        <v>256</v>
      </c>
      <c r="B260" s="39" t="s">
        <v>229</v>
      </c>
      <c r="C260" s="1176" t="s">
        <v>18</v>
      </c>
      <c r="D260" s="1177"/>
      <c r="E260" s="1177"/>
      <c r="F260" s="1177"/>
      <c r="G260" s="1177"/>
      <c r="H260" s="1177"/>
      <c r="I260" s="1177"/>
      <c r="J260" s="1177"/>
      <c r="K260" s="1178"/>
      <c r="L260" s="38">
        <f>L139</f>
        <v>0.24</v>
      </c>
      <c r="M260" s="38">
        <f>M139</f>
        <v>0.24</v>
      </c>
      <c r="N260" s="38">
        <f>N139</f>
        <v>0</v>
      </c>
      <c r="O260" s="38">
        <f>O139</f>
        <v>0</v>
      </c>
      <c r="P260" s="35"/>
      <c r="Q260" s="21"/>
    </row>
    <row r="261" spans="1:17" x14ac:dyDescent="0.25">
      <c r="A261" s="41" t="s">
        <v>262</v>
      </c>
      <c r="B261" s="39" t="s">
        <v>229</v>
      </c>
      <c r="C261" s="1176" t="s">
        <v>20</v>
      </c>
      <c r="D261" s="1177"/>
      <c r="E261" s="1177"/>
      <c r="F261" s="1177"/>
      <c r="G261" s="1177"/>
      <c r="H261" s="1177"/>
      <c r="I261" s="1177"/>
      <c r="J261" s="1177"/>
      <c r="K261" s="1178"/>
      <c r="L261" s="72">
        <f>L203</f>
        <v>0</v>
      </c>
      <c r="M261" s="72">
        <f>M203</f>
        <v>0</v>
      </c>
      <c r="N261" s="72">
        <f>N203</f>
        <v>0</v>
      </c>
      <c r="O261" s="72">
        <f>O203</f>
        <v>0</v>
      </c>
      <c r="P261" s="35" t="s">
        <v>266</v>
      </c>
      <c r="Q261" s="21"/>
    </row>
    <row r="262" spans="1:17" ht="26.25" customHeight="1" x14ac:dyDescent="0.25">
      <c r="A262" s="41" t="s">
        <v>260</v>
      </c>
      <c r="B262" s="39" t="s">
        <v>229</v>
      </c>
      <c r="C262" s="1176" t="s">
        <v>24</v>
      </c>
      <c r="D262" s="1177"/>
      <c r="E262" s="1177"/>
      <c r="F262" s="1177"/>
      <c r="G262" s="1177"/>
      <c r="H262" s="1177"/>
      <c r="I262" s="1177"/>
      <c r="J262" s="1177"/>
      <c r="K262" s="1178"/>
      <c r="L262" s="72">
        <v>0</v>
      </c>
      <c r="M262" s="72">
        <v>0</v>
      </c>
      <c r="N262" s="72">
        <v>0</v>
      </c>
      <c r="O262" s="72">
        <v>0</v>
      </c>
      <c r="P262" s="35" t="s">
        <v>264</v>
      </c>
      <c r="Q262" s="21"/>
    </row>
    <row r="263" spans="1:17" x14ac:dyDescent="0.25">
      <c r="A263" s="41" t="s">
        <v>243</v>
      </c>
      <c r="B263" s="39" t="s">
        <v>229</v>
      </c>
      <c r="C263" s="1176" t="s">
        <v>23</v>
      </c>
      <c r="D263" s="1177"/>
      <c r="E263" s="1177"/>
      <c r="F263" s="1177"/>
      <c r="G263" s="1177"/>
      <c r="H263" s="1177"/>
      <c r="I263" s="1177"/>
      <c r="J263" s="1177"/>
      <c r="K263" s="1178"/>
      <c r="L263" s="38">
        <f>L105+L116+L130+L179+L196</f>
        <v>2.77</v>
      </c>
      <c r="M263" s="38">
        <f>M105+M116+M130+M179+M196</f>
        <v>0</v>
      </c>
      <c r="N263" s="38">
        <f>N105+N116+N130+N179+N196</f>
        <v>0</v>
      </c>
      <c r="O263" s="38">
        <f>O105+O116+O130+O179+O196</f>
        <v>2.77</v>
      </c>
      <c r="P263" s="35"/>
      <c r="Q263" s="21"/>
    </row>
    <row r="264" spans="1:17" x14ac:dyDescent="0.25">
      <c r="A264" s="42"/>
      <c r="B264" s="54" t="s">
        <v>228</v>
      </c>
      <c r="C264" s="55"/>
      <c r="D264" s="56"/>
      <c r="E264" s="56"/>
      <c r="F264" s="56"/>
      <c r="G264" s="57"/>
      <c r="H264" s="57"/>
      <c r="I264" s="57"/>
      <c r="J264" s="57"/>
      <c r="K264" s="56"/>
      <c r="L264" s="73">
        <f>SUM(L254:L263)</f>
        <v>8.6199999999999992</v>
      </c>
      <c r="M264" s="73">
        <f>SUM(M254:M263)</f>
        <v>2.23</v>
      </c>
      <c r="N264" s="73">
        <f>SUM(N254:N263)</f>
        <v>1.1399999999999999</v>
      </c>
      <c r="O264" s="73">
        <f>SUM(O254:O263)</f>
        <v>5.25</v>
      </c>
      <c r="P264" s="55"/>
      <c r="Q264" s="43"/>
    </row>
    <row r="266" spans="1:17" x14ac:dyDescent="0.25">
      <c r="B266" s="1" t="s">
        <v>489</v>
      </c>
      <c r="I266" s="1" t="s">
        <v>274</v>
      </c>
      <c r="Q266" s="1"/>
    </row>
  </sheetData>
  <mergeCells count="46">
    <mergeCell ref="B2:P2"/>
    <mergeCell ref="B3:P3"/>
    <mergeCell ref="B4:P4"/>
    <mergeCell ref="B5:P5"/>
    <mergeCell ref="A6:A7"/>
    <mergeCell ref="B6:B7"/>
    <mergeCell ref="C6:C7"/>
    <mergeCell ref="D6:D7"/>
    <mergeCell ref="E6:F6"/>
    <mergeCell ref="G6:G7"/>
    <mergeCell ref="H6:J6"/>
    <mergeCell ref="K6:K7"/>
    <mergeCell ref="L6:L7"/>
    <mergeCell ref="M6:O6"/>
    <mergeCell ref="P6:P7"/>
    <mergeCell ref="Q6:Q7"/>
    <mergeCell ref="C9:O9"/>
    <mergeCell ref="B18:P18"/>
    <mergeCell ref="B24:P24"/>
    <mergeCell ref="B69:P69"/>
    <mergeCell ref="B88:P88"/>
    <mergeCell ref="B106:P106"/>
    <mergeCell ref="B117:P117"/>
    <mergeCell ref="B131:P131"/>
    <mergeCell ref="B140:P140"/>
    <mergeCell ref="B146:P146"/>
    <mergeCell ref="B163:P163"/>
    <mergeCell ref="B174:P174"/>
    <mergeCell ref="B177:P177"/>
    <mergeCell ref="B180:P180"/>
    <mergeCell ref="B184:P184"/>
    <mergeCell ref="B193:P193"/>
    <mergeCell ref="B197:P197"/>
    <mergeCell ref="B204:P204"/>
    <mergeCell ref="B207:P207"/>
    <mergeCell ref="B214:P214"/>
    <mergeCell ref="C254:K254"/>
    <mergeCell ref="C255:K255"/>
    <mergeCell ref="C256:K256"/>
    <mergeCell ref="C257:K257"/>
    <mergeCell ref="C263:K263"/>
    <mergeCell ref="C258:K258"/>
    <mergeCell ref="C259:K259"/>
    <mergeCell ref="C260:K260"/>
    <mergeCell ref="C261:K261"/>
    <mergeCell ref="C262:K262"/>
  </mergeCells>
  <pageMargins left="0.70866141732283472" right="0.11811023622047245" top="0.15748031496062992" bottom="0.15748031496062992" header="0.11811023622047245" footer="0.11811023622047245"/>
  <pageSetup paperSize="9" scale="65" fitToHeight="0" orientation="landscape" horizontalDpi="180" verticalDpi="180" r:id="rId1"/>
  <rowBreaks count="1" manualBreakCount="1">
    <brk id="181" max="16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3094C-7370-47EE-9A97-863B5B162FA1}">
  <sheetPr>
    <tabColor rgb="FF92D050"/>
  </sheetPr>
  <dimension ref="A2:AD83"/>
  <sheetViews>
    <sheetView workbookViewId="0">
      <pane xSplit="2" ySplit="4" topLeftCell="C23" activePane="bottomRight" state="frozen"/>
      <selection pane="topRight" activeCell="C1" sqref="C1"/>
      <selection pane="bottomLeft" activeCell="A5" sqref="A5"/>
      <selection pane="bottomRight" activeCell="R31" sqref="R31"/>
    </sheetView>
  </sheetViews>
  <sheetFormatPr defaultRowHeight="15.75" x14ac:dyDescent="0.25"/>
  <cols>
    <col min="1" max="1" width="13.140625" style="770" customWidth="1"/>
    <col min="2" max="2" width="34" style="770" customWidth="1"/>
    <col min="3" max="3" width="12.140625" style="770" customWidth="1"/>
    <col min="4" max="11" width="9.28515625" style="770" customWidth="1"/>
    <col min="12" max="13" width="9.28515625" style="769" customWidth="1"/>
    <col min="14" max="19" width="9.28515625" style="770" customWidth="1"/>
    <col min="20" max="20" width="9.28515625" style="769" customWidth="1"/>
    <col min="21" max="21" width="10.7109375" style="769" bestFit="1" customWidth="1"/>
    <col min="22" max="24" width="9.28515625" style="770" customWidth="1"/>
    <col min="25" max="25" width="9.140625" style="770"/>
    <col min="26" max="26" width="10.7109375" style="769" bestFit="1" customWidth="1"/>
    <col min="27" max="27" width="9.28515625" style="769" customWidth="1"/>
    <col min="28" max="30" width="9.28515625" style="770" customWidth="1"/>
    <col min="31" max="16384" width="9.140625" style="770"/>
  </cols>
  <sheetData>
    <row r="2" spans="1:30" x14ac:dyDescent="0.25">
      <c r="A2" s="769" t="s">
        <v>1163</v>
      </c>
    </row>
    <row r="3" spans="1:30" ht="51" customHeight="1" x14ac:dyDescent="0.25">
      <c r="A3" s="1197" t="s">
        <v>1164</v>
      </c>
      <c r="B3" s="1198"/>
      <c r="C3" s="1201" t="s">
        <v>1165</v>
      </c>
      <c r="D3" s="1203" t="s">
        <v>1166</v>
      </c>
      <c r="E3" s="1204"/>
      <c r="F3" s="1204"/>
      <c r="G3" s="1204"/>
      <c r="H3" s="1203" t="s">
        <v>1167</v>
      </c>
      <c r="I3" s="1204"/>
      <c r="J3" s="1204"/>
      <c r="K3" s="1205"/>
      <c r="L3" s="1207" t="s">
        <v>1168</v>
      </c>
      <c r="M3" s="1208"/>
      <c r="N3" s="1208"/>
      <c r="O3" s="1209"/>
      <c r="P3" s="1203" t="s">
        <v>1169</v>
      </c>
      <c r="Q3" s="1204"/>
      <c r="R3" s="1204"/>
      <c r="S3" s="1205"/>
      <c r="T3" s="1206" t="s">
        <v>1170</v>
      </c>
      <c r="U3" s="1206"/>
      <c r="V3" s="1206"/>
      <c r="W3" s="1206"/>
      <c r="X3" s="771" t="s">
        <v>1171</v>
      </c>
      <c r="Z3" s="1196" t="s">
        <v>1430</v>
      </c>
      <c r="AA3" s="1196"/>
      <c r="AB3" s="1196"/>
      <c r="AC3" s="1196"/>
      <c r="AD3" s="1196"/>
    </row>
    <row r="4" spans="1:30" ht="36" x14ac:dyDescent="0.25">
      <c r="A4" s="1199"/>
      <c r="B4" s="1200"/>
      <c r="C4" s="1202"/>
      <c r="D4" s="772" t="s">
        <v>1172</v>
      </c>
      <c r="E4" s="772" t="s">
        <v>1173</v>
      </c>
      <c r="F4" s="772" t="s">
        <v>1174</v>
      </c>
      <c r="G4" s="772" t="s">
        <v>1175</v>
      </c>
      <c r="H4" s="772" t="s">
        <v>1172</v>
      </c>
      <c r="I4" s="772" t="s">
        <v>1173</v>
      </c>
      <c r="J4" s="772" t="s">
        <v>1174</v>
      </c>
      <c r="K4" s="772" t="s">
        <v>1175</v>
      </c>
      <c r="L4" s="773" t="s">
        <v>1172</v>
      </c>
      <c r="M4" s="773" t="s">
        <v>1173</v>
      </c>
      <c r="N4" s="773" t="s">
        <v>1174</v>
      </c>
      <c r="O4" s="773" t="s">
        <v>1175</v>
      </c>
      <c r="P4" s="772" t="s">
        <v>1172</v>
      </c>
      <c r="Q4" s="772" t="s">
        <v>1173</v>
      </c>
      <c r="R4" s="772" t="s">
        <v>1174</v>
      </c>
      <c r="S4" s="772" t="s">
        <v>1175</v>
      </c>
      <c r="T4" s="773" t="s">
        <v>1172</v>
      </c>
      <c r="U4" s="773" t="s">
        <v>1173</v>
      </c>
      <c r="V4" s="773" t="s">
        <v>1174</v>
      </c>
      <c r="W4" s="773" t="s">
        <v>1175</v>
      </c>
      <c r="X4" s="774"/>
      <c r="Z4" s="773" t="s">
        <v>1173</v>
      </c>
      <c r="AA4" s="773" t="s">
        <v>1172</v>
      </c>
      <c r="AB4" s="773" t="s">
        <v>1174</v>
      </c>
      <c r="AC4" s="773" t="s">
        <v>1191</v>
      </c>
      <c r="AD4" s="773" t="s">
        <v>1175</v>
      </c>
    </row>
    <row r="5" spans="1:30" s="769" customFormat="1" x14ac:dyDescent="0.25">
      <c r="A5" s="775" t="s">
        <v>60</v>
      </c>
      <c r="B5" s="776"/>
      <c r="C5" s="776"/>
      <c r="D5" s="777">
        <f>'[4]Стандартные программы'!G173</f>
        <v>5476</v>
      </c>
      <c r="E5" s="777">
        <f>'[4]Стандартные программы'!M173</f>
        <v>392224</v>
      </c>
      <c r="F5" s="777">
        <f>F6+F7+F8+F9+F10+F13+F14+F15+F16</f>
        <v>154</v>
      </c>
      <c r="G5" s="778">
        <f>G6+G7+G8+G9+G10+G13+G14+G15+G16</f>
        <v>16.850000000000001</v>
      </c>
      <c r="H5" s="777">
        <f>'[4]Адаптированные программы'!G16</f>
        <v>71</v>
      </c>
      <c r="I5" s="777">
        <f>'[4]Адаптированные программы'!M16</f>
        <v>5524</v>
      </c>
      <c r="J5" s="777">
        <f>J6+J7+J8+J9+J10+J13+J14+J15+J16</f>
        <v>6</v>
      </c>
      <c r="K5" s="778">
        <f>K6+K7+K8+K9+K10+K13+K14+K15+K16</f>
        <v>0.94</v>
      </c>
      <c r="L5" s="777">
        <f t="shared" ref="L5:O16" si="0">D5+H5</f>
        <v>5547</v>
      </c>
      <c r="M5" s="777">
        <f t="shared" si="0"/>
        <v>397748</v>
      </c>
      <c r="N5" s="777">
        <f>N6+N7+N8+N9+N10+N13+N14+N15+N16</f>
        <v>160</v>
      </c>
      <c r="O5" s="778">
        <f>O6+O7+O8+O9+O10+O13+O14+O15+O16</f>
        <v>17.79</v>
      </c>
      <c r="P5" s="777">
        <f>'[4]Общеразвив.программы на МЗ'!G391</f>
        <v>5590</v>
      </c>
      <c r="Q5" s="777">
        <f>'[4]Общеразвив.программы на МЗ'!J391</f>
        <v>892288</v>
      </c>
      <c r="R5" s="777">
        <f>R6+R7+R8+R9+R10+R13+R14+R15+R16</f>
        <v>367</v>
      </c>
      <c r="S5" s="778">
        <f>S6+S7+S8+S9+S10+S13+S14+S15+S16</f>
        <v>91.66</v>
      </c>
      <c r="T5" s="777">
        <f t="shared" ref="T5:W16" si="1">L5+P5</f>
        <v>11137</v>
      </c>
      <c r="U5" s="777">
        <f t="shared" si="1"/>
        <v>1290036</v>
      </c>
      <c r="V5" s="777">
        <f>V6+V7+V8+V9+V10+V13+V14+V15+V16</f>
        <v>527</v>
      </c>
      <c r="W5" s="778">
        <f>W6+W7+W8+W9+W10+W13+W14+W15+W16</f>
        <v>109.45</v>
      </c>
      <c r="X5" s="779"/>
      <c r="Y5" s="780">
        <f>U5-'[4]доп сведения учр'!I176</f>
        <v>75959</v>
      </c>
      <c r="Z5" s="777">
        <f t="shared" ref="Z5:AB5" si="2">Z6+Z7+Z8+Z9+Z10+Z13+Z14+Z15+Z16</f>
        <v>1290036</v>
      </c>
      <c r="AA5" s="777">
        <f t="shared" si="2"/>
        <v>11137</v>
      </c>
      <c r="AB5" s="777">
        <f t="shared" si="2"/>
        <v>527</v>
      </c>
      <c r="AC5" s="862" t="s">
        <v>276</v>
      </c>
      <c r="AD5" s="778">
        <f>AD6+AD7+AD8+AD9+AD10+AD13+AD14+AD15+AD16</f>
        <v>109.45</v>
      </c>
    </row>
    <row r="6" spans="1:30" s="769" customFormat="1" x14ac:dyDescent="0.25">
      <c r="A6" s="1194" t="s">
        <v>647</v>
      </c>
      <c r="B6" s="1195"/>
      <c r="C6" s="781">
        <v>36</v>
      </c>
      <c r="D6" s="782">
        <f t="shared" ref="D6:K10" si="3">D20+D33+D46+D59+D72</f>
        <v>525</v>
      </c>
      <c r="E6" s="782">
        <f t="shared" si="3"/>
        <v>37800</v>
      </c>
      <c r="F6" s="782">
        <f t="shared" si="3"/>
        <v>15</v>
      </c>
      <c r="G6" s="783">
        <f t="shared" si="3"/>
        <v>1.65</v>
      </c>
      <c r="H6" s="782">
        <f t="shared" si="3"/>
        <v>0</v>
      </c>
      <c r="I6" s="782">
        <f t="shared" si="3"/>
        <v>0</v>
      </c>
      <c r="J6" s="782">
        <f t="shared" si="3"/>
        <v>0</v>
      </c>
      <c r="K6" s="783">
        <f t="shared" si="3"/>
        <v>0</v>
      </c>
      <c r="L6" s="784">
        <f t="shared" si="0"/>
        <v>525</v>
      </c>
      <c r="M6" s="784">
        <f t="shared" si="0"/>
        <v>37800</v>
      </c>
      <c r="N6" s="784">
        <f t="shared" si="0"/>
        <v>15</v>
      </c>
      <c r="O6" s="785">
        <f t="shared" si="0"/>
        <v>1.65</v>
      </c>
      <c r="P6" s="782">
        <f t="shared" ref="P6:S10" si="4">P20+P33+P46+P59+P72</f>
        <v>284</v>
      </c>
      <c r="Q6" s="782">
        <f t="shared" si="4"/>
        <v>87912</v>
      </c>
      <c r="R6" s="782">
        <f t="shared" si="4"/>
        <v>16</v>
      </c>
      <c r="S6" s="783">
        <f t="shared" si="4"/>
        <v>8.0299999999999994</v>
      </c>
      <c r="T6" s="784">
        <f t="shared" si="1"/>
        <v>809</v>
      </c>
      <c r="U6" s="784">
        <f t="shared" si="1"/>
        <v>125712</v>
      </c>
      <c r="V6" s="784">
        <f t="shared" si="1"/>
        <v>31</v>
      </c>
      <c r="W6" s="785">
        <f t="shared" si="1"/>
        <v>9.68</v>
      </c>
      <c r="X6" s="786">
        <f>V6-R6-N6</f>
        <v>0</v>
      </c>
      <c r="Y6" s="780">
        <f>U6+U7+U8+U9+U10+U13-'[4]доп сведения учр'!I178</f>
        <v>72227</v>
      </c>
      <c r="Z6" s="784">
        <f>U6</f>
        <v>125712</v>
      </c>
      <c r="AA6" s="784">
        <f>T6</f>
        <v>809</v>
      </c>
      <c r="AB6" s="784">
        <f>V6</f>
        <v>31</v>
      </c>
      <c r="AC6" s="784">
        <f>C6</f>
        <v>36</v>
      </c>
      <c r="AD6" s="785">
        <f>W6</f>
        <v>9.68</v>
      </c>
    </row>
    <row r="7" spans="1:30" s="769" customFormat="1" x14ac:dyDescent="0.25">
      <c r="A7" s="1194" t="s">
        <v>646</v>
      </c>
      <c r="B7" s="1195"/>
      <c r="C7" s="781">
        <v>36</v>
      </c>
      <c r="D7" s="782">
        <f t="shared" si="3"/>
        <v>411</v>
      </c>
      <c r="E7" s="782">
        <f t="shared" si="3"/>
        <v>29592</v>
      </c>
      <c r="F7" s="782">
        <f t="shared" si="3"/>
        <v>13</v>
      </c>
      <c r="G7" s="783">
        <f t="shared" si="3"/>
        <v>1.43</v>
      </c>
      <c r="H7" s="782">
        <f t="shared" si="3"/>
        <v>0</v>
      </c>
      <c r="I7" s="782">
        <f t="shared" si="3"/>
        <v>0</v>
      </c>
      <c r="J7" s="782">
        <f t="shared" si="3"/>
        <v>0</v>
      </c>
      <c r="K7" s="783">
        <f t="shared" si="3"/>
        <v>0</v>
      </c>
      <c r="L7" s="784">
        <f t="shared" si="0"/>
        <v>411</v>
      </c>
      <c r="M7" s="784">
        <f t="shared" si="0"/>
        <v>29592</v>
      </c>
      <c r="N7" s="784">
        <f t="shared" si="0"/>
        <v>13</v>
      </c>
      <c r="O7" s="785">
        <f t="shared" si="0"/>
        <v>1.43</v>
      </c>
      <c r="P7" s="782">
        <f t="shared" si="4"/>
        <v>1067</v>
      </c>
      <c r="Q7" s="782">
        <f t="shared" si="4"/>
        <v>154584</v>
      </c>
      <c r="R7" s="782">
        <f t="shared" si="4"/>
        <v>31</v>
      </c>
      <c r="S7" s="783">
        <f t="shared" si="4"/>
        <v>6.66</v>
      </c>
      <c r="T7" s="784">
        <f t="shared" si="1"/>
        <v>1478</v>
      </c>
      <c r="U7" s="784">
        <f t="shared" si="1"/>
        <v>184176</v>
      </c>
      <c r="V7" s="784">
        <f t="shared" si="1"/>
        <v>44</v>
      </c>
      <c r="W7" s="785">
        <f t="shared" si="1"/>
        <v>8.09</v>
      </c>
      <c r="X7" s="786">
        <f t="shared" ref="X7:X16" si="5">V7-R7-N7</f>
        <v>0</v>
      </c>
      <c r="Z7" s="784">
        <f t="shared" ref="Z7:Z16" si="6">U7</f>
        <v>184176</v>
      </c>
      <c r="AA7" s="784">
        <f t="shared" ref="AA7:AA16" si="7">T7</f>
        <v>1478</v>
      </c>
      <c r="AB7" s="784">
        <f t="shared" ref="AB7:AB16" si="8">V7</f>
        <v>44</v>
      </c>
      <c r="AC7" s="784">
        <f t="shared" ref="AC7:AC16" si="9">C7</f>
        <v>36</v>
      </c>
      <c r="AD7" s="785">
        <f t="shared" ref="AD7:AD16" si="10">W7</f>
        <v>8.09</v>
      </c>
    </row>
    <row r="8" spans="1:30" s="769" customFormat="1" x14ac:dyDescent="0.25">
      <c r="A8" s="1194" t="s">
        <v>643</v>
      </c>
      <c r="B8" s="1195"/>
      <c r="C8" s="781">
        <v>36</v>
      </c>
      <c r="D8" s="782">
        <f t="shared" si="3"/>
        <v>2332</v>
      </c>
      <c r="E8" s="782">
        <f t="shared" si="3"/>
        <v>164256</v>
      </c>
      <c r="F8" s="782">
        <f t="shared" si="3"/>
        <v>67</v>
      </c>
      <c r="G8" s="783">
        <f t="shared" si="3"/>
        <v>7.28</v>
      </c>
      <c r="H8" s="782">
        <f t="shared" si="3"/>
        <v>0</v>
      </c>
      <c r="I8" s="782">
        <f t="shared" si="3"/>
        <v>0</v>
      </c>
      <c r="J8" s="782">
        <f t="shared" si="3"/>
        <v>0</v>
      </c>
      <c r="K8" s="783">
        <f t="shared" si="3"/>
        <v>0</v>
      </c>
      <c r="L8" s="784">
        <f t="shared" si="0"/>
        <v>2332</v>
      </c>
      <c r="M8" s="784">
        <f t="shared" si="0"/>
        <v>164256</v>
      </c>
      <c r="N8" s="784">
        <f t="shared" si="0"/>
        <v>67</v>
      </c>
      <c r="O8" s="785">
        <f t="shared" si="0"/>
        <v>7.28</v>
      </c>
      <c r="P8" s="782">
        <f t="shared" si="4"/>
        <v>1296</v>
      </c>
      <c r="Q8" s="782">
        <f t="shared" si="4"/>
        <v>297576</v>
      </c>
      <c r="R8" s="782">
        <f t="shared" si="4"/>
        <v>149</v>
      </c>
      <c r="S8" s="783">
        <f t="shared" si="4"/>
        <v>40.79</v>
      </c>
      <c r="T8" s="784">
        <f t="shared" si="1"/>
        <v>3628</v>
      </c>
      <c r="U8" s="784">
        <f t="shared" si="1"/>
        <v>461832</v>
      </c>
      <c r="V8" s="784">
        <f t="shared" si="1"/>
        <v>216</v>
      </c>
      <c r="W8" s="785">
        <f t="shared" si="1"/>
        <v>48.07</v>
      </c>
      <c r="X8" s="786">
        <f t="shared" si="5"/>
        <v>0</v>
      </c>
      <c r="Z8" s="784">
        <f t="shared" si="6"/>
        <v>461832</v>
      </c>
      <c r="AA8" s="784">
        <f t="shared" si="7"/>
        <v>3628</v>
      </c>
      <c r="AB8" s="784">
        <f t="shared" si="8"/>
        <v>216</v>
      </c>
      <c r="AC8" s="784">
        <f t="shared" si="9"/>
        <v>36</v>
      </c>
      <c r="AD8" s="785">
        <f t="shared" si="10"/>
        <v>48.07</v>
      </c>
    </row>
    <row r="9" spans="1:30" s="769" customFormat="1" x14ac:dyDescent="0.25">
      <c r="A9" s="1194" t="s">
        <v>645</v>
      </c>
      <c r="B9" s="1195"/>
      <c r="C9" s="781">
        <v>36</v>
      </c>
      <c r="D9" s="782">
        <f t="shared" si="3"/>
        <v>250</v>
      </c>
      <c r="E9" s="782">
        <f t="shared" si="3"/>
        <v>18000</v>
      </c>
      <c r="F9" s="782">
        <f t="shared" si="3"/>
        <v>16</v>
      </c>
      <c r="G9" s="783">
        <f t="shared" si="3"/>
        <v>1.76</v>
      </c>
      <c r="H9" s="782">
        <f t="shared" si="3"/>
        <v>0</v>
      </c>
      <c r="I9" s="782">
        <f t="shared" si="3"/>
        <v>0</v>
      </c>
      <c r="J9" s="782">
        <f t="shared" si="3"/>
        <v>0</v>
      </c>
      <c r="K9" s="783">
        <f t="shared" si="3"/>
        <v>0</v>
      </c>
      <c r="L9" s="784">
        <f t="shared" si="0"/>
        <v>250</v>
      </c>
      <c r="M9" s="784">
        <f t="shared" si="0"/>
        <v>18000</v>
      </c>
      <c r="N9" s="784">
        <f t="shared" si="0"/>
        <v>16</v>
      </c>
      <c r="O9" s="785">
        <f t="shared" si="0"/>
        <v>1.76</v>
      </c>
      <c r="P9" s="782">
        <f t="shared" si="4"/>
        <v>592</v>
      </c>
      <c r="Q9" s="782">
        <f t="shared" si="4"/>
        <v>109080</v>
      </c>
      <c r="R9" s="782">
        <f t="shared" si="4"/>
        <v>48</v>
      </c>
      <c r="S9" s="783">
        <f t="shared" si="4"/>
        <v>13.96</v>
      </c>
      <c r="T9" s="784">
        <f t="shared" si="1"/>
        <v>842</v>
      </c>
      <c r="U9" s="784">
        <f t="shared" si="1"/>
        <v>127080</v>
      </c>
      <c r="V9" s="784">
        <f t="shared" si="1"/>
        <v>64</v>
      </c>
      <c r="W9" s="785">
        <f t="shared" si="1"/>
        <v>15.72</v>
      </c>
      <c r="X9" s="786">
        <f t="shared" si="5"/>
        <v>0</v>
      </c>
      <c r="Z9" s="784">
        <f t="shared" si="6"/>
        <v>127080</v>
      </c>
      <c r="AA9" s="784">
        <f t="shared" si="7"/>
        <v>842</v>
      </c>
      <c r="AB9" s="784">
        <f t="shared" si="8"/>
        <v>64</v>
      </c>
      <c r="AC9" s="784">
        <f t="shared" si="9"/>
        <v>36</v>
      </c>
      <c r="AD9" s="785">
        <f t="shared" si="10"/>
        <v>15.72</v>
      </c>
    </row>
    <row r="10" spans="1:30" s="769" customFormat="1" x14ac:dyDescent="0.25">
      <c r="A10" s="1194" t="s">
        <v>644</v>
      </c>
      <c r="B10" s="1195"/>
      <c r="C10" s="781"/>
      <c r="D10" s="782">
        <f t="shared" si="3"/>
        <v>638</v>
      </c>
      <c r="E10" s="782">
        <f t="shared" si="3"/>
        <v>47536</v>
      </c>
      <c r="F10" s="782">
        <f t="shared" si="3"/>
        <v>17</v>
      </c>
      <c r="G10" s="783">
        <f t="shared" si="3"/>
        <v>1.87</v>
      </c>
      <c r="H10" s="782">
        <f t="shared" si="3"/>
        <v>0</v>
      </c>
      <c r="I10" s="782">
        <f t="shared" si="3"/>
        <v>0</v>
      </c>
      <c r="J10" s="782">
        <f t="shared" si="3"/>
        <v>0</v>
      </c>
      <c r="K10" s="783">
        <f t="shared" si="3"/>
        <v>0</v>
      </c>
      <c r="L10" s="784">
        <f t="shared" si="0"/>
        <v>638</v>
      </c>
      <c r="M10" s="784">
        <f t="shared" si="0"/>
        <v>47536</v>
      </c>
      <c r="N10" s="784">
        <f t="shared" si="0"/>
        <v>17</v>
      </c>
      <c r="O10" s="785">
        <f t="shared" si="0"/>
        <v>1.87</v>
      </c>
      <c r="P10" s="782">
        <f t="shared" si="4"/>
        <v>558</v>
      </c>
      <c r="Q10" s="782">
        <f t="shared" si="4"/>
        <v>79784</v>
      </c>
      <c r="R10" s="782">
        <f t="shared" si="4"/>
        <v>33</v>
      </c>
      <c r="S10" s="783">
        <f t="shared" si="4"/>
        <v>7.82</v>
      </c>
      <c r="T10" s="784">
        <f t="shared" si="1"/>
        <v>1196</v>
      </c>
      <c r="U10" s="784">
        <f t="shared" si="1"/>
        <v>127320</v>
      </c>
      <c r="V10" s="784">
        <f t="shared" si="1"/>
        <v>50</v>
      </c>
      <c r="W10" s="785">
        <f t="shared" si="1"/>
        <v>9.69</v>
      </c>
      <c r="X10" s="786">
        <f t="shared" si="5"/>
        <v>0</v>
      </c>
      <c r="Z10" s="784">
        <f t="shared" si="6"/>
        <v>127320</v>
      </c>
      <c r="AA10" s="784">
        <f t="shared" si="7"/>
        <v>1196</v>
      </c>
      <c r="AB10" s="784">
        <f t="shared" si="8"/>
        <v>50</v>
      </c>
      <c r="AC10" s="784">
        <f t="shared" si="9"/>
        <v>0</v>
      </c>
      <c r="AD10" s="785">
        <f t="shared" si="10"/>
        <v>9.69</v>
      </c>
    </row>
    <row r="11" spans="1:30" s="769" customFormat="1" x14ac:dyDescent="0.25">
      <c r="A11" s="787"/>
      <c r="B11" s="788" t="s">
        <v>1176</v>
      </c>
      <c r="C11" s="781">
        <v>36</v>
      </c>
      <c r="D11" s="789">
        <f t="shared" ref="D11:K11" si="11">D10-D12</f>
        <v>538</v>
      </c>
      <c r="E11" s="789">
        <f t="shared" si="11"/>
        <v>38736</v>
      </c>
      <c r="F11" s="789">
        <f t="shared" si="11"/>
        <v>15</v>
      </c>
      <c r="G11" s="789">
        <f t="shared" si="11"/>
        <v>2</v>
      </c>
      <c r="H11" s="789">
        <f t="shared" si="11"/>
        <v>0</v>
      </c>
      <c r="I11" s="789">
        <f t="shared" si="11"/>
        <v>0</v>
      </c>
      <c r="J11" s="789">
        <f t="shared" si="11"/>
        <v>0</v>
      </c>
      <c r="K11" s="789">
        <f t="shared" si="11"/>
        <v>0</v>
      </c>
      <c r="L11" s="790">
        <f t="shared" si="0"/>
        <v>538</v>
      </c>
      <c r="M11" s="790">
        <f t="shared" si="0"/>
        <v>38736</v>
      </c>
      <c r="N11" s="790">
        <f t="shared" si="0"/>
        <v>15</v>
      </c>
      <c r="O11" s="791">
        <f t="shared" si="0"/>
        <v>2</v>
      </c>
      <c r="P11" s="789">
        <f>P10-P12</f>
        <v>420</v>
      </c>
      <c r="Q11" s="789">
        <f>Q10-Q12</f>
        <v>57168</v>
      </c>
      <c r="R11" s="789">
        <f>R10-R12</f>
        <v>27</v>
      </c>
      <c r="S11" s="789">
        <f>S10-S12</f>
        <v>7</v>
      </c>
      <c r="T11" s="789">
        <f t="shared" si="1"/>
        <v>958</v>
      </c>
      <c r="U11" s="789">
        <f t="shared" si="1"/>
        <v>95904</v>
      </c>
      <c r="V11" s="789">
        <f t="shared" si="1"/>
        <v>42</v>
      </c>
      <c r="W11" s="865">
        <f t="shared" si="1"/>
        <v>9</v>
      </c>
      <c r="X11" s="786">
        <f t="shared" si="5"/>
        <v>0</v>
      </c>
      <c r="Z11" s="789">
        <f t="shared" si="6"/>
        <v>95904</v>
      </c>
      <c r="AA11" s="789">
        <f t="shared" si="7"/>
        <v>958</v>
      </c>
      <c r="AB11" s="789">
        <f t="shared" si="8"/>
        <v>42</v>
      </c>
      <c r="AC11" s="789">
        <f t="shared" si="9"/>
        <v>36</v>
      </c>
      <c r="AD11" s="865">
        <f t="shared" si="10"/>
        <v>9</v>
      </c>
    </row>
    <row r="12" spans="1:30" s="769" customFormat="1" x14ac:dyDescent="0.25">
      <c r="A12" s="787"/>
      <c r="B12" s="788" t="s">
        <v>1177</v>
      </c>
      <c r="C12" s="781">
        <v>44</v>
      </c>
      <c r="D12" s="789">
        <f>D65</f>
        <v>100</v>
      </c>
      <c r="E12" s="789">
        <f t="shared" ref="E12:K12" si="12">E65</f>
        <v>8800</v>
      </c>
      <c r="F12" s="789">
        <f t="shared" si="12"/>
        <v>2</v>
      </c>
      <c r="G12" s="789">
        <f t="shared" si="12"/>
        <v>0</v>
      </c>
      <c r="H12" s="789">
        <f t="shared" si="12"/>
        <v>0</v>
      </c>
      <c r="I12" s="789">
        <f t="shared" si="12"/>
        <v>0</v>
      </c>
      <c r="J12" s="789">
        <f t="shared" si="12"/>
        <v>0</v>
      </c>
      <c r="K12" s="789">
        <f t="shared" si="12"/>
        <v>0</v>
      </c>
      <c r="L12" s="790">
        <f t="shared" si="0"/>
        <v>100</v>
      </c>
      <c r="M12" s="790">
        <f t="shared" si="0"/>
        <v>8800</v>
      </c>
      <c r="N12" s="790">
        <f t="shared" si="0"/>
        <v>2</v>
      </c>
      <c r="O12" s="791">
        <f t="shared" si="0"/>
        <v>0</v>
      </c>
      <c r="P12" s="789">
        <f t="shared" ref="P12:S12" si="13">P65</f>
        <v>138</v>
      </c>
      <c r="Q12" s="789">
        <f t="shared" si="13"/>
        <v>22616</v>
      </c>
      <c r="R12" s="789">
        <f t="shared" si="13"/>
        <v>6</v>
      </c>
      <c r="S12" s="789">
        <f t="shared" si="13"/>
        <v>1</v>
      </c>
      <c r="T12" s="789">
        <f t="shared" si="1"/>
        <v>238</v>
      </c>
      <c r="U12" s="789">
        <f t="shared" si="1"/>
        <v>31416</v>
      </c>
      <c r="V12" s="789">
        <f t="shared" si="1"/>
        <v>8</v>
      </c>
      <c r="W12" s="865">
        <f t="shared" si="1"/>
        <v>1</v>
      </c>
      <c r="X12" s="786">
        <f t="shared" si="5"/>
        <v>0</v>
      </c>
      <c r="Z12" s="789">
        <f t="shared" si="6"/>
        <v>31416</v>
      </c>
      <c r="AA12" s="789">
        <f t="shared" si="7"/>
        <v>238</v>
      </c>
      <c r="AB12" s="789">
        <f t="shared" si="8"/>
        <v>8</v>
      </c>
      <c r="AC12" s="789">
        <f t="shared" si="9"/>
        <v>44</v>
      </c>
      <c r="AD12" s="865">
        <f t="shared" si="10"/>
        <v>1</v>
      </c>
    </row>
    <row r="13" spans="1:30" s="769" customFormat="1" x14ac:dyDescent="0.25">
      <c r="A13" s="1194" t="s">
        <v>1178</v>
      </c>
      <c r="B13" s="1195"/>
      <c r="C13" s="781">
        <v>36</v>
      </c>
      <c r="D13" s="782">
        <f t="shared" ref="D13:K16" si="14">D27+D40+D53+D66+D79</f>
        <v>1320</v>
      </c>
      <c r="E13" s="782">
        <f t="shared" si="14"/>
        <v>95040</v>
      </c>
      <c r="F13" s="782">
        <f t="shared" si="14"/>
        <v>26</v>
      </c>
      <c r="G13" s="783">
        <f t="shared" si="14"/>
        <v>2.86</v>
      </c>
      <c r="H13" s="782">
        <f t="shared" si="14"/>
        <v>0</v>
      </c>
      <c r="I13" s="782">
        <f t="shared" si="14"/>
        <v>0</v>
      </c>
      <c r="J13" s="782">
        <f t="shared" si="14"/>
        <v>0</v>
      </c>
      <c r="K13" s="783">
        <f t="shared" si="14"/>
        <v>0</v>
      </c>
      <c r="L13" s="784">
        <f t="shared" si="0"/>
        <v>1320</v>
      </c>
      <c r="M13" s="784">
        <f t="shared" si="0"/>
        <v>95040</v>
      </c>
      <c r="N13" s="784">
        <f t="shared" si="0"/>
        <v>26</v>
      </c>
      <c r="O13" s="785">
        <f t="shared" si="0"/>
        <v>2.86</v>
      </c>
      <c r="P13" s="782">
        <f t="shared" ref="P13:S16" si="15">P27+P40+P53+P66+P79</f>
        <v>1704</v>
      </c>
      <c r="Q13" s="782">
        <f t="shared" si="15"/>
        <v>146168</v>
      </c>
      <c r="R13" s="782">
        <f t="shared" si="15"/>
        <v>83</v>
      </c>
      <c r="S13" s="783">
        <f t="shared" si="15"/>
        <v>12.18</v>
      </c>
      <c r="T13" s="784">
        <f t="shared" si="1"/>
        <v>3024</v>
      </c>
      <c r="U13" s="784">
        <f t="shared" si="1"/>
        <v>241208</v>
      </c>
      <c r="V13" s="784">
        <f t="shared" si="1"/>
        <v>109</v>
      </c>
      <c r="W13" s="785">
        <f t="shared" si="1"/>
        <v>15.04</v>
      </c>
      <c r="X13" s="786">
        <f t="shared" si="5"/>
        <v>0</v>
      </c>
      <c r="Z13" s="784">
        <f t="shared" si="6"/>
        <v>241208</v>
      </c>
      <c r="AA13" s="784">
        <f t="shared" si="7"/>
        <v>3024</v>
      </c>
      <c r="AB13" s="784">
        <f t="shared" si="8"/>
        <v>109</v>
      </c>
      <c r="AC13" s="784">
        <f t="shared" si="9"/>
        <v>36</v>
      </c>
      <c r="AD13" s="785">
        <f t="shared" si="10"/>
        <v>15.04</v>
      </c>
    </row>
    <row r="14" spans="1:30" s="769" customFormat="1" x14ac:dyDescent="0.25">
      <c r="A14" s="1194" t="s">
        <v>1179</v>
      </c>
      <c r="B14" s="1195"/>
      <c r="C14" s="781">
        <v>36</v>
      </c>
      <c r="D14" s="782">
        <f t="shared" si="14"/>
        <v>0</v>
      </c>
      <c r="E14" s="782">
        <f t="shared" si="14"/>
        <v>0</v>
      </c>
      <c r="F14" s="782">
        <f t="shared" si="14"/>
        <v>0</v>
      </c>
      <c r="G14" s="783">
        <f t="shared" si="14"/>
        <v>0</v>
      </c>
      <c r="H14" s="782">
        <f t="shared" si="14"/>
        <v>34</v>
      </c>
      <c r="I14" s="782">
        <f t="shared" si="14"/>
        <v>2412</v>
      </c>
      <c r="J14" s="782">
        <f t="shared" si="14"/>
        <v>3</v>
      </c>
      <c r="K14" s="783">
        <f t="shared" si="14"/>
        <v>0.61</v>
      </c>
      <c r="L14" s="784">
        <f t="shared" si="0"/>
        <v>34</v>
      </c>
      <c r="M14" s="784">
        <f t="shared" si="0"/>
        <v>2412</v>
      </c>
      <c r="N14" s="784">
        <f t="shared" si="0"/>
        <v>3</v>
      </c>
      <c r="O14" s="785">
        <f t="shared" si="0"/>
        <v>0.61</v>
      </c>
      <c r="P14" s="782">
        <f t="shared" si="15"/>
        <v>15</v>
      </c>
      <c r="Q14" s="782">
        <f t="shared" si="15"/>
        <v>1404</v>
      </c>
      <c r="R14" s="782">
        <f t="shared" si="15"/>
        <v>3</v>
      </c>
      <c r="S14" s="783">
        <f t="shared" si="15"/>
        <v>0.94</v>
      </c>
      <c r="T14" s="784">
        <f t="shared" si="1"/>
        <v>49</v>
      </c>
      <c r="U14" s="784">
        <f t="shared" si="1"/>
        <v>3816</v>
      </c>
      <c r="V14" s="784">
        <f t="shared" si="1"/>
        <v>6</v>
      </c>
      <c r="W14" s="785">
        <f t="shared" si="1"/>
        <v>1.55</v>
      </c>
      <c r="X14" s="786">
        <f t="shared" si="5"/>
        <v>0</v>
      </c>
      <c r="Y14" s="780">
        <f>U14+U15+U16-'[4]доп сведения учр'!I179</f>
        <v>3732</v>
      </c>
      <c r="Z14" s="784">
        <f t="shared" si="6"/>
        <v>3816</v>
      </c>
      <c r="AA14" s="784">
        <f t="shared" si="7"/>
        <v>49</v>
      </c>
      <c r="AB14" s="784">
        <f t="shared" si="8"/>
        <v>6</v>
      </c>
      <c r="AC14" s="784">
        <f t="shared" si="9"/>
        <v>36</v>
      </c>
      <c r="AD14" s="785">
        <f t="shared" si="10"/>
        <v>1.55</v>
      </c>
    </row>
    <row r="15" spans="1:30" s="769" customFormat="1" x14ac:dyDescent="0.25">
      <c r="A15" s="1194" t="s">
        <v>1180</v>
      </c>
      <c r="B15" s="1195"/>
      <c r="C15" s="781">
        <v>44</v>
      </c>
      <c r="D15" s="782">
        <f t="shared" si="14"/>
        <v>0</v>
      </c>
      <c r="E15" s="782">
        <f t="shared" si="14"/>
        <v>0</v>
      </c>
      <c r="F15" s="782">
        <f t="shared" si="14"/>
        <v>0</v>
      </c>
      <c r="G15" s="783">
        <f t="shared" si="14"/>
        <v>0</v>
      </c>
      <c r="H15" s="782">
        <f t="shared" si="14"/>
        <v>28</v>
      </c>
      <c r="I15" s="782">
        <f t="shared" si="14"/>
        <v>2464</v>
      </c>
      <c r="J15" s="782">
        <f t="shared" si="14"/>
        <v>2</v>
      </c>
      <c r="K15" s="783">
        <f t="shared" si="14"/>
        <v>0.22</v>
      </c>
      <c r="L15" s="784">
        <f t="shared" si="0"/>
        <v>28</v>
      </c>
      <c r="M15" s="784">
        <f t="shared" si="0"/>
        <v>2464</v>
      </c>
      <c r="N15" s="784">
        <f t="shared" si="0"/>
        <v>2</v>
      </c>
      <c r="O15" s="785">
        <f t="shared" si="0"/>
        <v>0.22</v>
      </c>
      <c r="P15" s="782">
        <f t="shared" si="15"/>
        <v>31</v>
      </c>
      <c r="Q15" s="782">
        <f t="shared" si="15"/>
        <v>8184</v>
      </c>
      <c r="R15" s="782">
        <f t="shared" si="15"/>
        <v>1</v>
      </c>
      <c r="S15" s="783">
        <f t="shared" si="15"/>
        <v>0.33</v>
      </c>
      <c r="T15" s="784">
        <f t="shared" si="1"/>
        <v>59</v>
      </c>
      <c r="U15" s="784">
        <f t="shared" si="1"/>
        <v>10648</v>
      </c>
      <c r="V15" s="784">
        <f t="shared" si="1"/>
        <v>3</v>
      </c>
      <c r="W15" s="785">
        <f t="shared" si="1"/>
        <v>0.55000000000000004</v>
      </c>
      <c r="X15" s="786">
        <f t="shared" si="5"/>
        <v>0</v>
      </c>
      <c r="Z15" s="784">
        <f t="shared" si="6"/>
        <v>10648</v>
      </c>
      <c r="AA15" s="784">
        <f t="shared" si="7"/>
        <v>59</v>
      </c>
      <c r="AB15" s="784">
        <f t="shared" si="8"/>
        <v>3</v>
      </c>
      <c r="AC15" s="784">
        <f t="shared" si="9"/>
        <v>44</v>
      </c>
      <c r="AD15" s="785">
        <f t="shared" si="10"/>
        <v>0.55000000000000004</v>
      </c>
    </row>
    <row r="16" spans="1:30" s="769" customFormat="1" x14ac:dyDescent="0.25">
      <c r="A16" s="1194" t="s">
        <v>1181</v>
      </c>
      <c r="B16" s="1195"/>
      <c r="C16" s="781">
        <v>36</v>
      </c>
      <c r="D16" s="782">
        <f t="shared" si="14"/>
        <v>0</v>
      </c>
      <c r="E16" s="782">
        <f t="shared" si="14"/>
        <v>0</v>
      </c>
      <c r="F16" s="782">
        <f t="shared" si="14"/>
        <v>0</v>
      </c>
      <c r="G16" s="783">
        <f t="shared" si="14"/>
        <v>0</v>
      </c>
      <c r="H16" s="782">
        <f t="shared" si="14"/>
        <v>9</v>
      </c>
      <c r="I16" s="782">
        <f t="shared" si="14"/>
        <v>648</v>
      </c>
      <c r="J16" s="782">
        <f t="shared" si="14"/>
        <v>1</v>
      </c>
      <c r="K16" s="783">
        <f t="shared" si="14"/>
        <v>0.11</v>
      </c>
      <c r="L16" s="784">
        <f t="shared" si="0"/>
        <v>9</v>
      </c>
      <c r="M16" s="784">
        <f t="shared" si="0"/>
        <v>648</v>
      </c>
      <c r="N16" s="784">
        <f t="shared" si="0"/>
        <v>1</v>
      </c>
      <c r="O16" s="785">
        <f t="shared" si="0"/>
        <v>0.11</v>
      </c>
      <c r="P16" s="782">
        <f t="shared" si="15"/>
        <v>43</v>
      </c>
      <c r="Q16" s="782">
        <f t="shared" si="15"/>
        <v>7596</v>
      </c>
      <c r="R16" s="782">
        <f t="shared" si="15"/>
        <v>3</v>
      </c>
      <c r="S16" s="783">
        <f t="shared" si="15"/>
        <v>0.95</v>
      </c>
      <c r="T16" s="784">
        <f t="shared" si="1"/>
        <v>52</v>
      </c>
      <c r="U16" s="784">
        <f t="shared" si="1"/>
        <v>8244</v>
      </c>
      <c r="V16" s="784">
        <f t="shared" si="1"/>
        <v>4</v>
      </c>
      <c r="W16" s="785">
        <f t="shared" si="1"/>
        <v>1.06</v>
      </c>
      <c r="X16" s="786">
        <f t="shared" si="5"/>
        <v>0</v>
      </c>
      <c r="Z16" s="784">
        <f t="shared" si="6"/>
        <v>8244</v>
      </c>
      <c r="AA16" s="784">
        <f t="shared" si="7"/>
        <v>52</v>
      </c>
      <c r="AB16" s="784">
        <f t="shared" si="8"/>
        <v>4</v>
      </c>
      <c r="AC16" s="784">
        <f t="shared" si="9"/>
        <v>36</v>
      </c>
      <c r="AD16" s="785">
        <f t="shared" si="10"/>
        <v>1.06</v>
      </c>
    </row>
    <row r="17" spans="1:30" x14ac:dyDescent="0.25">
      <c r="A17" s="792" t="s">
        <v>1182</v>
      </c>
      <c r="B17" s="793"/>
      <c r="C17" s="793"/>
      <c r="D17" s="794">
        <f t="shared" ref="D17:W17" si="16">D5-D6-D7-D8-D9-D10-D13-D14-D15-D16</f>
        <v>0</v>
      </c>
      <c r="E17" s="794">
        <f t="shared" si="16"/>
        <v>0</v>
      </c>
      <c r="F17" s="794">
        <f t="shared" si="16"/>
        <v>0</v>
      </c>
      <c r="G17" s="795">
        <f t="shared" si="16"/>
        <v>0</v>
      </c>
      <c r="H17" s="794">
        <f t="shared" si="16"/>
        <v>0</v>
      </c>
      <c r="I17" s="794">
        <f t="shared" si="16"/>
        <v>0</v>
      </c>
      <c r="J17" s="794">
        <f t="shared" si="16"/>
        <v>0</v>
      </c>
      <c r="K17" s="795">
        <f t="shared" si="16"/>
        <v>0</v>
      </c>
      <c r="L17" s="796">
        <f t="shared" si="16"/>
        <v>0</v>
      </c>
      <c r="M17" s="796">
        <f t="shared" si="16"/>
        <v>0</v>
      </c>
      <c r="N17" s="796">
        <f t="shared" si="16"/>
        <v>0</v>
      </c>
      <c r="O17" s="797">
        <f t="shared" si="16"/>
        <v>0</v>
      </c>
      <c r="P17" s="794">
        <f t="shared" si="16"/>
        <v>0</v>
      </c>
      <c r="Q17" s="794">
        <f t="shared" si="16"/>
        <v>0</v>
      </c>
      <c r="R17" s="794">
        <f t="shared" si="16"/>
        <v>0</v>
      </c>
      <c r="S17" s="795">
        <f t="shared" si="16"/>
        <v>0</v>
      </c>
      <c r="T17" s="796">
        <f t="shared" si="16"/>
        <v>0</v>
      </c>
      <c r="U17" s="796">
        <f t="shared" si="16"/>
        <v>0</v>
      </c>
      <c r="V17" s="796">
        <f t="shared" si="16"/>
        <v>0</v>
      </c>
      <c r="W17" s="797">
        <f t="shared" si="16"/>
        <v>0</v>
      </c>
      <c r="X17" s="798"/>
      <c r="Z17" s="796">
        <f t="shared" ref="Z17" si="17">Z5-Z6-Z7-Z8-Z9-Z10-Z13-Z14-Z15-Z16</f>
        <v>0</v>
      </c>
      <c r="AA17" s="796">
        <f t="shared" ref="AA17" si="18">AA5-AA6-AA7-AA8-AA9-AA10-AA13-AA14-AA15-AA16</f>
        <v>0</v>
      </c>
      <c r="AB17" s="796">
        <f t="shared" ref="AB17" si="19">AB5-AB6-AB7-AB8-AB9-AB10-AB13-AB14-AB15-AB16</f>
        <v>0</v>
      </c>
      <c r="AC17" s="796"/>
      <c r="AD17" s="797">
        <f t="shared" ref="AD17" si="20">AD5-AD6-AD7-AD8-AD9-AD10-AD13-AD14-AD15-AD16</f>
        <v>0</v>
      </c>
    </row>
    <row r="18" spans="1:30" x14ac:dyDescent="0.25">
      <c r="A18" s="792" t="s">
        <v>1182</v>
      </c>
      <c r="B18" s="793"/>
      <c r="C18" s="793"/>
      <c r="D18" s="794">
        <f t="shared" ref="D18:W18" si="21">D5-D19-D32-D45-D58-D71</f>
        <v>0</v>
      </c>
      <c r="E18" s="794">
        <f t="shared" si="21"/>
        <v>0</v>
      </c>
      <c r="F18" s="794">
        <f t="shared" si="21"/>
        <v>0</v>
      </c>
      <c r="G18" s="795">
        <f t="shared" si="21"/>
        <v>0</v>
      </c>
      <c r="H18" s="794">
        <f t="shared" si="21"/>
        <v>0</v>
      </c>
      <c r="I18" s="794">
        <f t="shared" si="21"/>
        <v>0</v>
      </c>
      <c r="J18" s="794">
        <f t="shared" si="21"/>
        <v>0</v>
      </c>
      <c r="K18" s="795">
        <f t="shared" si="21"/>
        <v>0</v>
      </c>
      <c r="L18" s="796">
        <f t="shared" si="21"/>
        <v>0</v>
      </c>
      <c r="M18" s="796">
        <f t="shared" si="21"/>
        <v>0</v>
      </c>
      <c r="N18" s="796">
        <f t="shared" si="21"/>
        <v>0</v>
      </c>
      <c r="O18" s="797">
        <f t="shared" si="21"/>
        <v>0</v>
      </c>
      <c r="P18" s="794">
        <f t="shared" si="21"/>
        <v>0</v>
      </c>
      <c r="Q18" s="794">
        <f t="shared" si="21"/>
        <v>0</v>
      </c>
      <c r="R18" s="794">
        <f t="shared" si="21"/>
        <v>0</v>
      </c>
      <c r="S18" s="795">
        <f t="shared" si="21"/>
        <v>0</v>
      </c>
      <c r="T18" s="796">
        <f t="shared" si="21"/>
        <v>0</v>
      </c>
      <c r="U18" s="796">
        <f t="shared" si="21"/>
        <v>0</v>
      </c>
      <c r="V18" s="796">
        <f t="shared" si="21"/>
        <v>0</v>
      </c>
      <c r="W18" s="797">
        <f t="shared" si="21"/>
        <v>0</v>
      </c>
      <c r="X18" s="798"/>
      <c r="Z18" s="796">
        <f t="shared" ref="Z18" si="22">Z5-Z19-Z32-Z45-Z58-Z71</f>
        <v>0</v>
      </c>
      <c r="AA18" s="796">
        <f t="shared" ref="AA18" si="23">AA5-AA19-AA32-AA45-AA58-AA71</f>
        <v>0</v>
      </c>
      <c r="AB18" s="796">
        <f t="shared" ref="AB18" si="24">AB5-AB19-AB32-AB45-AB58-AB71</f>
        <v>0</v>
      </c>
      <c r="AC18" s="796"/>
      <c r="AD18" s="797">
        <f t="shared" ref="AD18" si="25">AD5-AD19-AD32-AD45-AD58-AD71</f>
        <v>0</v>
      </c>
    </row>
    <row r="19" spans="1:30" x14ac:dyDescent="0.25">
      <c r="A19" s="775" t="s">
        <v>48</v>
      </c>
      <c r="B19" s="775"/>
      <c r="C19" s="775"/>
      <c r="D19" s="777">
        <f>'[4]Стандартные программы'!G175</f>
        <v>2709</v>
      </c>
      <c r="E19" s="777">
        <f>'[4]Стандартные программы'!M175</f>
        <v>191400</v>
      </c>
      <c r="F19" s="777">
        <f>F20+F21+F22+F23+F24+F27+F28+F29+F30</f>
        <v>77</v>
      </c>
      <c r="G19" s="778">
        <f>G20+G21+G22+G23+G24+G27+G28+G29+G30</f>
        <v>8.3800000000000008</v>
      </c>
      <c r="H19" s="777">
        <f>'[4]Адаптированные программы'!G18</f>
        <v>43</v>
      </c>
      <c r="I19" s="777">
        <f>'[4]Адаптированные программы'!M18</f>
        <v>3060</v>
      </c>
      <c r="J19" s="777">
        <f>J20+J21+J22+J23+J24+J27+J28+J29+J30</f>
        <v>4</v>
      </c>
      <c r="K19" s="778">
        <f>K20+K21+K22+K23+K24+K27+K28+K29+K30</f>
        <v>0.72</v>
      </c>
      <c r="L19" s="777">
        <f t="shared" ref="L19:O30" si="26">D19+H19</f>
        <v>2752</v>
      </c>
      <c r="M19" s="777">
        <f t="shared" si="26"/>
        <v>194460</v>
      </c>
      <c r="N19" s="777">
        <f>N20+N21+N22+N23+N24+N27+N28+N29+N30</f>
        <v>81</v>
      </c>
      <c r="O19" s="778">
        <f>O20+O21+O22+O23+O24+O27+O28+O29+O30</f>
        <v>9.1</v>
      </c>
      <c r="P19" s="777">
        <f>'[4]Общеразвив.программы на МЗ'!G393</f>
        <v>1649</v>
      </c>
      <c r="Q19" s="777">
        <f>'[4]Общеразвив.программы на МЗ'!J393</f>
        <v>270828</v>
      </c>
      <c r="R19" s="777">
        <f>R20+R21+R22+R23+R24+R27+R28+R29+R30</f>
        <v>233</v>
      </c>
      <c r="S19" s="778">
        <f>S20+S21+S22+S23+S24+S27+S28+S29+S30</f>
        <v>53.61</v>
      </c>
      <c r="T19" s="777">
        <f t="shared" ref="T19:W30" si="27">L19+P19</f>
        <v>4401</v>
      </c>
      <c r="U19" s="777">
        <f t="shared" si="27"/>
        <v>465288</v>
      </c>
      <c r="V19" s="777">
        <f>V20+V21+V22+V23+V24+V27+V28+V29+V30</f>
        <v>314</v>
      </c>
      <c r="W19" s="778">
        <f>W20+W21+W22+W23+W24+W27+W28+W29+W30</f>
        <v>62.71</v>
      </c>
      <c r="X19" s="779"/>
      <c r="Z19" s="777">
        <f t="shared" ref="Z19" si="28">Z20+Z21+Z22+Z23+Z24+Z27+Z28+Z29+Z30</f>
        <v>465288</v>
      </c>
      <c r="AA19" s="777">
        <f t="shared" ref="AA19" si="29">AA20+AA21+AA22+AA23+AA24+AA27+AA28+AA29+AA30</f>
        <v>4401</v>
      </c>
      <c r="AB19" s="777">
        <f t="shared" ref="AB19" si="30">AB20+AB21+AB22+AB23+AB24+AB27+AB28+AB29+AB30</f>
        <v>314</v>
      </c>
      <c r="AC19" s="862" t="s">
        <v>276</v>
      </c>
      <c r="AD19" s="778">
        <f>AD20+AD21+AD22+AD23+AD24+AD27+AD28+AD29+AD30</f>
        <v>62.71</v>
      </c>
    </row>
    <row r="20" spans="1:30" x14ac:dyDescent="0.25">
      <c r="A20" s="1194" t="s">
        <v>647</v>
      </c>
      <c r="B20" s="1195"/>
      <c r="C20" s="781">
        <v>36</v>
      </c>
      <c r="D20" s="799">
        <f>'[4]Стандартные программы'!G176</f>
        <v>110</v>
      </c>
      <c r="E20" s="799">
        <f>'[4]Стандартные программы'!M176</f>
        <v>7920</v>
      </c>
      <c r="F20" s="800">
        <f>'[4]Стандартные программы'!Q176</f>
        <v>5</v>
      </c>
      <c r="G20" s="801">
        <f>'[4]Стандартные программы'!R176</f>
        <v>0.55000000000000004</v>
      </c>
      <c r="H20" s="799">
        <f>'[4]Адаптированные программы'!G19</f>
        <v>0</v>
      </c>
      <c r="I20" s="799">
        <f>'[4]Адаптированные программы'!M19</f>
        <v>0</v>
      </c>
      <c r="J20" s="799">
        <f>'[4]Адаптированные программы'!Q19</f>
        <v>0</v>
      </c>
      <c r="K20" s="801">
        <f>'[4]Адаптированные программы'!R19</f>
        <v>0</v>
      </c>
      <c r="L20" s="784">
        <f t="shared" si="26"/>
        <v>110</v>
      </c>
      <c r="M20" s="784">
        <f t="shared" si="26"/>
        <v>7920</v>
      </c>
      <c r="N20" s="784">
        <f t="shared" si="26"/>
        <v>5</v>
      </c>
      <c r="O20" s="785">
        <f t="shared" si="26"/>
        <v>0.55000000000000004</v>
      </c>
      <c r="P20" s="799">
        <f>'[4]Общеразвив.программы на МЗ'!G394</f>
        <v>10</v>
      </c>
      <c r="Q20" s="799">
        <f>'[4]Общеразвив.программы на МЗ'!J394</f>
        <v>4464</v>
      </c>
      <c r="R20" s="799">
        <f>'[4]Общеразвив.программы на МЗ'!L394</f>
        <v>3</v>
      </c>
      <c r="S20" s="801">
        <f>'[4]Общеразвив.программы на МЗ'!M394</f>
        <v>1.84</v>
      </c>
      <c r="T20" s="784">
        <f t="shared" si="27"/>
        <v>120</v>
      </c>
      <c r="U20" s="784">
        <f t="shared" si="27"/>
        <v>12384</v>
      </c>
      <c r="V20" s="802">
        <f t="shared" si="27"/>
        <v>8</v>
      </c>
      <c r="W20" s="803">
        <f t="shared" si="27"/>
        <v>2.39</v>
      </c>
      <c r="X20" s="786">
        <f>V20-R20-N20</f>
        <v>0</v>
      </c>
      <c r="Z20" s="863">
        <f t="shared" ref="Z20:Z30" si="31">U20</f>
        <v>12384</v>
      </c>
      <c r="AA20" s="863">
        <f t="shared" ref="AA20:AA30" si="32">T20</f>
        <v>120</v>
      </c>
      <c r="AB20" s="863">
        <f t="shared" ref="AB20:AB30" si="33">V20</f>
        <v>8</v>
      </c>
      <c r="AC20" s="863">
        <f t="shared" ref="AC20:AC30" si="34">C20</f>
        <v>36</v>
      </c>
      <c r="AD20" s="864">
        <f t="shared" ref="AD20:AD30" si="35">W20</f>
        <v>2.39</v>
      </c>
    </row>
    <row r="21" spans="1:30" x14ac:dyDescent="0.25">
      <c r="A21" s="1194" t="s">
        <v>646</v>
      </c>
      <c r="B21" s="1195"/>
      <c r="C21" s="781">
        <v>36</v>
      </c>
      <c r="D21" s="799">
        <f>'[4]Стандартные программы'!G177</f>
        <v>80</v>
      </c>
      <c r="E21" s="799">
        <f>'[4]Стандартные программы'!M177</f>
        <v>5760</v>
      </c>
      <c r="F21" s="800">
        <f>'[4]Стандартные программы'!Q177</f>
        <v>4</v>
      </c>
      <c r="G21" s="801">
        <f>'[4]Стандартные программы'!R177</f>
        <v>0.44</v>
      </c>
      <c r="H21" s="799">
        <f>'[4]Адаптированные программы'!G20</f>
        <v>0</v>
      </c>
      <c r="I21" s="799">
        <f>'[4]Адаптированные программы'!M20</f>
        <v>0</v>
      </c>
      <c r="J21" s="799">
        <f>'[4]Адаптированные программы'!Q20</f>
        <v>0</v>
      </c>
      <c r="K21" s="801">
        <f>'[4]Адаптированные программы'!R20</f>
        <v>0</v>
      </c>
      <c r="L21" s="784">
        <f t="shared" si="26"/>
        <v>80</v>
      </c>
      <c r="M21" s="784">
        <f t="shared" si="26"/>
        <v>5760</v>
      </c>
      <c r="N21" s="784">
        <f t="shared" si="26"/>
        <v>4</v>
      </c>
      <c r="O21" s="785">
        <f t="shared" si="26"/>
        <v>0.44</v>
      </c>
      <c r="P21" s="799">
        <f>'[4]Общеразвив.программы на МЗ'!G395</f>
        <v>127</v>
      </c>
      <c r="Q21" s="799">
        <f>'[4]Общеразвив.программы на МЗ'!J395</f>
        <v>14112</v>
      </c>
      <c r="R21" s="799">
        <f>'[4]Общеразвив.программы на МЗ'!L395</f>
        <v>13</v>
      </c>
      <c r="S21" s="801">
        <f>'[4]Общеразвив.программы на МЗ'!M395</f>
        <v>2.2599999999999998</v>
      </c>
      <c r="T21" s="784">
        <f t="shared" si="27"/>
        <v>207</v>
      </c>
      <c r="U21" s="784">
        <f t="shared" si="27"/>
        <v>19872</v>
      </c>
      <c r="V21" s="802">
        <f t="shared" si="27"/>
        <v>17</v>
      </c>
      <c r="W21" s="803">
        <f t="shared" si="27"/>
        <v>2.7</v>
      </c>
      <c r="X21" s="786">
        <f t="shared" ref="X21:X30" si="36">V21-R21-N21</f>
        <v>0</v>
      </c>
      <c r="Z21" s="863">
        <f t="shared" si="31"/>
        <v>19872</v>
      </c>
      <c r="AA21" s="863">
        <f t="shared" si="32"/>
        <v>207</v>
      </c>
      <c r="AB21" s="863">
        <f t="shared" si="33"/>
        <v>17</v>
      </c>
      <c r="AC21" s="863">
        <f t="shared" si="34"/>
        <v>36</v>
      </c>
      <c r="AD21" s="864">
        <f t="shared" si="35"/>
        <v>2.7</v>
      </c>
    </row>
    <row r="22" spans="1:30" x14ac:dyDescent="0.25">
      <c r="A22" s="1194" t="s">
        <v>643</v>
      </c>
      <c r="B22" s="1195"/>
      <c r="C22" s="781">
        <v>36</v>
      </c>
      <c r="D22" s="799">
        <f>'[4]Стандартные программы'!G178</f>
        <v>1583</v>
      </c>
      <c r="E22" s="799">
        <f>'[4]Стандартные программы'!M178</f>
        <v>110328</v>
      </c>
      <c r="F22" s="800">
        <f>'[4]Стандартные программы'!Q178</f>
        <v>43</v>
      </c>
      <c r="G22" s="801">
        <f>'[4]Стандартные программы'!R178</f>
        <v>4.6399999999999997</v>
      </c>
      <c r="H22" s="799">
        <f>'[4]Адаптированные программы'!G21</f>
        <v>0</v>
      </c>
      <c r="I22" s="799">
        <f>'[4]Адаптированные программы'!M21</f>
        <v>0</v>
      </c>
      <c r="J22" s="799">
        <f>'[4]Адаптированные программы'!Q21</f>
        <v>0</v>
      </c>
      <c r="K22" s="801">
        <f>'[4]Адаптированные программы'!R21</f>
        <v>0</v>
      </c>
      <c r="L22" s="784">
        <f t="shared" si="26"/>
        <v>1583</v>
      </c>
      <c r="M22" s="784">
        <f t="shared" si="26"/>
        <v>110328</v>
      </c>
      <c r="N22" s="784">
        <f t="shared" si="26"/>
        <v>43</v>
      </c>
      <c r="O22" s="785">
        <f t="shared" si="26"/>
        <v>4.6399999999999997</v>
      </c>
      <c r="P22" s="799">
        <f>'[4]Общеразвив.программы на МЗ'!G396</f>
        <v>691</v>
      </c>
      <c r="Q22" s="799">
        <f>'[4]Общеразвив.программы на МЗ'!J396</f>
        <v>161964</v>
      </c>
      <c r="R22" s="799">
        <f>'[4]Общеразвив.программы на МЗ'!L396</f>
        <v>124</v>
      </c>
      <c r="S22" s="801">
        <f>'[4]Общеразвив.программы на МЗ'!M396</f>
        <v>33.03</v>
      </c>
      <c r="T22" s="784">
        <f t="shared" si="27"/>
        <v>2274</v>
      </c>
      <c r="U22" s="784">
        <f t="shared" si="27"/>
        <v>272292</v>
      </c>
      <c r="V22" s="802">
        <f t="shared" si="27"/>
        <v>167</v>
      </c>
      <c r="W22" s="803">
        <f t="shared" si="27"/>
        <v>37.67</v>
      </c>
      <c r="X22" s="786">
        <f t="shared" si="36"/>
        <v>0</v>
      </c>
      <c r="Z22" s="863">
        <f t="shared" si="31"/>
        <v>272292</v>
      </c>
      <c r="AA22" s="863">
        <f t="shared" si="32"/>
        <v>2274</v>
      </c>
      <c r="AB22" s="863">
        <f t="shared" si="33"/>
        <v>167</v>
      </c>
      <c r="AC22" s="863">
        <f t="shared" si="34"/>
        <v>36</v>
      </c>
      <c r="AD22" s="864">
        <f t="shared" si="35"/>
        <v>37.67</v>
      </c>
    </row>
    <row r="23" spans="1:30" x14ac:dyDescent="0.25">
      <c r="A23" s="1194" t="s">
        <v>645</v>
      </c>
      <c r="B23" s="1195"/>
      <c r="C23" s="781">
        <v>36</v>
      </c>
      <c r="D23" s="799">
        <f>'[4]Стандартные программы'!G179</f>
        <v>99</v>
      </c>
      <c r="E23" s="799">
        <f>'[4]Стандартные программы'!M179</f>
        <v>7128</v>
      </c>
      <c r="F23" s="800">
        <f>'[4]Стандартные программы'!Q179</f>
        <v>4</v>
      </c>
      <c r="G23" s="801">
        <f>'[4]Стандартные программы'!R179</f>
        <v>0.44</v>
      </c>
      <c r="H23" s="799">
        <f>'[4]Адаптированные программы'!G22</f>
        <v>0</v>
      </c>
      <c r="I23" s="799">
        <f>'[4]Адаптированные программы'!M22</f>
        <v>0</v>
      </c>
      <c r="J23" s="799">
        <f>'[4]Адаптированные программы'!Q22</f>
        <v>0</v>
      </c>
      <c r="K23" s="801">
        <f>'[4]Адаптированные программы'!R22</f>
        <v>0</v>
      </c>
      <c r="L23" s="784">
        <f t="shared" si="26"/>
        <v>99</v>
      </c>
      <c r="M23" s="784">
        <f t="shared" si="26"/>
        <v>7128</v>
      </c>
      <c r="N23" s="784">
        <f t="shared" si="26"/>
        <v>4</v>
      </c>
      <c r="O23" s="785">
        <f t="shared" si="26"/>
        <v>0.44</v>
      </c>
      <c r="P23" s="799">
        <f>'[4]Общеразвив.программы на МЗ'!G397</f>
        <v>50</v>
      </c>
      <c r="Q23" s="799">
        <f>'[4]Общеразвив.программы на МЗ'!J397</f>
        <v>11376</v>
      </c>
      <c r="R23" s="799">
        <f>'[4]Общеразвив.программы на МЗ'!L397</f>
        <v>5</v>
      </c>
      <c r="S23" s="801">
        <f>'[4]Общеразвив.программы на МЗ'!M397</f>
        <v>1.71</v>
      </c>
      <c r="T23" s="784">
        <f t="shared" si="27"/>
        <v>149</v>
      </c>
      <c r="U23" s="784">
        <f t="shared" si="27"/>
        <v>18504</v>
      </c>
      <c r="V23" s="802">
        <f t="shared" si="27"/>
        <v>9</v>
      </c>
      <c r="W23" s="803">
        <f t="shared" si="27"/>
        <v>2.15</v>
      </c>
      <c r="X23" s="786">
        <f t="shared" si="36"/>
        <v>0</v>
      </c>
      <c r="Z23" s="863">
        <f t="shared" si="31"/>
        <v>18504</v>
      </c>
      <c r="AA23" s="863">
        <f t="shared" si="32"/>
        <v>149</v>
      </c>
      <c r="AB23" s="863">
        <f t="shared" si="33"/>
        <v>9</v>
      </c>
      <c r="AC23" s="863">
        <f t="shared" si="34"/>
        <v>36</v>
      </c>
      <c r="AD23" s="864">
        <f t="shared" si="35"/>
        <v>2.15</v>
      </c>
    </row>
    <row r="24" spans="1:30" x14ac:dyDescent="0.25">
      <c r="A24" s="1194" t="s">
        <v>644</v>
      </c>
      <c r="B24" s="1195"/>
      <c r="C24" s="781"/>
      <c r="D24" s="799">
        <f>'[4]Стандартные программы'!G180</f>
        <v>195</v>
      </c>
      <c r="E24" s="799">
        <f>'[4]Стандартные программы'!M180</f>
        <v>14040</v>
      </c>
      <c r="F24" s="800">
        <f>'[4]Стандартные программы'!Q180</f>
        <v>6</v>
      </c>
      <c r="G24" s="801">
        <f>'[4]Стандартные программы'!R180</f>
        <v>0.66</v>
      </c>
      <c r="H24" s="799">
        <f>'[4]Адаптированные программы'!G23</f>
        <v>0</v>
      </c>
      <c r="I24" s="799">
        <f>'[4]Адаптированные программы'!M23</f>
        <v>0</v>
      </c>
      <c r="J24" s="799">
        <f>'[4]Адаптированные программы'!Q23</f>
        <v>0</v>
      </c>
      <c r="K24" s="801">
        <f>'[4]Адаптированные программы'!R23</f>
        <v>0</v>
      </c>
      <c r="L24" s="784">
        <f t="shared" si="26"/>
        <v>195</v>
      </c>
      <c r="M24" s="784">
        <f t="shared" si="26"/>
        <v>14040</v>
      </c>
      <c r="N24" s="784">
        <f t="shared" si="26"/>
        <v>6</v>
      </c>
      <c r="O24" s="785">
        <f t="shared" si="26"/>
        <v>0.66</v>
      </c>
      <c r="P24" s="799">
        <f>'[4]Общеразвив.программы на МЗ'!G398</f>
        <v>94</v>
      </c>
      <c r="Q24" s="799">
        <f>'[4]Общеразвив.программы на МЗ'!J398</f>
        <v>21312</v>
      </c>
      <c r="R24" s="799">
        <f>'[4]Общеразвив.программы на МЗ'!L398</f>
        <v>16</v>
      </c>
      <c r="S24" s="801">
        <f>'[4]Общеразвив.программы на МЗ'!M398</f>
        <v>4.5599999999999996</v>
      </c>
      <c r="T24" s="784">
        <f t="shared" si="27"/>
        <v>289</v>
      </c>
      <c r="U24" s="784">
        <f t="shared" si="27"/>
        <v>35352</v>
      </c>
      <c r="V24" s="802">
        <f t="shared" si="27"/>
        <v>22</v>
      </c>
      <c r="W24" s="803">
        <f t="shared" si="27"/>
        <v>5.22</v>
      </c>
      <c r="X24" s="786">
        <f t="shared" si="36"/>
        <v>0</v>
      </c>
      <c r="Z24" s="863">
        <f t="shared" si="31"/>
        <v>35352</v>
      </c>
      <c r="AA24" s="863">
        <f t="shared" si="32"/>
        <v>289</v>
      </c>
      <c r="AB24" s="863">
        <f t="shared" si="33"/>
        <v>22</v>
      </c>
      <c r="AC24" s="863">
        <f t="shared" si="34"/>
        <v>0</v>
      </c>
      <c r="AD24" s="864">
        <f t="shared" si="35"/>
        <v>5.22</v>
      </c>
    </row>
    <row r="25" spans="1:30" s="806" customFormat="1" x14ac:dyDescent="0.25">
      <c r="A25" s="805"/>
      <c r="B25" s="788" t="s">
        <v>1176</v>
      </c>
      <c r="C25" s="788">
        <v>36</v>
      </c>
      <c r="D25" s="794">
        <f t="shared" ref="D25" si="37">D24-D26</f>
        <v>195</v>
      </c>
      <c r="E25" s="794">
        <f t="shared" ref="E25" si="38">E24-E26</f>
        <v>14040</v>
      </c>
      <c r="F25" s="794">
        <f t="shared" ref="F25" si="39">F24-F26</f>
        <v>6</v>
      </c>
      <c r="G25" s="795">
        <f t="shared" ref="G25" si="40">G24-G26</f>
        <v>0.66</v>
      </c>
      <c r="H25" s="794">
        <f t="shared" ref="H25" si="41">H24-H26</f>
        <v>0</v>
      </c>
      <c r="I25" s="794">
        <f t="shared" ref="I25" si="42">I24-I26</f>
        <v>0</v>
      </c>
      <c r="J25" s="794">
        <f t="shared" ref="J25" si="43">J24-J26</f>
        <v>0</v>
      </c>
      <c r="K25" s="795">
        <f t="shared" ref="K25" si="44">K24-K26</f>
        <v>0</v>
      </c>
      <c r="L25" s="790">
        <f t="shared" si="26"/>
        <v>195</v>
      </c>
      <c r="M25" s="790">
        <f t="shared" si="26"/>
        <v>14040</v>
      </c>
      <c r="N25" s="790">
        <f t="shared" si="26"/>
        <v>6</v>
      </c>
      <c r="O25" s="791">
        <f t="shared" si="26"/>
        <v>0.66</v>
      </c>
      <c r="P25" s="794">
        <f>P24-P26</f>
        <v>94</v>
      </c>
      <c r="Q25" s="794">
        <f>Q24-Q26</f>
        <v>21312</v>
      </c>
      <c r="R25" s="794">
        <f>R24-R26</f>
        <v>16</v>
      </c>
      <c r="S25" s="795">
        <f>S24-S26</f>
        <v>4.5599999999999996</v>
      </c>
      <c r="T25" s="790">
        <f t="shared" si="27"/>
        <v>289</v>
      </c>
      <c r="U25" s="790">
        <f t="shared" si="27"/>
        <v>35352</v>
      </c>
      <c r="V25" s="804">
        <f t="shared" si="27"/>
        <v>22</v>
      </c>
      <c r="W25" s="803">
        <f t="shared" si="27"/>
        <v>5.22</v>
      </c>
      <c r="X25" s="786">
        <f t="shared" si="36"/>
        <v>0</v>
      </c>
      <c r="Z25" s="863">
        <f t="shared" si="31"/>
        <v>35352</v>
      </c>
      <c r="AA25" s="863">
        <f t="shared" si="32"/>
        <v>289</v>
      </c>
      <c r="AB25" s="863">
        <f t="shared" si="33"/>
        <v>22</v>
      </c>
      <c r="AC25" s="863">
        <f t="shared" si="34"/>
        <v>36</v>
      </c>
      <c r="AD25" s="864">
        <f t="shared" si="35"/>
        <v>5.22</v>
      </c>
    </row>
    <row r="26" spans="1:30" s="806" customFormat="1" x14ac:dyDescent="0.25">
      <c r="A26" s="805"/>
      <c r="B26" s="788" t="s">
        <v>1177</v>
      </c>
      <c r="C26" s="788">
        <v>44</v>
      </c>
      <c r="D26" s="807"/>
      <c r="E26" s="807"/>
      <c r="F26" s="808"/>
      <c r="G26" s="809"/>
      <c r="H26" s="810"/>
      <c r="I26" s="810"/>
      <c r="J26" s="811"/>
      <c r="K26" s="812"/>
      <c r="L26" s="790">
        <f t="shared" si="26"/>
        <v>0</v>
      </c>
      <c r="M26" s="790">
        <f t="shared" si="26"/>
        <v>0</v>
      </c>
      <c r="N26" s="790">
        <f t="shared" si="26"/>
        <v>0</v>
      </c>
      <c r="O26" s="791">
        <f t="shared" si="26"/>
        <v>0</v>
      </c>
      <c r="P26" s="813"/>
      <c r="Q26" s="813"/>
      <c r="R26" s="808"/>
      <c r="S26" s="809"/>
      <c r="T26" s="790">
        <f t="shared" si="27"/>
        <v>0</v>
      </c>
      <c r="U26" s="790">
        <f t="shared" si="27"/>
        <v>0</v>
      </c>
      <c r="V26" s="804">
        <f t="shared" si="27"/>
        <v>0</v>
      </c>
      <c r="W26" s="803">
        <f t="shared" si="27"/>
        <v>0</v>
      </c>
      <c r="X26" s="786">
        <f t="shared" si="36"/>
        <v>0</v>
      </c>
      <c r="Z26" s="863">
        <f t="shared" si="31"/>
        <v>0</v>
      </c>
      <c r="AA26" s="863">
        <f t="shared" si="32"/>
        <v>0</v>
      </c>
      <c r="AB26" s="863">
        <f t="shared" si="33"/>
        <v>0</v>
      </c>
      <c r="AC26" s="863">
        <f t="shared" si="34"/>
        <v>44</v>
      </c>
      <c r="AD26" s="864">
        <f t="shared" si="35"/>
        <v>0</v>
      </c>
    </row>
    <row r="27" spans="1:30" x14ac:dyDescent="0.25">
      <c r="A27" s="1194" t="s">
        <v>1178</v>
      </c>
      <c r="B27" s="1195"/>
      <c r="C27" s="781">
        <v>36</v>
      </c>
      <c r="D27" s="799">
        <f>'[4]Стандартные программы'!G181</f>
        <v>642</v>
      </c>
      <c r="E27" s="799">
        <f>'[4]Стандартные программы'!M181</f>
        <v>46224</v>
      </c>
      <c r="F27" s="800">
        <f>'[4]Стандартные программы'!Q181</f>
        <v>15</v>
      </c>
      <c r="G27" s="801">
        <f>'[4]Стандартные программы'!R181</f>
        <v>1.65</v>
      </c>
      <c r="H27" s="799">
        <f>'[4]Адаптированные программы'!G24</f>
        <v>0</v>
      </c>
      <c r="I27" s="799">
        <f>'[4]Адаптированные программы'!M24</f>
        <v>0</v>
      </c>
      <c r="J27" s="799">
        <f>'[4]Адаптированные программы'!Q24</f>
        <v>0</v>
      </c>
      <c r="K27" s="801">
        <f>'[4]Адаптированные программы'!R24</f>
        <v>0</v>
      </c>
      <c r="L27" s="784">
        <f t="shared" si="26"/>
        <v>642</v>
      </c>
      <c r="M27" s="784">
        <f t="shared" si="26"/>
        <v>46224</v>
      </c>
      <c r="N27" s="784">
        <f t="shared" si="26"/>
        <v>15</v>
      </c>
      <c r="O27" s="785">
        <f t="shared" si="26"/>
        <v>1.65</v>
      </c>
      <c r="P27" s="799">
        <f>'[4]Общеразвив.программы на МЗ'!G399</f>
        <v>657</v>
      </c>
      <c r="Q27" s="799">
        <f>'[4]Общеразвив.программы на МЗ'!J399</f>
        <v>54576</v>
      </c>
      <c r="R27" s="799">
        <f>'[4]Общеразвив.программы на МЗ'!L399</f>
        <v>68</v>
      </c>
      <c r="S27" s="801">
        <f>'[4]Общеразвив.программы на МЗ'!M399</f>
        <v>8.77</v>
      </c>
      <c r="T27" s="784">
        <f t="shared" si="27"/>
        <v>1299</v>
      </c>
      <c r="U27" s="784">
        <f t="shared" si="27"/>
        <v>100800</v>
      </c>
      <c r="V27" s="802">
        <f t="shared" si="27"/>
        <v>83</v>
      </c>
      <c r="W27" s="803">
        <f t="shared" si="27"/>
        <v>10.42</v>
      </c>
      <c r="X27" s="786">
        <f t="shared" si="36"/>
        <v>0</v>
      </c>
      <c r="Z27" s="863">
        <f t="shared" si="31"/>
        <v>100800</v>
      </c>
      <c r="AA27" s="863">
        <f t="shared" si="32"/>
        <v>1299</v>
      </c>
      <c r="AB27" s="863">
        <f t="shared" si="33"/>
        <v>83</v>
      </c>
      <c r="AC27" s="863">
        <f t="shared" si="34"/>
        <v>36</v>
      </c>
      <c r="AD27" s="864">
        <f t="shared" si="35"/>
        <v>10.42</v>
      </c>
    </row>
    <row r="28" spans="1:30" x14ac:dyDescent="0.25">
      <c r="A28" s="1194" t="s">
        <v>1179</v>
      </c>
      <c r="B28" s="1195"/>
      <c r="C28" s="781">
        <v>36</v>
      </c>
      <c r="D28" s="799">
        <f>'[4]Стандартные программы'!G182</f>
        <v>0</v>
      </c>
      <c r="E28" s="799">
        <f>'[4]Стандартные программы'!M182</f>
        <v>0</v>
      </c>
      <c r="F28" s="800">
        <f>'[4]Стандартные программы'!Q182</f>
        <v>0</v>
      </c>
      <c r="G28" s="801">
        <f>'[4]Стандартные программы'!R182</f>
        <v>0</v>
      </c>
      <c r="H28" s="799">
        <f>'[4]Адаптированные программы'!G25</f>
        <v>34</v>
      </c>
      <c r="I28" s="799">
        <f>'[4]Адаптированные программы'!M25</f>
        <v>2412</v>
      </c>
      <c r="J28" s="800">
        <f>'[4]Адаптированные программы'!Q25</f>
        <v>3</v>
      </c>
      <c r="K28" s="801">
        <f>'[4]Адаптированные программы'!R25</f>
        <v>0.61</v>
      </c>
      <c r="L28" s="784">
        <f t="shared" si="26"/>
        <v>34</v>
      </c>
      <c r="M28" s="784">
        <f t="shared" si="26"/>
        <v>2412</v>
      </c>
      <c r="N28" s="784">
        <f t="shared" si="26"/>
        <v>3</v>
      </c>
      <c r="O28" s="785">
        <f t="shared" si="26"/>
        <v>0.61</v>
      </c>
      <c r="P28" s="799">
        <f>'[4]Общеразвив.программы на МЗ'!G400</f>
        <v>15</v>
      </c>
      <c r="Q28" s="799">
        <f>'[4]Общеразвив.программы на МЗ'!J400</f>
        <v>1404</v>
      </c>
      <c r="R28" s="799">
        <f>'[4]Общеразвив.программы на МЗ'!L400</f>
        <v>3</v>
      </c>
      <c r="S28" s="801">
        <f>'[4]Общеразвив.программы на МЗ'!M400</f>
        <v>0.94</v>
      </c>
      <c r="T28" s="784">
        <f t="shared" si="27"/>
        <v>49</v>
      </c>
      <c r="U28" s="784">
        <f t="shared" si="27"/>
        <v>3816</v>
      </c>
      <c r="V28" s="802">
        <f t="shared" si="27"/>
        <v>6</v>
      </c>
      <c r="W28" s="803">
        <f t="shared" si="27"/>
        <v>1.55</v>
      </c>
      <c r="X28" s="786">
        <f t="shared" si="36"/>
        <v>0</v>
      </c>
      <c r="Z28" s="863">
        <f t="shared" si="31"/>
        <v>3816</v>
      </c>
      <c r="AA28" s="863">
        <f t="shared" si="32"/>
        <v>49</v>
      </c>
      <c r="AB28" s="863">
        <f t="shared" si="33"/>
        <v>6</v>
      </c>
      <c r="AC28" s="863">
        <f t="shared" si="34"/>
        <v>36</v>
      </c>
      <c r="AD28" s="864">
        <f t="shared" si="35"/>
        <v>1.55</v>
      </c>
    </row>
    <row r="29" spans="1:30" x14ac:dyDescent="0.25">
      <c r="A29" s="1194" t="s">
        <v>1180</v>
      </c>
      <c r="B29" s="1195"/>
      <c r="C29" s="781">
        <v>0</v>
      </c>
      <c r="D29" s="799">
        <f>'[4]Стандартные программы'!G183</f>
        <v>0</v>
      </c>
      <c r="E29" s="799">
        <f>'[4]Стандартные программы'!M183</f>
        <v>0</v>
      </c>
      <c r="F29" s="800">
        <f>'[4]Стандартные программы'!Q183</f>
        <v>0</v>
      </c>
      <c r="G29" s="801">
        <f>'[4]Стандартные программы'!R183</f>
        <v>0</v>
      </c>
      <c r="H29" s="799">
        <f>'[4]Адаптированные программы'!G26</f>
        <v>0</v>
      </c>
      <c r="I29" s="799">
        <f>'[4]Адаптированные программы'!M26</f>
        <v>0</v>
      </c>
      <c r="J29" s="800">
        <f>'[4]Адаптированные программы'!Q26</f>
        <v>0</v>
      </c>
      <c r="K29" s="801">
        <f>'[4]Адаптированные программы'!R26</f>
        <v>0</v>
      </c>
      <c r="L29" s="784">
        <f t="shared" si="26"/>
        <v>0</v>
      </c>
      <c r="M29" s="784">
        <f t="shared" si="26"/>
        <v>0</v>
      </c>
      <c r="N29" s="784">
        <f t="shared" si="26"/>
        <v>0</v>
      </c>
      <c r="O29" s="785">
        <f t="shared" si="26"/>
        <v>0</v>
      </c>
      <c r="P29" s="799">
        <f>'[4]Общеразвив.программы на МЗ'!G401</f>
        <v>0</v>
      </c>
      <c r="Q29" s="799">
        <f>'[4]Общеразвив.программы на МЗ'!J401</f>
        <v>0</v>
      </c>
      <c r="R29" s="799">
        <f>'[4]Общеразвив.программы на МЗ'!L401</f>
        <v>0</v>
      </c>
      <c r="S29" s="801">
        <f>'[4]Общеразвив.программы на МЗ'!M401</f>
        <v>0</v>
      </c>
      <c r="T29" s="784">
        <f t="shared" si="27"/>
        <v>0</v>
      </c>
      <c r="U29" s="784">
        <f t="shared" si="27"/>
        <v>0</v>
      </c>
      <c r="V29" s="802">
        <f t="shared" si="27"/>
        <v>0</v>
      </c>
      <c r="W29" s="803">
        <f t="shared" si="27"/>
        <v>0</v>
      </c>
      <c r="X29" s="786">
        <f t="shared" si="36"/>
        <v>0</v>
      </c>
      <c r="Z29" s="863">
        <f t="shared" si="31"/>
        <v>0</v>
      </c>
      <c r="AA29" s="863">
        <f t="shared" si="32"/>
        <v>0</v>
      </c>
      <c r="AB29" s="863">
        <f t="shared" si="33"/>
        <v>0</v>
      </c>
      <c r="AC29" s="863">
        <f t="shared" si="34"/>
        <v>0</v>
      </c>
      <c r="AD29" s="864">
        <f t="shared" si="35"/>
        <v>0</v>
      </c>
    </row>
    <row r="30" spans="1:30" x14ac:dyDescent="0.25">
      <c r="A30" s="1194" t="s">
        <v>1181</v>
      </c>
      <c r="B30" s="1195"/>
      <c r="C30" s="781">
        <v>36</v>
      </c>
      <c r="D30" s="799">
        <f>'[4]Стандартные программы'!G184</f>
        <v>0</v>
      </c>
      <c r="E30" s="799">
        <f>'[4]Стандартные программы'!M184</f>
        <v>0</v>
      </c>
      <c r="F30" s="800">
        <f>'[4]Стандартные программы'!Q184</f>
        <v>0</v>
      </c>
      <c r="G30" s="801">
        <f>'[4]Стандартные программы'!R184</f>
        <v>0</v>
      </c>
      <c r="H30" s="799">
        <f>'[4]Адаптированные программы'!G27</f>
        <v>9</v>
      </c>
      <c r="I30" s="799">
        <f>'[4]Адаптированные программы'!M27</f>
        <v>648</v>
      </c>
      <c r="J30" s="800">
        <f>'[4]Адаптированные программы'!Q27</f>
        <v>1</v>
      </c>
      <c r="K30" s="801">
        <f>'[4]Адаптированные программы'!R27</f>
        <v>0.11</v>
      </c>
      <c r="L30" s="784">
        <f t="shared" si="26"/>
        <v>9</v>
      </c>
      <c r="M30" s="784">
        <f t="shared" si="26"/>
        <v>648</v>
      </c>
      <c r="N30" s="784">
        <f t="shared" si="26"/>
        <v>1</v>
      </c>
      <c r="O30" s="785">
        <f t="shared" si="26"/>
        <v>0.11</v>
      </c>
      <c r="P30" s="799">
        <f>'[4]Общеразвив.программы на МЗ'!G402</f>
        <v>5</v>
      </c>
      <c r="Q30" s="799">
        <f>'[4]Общеразвив.программы на МЗ'!J402</f>
        <v>1620</v>
      </c>
      <c r="R30" s="799">
        <f>'[4]Общеразвив.программы на МЗ'!L402</f>
        <v>1</v>
      </c>
      <c r="S30" s="801">
        <f>'[4]Общеразвив.программы на МЗ'!M402</f>
        <v>0.5</v>
      </c>
      <c r="T30" s="784">
        <f t="shared" si="27"/>
        <v>14</v>
      </c>
      <c r="U30" s="784">
        <f t="shared" si="27"/>
        <v>2268</v>
      </c>
      <c r="V30" s="802">
        <f t="shared" si="27"/>
        <v>2</v>
      </c>
      <c r="W30" s="803">
        <f t="shared" si="27"/>
        <v>0.61</v>
      </c>
      <c r="X30" s="786">
        <f t="shared" si="36"/>
        <v>0</v>
      </c>
      <c r="Z30" s="863">
        <f t="shared" si="31"/>
        <v>2268</v>
      </c>
      <c r="AA30" s="863">
        <f t="shared" si="32"/>
        <v>14</v>
      </c>
      <c r="AB30" s="863">
        <f t="shared" si="33"/>
        <v>2</v>
      </c>
      <c r="AC30" s="863">
        <f t="shared" si="34"/>
        <v>36</v>
      </c>
      <c r="AD30" s="864">
        <f t="shared" si="35"/>
        <v>0.61</v>
      </c>
    </row>
    <row r="31" spans="1:30" x14ac:dyDescent="0.25">
      <c r="A31" s="792" t="s">
        <v>1182</v>
      </c>
      <c r="B31" s="793"/>
      <c r="C31" s="793"/>
      <c r="D31" s="794">
        <f>D19-D20-D21-D22-D23-D24-D27-D28-D29-D30</f>
        <v>0</v>
      </c>
      <c r="E31" s="794">
        <f>E19-E20-E21-E22-E23-E24-E27-E28-E29-E30</f>
        <v>0</v>
      </c>
      <c r="F31" s="794"/>
      <c r="G31" s="795"/>
      <c r="H31" s="794">
        <f>H19-H20-H21-H22-H23-H24-H27-H28-H29-H30</f>
        <v>0</v>
      </c>
      <c r="I31" s="794">
        <f>I19-I20-I21-I22-I23-I24-I27-I28-I29-I30</f>
        <v>0</v>
      </c>
      <c r="J31" s="794"/>
      <c r="K31" s="795"/>
      <c r="L31" s="796">
        <f t="shared" ref="L31:Q31" si="45">L19-L20-L21-L22-L23-L24-L27-L28-L29-L30</f>
        <v>0</v>
      </c>
      <c r="M31" s="796">
        <f t="shared" si="45"/>
        <v>0</v>
      </c>
      <c r="N31" s="796">
        <f t="shared" si="45"/>
        <v>0</v>
      </c>
      <c r="O31" s="797">
        <f t="shared" si="45"/>
        <v>0</v>
      </c>
      <c r="P31" s="794">
        <f t="shared" si="45"/>
        <v>0</v>
      </c>
      <c r="Q31" s="794">
        <f t="shared" si="45"/>
        <v>0</v>
      </c>
      <c r="R31" s="794"/>
      <c r="S31" s="795"/>
      <c r="T31" s="796">
        <f>T19-T20-T21-T22-T23-T24-T27-T28-T29-T30</f>
        <v>0</v>
      </c>
      <c r="U31" s="796">
        <f>U19-U20-U21-U22-U23-U24-U27-U28-U29-U30</f>
        <v>0</v>
      </c>
      <c r="V31" s="796"/>
      <c r="W31" s="797"/>
      <c r="X31" s="798"/>
      <c r="Z31" s="794">
        <f>Z19-Z20-Z21-Z22-Z23-Z24-Z27-Z28-Z29-Z30</f>
        <v>0</v>
      </c>
      <c r="AA31" s="794">
        <f>AA19-AA20-AA21-AA22-AA23-AA24-AA27-AA28-AA29-AA30</f>
        <v>0</v>
      </c>
      <c r="AB31" s="794"/>
      <c r="AC31" s="794"/>
      <c r="AD31" s="795"/>
    </row>
    <row r="32" spans="1:30" x14ac:dyDescent="0.25">
      <c r="A32" s="775" t="s">
        <v>62</v>
      </c>
      <c r="B32" s="775"/>
      <c r="C32" s="775"/>
      <c r="D32" s="777">
        <f>'[4]Стандартные программы'!G186</f>
        <v>301</v>
      </c>
      <c r="E32" s="777">
        <f>'[4]Стандартные программы'!M186</f>
        <v>21672</v>
      </c>
      <c r="F32" s="777">
        <f>F33+F34+F35+F36+F37+F40+F41+F42+F43</f>
        <v>8</v>
      </c>
      <c r="G32" s="778">
        <f>G33+G34+G35+G36+G37+G40+G41+G42+G43</f>
        <v>0.88</v>
      </c>
      <c r="H32" s="777">
        <f>'[4]Адаптированные программы'!G29</f>
        <v>0</v>
      </c>
      <c r="I32" s="777">
        <f>'[4]Адаптированные программы'!M29</f>
        <v>0</v>
      </c>
      <c r="J32" s="777">
        <f>J33+J34+J35+J36+J37+J40+J41+J42+J43</f>
        <v>0</v>
      </c>
      <c r="K32" s="778">
        <f>K33+K34+K35+K36+K37+K40+K41+K42+K43</f>
        <v>0</v>
      </c>
      <c r="L32" s="777">
        <f t="shared" ref="L32:O43" si="46">D32+H32</f>
        <v>301</v>
      </c>
      <c r="M32" s="777">
        <f t="shared" si="46"/>
        <v>21672</v>
      </c>
      <c r="N32" s="777">
        <f>N33+N34+N35+N36+N37+N40+N41+N42+N43</f>
        <v>8</v>
      </c>
      <c r="O32" s="778">
        <f>O33+O34+O35+O36+O37+O40+O41+O42+O43</f>
        <v>0.88</v>
      </c>
      <c r="P32" s="777">
        <f>'[4]Общеразвив.программы на МЗ'!G404</f>
        <v>874</v>
      </c>
      <c r="Q32" s="777">
        <f>'[4]Общеразвив.программы на МЗ'!J404</f>
        <v>125856</v>
      </c>
      <c r="R32" s="777">
        <f>R33+R34+R35+R36+R37+R40+R41+R42+R43</f>
        <v>15</v>
      </c>
      <c r="S32" s="778">
        <f>S33+S34+S35+S36+S37+S40+S41+S42+S43</f>
        <v>3.3</v>
      </c>
      <c r="T32" s="777">
        <f t="shared" ref="T32:W43" si="47">L32+P32</f>
        <v>1175</v>
      </c>
      <c r="U32" s="777">
        <f t="shared" si="47"/>
        <v>147528</v>
      </c>
      <c r="V32" s="777">
        <f>V33+V34+V35+V36+V37+V40+V41+V42+V43</f>
        <v>23</v>
      </c>
      <c r="W32" s="778">
        <f>W33+W34+W35+W36+W37+W40+W41+W42+W43</f>
        <v>4.18</v>
      </c>
      <c r="X32" s="779"/>
      <c r="Z32" s="777">
        <f t="shared" ref="Z32" si="48">Z33+Z34+Z35+Z36+Z37+Z40+Z41+Z42+Z43</f>
        <v>147528</v>
      </c>
      <c r="AA32" s="777">
        <f t="shared" ref="AA32" si="49">AA33+AA34+AA35+AA36+AA37+AA40+AA41+AA42+AA43</f>
        <v>1175</v>
      </c>
      <c r="AB32" s="777">
        <f t="shared" ref="AB32" si="50">AB33+AB34+AB35+AB36+AB37+AB40+AB41+AB42+AB43</f>
        <v>23</v>
      </c>
      <c r="AC32" s="862" t="s">
        <v>276</v>
      </c>
      <c r="AD32" s="778">
        <f>AD33+AD34+AD35+AD36+AD37+AD40+AD41+AD42+AD43</f>
        <v>4.18</v>
      </c>
    </row>
    <row r="33" spans="1:30" x14ac:dyDescent="0.25">
      <c r="A33" s="1194" t="s">
        <v>647</v>
      </c>
      <c r="B33" s="1195"/>
      <c r="C33" s="781">
        <v>0</v>
      </c>
      <c r="D33" s="799">
        <f>'[4]Стандартные программы'!G187</f>
        <v>0</v>
      </c>
      <c r="E33" s="799">
        <f>'[4]Стандартные программы'!M187</f>
        <v>0</v>
      </c>
      <c r="F33" s="799">
        <f>'[4]Стандартные программы'!Q187</f>
        <v>0</v>
      </c>
      <c r="G33" s="801">
        <f>'[4]Стандартные программы'!R187</f>
        <v>0</v>
      </c>
      <c r="H33" s="799">
        <f>'[4]Адаптированные программы'!G30</f>
        <v>0</v>
      </c>
      <c r="I33" s="799">
        <f>'[4]Адаптированные программы'!M30</f>
        <v>0</v>
      </c>
      <c r="J33" s="799">
        <f>'[4]Адаптированные программы'!Q30</f>
        <v>0</v>
      </c>
      <c r="K33" s="801">
        <f>'[4]Адаптированные программы'!R30</f>
        <v>0</v>
      </c>
      <c r="L33" s="784">
        <f t="shared" si="46"/>
        <v>0</v>
      </c>
      <c r="M33" s="784">
        <f t="shared" si="46"/>
        <v>0</v>
      </c>
      <c r="N33" s="784">
        <f t="shared" si="46"/>
        <v>0</v>
      </c>
      <c r="O33" s="785">
        <f t="shared" si="46"/>
        <v>0</v>
      </c>
      <c r="P33" s="799">
        <f>'[4]Общеразвив.программы на МЗ'!G405</f>
        <v>0</v>
      </c>
      <c r="Q33" s="799">
        <f>'[4]Общеразвив.программы на МЗ'!J405</f>
        <v>0</v>
      </c>
      <c r="R33" s="799">
        <f>'[4]Общеразвив.программы на МЗ'!L405</f>
        <v>0</v>
      </c>
      <c r="S33" s="801">
        <f>'[4]Общеразвив.программы на МЗ'!M405</f>
        <v>0</v>
      </c>
      <c r="T33" s="784">
        <f t="shared" si="47"/>
        <v>0</v>
      </c>
      <c r="U33" s="784">
        <f t="shared" si="47"/>
        <v>0</v>
      </c>
      <c r="V33" s="804">
        <f t="shared" si="47"/>
        <v>0</v>
      </c>
      <c r="W33" s="803">
        <f t="shared" si="47"/>
        <v>0</v>
      </c>
      <c r="X33" s="786">
        <f>V33-R33-N33</f>
        <v>0</v>
      </c>
      <c r="Z33" s="863">
        <f t="shared" ref="Z33:Z43" si="51">U33</f>
        <v>0</v>
      </c>
      <c r="AA33" s="863">
        <f t="shared" ref="AA33:AA43" si="52">T33</f>
        <v>0</v>
      </c>
      <c r="AB33" s="863">
        <f t="shared" ref="AB33:AB43" si="53">V33</f>
        <v>0</v>
      </c>
      <c r="AC33" s="863">
        <f t="shared" ref="AC33:AC43" si="54">C33</f>
        <v>0</v>
      </c>
      <c r="AD33" s="864">
        <f t="shared" ref="AD33:AD43" si="55">W33</f>
        <v>0</v>
      </c>
    </row>
    <row r="34" spans="1:30" x14ac:dyDescent="0.25">
      <c r="A34" s="1194" t="s">
        <v>646</v>
      </c>
      <c r="B34" s="1195"/>
      <c r="C34" s="781">
        <v>36</v>
      </c>
      <c r="D34" s="799">
        <f>'[4]Стандартные программы'!G188</f>
        <v>301</v>
      </c>
      <c r="E34" s="799">
        <f>'[4]Стандартные программы'!M188</f>
        <v>21672</v>
      </c>
      <c r="F34" s="799">
        <f>'[4]Стандартные программы'!Q188</f>
        <v>8</v>
      </c>
      <c r="G34" s="801">
        <f>'[4]Стандартные программы'!R188</f>
        <v>0.88</v>
      </c>
      <c r="H34" s="799">
        <f>'[4]Адаптированные программы'!G31</f>
        <v>0</v>
      </c>
      <c r="I34" s="799">
        <f>'[4]Адаптированные программы'!M31</f>
        <v>0</v>
      </c>
      <c r="J34" s="799">
        <f>'[4]Адаптированные программы'!Q31</f>
        <v>0</v>
      </c>
      <c r="K34" s="801">
        <f>'[4]Адаптированные программы'!R31</f>
        <v>0</v>
      </c>
      <c r="L34" s="784">
        <f t="shared" si="46"/>
        <v>301</v>
      </c>
      <c r="M34" s="784">
        <f t="shared" si="46"/>
        <v>21672</v>
      </c>
      <c r="N34" s="784">
        <f t="shared" si="46"/>
        <v>8</v>
      </c>
      <c r="O34" s="785">
        <f t="shared" si="46"/>
        <v>0.88</v>
      </c>
      <c r="P34" s="799">
        <f>'[4]Общеразвив.программы на МЗ'!G406</f>
        <v>874</v>
      </c>
      <c r="Q34" s="799">
        <f>'[4]Общеразвив.программы на МЗ'!J406</f>
        <v>125856</v>
      </c>
      <c r="R34" s="799">
        <f>'[4]Общеразвив.программы на МЗ'!L406</f>
        <v>15</v>
      </c>
      <c r="S34" s="801">
        <f>'[4]Общеразвив.программы на МЗ'!M406</f>
        <v>3.3</v>
      </c>
      <c r="T34" s="784">
        <f t="shared" si="47"/>
        <v>1175</v>
      </c>
      <c r="U34" s="784">
        <f t="shared" si="47"/>
        <v>147528</v>
      </c>
      <c r="V34" s="804">
        <f t="shared" si="47"/>
        <v>23</v>
      </c>
      <c r="W34" s="803">
        <f t="shared" si="47"/>
        <v>4.18</v>
      </c>
      <c r="X34" s="786">
        <f t="shared" ref="X34:X43" si="56">V34-R34-N34</f>
        <v>0</v>
      </c>
      <c r="Z34" s="863">
        <f t="shared" si="51"/>
        <v>147528</v>
      </c>
      <c r="AA34" s="863">
        <f t="shared" si="52"/>
        <v>1175</v>
      </c>
      <c r="AB34" s="863">
        <f t="shared" si="53"/>
        <v>23</v>
      </c>
      <c r="AC34" s="863">
        <f t="shared" si="54"/>
        <v>36</v>
      </c>
      <c r="AD34" s="864">
        <f t="shared" si="55"/>
        <v>4.18</v>
      </c>
    </row>
    <row r="35" spans="1:30" x14ac:dyDescent="0.25">
      <c r="A35" s="1194" t="s">
        <v>643</v>
      </c>
      <c r="B35" s="1195"/>
      <c r="C35" s="781">
        <v>0</v>
      </c>
      <c r="D35" s="799">
        <f>'[4]Стандартные программы'!G189</f>
        <v>0</v>
      </c>
      <c r="E35" s="799">
        <f>'[4]Стандартные программы'!M189</f>
        <v>0</v>
      </c>
      <c r="F35" s="799">
        <f>'[4]Стандартные программы'!Q189</f>
        <v>0</v>
      </c>
      <c r="G35" s="801">
        <f>'[4]Стандартные программы'!R189</f>
        <v>0</v>
      </c>
      <c r="H35" s="799">
        <f>'[4]Адаптированные программы'!G32</f>
        <v>0</v>
      </c>
      <c r="I35" s="799">
        <f>'[4]Адаптированные программы'!M32</f>
        <v>0</v>
      </c>
      <c r="J35" s="799">
        <f>'[4]Адаптированные программы'!Q32</f>
        <v>0</v>
      </c>
      <c r="K35" s="801">
        <f>'[4]Адаптированные программы'!R32</f>
        <v>0</v>
      </c>
      <c r="L35" s="784">
        <f t="shared" si="46"/>
        <v>0</v>
      </c>
      <c r="M35" s="784">
        <f t="shared" si="46"/>
        <v>0</v>
      </c>
      <c r="N35" s="784">
        <f t="shared" si="46"/>
        <v>0</v>
      </c>
      <c r="O35" s="785">
        <f t="shared" si="46"/>
        <v>0</v>
      </c>
      <c r="P35" s="799">
        <f>'[4]Общеразвив.программы на МЗ'!G407</f>
        <v>0</v>
      </c>
      <c r="Q35" s="799">
        <f>'[4]Общеразвив.программы на МЗ'!J407</f>
        <v>0</v>
      </c>
      <c r="R35" s="799">
        <f>'[4]Общеразвив.программы на МЗ'!L407</f>
        <v>0</v>
      </c>
      <c r="S35" s="801">
        <f>'[4]Общеразвив.программы на МЗ'!M407</f>
        <v>0</v>
      </c>
      <c r="T35" s="784">
        <f t="shared" si="47"/>
        <v>0</v>
      </c>
      <c r="U35" s="784">
        <f t="shared" si="47"/>
        <v>0</v>
      </c>
      <c r="V35" s="804">
        <f t="shared" si="47"/>
        <v>0</v>
      </c>
      <c r="W35" s="803">
        <f t="shared" si="47"/>
        <v>0</v>
      </c>
      <c r="X35" s="786">
        <f t="shared" si="56"/>
        <v>0</v>
      </c>
      <c r="Z35" s="863">
        <f t="shared" si="51"/>
        <v>0</v>
      </c>
      <c r="AA35" s="863">
        <f t="shared" si="52"/>
        <v>0</v>
      </c>
      <c r="AB35" s="863">
        <f t="shared" si="53"/>
        <v>0</v>
      </c>
      <c r="AC35" s="863">
        <f t="shared" si="54"/>
        <v>0</v>
      </c>
      <c r="AD35" s="864">
        <f t="shared" si="55"/>
        <v>0</v>
      </c>
    </row>
    <row r="36" spans="1:30" x14ac:dyDescent="0.25">
      <c r="A36" s="1194" t="s">
        <v>645</v>
      </c>
      <c r="B36" s="1195"/>
      <c r="C36" s="781">
        <v>0</v>
      </c>
      <c r="D36" s="799">
        <f>'[4]Стандартные программы'!G190</f>
        <v>0</v>
      </c>
      <c r="E36" s="799">
        <f>'[4]Стандартные программы'!M190</f>
        <v>0</v>
      </c>
      <c r="F36" s="799">
        <f>'[4]Стандартные программы'!Q190</f>
        <v>0</v>
      </c>
      <c r="G36" s="801">
        <f>'[4]Стандартные программы'!R190</f>
        <v>0</v>
      </c>
      <c r="H36" s="799">
        <f>'[4]Адаптированные программы'!G33</f>
        <v>0</v>
      </c>
      <c r="I36" s="799">
        <f>'[4]Адаптированные программы'!M33</f>
        <v>0</v>
      </c>
      <c r="J36" s="799">
        <f>'[4]Адаптированные программы'!Q33</f>
        <v>0</v>
      </c>
      <c r="K36" s="801">
        <f>'[4]Адаптированные программы'!R33</f>
        <v>0</v>
      </c>
      <c r="L36" s="784">
        <f t="shared" si="46"/>
        <v>0</v>
      </c>
      <c r="M36" s="784">
        <f t="shared" si="46"/>
        <v>0</v>
      </c>
      <c r="N36" s="784">
        <f t="shared" si="46"/>
        <v>0</v>
      </c>
      <c r="O36" s="785">
        <f t="shared" si="46"/>
        <v>0</v>
      </c>
      <c r="P36" s="799">
        <f>'[4]Общеразвив.программы на МЗ'!G408</f>
        <v>0</v>
      </c>
      <c r="Q36" s="799">
        <f>'[4]Общеразвив.программы на МЗ'!J408</f>
        <v>0</v>
      </c>
      <c r="R36" s="799">
        <f>'[4]Общеразвив.программы на МЗ'!L408</f>
        <v>0</v>
      </c>
      <c r="S36" s="801">
        <f>'[4]Общеразвив.программы на МЗ'!M408</f>
        <v>0</v>
      </c>
      <c r="T36" s="784">
        <f t="shared" si="47"/>
        <v>0</v>
      </c>
      <c r="U36" s="784">
        <f t="shared" si="47"/>
        <v>0</v>
      </c>
      <c r="V36" s="804">
        <f t="shared" si="47"/>
        <v>0</v>
      </c>
      <c r="W36" s="803">
        <f t="shared" si="47"/>
        <v>0</v>
      </c>
      <c r="X36" s="786">
        <f t="shared" si="56"/>
        <v>0</v>
      </c>
      <c r="Z36" s="863">
        <f t="shared" si="51"/>
        <v>0</v>
      </c>
      <c r="AA36" s="863">
        <f t="shared" si="52"/>
        <v>0</v>
      </c>
      <c r="AB36" s="863">
        <f t="shared" si="53"/>
        <v>0</v>
      </c>
      <c r="AC36" s="863">
        <f t="shared" si="54"/>
        <v>0</v>
      </c>
      <c r="AD36" s="864">
        <f t="shared" si="55"/>
        <v>0</v>
      </c>
    </row>
    <row r="37" spans="1:30" x14ac:dyDescent="0.25">
      <c r="A37" s="1194" t="s">
        <v>644</v>
      </c>
      <c r="B37" s="1195"/>
      <c r="C37" s="781"/>
      <c r="D37" s="799">
        <f>'[4]Стандартные программы'!G191</f>
        <v>0</v>
      </c>
      <c r="E37" s="799">
        <f>'[4]Стандартные программы'!M191</f>
        <v>0</v>
      </c>
      <c r="F37" s="799">
        <f>'[4]Стандартные программы'!Q191</f>
        <v>0</v>
      </c>
      <c r="G37" s="801">
        <f>'[4]Стандартные программы'!R191</f>
        <v>0</v>
      </c>
      <c r="H37" s="799">
        <f>'[4]Адаптированные программы'!G34</f>
        <v>0</v>
      </c>
      <c r="I37" s="799">
        <f>'[4]Адаптированные программы'!M34</f>
        <v>0</v>
      </c>
      <c r="J37" s="799">
        <f>'[4]Адаптированные программы'!Q34</f>
        <v>0</v>
      </c>
      <c r="K37" s="801">
        <f>'[4]Адаптированные программы'!R34</f>
        <v>0</v>
      </c>
      <c r="L37" s="784">
        <f t="shared" si="46"/>
        <v>0</v>
      </c>
      <c r="M37" s="784">
        <f t="shared" si="46"/>
        <v>0</v>
      </c>
      <c r="N37" s="784">
        <f t="shared" si="46"/>
        <v>0</v>
      </c>
      <c r="O37" s="785">
        <f t="shared" si="46"/>
        <v>0</v>
      </c>
      <c r="P37" s="799">
        <f>'[4]Общеразвив.программы на МЗ'!G409</f>
        <v>0</v>
      </c>
      <c r="Q37" s="799">
        <f>'[4]Общеразвив.программы на МЗ'!J409</f>
        <v>0</v>
      </c>
      <c r="R37" s="799">
        <f>'[4]Общеразвив.программы на МЗ'!L409</f>
        <v>0</v>
      </c>
      <c r="S37" s="801">
        <f>'[4]Общеразвив.программы на МЗ'!M409</f>
        <v>0</v>
      </c>
      <c r="T37" s="784">
        <f t="shared" si="47"/>
        <v>0</v>
      </c>
      <c r="U37" s="784">
        <f t="shared" si="47"/>
        <v>0</v>
      </c>
      <c r="V37" s="804">
        <f t="shared" si="47"/>
        <v>0</v>
      </c>
      <c r="W37" s="803">
        <f t="shared" si="47"/>
        <v>0</v>
      </c>
      <c r="X37" s="786">
        <f t="shared" si="56"/>
        <v>0</v>
      </c>
      <c r="Z37" s="863">
        <f t="shared" si="51"/>
        <v>0</v>
      </c>
      <c r="AA37" s="863">
        <f t="shared" si="52"/>
        <v>0</v>
      </c>
      <c r="AB37" s="863">
        <f t="shared" si="53"/>
        <v>0</v>
      </c>
      <c r="AC37" s="863">
        <f t="shared" si="54"/>
        <v>0</v>
      </c>
      <c r="AD37" s="864">
        <f t="shared" si="55"/>
        <v>0</v>
      </c>
    </row>
    <row r="38" spans="1:30" s="806" customFormat="1" x14ac:dyDescent="0.25">
      <c r="A38" s="805"/>
      <c r="B38" s="788" t="s">
        <v>1176</v>
      </c>
      <c r="C38" s="788">
        <v>36</v>
      </c>
      <c r="D38" s="794">
        <f t="shared" ref="D38" si="57">D37-D39</f>
        <v>0</v>
      </c>
      <c r="E38" s="794">
        <f t="shared" ref="E38" si="58">E37-E39</f>
        <v>0</v>
      </c>
      <c r="F38" s="794">
        <f t="shared" ref="F38" si="59">F37-F39</f>
        <v>0</v>
      </c>
      <c r="G38" s="795">
        <f t="shared" ref="G38" si="60">G37-G39</f>
        <v>0</v>
      </c>
      <c r="H38" s="794">
        <f t="shared" ref="H38" si="61">H37-H39</f>
        <v>0</v>
      </c>
      <c r="I38" s="794">
        <f t="shared" ref="I38" si="62">I37-I39</f>
        <v>0</v>
      </c>
      <c r="J38" s="794">
        <f t="shared" ref="J38" si="63">J37-J39</f>
        <v>0</v>
      </c>
      <c r="K38" s="795">
        <f t="shared" ref="K38" si="64">K37-K39</f>
        <v>0</v>
      </c>
      <c r="L38" s="790">
        <f t="shared" si="46"/>
        <v>0</v>
      </c>
      <c r="M38" s="790">
        <f t="shared" si="46"/>
        <v>0</v>
      </c>
      <c r="N38" s="790">
        <f t="shared" si="46"/>
        <v>0</v>
      </c>
      <c r="O38" s="791">
        <f t="shared" si="46"/>
        <v>0</v>
      </c>
      <c r="P38" s="794">
        <f>P37-P39</f>
        <v>0</v>
      </c>
      <c r="Q38" s="794">
        <f>Q37-Q39</f>
        <v>0</v>
      </c>
      <c r="R38" s="794">
        <f>R37-R39</f>
        <v>0</v>
      </c>
      <c r="S38" s="795">
        <f>S37-S39</f>
        <v>0</v>
      </c>
      <c r="T38" s="790">
        <f t="shared" si="47"/>
        <v>0</v>
      </c>
      <c r="U38" s="790">
        <f t="shared" si="47"/>
        <v>0</v>
      </c>
      <c r="V38" s="804">
        <f t="shared" si="47"/>
        <v>0</v>
      </c>
      <c r="W38" s="803">
        <f t="shared" si="47"/>
        <v>0</v>
      </c>
      <c r="X38" s="786">
        <f t="shared" si="56"/>
        <v>0</v>
      </c>
      <c r="Z38" s="863">
        <f t="shared" si="51"/>
        <v>0</v>
      </c>
      <c r="AA38" s="863">
        <f t="shared" si="52"/>
        <v>0</v>
      </c>
      <c r="AB38" s="863">
        <f t="shared" si="53"/>
        <v>0</v>
      </c>
      <c r="AC38" s="863">
        <f t="shared" si="54"/>
        <v>36</v>
      </c>
      <c r="AD38" s="864">
        <f t="shared" si="55"/>
        <v>0</v>
      </c>
    </row>
    <row r="39" spans="1:30" s="806" customFormat="1" x14ac:dyDescent="0.25">
      <c r="A39" s="805"/>
      <c r="B39" s="788" t="s">
        <v>1177</v>
      </c>
      <c r="C39" s="788">
        <v>44</v>
      </c>
      <c r="D39" s="807"/>
      <c r="E39" s="807"/>
      <c r="F39" s="808"/>
      <c r="G39" s="809"/>
      <c r="H39" s="810"/>
      <c r="I39" s="810"/>
      <c r="J39" s="811"/>
      <c r="K39" s="812"/>
      <c r="L39" s="790">
        <f t="shared" si="46"/>
        <v>0</v>
      </c>
      <c r="M39" s="790">
        <f t="shared" si="46"/>
        <v>0</v>
      </c>
      <c r="N39" s="790">
        <f t="shared" si="46"/>
        <v>0</v>
      </c>
      <c r="O39" s="791">
        <f t="shared" si="46"/>
        <v>0</v>
      </c>
      <c r="P39" s="813"/>
      <c r="Q39" s="813"/>
      <c r="R39" s="808"/>
      <c r="S39" s="809"/>
      <c r="T39" s="790">
        <f t="shared" si="47"/>
        <v>0</v>
      </c>
      <c r="U39" s="790">
        <f t="shared" si="47"/>
        <v>0</v>
      </c>
      <c r="V39" s="804">
        <f t="shared" si="47"/>
        <v>0</v>
      </c>
      <c r="W39" s="803">
        <f t="shared" si="47"/>
        <v>0</v>
      </c>
      <c r="X39" s="786">
        <f t="shared" si="56"/>
        <v>0</v>
      </c>
      <c r="Z39" s="863">
        <f t="shared" si="51"/>
        <v>0</v>
      </c>
      <c r="AA39" s="863">
        <f t="shared" si="52"/>
        <v>0</v>
      </c>
      <c r="AB39" s="863">
        <f t="shared" si="53"/>
        <v>0</v>
      </c>
      <c r="AC39" s="863">
        <f t="shared" si="54"/>
        <v>44</v>
      </c>
      <c r="AD39" s="864">
        <f t="shared" si="55"/>
        <v>0</v>
      </c>
    </row>
    <row r="40" spans="1:30" x14ac:dyDescent="0.25">
      <c r="A40" s="1194" t="s">
        <v>1178</v>
      </c>
      <c r="B40" s="1195"/>
      <c r="C40" s="781">
        <v>0</v>
      </c>
      <c r="D40" s="799">
        <f>'[4]Стандартные программы'!G192</f>
        <v>0</v>
      </c>
      <c r="E40" s="799">
        <f>'[4]Стандартные программы'!M192</f>
        <v>0</v>
      </c>
      <c r="F40" s="799">
        <f>'[4]Стандартные программы'!Q192</f>
        <v>0</v>
      </c>
      <c r="G40" s="801">
        <f>'[4]Стандартные программы'!R192</f>
        <v>0</v>
      </c>
      <c r="H40" s="799">
        <f>'[4]Адаптированные программы'!G35</f>
        <v>0</v>
      </c>
      <c r="I40" s="799">
        <f>'[4]Адаптированные программы'!M35</f>
        <v>0</v>
      </c>
      <c r="J40" s="799">
        <f>'[4]Адаптированные программы'!Q35</f>
        <v>0</v>
      </c>
      <c r="K40" s="801">
        <f>'[4]Адаптированные программы'!R35</f>
        <v>0</v>
      </c>
      <c r="L40" s="784">
        <f t="shared" si="46"/>
        <v>0</v>
      </c>
      <c r="M40" s="784">
        <f t="shared" si="46"/>
        <v>0</v>
      </c>
      <c r="N40" s="784">
        <f t="shared" si="46"/>
        <v>0</v>
      </c>
      <c r="O40" s="785">
        <f t="shared" si="46"/>
        <v>0</v>
      </c>
      <c r="P40" s="799">
        <f>'[4]Общеразвив.программы на МЗ'!G410</f>
        <v>0</v>
      </c>
      <c r="Q40" s="799">
        <f>'[4]Общеразвив.программы на МЗ'!J410</f>
        <v>0</v>
      </c>
      <c r="R40" s="799">
        <f>'[4]Общеразвив.программы на МЗ'!L410</f>
        <v>0</v>
      </c>
      <c r="S40" s="801">
        <f>'[4]Общеразвив.программы на МЗ'!M410</f>
        <v>0</v>
      </c>
      <c r="T40" s="784">
        <f t="shared" si="47"/>
        <v>0</v>
      </c>
      <c r="U40" s="784">
        <f t="shared" si="47"/>
        <v>0</v>
      </c>
      <c r="V40" s="804">
        <f t="shared" si="47"/>
        <v>0</v>
      </c>
      <c r="W40" s="803">
        <f t="shared" si="47"/>
        <v>0</v>
      </c>
      <c r="X40" s="786">
        <f t="shared" si="56"/>
        <v>0</v>
      </c>
      <c r="Z40" s="863">
        <f t="shared" si="51"/>
        <v>0</v>
      </c>
      <c r="AA40" s="863">
        <f t="shared" si="52"/>
        <v>0</v>
      </c>
      <c r="AB40" s="863">
        <f t="shared" si="53"/>
        <v>0</v>
      </c>
      <c r="AC40" s="863">
        <f t="shared" si="54"/>
        <v>0</v>
      </c>
      <c r="AD40" s="864">
        <f t="shared" si="55"/>
        <v>0</v>
      </c>
    </row>
    <row r="41" spans="1:30" x14ac:dyDescent="0.25">
      <c r="A41" s="1194" t="s">
        <v>1179</v>
      </c>
      <c r="B41" s="1195"/>
      <c r="C41" s="781">
        <v>0</v>
      </c>
      <c r="D41" s="799">
        <f>'[4]Стандартные программы'!G193</f>
        <v>0</v>
      </c>
      <c r="E41" s="799">
        <f>'[4]Стандартные программы'!M193</f>
        <v>0</v>
      </c>
      <c r="F41" s="799">
        <f>'[4]Стандартные программы'!Q193</f>
        <v>0</v>
      </c>
      <c r="G41" s="801">
        <f>'[4]Стандартные программы'!R193</f>
        <v>0</v>
      </c>
      <c r="H41" s="799">
        <f>'[4]Адаптированные программы'!G36</f>
        <v>0</v>
      </c>
      <c r="I41" s="799">
        <f>'[4]Адаптированные программы'!M36</f>
        <v>0</v>
      </c>
      <c r="J41" s="799">
        <f>'[4]Адаптированные программы'!Q36</f>
        <v>0</v>
      </c>
      <c r="K41" s="801">
        <f>'[4]Адаптированные программы'!R36</f>
        <v>0</v>
      </c>
      <c r="L41" s="784">
        <f t="shared" si="46"/>
        <v>0</v>
      </c>
      <c r="M41" s="784">
        <f t="shared" si="46"/>
        <v>0</v>
      </c>
      <c r="N41" s="784">
        <f t="shared" si="46"/>
        <v>0</v>
      </c>
      <c r="O41" s="785">
        <f t="shared" si="46"/>
        <v>0</v>
      </c>
      <c r="P41" s="799">
        <f>'[4]Общеразвив.программы на МЗ'!G411</f>
        <v>0</v>
      </c>
      <c r="Q41" s="799">
        <f>'[4]Общеразвив.программы на МЗ'!J411</f>
        <v>0</v>
      </c>
      <c r="R41" s="799">
        <f>'[4]Общеразвив.программы на МЗ'!L411</f>
        <v>0</v>
      </c>
      <c r="S41" s="801">
        <f>'[4]Общеразвив.программы на МЗ'!M411</f>
        <v>0</v>
      </c>
      <c r="T41" s="784">
        <f t="shared" si="47"/>
        <v>0</v>
      </c>
      <c r="U41" s="784">
        <f t="shared" si="47"/>
        <v>0</v>
      </c>
      <c r="V41" s="804">
        <f t="shared" si="47"/>
        <v>0</v>
      </c>
      <c r="W41" s="803">
        <f t="shared" si="47"/>
        <v>0</v>
      </c>
      <c r="X41" s="786">
        <f t="shared" si="56"/>
        <v>0</v>
      </c>
      <c r="Z41" s="863">
        <f t="shared" si="51"/>
        <v>0</v>
      </c>
      <c r="AA41" s="863">
        <f t="shared" si="52"/>
        <v>0</v>
      </c>
      <c r="AB41" s="863">
        <f t="shared" si="53"/>
        <v>0</v>
      </c>
      <c r="AC41" s="863">
        <f t="shared" si="54"/>
        <v>0</v>
      </c>
      <c r="AD41" s="864">
        <f t="shared" si="55"/>
        <v>0</v>
      </c>
    </row>
    <row r="42" spans="1:30" x14ac:dyDescent="0.25">
      <c r="A42" s="1194" t="s">
        <v>1180</v>
      </c>
      <c r="B42" s="1195"/>
      <c r="C42" s="781">
        <v>0</v>
      </c>
      <c r="D42" s="799">
        <f>'[4]Стандартные программы'!G194</f>
        <v>0</v>
      </c>
      <c r="E42" s="799">
        <f>'[4]Стандартные программы'!M194</f>
        <v>0</v>
      </c>
      <c r="F42" s="799">
        <f>'[4]Стандартные программы'!Q194</f>
        <v>0</v>
      </c>
      <c r="G42" s="801">
        <f>'[4]Стандартные программы'!R194</f>
        <v>0</v>
      </c>
      <c r="H42" s="799">
        <f>'[4]Адаптированные программы'!G37</f>
        <v>0</v>
      </c>
      <c r="I42" s="799">
        <f>'[4]Адаптированные программы'!M37</f>
        <v>0</v>
      </c>
      <c r="J42" s="799">
        <f>'[4]Адаптированные программы'!Q37</f>
        <v>0</v>
      </c>
      <c r="K42" s="801">
        <f>'[4]Адаптированные программы'!R37</f>
        <v>0</v>
      </c>
      <c r="L42" s="784">
        <f t="shared" si="46"/>
        <v>0</v>
      </c>
      <c r="M42" s="784">
        <f t="shared" si="46"/>
        <v>0</v>
      </c>
      <c r="N42" s="784">
        <f t="shared" si="46"/>
        <v>0</v>
      </c>
      <c r="O42" s="785">
        <f t="shared" si="46"/>
        <v>0</v>
      </c>
      <c r="P42" s="799">
        <f>'[4]Общеразвив.программы на МЗ'!G412</f>
        <v>0</v>
      </c>
      <c r="Q42" s="799">
        <f>'[4]Общеразвив.программы на МЗ'!J412</f>
        <v>0</v>
      </c>
      <c r="R42" s="799">
        <f>'[4]Общеразвив.программы на МЗ'!L412</f>
        <v>0</v>
      </c>
      <c r="S42" s="801">
        <f>'[4]Общеразвив.программы на МЗ'!M412</f>
        <v>0</v>
      </c>
      <c r="T42" s="784">
        <f t="shared" si="47"/>
        <v>0</v>
      </c>
      <c r="U42" s="784">
        <f t="shared" si="47"/>
        <v>0</v>
      </c>
      <c r="V42" s="804">
        <f t="shared" si="47"/>
        <v>0</v>
      </c>
      <c r="W42" s="803">
        <f t="shared" si="47"/>
        <v>0</v>
      </c>
      <c r="X42" s="786">
        <f t="shared" si="56"/>
        <v>0</v>
      </c>
      <c r="Z42" s="863">
        <f t="shared" si="51"/>
        <v>0</v>
      </c>
      <c r="AA42" s="863">
        <f t="shared" si="52"/>
        <v>0</v>
      </c>
      <c r="AB42" s="863">
        <f t="shared" si="53"/>
        <v>0</v>
      </c>
      <c r="AC42" s="863">
        <f t="shared" si="54"/>
        <v>0</v>
      </c>
      <c r="AD42" s="864">
        <f t="shared" si="55"/>
        <v>0</v>
      </c>
    </row>
    <row r="43" spans="1:30" x14ac:dyDescent="0.25">
      <c r="A43" s="1194" t="s">
        <v>1181</v>
      </c>
      <c r="B43" s="1195"/>
      <c r="C43" s="781">
        <v>0</v>
      </c>
      <c r="D43" s="799">
        <f>'[4]Стандартные программы'!G195</f>
        <v>0</v>
      </c>
      <c r="E43" s="799">
        <f>'[4]Стандартные программы'!M195</f>
        <v>0</v>
      </c>
      <c r="F43" s="799">
        <f>'[4]Стандартные программы'!Q195</f>
        <v>0</v>
      </c>
      <c r="G43" s="801">
        <f>'[4]Стандартные программы'!R195</f>
        <v>0</v>
      </c>
      <c r="H43" s="799">
        <f>'[4]Адаптированные программы'!G38</f>
        <v>0</v>
      </c>
      <c r="I43" s="799">
        <f>'[4]Адаптированные программы'!M38</f>
        <v>0</v>
      </c>
      <c r="J43" s="799">
        <f>'[4]Адаптированные программы'!Q38</f>
        <v>0</v>
      </c>
      <c r="K43" s="801">
        <f>'[4]Адаптированные программы'!R38</f>
        <v>0</v>
      </c>
      <c r="L43" s="784">
        <f t="shared" si="46"/>
        <v>0</v>
      </c>
      <c r="M43" s="784">
        <f t="shared" si="46"/>
        <v>0</v>
      </c>
      <c r="N43" s="784">
        <f t="shared" si="46"/>
        <v>0</v>
      </c>
      <c r="O43" s="785">
        <f t="shared" si="46"/>
        <v>0</v>
      </c>
      <c r="P43" s="799">
        <f>'[4]Общеразвив.программы на МЗ'!G413</f>
        <v>0</v>
      </c>
      <c r="Q43" s="799">
        <f>'[4]Общеразвив.программы на МЗ'!J413</f>
        <v>0</v>
      </c>
      <c r="R43" s="799">
        <f>'[4]Общеразвив.программы на МЗ'!L413</f>
        <v>0</v>
      </c>
      <c r="S43" s="801">
        <f>'[4]Общеразвив.программы на МЗ'!M413</f>
        <v>0</v>
      </c>
      <c r="T43" s="784">
        <f t="shared" si="47"/>
        <v>0</v>
      </c>
      <c r="U43" s="784">
        <f t="shared" si="47"/>
        <v>0</v>
      </c>
      <c r="V43" s="804">
        <f t="shared" si="47"/>
        <v>0</v>
      </c>
      <c r="W43" s="803">
        <f t="shared" si="47"/>
        <v>0</v>
      </c>
      <c r="X43" s="786">
        <f t="shared" si="56"/>
        <v>0</v>
      </c>
      <c r="Z43" s="863">
        <f t="shared" si="51"/>
        <v>0</v>
      </c>
      <c r="AA43" s="863">
        <f t="shared" si="52"/>
        <v>0</v>
      </c>
      <c r="AB43" s="863">
        <f t="shared" si="53"/>
        <v>0</v>
      </c>
      <c r="AC43" s="863">
        <f t="shared" si="54"/>
        <v>0</v>
      </c>
      <c r="AD43" s="864">
        <f t="shared" si="55"/>
        <v>0</v>
      </c>
    </row>
    <row r="44" spans="1:30" x14ac:dyDescent="0.25">
      <c r="A44" s="792" t="s">
        <v>1182</v>
      </c>
      <c r="B44" s="793"/>
      <c r="C44" s="793"/>
      <c r="D44" s="794">
        <f>D32-D33-D34-D35-D36-D37-D40-D41-D42-D43</f>
        <v>0</v>
      </c>
      <c r="E44" s="794">
        <f>E32-E33-E34-E35-E36-E37-E40-E41-E42-E43</f>
        <v>0</v>
      </c>
      <c r="F44" s="794"/>
      <c r="G44" s="795"/>
      <c r="H44" s="794">
        <f>H32-H33-H34-H35-H36-H37-H40-H41-H42-H43</f>
        <v>0</v>
      </c>
      <c r="I44" s="794">
        <f>I32-I33-I34-I35-I36-I37-I40-I41-I42-I43</f>
        <v>0</v>
      </c>
      <c r="J44" s="794"/>
      <c r="K44" s="795"/>
      <c r="L44" s="796">
        <f>L32-L33-L34-L35-L36-L37-L40-L41-L42-L43</f>
        <v>0</v>
      </c>
      <c r="M44" s="796">
        <f>M32-M33-M34-M35-M36-M37-M40-M41-M42-M43</f>
        <v>0</v>
      </c>
      <c r="N44" s="796"/>
      <c r="O44" s="797"/>
      <c r="P44" s="794">
        <f>P32-P33-P34-P35-P36-P37-P40-P41-P42-P43</f>
        <v>0</v>
      </c>
      <c r="Q44" s="794">
        <f>Q32-Q33-Q34-Q35-Q36-Q37-Q40-Q41-Q42-Q43</f>
        <v>0</v>
      </c>
      <c r="R44" s="794"/>
      <c r="S44" s="795"/>
      <c r="T44" s="796">
        <f>T32-T33-T34-T35-T36-T37-T40-T41-T42-T43</f>
        <v>0</v>
      </c>
      <c r="U44" s="796">
        <f>U32-U33-U34-U35-U36-U37-U40-U41-U42-U43</f>
        <v>0</v>
      </c>
      <c r="V44" s="796"/>
      <c r="W44" s="797"/>
      <c r="X44" s="798"/>
      <c r="Z44" s="794">
        <f>Z32-Z33-Z34-Z35-Z36-Z37-Z40-Z41-Z42-Z43</f>
        <v>0</v>
      </c>
      <c r="AA44" s="794">
        <f>AA32-AA33-AA34-AA35-AA36-AA37-AA40-AA41-AA42-AA43</f>
        <v>0</v>
      </c>
      <c r="AB44" s="794"/>
      <c r="AC44" s="794"/>
      <c r="AD44" s="795"/>
    </row>
    <row r="45" spans="1:30" x14ac:dyDescent="0.25">
      <c r="A45" s="775" t="s">
        <v>627</v>
      </c>
      <c r="B45" s="775"/>
      <c r="C45" s="775"/>
      <c r="D45" s="777">
        <f>'[4]Стандартные программы'!G197</f>
        <v>151</v>
      </c>
      <c r="E45" s="777">
        <f>'[4]Стандартные программы'!M197</f>
        <v>10872</v>
      </c>
      <c r="F45" s="777">
        <f>F46+F47+F48+F49+F50+F53+F54+F55+F56</f>
        <v>12</v>
      </c>
      <c r="G45" s="778">
        <f>G46+G47+G48+G49+G50+G53+G54+G55+G56</f>
        <v>1.32</v>
      </c>
      <c r="H45" s="777">
        <f>'[4]Адаптированные программы'!G40</f>
        <v>0</v>
      </c>
      <c r="I45" s="777">
        <f>'[4]Адаптированные программы'!M40</f>
        <v>0</v>
      </c>
      <c r="J45" s="777">
        <f>J46+J47+J48+J49+J50+J53+J54+J55+J56</f>
        <v>0</v>
      </c>
      <c r="K45" s="778">
        <f>K46+K47+K48+K49+K50+K53+K54+K55+K56</f>
        <v>0</v>
      </c>
      <c r="L45" s="777">
        <f t="shared" ref="L45:O56" si="65">D45+H45</f>
        <v>151</v>
      </c>
      <c r="M45" s="777">
        <f t="shared" si="65"/>
        <v>10872</v>
      </c>
      <c r="N45" s="777">
        <f>N46+N47+N48+N49+N50+N53+N54+N55+N56</f>
        <v>12</v>
      </c>
      <c r="O45" s="778">
        <f>O46+O47+O48+O49+O50+O53+O54+O55+O56</f>
        <v>1.32</v>
      </c>
      <c r="P45" s="777">
        <f>'[4]Общеразвив.программы на МЗ'!G415</f>
        <v>453</v>
      </c>
      <c r="Q45" s="777">
        <f>'[4]Общеразвив.программы на МЗ'!J415</f>
        <v>84888</v>
      </c>
      <c r="R45" s="777">
        <f>R46+R47+R48+R49+R50+R53+R54+R55+R56</f>
        <v>42</v>
      </c>
      <c r="S45" s="778">
        <f>S46+S47+S48+S49+S50+S53+S54+S55+S56</f>
        <v>12.03</v>
      </c>
      <c r="T45" s="777">
        <f t="shared" ref="T45:W56" si="66">L45+P45</f>
        <v>604</v>
      </c>
      <c r="U45" s="777">
        <f t="shared" si="66"/>
        <v>95760</v>
      </c>
      <c r="V45" s="777">
        <f>V46+V47+V48+V49+V50+V53+V54+V55+V56</f>
        <v>54</v>
      </c>
      <c r="W45" s="778">
        <f>W46+W47+W48+W49+W50+W53+W54+W55+W56</f>
        <v>13.35</v>
      </c>
      <c r="X45" s="779"/>
      <c r="Z45" s="777">
        <f t="shared" ref="Z45" si="67">Z46+Z47+Z48+Z49+Z50+Z53+Z54+Z55+Z56</f>
        <v>95760</v>
      </c>
      <c r="AA45" s="777">
        <f t="shared" ref="AA45" si="68">AA46+AA47+AA48+AA49+AA50+AA53+AA54+AA55+AA56</f>
        <v>604</v>
      </c>
      <c r="AB45" s="777">
        <f t="shared" ref="AB45" si="69">AB46+AB47+AB48+AB49+AB50+AB53+AB54+AB55+AB56</f>
        <v>54</v>
      </c>
      <c r="AC45" s="862" t="s">
        <v>276</v>
      </c>
      <c r="AD45" s="778">
        <f>AD46+AD47+AD48+AD49+AD50+AD53+AD54+AD55+AD56</f>
        <v>13.35</v>
      </c>
    </row>
    <row r="46" spans="1:30" x14ac:dyDescent="0.25">
      <c r="A46" s="1194" t="s">
        <v>647</v>
      </c>
      <c r="B46" s="1195"/>
      <c r="C46" s="781">
        <v>0</v>
      </c>
      <c r="D46" s="799">
        <f>'[4]Стандартные программы'!G198</f>
        <v>0</v>
      </c>
      <c r="E46" s="799">
        <f>'[4]Стандартные программы'!M198</f>
        <v>0</v>
      </c>
      <c r="F46" s="799">
        <f>'[4]Стандартные программы'!Q198</f>
        <v>0</v>
      </c>
      <c r="G46" s="801">
        <f>'[4]Стандартные программы'!R198</f>
        <v>0</v>
      </c>
      <c r="H46" s="799">
        <f>'[4]Адаптированные программы'!G41</f>
        <v>0</v>
      </c>
      <c r="I46" s="799">
        <f>'[4]Адаптированные программы'!M41</f>
        <v>0</v>
      </c>
      <c r="J46" s="799">
        <f>'[4]Адаптированные программы'!Q41</f>
        <v>0</v>
      </c>
      <c r="K46" s="801">
        <f>'[4]Адаптированные программы'!R41</f>
        <v>0</v>
      </c>
      <c r="L46" s="784">
        <f t="shared" si="65"/>
        <v>0</v>
      </c>
      <c r="M46" s="784">
        <f t="shared" si="65"/>
        <v>0</v>
      </c>
      <c r="N46" s="784">
        <f t="shared" si="65"/>
        <v>0</v>
      </c>
      <c r="O46" s="785">
        <f t="shared" si="65"/>
        <v>0</v>
      </c>
      <c r="P46" s="799">
        <f>'[4]Общеразвив.программы на МЗ'!G416</f>
        <v>0</v>
      </c>
      <c r="Q46" s="799">
        <f>'[4]Общеразвив.программы на МЗ'!J416</f>
        <v>0</v>
      </c>
      <c r="R46" s="799">
        <f>'[4]Общеразвив.программы на МЗ'!L416</f>
        <v>0</v>
      </c>
      <c r="S46" s="801">
        <f>'[4]Общеразвив.программы на МЗ'!M416</f>
        <v>0</v>
      </c>
      <c r="T46" s="784">
        <f t="shared" si="66"/>
        <v>0</v>
      </c>
      <c r="U46" s="784">
        <f t="shared" si="66"/>
        <v>0</v>
      </c>
      <c r="V46" s="804">
        <f t="shared" si="66"/>
        <v>0</v>
      </c>
      <c r="W46" s="803">
        <f t="shared" si="66"/>
        <v>0</v>
      </c>
      <c r="X46" s="786">
        <f>V46-R46-N46</f>
        <v>0</v>
      </c>
      <c r="Z46" s="863">
        <f t="shared" ref="Z46:Z56" si="70">U46</f>
        <v>0</v>
      </c>
      <c r="AA46" s="863">
        <f t="shared" ref="AA46:AA56" si="71">T46</f>
        <v>0</v>
      </c>
      <c r="AB46" s="863">
        <f t="shared" ref="AB46:AB56" si="72">V46</f>
        <v>0</v>
      </c>
      <c r="AC46" s="863">
        <f t="shared" ref="AC46:AC56" si="73">C46</f>
        <v>0</v>
      </c>
      <c r="AD46" s="864">
        <f t="shared" ref="AD46:AD56" si="74">W46</f>
        <v>0</v>
      </c>
    </row>
    <row r="47" spans="1:30" x14ac:dyDescent="0.25">
      <c r="A47" s="1194" t="s">
        <v>646</v>
      </c>
      <c r="B47" s="1195"/>
      <c r="C47" s="781">
        <v>0</v>
      </c>
      <c r="D47" s="799">
        <f>'[4]Стандартные программы'!G199</f>
        <v>0</v>
      </c>
      <c r="E47" s="799">
        <f>'[4]Стандартные программы'!M199</f>
        <v>0</v>
      </c>
      <c r="F47" s="799">
        <f>'[4]Стандартные программы'!Q199</f>
        <v>0</v>
      </c>
      <c r="G47" s="801">
        <f>'[4]Стандартные программы'!R199</f>
        <v>0</v>
      </c>
      <c r="H47" s="799">
        <f>'[4]Адаптированные программы'!G42</f>
        <v>0</v>
      </c>
      <c r="I47" s="799">
        <f>'[4]Адаптированные программы'!M42</f>
        <v>0</v>
      </c>
      <c r="J47" s="799">
        <f>'[4]Адаптированные программы'!Q42</f>
        <v>0</v>
      </c>
      <c r="K47" s="801">
        <f>'[4]Адаптированные программы'!R42</f>
        <v>0</v>
      </c>
      <c r="L47" s="784">
        <f t="shared" si="65"/>
        <v>0</v>
      </c>
      <c r="M47" s="784">
        <f t="shared" si="65"/>
        <v>0</v>
      </c>
      <c r="N47" s="784">
        <f t="shared" si="65"/>
        <v>0</v>
      </c>
      <c r="O47" s="785">
        <f t="shared" si="65"/>
        <v>0</v>
      </c>
      <c r="P47" s="799">
        <f>'[4]Общеразвив.программы на МЗ'!G417</f>
        <v>0</v>
      </c>
      <c r="Q47" s="799">
        <f>'[4]Общеразвив.программы на МЗ'!J417</f>
        <v>0</v>
      </c>
      <c r="R47" s="799">
        <f>'[4]Общеразвив.программы на МЗ'!L417</f>
        <v>0</v>
      </c>
      <c r="S47" s="801">
        <f>'[4]Общеразвив.программы на МЗ'!M417</f>
        <v>0</v>
      </c>
      <c r="T47" s="784">
        <f t="shared" si="66"/>
        <v>0</v>
      </c>
      <c r="U47" s="784">
        <f t="shared" si="66"/>
        <v>0</v>
      </c>
      <c r="V47" s="804">
        <f t="shared" si="66"/>
        <v>0</v>
      </c>
      <c r="W47" s="803">
        <f t="shared" si="66"/>
        <v>0</v>
      </c>
      <c r="X47" s="786">
        <f t="shared" ref="X47:X56" si="75">V47-R47-N47</f>
        <v>0</v>
      </c>
      <c r="Z47" s="863">
        <f t="shared" si="70"/>
        <v>0</v>
      </c>
      <c r="AA47" s="863">
        <f t="shared" si="71"/>
        <v>0</v>
      </c>
      <c r="AB47" s="863">
        <f t="shared" si="72"/>
        <v>0</v>
      </c>
      <c r="AC47" s="863">
        <f t="shared" si="73"/>
        <v>0</v>
      </c>
      <c r="AD47" s="864">
        <f t="shared" si="74"/>
        <v>0</v>
      </c>
    </row>
    <row r="48" spans="1:30" x14ac:dyDescent="0.25">
      <c r="A48" s="1194" t="s">
        <v>643</v>
      </c>
      <c r="B48" s="1195"/>
      <c r="C48" s="781">
        <v>0</v>
      </c>
      <c r="D48" s="799">
        <f>'[4]Стандартные программы'!G200</f>
        <v>0</v>
      </c>
      <c r="E48" s="799">
        <f>'[4]Стандартные программы'!M200</f>
        <v>0</v>
      </c>
      <c r="F48" s="799">
        <f>'[4]Стандартные программы'!Q200</f>
        <v>0</v>
      </c>
      <c r="G48" s="801">
        <f>'[4]Стандартные программы'!R200</f>
        <v>0</v>
      </c>
      <c r="H48" s="799">
        <f>'[4]Адаптированные программы'!G43</f>
        <v>0</v>
      </c>
      <c r="I48" s="799">
        <f>'[4]Адаптированные программы'!M43</f>
        <v>0</v>
      </c>
      <c r="J48" s="799">
        <f>'[4]Адаптированные программы'!Q43</f>
        <v>0</v>
      </c>
      <c r="K48" s="801">
        <f>'[4]Адаптированные программы'!R43</f>
        <v>0</v>
      </c>
      <c r="L48" s="784">
        <f t="shared" si="65"/>
        <v>0</v>
      </c>
      <c r="M48" s="784">
        <f t="shared" si="65"/>
        <v>0</v>
      </c>
      <c r="N48" s="784">
        <f t="shared" si="65"/>
        <v>0</v>
      </c>
      <c r="O48" s="785">
        <f t="shared" si="65"/>
        <v>0</v>
      </c>
      <c r="P48" s="799">
        <f>'[4]Общеразвив.программы на МЗ'!G418</f>
        <v>0</v>
      </c>
      <c r="Q48" s="799">
        <f>'[4]Общеразвив.программы на МЗ'!J418</f>
        <v>0</v>
      </c>
      <c r="R48" s="799">
        <f>'[4]Общеразвив.программы на МЗ'!L418</f>
        <v>0</v>
      </c>
      <c r="S48" s="801">
        <f>'[4]Общеразвив.программы на МЗ'!M418</f>
        <v>0</v>
      </c>
      <c r="T48" s="784">
        <f t="shared" si="66"/>
        <v>0</v>
      </c>
      <c r="U48" s="784">
        <f t="shared" si="66"/>
        <v>0</v>
      </c>
      <c r="V48" s="804">
        <f t="shared" si="66"/>
        <v>0</v>
      </c>
      <c r="W48" s="803">
        <f t="shared" si="66"/>
        <v>0</v>
      </c>
      <c r="X48" s="786">
        <f t="shared" si="75"/>
        <v>0</v>
      </c>
      <c r="Z48" s="863">
        <f t="shared" si="70"/>
        <v>0</v>
      </c>
      <c r="AA48" s="863">
        <f t="shared" si="71"/>
        <v>0</v>
      </c>
      <c r="AB48" s="863">
        <f t="shared" si="72"/>
        <v>0</v>
      </c>
      <c r="AC48" s="863">
        <f t="shared" si="73"/>
        <v>0</v>
      </c>
      <c r="AD48" s="864">
        <f t="shared" si="74"/>
        <v>0</v>
      </c>
    </row>
    <row r="49" spans="1:30" x14ac:dyDescent="0.25">
      <c r="A49" s="1194" t="s">
        <v>645</v>
      </c>
      <c r="B49" s="1195"/>
      <c r="C49" s="781">
        <v>36</v>
      </c>
      <c r="D49" s="799">
        <f>'[4]Стандартные программы'!G201</f>
        <v>151</v>
      </c>
      <c r="E49" s="799">
        <f>'[4]Стандартные программы'!M201</f>
        <v>10872</v>
      </c>
      <c r="F49" s="799">
        <f>'[4]Стандартные программы'!Q201</f>
        <v>12</v>
      </c>
      <c r="G49" s="801">
        <f>'[4]Стандартные программы'!R201</f>
        <v>1.32</v>
      </c>
      <c r="H49" s="799">
        <f>'[4]Адаптированные программы'!G44</f>
        <v>0</v>
      </c>
      <c r="I49" s="799">
        <f>'[4]Адаптированные программы'!M44</f>
        <v>0</v>
      </c>
      <c r="J49" s="799">
        <f>'[4]Адаптированные программы'!Q44</f>
        <v>0</v>
      </c>
      <c r="K49" s="801">
        <f>'[4]Адаптированные программы'!R44</f>
        <v>0</v>
      </c>
      <c r="L49" s="784">
        <f t="shared" si="65"/>
        <v>151</v>
      </c>
      <c r="M49" s="784">
        <f t="shared" si="65"/>
        <v>10872</v>
      </c>
      <c r="N49" s="784">
        <f t="shared" si="65"/>
        <v>12</v>
      </c>
      <c r="O49" s="785">
        <f t="shared" si="65"/>
        <v>1.32</v>
      </c>
      <c r="P49" s="799">
        <f>'[4]Общеразвив.программы на МЗ'!G419</f>
        <v>453</v>
      </c>
      <c r="Q49" s="799">
        <f>'[4]Общеразвив.программы на МЗ'!J419</f>
        <v>84888</v>
      </c>
      <c r="R49" s="799">
        <f>'[4]Общеразвив.программы на МЗ'!L419</f>
        <v>42</v>
      </c>
      <c r="S49" s="801">
        <f>'[4]Общеразвив.программы на МЗ'!M419</f>
        <v>12.03</v>
      </c>
      <c r="T49" s="784">
        <f t="shared" si="66"/>
        <v>604</v>
      </c>
      <c r="U49" s="784">
        <f t="shared" si="66"/>
        <v>95760</v>
      </c>
      <c r="V49" s="804">
        <f t="shared" si="66"/>
        <v>54</v>
      </c>
      <c r="W49" s="803">
        <f t="shared" si="66"/>
        <v>13.35</v>
      </c>
      <c r="X49" s="786">
        <f t="shared" si="75"/>
        <v>0</v>
      </c>
      <c r="Z49" s="863">
        <f t="shared" si="70"/>
        <v>95760</v>
      </c>
      <c r="AA49" s="863">
        <f t="shared" si="71"/>
        <v>604</v>
      </c>
      <c r="AB49" s="863">
        <f t="shared" si="72"/>
        <v>54</v>
      </c>
      <c r="AC49" s="863">
        <f t="shared" si="73"/>
        <v>36</v>
      </c>
      <c r="AD49" s="864">
        <f t="shared" si="74"/>
        <v>13.35</v>
      </c>
    </row>
    <row r="50" spans="1:30" x14ac:dyDescent="0.25">
      <c r="A50" s="1194" t="s">
        <v>644</v>
      </c>
      <c r="B50" s="1195"/>
      <c r="C50" s="781"/>
      <c r="D50" s="799">
        <f>'[4]Стандартные программы'!G202</f>
        <v>0</v>
      </c>
      <c r="E50" s="799">
        <f>'[4]Стандартные программы'!M202</f>
        <v>0</v>
      </c>
      <c r="F50" s="799">
        <f>'[4]Стандартные программы'!Q202</f>
        <v>0</v>
      </c>
      <c r="G50" s="801">
        <f>'[4]Стандартные программы'!R202</f>
        <v>0</v>
      </c>
      <c r="H50" s="799">
        <f>'[4]Адаптированные программы'!G45</f>
        <v>0</v>
      </c>
      <c r="I50" s="799">
        <f>'[4]Адаптированные программы'!M45</f>
        <v>0</v>
      </c>
      <c r="J50" s="799">
        <f>'[4]Адаптированные программы'!Q45</f>
        <v>0</v>
      </c>
      <c r="K50" s="801">
        <f>'[4]Адаптированные программы'!R45</f>
        <v>0</v>
      </c>
      <c r="L50" s="784">
        <f t="shared" si="65"/>
        <v>0</v>
      </c>
      <c r="M50" s="784">
        <f t="shared" si="65"/>
        <v>0</v>
      </c>
      <c r="N50" s="784">
        <f t="shared" si="65"/>
        <v>0</v>
      </c>
      <c r="O50" s="785">
        <f t="shared" si="65"/>
        <v>0</v>
      </c>
      <c r="P50" s="799">
        <f>'[4]Общеразвив.программы на МЗ'!G420</f>
        <v>0</v>
      </c>
      <c r="Q50" s="799">
        <f>'[4]Общеразвив.программы на МЗ'!J420</f>
        <v>0</v>
      </c>
      <c r="R50" s="799">
        <f>'[4]Общеразвив.программы на МЗ'!L420</f>
        <v>0</v>
      </c>
      <c r="S50" s="801">
        <f>'[4]Общеразвив.программы на МЗ'!M420</f>
        <v>0</v>
      </c>
      <c r="T50" s="784">
        <f t="shared" si="66"/>
        <v>0</v>
      </c>
      <c r="U50" s="784">
        <f t="shared" si="66"/>
        <v>0</v>
      </c>
      <c r="V50" s="804">
        <f t="shared" si="66"/>
        <v>0</v>
      </c>
      <c r="W50" s="803">
        <f t="shared" si="66"/>
        <v>0</v>
      </c>
      <c r="X50" s="786">
        <f t="shared" si="75"/>
        <v>0</v>
      </c>
      <c r="Z50" s="863">
        <f t="shared" si="70"/>
        <v>0</v>
      </c>
      <c r="AA50" s="863">
        <f t="shared" si="71"/>
        <v>0</v>
      </c>
      <c r="AB50" s="863">
        <f t="shared" si="72"/>
        <v>0</v>
      </c>
      <c r="AC50" s="863">
        <f t="shared" si="73"/>
        <v>0</v>
      </c>
      <c r="AD50" s="864">
        <f t="shared" si="74"/>
        <v>0</v>
      </c>
    </row>
    <row r="51" spans="1:30" s="806" customFormat="1" x14ac:dyDescent="0.25">
      <c r="A51" s="805"/>
      <c r="B51" s="788" t="s">
        <v>1176</v>
      </c>
      <c r="C51" s="788">
        <v>36</v>
      </c>
      <c r="D51" s="794">
        <f t="shared" ref="D51" si="76">D50-D52</f>
        <v>0</v>
      </c>
      <c r="E51" s="794">
        <f t="shared" ref="E51" si="77">E50-E52</f>
        <v>0</v>
      </c>
      <c r="F51" s="794">
        <f t="shared" ref="F51" si="78">F50-F52</f>
        <v>0</v>
      </c>
      <c r="G51" s="795">
        <f t="shared" ref="G51" si="79">G50-G52</f>
        <v>0</v>
      </c>
      <c r="H51" s="794">
        <f t="shared" ref="H51" si="80">H50-H52</f>
        <v>0</v>
      </c>
      <c r="I51" s="794">
        <f t="shared" ref="I51" si="81">I50-I52</f>
        <v>0</v>
      </c>
      <c r="J51" s="794">
        <f t="shared" ref="J51" si="82">J50-J52</f>
        <v>0</v>
      </c>
      <c r="K51" s="795">
        <f t="shared" ref="K51" si="83">K50-K52</f>
        <v>0</v>
      </c>
      <c r="L51" s="790">
        <f t="shared" si="65"/>
        <v>0</v>
      </c>
      <c r="M51" s="790">
        <f t="shared" si="65"/>
        <v>0</v>
      </c>
      <c r="N51" s="790">
        <f t="shared" si="65"/>
        <v>0</v>
      </c>
      <c r="O51" s="791">
        <f t="shared" si="65"/>
        <v>0</v>
      </c>
      <c r="P51" s="794">
        <f>P50-P52</f>
        <v>0</v>
      </c>
      <c r="Q51" s="794">
        <f>Q50-Q52</f>
        <v>0</v>
      </c>
      <c r="R51" s="794">
        <f>R50-R52</f>
        <v>0</v>
      </c>
      <c r="S51" s="795">
        <f>S50-S52</f>
        <v>0</v>
      </c>
      <c r="T51" s="790">
        <f t="shared" si="66"/>
        <v>0</v>
      </c>
      <c r="U51" s="790">
        <f t="shared" si="66"/>
        <v>0</v>
      </c>
      <c r="V51" s="804">
        <f t="shared" si="66"/>
        <v>0</v>
      </c>
      <c r="W51" s="803">
        <f t="shared" si="66"/>
        <v>0</v>
      </c>
      <c r="X51" s="786">
        <f t="shared" si="75"/>
        <v>0</v>
      </c>
      <c r="Z51" s="863">
        <f t="shared" si="70"/>
        <v>0</v>
      </c>
      <c r="AA51" s="863">
        <f t="shared" si="71"/>
        <v>0</v>
      </c>
      <c r="AB51" s="863">
        <f t="shared" si="72"/>
        <v>0</v>
      </c>
      <c r="AC51" s="863">
        <f t="shared" si="73"/>
        <v>36</v>
      </c>
      <c r="AD51" s="864">
        <f t="shared" si="74"/>
        <v>0</v>
      </c>
    </row>
    <row r="52" spans="1:30" s="806" customFormat="1" x14ac:dyDescent="0.25">
      <c r="A52" s="805"/>
      <c r="B52" s="788" t="s">
        <v>1177</v>
      </c>
      <c r="C52" s="788">
        <v>44</v>
      </c>
      <c r="D52" s="807"/>
      <c r="E52" s="807"/>
      <c r="F52" s="808"/>
      <c r="G52" s="809"/>
      <c r="H52" s="810"/>
      <c r="I52" s="810"/>
      <c r="J52" s="811"/>
      <c r="K52" s="812"/>
      <c r="L52" s="790">
        <f t="shared" si="65"/>
        <v>0</v>
      </c>
      <c r="M52" s="790">
        <f t="shared" si="65"/>
        <v>0</v>
      </c>
      <c r="N52" s="790">
        <f t="shared" si="65"/>
        <v>0</v>
      </c>
      <c r="O52" s="791">
        <f t="shared" si="65"/>
        <v>0</v>
      </c>
      <c r="P52" s="813"/>
      <c r="Q52" s="813"/>
      <c r="R52" s="808"/>
      <c r="S52" s="809"/>
      <c r="T52" s="790">
        <f t="shared" si="66"/>
        <v>0</v>
      </c>
      <c r="U52" s="790">
        <f t="shared" si="66"/>
        <v>0</v>
      </c>
      <c r="V52" s="804">
        <f t="shared" si="66"/>
        <v>0</v>
      </c>
      <c r="W52" s="803">
        <f t="shared" si="66"/>
        <v>0</v>
      </c>
      <c r="X52" s="786">
        <f t="shared" si="75"/>
        <v>0</v>
      </c>
      <c r="Z52" s="863">
        <f t="shared" si="70"/>
        <v>0</v>
      </c>
      <c r="AA52" s="863">
        <f t="shared" si="71"/>
        <v>0</v>
      </c>
      <c r="AB52" s="863">
        <f t="shared" si="72"/>
        <v>0</v>
      </c>
      <c r="AC52" s="863">
        <f t="shared" si="73"/>
        <v>44</v>
      </c>
      <c r="AD52" s="864">
        <f t="shared" si="74"/>
        <v>0</v>
      </c>
    </row>
    <row r="53" spans="1:30" x14ac:dyDescent="0.25">
      <c r="A53" s="1194" t="s">
        <v>1178</v>
      </c>
      <c r="B53" s="1195"/>
      <c r="C53" s="781">
        <v>0</v>
      </c>
      <c r="D53" s="799">
        <f>'[4]Стандартные программы'!G203</f>
        <v>0</v>
      </c>
      <c r="E53" s="799">
        <f>'[4]Стандартные программы'!M203</f>
        <v>0</v>
      </c>
      <c r="F53" s="799">
        <f>'[4]Стандартные программы'!Q203</f>
        <v>0</v>
      </c>
      <c r="G53" s="801">
        <f>'[4]Стандартные программы'!R203</f>
        <v>0</v>
      </c>
      <c r="H53" s="799">
        <f>'[4]Адаптированные программы'!G46</f>
        <v>0</v>
      </c>
      <c r="I53" s="799">
        <f>'[4]Адаптированные программы'!M46</f>
        <v>0</v>
      </c>
      <c r="J53" s="799">
        <f>'[4]Адаптированные программы'!Q46</f>
        <v>0</v>
      </c>
      <c r="K53" s="801">
        <f>'[4]Адаптированные программы'!R46</f>
        <v>0</v>
      </c>
      <c r="L53" s="784">
        <f t="shared" si="65"/>
        <v>0</v>
      </c>
      <c r="M53" s="784">
        <f t="shared" si="65"/>
        <v>0</v>
      </c>
      <c r="N53" s="784">
        <f t="shared" si="65"/>
        <v>0</v>
      </c>
      <c r="O53" s="785">
        <f t="shared" si="65"/>
        <v>0</v>
      </c>
      <c r="P53" s="799">
        <f>'[4]Общеразвив.программы на МЗ'!G421</f>
        <v>0</v>
      </c>
      <c r="Q53" s="799">
        <f>'[4]Общеразвив.программы на МЗ'!J421</f>
        <v>0</v>
      </c>
      <c r="R53" s="799">
        <f>'[4]Общеразвив.программы на МЗ'!L421</f>
        <v>0</v>
      </c>
      <c r="S53" s="801">
        <f>'[4]Общеразвив.программы на МЗ'!M421</f>
        <v>0</v>
      </c>
      <c r="T53" s="784">
        <f t="shared" si="66"/>
        <v>0</v>
      </c>
      <c r="U53" s="784">
        <f t="shared" si="66"/>
        <v>0</v>
      </c>
      <c r="V53" s="804">
        <f t="shared" si="66"/>
        <v>0</v>
      </c>
      <c r="W53" s="803">
        <f t="shared" si="66"/>
        <v>0</v>
      </c>
      <c r="X53" s="786">
        <f t="shared" si="75"/>
        <v>0</v>
      </c>
      <c r="Z53" s="863">
        <f t="shared" si="70"/>
        <v>0</v>
      </c>
      <c r="AA53" s="863">
        <f t="shared" si="71"/>
        <v>0</v>
      </c>
      <c r="AB53" s="863">
        <f t="shared" si="72"/>
        <v>0</v>
      </c>
      <c r="AC53" s="863">
        <f t="shared" si="73"/>
        <v>0</v>
      </c>
      <c r="AD53" s="864">
        <f t="shared" si="74"/>
        <v>0</v>
      </c>
    </row>
    <row r="54" spans="1:30" x14ac:dyDescent="0.25">
      <c r="A54" s="1194" t="s">
        <v>1179</v>
      </c>
      <c r="B54" s="1195"/>
      <c r="C54" s="781">
        <v>0</v>
      </c>
      <c r="D54" s="799">
        <f>'[4]Стандартные программы'!G204</f>
        <v>0</v>
      </c>
      <c r="E54" s="799">
        <f>'[4]Стандартные программы'!M204</f>
        <v>0</v>
      </c>
      <c r="F54" s="799">
        <f>'[4]Стандартные программы'!Q204</f>
        <v>0</v>
      </c>
      <c r="G54" s="801">
        <f>'[4]Стандартные программы'!R204</f>
        <v>0</v>
      </c>
      <c r="H54" s="799">
        <f>'[4]Адаптированные программы'!G47</f>
        <v>0</v>
      </c>
      <c r="I54" s="799">
        <f>'[4]Адаптированные программы'!M47</f>
        <v>0</v>
      </c>
      <c r="J54" s="799">
        <f>'[4]Адаптированные программы'!Q47</f>
        <v>0</v>
      </c>
      <c r="K54" s="801">
        <f>'[4]Адаптированные программы'!R47</f>
        <v>0</v>
      </c>
      <c r="L54" s="784">
        <f t="shared" si="65"/>
        <v>0</v>
      </c>
      <c r="M54" s="784">
        <f t="shared" si="65"/>
        <v>0</v>
      </c>
      <c r="N54" s="784">
        <f t="shared" si="65"/>
        <v>0</v>
      </c>
      <c r="O54" s="785">
        <f t="shared" si="65"/>
        <v>0</v>
      </c>
      <c r="P54" s="799">
        <f>'[4]Общеразвив.программы на МЗ'!G422</f>
        <v>0</v>
      </c>
      <c r="Q54" s="799">
        <f>'[4]Общеразвив.программы на МЗ'!J422</f>
        <v>0</v>
      </c>
      <c r="R54" s="799">
        <f>'[4]Общеразвив.программы на МЗ'!L422</f>
        <v>0</v>
      </c>
      <c r="S54" s="801">
        <f>'[4]Общеразвив.программы на МЗ'!M422</f>
        <v>0</v>
      </c>
      <c r="T54" s="784">
        <f t="shared" si="66"/>
        <v>0</v>
      </c>
      <c r="U54" s="784">
        <f t="shared" si="66"/>
        <v>0</v>
      </c>
      <c r="V54" s="804">
        <f t="shared" si="66"/>
        <v>0</v>
      </c>
      <c r="W54" s="803">
        <f t="shared" si="66"/>
        <v>0</v>
      </c>
      <c r="X54" s="786">
        <f t="shared" si="75"/>
        <v>0</v>
      </c>
      <c r="Z54" s="863">
        <f t="shared" si="70"/>
        <v>0</v>
      </c>
      <c r="AA54" s="863">
        <f t="shared" si="71"/>
        <v>0</v>
      </c>
      <c r="AB54" s="863">
        <f t="shared" si="72"/>
        <v>0</v>
      </c>
      <c r="AC54" s="863">
        <f t="shared" si="73"/>
        <v>0</v>
      </c>
      <c r="AD54" s="864">
        <f t="shared" si="74"/>
        <v>0</v>
      </c>
    </row>
    <row r="55" spans="1:30" x14ac:dyDescent="0.25">
      <c r="A55" s="1194" t="s">
        <v>1180</v>
      </c>
      <c r="B55" s="1195"/>
      <c r="C55" s="781">
        <v>0</v>
      </c>
      <c r="D55" s="799">
        <f>'[4]Стандартные программы'!G205</f>
        <v>0</v>
      </c>
      <c r="E55" s="799">
        <f>'[4]Стандартные программы'!M205</f>
        <v>0</v>
      </c>
      <c r="F55" s="799">
        <f>'[4]Стандартные программы'!Q205</f>
        <v>0</v>
      </c>
      <c r="G55" s="801">
        <f>'[4]Стандартные программы'!R205</f>
        <v>0</v>
      </c>
      <c r="H55" s="799">
        <f>'[4]Адаптированные программы'!G48</f>
        <v>0</v>
      </c>
      <c r="I55" s="799">
        <f>'[4]Адаптированные программы'!M48</f>
        <v>0</v>
      </c>
      <c r="J55" s="799">
        <f>'[4]Адаптированные программы'!Q48</f>
        <v>0</v>
      </c>
      <c r="K55" s="801">
        <f>'[4]Адаптированные программы'!R48</f>
        <v>0</v>
      </c>
      <c r="L55" s="784">
        <f t="shared" si="65"/>
        <v>0</v>
      </c>
      <c r="M55" s="784">
        <f t="shared" si="65"/>
        <v>0</v>
      </c>
      <c r="N55" s="784">
        <f t="shared" si="65"/>
        <v>0</v>
      </c>
      <c r="O55" s="785">
        <f t="shared" si="65"/>
        <v>0</v>
      </c>
      <c r="P55" s="799">
        <f>'[4]Общеразвив.программы на МЗ'!G423</f>
        <v>0</v>
      </c>
      <c r="Q55" s="799">
        <f>'[4]Общеразвив.программы на МЗ'!J423</f>
        <v>0</v>
      </c>
      <c r="R55" s="799">
        <f>'[4]Общеразвив.программы на МЗ'!L423</f>
        <v>0</v>
      </c>
      <c r="S55" s="801">
        <f>'[4]Общеразвив.программы на МЗ'!M423</f>
        <v>0</v>
      </c>
      <c r="T55" s="784">
        <f t="shared" si="66"/>
        <v>0</v>
      </c>
      <c r="U55" s="784">
        <f t="shared" si="66"/>
        <v>0</v>
      </c>
      <c r="V55" s="804">
        <f t="shared" si="66"/>
        <v>0</v>
      </c>
      <c r="W55" s="803">
        <f t="shared" si="66"/>
        <v>0</v>
      </c>
      <c r="X55" s="786">
        <f t="shared" si="75"/>
        <v>0</v>
      </c>
      <c r="Z55" s="863">
        <f t="shared" si="70"/>
        <v>0</v>
      </c>
      <c r="AA55" s="863">
        <f t="shared" si="71"/>
        <v>0</v>
      </c>
      <c r="AB55" s="863">
        <f t="shared" si="72"/>
        <v>0</v>
      </c>
      <c r="AC55" s="863">
        <f t="shared" si="73"/>
        <v>0</v>
      </c>
      <c r="AD55" s="864">
        <f t="shared" si="74"/>
        <v>0</v>
      </c>
    </row>
    <row r="56" spans="1:30" x14ac:dyDescent="0.25">
      <c r="A56" s="1194" t="s">
        <v>1181</v>
      </c>
      <c r="B56" s="1195"/>
      <c r="C56" s="781">
        <v>0</v>
      </c>
      <c r="D56" s="799">
        <f>'[4]Стандартные программы'!G206</f>
        <v>0</v>
      </c>
      <c r="E56" s="799">
        <f>'[4]Стандартные программы'!M206</f>
        <v>0</v>
      </c>
      <c r="F56" s="799">
        <f>'[4]Стандартные программы'!Q206</f>
        <v>0</v>
      </c>
      <c r="G56" s="801">
        <f>'[4]Стандартные программы'!R206</f>
        <v>0</v>
      </c>
      <c r="H56" s="799">
        <f>'[4]Адаптированные программы'!G49</f>
        <v>0</v>
      </c>
      <c r="I56" s="799">
        <f>'[4]Адаптированные программы'!M49</f>
        <v>0</v>
      </c>
      <c r="J56" s="799">
        <f>'[4]Адаптированные программы'!Q49</f>
        <v>0</v>
      </c>
      <c r="K56" s="801">
        <f>'[4]Адаптированные программы'!R49</f>
        <v>0</v>
      </c>
      <c r="L56" s="784">
        <f t="shared" si="65"/>
        <v>0</v>
      </c>
      <c r="M56" s="784">
        <f t="shared" si="65"/>
        <v>0</v>
      </c>
      <c r="N56" s="784">
        <f t="shared" si="65"/>
        <v>0</v>
      </c>
      <c r="O56" s="785">
        <f t="shared" si="65"/>
        <v>0</v>
      </c>
      <c r="P56" s="799">
        <f>'[4]Общеразвив.программы на МЗ'!G424</f>
        <v>0</v>
      </c>
      <c r="Q56" s="799">
        <f>'[4]Общеразвив.программы на МЗ'!J424</f>
        <v>0</v>
      </c>
      <c r="R56" s="799">
        <f>'[4]Общеразвив.программы на МЗ'!L424</f>
        <v>0</v>
      </c>
      <c r="S56" s="801">
        <f>'[4]Общеразвив.программы на МЗ'!M424</f>
        <v>0</v>
      </c>
      <c r="T56" s="784">
        <f t="shared" si="66"/>
        <v>0</v>
      </c>
      <c r="U56" s="784">
        <f t="shared" si="66"/>
        <v>0</v>
      </c>
      <c r="V56" s="804">
        <f t="shared" si="66"/>
        <v>0</v>
      </c>
      <c r="W56" s="803">
        <f t="shared" si="66"/>
        <v>0</v>
      </c>
      <c r="X56" s="786">
        <f t="shared" si="75"/>
        <v>0</v>
      </c>
      <c r="Z56" s="863">
        <f t="shared" si="70"/>
        <v>0</v>
      </c>
      <c r="AA56" s="863">
        <f t="shared" si="71"/>
        <v>0</v>
      </c>
      <c r="AB56" s="863">
        <f t="shared" si="72"/>
        <v>0</v>
      </c>
      <c r="AC56" s="863">
        <f t="shared" si="73"/>
        <v>0</v>
      </c>
      <c r="AD56" s="864">
        <f t="shared" si="74"/>
        <v>0</v>
      </c>
    </row>
    <row r="57" spans="1:30" x14ac:dyDescent="0.25">
      <c r="A57" s="792" t="s">
        <v>1182</v>
      </c>
      <c r="B57" s="793"/>
      <c r="C57" s="793"/>
      <c r="D57" s="794">
        <f>D45-D46-D47-D48-D49-D50-D53-D54-D55-D56</f>
        <v>0</v>
      </c>
      <c r="E57" s="794">
        <f>E45-E46-E47-E48-E49-E50-E53-E54-E55-E56</f>
        <v>0</v>
      </c>
      <c r="F57" s="794"/>
      <c r="G57" s="795"/>
      <c r="H57" s="794">
        <f>H45-H46-H47-H48-H49-H50-H53-H54-H55-H56</f>
        <v>0</v>
      </c>
      <c r="I57" s="794">
        <f>I45-I46-I47-I48-I49-I50-I53-I54-I55-I56</f>
        <v>0</v>
      </c>
      <c r="J57" s="794"/>
      <c r="K57" s="795"/>
      <c r="L57" s="796">
        <f>L45-L46-L47-L48-L49-L50-L53-L54-L55-L56</f>
        <v>0</v>
      </c>
      <c r="M57" s="796">
        <f>M45-M46-M47-M48-M49-M50-M53-M54-M55-M56</f>
        <v>0</v>
      </c>
      <c r="N57" s="796"/>
      <c r="O57" s="797"/>
      <c r="P57" s="794">
        <f>P45-P46-P47-P48-P49-P50-P53-P54-P55-P56</f>
        <v>0</v>
      </c>
      <c r="Q57" s="794">
        <f>Q45-Q46-Q47-Q48-Q49-Q50-Q53-Q54-Q55-Q56</f>
        <v>0</v>
      </c>
      <c r="R57" s="794"/>
      <c r="S57" s="795"/>
      <c r="T57" s="796">
        <f>T45-T46-T47-T48-T49-T50-T53-T54-T55-T56</f>
        <v>0</v>
      </c>
      <c r="U57" s="796">
        <f>U45-U46-U47-U48-U49-U50-U53-U54-U55-U56</f>
        <v>0</v>
      </c>
      <c r="V57" s="796"/>
      <c r="W57" s="797"/>
      <c r="X57" s="798"/>
      <c r="Z57" s="794">
        <f>Z45-Z46-Z47-Z48-Z49-Z50-Z53-Z54-Z55-Z56</f>
        <v>0</v>
      </c>
      <c r="AA57" s="794">
        <f>AA45-AA46-AA47-AA48-AA49-AA50-AA53-AA54-AA55-AA56</f>
        <v>0</v>
      </c>
      <c r="AB57" s="794"/>
      <c r="AC57" s="794"/>
      <c r="AD57" s="795"/>
    </row>
    <row r="58" spans="1:30" x14ac:dyDescent="0.25">
      <c r="A58" s="775" t="s">
        <v>49</v>
      </c>
      <c r="B58" s="775"/>
      <c r="C58" s="775"/>
      <c r="D58" s="777">
        <f>'[4]Стандартные программы'!G208</f>
        <v>1382</v>
      </c>
      <c r="E58" s="777">
        <f>'[4]Стандартные программы'!M208</f>
        <v>101104</v>
      </c>
      <c r="F58" s="777">
        <f>F59+F60+F61+F62+F63+F66+F67+F68+F69</f>
        <v>29</v>
      </c>
      <c r="G58" s="778">
        <f>G59+G60+G61+G62+G63+G66+G67+G68+G69</f>
        <v>3.19</v>
      </c>
      <c r="H58" s="777">
        <f>'[4]Адаптированные программы'!G51</f>
        <v>28</v>
      </c>
      <c r="I58" s="777">
        <f>'[4]Адаптированные программы'!M51</f>
        <v>2464</v>
      </c>
      <c r="J58" s="777">
        <f>J59+J60+J61+J62+J63+J66+J67+J68+J69</f>
        <v>2</v>
      </c>
      <c r="K58" s="778">
        <f>K59+K60+K61+K62+K63+K66+K67+K68+K69</f>
        <v>0.22</v>
      </c>
      <c r="L58" s="777">
        <f t="shared" ref="L58:O69" si="84">D58+H58</f>
        <v>1410</v>
      </c>
      <c r="M58" s="777">
        <f t="shared" si="84"/>
        <v>103568</v>
      </c>
      <c r="N58" s="777">
        <f>N59+N60+N61+N62+N63+N66+N67+N68+N69</f>
        <v>31</v>
      </c>
      <c r="O58" s="778">
        <f>O59+O60+O61+O62+O63+O66+O67+O68+O69</f>
        <v>3.41</v>
      </c>
      <c r="P58" s="777">
        <f>'[4]Общеразвив.программы на МЗ'!G426</f>
        <v>1966</v>
      </c>
      <c r="Q58" s="777">
        <f>'[4]Общеразвив.программы на МЗ'!J426</f>
        <v>239536</v>
      </c>
      <c r="R58" s="777">
        <f>R59+R60+R61+R62+R63+R66+R67+R68+R69</f>
        <v>47</v>
      </c>
      <c r="S58" s="778">
        <f>S59+S60+S61+S62+S63+S66+S67+S68+S69</f>
        <v>10.61</v>
      </c>
      <c r="T58" s="777">
        <f t="shared" ref="T58:W69" si="85">L58+P58</f>
        <v>3376</v>
      </c>
      <c r="U58" s="777">
        <f t="shared" si="85"/>
        <v>343104</v>
      </c>
      <c r="V58" s="777">
        <f>V59+V60+V61+V62+V63+V66+V67+V68+V69</f>
        <v>78</v>
      </c>
      <c r="W58" s="778">
        <f>W59+W60+W61+W62+W63+W66+W67+W68+W69</f>
        <v>14.02</v>
      </c>
      <c r="X58" s="779"/>
      <c r="Z58" s="777">
        <f t="shared" ref="Z58" si="86">Z59+Z60+Z61+Z62+Z63+Z66+Z67+Z68+Z69</f>
        <v>343104</v>
      </c>
      <c r="AA58" s="777">
        <f t="shared" ref="AA58" si="87">AA59+AA60+AA61+AA62+AA63+AA66+AA67+AA68+AA69</f>
        <v>3376</v>
      </c>
      <c r="AB58" s="777">
        <f t="shared" ref="AB58" si="88">AB59+AB60+AB61+AB62+AB63+AB66+AB67+AB68+AB69</f>
        <v>78</v>
      </c>
      <c r="AC58" s="862" t="s">
        <v>276</v>
      </c>
      <c r="AD58" s="778">
        <f>AD59+AD60+AD61+AD62+AD63+AD66+AD67+AD68+AD69</f>
        <v>14.02</v>
      </c>
    </row>
    <row r="59" spans="1:30" x14ac:dyDescent="0.25">
      <c r="A59" s="1194" t="s">
        <v>647</v>
      </c>
      <c r="B59" s="1195"/>
      <c r="C59" s="781">
        <v>0</v>
      </c>
      <c r="D59" s="799">
        <f>'[4]Стандартные программы'!G209</f>
        <v>0</v>
      </c>
      <c r="E59" s="799">
        <f>'[4]Стандартные программы'!M209</f>
        <v>0</v>
      </c>
      <c r="F59" s="799">
        <f>'[4]Стандартные программы'!Q209</f>
        <v>0</v>
      </c>
      <c r="G59" s="801">
        <f>'[4]Стандартные программы'!R209</f>
        <v>0</v>
      </c>
      <c r="H59" s="799">
        <f>'[4]Адаптированные программы'!G52</f>
        <v>0</v>
      </c>
      <c r="I59" s="799">
        <f>'[4]Адаптированные программы'!M52</f>
        <v>0</v>
      </c>
      <c r="J59" s="799">
        <f>'[4]Адаптированные программы'!Q52</f>
        <v>0</v>
      </c>
      <c r="K59" s="801">
        <f>'[4]Адаптированные программы'!R52</f>
        <v>0</v>
      </c>
      <c r="L59" s="784">
        <f t="shared" si="84"/>
        <v>0</v>
      </c>
      <c r="M59" s="784">
        <f t="shared" si="84"/>
        <v>0</v>
      </c>
      <c r="N59" s="784">
        <f t="shared" si="84"/>
        <v>0</v>
      </c>
      <c r="O59" s="785">
        <f t="shared" si="84"/>
        <v>0</v>
      </c>
      <c r="P59" s="799">
        <f>'[4]Общеразвив.программы на МЗ'!G427</f>
        <v>0</v>
      </c>
      <c r="Q59" s="799">
        <f>'[4]Общеразвив.программы на МЗ'!J427</f>
        <v>0</v>
      </c>
      <c r="R59" s="799">
        <f>'[4]Общеразвив.программы на МЗ'!L427</f>
        <v>0</v>
      </c>
      <c r="S59" s="801">
        <f>'[4]Общеразвив.программы на МЗ'!M427</f>
        <v>0</v>
      </c>
      <c r="T59" s="784">
        <f t="shared" si="85"/>
        <v>0</v>
      </c>
      <c r="U59" s="784">
        <f t="shared" si="85"/>
        <v>0</v>
      </c>
      <c r="V59" s="804">
        <f t="shared" si="85"/>
        <v>0</v>
      </c>
      <c r="W59" s="803">
        <f t="shared" si="85"/>
        <v>0</v>
      </c>
      <c r="X59" s="786">
        <f>V59-R59-N59</f>
        <v>0</v>
      </c>
      <c r="Z59" s="863">
        <f t="shared" ref="Z59:Z69" si="89">U59</f>
        <v>0</v>
      </c>
      <c r="AA59" s="863">
        <f t="shared" ref="AA59:AA69" si="90">T59</f>
        <v>0</v>
      </c>
      <c r="AB59" s="863">
        <f t="shared" ref="AB59:AB69" si="91">V59</f>
        <v>0</v>
      </c>
      <c r="AC59" s="863">
        <f t="shared" ref="AC59:AC69" si="92">C59</f>
        <v>0</v>
      </c>
      <c r="AD59" s="864">
        <f t="shared" ref="AD59:AD69" si="93">W59</f>
        <v>0</v>
      </c>
    </row>
    <row r="60" spans="1:30" x14ac:dyDescent="0.25">
      <c r="A60" s="1194" t="s">
        <v>646</v>
      </c>
      <c r="B60" s="1195"/>
      <c r="C60" s="781">
        <v>0</v>
      </c>
      <c r="D60" s="799">
        <f>'[4]Стандартные программы'!G210</f>
        <v>0</v>
      </c>
      <c r="E60" s="799">
        <f>'[4]Стандартные программы'!M210</f>
        <v>0</v>
      </c>
      <c r="F60" s="799">
        <f>'[4]Стандартные программы'!Q210</f>
        <v>0</v>
      </c>
      <c r="G60" s="801">
        <f>'[4]Стандартные программы'!R210</f>
        <v>0</v>
      </c>
      <c r="H60" s="799">
        <f>'[4]Адаптированные программы'!G53</f>
        <v>0</v>
      </c>
      <c r="I60" s="799">
        <f>'[4]Адаптированные программы'!M53</f>
        <v>0</v>
      </c>
      <c r="J60" s="799">
        <f>'[4]Адаптированные программы'!Q53</f>
        <v>0</v>
      </c>
      <c r="K60" s="801">
        <f>'[4]Адаптированные программы'!R53</f>
        <v>0</v>
      </c>
      <c r="L60" s="784">
        <f t="shared" si="84"/>
        <v>0</v>
      </c>
      <c r="M60" s="784">
        <f t="shared" si="84"/>
        <v>0</v>
      </c>
      <c r="N60" s="784">
        <f t="shared" si="84"/>
        <v>0</v>
      </c>
      <c r="O60" s="785">
        <f t="shared" si="84"/>
        <v>0</v>
      </c>
      <c r="P60" s="799">
        <f>'[4]Общеразвив.программы на МЗ'!G428</f>
        <v>0</v>
      </c>
      <c r="Q60" s="799">
        <f>'[4]Общеразвив.программы на МЗ'!J428</f>
        <v>0</v>
      </c>
      <c r="R60" s="799">
        <f>'[4]Общеразвив.программы на МЗ'!L428</f>
        <v>0</v>
      </c>
      <c r="S60" s="801">
        <f>'[4]Общеразвив.программы на МЗ'!M428</f>
        <v>0</v>
      </c>
      <c r="T60" s="784">
        <f t="shared" si="85"/>
        <v>0</v>
      </c>
      <c r="U60" s="784">
        <f t="shared" si="85"/>
        <v>0</v>
      </c>
      <c r="V60" s="804">
        <f t="shared" si="85"/>
        <v>0</v>
      </c>
      <c r="W60" s="803">
        <f t="shared" si="85"/>
        <v>0</v>
      </c>
      <c r="X60" s="786">
        <f t="shared" ref="X60:X69" si="94">V60-R60-N60</f>
        <v>0</v>
      </c>
      <c r="Z60" s="863">
        <f t="shared" si="89"/>
        <v>0</v>
      </c>
      <c r="AA60" s="863">
        <f t="shared" si="90"/>
        <v>0</v>
      </c>
      <c r="AB60" s="863">
        <f t="shared" si="91"/>
        <v>0</v>
      </c>
      <c r="AC60" s="863">
        <f t="shared" si="92"/>
        <v>0</v>
      </c>
      <c r="AD60" s="864">
        <f t="shared" si="93"/>
        <v>0</v>
      </c>
    </row>
    <row r="61" spans="1:30" x14ac:dyDescent="0.25">
      <c r="A61" s="1194" t="s">
        <v>643</v>
      </c>
      <c r="B61" s="1195"/>
      <c r="C61" s="781">
        <v>36</v>
      </c>
      <c r="D61" s="799">
        <f>'[4]Стандартные программы'!G211</f>
        <v>486</v>
      </c>
      <c r="E61" s="799">
        <f>'[4]Стандартные программы'!M211</f>
        <v>34992</v>
      </c>
      <c r="F61" s="799">
        <f>'[4]Стандартные программы'!Q211</f>
        <v>14</v>
      </c>
      <c r="G61" s="801">
        <f>'[4]Стандартные программы'!R211</f>
        <v>1.54</v>
      </c>
      <c r="H61" s="799">
        <f>'[4]Адаптированные программы'!G54</f>
        <v>0</v>
      </c>
      <c r="I61" s="799">
        <f>'[4]Адаптированные программы'!M54</f>
        <v>0</v>
      </c>
      <c r="J61" s="799">
        <f>'[4]Адаптированные программы'!Q54</f>
        <v>0</v>
      </c>
      <c r="K61" s="801">
        <f>'[4]Адаптированные программы'!R54</f>
        <v>0</v>
      </c>
      <c r="L61" s="784">
        <f t="shared" si="84"/>
        <v>486</v>
      </c>
      <c r="M61" s="784">
        <f t="shared" si="84"/>
        <v>34992</v>
      </c>
      <c r="N61" s="784">
        <f t="shared" si="84"/>
        <v>14</v>
      </c>
      <c r="O61" s="785">
        <f t="shared" si="84"/>
        <v>1.54</v>
      </c>
      <c r="P61" s="799">
        <f>'[4]Общеразвив.программы на МЗ'!G429</f>
        <v>467</v>
      </c>
      <c r="Q61" s="799">
        <f>'[4]Общеразвив.программы на МЗ'!J429</f>
        <v>93528</v>
      </c>
      <c r="R61" s="799">
        <f>'[4]Общеразвив.программы на МЗ'!L429</f>
        <v>19</v>
      </c>
      <c r="S61" s="801">
        <f>'[4]Общеразвив.программы на МЗ'!M429</f>
        <v>5.0999999999999996</v>
      </c>
      <c r="T61" s="784">
        <f t="shared" si="85"/>
        <v>953</v>
      </c>
      <c r="U61" s="784">
        <f t="shared" si="85"/>
        <v>128520</v>
      </c>
      <c r="V61" s="804">
        <f t="shared" si="85"/>
        <v>33</v>
      </c>
      <c r="W61" s="803">
        <f t="shared" si="85"/>
        <v>6.64</v>
      </c>
      <c r="X61" s="786">
        <f t="shared" si="94"/>
        <v>0</v>
      </c>
      <c r="Z61" s="863">
        <f t="shared" si="89"/>
        <v>128520</v>
      </c>
      <c r="AA61" s="863">
        <f t="shared" si="90"/>
        <v>953</v>
      </c>
      <c r="AB61" s="863">
        <f t="shared" si="91"/>
        <v>33</v>
      </c>
      <c r="AC61" s="863">
        <f t="shared" si="92"/>
        <v>36</v>
      </c>
      <c r="AD61" s="864">
        <f t="shared" si="93"/>
        <v>6.64</v>
      </c>
    </row>
    <row r="62" spans="1:30" x14ac:dyDescent="0.25">
      <c r="A62" s="1194" t="s">
        <v>645</v>
      </c>
      <c r="B62" s="1195"/>
      <c r="C62" s="781">
        <v>36</v>
      </c>
      <c r="D62" s="799">
        <f>'[4]Стандартные программы'!G212</f>
        <v>0</v>
      </c>
      <c r="E62" s="799">
        <f>'[4]Стандартные программы'!M212</f>
        <v>0</v>
      </c>
      <c r="F62" s="799">
        <f>'[4]Стандартные программы'!Q212</f>
        <v>0</v>
      </c>
      <c r="G62" s="801">
        <f>'[4]Стандартные программы'!R212</f>
        <v>0</v>
      </c>
      <c r="H62" s="799">
        <f>'[4]Адаптированные программы'!G55</f>
        <v>0</v>
      </c>
      <c r="I62" s="799">
        <f>'[4]Адаптированные программы'!M55</f>
        <v>0</v>
      </c>
      <c r="J62" s="799">
        <f>'[4]Адаптированные программы'!Q55</f>
        <v>0</v>
      </c>
      <c r="K62" s="801">
        <f>'[4]Адаптированные программы'!R55</f>
        <v>0</v>
      </c>
      <c r="L62" s="784">
        <f t="shared" si="84"/>
        <v>0</v>
      </c>
      <c r="M62" s="784">
        <f t="shared" si="84"/>
        <v>0</v>
      </c>
      <c r="N62" s="784">
        <f t="shared" si="84"/>
        <v>0</v>
      </c>
      <c r="O62" s="785">
        <f t="shared" si="84"/>
        <v>0</v>
      </c>
      <c r="P62" s="799">
        <f>'[4]Общеразвив.программы на МЗ'!G430</f>
        <v>89</v>
      </c>
      <c r="Q62" s="799">
        <f>'[4]Общеразвив.программы на МЗ'!J430</f>
        <v>12816</v>
      </c>
      <c r="R62" s="799">
        <f>'[4]Общеразвив.программы на МЗ'!L430</f>
        <v>1</v>
      </c>
      <c r="S62" s="801">
        <f>'[4]Общеразвив.программы на МЗ'!M430</f>
        <v>0.22</v>
      </c>
      <c r="T62" s="784">
        <f t="shared" si="85"/>
        <v>89</v>
      </c>
      <c r="U62" s="784">
        <f t="shared" si="85"/>
        <v>12816</v>
      </c>
      <c r="V62" s="804">
        <f t="shared" si="85"/>
        <v>1</v>
      </c>
      <c r="W62" s="803">
        <f t="shared" si="85"/>
        <v>0.22</v>
      </c>
      <c r="X62" s="786">
        <f t="shared" si="94"/>
        <v>0</v>
      </c>
      <c r="Z62" s="863">
        <f t="shared" si="89"/>
        <v>12816</v>
      </c>
      <c r="AA62" s="863">
        <f t="shared" si="90"/>
        <v>89</v>
      </c>
      <c r="AB62" s="863">
        <f t="shared" si="91"/>
        <v>1</v>
      </c>
      <c r="AC62" s="863">
        <f t="shared" si="92"/>
        <v>36</v>
      </c>
      <c r="AD62" s="864">
        <f t="shared" si="93"/>
        <v>0.22</v>
      </c>
    </row>
    <row r="63" spans="1:30" x14ac:dyDescent="0.25">
      <c r="A63" s="1194" t="s">
        <v>644</v>
      </c>
      <c r="B63" s="1195"/>
      <c r="C63" s="781"/>
      <c r="D63" s="799">
        <f>'[4]Стандартные программы'!G213</f>
        <v>368</v>
      </c>
      <c r="E63" s="799">
        <f>'[4]Стандартные программы'!M213</f>
        <v>28096</v>
      </c>
      <c r="F63" s="799">
        <f>'[4]Стандартные программы'!Q213</f>
        <v>8</v>
      </c>
      <c r="G63" s="801">
        <f>'[4]Стандартные программы'!R213</f>
        <v>0.88</v>
      </c>
      <c r="H63" s="799">
        <f>'[4]Адаптированные программы'!G56</f>
        <v>0</v>
      </c>
      <c r="I63" s="799">
        <f>'[4]Адаптированные программы'!M56</f>
        <v>0</v>
      </c>
      <c r="J63" s="799">
        <f>'[4]Адаптированные программы'!Q56</f>
        <v>0</v>
      </c>
      <c r="K63" s="801">
        <f>'[4]Адаптированные программы'!R56</f>
        <v>0</v>
      </c>
      <c r="L63" s="784">
        <f t="shared" si="84"/>
        <v>368</v>
      </c>
      <c r="M63" s="784">
        <f t="shared" si="84"/>
        <v>28096</v>
      </c>
      <c r="N63" s="784">
        <f t="shared" si="84"/>
        <v>8</v>
      </c>
      <c r="O63" s="785">
        <f t="shared" si="84"/>
        <v>0.88</v>
      </c>
      <c r="P63" s="799">
        <f>'[4]Общеразвив.программы на МЗ'!G431</f>
        <v>416</v>
      </c>
      <c r="Q63" s="799">
        <f>'[4]Общеразвив.программы на МЗ'!J431</f>
        <v>45512</v>
      </c>
      <c r="R63" s="799">
        <f>'[4]Общеразвив.программы на МЗ'!L431</f>
        <v>15</v>
      </c>
      <c r="S63" s="801">
        <f>'[4]Общеразвив.программы на МЗ'!M431</f>
        <v>2.4300000000000002</v>
      </c>
      <c r="T63" s="784">
        <f t="shared" si="85"/>
        <v>784</v>
      </c>
      <c r="U63" s="784">
        <f t="shared" si="85"/>
        <v>73608</v>
      </c>
      <c r="V63" s="804">
        <f t="shared" si="85"/>
        <v>23</v>
      </c>
      <c r="W63" s="803">
        <f t="shared" si="85"/>
        <v>3.31</v>
      </c>
      <c r="X63" s="786">
        <f t="shared" si="94"/>
        <v>0</v>
      </c>
      <c r="Z63" s="863">
        <f t="shared" si="89"/>
        <v>73608</v>
      </c>
      <c r="AA63" s="863">
        <f t="shared" si="90"/>
        <v>784</v>
      </c>
      <c r="AB63" s="863">
        <f t="shared" si="91"/>
        <v>23</v>
      </c>
      <c r="AC63" s="863">
        <f t="shared" si="92"/>
        <v>0</v>
      </c>
      <c r="AD63" s="864">
        <f t="shared" si="93"/>
        <v>3.31</v>
      </c>
    </row>
    <row r="64" spans="1:30" s="806" customFormat="1" x14ac:dyDescent="0.25">
      <c r="A64" s="805"/>
      <c r="B64" s="788" t="s">
        <v>1176</v>
      </c>
      <c r="C64" s="788">
        <v>36</v>
      </c>
      <c r="D64" s="794">
        <f t="shared" ref="D64:K64" si="95">D63-D65</f>
        <v>268</v>
      </c>
      <c r="E64" s="794">
        <f t="shared" si="95"/>
        <v>19296</v>
      </c>
      <c r="F64" s="794">
        <f t="shared" si="95"/>
        <v>6</v>
      </c>
      <c r="G64" s="795">
        <f t="shared" si="95"/>
        <v>0.66</v>
      </c>
      <c r="H64" s="794">
        <f t="shared" si="95"/>
        <v>0</v>
      </c>
      <c r="I64" s="794">
        <f t="shared" si="95"/>
        <v>0</v>
      </c>
      <c r="J64" s="794">
        <f t="shared" si="95"/>
        <v>0</v>
      </c>
      <c r="K64" s="795">
        <f t="shared" si="95"/>
        <v>0</v>
      </c>
      <c r="L64" s="790">
        <f t="shared" si="84"/>
        <v>268</v>
      </c>
      <c r="M64" s="790">
        <f t="shared" si="84"/>
        <v>19296</v>
      </c>
      <c r="N64" s="790">
        <f t="shared" si="84"/>
        <v>6</v>
      </c>
      <c r="O64" s="791">
        <f t="shared" si="84"/>
        <v>0.66</v>
      </c>
      <c r="P64" s="794">
        <f>P63-P65</f>
        <v>278</v>
      </c>
      <c r="Q64" s="794">
        <f>Q63-Q65</f>
        <v>22896</v>
      </c>
      <c r="R64" s="794">
        <f>R63-R65</f>
        <v>9</v>
      </c>
      <c r="S64" s="795">
        <f>S63-S65</f>
        <v>1.27</v>
      </c>
      <c r="T64" s="790">
        <f t="shared" si="85"/>
        <v>546</v>
      </c>
      <c r="U64" s="790">
        <f t="shared" si="85"/>
        <v>42192</v>
      </c>
      <c r="V64" s="804">
        <f t="shared" si="85"/>
        <v>15</v>
      </c>
      <c r="W64" s="803">
        <f t="shared" si="85"/>
        <v>1.93</v>
      </c>
      <c r="X64" s="786">
        <f t="shared" si="94"/>
        <v>0</v>
      </c>
      <c r="Z64" s="863">
        <f t="shared" si="89"/>
        <v>42192</v>
      </c>
      <c r="AA64" s="863">
        <f t="shared" si="90"/>
        <v>546</v>
      </c>
      <c r="AB64" s="863">
        <f t="shared" si="91"/>
        <v>15</v>
      </c>
      <c r="AC64" s="863">
        <f t="shared" si="92"/>
        <v>36</v>
      </c>
      <c r="AD64" s="864">
        <f t="shared" si="93"/>
        <v>1.93</v>
      </c>
    </row>
    <row r="65" spans="1:30" s="806" customFormat="1" x14ac:dyDescent="0.25">
      <c r="A65" s="805"/>
      <c r="B65" s="788" t="s">
        <v>1177</v>
      </c>
      <c r="C65" s="788">
        <v>44</v>
      </c>
      <c r="D65" s="807">
        <f>'[4]Стандартные программы'!G128+'[4]Стандартные программы'!G129</f>
        <v>100</v>
      </c>
      <c r="E65" s="807">
        <f>'[4]Стандартные программы'!M128+'[4]Стандартные программы'!M129</f>
        <v>8800</v>
      </c>
      <c r="F65" s="808">
        <v>2</v>
      </c>
      <c r="G65" s="809">
        <f>'[4]Стандартные программы'!R128+'[4]Стандартные программы'!R129</f>
        <v>0.22</v>
      </c>
      <c r="H65" s="810">
        <v>0</v>
      </c>
      <c r="I65" s="810">
        <v>0</v>
      </c>
      <c r="J65" s="811">
        <v>0</v>
      </c>
      <c r="K65" s="812">
        <v>0</v>
      </c>
      <c r="L65" s="790">
        <f t="shared" si="84"/>
        <v>100</v>
      </c>
      <c r="M65" s="790">
        <f t="shared" si="84"/>
        <v>8800</v>
      </c>
      <c r="N65" s="790">
        <f t="shared" si="84"/>
        <v>2</v>
      </c>
      <c r="O65" s="791">
        <f t="shared" si="84"/>
        <v>0.22</v>
      </c>
      <c r="P65" s="813">
        <f>'[4]Общеразвив.программы на МЗ'!G331+'[4]Общеразвив.программы на МЗ'!G332+'[4]Общеразвив.программы на МЗ'!G333+'[4]Общеразвив.программы на МЗ'!G334+'[4]Общеразвив.программы на МЗ'!G337+'[4]Общеразвив.программы на МЗ'!G338</f>
        <v>138</v>
      </c>
      <c r="Q65" s="813">
        <f>'[4]Общеразвив.программы на МЗ'!J331+'[4]Общеразвив.программы на МЗ'!J332+'[4]Общеразвив.программы на МЗ'!J333+'[4]Общеразвив.программы на МЗ'!J334+'[4]Общеразвив.программы на МЗ'!J337+'[4]Общеразвив.программы на МЗ'!J338</f>
        <v>22616</v>
      </c>
      <c r="R65" s="808">
        <v>6</v>
      </c>
      <c r="S65" s="809">
        <f>'[4]Общеразвив.программы на МЗ'!M331+'[4]Общеразвив.программы на МЗ'!M332+'[4]Общеразвив.программы на МЗ'!M333+'[4]Общеразвив.программы на МЗ'!M334+'[4]Общеразвив.программы на МЗ'!M337+'[4]Общеразвив.программы на МЗ'!M338</f>
        <v>1.1599999999999999</v>
      </c>
      <c r="T65" s="790">
        <f t="shared" si="85"/>
        <v>238</v>
      </c>
      <c r="U65" s="790">
        <f t="shared" si="85"/>
        <v>31416</v>
      </c>
      <c r="V65" s="804">
        <f t="shared" si="85"/>
        <v>8</v>
      </c>
      <c r="W65" s="803">
        <f t="shared" si="85"/>
        <v>1.38</v>
      </c>
      <c r="X65" s="786">
        <f t="shared" si="94"/>
        <v>0</v>
      </c>
      <c r="Z65" s="863">
        <f t="shared" si="89"/>
        <v>31416</v>
      </c>
      <c r="AA65" s="863">
        <f t="shared" si="90"/>
        <v>238</v>
      </c>
      <c r="AB65" s="863">
        <f t="shared" si="91"/>
        <v>8</v>
      </c>
      <c r="AC65" s="863">
        <f t="shared" si="92"/>
        <v>44</v>
      </c>
      <c r="AD65" s="864">
        <f t="shared" si="93"/>
        <v>1.38</v>
      </c>
    </row>
    <row r="66" spans="1:30" x14ac:dyDescent="0.25">
      <c r="A66" s="1194" t="s">
        <v>1178</v>
      </c>
      <c r="B66" s="1195"/>
      <c r="C66" s="781">
        <v>36</v>
      </c>
      <c r="D66" s="799">
        <f>'[4]Стандартные программы'!G214</f>
        <v>528</v>
      </c>
      <c r="E66" s="799">
        <f>'[4]Стандартные программы'!M214</f>
        <v>38016</v>
      </c>
      <c r="F66" s="799">
        <f>'[4]Стандартные программы'!Q214</f>
        <v>7</v>
      </c>
      <c r="G66" s="801">
        <f>'[4]Стандартные программы'!R214</f>
        <v>0.77</v>
      </c>
      <c r="H66" s="799">
        <f>'[4]Адаптированные программы'!G57</f>
        <v>0</v>
      </c>
      <c r="I66" s="799">
        <f>'[4]Адаптированные программы'!M57</f>
        <v>0</v>
      </c>
      <c r="J66" s="799">
        <f>'[4]Адаптированные программы'!Q57</f>
        <v>0</v>
      </c>
      <c r="K66" s="801">
        <f>'[4]Адаптированные программы'!R57</f>
        <v>0</v>
      </c>
      <c r="L66" s="784">
        <f t="shared" si="84"/>
        <v>528</v>
      </c>
      <c r="M66" s="784">
        <f t="shared" si="84"/>
        <v>38016</v>
      </c>
      <c r="N66" s="784">
        <f t="shared" si="84"/>
        <v>7</v>
      </c>
      <c r="O66" s="785">
        <f t="shared" si="84"/>
        <v>0.77</v>
      </c>
      <c r="P66" s="799">
        <f>'[4]Общеразвив.программы на МЗ'!G432</f>
        <v>963</v>
      </c>
      <c r="Q66" s="799">
        <f>'[4]Общеразвив.программы на МЗ'!J432</f>
        <v>79496</v>
      </c>
      <c r="R66" s="799">
        <f>'[4]Общеразвив.программы на МЗ'!L432</f>
        <v>11</v>
      </c>
      <c r="S66" s="801">
        <f>'[4]Общеразвив.программы на МЗ'!M432</f>
        <v>2.5299999999999998</v>
      </c>
      <c r="T66" s="784">
        <f t="shared" si="85"/>
        <v>1491</v>
      </c>
      <c r="U66" s="784">
        <f t="shared" si="85"/>
        <v>117512</v>
      </c>
      <c r="V66" s="804">
        <f t="shared" si="85"/>
        <v>18</v>
      </c>
      <c r="W66" s="803">
        <f t="shared" si="85"/>
        <v>3.3</v>
      </c>
      <c r="X66" s="786">
        <f t="shared" si="94"/>
        <v>0</v>
      </c>
      <c r="Z66" s="863">
        <f t="shared" si="89"/>
        <v>117512</v>
      </c>
      <c r="AA66" s="863">
        <f t="shared" si="90"/>
        <v>1491</v>
      </c>
      <c r="AB66" s="863">
        <f t="shared" si="91"/>
        <v>18</v>
      </c>
      <c r="AC66" s="863">
        <f t="shared" si="92"/>
        <v>36</v>
      </c>
      <c r="AD66" s="864">
        <f t="shared" si="93"/>
        <v>3.3</v>
      </c>
    </row>
    <row r="67" spans="1:30" x14ac:dyDescent="0.25">
      <c r="A67" s="1194" t="s">
        <v>1179</v>
      </c>
      <c r="B67" s="1195"/>
      <c r="C67" s="781">
        <v>0</v>
      </c>
      <c r="D67" s="799">
        <f>'[4]Стандартные программы'!G215</f>
        <v>0</v>
      </c>
      <c r="E67" s="799">
        <f>'[4]Стандартные программы'!M215</f>
        <v>0</v>
      </c>
      <c r="F67" s="799">
        <f>'[4]Стандартные программы'!Q215</f>
        <v>0</v>
      </c>
      <c r="G67" s="801">
        <f>'[4]Стандартные программы'!R215</f>
        <v>0</v>
      </c>
      <c r="H67" s="799">
        <f>'[4]Адаптированные программы'!G58</f>
        <v>0</v>
      </c>
      <c r="I67" s="799">
        <f>'[4]Адаптированные программы'!M58</f>
        <v>0</v>
      </c>
      <c r="J67" s="799">
        <f>'[4]Адаптированные программы'!Q58</f>
        <v>0</v>
      </c>
      <c r="K67" s="801">
        <f>'[4]Адаптированные программы'!R58</f>
        <v>0</v>
      </c>
      <c r="L67" s="784">
        <f t="shared" si="84"/>
        <v>0</v>
      </c>
      <c r="M67" s="784">
        <f t="shared" si="84"/>
        <v>0</v>
      </c>
      <c r="N67" s="784">
        <f t="shared" si="84"/>
        <v>0</v>
      </c>
      <c r="O67" s="785">
        <f t="shared" si="84"/>
        <v>0</v>
      </c>
      <c r="P67" s="799">
        <f>'[4]Общеразвив.программы на МЗ'!G433</f>
        <v>0</v>
      </c>
      <c r="Q67" s="799">
        <f>'[4]Общеразвив.программы на МЗ'!J433</f>
        <v>0</v>
      </c>
      <c r="R67" s="799">
        <f>'[4]Общеразвив.программы на МЗ'!L433</f>
        <v>0</v>
      </c>
      <c r="S67" s="801">
        <f>'[4]Общеразвив.программы на МЗ'!M433</f>
        <v>0</v>
      </c>
      <c r="T67" s="784">
        <f t="shared" si="85"/>
        <v>0</v>
      </c>
      <c r="U67" s="784">
        <f t="shared" si="85"/>
        <v>0</v>
      </c>
      <c r="V67" s="804">
        <f t="shared" si="85"/>
        <v>0</v>
      </c>
      <c r="W67" s="803">
        <f t="shared" si="85"/>
        <v>0</v>
      </c>
      <c r="X67" s="786">
        <f t="shared" si="94"/>
        <v>0</v>
      </c>
      <c r="Z67" s="863">
        <f t="shared" si="89"/>
        <v>0</v>
      </c>
      <c r="AA67" s="863">
        <f t="shared" si="90"/>
        <v>0</v>
      </c>
      <c r="AB67" s="863">
        <f t="shared" si="91"/>
        <v>0</v>
      </c>
      <c r="AC67" s="863">
        <f t="shared" si="92"/>
        <v>0</v>
      </c>
      <c r="AD67" s="864">
        <f t="shared" si="93"/>
        <v>0</v>
      </c>
    </row>
    <row r="68" spans="1:30" x14ac:dyDescent="0.25">
      <c r="A68" s="1194" t="s">
        <v>1180</v>
      </c>
      <c r="B68" s="1195"/>
      <c r="C68" s="781">
        <v>44</v>
      </c>
      <c r="D68" s="799">
        <f>'[4]Стандартные программы'!G216</f>
        <v>0</v>
      </c>
      <c r="E68" s="799">
        <f>'[4]Стандартные программы'!M216</f>
        <v>0</v>
      </c>
      <c r="F68" s="799">
        <f>'[4]Стандартные программы'!Q216</f>
        <v>0</v>
      </c>
      <c r="G68" s="801">
        <f>'[4]Стандартные программы'!R216</f>
        <v>0</v>
      </c>
      <c r="H68" s="799">
        <f>'[4]Адаптированные программы'!G59</f>
        <v>28</v>
      </c>
      <c r="I68" s="799">
        <f>'[4]Адаптированные программы'!M59</f>
        <v>2464</v>
      </c>
      <c r="J68" s="799">
        <f>'[4]Адаптированные программы'!Q59</f>
        <v>2</v>
      </c>
      <c r="K68" s="801">
        <f>'[4]Адаптированные программы'!R59</f>
        <v>0.22</v>
      </c>
      <c r="L68" s="784">
        <f t="shared" si="84"/>
        <v>28</v>
      </c>
      <c r="M68" s="784">
        <f t="shared" si="84"/>
        <v>2464</v>
      </c>
      <c r="N68" s="784">
        <f t="shared" si="84"/>
        <v>2</v>
      </c>
      <c r="O68" s="785">
        <f t="shared" si="84"/>
        <v>0.22</v>
      </c>
      <c r="P68" s="799">
        <f>'[4]Общеразвив.программы на МЗ'!G434</f>
        <v>31</v>
      </c>
      <c r="Q68" s="799">
        <f>'[4]Общеразвив.программы на МЗ'!J434</f>
        <v>8184</v>
      </c>
      <c r="R68" s="799">
        <f>'[4]Общеразвив.программы на МЗ'!L434</f>
        <v>1</v>
      </c>
      <c r="S68" s="801">
        <f>'[4]Общеразвив.программы на МЗ'!M434</f>
        <v>0.33</v>
      </c>
      <c r="T68" s="784">
        <f t="shared" si="85"/>
        <v>59</v>
      </c>
      <c r="U68" s="784">
        <f t="shared" si="85"/>
        <v>10648</v>
      </c>
      <c r="V68" s="804">
        <f t="shared" si="85"/>
        <v>3</v>
      </c>
      <c r="W68" s="803">
        <f t="shared" si="85"/>
        <v>0.55000000000000004</v>
      </c>
      <c r="X68" s="786">
        <f t="shared" si="94"/>
        <v>0</v>
      </c>
      <c r="Z68" s="863">
        <f t="shared" si="89"/>
        <v>10648</v>
      </c>
      <c r="AA68" s="863">
        <f t="shared" si="90"/>
        <v>59</v>
      </c>
      <c r="AB68" s="863">
        <f t="shared" si="91"/>
        <v>3</v>
      </c>
      <c r="AC68" s="863">
        <f t="shared" si="92"/>
        <v>44</v>
      </c>
      <c r="AD68" s="864">
        <f t="shared" si="93"/>
        <v>0.55000000000000004</v>
      </c>
    </row>
    <row r="69" spans="1:30" x14ac:dyDescent="0.25">
      <c r="A69" s="1194" t="s">
        <v>1181</v>
      </c>
      <c r="B69" s="1195"/>
      <c r="C69" s="781">
        <v>0</v>
      </c>
      <c r="D69" s="799">
        <f>'[4]Стандартные программы'!G217</f>
        <v>0</v>
      </c>
      <c r="E69" s="799">
        <f>'[4]Стандартные программы'!M217</f>
        <v>0</v>
      </c>
      <c r="F69" s="799">
        <f>'[4]Стандартные программы'!Q217</f>
        <v>0</v>
      </c>
      <c r="G69" s="801">
        <f>'[4]Стандартные программы'!R217</f>
        <v>0</v>
      </c>
      <c r="H69" s="799">
        <f>'[4]Адаптированные программы'!G60</f>
        <v>0</v>
      </c>
      <c r="I69" s="799">
        <f>'[4]Адаптированные программы'!M60</f>
        <v>0</v>
      </c>
      <c r="J69" s="799">
        <f>'[4]Адаптированные программы'!Q60</f>
        <v>0</v>
      </c>
      <c r="K69" s="801">
        <f>'[4]Адаптированные программы'!R60</f>
        <v>0</v>
      </c>
      <c r="L69" s="784">
        <f t="shared" si="84"/>
        <v>0</v>
      </c>
      <c r="M69" s="784">
        <f t="shared" si="84"/>
        <v>0</v>
      </c>
      <c r="N69" s="784">
        <f t="shared" si="84"/>
        <v>0</v>
      </c>
      <c r="O69" s="785">
        <f t="shared" si="84"/>
        <v>0</v>
      </c>
      <c r="P69" s="799">
        <f>'[4]Общеразвив.программы на МЗ'!G435</f>
        <v>0</v>
      </c>
      <c r="Q69" s="799">
        <f>'[4]Общеразвив.программы на МЗ'!J435</f>
        <v>0</v>
      </c>
      <c r="R69" s="799">
        <f>'[4]Общеразвив.программы на МЗ'!L435</f>
        <v>0</v>
      </c>
      <c r="S69" s="801">
        <f>'[4]Общеразвив.программы на МЗ'!M435</f>
        <v>0</v>
      </c>
      <c r="T69" s="784">
        <f t="shared" si="85"/>
        <v>0</v>
      </c>
      <c r="U69" s="784">
        <f t="shared" si="85"/>
        <v>0</v>
      </c>
      <c r="V69" s="804">
        <f t="shared" si="85"/>
        <v>0</v>
      </c>
      <c r="W69" s="803">
        <f t="shared" si="85"/>
        <v>0</v>
      </c>
      <c r="X69" s="786">
        <f t="shared" si="94"/>
        <v>0</v>
      </c>
      <c r="Z69" s="863">
        <f t="shared" si="89"/>
        <v>0</v>
      </c>
      <c r="AA69" s="863">
        <f t="shared" si="90"/>
        <v>0</v>
      </c>
      <c r="AB69" s="863">
        <f t="shared" si="91"/>
        <v>0</v>
      </c>
      <c r="AC69" s="863">
        <f t="shared" si="92"/>
        <v>0</v>
      </c>
      <c r="AD69" s="864">
        <f t="shared" si="93"/>
        <v>0</v>
      </c>
    </row>
    <row r="70" spans="1:30" x14ac:dyDescent="0.25">
      <c r="A70" s="792" t="s">
        <v>1182</v>
      </c>
      <c r="B70" s="793"/>
      <c r="C70" s="793"/>
      <c r="D70" s="794">
        <f>D58-D59-D60-D61-D62-D63-D66-D67-D68-D69</f>
        <v>0</v>
      </c>
      <c r="E70" s="794">
        <f>E58-E59-E60-E61-E62-E63-E66-E67-E68-E69</f>
        <v>0</v>
      </c>
      <c r="F70" s="794"/>
      <c r="G70" s="795"/>
      <c r="H70" s="794">
        <f>H58-H59-H60-H61-H62-H63-H66-H67-H68-H69</f>
        <v>0</v>
      </c>
      <c r="I70" s="794">
        <f>I58-I59-I60-I61-I62-I63-I66-I67-I68-I69</f>
        <v>0</v>
      </c>
      <c r="J70" s="794"/>
      <c r="K70" s="795"/>
      <c r="L70" s="796">
        <f>L58-L59-L60-L61-L62-L63-L66-L67-L68-L69</f>
        <v>0</v>
      </c>
      <c r="M70" s="796">
        <f>M58-M59-M60-M61-M62-M63-M66-M67-M68-M69</f>
        <v>0</v>
      </c>
      <c r="N70" s="796"/>
      <c r="O70" s="797"/>
      <c r="P70" s="794">
        <f>P58-P59-P60-P61-P62-P63-P66-P67-P68-P69</f>
        <v>0</v>
      </c>
      <c r="Q70" s="794">
        <f>Q58-Q59-Q60-Q61-Q62-Q63-Q66-Q67-Q68-Q69</f>
        <v>0</v>
      </c>
      <c r="R70" s="794"/>
      <c r="S70" s="795"/>
      <c r="T70" s="796">
        <f>T58-T59-T60-T61-T62-T63-T66-T67-T68-T69</f>
        <v>0</v>
      </c>
      <c r="U70" s="796">
        <f>U58-U59-U60-U61-U62-U63-U66-U67-U68-U69</f>
        <v>0</v>
      </c>
      <c r="V70" s="796"/>
      <c r="W70" s="797"/>
      <c r="X70" s="798"/>
      <c r="Z70" s="794">
        <f>Z58-Z59-Z60-Z61-Z62-Z63-Z66-Z67-Z68-Z69</f>
        <v>0</v>
      </c>
      <c r="AA70" s="794">
        <f>AA58-AA59-AA60-AA61-AA62-AA63-AA66-AA67-AA68-AA69</f>
        <v>0</v>
      </c>
      <c r="AB70" s="794"/>
      <c r="AC70" s="794"/>
      <c r="AD70" s="795"/>
    </row>
    <row r="71" spans="1:30" x14ac:dyDescent="0.25">
      <c r="A71" s="775" t="s">
        <v>502</v>
      </c>
      <c r="B71" s="775"/>
      <c r="C71" s="775"/>
      <c r="D71" s="777">
        <f>'[4]Стандартные программы'!G219</f>
        <v>933</v>
      </c>
      <c r="E71" s="777">
        <f>'[4]Стандартные программы'!M219</f>
        <v>67176</v>
      </c>
      <c r="F71" s="777">
        <f>F72+F73+F74+F75+F76+F79+F80+F81+F82</f>
        <v>28</v>
      </c>
      <c r="G71" s="778">
        <f>G72+G73+G74+G75+G76+G79+G80+G81+G82</f>
        <v>3.08</v>
      </c>
      <c r="H71" s="777">
        <f>'[4]Адаптированные программы'!G62</f>
        <v>0</v>
      </c>
      <c r="I71" s="777">
        <f>'[4]Адаптированные программы'!M62</f>
        <v>0</v>
      </c>
      <c r="J71" s="777">
        <f>J72+J73+J74+J75+J76+J79+J80+J81+J82</f>
        <v>0</v>
      </c>
      <c r="K71" s="778">
        <f>K72+K73+K74+K75+K76+K79+K80+K81+K82</f>
        <v>0</v>
      </c>
      <c r="L71" s="777">
        <f t="shared" ref="L71:O82" si="96">D71+H71</f>
        <v>933</v>
      </c>
      <c r="M71" s="777">
        <f t="shared" si="96"/>
        <v>67176</v>
      </c>
      <c r="N71" s="777">
        <f>N72+N73+N74+N75+N76+N79+N80+N81+N82</f>
        <v>28</v>
      </c>
      <c r="O71" s="778">
        <f>O72+O73+O74+O75+O76+O79+O80+O81+O82</f>
        <v>3.08</v>
      </c>
      <c r="P71" s="777">
        <f>'[4]Общеразвив.программы на МЗ'!G437</f>
        <v>648</v>
      </c>
      <c r="Q71" s="777">
        <f>'[4]Общеразвив.программы на МЗ'!J437</f>
        <v>171180</v>
      </c>
      <c r="R71" s="777">
        <f>R72+R73+R74+R75+R76+R79+R80+R81+R82</f>
        <v>30</v>
      </c>
      <c r="S71" s="778">
        <f>S72+S73+S74+S75+S76+S79+S80+S81+S82</f>
        <v>12.11</v>
      </c>
      <c r="T71" s="777">
        <f t="shared" ref="T71:W82" si="97">L71+P71</f>
        <v>1581</v>
      </c>
      <c r="U71" s="777">
        <f t="shared" si="97"/>
        <v>238356</v>
      </c>
      <c r="V71" s="777">
        <f>V72+V73+V74+V75+V76+V79+V80+V81+V82</f>
        <v>58</v>
      </c>
      <c r="W71" s="778">
        <f>W72+W73+W74+W75+W76+W79+W80+W81+W82</f>
        <v>15.19</v>
      </c>
      <c r="X71" s="779"/>
      <c r="Z71" s="777">
        <f t="shared" ref="Z71" si="98">Z72+Z73+Z74+Z75+Z76+Z79+Z80+Z81+Z82</f>
        <v>238356</v>
      </c>
      <c r="AA71" s="777">
        <f t="shared" ref="AA71" si="99">AA72+AA73+AA74+AA75+AA76+AA79+AA80+AA81+AA82</f>
        <v>1581</v>
      </c>
      <c r="AB71" s="777">
        <f t="shared" ref="AB71" si="100">AB72+AB73+AB74+AB75+AB76+AB79+AB80+AB81+AB82</f>
        <v>58</v>
      </c>
      <c r="AC71" s="862" t="s">
        <v>276</v>
      </c>
      <c r="AD71" s="778">
        <f>AD72+AD73+AD74+AD75+AD76+AD79+AD80+AD81+AD82</f>
        <v>15.19</v>
      </c>
    </row>
    <row r="72" spans="1:30" x14ac:dyDescent="0.25">
      <c r="A72" s="1194" t="s">
        <v>647</v>
      </c>
      <c r="B72" s="1195"/>
      <c r="C72" s="781">
        <v>36</v>
      </c>
      <c r="D72" s="799">
        <f>'[4]Стандартные программы'!G220</f>
        <v>415</v>
      </c>
      <c r="E72" s="799">
        <f>'[4]Стандартные программы'!M220</f>
        <v>29880</v>
      </c>
      <c r="F72" s="799">
        <f>'[4]Стандартные программы'!Q220</f>
        <v>10</v>
      </c>
      <c r="G72" s="801">
        <f>'[4]Стандартные программы'!R220</f>
        <v>1.1000000000000001</v>
      </c>
      <c r="H72" s="799">
        <f>'[4]Адаптированные программы'!G63</f>
        <v>0</v>
      </c>
      <c r="I72" s="799">
        <f>'[4]Адаптированные программы'!M63</f>
        <v>0</v>
      </c>
      <c r="J72" s="799">
        <f>'[4]Адаптированные программы'!Q63</f>
        <v>0</v>
      </c>
      <c r="K72" s="801">
        <f>'[4]Адаптированные программы'!R63</f>
        <v>0</v>
      </c>
      <c r="L72" s="784">
        <f t="shared" si="96"/>
        <v>415</v>
      </c>
      <c r="M72" s="784">
        <f t="shared" si="96"/>
        <v>29880</v>
      </c>
      <c r="N72" s="784">
        <f t="shared" si="96"/>
        <v>10</v>
      </c>
      <c r="O72" s="785">
        <f t="shared" si="96"/>
        <v>1.1000000000000001</v>
      </c>
      <c r="P72" s="799">
        <f>'[4]Общеразвив.программы на МЗ'!G438</f>
        <v>274</v>
      </c>
      <c r="Q72" s="799">
        <f>'[4]Общеразвив.программы на МЗ'!J438</f>
        <v>83448</v>
      </c>
      <c r="R72" s="799">
        <f>'[4]Общеразвив.программы на МЗ'!L438</f>
        <v>13</v>
      </c>
      <c r="S72" s="801">
        <f>'[4]Общеразвив.программы на МЗ'!M438</f>
        <v>6.19</v>
      </c>
      <c r="T72" s="784">
        <f t="shared" si="97"/>
        <v>689</v>
      </c>
      <c r="U72" s="784">
        <f t="shared" si="97"/>
        <v>113328</v>
      </c>
      <c r="V72" s="804">
        <f t="shared" si="97"/>
        <v>23</v>
      </c>
      <c r="W72" s="803">
        <f t="shared" si="97"/>
        <v>7.29</v>
      </c>
      <c r="X72" s="786">
        <f>V72-R72-N72</f>
        <v>0</v>
      </c>
      <c r="Z72" s="863">
        <f t="shared" ref="Z72:Z82" si="101">U72</f>
        <v>113328</v>
      </c>
      <c r="AA72" s="863">
        <f t="shared" ref="AA72:AA82" si="102">T72</f>
        <v>689</v>
      </c>
      <c r="AB72" s="863">
        <f t="shared" ref="AB72:AB82" si="103">V72</f>
        <v>23</v>
      </c>
      <c r="AC72" s="863">
        <f t="shared" ref="AC72:AC82" si="104">C72</f>
        <v>36</v>
      </c>
      <c r="AD72" s="864">
        <f t="shared" ref="AD72:AD82" si="105">W72</f>
        <v>7.29</v>
      </c>
    </row>
    <row r="73" spans="1:30" x14ac:dyDescent="0.25">
      <c r="A73" s="1194" t="s">
        <v>646</v>
      </c>
      <c r="B73" s="1195"/>
      <c r="C73" s="781">
        <v>36</v>
      </c>
      <c r="D73" s="799">
        <f>'[4]Стандартные программы'!G221</f>
        <v>30</v>
      </c>
      <c r="E73" s="799">
        <f>'[4]Стандартные программы'!M221</f>
        <v>2160</v>
      </c>
      <c r="F73" s="799">
        <f>'[4]Стандартные программы'!Q221</f>
        <v>1</v>
      </c>
      <c r="G73" s="801">
        <f>'[4]Стандартные программы'!R221</f>
        <v>0.11</v>
      </c>
      <c r="H73" s="799">
        <f>'[4]Адаптированные программы'!G64</f>
        <v>0</v>
      </c>
      <c r="I73" s="799">
        <f>'[4]Адаптированные программы'!M64</f>
        <v>0</v>
      </c>
      <c r="J73" s="799">
        <f>'[4]Адаптированные программы'!Q64</f>
        <v>0</v>
      </c>
      <c r="K73" s="801">
        <f>'[4]Адаптированные программы'!R64</f>
        <v>0</v>
      </c>
      <c r="L73" s="784">
        <f t="shared" si="96"/>
        <v>30</v>
      </c>
      <c r="M73" s="784">
        <f t="shared" si="96"/>
        <v>2160</v>
      </c>
      <c r="N73" s="784">
        <f t="shared" si="96"/>
        <v>1</v>
      </c>
      <c r="O73" s="785">
        <f t="shared" si="96"/>
        <v>0.11</v>
      </c>
      <c r="P73" s="799">
        <f>'[4]Общеразвив.программы на МЗ'!G439</f>
        <v>66</v>
      </c>
      <c r="Q73" s="799">
        <f>'[4]Общеразвив.программы на МЗ'!J439</f>
        <v>14616</v>
      </c>
      <c r="R73" s="799">
        <f>'[4]Общеразвив.программы на МЗ'!L439</f>
        <v>3</v>
      </c>
      <c r="S73" s="801">
        <f>'[4]Общеразвив.программы на МЗ'!M439</f>
        <v>1.1000000000000001</v>
      </c>
      <c r="T73" s="784">
        <f t="shared" si="97"/>
        <v>96</v>
      </c>
      <c r="U73" s="784">
        <f t="shared" si="97"/>
        <v>16776</v>
      </c>
      <c r="V73" s="804">
        <f t="shared" si="97"/>
        <v>4</v>
      </c>
      <c r="W73" s="803">
        <f t="shared" si="97"/>
        <v>1.21</v>
      </c>
      <c r="X73" s="786">
        <f t="shared" ref="X73:X82" si="106">V73-R73-N73</f>
        <v>0</v>
      </c>
      <c r="Z73" s="863">
        <f t="shared" si="101"/>
        <v>16776</v>
      </c>
      <c r="AA73" s="863">
        <f t="shared" si="102"/>
        <v>96</v>
      </c>
      <c r="AB73" s="863">
        <f t="shared" si="103"/>
        <v>4</v>
      </c>
      <c r="AC73" s="863">
        <f t="shared" si="104"/>
        <v>36</v>
      </c>
      <c r="AD73" s="864">
        <f t="shared" si="105"/>
        <v>1.21</v>
      </c>
    </row>
    <row r="74" spans="1:30" x14ac:dyDescent="0.25">
      <c r="A74" s="1194" t="s">
        <v>643</v>
      </c>
      <c r="B74" s="1195"/>
      <c r="C74" s="781">
        <v>36</v>
      </c>
      <c r="D74" s="799">
        <f>'[4]Стандартные программы'!G222</f>
        <v>263</v>
      </c>
      <c r="E74" s="799">
        <f>'[4]Стандартные программы'!M222</f>
        <v>18936</v>
      </c>
      <c r="F74" s="799">
        <f>'[4]Стандартные программы'!Q222</f>
        <v>10</v>
      </c>
      <c r="G74" s="801">
        <f>'[4]Стандартные программы'!R222</f>
        <v>1.1000000000000001</v>
      </c>
      <c r="H74" s="799">
        <f>'[4]Адаптированные программы'!G65</f>
        <v>0</v>
      </c>
      <c r="I74" s="799">
        <f>'[4]Адаптированные программы'!M65</f>
        <v>0</v>
      </c>
      <c r="J74" s="799">
        <f>'[4]Адаптированные программы'!Q65</f>
        <v>0</v>
      </c>
      <c r="K74" s="801">
        <f>'[4]Адаптированные программы'!R65</f>
        <v>0</v>
      </c>
      <c r="L74" s="784">
        <f t="shared" si="96"/>
        <v>263</v>
      </c>
      <c r="M74" s="784">
        <f t="shared" si="96"/>
        <v>18936</v>
      </c>
      <c r="N74" s="784">
        <f t="shared" si="96"/>
        <v>10</v>
      </c>
      <c r="O74" s="785">
        <f t="shared" si="96"/>
        <v>1.1000000000000001</v>
      </c>
      <c r="P74" s="799">
        <f>'[4]Общеразвив.программы на МЗ'!G440</f>
        <v>138</v>
      </c>
      <c r="Q74" s="799">
        <f>'[4]Общеразвив.программы на МЗ'!J440</f>
        <v>42084</v>
      </c>
      <c r="R74" s="799">
        <f>'[4]Общеразвив.программы на МЗ'!L440</f>
        <v>6</v>
      </c>
      <c r="S74" s="801">
        <f>'[4]Общеразвив.программы на МЗ'!M440</f>
        <v>2.66</v>
      </c>
      <c r="T74" s="784">
        <f t="shared" si="97"/>
        <v>401</v>
      </c>
      <c r="U74" s="784">
        <f t="shared" si="97"/>
        <v>61020</v>
      </c>
      <c r="V74" s="804">
        <f t="shared" si="97"/>
        <v>16</v>
      </c>
      <c r="W74" s="803">
        <f t="shared" si="97"/>
        <v>3.76</v>
      </c>
      <c r="X74" s="786">
        <f t="shared" si="106"/>
        <v>0</v>
      </c>
      <c r="Z74" s="863">
        <f t="shared" si="101"/>
        <v>61020</v>
      </c>
      <c r="AA74" s="863">
        <f t="shared" si="102"/>
        <v>401</v>
      </c>
      <c r="AB74" s="863">
        <f t="shared" si="103"/>
        <v>16</v>
      </c>
      <c r="AC74" s="863">
        <f t="shared" si="104"/>
        <v>36</v>
      </c>
      <c r="AD74" s="864">
        <f t="shared" si="105"/>
        <v>3.76</v>
      </c>
    </row>
    <row r="75" spans="1:30" x14ac:dyDescent="0.25">
      <c r="A75" s="1194" t="s">
        <v>645</v>
      </c>
      <c r="B75" s="1195"/>
      <c r="C75" s="781">
        <v>0</v>
      </c>
      <c r="D75" s="799">
        <f>'[4]Стандартные программы'!G223</f>
        <v>0</v>
      </c>
      <c r="E75" s="799">
        <f>'[4]Стандартные программы'!M223</f>
        <v>0</v>
      </c>
      <c r="F75" s="799">
        <f>'[4]Стандартные программы'!Q223</f>
        <v>0</v>
      </c>
      <c r="G75" s="801">
        <f>'[4]Стандартные программы'!R223</f>
        <v>0</v>
      </c>
      <c r="H75" s="799">
        <f>'[4]Адаптированные программы'!G66</f>
        <v>0</v>
      </c>
      <c r="I75" s="799">
        <f>'[4]Адаптированные программы'!M66</f>
        <v>0</v>
      </c>
      <c r="J75" s="799">
        <f>'[4]Адаптированные программы'!Q66</f>
        <v>0</v>
      </c>
      <c r="K75" s="801">
        <f>'[4]Адаптированные программы'!R66</f>
        <v>0</v>
      </c>
      <c r="L75" s="784">
        <f t="shared" si="96"/>
        <v>0</v>
      </c>
      <c r="M75" s="784">
        <f t="shared" si="96"/>
        <v>0</v>
      </c>
      <c r="N75" s="784">
        <f t="shared" si="96"/>
        <v>0</v>
      </c>
      <c r="O75" s="785">
        <f t="shared" si="96"/>
        <v>0</v>
      </c>
      <c r="P75" s="799">
        <f>'[4]Общеразвив.программы на МЗ'!G441</f>
        <v>0</v>
      </c>
      <c r="Q75" s="799">
        <f>'[4]Общеразвив.программы на МЗ'!J441</f>
        <v>0</v>
      </c>
      <c r="R75" s="799">
        <f>'[4]Общеразвив.программы на МЗ'!L441</f>
        <v>0</v>
      </c>
      <c r="S75" s="801">
        <f>'[4]Общеразвив.программы на МЗ'!M441</f>
        <v>0</v>
      </c>
      <c r="T75" s="784">
        <f t="shared" si="97"/>
        <v>0</v>
      </c>
      <c r="U75" s="784">
        <f t="shared" si="97"/>
        <v>0</v>
      </c>
      <c r="V75" s="804">
        <f t="shared" si="97"/>
        <v>0</v>
      </c>
      <c r="W75" s="803">
        <f t="shared" si="97"/>
        <v>0</v>
      </c>
      <c r="X75" s="786">
        <f t="shared" si="106"/>
        <v>0</v>
      </c>
      <c r="Z75" s="863">
        <f t="shared" si="101"/>
        <v>0</v>
      </c>
      <c r="AA75" s="863">
        <f t="shared" si="102"/>
        <v>0</v>
      </c>
      <c r="AB75" s="863">
        <f t="shared" si="103"/>
        <v>0</v>
      </c>
      <c r="AC75" s="863">
        <f t="shared" si="104"/>
        <v>0</v>
      </c>
      <c r="AD75" s="864">
        <f t="shared" si="105"/>
        <v>0</v>
      </c>
    </row>
    <row r="76" spans="1:30" x14ac:dyDescent="0.25">
      <c r="A76" s="1194" t="s">
        <v>644</v>
      </c>
      <c r="B76" s="1195"/>
      <c r="C76" s="781"/>
      <c r="D76" s="799">
        <f>'[4]Стандартные программы'!G224</f>
        <v>75</v>
      </c>
      <c r="E76" s="799">
        <f>'[4]Стандартные программы'!M224</f>
        <v>5400</v>
      </c>
      <c r="F76" s="799">
        <f>'[4]Стандартные программы'!Q224</f>
        <v>3</v>
      </c>
      <c r="G76" s="801">
        <f>'[4]Стандартные программы'!R224</f>
        <v>0.33</v>
      </c>
      <c r="H76" s="799">
        <f>'[4]Адаптированные программы'!G67</f>
        <v>0</v>
      </c>
      <c r="I76" s="799">
        <f>'[4]Адаптированные программы'!M67</f>
        <v>0</v>
      </c>
      <c r="J76" s="799">
        <f>'[4]Адаптированные программы'!Q67</f>
        <v>0</v>
      </c>
      <c r="K76" s="801">
        <f>'[4]Адаптированные программы'!R67</f>
        <v>0</v>
      </c>
      <c r="L76" s="784">
        <f t="shared" si="96"/>
        <v>75</v>
      </c>
      <c r="M76" s="784">
        <f t="shared" si="96"/>
        <v>5400</v>
      </c>
      <c r="N76" s="784">
        <f t="shared" si="96"/>
        <v>3</v>
      </c>
      <c r="O76" s="785">
        <f t="shared" si="96"/>
        <v>0.33</v>
      </c>
      <c r="P76" s="799">
        <f>'[4]Общеразвив.программы на МЗ'!G442</f>
        <v>48</v>
      </c>
      <c r="Q76" s="799">
        <f>'[4]Общеразвив.программы на МЗ'!J442</f>
        <v>12960</v>
      </c>
      <c r="R76" s="799">
        <f>'[4]Общеразвив.программы на МЗ'!L442</f>
        <v>2</v>
      </c>
      <c r="S76" s="801">
        <f>'[4]Общеразвив.программы на МЗ'!M442</f>
        <v>0.83</v>
      </c>
      <c r="T76" s="784">
        <f t="shared" si="97"/>
        <v>123</v>
      </c>
      <c r="U76" s="784">
        <f t="shared" si="97"/>
        <v>18360</v>
      </c>
      <c r="V76" s="804">
        <f t="shared" si="97"/>
        <v>5</v>
      </c>
      <c r="W76" s="803">
        <f t="shared" si="97"/>
        <v>1.1599999999999999</v>
      </c>
      <c r="X76" s="786">
        <f t="shared" si="106"/>
        <v>0</v>
      </c>
      <c r="Z76" s="863">
        <f t="shared" si="101"/>
        <v>18360</v>
      </c>
      <c r="AA76" s="863">
        <f t="shared" si="102"/>
        <v>123</v>
      </c>
      <c r="AB76" s="863">
        <f t="shared" si="103"/>
        <v>5</v>
      </c>
      <c r="AC76" s="863">
        <f t="shared" si="104"/>
        <v>0</v>
      </c>
      <c r="AD76" s="864">
        <f t="shared" si="105"/>
        <v>1.1599999999999999</v>
      </c>
    </row>
    <row r="77" spans="1:30" s="806" customFormat="1" x14ac:dyDescent="0.25">
      <c r="A77" s="805"/>
      <c r="B77" s="788" t="s">
        <v>1176</v>
      </c>
      <c r="C77" s="788">
        <v>36</v>
      </c>
      <c r="D77" s="794">
        <f t="shared" ref="D77" si="107">D76-D78</f>
        <v>75</v>
      </c>
      <c r="E77" s="794">
        <f t="shared" ref="E77" si="108">E76-E78</f>
        <v>5400</v>
      </c>
      <c r="F77" s="794">
        <f t="shared" ref="F77" si="109">F76-F78</f>
        <v>3</v>
      </c>
      <c r="G77" s="795">
        <f t="shared" ref="G77" si="110">G76-G78</f>
        <v>0.33</v>
      </c>
      <c r="H77" s="794">
        <f t="shared" ref="H77" si="111">H76-H78</f>
        <v>0</v>
      </c>
      <c r="I77" s="794">
        <f t="shared" ref="I77" si="112">I76-I78</f>
        <v>0</v>
      </c>
      <c r="J77" s="794">
        <f t="shared" ref="J77" si="113">J76-J78</f>
        <v>0</v>
      </c>
      <c r="K77" s="795">
        <f t="shared" ref="K77" si="114">K76-K78</f>
        <v>0</v>
      </c>
      <c r="L77" s="790">
        <f t="shared" si="96"/>
        <v>75</v>
      </c>
      <c r="M77" s="790">
        <f t="shared" si="96"/>
        <v>5400</v>
      </c>
      <c r="N77" s="790">
        <f t="shared" si="96"/>
        <v>3</v>
      </c>
      <c r="O77" s="791">
        <f t="shared" si="96"/>
        <v>0.33</v>
      </c>
      <c r="P77" s="794">
        <f>P76-P78</f>
        <v>48</v>
      </c>
      <c r="Q77" s="794">
        <f>Q76-Q78</f>
        <v>12960</v>
      </c>
      <c r="R77" s="794">
        <f>R76-R78</f>
        <v>2</v>
      </c>
      <c r="S77" s="795">
        <f>S76-S78</f>
        <v>0.83</v>
      </c>
      <c r="T77" s="790">
        <f t="shared" si="97"/>
        <v>123</v>
      </c>
      <c r="U77" s="790">
        <f t="shared" si="97"/>
        <v>18360</v>
      </c>
      <c r="V77" s="804">
        <f t="shared" si="97"/>
        <v>5</v>
      </c>
      <c r="W77" s="803">
        <f t="shared" si="97"/>
        <v>1.1599999999999999</v>
      </c>
      <c r="X77" s="786">
        <f t="shared" si="106"/>
        <v>0</v>
      </c>
      <c r="Z77" s="863">
        <f t="shared" si="101"/>
        <v>18360</v>
      </c>
      <c r="AA77" s="863">
        <f t="shared" si="102"/>
        <v>123</v>
      </c>
      <c r="AB77" s="863">
        <f t="shared" si="103"/>
        <v>5</v>
      </c>
      <c r="AC77" s="863">
        <f t="shared" si="104"/>
        <v>36</v>
      </c>
      <c r="AD77" s="864">
        <f t="shared" si="105"/>
        <v>1.1599999999999999</v>
      </c>
    </row>
    <row r="78" spans="1:30" s="806" customFormat="1" x14ac:dyDescent="0.25">
      <c r="A78" s="805"/>
      <c r="B78" s="788" t="s">
        <v>1177</v>
      </c>
      <c r="C78" s="788">
        <v>44</v>
      </c>
      <c r="D78" s="807"/>
      <c r="E78" s="807"/>
      <c r="F78" s="808"/>
      <c r="G78" s="809"/>
      <c r="H78" s="810"/>
      <c r="I78" s="810"/>
      <c r="J78" s="811"/>
      <c r="K78" s="812"/>
      <c r="L78" s="790">
        <f t="shared" si="96"/>
        <v>0</v>
      </c>
      <c r="M78" s="790">
        <f t="shared" si="96"/>
        <v>0</v>
      </c>
      <c r="N78" s="790">
        <f t="shared" si="96"/>
        <v>0</v>
      </c>
      <c r="O78" s="791">
        <f t="shared" si="96"/>
        <v>0</v>
      </c>
      <c r="P78" s="813"/>
      <c r="Q78" s="813"/>
      <c r="R78" s="808"/>
      <c r="S78" s="809"/>
      <c r="T78" s="790">
        <f t="shared" si="97"/>
        <v>0</v>
      </c>
      <c r="U78" s="790">
        <f t="shared" si="97"/>
        <v>0</v>
      </c>
      <c r="V78" s="804">
        <f t="shared" si="97"/>
        <v>0</v>
      </c>
      <c r="W78" s="803">
        <f t="shared" si="97"/>
        <v>0</v>
      </c>
      <c r="X78" s="786">
        <f t="shared" si="106"/>
        <v>0</v>
      </c>
      <c r="Z78" s="863">
        <f t="shared" si="101"/>
        <v>0</v>
      </c>
      <c r="AA78" s="863">
        <f t="shared" si="102"/>
        <v>0</v>
      </c>
      <c r="AB78" s="863">
        <f t="shared" si="103"/>
        <v>0</v>
      </c>
      <c r="AC78" s="863">
        <f t="shared" si="104"/>
        <v>44</v>
      </c>
      <c r="AD78" s="864">
        <f t="shared" si="105"/>
        <v>0</v>
      </c>
    </row>
    <row r="79" spans="1:30" x14ac:dyDescent="0.25">
      <c r="A79" s="1194" t="s">
        <v>1178</v>
      </c>
      <c r="B79" s="1195"/>
      <c r="C79" s="781">
        <v>36</v>
      </c>
      <c r="D79" s="799">
        <f>'[4]Стандартные программы'!G225</f>
        <v>150</v>
      </c>
      <c r="E79" s="799">
        <f>'[4]Стандартные программы'!M225</f>
        <v>10800</v>
      </c>
      <c r="F79" s="799">
        <f>'[4]Стандартные программы'!Q225</f>
        <v>4</v>
      </c>
      <c r="G79" s="801">
        <f>'[4]Стандартные программы'!R225</f>
        <v>0.44</v>
      </c>
      <c r="H79" s="799">
        <f>'[4]Адаптированные программы'!G68</f>
        <v>0</v>
      </c>
      <c r="I79" s="799">
        <f>'[4]Адаптированные программы'!M68</f>
        <v>0</v>
      </c>
      <c r="J79" s="799">
        <f>'[4]Адаптированные программы'!Q68</f>
        <v>0</v>
      </c>
      <c r="K79" s="801">
        <f>'[4]Адаптированные программы'!R68</f>
        <v>0</v>
      </c>
      <c r="L79" s="784">
        <f t="shared" si="96"/>
        <v>150</v>
      </c>
      <c r="M79" s="784">
        <f t="shared" si="96"/>
        <v>10800</v>
      </c>
      <c r="N79" s="784">
        <f t="shared" si="96"/>
        <v>4</v>
      </c>
      <c r="O79" s="785">
        <f t="shared" si="96"/>
        <v>0.44</v>
      </c>
      <c r="P79" s="799">
        <f>'[4]Общеразвив.программы на МЗ'!G443</f>
        <v>84</v>
      </c>
      <c r="Q79" s="799">
        <f>'[4]Общеразвив.программы на МЗ'!J443</f>
        <v>12096</v>
      </c>
      <c r="R79" s="799">
        <f>'[4]Общеразвив.программы на МЗ'!L443</f>
        <v>4</v>
      </c>
      <c r="S79" s="801">
        <f>'[4]Общеразвив.программы на МЗ'!M443</f>
        <v>0.88</v>
      </c>
      <c r="T79" s="784">
        <f t="shared" si="97"/>
        <v>234</v>
      </c>
      <c r="U79" s="784">
        <f t="shared" si="97"/>
        <v>22896</v>
      </c>
      <c r="V79" s="804">
        <f t="shared" si="97"/>
        <v>8</v>
      </c>
      <c r="W79" s="803">
        <f t="shared" si="97"/>
        <v>1.32</v>
      </c>
      <c r="X79" s="786">
        <f t="shared" si="106"/>
        <v>0</v>
      </c>
      <c r="Z79" s="863">
        <f t="shared" si="101"/>
        <v>22896</v>
      </c>
      <c r="AA79" s="863">
        <f t="shared" si="102"/>
        <v>234</v>
      </c>
      <c r="AB79" s="863">
        <f t="shared" si="103"/>
        <v>8</v>
      </c>
      <c r="AC79" s="863">
        <f t="shared" si="104"/>
        <v>36</v>
      </c>
      <c r="AD79" s="864">
        <f t="shared" si="105"/>
        <v>1.32</v>
      </c>
    </row>
    <row r="80" spans="1:30" x14ac:dyDescent="0.25">
      <c r="A80" s="1194" t="s">
        <v>1179</v>
      </c>
      <c r="B80" s="1195"/>
      <c r="C80" s="781">
        <v>0</v>
      </c>
      <c r="D80" s="799">
        <f>'[4]Стандартные программы'!G226</f>
        <v>0</v>
      </c>
      <c r="E80" s="799">
        <f>'[4]Стандартные программы'!M226</f>
        <v>0</v>
      </c>
      <c r="F80" s="799">
        <f>'[4]Стандартные программы'!Q226</f>
        <v>0</v>
      </c>
      <c r="G80" s="801">
        <f>'[4]Стандартные программы'!R226</f>
        <v>0</v>
      </c>
      <c r="H80" s="799">
        <f>'[4]Адаптированные программы'!G69</f>
        <v>0</v>
      </c>
      <c r="I80" s="799">
        <f>'[4]Адаптированные программы'!M69</f>
        <v>0</v>
      </c>
      <c r="J80" s="799">
        <f>'[4]Адаптированные программы'!Q69</f>
        <v>0</v>
      </c>
      <c r="K80" s="801">
        <f>'[4]Адаптированные программы'!R69</f>
        <v>0</v>
      </c>
      <c r="L80" s="784">
        <f t="shared" si="96"/>
        <v>0</v>
      </c>
      <c r="M80" s="784">
        <f t="shared" si="96"/>
        <v>0</v>
      </c>
      <c r="N80" s="784">
        <f t="shared" si="96"/>
        <v>0</v>
      </c>
      <c r="O80" s="785">
        <f t="shared" si="96"/>
        <v>0</v>
      </c>
      <c r="P80" s="799">
        <f>'[4]Общеразвив.программы на МЗ'!G444</f>
        <v>0</v>
      </c>
      <c r="Q80" s="799">
        <f>'[4]Общеразвив.программы на МЗ'!J444</f>
        <v>0</v>
      </c>
      <c r="R80" s="799">
        <f>'[4]Общеразвив.программы на МЗ'!L444</f>
        <v>0</v>
      </c>
      <c r="S80" s="801">
        <f>'[4]Общеразвив.программы на МЗ'!M444</f>
        <v>0</v>
      </c>
      <c r="T80" s="784">
        <f t="shared" si="97"/>
        <v>0</v>
      </c>
      <c r="U80" s="784">
        <f t="shared" si="97"/>
        <v>0</v>
      </c>
      <c r="V80" s="804">
        <f t="shared" si="97"/>
        <v>0</v>
      </c>
      <c r="W80" s="803">
        <f t="shared" si="97"/>
        <v>0</v>
      </c>
      <c r="X80" s="786">
        <f t="shared" si="106"/>
        <v>0</v>
      </c>
      <c r="Z80" s="863">
        <f t="shared" si="101"/>
        <v>0</v>
      </c>
      <c r="AA80" s="863">
        <f t="shared" si="102"/>
        <v>0</v>
      </c>
      <c r="AB80" s="863">
        <f t="shared" si="103"/>
        <v>0</v>
      </c>
      <c r="AC80" s="863">
        <f t="shared" si="104"/>
        <v>0</v>
      </c>
      <c r="AD80" s="864">
        <f t="shared" si="105"/>
        <v>0</v>
      </c>
    </row>
    <row r="81" spans="1:30" x14ac:dyDescent="0.25">
      <c r="A81" s="1194" t="s">
        <v>1180</v>
      </c>
      <c r="B81" s="1195"/>
      <c r="C81" s="781">
        <v>0</v>
      </c>
      <c r="D81" s="799">
        <f>'[4]Стандартные программы'!G227</f>
        <v>0</v>
      </c>
      <c r="E81" s="799">
        <f>'[4]Стандартные программы'!M227</f>
        <v>0</v>
      </c>
      <c r="F81" s="799">
        <f>'[4]Стандартные программы'!Q227</f>
        <v>0</v>
      </c>
      <c r="G81" s="801">
        <f>'[4]Стандартные программы'!R227</f>
        <v>0</v>
      </c>
      <c r="H81" s="799">
        <f>'[4]Адаптированные программы'!G70</f>
        <v>0</v>
      </c>
      <c r="I81" s="799">
        <f>'[4]Адаптированные программы'!M70</f>
        <v>0</v>
      </c>
      <c r="J81" s="799">
        <f>'[4]Адаптированные программы'!Q70</f>
        <v>0</v>
      </c>
      <c r="K81" s="801">
        <f>'[4]Адаптированные программы'!R70</f>
        <v>0</v>
      </c>
      <c r="L81" s="784">
        <f t="shared" si="96"/>
        <v>0</v>
      </c>
      <c r="M81" s="784">
        <f t="shared" si="96"/>
        <v>0</v>
      </c>
      <c r="N81" s="784">
        <f t="shared" si="96"/>
        <v>0</v>
      </c>
      <c r="O81" s="785">
        <f t="shared" si="96"/>
        <v>0</v>
      </c>
      <c r="P81" s="799">
        <f>'[4]Общеразвив.программы на МЗ'!G445</f>
        <v>0</v>
      </c>
      <c r="Q81" s="799">
        <f>'[4]Общеразвив.программы на МЗ'!J445</f>
        <v>0</v>
      </c>
      <c r="R81" s="799">
        <f>'[4]Общеразвив.программы на МЗ'!L445</f>
        <v>0</v>
      </c>
      <c r="S81" s="801">
        <f>'[4]Общеразвив.программы на МЗ'!M445</f>
        <v>0</v>
      </c>
      <c r="T81" s="784">
        <f t="shared" si="97"/>
        <v>0</v>
      </c>
      <c r="U81" s="784">
        <f t="shared" si="97"/>
        <v>0</v>
      </c>
      <c r="V81" s="804">
        <f t="shared" si="97"/>
        <v>0</v>
      </c>
      <c r="W81" s="803">
        <f t="shared" si="97"/>
        <v>0</v>
      </c>
      <c r="X81" s="786">
        <f t="shared" si="106"/>
        <v>0</v>
      </c>
      <c r="Z81" s="863">
        <f t="shared" si="101"/>
        <v>0</v>
      </c>
      <c r="AA81" s="863">
        <f t="shared" si="102"/>
        <v>0</v>
      </c>
      <c r="AB81" s="863">
        <f t="shared" si="103"/>
        <v>0</v>
      </c>
      <c r="AC81" s="863">
        <f t="shared" si="104"/>
        <v>0</v>
      </c>
      <c r="AD81" s="864">
        <f t="shared" si="105"/>
        <v>0</v>
      </c>
    </row>
    <row r="82" spans="1:30" x14ac:dyDescent="0.25">
      <c r="A82" s="1194" t="s">
        <v>1181</v>
      </c>
      <c r="B82" s="1195"/>
      <c r="C82" s="781">
        <v>36</v>
      </c>
      <c r="D82" s="799">
        <f>'[4]Стандартные программы'!G228</f>
        <v>0</v>
      </c>
      <c r="E82" s="799">
        <f>'[4]Стандартные программы'!M228</f>
        <v>0</v>
      </c>
      <c r="F82" s="799">
        <f>'[4]Стандартные программы'!Q228</f>
        <v>0</v>
      </c>
      <c r="G82" s="801">
        <f>'[4]Стандартные программы'!R228</f>
        <v>0</v>
      </c>
      <c r="H82" s="799">
        <f>'[4]Адаптированные программы'!G71</f>
        <v>0</v>
      </c>
      <c r="I82" s="799">
        <f>'[4]Адаптированные программы'!M71</f>
        <v>0</v>
      </c>
      <c r="J82" s="799">
        <f>'[4]Адаптированные программы'!Q71</f>
        <v>0</v>
      </c>
      <c r="K82" s="801">
        <f>'[4]Адаптированные программы'!R71</f>
        <v>0</v>
      </c>
      <c r="L82" s="784">
        <f t="shared" si="96"/>
        <v>0</v>
      </c>
      <c r="M82" s="784">
        <f t="shared" si="96"/>
        <v>0</v>
      </c>
      <c r="N82" s="784">
        <f t="shared" si="96"/>
        <v>0</v>
      </c>
      <c r="O82" s="785">
        <f t="shared" si="96"/>
        <v>0</v>
      </c>
      <c r="P82" s="799">
        <f>'[4]Общеразвив.программы на МЗ'!G446</f>
        <v>38</v>
      </c>
      <c r="Q82" s="799">
        <f>'[4]Общеразвив.программы на МЗ'!J446</f>
        <v>5976</v>
      </c>
      <c r="R82" s="799">
        <f>'[4]Общеразвив.программы на МЗ'!L446</f>
        <v>2</v>
      </c>
      <c r="S82" s="801">
        <f>'[4]Общеразвив.программы на МЗ'!M446</f>
        <v>0.45</v>
      </c>
      <c r="T82" s="784">
        <f t="shared" si="97"/>
        <v>38</v>
      </c>
      <c r="U82" s="784">
        <f t="shared" si="97"/>
        <v>5976</v>
      </c>
      <c r="V82" s="804">
        <f t="shared" si="97"/>
        <v>2</v>
      </c>
      <c r="W82" s="803">
        <f t="shared" si="97"/>
        <v>0.45</v>
      </c>
      <c r="X82" s="786">
        <f t="shared" si="106"/>
        <v>0</v>
      </c>
      <c r="Z82" s="863">
        <f t="shared" si="101"/>
        <v>5976</v>
      </c>
      <c r="AA82" s="863">
        <f t="shared" si="102"/>
        <v>38</v>
      </c>
      <c r="AB82" s="863">
        <f t="shared" si="103"/>
        <v>2</v>
      </c>
      <c r="AC82" s="863">
        <f t="shared" si="104"/>
        <v>36</v>
      </c>
      <c r="AD82" s="864">
        <f t="shared" si="105"/>
        <v>0.45</v>
      </c>
    </row>
    <row r="83" spans="1:30" x14ac:dyDescent="0.25">
      <c r="A83" s="792" t="s">
        <v>1182</v>
      </c>
      <c r="B83" s="793"/>
      <c r="C83" s="793"/>
      <c r="D83" s="794">
        <f>D71-D72-D73-D74-D75-D76-D79-D80-D81-D82</f>
        <v>0</v>
      </c>
      <c r="E83" s="794">
        <f>E71-E72-E73-E74-E75-E76-E79-E80-E81-E82</f>
        <v>0</v>
      </c>
      <c r="F83" s="794"/>
      <c r="G83" s="795"/>
      <c r="H83" s="794">
        <f>H71-H72-H73-H74-H75-H76-H79-H80-H81-H82</f>
        <v>0</v>
      </c>
      <c r="I83" s="794">
        <f>I71-I72-I73-I74-I75-I76-I79-I80-I81-I82</f>
        <v>0</v>
      </c>
      <c r="J83" s="794"/>
      <c r="K83" s="795"/>
      <c r="L83" s="796">
        <f>L71-L72-L73-L74-L75-L76-L79-L80-L81-L82</f>
        <v>0</v>
      </c>
      <c r="M83" s="796">
        <f>M71-M72-M73-M74-M75-M76-M79-M80-M81-M82</f>
        <v>0</v>
      </c>
      <c r="N83" s="796"/>
      <c r="O83" s="797"/>
      <c r="P83" s="794">
        <f>P71-P72-P73-P74-P75-P76-P79-P80-P81-P82</f>
        <v>0</v>
      </c>
      <c r="Q83" s="794">
        <f>Q71-Q72-Q73-Q74-Q75-Q76-Q79-Q80-Q81-Q82</f>
        <v>0</v>
      </c>
      <c r="R83" s="794"/>
      <c r="S83" s="795"/>
      <c r="T83" s="796">
        <f>T71-T72-T73-T74-T75-T76-T79-T80-T81-T82</f>
        <v>0</v>
      </c>
      <c r="U83" s="796">
        <f>U71-U72-U73-U74-U75-U76-U79-U80-U81-U82</f>
        <v>0</v>
      </c>
      <c r="V83" s="796"/>
      <c r="W83" s="797"/>
      <c r="X83" s="798"/>
      <c r="Z83" s="794">
        <f>Z71-Z72-Z73-Z74-Z75-Z76-Z79-Z80-Z81-Z82</f>
        <v>0</v>
      </c>
      <c r="AA83" s="794">
        <f>AA71-AA72-AA73-AA74-AA75-AA76-AA79-AA80-AA81-AA82</f>
        <v>0</v>
      </c>
      <c r="AB83" s="794"/>
      <c r="AC83" s="794"/>
      <c r="AD83" s="795"/>
    </row>
  </sheetData>
  <mergeCells count="62">
    <mergeCell ref="A82:B82"/>
    <mergeCell ref="A74:B74"/>
    <mergeCell ref="A75:B75"/>
    <mergeCell ref="A76:B76"/>
    <mergeCell ref="A79:B79"/>
    <mergeCell ref="A80:B80"/>
    <mergeCell ref="A81:B81"/>
    <mergeCell ref="A73:B73"/>
    <mergeCell ref="A56:B56"/>
    <mergeCell ref="A59:B59"/>
    <mergeCell ref="A60:B60"/>
    <mergeCell ref="A61:B61"/>
    <mergeCell ref="A62:B62"/>
    <mergeCell ref="A63:B63"/>
    <mergeCell ref="A66:B66"/>
    <mergeCell ref="A67:B67"/>
    <mergeCell ref="A68:B68"/>
    <mergeCell ref="A69:B69"/>
    <mergeCell ref="A72:B72"/>
    <mergeCell ref="A55:B55"/>
    <mergeCell ref="A40:B40"/>
    <mergeCell ref="A41:B41"/>
    <mergeCell ref="A42:B42"/>
    <mergeCell ref="A43:B43"/>
    <mergeCell ref="A46:B46"/>
    <mergeCell ref="A47:B47"/>
    <mergeCell ref="A48:B48"/>
    <mergeCell ref="A49:B49"/>
    <mergeCell ref="A50:B50"/>
    <mergeCell ref="A53:B53"/>
    <mergeCell ref="A54:B54"/>
    <mergeCell ref="A16:B16"/>
    <mergeCell ref="A20:B20"/>
    <mergeCell ref="A37:B37"/>
    <mergeCell ref="A22:B22"/>
    <mergeCell ref="A23:B23"/>
    <mergeCell ref="A24:B24"/>
    <mergeCell ref="A27:B27"/>
    <mergeCell ref="A28:B28"/>
    <mergeCell ref="A29:B29"/>
    <mergeCell ref="A30:B30"/>
    <mergeCell ref="A33:B33"/>
    <mergeCell ref="A34:B34"/>
    <mergeCell ref="A35:B35"/>
    <mergeCell ref="A36:B36"/>
    <mergeCell ref="A21:B21"/>
    <mergeCell ref="A13:B13"/>
    <mergeCell ref="A14:B14"/>
    <mergeCell ref="A15:B15"/>
    <mergeCell ref="Z3:AD3"/>
    <mergeCell ref="A10:B10"/>
    <mergeCell ref="A3:B4"/>
    <mergeCell ref="C3:C4"/>
    <mergeCell ref="D3:G3"/>
    <mergeCell ref="H3:K3"/>
    <mergeCell ref="T3:W3"/>
    <mergeCell ref="A6:B6"/>
    <mergeCell ref="A7:B7"/>
    <mergeCell ref="A8:B8"/>
    <mergeCell ref="A9:B9"/>
    <mergeCell ref="L3:O3"/>
    <mergeCell ref="P3:S3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  <pageSetUpPr fitToPage="1"/>
  </sheetPr>
  <dimension ref="A1:S14"/>
  <sheetViews>
    <sheetView zoomScaleSheetLayoutView="85" workbookViewId="0">
      <pane xSplit="2" ySplit="6" topLeftCell="C7" activePane="bottomRight" state="frozen"/>
      <selection pane="topRight" activeCell="C1" sqref="C1"/>
      <selection pane="bottomLeft" activeCell="A6" sqref="A6"/>
      <selection pane="bottomRight" activeCell="F32" sqref="F32"/>
    </sheetView>
  </sheetViews>
  <sheetFormatPr defaultRowHeight="15" x14ac:dyDescent="0.25"/>
  <cols>
    <col min="1" max="1" width="19.5703125" customWidth="1"/>
    <col min="2" max="2" width="13.28515625" customWidth="1"/>
    <col min="3" max="3" width="12.85546875" customWidth="1"/>
    <col min="4" max="5" width="13.5703125" customWidth="1"/>
    <col min="6" max="6" width="14.85546875" customWidth="1"/>
    <col min="7" max="7" width="13.28515625" customWidth="1"/>
    <col min="8" max="8" width="12.85546875" customWidth="1"/>
    <col min="9" max="10" width="13.5703125" customWidth="1"/>
    <col min="11" max="11" width="13.28515625" hidden="1" customWidth="1"/>
    <col min="12" max="12" width="12.85546875" hidden="1" customWidth="1"/>
    <col min="13" max="14" width="13.5703125" hidden="1" customWidth="1"/>
    <col min="15" max="15" width="14.85546875" hidden="1" customWidth="1"/>
    <col min="16" max="16" width="13.28515625" hidden="1" customWidth="1"/>
    <col min="17" max="17" width="12.85546875" hidden="1" customWidth="1"/>
    <col min="18" max="19" width="13.5703125" hidden="1" customWidth="1"/>
  </cols>
  <sheetData>
    <row r="1" spans="1:19" x14ac:dyDescent="0.25">
      <c r="B1" t="s">
        <v>1155</v>
      </c>
      <c r="K1" t="s">
        <v>797</v>
      </c>
    </row>
    <row r="3" spans="1:19" x14ac:dyDescent="0.25">
      <c r="A3" s="1210" t="s">
        <v>632</v>
      </c>
      <c r="B3" s="1212" t="s">
        <v>1156</v>
      </c>
      <c r="C3" s="1213"/>
      <c r="D3" s="1213"/>
      <c r="E3" s="1213"/>
      <c r="F3" s="1213"/>
      <c r="G3" s="1213"/>
      <c r="H3" s="1213"/>
      <c r="I3" s="1213"/>
      <c r="J3" s="1214"/>
      <c r="K3" s="1212" t="s">
        <v>798</v>
      </c>
      <c r="L3" s="1213"/>
      <c r="M3" s="1213"/>
      <c r="N3" s="1213"/>
      <c r="O3" s="1213"/>
      <c r="P3" s="1213"/>
      <c r="Q3" s="1213"/>
      <c r="R3" s="1213"/>
      <c r="S3" s="1213"/>
    </row>
    <row r="4" spans="1:19" ht="15" customHeight="1" x14ac:dyDescent="0.25">
      <c r="A4" s="1210"/>
      <c r="B4" s="1211" t="s">
        <v>799</v>
      </c>
      <c r="C4" s="1215" t="s">
        <v>800</v>
      </c>
      <c r="D4" s="1216"/>
      <c r="E4" s="1211"/>
      <c r="F4" s="1210" t="s">
        <v>655</v>
      </c>
      <c r="G4" s="1210" t="s">
        <v>799</v>
      </c>
      <c r="H4" s="1215" t="s">
        <v>800</v>
      </c>
      <c r="I4" s="1216"/>
      <c r="J4" s="1211"/>
      <c r="K4" s="1211" t="s">
        <v>799</v>
      </c>
      <c r="L4" s="1215" t="s">
        <v>800</v>
      </c>
      <c r="M4" s="1216"/>
      <c r="N4" s="1211"/>
      <c r="O4" s="1210" t="s">
        <v>655</v>
      </c>
      <c r="P4" s="1210" t="s">
        <v>799</v>
      </c>
      <c r="Q4" s="1215" t="s">
        <v>800</v>
      </c>
      <c r="R4" s="1216"/>
      <c r="S4" s="1211"/>
    </row>
    <row r="5" spans="1:19" ht="36.75" customHeight="1" x14ac:dyDescent="0.25">
      <c r="A5" s="1210"/>
      <c r="B5" s="1211"/>
      <c r="C5" s="366" t="s">
        <v>801</v>
      </c>
      <c r="D5" s="366" t="s">
        <v>679</v>
      </c>
      <c r="E5" s="366" t="s">
        <v>804</v>
      </c>
      <c r="F5" s="1210"/>
      <c r="G5" s="1210"/>
      <c r="H5" s="366" t="s">
        <v>801</v>
      </c>
      <c r="I5" s="366" t="s">
        <v>679</v>
      </c>
      <c r="J5" s="366" t="s">
        <v>804</v>
      </c>
      <c r="K5" s="1211"/>
      <c r="L5" s="366" t="s">
        <v>801</v>
      </c>
      <c r="M5" s="366" t="s">
        <v>679</v>
      </c>
      <c r="N5" s="366" t="s">
        <v>804</v>
      </c>
      <c r="O5" s="1210"/>
      <c r="P5" s="1210"/>
      <c r="Q5" s="366" t="s">
        <v>801</v>
      </c>
      <c r="R5" s="366" t="s">
        <v>679</v>
      </c>
      <c r="S5" s="366" t="s">
        <v>804</v>
      </c>
    </row>
    <row r="6" spans="1:19" x14ac:dyDescent="0.25">
      <c r="A6" s="367">
        <v>1</v>
      </c>
      <c r="B6" s="367">
        <v>2</v>
      </c>
      <c r="C6" s="367">
        <v>3</v>
      </c>
      <c r="D6" s="367">
        <v>4</v>
      </c>
      <c r="E6" s="367">
        <v>5</v>
      </c>
      <c r="F6" s="367">
        <v>6</v>
      </c>
      <c r="G6" s="367">
        <v>7</v>
      </c>
      <c r="H6" s="367">
        <v>8</v>
      </c>
      <c r="I6" s="367">
        <v>9</v>
      </c>
      <c r="J6" s="367">
        <v>10</v>
      </c>
      <c r="K6" s="367">
        <v>11</v>
      </c>
      <c r="L6" s="367">
        <v>12</v>
      </c>
      <c r="M6" s="367">
        <v>13</v>
      </c>
      <c r="N6" s="367">
        <v>14</v>
      </c>
      <c r="O6" s="367">
        <v>15</v>
      </c>
      <c r="P6" s="367">
        <v>16</v>
      </c>
      <c r="Q6" s="367">
        <v>17</v>
      </c>
      <c r="R6" s="367">
        <v>18</v>
      </c>
      <c r="S6" s="367">
        <v>19</v>
      </c>
    </row>
    <row r="7" spans="1:19" x14ac:dyDescent="0.25">
      <c r="A7" s="368" t="s">
        <v>803</v>
      </c>
      <c r="B7" s="369">
        <f>C7+D7+E7</f>
        <v>629545.02</v>
      </c>
      <c r="C7" s="370">
        <f>'291 имущ 2024'!$F$108</f>
        <v>355835.85</v>
      </c>
      <c r="D7" s="370">
        <f>'291 земля 2024'!$G$102</f>
        <v>273709.17</v>
      </c>
      <c r="E7" s="370"/>
      <c r="F7" s="371">
        <v>0.98122950480000004</v>
      </c>
      <c r="G7" s="369">
        <f t="shared" ref="G7:G11" si="0">H7+I7+J7</f>
        <v>617728.14</v>
      </c>
      <c r="H7" s="370">
        <f>C7*F7</f>
        <v>349156.63</v>
      </c>
      <c r="I7" s="370">
        <f>D7*F7</f>
        <v>268571.51</v>
      </c>
      <c r="J7" s="370">
        <f>E7*F7</f>
        <v>0</v>
      </c>
      <c r="K7" s="369">
        <f>L7+M7+N7</f>
        <v>0</v>
      </c>
      <c r="L7" s="370"/>
      <c r="M7" s="370"/>
      <c r="N7" s="370"/>
      <c r="O7" s="371">
        <v>1</v>
      </c>
      <c r="P7" s="369">
        <f t="shared" ref="P7:P11" si="1">Q7+R7+S7</f>
        <v>0</v>
      </c>
      <c r="Q7" s="370">
        <f>L7*O7</f>
        <v>0</v>
      </c>
      <c r="R7" s="370">
        <f>M7*O7</f>
        <v>0</v>
      </c>
      <c r="S7" s="370">
        <f>N7*O7</f>
        <v>0</v>
      </c>
    </row>
    <row r="8" spans="1:19" x14ac:dyDescent="0.25">
      <c r="A8" s="375" t="s">
        <v>61</v>
      </c>
      <c r="B8" s="369">
        <f t="shared" ref="B8:B11" si="2">C8+D8+E8</f>
        <v>97991.63</v>
      </c>
      <c r="C8" s="370">
        <f>'291 имущ 2024'!$F$111</f>
        <v>97991.63</v>
      </c>
      <c r="D8" s="370">
        <f>'291 земля 2024'!G105</f>
        <v>0</v>
      </c>
      <c r="E8" s="370"/>
      <c r="F8" s="371">
        <v>0.95716725619999998</v>
      </c>
      <c r="G8" s="369">
        <f t="shared" si="0"/>
        <v>93794.38</v>
      </c>
      <c r="H8" s="370">
        <f>C8*F8</f>
        <v>93794.38</v>
      </c>
      <c r="I8" s="370">
        <f>D8*F8</f>
        <v>0</v>
      </c>
      <c r="J8" s="370">
        <f t="shared" ref="J8:J11" si="3">E8*F8</f>
        <v>0</v>
      </c>
      <c r="K8" s="369">
        <f t="shared" ref="K8:K11" si="4">L8+M8+N8</f>
        <v>0</v>
      </c>
      <c r="L8" s="370"/>
      <c r="M8" s="370"/>
      <c r="N8" s="370"/>
      <c r="O8" s="371">
        <v>1</v>
      </c>
      <c r="P8" s="369">
        <f t="shared" si="1"/>
        <v>0</v>
      </c>
      <c r="Q8" s="370">
        <f>L8*O8</f>
        <v>0</v>
      </c>
      <c r="R8" s="370">
        <f>M8*O8</f>
        <v>0</v>
      </c>
      <c r="S8" s="370">
        <f t="shared" ref="S8:S11" si="5">N8*O8</f>
        <v>0</v>
      </c>
    </row>
    <row r="9" spans="1:19" x14ac:dyDescent="0.25">
      <c r="A9" s="376" t="s">
        <v>360</v>
      </c>
      <c r="B9" s="369">
        <f t="shared" si="2"/>
        <v>227110.91</v>
      </c>
      <c r="C9" s="370">
        <f>'291 имущ 2024'!$F$112</f>
        <v>88667.23</v>
      </c>
      <c r="D9" s="370">
        <f>'291 земля 2024'!G106</f>
        <v>133603.68</v>
      </c>
      <c r="E9" s="370">
        <f>'291 трансп'!$G$17</f>
        <v>4840</v>
      </c>
      <c r="F9" s="371">
        <v>1</v>
      </c>
      <c r="G9" s="369">
        <f t="shared" si="0"/>
        <v>227110.91</v>
      </c>
      <c r="H9" s="370">
        <f>C9*F9</f>
        <v>88667.23</v>
      </c>
      <c r="I9" s="370">
        <f>D9*F9</f>
        <v>133603.68</v>
      </c>
      <c r="J9" s="370">
        <f t="shared" si="3"/>
        <v>4840</v>
      </c>
      <c r="K9" s="369">
        <f t="shared" si="4"/>
        <v>0</v>
      </c>
      <c r="L9" s="370"/>
      <c r="M9" s="370"/>
      <c r="N9" s="370"/>
      <c r="O9" s="371">
        <v>1</v>
      </c>
      <c r="P9" s="369">
        <f t="shared" si="1"/>
        <v>0</v>
      </c>
      <c r="Q9" s="370">
        <f>L9*O9</f>
        <v>0</v>
      </c>
      <c r="R9" s="370">
        <f>M9*O9</f>
        <v>0</v>
      </c>
      <c r="S9" s="370">
        <f t="shared" si="5"/>
        <v>0</v>
      </c>
    </row>
    <row r="10" spans="1:19" x14ac:dyDescent="0.25">
      <c r="A10" s="376" t="s">
        <v>62</v>
      </c>
      <c r="B10" s="369">
        <f t="shared" si="2"/>
        <v>12738.35</v>
      </c>
      <c r="C10" s="370">
        <f>'291 имущ 2024'!$F$109</f>
        <v>12738.35</v>
      </c>
      <c r="D10" s="370"/>
      <c r="E10" s="370"/>
      <c r="F10" s="371">
        <v>1</v>
      </c>
      <c r="G10" s="369">
        <f t="shared" si="0"/>
        <v>12738.35</v>
      </c>
      <c r="H10" s="370">
        <f>C10*F10</f>
        <v>12738.35</v>
      </c>
      <c r="I10" s="370">
        <f>D10*F10</f>
        <v>0</v>
      </c>
      <c r="J10" s="370">
        <f t="shared" si="3"/>
        <v>0</v>
      </c>
      <c r="K10" s="369">
        <f t="shared" si="4"/>
        <v>0</v>
      </c>
      <c r="L10" s="370"/>
      <c r="M10" s="370"/>
      <c r="N10" s="370"/>
      <c r="O10" s="371">
        <v>1</v>
      </c>
      <c r="P10" s="369">
        <f t="shared" si="1"/>
        <v>0</v>
      </c>
      <c r="Q10" s="370">
        <f>L10*O10</f>
        <v>0</v>
      </c>
      <c r="R10" s="370">
        <f>M10*O10</f>
        <v>0</v>
      </c>
      <c r="S10" s="370">
        <f t="shared" si="5"/>
        <v>0</v>
      </c>
    </row>
    <row r="11" spans="1:19" x14ac:dyDescent="0.25">
      <c r="A11" s="376" t="s">
        <v>627</v>
      </c>
      <c r="B11" s="369">
        <f t="shared" si="2"/>
        <v>16334.87</v>
      </c>
      <c r="C11" s="370">
        <f>'291 имущ 2024'!$F$110</f>
        <v>16334.87</v>
      </c>
      <c r="D11" s="370"/>
      <c r="E11" s="370"/>
      <c r="F11" s="371">
        <v>1</v>
      </c>
      <c r="G11" s="369">
        <f t="shared" si="0"/>
        <v>16334.87</v>
      </c>
      <c r="H11" s="370">
        <f>C11*F11</f>
        <v>16334.87</v>
      </c>
      <c r="I11" s="370">
        <f>D11*F11</f>
        <v>0</v>
      </c>
      <c r="J11" s="370">
        <f t="shared" si="3"/>
        <v>0</v>
      </c>
      <c r="K11" s="369">
        <f t="shared" si="4"/>
        <v>0</v>
      </c>
      <c r="L11" s="370"/>
      <c r="M11" s="370"/>
      <c r="N11" s="370"/>
      <c r="O11" s="371">
        <v>1</v>
      </c>
      <c r="P11" s="369">
        <f t="shared" si="1"/>
        <v>0</v>
      </c>
      <c r="Q11" s="370">
        <f>L11*O11</f>
        <v>0</v>
      </c>
      <c r="R11" s="370">
        <f>M11*O11</f>
        <v>0</v>
      </c>
      <c r="S11" s="370">
        <f t="shared" si="5"/>
        <v>0</v>
      </c>
    </row>
    <row r="12" spans="1:19" x14ac:dyDescent="0.25">
      <c r="A12" s="372" t="s">
        <v>802</v>
      </c>
      <c r="B12" s="373">
        <f>SUM(B7:B11)</f>
        <v>983720.78</v>
      </c>
      <c r="C12" s="373">
        <f>SUM(C7:C11)</f>
        <v>571567.93000000005</v>
      </c>
      <c r="D12" s="373">
        <f>SUM(D7:D11)</f>
        <v>407312.85</v>
      </c>
      <c r="E12" s="373">
        <f>SUM(E7:E11)</f>
        <v>4840</v>
      </c>
      <c r="F12" s="374"/>
      <c r="G12" s="373">
        <f t="shared" ref="G12:N12" si="6">SUM(G7:G11)</f>
        <v>967706.65</v>
      </c>
      <c r="H12" s="373">
        <f t="shared" si="6"/>
        <v>560691.46</v>
      </c>
      <c r="I12" s="373">
        <f t="shared" si="6"/>
        <v>402175.19</v>
      </c>
      <c r="J12" s="373">
        <f t="shared" si="6"/>
        <v>4840</v>
      </c>
      <c r="K12" s="373">
        <f t="shared" si="6"/>
        <v>0</v>
      </c>
      <c r="L12" s="373">
        <f t="shared" si="6"/>
        <v>0</v>
      </c>
      <c r="M12" s="373">
        <f t="shared" si="6"/>
        <v>0</v>
      </c>
      <c r="N12" s="373">
        <f t="shared" si="6"/>
        <v>0</v>
      </c>
      <c r="O12" s="374"/>
      <c r="P12" s="373">
        <f>SUM(P7:P11)</f>
        <v>0</v>
      </c>
      <c r="Q12" s="373">
        <f>SUM(Q7:Q11)</f>
        <v>0</v>
      </c>
      <c r="R12" s="373">
        <f>SUM(R7:R11)</f>
        <v>0</v>
      </c>
      <c r="S12" s="373">
        <f>SUM(S7:S11)</f>
        <v>0</v>
      </c>
    </row>
    <row r="13" spans="1:19" x14ac:dyDescent="0.25">
      <c r="A13" s="372" t="s">
        <v>619</v>
      </c>
      <c r="B13" s="373">
        <f t="shared" ref="B13:D13" si="7">B12-B14</f>
        <v>354175.76</v>
      </c>
      <c r="C13" s="373">
        <f t="shared" si="7"/>
        <v>215732.08</v>
      </c>
      <c r="D13" s="373">
        <f t="shared" si="7"/>
        <v>133603.68</v>
      </c>
      <c r="E13" s="373">
        <f t="shared" ref="E13" si="8">E12-E14</f>
        <v>4840</v>
      </c>
      <c r="F13" s="374"/>
      <c r="G13" s="373">
        <f t="shared" ref="G13:M13" si="9">G12-G14</f>
        <v>349978.51</v>
      </c>
      <c r="H13" s="373">
        <f t="shared" si="9"/>
        <v>211534.83</v>
      </c>
      <c r="I13" s="373">
        <f t="shared" si="9"/>
        <v>133603.68</v>
      </c>
      <c r="J13" s="373">
        <f t="shared" ref="J13" si="10">J12-J14</f>
        <v>4840</v>
      </c>
      <c r="K13" s="373">
        <f t="shared" si="9"/>
        <v>0</v>
      </c>
      <c r="L13" s="373">
        <f t="shared" si="9"/>
        <v>0</v>
      </c>
      <c r="M13" s="373">
        <f t="shared" si="9"/>
        <v>0</v>
      </c>
      <c r="N13" s="373">
        <f t="shared" ref="N13" si="11">N12-N14</f>
        <v>0</v>
      </c>
      <c r="O13" s="374"/>
      <c r="P13" s="373">
        <f t="shared" ref="P13:R13" si="12">P12-P14</f>
        <v>0</v>
      </c>
      <c r="Q13" s="373">
        <f t="shared" si="12"/>
        <v>0</v>
      </c>
      <c r="R13" s="373">
        <f t="shared" si="12"/>
        <v>0</v>
      </c>
      <c r="S13" s="373">
        <f t="shared" ref="S13" si="13">S12-S14</f>
        <v>0</v>
      </c>
    </row>
    <row r="14" spans="1:19" x14ac:dyDescent="0.25">
      <c r="A14" s="372" t="s">
        <v>620</v>
      </c>
      <c r="B14" s="373">
        <f>B7</f>
        <v>629545.02</v>
      </c>
      <c r="C14" s="373">
        <f t="shared" ref="C14:D14" si="14">C7</f>
        <v>355835.85</v>
      </c>
      <c r="D14" s="373">
        <f t="shared" si="14"/>
        <v>273709.17</v>
      </c>
      <c r="E14" s="373">
        <f t="shared" ref="E14" si="15">E7</f>
        <v>0</v>
      </c>
      <c r="F14" s="374"/>
      <c r="G14" s="373">
        <f t="shared" ref="G14:M14" si="16">G7</f>
        <v>617728.14</v>
      </c>
      <c r="H14" s="373">
        <f t="shared" si="16"/>
        <v>349156.63</v>
      </c>
      <c r="I14" s="373">
        <f t="shared" si="16"/>
        <v>268571.51</v>
      </c>
      <c r="J14" s="373">
        <f t="shared" ref="J14" si="17">J7</f>
        <v>0</v>
      </c>
      <c r="K14" s="373">
        <f t="shared" si="16"/>
        <v>0</v>
      </c>
      <c r="L14" s="373">
        <f t="shared" si="16"/>
        <v>0</v>
      </c>
      <c r="M14" s="373">
        <f t="shared" si="16"/>
        <v>0</v>
      </c>
      <c r="N14" s="373">
        <f t="shared" ref="N14" si="18">N7</f>
        <v>0</v>
      </c>
      <c r="O14" s="374"/>
      <c r="P14" s="373">
        <f t="shared" ref="P14:R14" si="19">P7</f>
        <v>0</v>
      </c>
      <c r="Q14" s="373">
        <f t="shared" si="19"/>
        <v>0</v>
      </c>
      <c r="R14" s="373">
        <f t="shared" si="19"/>
        <v>0</v>
      </c>
      <c r="S14" s="373">
        <f t="shared" ref="S14" si="20">S7</f>
        <v>0</v>
      </c>
    </row>
  </sheetData>
  <mergeCells count="13">
    <mergeCell ref="O4:O5"/>
    <mergeCell ref="P4:P5"/>
    <mergeCell ref="K3:S3"/>
    <mergeCell ref="B3:J3"/>
    <mergeCell ref="C4:E4"/>
    <mergeCell ref="H4:J4"/>
    <mergeCell ref="L4:N4"/>
    <mergeCell ref="Q4:S4"/>
    <mergeCell ref="A3:A5"/>
    <mergeCell ref="B4:B5"/>
    <mergeCell ref="F4:F5"/>
    <mergeCell ref="G4:G5"/>
    <mergeCell ref="K4:K5"/>
  </mergeCells>
  <pageMargins left="0.11811023622047245" right="0" top="0" bottom="0" header="0" footer="0"/>
  <pageSetup paperSize="9" scale="72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43139-7F6B-4F5B-8BB5-4B55597C4CF0}">
  <dimension ref="A1:BF121"/>
  <sheetViews>
    <sheetView view="pageBreakPreview" topLeftCell="A2" zoomScaleSheetLayoutView="100" workbookViewId="0">
      <pane xSplit="1" ySplit="12" topLeftCell="B14" activePane="bottomRight" state="frozen"/>
      <selection activeCell="CJ160" sqref="CJ160"/>
      <selection pane="topRight" activeCell="CJ160" sqref="CJ160"/>
      <selection pane="bottomLeft" activeCell="CJ160" sqref="CJ160"/>
      <selection pane="bottomRight" activeCell="H129" sqref="H129"/>
    </sheetView>
  </sheetViews>
  <sheetFormatPr defaultColWidth="19.7109375" defaultRowHeight="15.75" x14ac:dyDescent="0.25"/>
  <cols>
    <col min="1" max="1" width="25.42578125" style="268" customWidth="1"/>
    <col min="2" max="2" width="22" style="268" customWidth="1"/>
    <col min="3" max="3" width="5.85546875" style="268" customWidth="1"/>
    <col min="4" max="4" width="18.7109375" style="268" customWidth="1"/>
    <col min="5" max="5" width="19.28515625" style="268" customWidth="1"/>
    <col min="6" max="6" width="17.28515625" style="268" customWidth="1"/>
    <col min="7" max="7" width="18.42578125" style="268" customWidth="1"/>
    <col min="8" max="8" width="14.42578125" style="268" customWidth="1"/>
    <col min="9" max="9" width="19.7109375" style="268" customWidth="1"/>
    <col min="10" max="10" width="18.28515625" style="619" customWidth="1"/>
    <col min="11" max="11" width="12.42578125" style="268" customWidth="1"/>
    <col min="12" max="12" width="16.42578125" style="620" customWidth="1"/>
    <col min="13" max="13" width="16.42578125" style="268" customWidth="1"/>
    <col min="14" max="16384" width="19.7109375" style="265"/>
  </cols>
  <sheetData>
    <row r="1" spans="1:58" ht="13.5" hidden="1" customHeight="1" thickBot="1" x14ac:dyDescent="0.3">
      <c r="A1" s="1226" t="s">
        <v>941</v>
      </c>
      <c r="B1" s="1226"/>
      <c r="C1" s="1226"/>
      <c r="D1" s="1226"/>
      <c r="E1" s="1226"/>
      <c r="F1" s="1226"/>
      <c r="G1" s="1226"/>
      <c r="H1" s="1226"/>
      <c r="I1" s="1226"/>
      <c r="J1" s="1226"/>
      <c r="K1" s="1226"/>
      <c r="L1" s="1226"/>
      <c r="M1" s="1226"/>
      <c r="N1" s="358"/>
      <c r="O1" s="358"/>
      <c r="P1" s="358"/>
      <c r="Q1" s="358"/>
      <c r="R1" s="358"/>
      <c r="S1" s="358"/>
      <c r="T1" s="358"/>
      <c r="U1" s="358"/>
      <c r="V1" s="358"/>
      <c r="W1" s="358"/>
      <c r="X1" s="358"/>
      <c r="Y1" s="358"/>
      <c r="Z1" s="358"/>
      <c r="AA1" s="358"/>
      <c r="AB1" s="358"/>
      <c r="AC1" s="358"/>
      <c r="AD1" s="358"/>
      <c r="AE1" s="358"/>
      <c r="AF1" s="358"/>
      <c r="AG1" s="358"/>
      <c r="AH1" s="358"/>
      <c r="AI1" s="358"/>
      <c r="AJ1" s="358"/>
      <c r="AK1" s="358"/>
      <c r="AL1" s="358"/>
      <c r="AM1" s="358"/>
      <c r="AN1" s="358"/>
      <c r="AO1" s="358"/>
      <c r="AP1" s="358"/>
      <c r="AQ1" s="358"/>
      <c r="AR1" s="358"/>
      <c r="AS1" s="358"/>
      <c r="AT1" s="358"/>
      <c r="AU1" s="358"/>
      <c r="AV1" s="358"/>
      <c r="AW1" s="358"/>
      <c r="AX1" s="358"/>
      <c r="AY1" s="358"/>
      <c r="AZ1" s="358"/>
      <c r="BA1" s="358"/>
      <c r="BB1" s="358"/>
      <c r="BC1" s="358"/>
      <c r="BD1" s="358"/>
      <c r="BE1" s="358"/>
      <c r="BF1" s="358"/>
    </row>
    <row r="2" spans="1:58" ht="13.5" hidden="1" customHeight="1" x14ac:dyDescent="0.25">
      <c r="A2" s="1226"/>
      <c r="B2" s="1226"/>
      <c r="C2" s="1226"/>
      <c r="D2" s="1226"/>
      <c r="E2" s="1226"/>
      <c r="F2" s="1226"/>
      <c r="G2" s="1226"/>
      <c r="H2" s="1226"/>
      <c r="I2" s="1226"/>
      <c r="J2" s="1226"/>
      <c r="K2" s="1226"/>
      <c r="L2" s="1226"/>
      <c r="M2" s="1226"/>
      <c r="N2" s="358"/>
      <c r="O2" s="358"/>
      <c r="P2" s="358"/>
      <c r="Q2" s="358"/>
      <c r="R2" s="358"/>
      <c r="S2" s="358"/>
      <c r="T2" s="358"/>
      <c r="U2" s="358"/>
      <c r="V2" s="358"/>
      <c r="W2" s="358"/>
      <c r="X2" s="358"/>
      <c r="Y2" s="358"/>
      <c r="Z2" s="358"/>
      <c r="AA2" s="358"/>
      <c r="AB2" s="358"/>
      <c r="AC2" s="358"/>
      <c r="AD2" s="358"/>
      <c r="AE2" s="358"/>
      <c r="AF2" s="358"/>
      <c r="AG2" s="358"/>
      <c r="AH2" s="358"/>
      <c r="AI2" s="358"/>
      <c r="AJ2" s="358"/>
      <c r="AK2" s="358"/>
      <c r="AL2" s="358"/>
      <c r="AM2" s="358"/>
      <c r="AN2" s="358"/>
      <c r="AO2" s="358"/>
      <c r="AP2" s="358"/>
      <c r="AQ2" s="358"/>
      <c r="AR2" s="358"/>
      <c r="AS2" s="358"/>
      <c r="AT2" s="358"/>
      <c r="AU2" s="358"/>
      <c r="AV2" s="358"/>
      <c r="AW2" s="358"/>
      <c r="AX2" s="358"/>
      <c r="AY2" s="358"/>
      <c r="AZ2" s="358"/>
      <c r="BA2" s="358"/>
      <c r="BB2" s="358"/>
      <c r="BC2" s="358"/>
      <c r="BD2" s="358"/>
      <c r="BE2" s="358"/>
      <c r="BF2" s="358"/>
    </row>
    <row r="3" spans="1:58" ht="21.75" customHeight="1" x14ac:dyDescent="0.25">
      <c r="A3" s="1226"/>
      <c r="B3" s="1226"/>
      <c r="C3" s="1226"/>
      <c r="D3" s="1226"/>
      <c r="E3" s="1226"/>
      <c r="F3" s="1226"/>
      <c r="G3" s="1226"/>
      <c r="H3" s="1226"/>
      <c r="I3" s="1226"/>
      <c r="J3" s="1226"/>
      <c r="K3" s="1226"/>
      <c r="L3" s="1226"/>
      <c r="M3" s="1226"/>
      <c r="N3" s="358"/>
      <c r="O3" s="358"/>
      <c r="P3" s="358"/>
      <c r="Q3" s="358"/>
      <c r="R3" s="358"/>
      <c r="S3" s="358"/>
      <c r="T3" s="358"/>
      <c r="U3" s="358"/>
      <c r="V3" s="358"/>
      <c r="W3" s="358"/>
      <c r="X3" s="358"/>
      <c r="Y3" s="358"/>
      <c r="Z3" s="358"/>
      <c r="AA3" s="358"/>
      <c r="AB3" s="358"/>
      <c r="AC3" s="358"/>
      <c r="AD3" s="358"/>
      <c r="AE3" s="358"/>
      <c r="AF3" s="358"/>
      <c r="AG3" s="358"/>
      <c r="AH3" s="358"/>
      <c r="AI3" s="358"/>
      <c r="AJ3" s="358"/>
      <c r="AK3" s="358"/>
      <c r="AL3" s="358"/>
      <c r="AM3" s="358"/>
      <c r="AN3" s="358"/>
      <c r="AO3" s="358"/>
      <c r="AP3" s="358"/>
      <c r="AQ3" s="358"/>
      <c r="AR3" s="358"/>
      <c r="AS3" s="358"/>
      <c r="AT3" s="358"/>
      <c r="AU3" s="358"/>
      <c r="AV3" s="358"/>
      <c r="AW3" s="358"/>
      <c r="AX3" s="358"/>
      <c r="AY3" s="358"/>
      <c r="AZ3" s="358"/>
      <c r="BA3" s="358"/>
      <c r="BB3" s="358"/>
      <c r="BC3" s="358"/>
      <c r="BD3" s="358"/>
      <c r="BE3" s="358"/>
      <c r="BF3" s="358"/>
    </row>
    <row r="4" spans="1:58" ht="18.75" x14ac:dyDescent="0.25">
      <c r="A4" s="1227" t="s">
        <v>630</v>
      </c>
      <c r="B4" s="1227"/>
      <c r="C4" s="1227"/>
      <c r="D4" s="1227"/>
      <c r="E4" s="1227"/>
      <c r="F4" s="1227"/>
      <c r="G4" s="1227"/>
      <c r="H4" s="1227"/>
      <c r="I4" s="1227"/>
      <c r="J4" s="1227"/>
      <c r="K4" s="1227"/>
      <c r="L4" s="1227"/>
      <c r="M4" s="1227"/>
      <c r="N4" s="358"/>
      <c r="O4" s="358"/>
      <c r="P4" s="358"/>
      <c r="Q4" s="358"/>
      <c r="R4" s="358"/>
      <c r="S4" s="358"/>
      <c r="T4" s="358"/>
      <c r="U4" s="358"/>
      <c r="V4" s="358"/>
      <c r="W4" s="358"/>
      <c r="X4" s="358"/>
      <c r="Y4" s="358"/>
      <c r="Z4" s="358"/>
      <c r="AA4" s="358"/>
      <c r="AB4" s="358"/>
      <c r="AC4" s="358"/>
      <c r="AD4" s="358"/>
      <c r="AE4" s="358"/>
      <c r="AF4" s="358"/>
      <c r="AG4" s="358"/>
      <c r="AH4" s="358"/>
      <c r="AI4" s="358"/>
      <c r="AJ4" s="358"/>
      <c r="AK4" s="358"/>
      <c r="AL4" s="358"/>
      <c r="AM4" s="358"/>
      <c r="AN4" s="358"/>
      <c r="AO4" s="358"/>
      <c r="AP4" s="358"/>
      <c r="AQ4" s="358"/>
      <c r="AR4" s="358"/>
      <c r="AS4" s="358"/>
      <c r="AT4" s="358"/>
      <c r="AU4" s="358"/>
      <c r="AV4" s="358"/>
      <c r="AW4" s="358"/>
      <c r="AX4" s="358"/>
      <c r="AY4" s="358"/>
      <c r="AZ4" s="358"/>
      <c r="BA4" s="358"/>
      <c r="BB4" s="358"/>
      <c r="BC4" s="358"/>
      <c r="BD4" s="358"/>
      <c r="BE4" s="358"/>
      <c r="BF4" s="358"/>
    </row>
    <row r="5" spans="1:58" ht="19.5" thickBot="1" x14ac:dyDescent="0.3">
      <c r="A5" s="1226" t="s">
        <v>386</v>
      </c>
      <c r="B5" s="1226"/>
      <c r="C5" s="1226"/>
      <c r="D5" s="1226"/>
      <c r="E5" s="1226"/>
      <c r="F5" s="1226"/>
      <c r="G5" s="1226"/>
      <c r="H5" s="1226"/>
      <c r="I5" s="1226"/>
      <c r="J5" s="1226"/>
      <c r="K5" s="1226"/>
      <c r="L5" s="1226"/>
      <c r="M5" s="1226"/>
      <c r="N5" s="358"/>
      <c r="O5" s="358"/>
      <c r="P5" s="358"/>
      <c r="Q5" s="358"/>
      <c r="R5" s="358"/>
      <c r="S5" s="358"/>
      <c r="T5" s="358"/>
      <c r="U5" s="358"/>
      <c r="V5" s="358"/>
      <c r="W5" s="358"/>
      <c r="X5" s="358"/>
      <c r="Y5" s="358"/>
      <c r="Z5" s="358"/>
      <c r="AA5" s="358"/>
      <c r="AB5" s="358"/>
      <c r="AC5" s="358"/>
      <c r="AD5" s="358"/>
      <c r="AE5" s="358"/>
      <c r="AF5" s="358"/>
      <c r="AG5" s="358"/>
      <c r="AH5" s="358"/>
      <c r="AI5" s="358"/>
      <c r="AJ5" s="358"/>
      <c r="AK5" s="358"/>
      <c r="AL5" s="358"/>
      <c r="AM5" s="358"/>
      <c r="AN5" s="358"/>
      <c r="AO5" s="358"/>
      <c r="AP5" s="358"/>
      <c r="AQ5" s="358"/>
      <c r="AR5" s="358"/>
      <c r="AS5" s="358"/>
      <c r="AT5" s="358"/>
      <c r="AU5" s="358"/>
      <c r="AV5" s="358"/>
      <c r="AW5" s="358"/>
      <c r="AX5" s="358"/>
      <c r="AY5" s="358"/>
      <c r="AZ5" s="358"/>
      <c r="BA5" s="358"/>
      <c r="BB5" s="358"/>
      <c r="BC5" s="358"/>
      <c r="BD5" s="358"/>
      <c r="BE5" s="358"/>
      <c r="BF5" s="358"/>
    </row>
    <row r="6" spans="1:58" ht="13.5" hidden="1" customHeight="1" x14ac:dyDescent="0.25">
      <c r="A6" s="527"/>
      <c r="B6" s="527"/>
      <c r="C6" s="528"/>
      <c r="D6" s="528"/>
      <c r="E6" s="528"/>
      <c r="F6" s="528"/>
      <c r="G6" s="527"/>
      <c r="H6" s="527"/>
      <c r="I6" s="527"/>
      <c r="J6" s="529"/>
      <c r="K6" s="527"/>
      <c r="L6" s="530"/>
      <c r="M6" s="527"/>
      <c r="N6" s="358"/>
      <c r="O6" s="358"/>
      <c r="P6" s="358"/>
      <c r="Q6" s="358"/>
      <c r="R6" s="358"/>
      <c r="S6" s="358"/>
      <c r="T6" s="358"/>
      <c r="U6" s="358"/>
      <c r="V6" s="358"/>
      <c r="W6" s="358"/>
      <c r="X6" s="358"/>
      <c r="Y6" s="358"/>
      <c r="Z6" s="358"/>
      <c r="AA6" s="358"/>
      <c r="AB6" s="358"/>
      <c r="AC6" s="358"/>
      <c r="AD6" s="358"/>
      <c r="AE6" s="358"/>
      <c r="AF6" s="358"/>
      <c r="AG6" s="358"/>
      <c r="AH6" s="358"/>
      <c r="AI6" s="358"/>
      <c r="AJ6" s="358"/>
      <c r="AK6" s="358"/>
      <c r="AL6" s="358"/>
      <c r="AM6" s="358"/>
      <c r="AN6" s="358"/>
      <c r="AO6" s="358"/>
      <c r="AP6" s="358"/>
      <c r="AQ6" s="358"/>
      <c r="AR6" s="358"/>
      <c r="AS6" s="358"/>
      <c r="AT6" s="358"/>
      <c r="AU6" s="358"/>
      <c r="AV6" s="358"/>
      <c r="AW6" s="358"/>
      <c r="AX6" s="358"/>
      <c r="AY6" s="358"/>
      <c r="AZ6" s="358"/>
      <c r="BA6" s="358"/>
      <c r="BB6" s="358"/>
      <c r="BC6" s="358"/>
      <c r="BD6" s="358"/>
      <c r="BE6" s="358"/>
      <c r="BF6" s="358"/>
    </row>
    <row r="7" spans="1:58" ht="19.5" hidden="1" thickBot="1" x14ac:dyDescent="0.3">
      <c r="A7" s="1228" t="s">
        <v>631</v>
      </c>
      <c r="B7" s="1228"/>
      <c r="C7" s="1228"/>
      <c r="D7" s="1228"/>
      <c r="E7" s="1228"/>
      <c r="F7" s="527"/>
      <c r="G7" s="527"/>
      <c r="H7" s="527"/>
      <c r="I7" s="527"/>
      <c r="J7" s="529"/>
      <c r="K7" s="527"/>
      <c r="L7" s="530"/>
      <c r="M7" s="527"/>
      <c r="N7" s="358"/>
      <c r="O7" s="358"/>
      <c r="P7" s="358"/>
      <c r="Q7" s="358"/>
      <c r="R7" s="358"/>
      <c r="S7" s="358"/>
      <c r="T7" s="358"/>
      <c r="U7" s="358"/>
      <c r="V7" s="358"/>
      <c r="W7" s="358"/>
      <c r="X7" s="358"/>
      <c r="Y7" s="358"/>
      <c r="Z7" s="358"/>
      <c r="AA7" s="358"/>
      <c r="AB7" s="358"/>
      <c r="AC7" s="358"/>
      <c r="AD7" s="358"/>
      <c r="AE7" s="358"/>
      <c r="AF7" s="358"/>
      <c r="AG7" s="358"/>
      <c r="AH7" s="358"/>
      <c r="AI7" s="358"/>
      <c r="AJ7" s="358"/>
      <c r="AK7" s="358"/>
      <c r="AL7" s="358"/>
      <c r="AM7" s="358"/>
      <c r="AN7" s="358"/>
      <c r="AO7" s="358"/>
      <c r="AP7" s="358"/>
      <c r="AQ7" s="358"/>
      <c r="AR7" s="358"/>
      <c r="AS7" s="358"/>
      <c r="AT7" s="358"/>
      <c r="AU7" s="358"/>
      <c r="AV7" s="358"/>
      <c r="AW7" s="358"/>
      <c r="AX7" s="358"/>
      <c r="AY7" s="358"/>
      <c r="AZ7" s="358"/>
      <c r="BA7" s="358"/>
      <c r="BB7" s="358"/>
      <c r="BC7" s="358"/>
      <c r="BD7" s="358"/>
      <c r="BE7" s="358"/>
      <c r="BF7" s="358"/>
    </row>
    <row r="8" spans="1:58" ht="19.5" thickBot="1" x14ac:dyDescent="0.35">
      <c r="A8" s="531" t="s">
        <v>705</v>
      </c>
      <c r="B8" s="1229" t="s">
        <v>631</v>
      </c>
      <c r="C8" s="1230"/>
      <c r="D8" s="1230"/>
      <c r="E8" s="1230"/>
      <c r="F8" s="1230"/>
      <c r="G8" s="1230"/>
      <c r="H8" s="1230"/>
      <c r="I8" s="1230"/>
      <c r="J8" s="1230"/>
      <c r="K8" s="1230"/>
      <c r="L8" s="1230"/>
      <c r="M8" s="1230"/>
      <c r="N8" s="358"/>
      <c r="O8" s="358"/>
      <c r="P8" s="358"/>
      <c r="Q8" s="358"/>
      <c r="R8" s="358"/>
      <c r="S8" s="358"/>
      <c r="T8" s="358"/>
      <c r="U8" s="358"/>
      <c r="V8" s="358"/>
      <c r="W8" s="358"/>
      <c r="X8" s="358"/>
      <c r="Y8" s="358"/>
      <c r="Z8" s="358"/>
      <c r="AA8" s="358"/>
      <c r="AB8" s="358"/>
      <c r="AC8" s="358"/>
      <c r="AD8" s="358"/>
      <c r="AE8" s="358"/>
      <c r="AF8" s="358"/>
      <c r="AG8" s="358"/>
      <c r="AH8" s="358"/>
      <c r="AI8" s="358"/>
      <c r="AJ8" s="358"/>
      <c r="AK8" s="358"/>
      <c r="AL8" s="358"/>
      <c r="AM8" s="358"/>
      <c r="AN8" s="358"/>
      <c r="AO8" s="358"/>
      <c r="AP8" s="358"/>
      <c r="AQ8" s="358"/>
      <c r="AR8" s="358"/>
      <c r="AS8" s="358"/>
      <c r="AT8" s="358"/>
      <c r="AU8" s="358"/>
      <c r="AV8" s="358"/>
      <c r="AW8" s="358"/>
      <c r="AX8" s="358"/>
      <c r="AY8" s="358"/>
      <c r="AZ8" s="358"/>
      <c r="BA8" s="358"/>
      <c r="BB8" s="358"/>
      <c r="BC8" s="358"/>
      <c r="BD8" s="358"/>
      <c r="BE8" s="358"/>
      <c r="BF8" s="358"/>
    </row>
    <row r="9" spans="1:58" ht="28.5" customHeight="1" x14ac:dyDescent="0.25">
      <c r="A9" s="1217" t="s">
        <v>632</v>
      </c>
      <c r="B9" s="1219" t="s">
        <v>942</v>
      </c>
      <c r="C9" s="1222" t="s">
        <v>633</v>
      </c>
      <c r="D9" s="1219" t="s">
        <v>943</v>
      </c>
      <c r="E9" s="1219" t="s">
        <v>944</v>
      </c>
      <c r="F9" s="1235" t="s">
        <v>945</v>
      </c>
      <c r="G9" s="1235" t="s">
        <v>946</v>
      </c>
      <c r="H9" s="1235" t="s">
        <v>655</v>
      </c>
      <c r="I9" s="1219" t="s">
        <v>947</v>
      </c>
      <c r="J9" s="1238" t="s">
        <v>948</v>
      </c>
      <c r="K9" s="1219" t="s">
        <v>686</v>
      </c>
      <c r="L9" s="1231" t="s">
        <v>949</v>
      </c>
      <c r="M9" s="1233" t="s">
        <v>950</v>
      </c>
      <c r="N9" s="532"/>
      <c r="O9" s="532"/>
      <c r="P9" s="532"/>
      <c r="Q9" s="532"/>
      <c r="R9" s="532"/>
      <c r="S9" s="532"/>
      <c r="T9" s="532"/>
      <c r="U9" s="532"/>
      <c r="V9" s="532"/>
      <c r="W9" s="532"/>
      <c r="X9" s="532"/>
      <c r="Y9" s="532"/>
      <c r="Z9" s="532"/>
      <c r="AA9" s="532"/>
      <c r="AB9" s="532"/>
      <c r="AC9" s="532"/>
      <c r="AD9" s="532"/>
      <c r="AE9" s="532"/>
      <c r="AF9" s="532"/>
      <c r="AG9" s="532"/>
      <c r="AH9" s="532"/>
      <c r="AI9" s="532"/>
      <c r="AJ9" s="532"/>
      <c r="AK9" s="532"/>
      <c r="AL9" s="532"/>
      <c r="AM9" s="532"/>
      <c r="AN9" s="532"/>
      <c r="AO9" s="532"/>
      <c r="AP9" s="532"/>
      <c r="AQ9" s="532"/>
      <c r="AR9" s="532"/>
      <c r="AS9" s="532"/>
      <c r="AT9" s="532"/>
      <c r="AU9" s="532"/>
      <c r="AV9" s="532"/>
      <c r="AW9" s="532"/>
      <c r="AX9" s="532"/>
      <c r="AY9" s="532"/>
      <c r="AZ9" s="532"/>
      <c r="BA9" s="532"/>
      <c r="BB9" s="532"/>
      <c r="BC9" s="532"/>
      <c r="BD9" s="532"/>
      <c r="BE9" s="532"/>
      <c r="BF9" s="532"/>
    </row>
    <row r="10" spans="1:58" ht="20.25" customHeight="1" x14ac:dyDescent="0.25">
      <c r="A10" s="1218"/>
      <c r="B10" s="1220"/>
      <c r="C10" s="1223"/>
      <c r="D10" s="1220"/>
      <c r="E10" s="1220"/>
      <c r="F10" s="1236"/>
      <c r="G10" s="1236"/>
      <c r="H10" s="1236"/>
      <c r="I10" s="1220"/>
      <c r="J10" s="1239"/>
      <c r="K10" s="1220"/>
      <c r="L10" s="1232"/>
      <c r="M10" s="1234"/>
      <c r="N10" s="532"/>
      <c r="O10" s="532"/>
      <c r="P10" s="532"/>
      <c r="Q10" s="532"/>
      <c r="R10" s="532"/>
      <c r="S10" s="532"/>
      <c r="T10" s="532"/>
      <c r="U10" s="532"/>
      <c r="V10" s="532"/>
      <c r="W10" s="532"/>
      <c r="X10" s="532"/>
      <c r="Y10" s="532"/>
      <c r="Z10" s="532"/>
      <c r="AA10" s="532"/>
      <c r="AB10" s="532"/>
      <c r="AC10" s="532"/>
      <c r="AD10" s="532"/>
      <c r="AE10" s="532"/>
      <c r="AF10" s="532"/>
      <c r="AG10" s="532"/>
      <c r="AH10" s="532"/>
      <c r="AI10" s="532"/>
      <c r="AJ10" s="532"/>
      <c r="AK10" s="532"/>
      <c r="AL10" s="532"/>
      <c r="AM10" s="532"/>
      <c r="AN10" s="532"/>
      <c r="AO10" s="532"/>
      <c r="AP10" s="532"/>
      <c r="AQ10" s="532"/>
      <c r="AR10" s="532"/>
      <c r="AS10" s="532"/>
      <c r="AT10" s="532"/>
      <c r="AU10" s="532"/>
      <c r="AV10" s="532"/>
      <c r="AW10" s="532"/>
      <c r="AX10" s="532"/>
      <c r="AY10" s="532"/>
      <c r="AZ10" s="532"/>
      <c r="BA10" s="532"/>
      <c r="BB10" s="532"/>
      <c r="BC10" s="532"/>
      <c r="BD10" s="532"/>
      <c r="BE10" s="532"/>
      <c r="BF10" s="532"/>
    </row>
    <row r="11" spans="1:58" ht="43.5" customHeight="1" x14ac:dyDescent="0.25">
      <c r="A11" s="1218"/>
      <c r="B11" s="1221"/>
      <c r="C11" s="1223"/>
      <c r="D11" s="1220"/>
      <c r="E11" s="1220"/>
      <c r="F11" s="1236"/>
      <c r="G11" s="1236"/>
      <c r="H11" s="1236"/>
      <c r="I11" s="1220"/>
      <c r="J11" s="1239"/>
      <c r="K11" s="1220"/>
      <c r="L11" s="1232"/>
      <c r="M11" s="1234"/>
      <c r="N11" s="532"/>
      <c r="O11" s="532"/>
      <c r="P11" s="532"/>
      <c r="Q11" s="532"/>
      <c r="R11" s="532"/>
      <c r="S11" s="532"/>
      <c r="T11" s="532"/>
      <c r="U11" s="532"/>
      <c r="V11" s="532"/>
      <c r="W11" s="532"/>
      <c r="X11" s="532"/>
      <c r="Y11" s="532"/>
      <c r="Z11" s="532"/>
      <c r="AA11" s="532"/>
      <c r="AB11" s="532"/>
      <c r="AC11" s="532"/>
      <c r="AD11" s="532"/>
      <c r="AE11" s="532"/>
      <c r="AF11" s="532"/>
      <c r="AG11" s="532"/>
      <c r="AH11" s="532"/>
      <c r="AI11" s="532"/>
      <c r="AJ11" s="532"/>
      <c r="AK11" s="532"/>
      <c r="AL11" s="532"/>
      <c r="AM11" s="532"/>
      <c r="AN11" s="532"/>
      <c r="AO11" s="532"/>
      <c r="AP11" s="532"/>
      <c r="AQ11" s="532"/>
      <c r="AR11" s="532"/>
      <c r="AS11" s="532"/>
      <c r="AT11" s="532"/>
      <c r="AU11" s="532"/>
      <c r="AV11" s="532"/>
      <c r="AW11" s="532"/>
      <c r="AX11" s="532"/>
      <c r="AY11" s="532"/>
      <c r="AZ11" s="532"/>
      <c r="BA11" s="532"/>
      <c r="BB11" s="532"/>
      <c r="BC11" s="532"/>
      <c r="BD11" s="532"/>
      <c r="BE11" s="532"/>
      <c r="BF11" s="532"/>
    </row>
    <row r="12" spans="1:58" ht="25.5" customHeight="1" thickBot="1" x14ac:dyDescent="0.3">
      <c r="A12" s="1218"/>
      <c r="B12" s="533" t="s">
        <v>951</v>
      </c>
      <c r="C12" s="1224"/>
      <c r="D12" s="1225"/>
      <c r="E12" s="1225"/>
      <c r="F12" s="1237"/>
      <c r="G12" s="1237"/>
      <c r="H12" s="1237"/>
      <c r="I12" s="1220"/>
      <c r="J12" s="1239"/>
      <c r="K12" s="1220"/>
      <c r="L12" s="1232"/>
      <c r="M12" s="1234"/>
      <c r="N12" s="532"/>
      <c r="O12" s="532"/>
      <c r="P12" s="532"/>
      <c r="Q12" s="532"/>
      <c r="R12" s="532"/>
      <c r="S12" s="532"/>
      <c r="T12" s="532"/>
      <c r="U12" s="532"/>
      <c r="V12" s="532"/>
      <c r="W12" s="532"/>
      <c r="X12" s="532"/>
      <c r="Y12" s="532"/>
      <c r="Z12" s="532"/>
      <c r="AA12" s="532"/>
      <c r="AB12" s="532"/>
      <c r="AC12" s="532"/>
      <c r="AD12" s="532"/>
      <c r="AE12" s="532"/>
      <c r="AF12" s="532"/>
      <c r="AG12" s="532"/>
      <c r="AH12" s="532"/>
      <c r="AI12" s="532"/>
      <c r="AJ12" s="532"/>
      <c r="AK12" s="532"/>
      <c r="AL12" s="532"/>
      <c r="AM12" s="532"/>
      <c r="AN12" s="532"/>
      <c r="AO12" s="532"/>
      <c r="AP12" s="532"/>
      <c r="AQ12" s="532"/>
      <c r="AR12" s="532"/>
      <c r="AS12" s="532"/>
      <c r="AT12" s="532"/>
      <c r="AU12" s="532"/>
      <c r="AV12" s="532"/>
      <c r="AW12" s="532"/>
      <c r="AX12" s="532"/>
      <c r="AY12" s="532"/>
      <c r="AZ12" s="532"/>
      <c r="BA12" s="532"/>
      <c r="BB12" s="532"/>
      <c r="BC12" s="532"/>
      <c r="BD12" s="532"/>
      <c r="BE12" s="532"/>
      <c r="BF12" s="532"/>
    </row>
    <row r="13" spans="1:58" ht="27" customHeight="1" thickBot="1" x14ac:dyDescent="0.3">
      <c r="A13" s="534">
        <v>1</v>
      </c>
      <c r="B13" s="535">
        <v>2</v>
      </c>
      <c r="C13" s="536">
        <v>3</v>
      </c>
      <c r="D13" s="535">
        <v>4</v>
      </c>
      <c r="E13" s="535">
        <v>5</v>
      </c>
      <c r="F13" s="537" t="s">
        <v>952</v>
      </c>
      <c r="G13" s="535" t="s">
        <v>953</v>
      </c>
      <c r="H13" s="535">
        <v>8</v>
      </c>
      <c r="I13" s="535" t="s">
        <v>954</v>
      </c>
      <c r="J13" s="538" t="s">
        <v>955</v>
      </c>
      <c r="K13" s="535">
        <v>11</v>
      </c>
      <c r="L13" s="535" t="s">
        <v>956</v>
      </c>
      <c r="M13" s="539" t="s">
        <v>957</v>
      </c>
      <c r="N13" s="532"/>
      <c r="O13" s="532"/>
      <c r="P13" s="532"/>
      <c r="Q13" s="532"/>
      <c r="R13" s="532"/>
      <c r="S13" s="532"/>
      <c r="T13" s="532"/>
      <c r="U13" s="532"/>
      <c r="V13" s="532"/>
      <c r="W13" s="532"/>
      <c r="X13" s="532"/>
      <c r="Y13" s="532"/>
      <c r="Z13" s="532"/>
      <c r="AA13" s="532"/>
      <c r="AB13" s="532"/>
      <c r="AC13" s="532"/>
      <c r="AD13" s="532"/>
      <c r="AE13" s="532"/>
      <c r="AF13" s="532"/>
      <c r="AG13" s="532"/>
      <c r="AH13" s="532"/>
      <c r="AI13" s="532"/>
      <c r="AJ13" s="532"/>
      <c r="AK13" s="532"/>
      <c r="AL13" s="532"/>
      <c r="AM13" s="532"/>
      <c r="AN13" s="532"/>
      <c r="AO13" s="532"/>
      <c r="AP13" s="532"/>
      <c r="AQ13" s="532"/>
      <c r="AR13" s="532"/>
      <c r="AS13" s="532"/>
      <c r="AT13" s="532"/>
      <c r="AU13" s="532"/>
      <c r="AV13" s="532"/>
      <c r="AW13" s="532"/>
      <c r="AX13" s="532"/>
      <c r="AY13" s="532"/>
      <c r="AZ13" s="532"/>
      <c r="BA13" s="532"/>
      <c r="BB13" s="532"/>
      <c r="BC13" s="532"/>
      <c r="BD13" s="532"/>
      <c r="BE13" s="532"/>
      <c r="BF13" s="532"/>
    </row>
    <row r="14" spans="1:58" s="329" customFormat="1" hidden="1" x14ac:dyDescent="0.25">
      <c r="A14" s="540" t="s">
        <v>958</v>
      </c>
      <c r="B14" s="541"/>
      <c r="C14" s="542">
        <v>2.2000000000000002</v>
      </c>
      <c r="D14" s="543"/>
      <c r="E14" s="543"/>
      <c r="F14" s="543">
        <f t="shared" ref="F14:F70" si="0">ROUND((B14*C14)/100,2)</f>
        <v>0</v>
      </c>
      <c r="G14" s="544">
        <f t="shared" ref="G14:G70" si="1">ROUNDUP(F14/1000,1)</f>
        <v>0</v>
      </c>
      <c r="H14" s="545">
        <v>1</v>
      </c>
      <c r="I14" s="544">
        <f t="shared" ref="I14:I70" si="2">ROUNDUP(G14*H14,1)</f>
        <v>0</v>
      </c>
      <c r="J14" s="546">
        <f t="shared" ref="J14:J70" si="3">G14-I14</f>
        <v>0</v>
      </c>
      <c r="K14" s="547">
        <v>1</v>
      </c>
      <c r="L14" s="544">
        <f t="shared" ref="L14:L70" si="4">ROUNDUP(I14*K14,1)</f>
        <v>0</v>
      </c>
      <c r="M14" s="548">
        <f t="shared" ref="M14:M70" si="5">L14-I14</f>
        <v>0</v>
      </c>
    </row>
    <row r="15" spans="1:58" s="329" customFormat="1" hidden="1" x14ac:dyDescent="0.25">
      <c r="A15" s="549" t="s">
        <v>959</v>
      </c>
      <c r="B15" s="550">
        <v>114877110.47</v>
      </c>
      <c r="C15" s="551">
        <v>2.2000000000000002</v>
      </c>
      <c r="D15" s="552">
        <v>2610641</v>
      </c>
      <c r="E15" s="552">
        <v>2511335</v>
      </c>
      <c r="F15" s="543">
        <f t="shared" si="0"/>
        <v>2527296.4300000002</v>
      </c>
      <c r="G15" s="544">
        <f t="shared" si="1"/>
        <v>2527.3000000000002</v>
      </c>
      <c r="H15" s="545">
        <v>1</v>
      </c>
      <c r="I15" s="544">
        <f t="shared" si="2"/>
        <v>2527.3000000000002</v>
      </c>
      <c r="J15" s="546">
        <f t="shared" si="3"/>
        <v>0</v>
      </c>
      <c r="K15" s="547">
        <v>1</v>
      </c>
      <c r="L15" s="544">
        <f t="shared" si="4"/>
        <v>2527.3000000000002</v>
      </c>
      <c r="M15" s="548">
        <f t="shared" si="5"/>
        <v>0</v>
      </c>
    </row>
    <row r="16" spans="1:58" s="329" customFormat="1" hidden="1" x14ac:dyDescent="0.25">
      <c r="A16" s="549" t="s">
        <v>960</v>
      </c>
      <c r="B16" s="550">
        <v>142302851.83000001</v>
      </c>
      <c r="C16" s="551">
        <v>2.2000000000000002</v>
      </c>
      <c r="D16" s="552">
        <v>3252448</v>
      </c>
      <c r="E16" s="552">
        <v>3122544.04</v>
      </c>
      <c r="F16" s="543">
        <f t="shared" si="0"/>
        <v>3130662.74</v>
      </c>
      <c r="G16" s="544">
        <f t="shared" si="1"/>
        <v>3130.7</v>
      </c>
      <c r="H16" s="545">
        <v>1</v>
      </c>
      <c r="I16" s="544">
        <f t="shared" si="2"/>
        <v>3130.7</v>
      </c>
      <c r="J16" s="546">
        <f t="shared" si="3"/>
        <v>0</v>
      </c>
      <c r="K16" s="547">
        <v>1</v>
      </c>
      <c r="L16" s="544">
        <f t="shared" si="4"/>
        <v>3130.7</v>
      </c>
      <c r="M16" s="548">
        <f t="shared" si="5"/>
        <v>0</v>
      </c>
    </row>
    <row r="17" spans="1:13" s="329" customFormat="1" hidden="1" x14ac:dyDescent="0.25">
      <c r="A17" s="549" t="s">
        <v>961</v>
      </c>
      <c r="B17" s="553"/>
      <c r="C17" s="551">
        <v>2.2000000000000002</v>
      </c>
      <c r="D17" s="552"/>
      <c r="E17" s="552"/>
      <c r="F17" s="543">
        <f t="shared" si="0"/>
        <v>0</v>
      </c>
      <c r="G17" s="544">
        <f t="shared" si="1"/>
        <v>0</v>
      </c>
      <c r="H17" s="545">
        <v>1</v>
      </c>
      <c r="I17" s="544">
        <f t="shared" si="2"/>
        <v>0</v>
      </c>
      <c r="J17" s="546">
        <f t="shared" si="3"/>
        <v>0</v>
      </c>
      <c r="K17" s="547">
        <v>1</v>
      </c>
      <c r="L17" s="544">
        <f t="shared" si="4"/>
        <v>0</v>
      </c>
      <c r="M17" s="548">
        <f t="shared" si="5"/>
        <v>0</v>
      </c>
    </row>
    <row r="18" spans="1:13" s="329" customFormat="1" hidden="1" x14ac:dyDescent="0.25">
      <c r="A18" s="549" t="s">
        <v>962</v>
      </c>
      <c r="B18" s="550">
        <v>47698522.899999999</v>
      </c>
      <c r="C18" s="551">
        <v>2.2000000000000002</v>
      </c>
      <c r="D18" s="552">
        <v>1065322</v>
      </c>
      <c r="E18" s="552">
        <v>1045242</v>
      </c>
      <c r="F18" s="543">
        <f t="shared" si="0"/>
        <v>1049367.5</v>
      </c>
      <c r="G18" s="544">
        <f t="shared" si="1"/>
        <v>1049.4000000000001</v>
      </c>
      <c r="H18" s="545">
        <v>1</v>
      </c>
      <c r="I18" s="544">
        <f t="shared" si="2"/>
        <v>1049.4000000000001</v>
      </c>
      <c r="J18" s="546">
        <f t="shared" si="3"/>
        <v>0</v>
      </c>
      <c r="K18" s="547">
        <v>1</v>
      </c>
      <c r="L18" s="544">
        <f t="shared" si="4"/>
        <v>1049.4000000000001</v>
      </c>
      <c r="M18" s="548">
        <f t="shared" si="5"/>
        <v>0</v>
      </c>
    </row>
    <row r="19" spans="1:13" s="329" customFormat="1" hidden="1" x14ac:dyDescent="0.25">
      <c r="A19" s="549" t="s">
        <v>963</v>
      </c>
      <c r="B19" s="550"/>
      <c r="C19" s="551">
        <v>2.2000000000000002</v>
      </c>
      <c r="D19" s="552"/>
      <c r="E19" s="552"/>
      <c r="F19" s="543">
        <f t="shared" si="0"/>
        <v>0</v>
      </c>
      <c r="G19" s="544">
        <f t="shared" si="1"/>
        <v>0</v>
      </c>
      <c r="H19" s="545">
        <v>1</v>
      </c>
      <c r="I19" s="544">
        <f t="shared" si="2"/>
        <v>0</v>
      </c>
      <c r="J19" s="546">
        <f t="shared" si="3"/>
        <v>0</v>
      </c>
      <c r="K19" s="547">
        <v>1</v>
      </c>
      <c r="L19" s="544">
        <f t="shared" si="4"/>
        <v>0</v>
      </c>
      <c r="M19" s="548">
        <f t="shared" si="5"/>
        <v>0</v>
      </c>
    </row>
    <row r="20" spans="1:13" s="329" customFormat="1" hidden="1" x14ac:dyDescent="0.25">
      <c r="A20" s="549" t="s">
        <v>964</v>
      </c>
      <c r="B20" s="554"/>
      <c r="C20" s="551">
        <v>2.2000000000000002</v>
      </c>
      <c r="D20" s="552"/>
      <c r="E20" s="552"/>
      <c r="F20" s="543">
        <f t="shared" si="0"/>
        <v>0</v>
      </c>
      <c r="G20" s="544">
        <f t="shared" si="1"/>
        <v>0</v>
      </c>
      <c r="H20" s="545">
        <v>1</v>
      </c>
      <c r="I20" s="544">
        <f t="shared" si="2"/>
        <v>0</v>
      </c>
      <c r="J20" s="546">
        <f t="shared" si="3"/>
        <v>0</v>
      </c>
      <c r="K20" s="547">
        <v>1</v>
      </c>
      <c r="L20" s="544">
        <f t="shared" si="4"/>
        <v>0</v>
      </c>
      <c r="M20" s="548">
        <f t="shared" si="5"/>
        <v>0</v>
      </c>
    </row>
    <row r="21" spans="1:13" s="329" customFormat="1" hidden="1" x14ac:dyDescent="0.25">
      <c r="A21" s="549" t="s">
        <v>965</v>
      </c>
      <c r="B21" s="550"/>
      <c r="C21" s="551">
        <v>2.2000000000000002</v>
      </c>
      <c r="D21" s="552"/>
      <c r="E21" s="552"/>
      <c r="F21" s="543">
        <f t="shared" si="0"/>
        <v>0</v>
      </c>
      <c r="G21" s="544">
        <f t="shared" si="1"/>
        <v>0</v>
      </c>
      <c r="H21" s="545">
        <v>1</v>
      </c>
      <c r="I21" s="544">
        <f t="shared" si="2"/>
        <v>0</v>
      </c>
      <c r="J21" s="546">
        <f t="shared" si="3"/>
        <v>0</v>
      </c>
      <c r="K21" s="547">
        <v>1</v>
      </c>
      <c r="L21" s="544">
        <f t="shared" si="4"/>
        <v>0</v>
      </c>
      <c r="M21" s="548">
        <f t="shared" si="5"/>
        <v>0</v>
      </c>
    </row>
    <row r="22" spans="1:13" s="329" customFormat="1" hidden="1" x14ac:dyDescent="0.25">
      <c r="A22" s="549" t="s">
        <v>966</v>
      </c>
      <c r="B22" s="550">
        <v>799704.48</v>
      </c>
      <c r="C22" s="551">
        <v>2.2000000000000002</v>
      </c>
      <c r="D22" s="552">
        <v>16900</v>
      </c>
      <c r="E22" s="552">
        <v>17439</v>
      </c>
      <c r="F22" s="543">
        <f t="shared" si="0"/>
        <v>17593.5</v>
      </c>
      <c r="G22" s="544">
        <f t="shared" si="1"/>
        <v>17.600000000000001</v>
      </c>
      <c r="H22" s="545">
        <v>0.99730957610000004</v>
      </c>
      <c r="I22" s="544">
        <f t="shared" si="2"/>
        <v>17.600000000000001</v>
      </c>
      <c r="J22" s="546">
        <f t="shared" si="3"/>
        <v>0</v>
      </c>
      <c r="K22" s="547">
        <v>1</v>
      </c>
      <c r="L22" s="544">
        <f t="shared" si="4"/>
        <v>17.600000000000001</v>
      </c>
      <c r="M22" s="548">
        <f t="shared" si="5"/>
        <v>0</v>
      </c>
    </row>
    <row r="23" spans="1:13" s="329" customFormat="1" hidden="1" x14ac:dyDescent="0.25">
      <c r="A23" s="549" t="s">
        <v>967</v>
      </c>
      <c r="B23" s="550">
        <v>261584.58</v>
      </c>
      <c r="C23" s="551">
        <v>2.2000000000000002</v>
      </c>
      <c r="D23" s="552">
        <v>6181</v>
      </c>
      <c r="E23" s="552">
        <v>6160</v>
      </c>
      <c r="F23" s="543">
        <f t="shared" si="0"/>
        <v>5754.86</v>
      </c>
      <c r="G23" s="544">
        <f t="shared" si="1"/>
        <v>5.8</v>
      </c>
      <c r="H23" s="545">
        <v>1</v>
      </c>
      <c r="I23" s="544">
        <f t="shared" si="2"/>
        <v>5.8</v>
      </c>
      <c r="J23" s="546">
        <f t="shared" si="3"/>
        <v>0</v>
      </c>
      <c r="K23" s="547">
        <v>1</v>
      </c>
      <c r="L23" s="544">
        <f t="shared" si="4"/>
        <v>5.8</v>
      </c>
      <c r="M23" s="548">
        <f t="shared" si="5"/>
        <v>0</v>
      </c>
    </row>
    <row r="24" spans="1:13" s="329" customFormat="1" hidden="1" x14ac:dyDescent="0.25">
      <c r="A24" s="549" t="s">
        <v>968</v>
      </c>
      <c r="B24" s="550">
        <v>278042.77</v>
      </c>
      <c r="C24" s="551">
        <v>2.2000000000000002</v>
      </c>
      <c r="D24" s="552">
        <v>7583</v>
      </c>
      <c r="E24" s="552">
        <v>5976</v>
      </c>
      <c r="F24" s="543">
        <f t="shared" si="0"/>
        <v>6116.94</v>
      </c>
      <c r="G24" s="544">
        <f t="shared" si="1"/>
        <v>6.2</v>
      </c>
      <c r="H24" s="545">
        <v>1</v>
      </c>
      <c r="I24" s="544">
        <f t="shared" si="2"/>
        <v>6.2</v>
      </c>
      <c r="J24" s="546">
        <f t="shared" si="3"/>
        <v>0</v>
      </c>
      <c r="K24" s="547">
        <v>1</v>
      </c>
      <c r="L24" s="544">
        <f t="shared" si="4"/>
        <v>6.2</v>
      </c>
      <c r="M24" s="548">
        <f t="shared" si="5"/>
        <v>0</v>
      </c>
    </row>
    <row r="25" spans="1:13" s="329" customFormat="1" hidden="1" x14ac:dyDescent="0.25">
      <c r="A25" s="549" t="s">
        <v>969</v>
      </c>
      <c r="B25" s="555">
        <v>22004720.170000002</v>
      </c>
      <c r="C25" s="551">
        <v>2.2000000000000002</v>
      </c>
      <c r="D25" s="552">
        <v>473253</v>
      </c>
      <c r="E25" s="552">
        <v>475688.29</v>
      </c>
      <c r="F25" s="543">
        <f t="shared" si="0"/>
        <v>484103.84</v>
      </c>
      <c r="G25" s="544">
        <f t="shared" si="1"/>
        <v>484.2</v>
      </c>
      <c r="H25" s="545">
        <v>1</v>
      </c>
      <c r="I25" s="544">
        <f t="shared" si="2"/>
        <v>484.2</v>
      </c>
      <c r="J25" s="546">
        <f t="shared" si="3"/>
        <v>0</v>
      </c>
      <c r="K25" s="547">
        <v>1</v>
      </c>
      <c r="L25" s="544">
        <f t="shared" si="4"/>
        <v>484.2</v>
      </c>
      <c r="M25" s="548">
        <f t="shared" si="5"/>
        <v>0</v>
      </c>
    </row>
    <row r="26" spans="1:13" s="329" customFormat="1" hidden="1" x14ac:dyDescent="0.25">
      <c r="A26" s="549" t="s">
        <v>970</v>
      </c>
      <c r="B26" s="550">
        <v>1590649.54</v>
      </c>
      <c r="C26" s="551">
        <v>2.2000000000000002</v>
      </c>
      <c r="D26" s="552">
        <v>35808</v>
      </c>
      <c r="E26" s="552">
        <v>34724</v>
      </c>
      <c r="F26" s="543">
        <f t="shared" si="0"/>
        <v>34994.29</v>
      </c>
      <c r="G26" s="544">
        <f t="shared" si="1"/>
        <v>35</v>
      </c>
      <c r="H26" s="545">
        <v>1</v>
      </c>
      <c r="I26" s="544">
        <f t="shared" si="2"/>
        <v>35</v>
      </c>
      <c r="J26" s="546">
        <f t="shared" si="3"/>
        <v>0</v>
      </c>
      <c r="K26" s="547">
        <v>1</v>
      </c>
      <c r="L26" s="544">
        <f t="shared" si="4"/>
        <v>35</v>
      </c>
      <c r="M26" s="548">
        <f t="shared" si="5"/>
        <v>0</v>
      </c>
    </row>
    <row r="27" spans="1:13" s="329" customFormat="1" hidden="1" x14ac:dyDescent="0.25">
      <c r="A27" s="556" t="s">
        <v>971</v>
      </c>
      <c r="B27" s="550">
        <v>66730.320000000007</v>
      </c>
      <c r="C27" s="551">
        <v>2.2000000000000002</v>
      </c>
      <c r="D27" s="552">
        <v>1675</v>
      </c>
      <c r="E27" s="552">
        <v>1390</v>
      </c>
      <c r="F27" s="543">
        <f t="shared" si="0"/>
        <v>1468.07</v>
      </c>
      <c r="G27" s="544">
        <f t="shared" si="1"/>
        <v>1.5</v>
      </c>
      <c r="H27" s="545">
        <v>1</v>
      </c>
      <c r="I27" s="544">
        <f t="shared" si="2"/>
        <v>1.5</v>
      </c>
      <c r="J27" s="546">
        <f t="shared" si="3"/>
        <v>0</v>
      </c>
      <c r="K27" s="547">
        <v>1</v>
      </c>
      <c r="L27" s="544">
        <f t="shared" si="4"/>
        <v>1.5</v>
      </c>
      <c r="M27" s="548">
        <f t="shared" si="5"/>
        <v>0</v>
      </c>
    </row>
    <row r="28" spans="1:13" s="329" customFormat="1" hidden="1" x14ac:dyDescent="0.25">
      <c r="A28" s="549" t="s">
        <v>972</v>
      </c>
      <c r="B28" s="550">
        <v>5015529.32</v>
      </c>
      <c r="C28" s="551">
        <v>2.2000000000000002</v>
      </c>
      <c r="D28" s="552">
        <v>115931</v>
      </c>
      <c r="E28" s="552">
        <v>107083</v>
      </c>
      <c r="F28" s="543">
        <f t="shared" si="0"/>
        <v>110341.65</v>
      </c>
      <c r="G28" s="544">
        <f t="shared" si="1"/>
        <v>110.4</v>
      </c>
      <c r="H28" s="545">
        <v>1</v>
      </c>
      <c r="I28" s="544">
        <f t="shared" si="2"/>
        <v>110.4</v>
      </c>
      <c r="J28" s="546">
        <f t="shared" si="3"/>
        <v>0</v>
      </c>
      <c r="K28" s="547">
        <v>1</v>
      </c>
      <c r="L28" s="544">
        <f t="shared" si="4"/>
        <v>110.4</v>
      </c>
      <c r="M28" s="548">
        <f t="shared" si="5"/>
        <v>0</v>
      </c>
    </row>
    <row r="29" spans="1:13" s="329" customFormat="1" hidden="1" x14ac:dyDescent="0.25">
      <c r="A29" s="549" t="s">
        <v>973</v>
      </c>
      <c r="B29" s="550">
        <v>0</v>
      </c>
      <c r="C29" s="551">
        <v>2.2000000000000002</v>
      </c>
      <c r="D29" s="552">
        <v>0</v>
      </c>
      <c r="E29" s="552">
        <v>0</v>
      </c>
      <c r="F29" s="543">
        <f t="shared" si="0"/>
        <v>0</v>
      </c>
      <c r="G29" s="544">
        <f t="shared" si="1"/>
        <v>0</v>
      </c>
      <c r="H29" s="545">
        <v>1</v>
      </c>
      <c r="I29" s="544">
        <f t="shared" si="2"/>
        <v>0</v>
      </c>
      <c r="J29" s="546">
        <f t="shared" si="3"/>
        <v>0</v>
      </c>
      <c r="K29" s="547">
        <v>1</v>
      </c>
      <c r="L29" s="544">
        <f t="shared" si="4"/>
        <v>0</v>
      </c>
      <c r="M29" s="548">
        <f t="shared" si="5"/>
        <v>0</v>
      </c>
    </row>
    <row r="30" spans="1:13" s="329" customFormat="1" hidden="1" x14ac:dyDescent="0.25">
      <c r="A30" s="557" t="s">
        <v>974</v>
      </c>
      <c r="B30" s="550">
        <v>304186.51</v>
      </c>
      <c r="C30" s="551">
        <v>2.2000000000000002</v>
      </c>
      <c r="D30" s="552">
        <v>7195</v>
      </c>
      <c r="E30" s="552">
        <v>6493</v>
      </c>
      <c r="F30" s="543">
        <f t="shared" si="0"/>
        <v>6692.1</v>
      </c>
      <c r="G30" s="544">
        <f t="shared" si="1"/>
        <v>6.7</v>
      </c>
      <c r="H30" s="545">
        <v>1</v>
      </c>
      <c r="I30" s="544">
        <f t="shared" si="2"/>
        <v>6.7</v>
      </c>
      <c r="J30" s="546">
        <f t="shared" si="3"/>
        <v>0</v>
      </c>
      <c r="K30" s="547">
        <v>1</v>
      </c>
      <c r="L30" s="544">
        <f t="shared" si="4"/>
        <v>6.7</v>
      </c>
      <c r="M30" s="548">
        <f t="shared" si="5"/>
        <v>0</v>
      </c>
    </row>
    <row r="31" spans="1:13" s="329" customFormat="1" hidden="1" x14ac:dyDescent="0.25">
      <c r="A31" s="549" t="s">
        <v>975</v>
      </c>
      <c r="B31" s="550">
        <v>5357568.0199999996</v>
      </c>
      <c r="C31" s="551">
        <v>2.2000000000000002</v>
      </c>
      <c r="D31" s="552">
        <v>121582</v>
      </c>
      <c r="E31" s="552">
        <v>117132.54</v>
      </c>
      <c r="F31" s="543">
        <f t="shared" si="0"/>
        <v>117866.5</v>
      </c>
      <c r="G31" s="544">
        <f t="shared" si="1"/>
        <v>117.9</v>
      </c>
      <c r="H31" s="545">
        <v>1</v>
      </c>
      <c r="I31" s="544">
        <f t="shared" si="2"/>
        <v>117.9</v>
      </c>
      <c r="J31" s="546">
        <f t="shared" si="3"/>
        <v>0</v>
      </c>
      <c r="K31" s="547">
        <v>1</v>
      </c>
      <c r="L31" s="544">
        <f t="shared" si="4"/>
        <v>117.9</v>
      </c>
      <c r="M31" s="548">
        <f t="shared" si="5"/>
        <v>0</v>
      </c>
    </row>
    <row r="32" spans="1:13" s="329" customFormat="1" hidden="1" x14ac:dyDescent="0.25">
      <c r="A32" s="549" t="s">
        <v>976</v>
      </c>
      <c r="B32" s="550">
        <v>586378.01</v>
      </c>
      <c r="C32" s="551">
        <v>2.2000000000000002</v>
      </c>
      <c r="D32" s="552">
        <v>16038</v>
      </c>
      <c r="E32" s="552">
        <v>12651</v>
      </c>
      <c r="F32" s="543">
        <f t="shared" si="0"/>
        <v>12900.32</v>
      </c>
      <c r="G32" s="544">
        <f t="shared" si="1"/>
        <v>13</v>
      </c>
      <c r="H32" s="545">
        <v>1</v>
      </c>
      <c r="I32" s="544">
        <f t="shared" si="2"/>
        <v>13</v>
      </c>
      <c r="J32" s="546">
        <f t="shared" si="3"/>
        <v>0</v>
      </c>
      <c r="K32" s="547">
        <v>1</v>
      </c>
      <c r="L32" s="544">
        <f t="shared" si="4"/>
        <v>13</v>
      </c>
      <c r="M32" s="548">
        <f t="shared" si="5"/>
        <v>0</v>
      </c>
    </row>
    <row r="33" spans="1:13" s="329" customFormat="1" hidden="1" x14ac:dyDescent="0.25">
      <c r="A33" s="549" t="s">
        <v>977</v>
      </c>
      <c r="B33" s="550">
        <v>1335172.44</v>
      </c>
      <c r="C33" s="551">
        <v>2.2000000000000002</v>
      </c>
      <c r="D33" s="552">
        <v>30159</v>
      </c>
      <c r="E33" s="552">
        <v>29729</v>
      </c>
      <c r="F33" s="543">
        <f t="shared" si="0"/>
        <v>29373.79</v>
      </c>
      <c r="G33" s="544">
        <f t="shared" si="1"/>
        <v>29.4</v>
      </c>
      <c r="H33" s="545">
        <v>1</v>
      </c>
      <c r="I33" s="544">
        <f t="shared" si="2"/>
        <v>29.4</v>
      </c>
      <c r="J33" s="546">
        <f t="shared" si="3"/>
        <v>0</v>
      </c>
      <c r="K33" s="547">
        <v>1</v>
      </c>
      <c r="L33" s="544">
        <f t="shared" si="4"/>
        <v>29.4</v>
      </c>
      <c r="M33" s="548">
        <f t="shared" si="5"/>
        <v>0</v>
      </c>
    </row>
    <row r="34" spans="1:13" s="329" customFormat="1" hidden="1" x14ac:dyDescent="0.25">
      <c r="A34" s="549" t="s">
        <v>978</v>
      </c>
      <c r="B34" s="550">
        <v>1425877.93</v>
      </c>
      <c r="C34" s="551">
        <v>2.2000000000000002</v>
      </c>
      <c r="D34" s="552">
        <v>32169</v>
      </c>
      <c r="E34" s="552">
        <v>31103</v>
      </c>
      <c r="F34" s="543">
        <f t="shared" si="0"/>
        <v>31369.31</v>
      </c>
      <c r="G34" s="544">
        <f t="shared" si="1"/>
        <v>31.4</v>
      </c>
      <c r="H34" s="545">
        <v>1</v>
      </c>
      <c r="I34" s="544">
        <f t="shared" si="2"/>
        <v>31.4</v>
      </c>
      <c r="J34" s="546">
        <f t="shared" si="3"/>
        <v>0</v>
      </c>
      <c r="K34" s="547">
        <v>1</v>
      </c>
      <c r="L34" s="544">
        <f t="shared" si="4"/>
        <v>31.4</v>
      </c>
      <c r="M34" s="548">
        <f t="shared" si="5"/>
        <v>0</v>
      </c>
    </row>
    <row r="35" spans="1:13" s="329" customFormat="1" hidden="1" x14ac:dyDescent="0.25">
      <c r="A35" s="549" t="s">
        <v>979</v>
      </c>
      <c r="B35" s="550">
        <v>1206108.97</v>
      </c>
      <c r="C35" s="551">
        <v>2.2000000000000002</v>
      </c>
      <c r="D35" s="552">
        <v>30152</v>
      </c>
      <c r="E35" s="552">
        <v>25328</v>
      </c>
      <c r="F35" s="543">
        <f t="shared" si="0"/>
        <v>26534.400000000001</v>
      </c>
      <c r="G35" s="544">
        <f t="shared" si="1"/>
        <v>26.6</v>
      </c>
      <c r="H35" s="545">
        <v>1</v>
      </c>
      <c r="I35" s="544">
        <f t="shared" si="2"/>
        <v>26.6</v>
      </c>
      <c r="J35" s="546">
        <f t="shared" si="3"/>
        <v>0</v>
      </c>
      <c r="K35" s="547">
        <v>1</v>
      </c>
      <c r="L35" s="544">
        <f t="shared" si="4"/>
        <v>26.6</v>
      </c>
      <c r="M35" s="548">
        <f t="shared" si="5"/>
        <v>0</v>
      </c>
    </row>
    <row r="36" spans="1:13" s="329" customFormat="1" hidden="1" x14ac:dyDescent="0.25">
      <c r="A36" s="549" t="s">
        <v>980</v>
      </c>
      <c r="B36" s="550">
        <v>2500055.44</v>
      </c>
      <c r="C36" s="551">
        <v>2.2000000000000002</v>
      </c>
      <c r="D36" s="552">
        <v>66557</v>
      </c>
      <c r="E36" s="552">
        <v>59100</v>
      </c>
      <c r="F36" s="543">
        <f t="shared" si="0"/>
        <v>55001.22</v>
      </c>
      <c r="G36" s="544">
        <f t="shared" si="1"/>
        <v>55.1</v>
      </c>
      <c r="H36" s="545">
        <v>1</v>
      </c>
      <c r="I36" s="544">
        <f t="shared" si="2"/>
        <v>55.1</v>
      </c>
      <c r="J36" s="546">
        <f t="shared" si="3"/>
        <v>0</v>
      </c>
      <c r="K36" s="547">
        <v>1</v>
      </c>
      <c r="L36" s="544">
        <f t="shared" si="4"/>
        <v>55.1</v>
      </c>
      <c r="M36" s="548">
        <f t="shared" si="5"/>
        <v>0</v>
      </c>
    </row>
    <row r="37" spans="1:13" s="329" customFormat="1" hidden="1" x14ac:dyDescent="0.25">
      <c r="A37" s="549" t="s">
        <v>981</v>
      </c>
      <c r="B37" s="550"/>
      <c r="C37" s="551">
        <v>2.2000000000000002</v>
      </c>
      <c r="D37" s="552"/>
      <c r="E37" s="552"/>
      <c r="F37" s="543">
        <f t="shared" si="0"/>
        <v>0</v>
      </c>
      <c r="G37" s="544">
        <f t="shared" si="1"/>
        <v>0</v>
      </c>
      <c r="H37" s="545">
        <v>1</v>
      </c>
      <c r="I37" s="544">
        <f t="shared" si="2"/>
        <v>0</v>
      </c>
      <c r="J37" s="546">
        <f t="shared" si="3"/>
        <v>0</v>
      </c>
      <c r="K37" s="547">
        <v>1</v>
      </c>
      <c r="L37" s="544">
        <f t="shared" si="4"/>
        <v>0</v>
      </c>
      <c r="M37" s="548">
        <f t="shared" si="5"/>
        <v>0</v>
      </c>
    </row>
    <row r="38" spans="1:13" s="329" customFormat="1" hidden="1" x14ac:dyDescent="0.25">
      <c r="A38" s="549" t="s">
        <v>982</v>
      </c>
      <c r="B38" s="550">
        <v>836349.21</v>
      </c>
      <c r="C38" s="551">
        <v>2.2000000000000002</v>
      </c>
      <c r="D38" s="552">
        <v>18798</v>
      </c>
      <c r="E38" s="552">
        <v>18503.23</v>
      </c>
      <c r="F38" s="543">
        <f t="shared" si="0"/>
        <v>18399.68</v>
      </c>
      <c r="G38" s="544">
        <f t="shared" si="1"/>
        <v>18.399999999999999</v>
      </c>
      <c r="H38" s="545">
        <v>1</v>
      </c>
      <c r="I38" s="544">
        <f t="shared" si="2"/>
        <v>18.399999999999999</v>
      </c>
      <c r="J38" s="546">
        <f t="shared" si="3"/>
        <v>0</v>
      </c>
      <c r="K38" s="547">
        <v>1</v>
      </c>
      <c r="L38" s="544">
        <f t="shared" si="4"/>
        <v>18.399999999999999</v>
      </c>
      <c r="M38" s="548">
        <f t="shared" si="5"/>
        <v>0</v>
      </c>
    </row>
    <row r="39" spans="1:13" s="329" customFormat="1" hidden="1" x14ac:dyDescent="0.25">
      <c r="A39" s="549" t="s">
        <v>983</v>
      </c>
      <c r="B39" s="550">
        <v>3324637.84</v>
      </c>
      <c r="C39" s="551">
        <v>2.2000000000000002</v>
      </c>
      <c r="D39" s="552">
        <v>73405</v>
      </c>
      <c r="E39" s="552">
        <v>72176</v>
      </c>
      <c r="F39" s="543">
        <f t="shared" si="0"/>
        <v>73142.03</v>
      </c>
      <c r="G39" s="544">
        <f t="shared" si="1"/>
        <v>73.2</v>
      </c>
      <c r="H39" s="545">
        <v>0.97869633489999996</v>
      </c>
      <c r="I39" s="544">
        <f t="shared" si="2"/>
        <v>71.7</v>
      </c>
      <c r="J39" s="546">
        <f t="shared" si="3"/>
        <v>1.5</v>
      </c>
      <c r="K39" s="547">
        <v>1</v>
      </c>
      <c r="L39" s="544">
        <f t="shared" si="4"/>
        <v>71.7</v>
      </c>
      <c r="M39" s="548">
        <f t="shared" si="5"/>
        <v>0</v>
      </c>
    </row>
    <row r="40" spans="1:13" s="329" customFormat="1" hidden="1" x14ac:dyDescent="0.25">
      <c r="A40" s="549" t="s">
        <v>984</v>
      </c>
      <c r="B40" s="550">
        <v>4113924.79</v>
      </c>
      <c r="C40" s="551">
        <v>2.2000000000000002</v>
      </c>
      <c r="D40" s="552">
        <v>91684</v>
      </c>
      <c r="E40" s="552">
        <v>90211</v>
      </c>
      <c r="F40" s="543">
        <f t="shared" si="0"/>
        <v>90506.35</v>
      </c>
      <c r="G40" s="544">
        <f t="shared" si="1"/>
        <v>90.6</v>
      </c>
      <c r="H40" s="545">
        <v>1</v>
      </c>
      <c r="I40" s="544">
        <f t="shared" si="2"/>
        <v>90.6</v>
      </c>
      <c r="J40" s="546">
        <f t="shared" si="3"/>
        <v>0</v>
      </c>
      <c r="K40" s="547">
        <v>1</v>
      </c>
      <c r="L40" s="544">
        <f t="shared" si="4"/>
        <v>90.6</v>
      </c>
      <c r="M40" s="548">
        <f t="shared" si="5"/>
        <v>0</v>
      </c>
    </row>
    <row r="41" spans="1:13" s="329" customFormat="1" hidden="1" x14ac:dyDescent="0.25">
      <c r="A41" s="549" t="s">
        <v>985</v>
      </c>
      <c r="B41" s="550">
        <v>1268470.04</v>
      </c>
      <c r="C41" s="551">
        <v>2.2000000000000002</v>
      </c>
      <c r="D41" s="552">
        <v>28864</v>
      </c>
      <c r="E41" s="552">
        <v>27588</v>
      </c>
      <c r="F41" s="543">
        <f t="shared" si="0"/>
        <v>27906.34</v>
      </c>
      <c r="G41" s="544">
        <f t="shared" si="1"/>
        <v>28</v>
      </c>
      <c r="H41" s="545">
        <v>1</v>
      </c>
      <c r="I41" s="544">
        <f t="shared" si="2"/>
        <v>28</v>
      </c>
      <c r="J41" s="546">
        <f t="shared" si="3"/>
        <v>0</v>
      </c>
      <c r="K41" s="547">
        <v>1</v>
      </c>
      <c r="L41" s="544">
        <f t="shared" si="4"/>
        <v>28</v>
      </c>
      <c r="M41" s="548">
        <f t="shared" si="5"/>
        <v>0</v>
      </c>
    </row>
    <row r="42" spans="1:13" s="329" customFormat="1" hidden="1" x14ac:dyDescent="0.25">
      <c r="A42" s="549" t="s">
        <v>986</v>
      </c>
      <c r="B42" s="550">
        <v>4996680.3600000003</v>
      </c>
      <c r="C42" s="551">
        <v>2.2000000000000002</v>
      </c>
      <c r="D42" s="552">
        <v>109243</v>
      </c>
      <c r="E42" s="552">
        <v>127160.23</v>
      </c>
      <c r="F42" s="543">
        <f t="shared" si="0"/>
        <v>109926.97</v>
      </c>
      <c r="G42" s="544">
        <f t="shared" si="1"/>
        <v>110</v>
      </c>
      <c r="H42" s="545">
        <v>1</v>
      </c>
      <c r="I42" s="544">
        <f t="shared" si="2"/>
        <v>110</v>
      </c>
      <c r="J42" s="546">
        <f t="shared" si="3"/>
        <v>0</v>
      </c>
      <c r="K42" s="547">
        <v>1</v>
      </c>
      <c r="L42" s="544">
        <f t="shared" si="4"/>
        <v>110</v>
      </c>
      <c r="M42" s="548">
        <f t="shared" si="5"/>
        <v>0</v>
      </c>
    </row>
    <row r="43" spans="1:13" s="329" customFormat="1" hidden="1" x14ac:dyDescent="0.25">
      <c r="A43" s="549" t="s">
        <v>987</v>
      </c>
      <c r="B43" s="550">
        <v>14534305.470000001</v>
      </c>
      <c r="C43" s="551">
        <v>2.2000000000000002</v>
      </c>
      <c r="D43" s="552">
        <v>326392.96000000002</v>
      </c>
      <c r="E43" s="552">
        <v>316900.65000000002</v>
      </c>
      <c r="F43" s="543">
        <f t="shared" si="0"/>
        <v>319754.71999999997</v>
      </c>
      <c r="G43" s="544">
        <f t="shared" si="1"/>
        <v>319.8</v>
      </c>
      <c r="H43" s="545">
        <v>1</v>
      </c>
      <c r="I43" s="544">
        <f t="shared" si="2"/>
        <v>319.8</v>
      </c>
      <c r="J43" s="546">
        <f t="shared" si="3"/>
        <v>0</v>
      </c>
      <c r="K43" s="547">
        <v>1</v>
      </c>
      <c r="L43" s="544">
        <f t="shared" si="4"/>
        <v>319.8</v>
      </c>
      <c r="M43" s="548">
        <f t="shared" si="5"/>
        <v>0</v>
      </c>
    </row>
    <row r="44" spans="1:13" s="329" customFormat="1" hidden="1" x14ac:dyDescent="0.25">
      <c r="A44" s="549" t="s">
        <v>988</v>
      </c>
      <c r="B44" s="550">
        <v>13098522.68</v>
      </c>
      <c r="C44" s="551">
        <v>2.2000000000000002</v>
      </c>
      <c r="D44" s="552">
        <v>296304</v>
      </c>
      <c r="E44" s="552">
        <v>281114</v>
      </c>
      <c r="F44" s="543">
        <f t="shared" si="0"/>
        <v>288167.5</v>
      </c>
      <c r="G44" s="544">
        <f t="shared" si="1"/>
        <v>288.2</v>
      </c>
      <c r="H44" s="545">
        <v>1</v>
      </c>
      <c r="I44" s="544">
        <f t="shared" si="2"/>
        <v>288.2</v>
      </c>
      <c r="J44" s="546">
        <f t="shared" si="3"/>
        <v>0</v>
      </c>
      <c r="K44" s="547">
        <v>1</v>
      </c>
      <c r="L44" s="544">
        <f t="shared" si="4"/>
        <v>288.2</v>
      </c>
      <c r="M44" s="548">
        <f t="shared" si="5"/>
        <v>0</v>
      </c>
    </row>
    <row r="45" spans="1:13" s="329" customFormat="1" hidden="1" x14ac:dyDescent="0.25">
      <c r="A45" s="558" t="s">
        <v>989</v>
      </c>
      <c r="B45" s="550">
        <v>11046460.75</v>
      </c>
      <c r="C45" s="551">
        <v>2.2000000000000002</v>
      </c>
      <c r="D45" s="552">
        <v>248170</v>
      </c>
      <c r="E45" s="552">
        <v>240895</v>
      </c>
      <c r="F45" s="543">
        <f t="shared" si="0"/>
        <v>243022.14</v>
      </c>
      <c r="G45" s="544">
        <f t="shared" si="1"/>
        <v>243.1</v>
      </c>
      <c r="H45" s="545">
        <v>1</v>
      </c>
      <c r="I45" s="544">
        <f t="shared" si="2"/>
        <v>243.1</v>
      </c>
      <c r="J45" s="546">
        <f t="shared" si="3"/>
        <v>0</v>
      </c>
      <c r="K45" s="547">
        <v>1</v>
      </c>
      <c r="L45" s="544">
        <f t="shared" si="4"/>
        <v>243.1</v>
      </c>
      <c r="M45" s="548">
        <f t="shared" si="5"/>
        <v>0</v>
      </c>
    </row>
    <row r="46" spans="1:13" s="329" customFormat="1" hidden="1" x14ac:dyDescent="0.25">
      <c r="A46" s="549" t="s">
        <v>990</v>
      </c>
      <c r="B46" s="550">
        <v>2073064.77</v>
      </c>
      <c r="C46" s="551">
        <v>2.2000000000000002</v>
      </c>
      <c r="D46" s="552">
        <v>45652</v>
      </c>
      <c r="E46" s="552">
        <v>45420</v>
      </c>
      <c r="F46" s="543">
        <f t="shared" si="0"/>
        <v>45607.42</v>
      </c>
      <c r="G46" s="544">
        <f t="shared" si="1"/>
        <v>45.7</v>
      </c>
      <c r="H46" s="545">
        <v>1</v>
      </c>
      <c r="I46" s="544">
        <f t="shared" si="2"/>
        <v>45.7</v>
      </c>
      <c r="J46" s="546">
        <f t="shared" si="3"/>
        <v>0</v>
      </c>
      <c r="K46" s="547">
        <v>1</v>
      </c>
      <c r="L46" s="544">
        <f t="shared" si="4"/>
        <v>45.7</v>
      </c>
      <c r="M46" s="548">
        <f t="shared" si="5"/>
        <v>0</v>
      </c>
    </row>
    <row r="47" spans="1:13" s="329" customFormat="1" hidden="1" x14ac:dyDescent="0.25">
      <c r="A47" s="549" t="s">
        <v>991</v>
      </c>
      <c r="B47" s="550">
        <v>4741961.24</v>
      </c>
      <c r="C47" s="551">
        <v>2.2000000000000002</v>
      </c>
      <c r="D47" s="552">
        <v>114707</v>
      </c>
      <c r="E47" s="552">
        <v>120480.58</v>
      </c>
      <c r="F47" s="543">
        <f t="shared" si="0"/>
        <v>104323.15</v>
      </c>
      <c r="G47" s="544">
        <f t="shared" si="1"/>
        <v>104.4</v>
      </c>
      <c r="H47" s="545">
        <v>1</v>
      </c>
      <c r="I47" s="544">
        <f t="shared" si="2"/>
        <v>104.4</v>
      </c>
      <c r="J47" s="546">
        <f t="shared" si="3"/>
        <v>0</v>
      </c>
      <c r="K47" s="547">
        <v>1</v>
      </c>
      <c r="L47" s="544">
        <f t="shared" si="4"/>
        <v>104.4</v>
      </c>
      <c r="M47" s="548">
        <f t="shared" si="5"/>
        <v>0</v>
      </c>
    </row>
    <row r="48" spans="1:13" s="329" customFormat="1" hidden="1" x14ac:dyDescent="0.25">
      <c r="A48" s="549" t="s">
        <v>992</v>
      </c>
      <c r="B48" s="550">
        <v>952292.05</v>
      </c>
      <c r="C48" s="551">
        <v>2.2000000000000002</v>
      </c>
      <c r="D48" s="552">
        <v>22087</v>
      </c>
      <c r="E48" s="552">
        <v>20000</v>
      </c>
      <c r="F48" s="543">
        <f t="shared" si="0"/>
        <v>20950.43</v>
      </c>
      <c r="G48" s="544">
        <f t="shared" si="1"/>
        <v>21</v>
      </c>
      <c r="H48" s="545">
        <v>1</v>
      </c>
      <c r="I48" s="544">
        <f t="shared" si="2"/>
        <v>21</v>
      </c>
      <c r="J48" s="546">
        <f t="shared" si="3"/>
        <v>0</v>
      </c>
      <c r="K48" s="547">
        <v>1</v>
      </c>
      <c r="L48" s="544">
        <f t="shared" si="4"/>
        <v>21</v>
      </c>
      <c r="M48" s="548">
        <f t="shared" si="5"/>
        <v>0</v>
      </c>
    </row>
    <row r="49" spans="1:13" s="329" customFormat="1" hidden="1" x14ac:dyDescent="0.25">
      <c r="A49" s="549" t="s">
        <v>993</v>
      </c>
      <c r="B49" s="550">
        <v>1339797.8799999999</v>
      </c>
      <c r="C49" s="551">
        <v>2.2000000000000002</v>
      </c>
      <c r="D49" s="552">
        <v>30712.799999999999</v>
      </c>
      <c r="E49" s="552">
        <v>30712.799999999999</v>
      </c>
      <c r="F49" s="543">
        <f t="shared" si="0"/>
        <v>29475.55</v>
      </c>
      <c r="G49" s="544">
        <f t="shared" si="1"/>
        <v>29.5</v>
      </c>
      <c r="H49" s="545">
        <v>1</v>
      </c>
      <c r="I49" s="544">
        <f t="shared" si="2"/>
        <v>29.5</v>
      </c>
      <c r="J49" s="546">
        <f t="shared" si="3"/>
        <v>0</v>
      </c>
      <c r="K49" s="547">
        <v>1</v>
      </c>
      <c r="L49" s="544">
        <f t="shared" si="4"/>
        <v>29.5</v>
      </c>
      <c r="M49" s="548">
        <f t="shared" si="5"/>
        <v>0</v>
      </c>
    </row>
    <row r="50" spans="1:13" s="329" customFormat="1" hidden="1" x14ac:dyDescent="0.25">
      <c r="A50" s="549" t="s">
        <v>994</v>
      </c>
      <c r="B50" s="550"/>
      <c r="C50" s="551">
        <v>2.2000000000000002</v>
      </c>
      <c r="D50" s="552"/>
      <c r="E50" s="552"/>
      <c r="F50" s="543">
        <f t="shared" si="0"/>
        <v>0</v>
      </c>
      <c r="G50" s="544">
        <f t="shared" si="1"/>
        <v>0</v>
      </c>
      <c r="H50" s="545">
        <v>0.98315819660000003</v>
      </c>
      <c r="I50" s="544">
        <f t="shared" si="2"/>
        <v>0</v>
      </c>
      <c r="J50" s="546">
        <f t="shared" si="3"/>
        <v>0</v>
      </c>
      <c r="K50" s="547">
        <v>1</v>
      </c>
      <c r="L50" s="544">
        <f t="shared" si="4"/>
        <v>0</v>
      </c>
      <c r="M50" s="548">
        <f t="shared" si="5"/>
        <v>0</v>
      </c>
    </row>
    <row r="51" spans="1:13" s="329" customFormat="1" hidden="1" x14ac:dyDescent="0.25">
      <c r="A51" s="549" t="s">
        <v>995</v>
      </c>
      <c r="B51" s="550">
        <v>2473609.48</v>
      </c>
      <c r="C51" s="551">
        <v>2.2000000000000002</v>
      </c>
      <c r="D51" s="552">
        <v>54392.75</v>
      </c>
      <c r="E51" s="552">
        <v>55285</v>
      </c>
      <c r="F51" s="543">
        <f t="shared" si="0"/>
        <v>54419.41</v>
      </c>
      <c r="G51" s="544">
        <f t="shared" si="1"/>
        <v>54.5</v>
      </c>
      <c r="H51" s="545">
        <v>1</v>
      </c>
      <c r="I51" s="544">
        <f t="shared" si="2"/>
        <v>54.5</v>
      </c>
      <c r="J51" s="546">
        <f t="shared" si="3"/>
        <v>0</v>
      </c>
      <c r="K51" s="547">
        <v>1</v>
      </c>
      <c r="L51" s="544">
        <f t="shared" si="4"/>
        <v>54.5</v>
      </c>
      <c r="M51" s="548">
        <f t="shared" si="5"/>
        <v>0</v>
      </c>
    </row>
    <row r="52" spans="1:13" s="329" customFormat="1" hidden="1" x14ac:dyDescent="0.25">
      <c r="A52" s="549" t="s">
        <v>996</v>
      </c>
      <c r="B52" s="550"/>
      <c r="C52" s="551">
        <v>2.2000000000000002</v>
      </c>
      <c r="D52" s="552"/>
      <c r="E52" s="552"/>
      <c r="F52" s="543">
        <f t="shared" si="0"/>
        <v>0</v>
      </c>
      <c r="G52" s="544">
        <f t="shared" si="1"/>
        <v>0</v>
      </c>
      <c r="H52" s="545">
        <v>0.94366307559999996</v>
      </c>
      <c r="I52" s="544">
        <f t="shared" si="2"/>
        <v>0</v>
      </c>
      <c r="J52" s="546">
        <f t="shared" si="3"/>
        <v>0</v>
      </c>
      <c r="K52" s="547">
        <v>1</v>
      </c>
      <c r="L52" s="544">
        <f t="shared" si="4"/>
        <v>0</v>
      </c>
      <c r="M52" s="548">
        <f t="shared" si="5"/>
        <v>0</v>
      </c>
    </row>
    <row r="53" spans="1:13" s="329" customFormat="1" hidden="1" x14ac:dyDescent="0.25">
      <c r="A53" s="549" t="s">
        <v>997</v>
      </c>
      <c r="B53" s="550">
        <v>177969.52</v>
      </c>
      <c r="C53" s="551">
        <v>2.2000000000000002</v>
      </c>
      <c r="D53" s="552">
        <v>3994</v>
      </c>
      <c r="E53" s="552">
        <v>3869</v>
      </c>
      <c r="F53" s="543">
        <f t="shared" si="0"/>
        <v>3915.33</v>
      </c>
      <c r="G53" s="544">
        <f t="shared" si="1"/>
        <v>4</v>
      </c>
      <c r="H53" s="545">
        <v>1</v>
      </c>
      <c r="I53" s="544">
        <f t="shared" si="2"/>
        <v>4</v>
      </c>
      <c r="J53" s="546">
        <f t="shared" si="3"/>
        <v>0</v>
      </c>
      <c r="K53" s="547">
        <v>1</v>
      </c>
      <c r="L53" s="544">
        <f t="shared" si="4"/>
        <v>4</v>
      </c>
      <c r="M53" s="548">
        <f t="shared" si="5"/>
        <v>0</v>
      </c>
    </row>
    <row r="54" spans="1:13" s="329" customFormat="1" hidden="1" x14ac:dyDescent="0.25">
      <c r="A54" s="549" t="s">
        <v>998</v>
      </c>
      <c r="B54" s="550">
        <v>117149.35</v>
      </c>
      <c r="C54" s="551">
        <v>2.2000000000000002</v>
      </c>
      <c r="D54" s="552">
        <v>3280</v>
      </c>
      <c r="E54" s="552">
        <v>3000</v>
      </c>
      <c r="F54" s="543">
        <f t="shared" si="0"/>
        <v>2577.29</v>
      </c>
      <c r="G54" s="544">
        <f t="shared" si="1"/>
        <v>2.6</v>
      </c>
      <c r="H54" s="545">
        <v>1</v>
      </c>
      <c r="I54" s="544">
        <f t="shared" si="2"/>
        <v>2.6</v>
      </c>
      <c r="J54" s="546">
        <f t="shared" si="3"/>
        <v>0</v>
      </c>
      <c r="K54" s="547">
        <v>1</v>
      </c>
      <c r="L54" s="544">
        <f t="shared" si="4"/>
        <v>2.6</v>
      </c>
      <c r="M54" s="548">
        <f t="shared" si="5"/>
        <v>0</v>
      </c>
    </row>
    <row r="55" spans="1:13" s="329" customFormat="1" hidden="1" x14ac:dyDescent="0.25">
      <c r="A55" s="549" t="s">
        <v>999</v>
      </c>
      <c r="B55" s="550">
        <v>2375418.91</v>
      </c>
      <c r="C55" s="551">
        <v>2.2000000000000002</v>
      </c>
      <c r="D55" s="552">
        <v>54058</v>
      </c>
      <c r="E55" s="552">
        <v>51895</v>
      </c>
      <c r="F55" s="543">
        <f t="shared" si="0"/>
        <v>52259.22</v>
      </c>
      <c r="G55" s="544">
        <f t="shared" si="1"/>
        <v>52.3</v>
      </c>
      <c r="H55" s="545">
        <v>1</v>
      </c>
      <c r="I55" s="544">
        <f t="shared" si="2"/>
        <v>52.3</v>
      </c>
      <c r="J55" s="546">
        <f t="shared" si="3"/>
        <v>0</v>
      </c>
      <c r="K55" s="547">
        <v>1</v>
      </c>
      <c r="L55" s="544">
        <f t="shared" si="4"/>
        <v>52.3</v>
      </c>
      <c r="M55" s="548">
        <f t="shared" si="5"/>
        <v>0</v>
      </c>
    </row>
    <row r="56" spans="1:13" s="329" customFormat="1" hidden="1" x14ac:dyDescent="0.25">
      <c r="A56" s="549" t="s">
        <v>1000</v>
      </c>
      <c r="B56" s="550">
        <v>979096.31</v>
      </c>
      <c r="C56" s="551">
        <v>2.2000000000000002</v>
      </c>
      <c r="D56" s="552">
        <v>22270.6</v>
      </c>
      <c r="E56" s="552">
        <v>5545.2</v>
      </c>
      <c r="F56" s="543">
        <f t="shared" si="0"/>
        <v>21540.12</v>
      </c>
      <c r="G56" s="544">
        <f t="shared" si="1"/>
        <v>21.6</v>
      </c>
      <c r="H56" s="545">
        <v>1</v>
      </c>
      <c r="I56" s="544">
        <f t="shared" si="2"/>
        <v>21.6</v>
      </c>
      <c r="J56" s="546">
        <f t="shared" si="3"/>
        <v>0</v>
      </c>
      <c r="K56" s="547">
        <v>1</v>
      </c>
      <c r="L56" s="544">
        <f t="shared" si="4"/>
        <v>21.6</v>
      </c>
      <c r="M56" s="548">
        <f t="shared" si="5"/>
        <v>0</v>
      </c>
    </row>
    <row r="57" spans="1:13" s="329" customFormat="1" hidden="1" x14ac:dyDescent="0.25">
      <c r="A57" s="549" t="s">
        <v>1001</v>
      </c>
      <c r="B57" s="550">
        <v>1528480.03</v>
      </c>
      <c r="C57" s="551">
        <v>2.2000000000000002</v>
      </c>
      <c r="D57" s="552">
        <v>34416</v>
      </c>
      <c r="E57" s="552">
        <v>33407</v>
      </c>
      <c r="F57" s="543">
        <f t="shared" si="0"/>
        <v>33626.559999999998</v>
      </c>
      <c r="G57" s="544">
        <f t="shared" si="1"/>
        <v>33.700000000000003</v>
      </c>
      <c r="H57" s="545">
        <v>0.98512713200000002</v>
      </c>
      <c r="I57" s="544">
        <f t="shared" si="2"/>
        <v>33.200000000000003</v>
      </c>
      <c r="J57" s="546">
        <f t="shared" si="3"/>
        <v>0.5</v>
      </c>
      <c r="K57" s="547">
        <v>1</v>
      </c>
      <c r="L57" s="544">
        <f t="shared" si="4"/>
        <v>33.200000000000003</v>
      </c>
      <c r="M57" s="548">
        <f t="shared" si="5"/>
        <v>0</v>
      </c>
    </row>
    <row r="58" spans="1:13" s="329" customFormat="1" hidden="1" x14ac:dyDescent="0.25">
      <c r="A58" s="549" t="s">
        <v>1002</v>
      </c>
      <c r="B58" s="550">
        <v>1242235.1200000001</v>
      </c>
      <c r="C58" s="551">
        <v>2.2000000000000002</v>
      </c>
      <c r="D58" s="552">
        <v>33655</v>
      </c>
      <c r="E58" s="552">
        <v>27187</v>
      </c>
      <c r="F58" s="543">
        <f t="shared" si="0"/>
        <v>27329.17</v>
      </c>
      <c r="G58" s="544">
        <f t="shared" si="1"/>
        <v>27.4</v>
      </c>
      <c r="H58" s="545">
        <v>1</v>
      </c>
      <c r="I58" s="544">
        <f t="shared" si="2"/>
        <v>27.4</v>
      </c>
      <c r="J58" s="546">
        <f t="shared" si="3"/>
        <v>0</v>
      </c>
      <c r="K58" s="547">
        <v>1</v>
      </c>
      <c r="L58" s="544">
        <f t="shared" si="4"/>
        <v>27.4</v>
      </c>
      <c r="M58" s="548">
        <f t="shared" si="5"/>
        <v>0</v>
      </c>
    </row>
    <row r="59" spans="1:13" s="329" customFormat="1" hidden="1" x14ac:dyDescent="0.25">
      <c r="A59" s="549" t="s">
        <v>1003</v>
      </c>
      <c r="B59" s="550">
        <v>3263375.16</v>
      </c>
      <c r="C59" s="551">
        <v>2.2000000000000002</v>
      </c>
      <c r="D59" s="552">
        <v>73258.22</v>
      </c>
      <c r="E59" s="552">
        <v>73097</v>
      </c>
      <c r="F59" s="543">
        <f t="shared" si="0"/>
        <v>71794.25</v>
      </c>
      <c r="G59" s="544">
        <f t="shared" si="1"/>
        <v>71.8</v>
      </c>
      <c r="H59" s="545">
        <v>1</v>
      </c>
      <c r="I59" s="544">
        <f t="shared" si="2"/>
        <v>71.8</v>
      </c>
      <c r="J59" s="546">
        <f t="shared" si="3"/>
        <v>0</v>
      </c>
      <c r="K59" s="547">
        <v>1</v>
      </c>
      <c r="L59" s="544">
        <f t="shared" si="4"/>
        <v>71.8</v>
      </c>
      <c r="M59" s="548">
        <f t="shared" si="5"/>
        <v>0</v>
      </c>
    </row>
    <row r="60" spans="1:13" s="329" customFormat="1" ht="31.5" hidden="1" x14ac:dyDescent="0.25">
      <c r="A60" s="549" t="s">
        <v>1004</v>
      </c>
      <c r="B60" s="550">
        <v>202583.77</v>
      </c>
      <c r="C60" s="551">
        <v>2.2000000000000002</v>
      </c>
      <c r="D60" s="552">
        <v>4857</v>
      </c>
      <c r="E60" s="552">
        <v>4358</v>
      </c>
      <c r="F60" s="543">
        <f t="shared" si="0"/>
        <v>4456.84</v>
      </c>
      <c r="G60" s="544">
        <f t="shared" si="1"/>
        <v>4.5</v>
      </c>
      <c r="H60" s="545">
        <v>0.99632124430000002</v>
      </c>
      <c r="I60" s="544">
        <f t="shared" si="2"/>
        <v>4.5</v>
      </c>
      <c r="J60" s="546">
        <f t="shared" si="3"/>
        <v>0</v>
      </c>
      <c r="K60" s="547">
        <v>1</v>
      </c>
      <c r="L60" s="544">
        <f t="shared" si="4"/>
        <v>4.5</v>
      </c>
      <c r="M60" s="548">
        <f t="shared" si="5"/>
        <v>0</v>
      </c>
    </row>
    <row r="61" spans="1:13" s="329" customFormat="1" hidden="1" x14ac:dyDescent="0.25">
      <c r="A61" s="549" t="s">
        <v>1005</v>
      </c>
      <c r="B61" s="550">
        <v>329187.26</v>
      </c>
      <c r="C61" s="551">
        <v>2.2000000000000002</v>
      </c>
      <c r="D61" s="552">
        <v>9828.58</v>
      </c>
      <c r="E61" s="552">
        <v>7759.41</v>
      </c>
      <c r="F61" s="543">
        <f t="shared" si="0"/>
        <v>7242.12</v>
      </c>
      <c r="G61" s="544">
        <f t="shared" si="1"/>
        <v>7.3</v>
      </c>
      <c r="H61" s="545">
        <v>0.99309176379999997</v>
      </c>
      <c r="I61" s="544">
        <f t="shared" si="2"/>
        <v>7.3</v>
      </c>
      <c r="J61" s="546">
        <f t="shared" si="3"/>
        <v>0</v>
      </c>
      <c r="K61" s="547">
        <v>1</v>
      </c>
      <c r="L61" s="544">
        <f t="shared" si="4"/>
        <v>7.3</v>
      </c>
      <c r="M61" s="548">
        <f t="shared" si="5"/>
        <v>0</v>
      </c>
    </row>
    <row r="62" spans="1:13" s="329" customFormat="1" hidden="1" x14ac:dyDescent="0.25">
      <c r="A62" s="549" t="s">
        <v>1006</v>
      </c>
      <c r="B62" s="550">
        <v>3925445.74</v>
      </c>
      <c r="C62" s="551">
        <v>2.2000000000000002</v>
      </c>
      <c r="D62" s="552">
        <v>87832</v>
      </c>
      <c r="E62" s="552">
        <v>86220</v>
      </c>
      <c r="F62" s="543">
        <f t="shared" si="0"/>
        <v>86359.81</v>
      </c>
      <c r="G62" s="544">
        <f t="shared" si="1"/>
        <v>86.4</v>
      </c>
      <c r="H62" s="545">
        <v>1</v>
      </c>
      <c r="I62" s="544">
        <f t="shared" si="2"/>
        <v>86.4</v>
      </c>
      <c r="J62" s="546">
        <f t="shared" si="3"/>
        <v>0</v>
      </c>
      <c r="K62" s="547">
        <v>1</v>
      </c>
      <c r="L62" s="544">
        <f t="shared" si="4"/>
        <v>86.4</v>
      </c>
      <c r="M62" s="548">
        <f t="shared" si="5"/>
        <v>0</v>
      </c>
    </row>
    <row r="63" spans="1:13" s="329" customFormat="1" hidden="1" x14ac:dyDescent="0.25">
      <c r="A63" s="549" t="s">
        <v>1007</v>
      </c>
      <c r="B63" s="550">
        <v>3187400.62</v>
      </c>
      <c r="C63" s="551">
        <v>2.2000000000000002</v>
      </c>
      <c r="D63" s="552">
        <v>77135</v>
      </c>
      <c r="E63" s="552">
        <v>67111</v>
      </c>
      <c r="F63" s="543">
        <f t="shared" si="0"/>
        <v>70122.81</v>
      </c>
      <c r="G63" s="544">
        <f t="shared" si="1"/>
        <v>70.2</v>
      </c>
      <c r="H63" s="545">
        <v>0.9967273713</v>
      </c>
      <c r="I63" s="544">
        <f t="shared" si="2"/>
        <v>70</v>
      </c>
      <c r="J63" s="546">
        <f t="shared" si="3"/>
        <v>0.2</v>
      </c>
      <c r="K63" s="547">
        <v>1</v>
      </c>
      <c r="L63" s="544">
        <f t="shared" si="4"/>
        <v>70</v>
      </c>
      <c r="M63" s="548">
        <f t="shared" si="5"/>
        <v>0</v>
      </c>
    </row>
    <row r="64" spans="1:13" s="329" customFormat="1" hidden="1" x14ac:dyDescent="0.25">
      <c r="A64" s="557" t="s">
        <v>1008</v>
      </c>
      <c r="B64" s="550">
        <v>5063002.59</v>
      </c>
      <c r="C64" s="551">
        <v>2.2000000000000002</v>
      </c>
      <c r="D64" s="552">
        <v>113131</v>
      </c>
      <c r="E64" s="552">
        <v>109889</v>
      </c>
      <c r="F64" s="543">
        <f t="shared" si="0"/>
        <v>111386.06</v>
      </c>
      <c r="G64" s="544">
        <f t="shared" si="1"/>
        <v>111.4</v>
      </c>
      <c r="H64" s="545">
        <v>1</v>
      </c>
      <c r="I64" s="544">
        <f t="shared" si="2"/>
        <v>111.4</v>
      </c>
      <c r="J64" s="546">
        <f t="shared" si="3"/>
        <v>0</v>
      </c>
      <c r="K64" s="547">
        <v>1</v>
      </c>
      <c r="L64" s="544">
        <f t="shared" si="4"/>
        <v>111.4</v>
      </c>
      <c r="M64" s="548">
        <f t="shared" si="5"/>
        <v>0</v>
      </c>
    </row>
    <row r="65" spans="1:15" s="329" customFormat="1" hidden="1" x14ac:dyDescent="0.25">
      <c r="A65" s="549" t="s">
        <v>1009</v>
      </c>
      <c r="B65" s="550">
        <v>1119480.3799999999</v>
      </c>
      <c r="C65" s="551">
        <v>2.2000000000000002</v>
      </c>
      <c r="D65" s="552">
        <v>25172</v>
      </c>
      <c r="E65" s="552">
        <v>24471</v>
      </c>
      <c r="F65" s="543">
        <f t="shared" si="0"/>
        <v>24628.57</v>
      </c>
      <c r="G65" s="544">
        <f t="shared" si="1"/>
        <v>24.7</v>
      </c>
      <c r="H65" s="545">
        <v>1</v>
      </c>
      <c r="I65" s="544">
        <f t="shared" si="2"/>
        <v>24.7</v>
      </c>
      <c r="J65" s="546">
        <f t="shared" si="3"/>
        <v>0</v>
      </c>
      <c r="K65" s="547">
        <v>1</v>
      </c>
      <c r="L65" s="544">
        <f t="shared" si="4"/>
        <v>24.7</v>
      </c>
      <c r="M65" s="548">
        <f t="shared" si="5"/>
        <v>0</v>
      </c>
    </row>
    <row r="66" spans="1:15" s="329" customFormat="1" hidden="1" x14ac:dyDescent="0.25">
      <c r="A66" s="549" t="s">
        <v>1010</v>
      </c>
      <c r="B66" s="550">
        <v>1962126.18</v>
      </c>
      <c r="C66" s="551">
        <v>2.2000000000000002</v>
      </c>
      <c r="D66" s="552">
        <v>46971</v>
      </c>
      <c r="E66" s="552">
        <v>40123</v>
      </c>
      <c r="F66" s="543">
        <f t="shared" si="0"/>
        <v>43166.78</v>
      </c>
      <c r="G66" s="544">
        <f t="shared" si="1"/>
        <v>43.2</v>
      </c>
      <c r="H66" s="545">
        <v>1</v>
      </c>
      <c r="I66" s="544">
        <f t="shared" si="2"/>
        <v>43.2</v>
      </c>
      <c r="J66" s="546">
        <f t="shared" si="3"/>
        <v>0</v>
      </c>
      <c r="K66" s="547">
        <v>1</v>
      </c>
      <c r="L66" s="544">
        <f t="shared" si="4"/>
        <v>43.2</v>
      </c>
      <c r="M66" s="548">
        <f t="shared" si="5"/>
        <v>0</v>
      </c>
    </row>
    <row r="67" spans="1:15" s="329" customFormat="1" hidden="1" x14ac:dyDescent="0.25">
      <c r="A67" s="549" t="s">
        <v>1011</v>
      </c>
      <c r="B67" s="550">
        <v>3278383.68</v>
      </c>
      <c r="C67" s="551">
        <v>2.2000000000000002</v>
      </c>
      <c r="D67" s="552">
        <v>72989.929999999993</v>
      </c>
      <c r="E67" s="552">
        <v>71835.94</v>
      </c>
      <c r="F67" s="543">
        <f t="shared" si="0"/>
        <v>72124.44</v>
      </c>
      <c r="G67" s="544">
        <f t="shared" si="1"/>
        <v>72.2</v>
      </c>
      <c r="H67" s="545">
        <v>1</v>
      </c>
      <c r="I67" s="544">
        <f t="shared" si="2"/>
        <v>72.2</v>
      </c>
      <c r="J67" s="546">
        <f t="shared" si="3"/>
        <v>0</v>
      </c>
      <c r="K67" s="547">
        <v>1</v>
      </c>
      <c r="L67" s="544">
        <f t="shared" si="4"/>
        <v>72.2</v>
      </c>
      <c r="M67" s="548">
        <f t="shared" si="5"/>
        <v>0</v>
      </c>
    </row>
    <row r="68" spans="1:15" s="329" customFormat="1" hidden="1" x14ac:dyDescent="0.25">
      <c r="A68" s="549" t="s">
        <v>1012</v>
      </c>
      <c r="B68" s="550">
        <v>5048616.47</v>
      </c>
      <c r="C68" s="551">
        <v>2.2000000000000002</v>
      </c>
      <c r="D68" s="552">
        <v>114127</v>
      </c>
      <c r="E68" s="552">
        <v>110051</v>
      </c>
      <c r="F68" s="543">
        <f t="shared" si="0"/>
        <v>111069.56</v>
      </c>
      <c r="G68" s="544">
        <f t="shared" si="1"/>
        <v>111.1</v>
      </c>
      <c r="H68" s="545">
        <v>1</v>
      </c>
      <c r="I68" s="544">
        <f t="shared" si="2"/>
        <v>111.1</v>
      </c>
      <c r="J68" s="546">
        <f t="shared" si="3"/>
        <v>0</v>
      </c>
      <c r="K68" s="547">
        <v>1</v>
      </c>
      <c r="L68" s="544">
        <f t="shared" si="4"/>
        <v>111.1</v>
      </c>
      <c r="M68" s="548">
        <f t="shared" si="5"/>
        <v>0</v>
      </c>
    </row>
    <row r="69" spans="1:15" s="329" customFormat="1" hidden="1" x14ac:dyDescent="0.25">
      <c r="A69" s="549" t="s">
        <v>1013</v>
      </c>
      <c r="B69" s="550">
        <v>17891187.800000001</v>
      </c>
      <c r="C69" s="551">
        <v>2.2000000000000002</v>
      </c>
      <c r="D69" s="552">
        <v>489136.92</v>
      </c>
      <c r="E69" s="552">
        <v>384636</v>
      </c>
      <c r="F69" s="543">
        <f t="shared" si="0"/>
        <v>393606.13</v>
      </c>
      <c r="G69" s="544">
        <f t="shared" si="1"/>
        <v>393.7</v>
      </c>
      <c r="H69" s="545">
        <v>1</v>
      </c>
      <c r="I69" s="544">
        <f t="shared" si="2"/>
        <v>393.7</v>
      </c>
      <c r="J69" s="546">
        <f t="shared" si="3"/>
        <v>0</v>
      </c>
      <c r="K69" s="547">
        <v>1</v>
      </c>
      <c r="L69" s="544">
        <f t="shared" si="4"/>
        <v>393.7</v>
      </c>
      <c r="M69" s="548">
        <f t="shared" si="5"/>
        <v>0</v>
      </c>
    </row>
    <row r="70" spans="1:15" s="329" customFormat="1" ht="16.5" hidden="1" thickBot="1" x14ac:dyDescent="0.3">
      <c r="A70" s="559" t="s">
        <v>1014</v>
      </c>
      <c r="B70" s="560">
        <v>8625458.9000000004</v>
      </c>
      <c r="C70" s="561">
        <v>2.2000000000000002</v>
      </c>
      <c r="D70" s="562">
        <v>190529.03</v>
      </c>
      <c r="E70" s="562">
        <v>188059.71</v>
      </c>
      <c r="F70" s="543">
        <f t="shared" si="0"/>
        <v>189760.1</v>
      </c>
      <c r="G70" s="544">
        <f t="shared" si="1"/>
        <v>189.8</v>
      </c>
      <c r="H70" s="545">
        <v>0.98398561829999998</v>
      </c>
      <c r="I70" s="544">
        <f t="shared" si="2"/>
        <v>186.8</v>
      </c>
      <c r="J70" s="546">
        <f t="shared" si="3"/>
        <v>3</v>
      </c>
      <c r="K70" s="547">
        <v>1</v>
      </c>
      <c r="L70" s="544">
        <f t="shared" si="4"/>
        <v>186.8</v>
      </c>
      <c r="M70" s="548">
        <f t="shared" si="5"/>
        <v>0</v>
      </c>
    </row>
    <row r="71" spans="1:15" ht="16.5" hidden="1" thickBot="1" x14ac:dyDescent="0.3">
      <c r="A71" s="563" t="s">
        <v>920</v>
      </c>
      <c r="B71" s="564">
        <f>SUM(B14:B70)</f>
        <v>472727468.05000001</v>
      </c>
      <c r="C71" s="565">
        <v>2.2000000000000002</v>
      </c>
      <c r="D71" s="564">
        <f t="shared" ref="D71:M71" si="6">SUM(D14:D70)</f>
        <v>10806647.789999999</v>
      </c>
      <c r="E71" s="564">
        <f t="shared" si="6"/>
        <v>10348078.619999999</v>
      </c>
      <c r="F71" s="564">
        <f t="shared" si="6"/>
        <v>10400004.310000001</v>
      </c>
      <c r="G71" s="564">
        <f t="shared" si="6"/>
        <v>10402.5</v>
      </c>
      <c r="H71" s="566" t="s">
        <v>471</v>
      </c>
      <c r="I71" s="565">
        <f t="shared" si="6"/>
        <v>10397.299999999999</v>
      </c>
      <c r="J71" s="565">
        <f t="shared" si="6"/>
        <v>5.2</v>
      </c>
      <c r="K71" s="566" t="s">
        <v>471</v>
      </c>
      <c r="L71" s="565">
        <f t="shared" si="6"/>
        <v>10397.299999999999</v>
      </c>
      <c r="M71" s="567">
        <f t="shared" si="6"/>
        <v>0</v>
      </c>
    </row>
    <row r="72" spans="1:15" hidden="1" x14ac:dyDescent="0.25">
      <c r="A72" s="568" t="s">
        <v>619</v>
      </c>
      <c r="B72" s="569">
        <f>B71-B73</f>
        <v>472727468.05000001</v>
      </c>
      <c r="C72" s="570">
        <v>2.2000000000000002</v>
      </c>
      <c r="D72" s="569">
        <f t="shared" ref="D72:M72" si="7">D71-D73</f>
        <v>10806647.789999999</v>
      </c>
      <c r="E72" s="569">
        <f t="shared" si="7"/>
        <v>10348078.619999999</v>
      </c>
      <c r="F72" s="569">
        <f t="shared" si="7"/>
        <v>10400004.310000001</v>
      </c>
      <c r="G72" s="569">
        <f t="shared" si="7"/>
        <v>10402.5</v>
      </c>
      <c r="H72" s="571" t="s">
        <v>471</v>
      </c>
      <c r="I72" s="572">
        <f t="shared" si="7"/>
        <v>10397.299999999999</v>
      </c>
      <c r="J72" s="572">
        <f t="shared" si="7"/>
        <v>5.2</v>
      </c>
      <c r="K72" s="571" t="s">
        <v>471</v>
      </c>
      <c r="L72" s="572">
        <f t="shared" si="7"/>
        <v>10397.299999999999</v>
      </c>
      <c r="M72" s="573">
        <f t="shared" si="7"/>
        <v>0</v>
      </c>
    </row>
    <row r="73" spans="1:15" ht="17.25" hidden="1" customHeight="1" thickBot="1" x14ac:dyDescent="0.3">
      <c r="A73" s="574" t="s">
        <v>620</v>
      </c>
      <c r="B73" s="575">
        <f>B14+B17+B19+B20+B21+B50+B52</f>
        <v>0</v>
      </c>
      <c r="C73" s="576">
        <v>2.2000000000000002</v>
      </c>
      <c r="D73" s="575">
        <f t="shared" ref="D73:M73" si="8">D14+D17+D19+D20+D21+D50+D52</f>
        <v>0</v>
      </c>
      <c r="E73" s="575">
        <f t="shared" si="8"/>
        <v>0</v>
      </c>
      <c r="F73" s="575">
        <f t="shared" si="8"/>
        <v>0</v>
      </c>
      <c r="G73" s="575">
        <f t="shared" si="8"/>
        <v>0</v>
      </c>
      <c r="H73" s="577" t="s">
        <v>471</v>
      </c>
      <c r="I73" s="578">
        <f t="shared" si="8"/>
        <v>0</v>
      </c>
      <c r="J73" s="578">
        <f t="shared" si="8"/>
        <v>0</v>
      </c>
      <c r="K73" s="577" t="s">
        <v>471</v>
      </c>
      <c r="L73" s="578">
        <f t="shared" si="8"/>
        <v>0</v>
      </c>
      <c r="M73" s="579">
        <f t="shared" si="8"/>
        <v>0</v>
      </c>
    </row>
    <row r="74" spans="1:15" s="329" customFormat="1" ht="31.5" hidden="1" customHeight="1" x14ac:dyDescent="0.25">
      <c r="A74" s="580" t="s">
        <v>1015</v>
      </c>
      <c r="B74" s="581"/>
      <c r="C74" s="542">
        <v>2.2000000000000002</v>
      </c>
      <c r="D74" s="543"/>
      <c r="E74" s="543"/>
      <c r="F74" s="543">
        <f t="shared" ref="F74:F104" si="9">ROUND((B74*C74)/100,2)</f>
        <v>0</v>
      </c>
      <c r="G74" s="582">
        <f t="shared" ref="G74:G104" si="10">ROUNDUP(F74/1000,1)</f>
        <v>0</v>
      </c>
      <c r="H74" s="545">
        <v>0.97288573229999997</v>
      </c>
      <c r="I74" s="582">
        <f t="shared" ref="I74:I104" si="11">ROUNDUP(G74*H74,1)</f>
        <v>0</v>
      </c>
      <c r="J74" s="546">
        <f t="shared" ref="J74:J104" si="12">G74-I74</f>
        <v>0</v>
      </c>
      <c r="K74" s="547">
        <v>1</v>
      </c>
      <c r="L74" s="582">
        <f t="shared" ref="L74:L104" si="13">ROUNDUP(I74*K74,1)</f>
        <v>0</v>
      </c>
      <c r="M74" s="548">
        <f t="shared" ref="M74:M104" si="14">L74-I74</f>
        <v>0</v>
      </c>
    </row>
    <row r="75" spans="1:15" s="329" customFormat="1" ht="31.5" hidden="1" x14ac:dyDescent="0.25">
      <c r="A75" s="549" t="s">
        <v>1016</v>
      </c>
      <c r="B75" s="550">
        <v>5912961</v>
      </c>
      <c r="C75" s="551">
        <v>2.2000000000000002</v>
      </c>
      <c r="D75" s="552">
        <v>66555</v>
      </c>
      <c r="E75" s="552">
        <v>73769</v>
      </c>
      <c r="F75" s="543">
        <f t="shared" si="9"/>
        <v>130085.14</v>
      </c>
      <c r="G75" s="544">
        <f t="shared" si="10"/>
        <v>130.1</v>
      </c>
      <c r="H75" s="545">
        <v>0.99102482879999998</v>
      </c>
      <c r="I75" s="544">
        <f t="shared" si="11"/>
        <v>129</v>
      </c>
      <c r="J75" s="546">
        <f t="shared" si="12"/>
        <v>1.1000000000000001</v>
      </c>
      <c r="K75" s="547">
        <v>1</v>
      </c>
      <c r="L75" s="544">
        <f t="shared" si="13"/>
        <v>129</v>
      </c>
      <c r="M75" s="548">
        <f t="shared" si="14"/>
        <v>0</v>
      </c>
      <c r="N75" s="329">
        <f>B75*C75/100</f>
        <v>130085.14200000001</v>
      </c>
      <c r="O75" s="583">
        <f>F75-N75</f>
        <v>0</v>
      </c>
    </row>
    <row r="76" spans="1:15" s="329" customFormat="1" ht="31.5" hidden="1" x14ac:dyDescent="0.25">
      <c r="A76" s="549" t="s">
        <v>1017</v>
      </c>
      <c r="B76" s="550">
        <v>444341.79</v>
      </c>
      <c r="C76" s="551">
        <v>2.2000000000000002</v>
      </c>
      <c r="D76" s="552">
        <v>10082</v>
      </c>
      <c r="E76" s="552">
        <v>9697</v>
      </c>
      <c r="F76" s="543">
        <f t="shared" si="9"/>
        <v>9775.52</v>
      </c>
      <c r="G76" s="544">
        <f t="shared" si="10"/>
        <v>9.8000000000000007</v>
      </c>
      <c r="H76" s="545">
        <v>0.903958123</v>
      </c>
      <c r="I76" s="544">
        <f t="shared" si="11"/>
        <v>8.9</v>
      </c>
      <c r="J76" s="546">
        <f t="shared" si="12"/>
        <v>0.9</v>
      </c>
      <c r="K76" s="547">
        <v>1</v>
      </c>
      <c r="L76" s="544">
        <f t="shared" si="13"/>
        <v>8.9</v>
      </c>
      <c r="M76" s="548">
        <f t="shared" si="14"/>
        <v>0</v>
      </c>
      <c r="N76" s="329">
        <f t="shared" ref="N76:N104" si="15">B76*C76/100</f>
        <v>9775.5193799999997</v>
      </c>
      <c r="O76" s="583">
        <f t="shared" ref="O76:O105" si="16">F76-N76</f>
        <v>0</v>
      </c>
    </row>
    <row r="77" spans="1:15" s="329" customFormat="1" hidden="1" x14ac:dyDescent="0.25">
      <c r="A77" s="549" t="s">
        <v>1018</v>
      </c>
      <c r="B77" s="584">
        <v>2708490.46</v>
      </c>
      <c r="C77" s="551">
        <v>2.2000000000000002</v>
      </c>
      <c r="D77" s="552">
        <v>64523</v>
      </c>
      <c r="E77" s="552">
        <v>46981.43</v>
      </c>
      <c r="F77" s="543">
        <f t="shared" si="9"/>
        <v>59586.79</v>
      </c>
      <c r="G77" s="544">
        <f t="shared" si="10"/>
        <v>59.6</v>
      </c>
      <c r="H77" s="545">
        <v>0.98286433699999998</v>
      </c>
      <c r="I77" s="544">
        <f t="shared" si="11"/>
        <v>58.6</v>
      </c>
      <c r="J77" s="546">
        <f t="shared" si="12"/>
        <v>1</v>
      </c>
      <c r="K77" s="547">
        <v>1</v>
      </c>
      <c r="L77" s="544">
        <f t="shared" si="13"/>
        <v>58.6</v>
      </c>
      <c r="M77" s="548">
        <f t="shared" si="14"/>
        <v>0</v>
      </c>
      <c r="N77" s="329">
        <f t="shared" si="15"/>
        <v>59586.790119999998</v>
      </c>
      <c r="O77" s="583">
        <f t="shared" si="16"/>
        <v>0</v>
      </c>
    </row>
    <row r="78" spans="1:15" s="329" customFormat="1" hidden="1" x14ac:dyDescent="0.25">
      <c r="A78" s="549" t="s">
        <v>1019</v>
      </c>
      <c r="B78" s="584">
        <v>3401357</v>
      </c>
      <c r="C78" s="551">
        <v>2.2000000000000002</v>
      </c>
      <c r="D78" s="552">
        <v>76267</v>
      </c>
      <c r="E78" s="552">
        <v>74411</v>
      </c>
      <c r="F78" s="543">
        <f t="shared" si="9"/>
        <v>74829.850000000006</v>
      </c>
      <c r="G78" s="544">
        <f t="shared" si="10"/>
        <v>74.900000000000006</v>
      </c>
      <c r="H78" s="545">
        <v>0.98579538609999995</v>
      </c>
      <c r="I78" s="544">
        <f t="shared" si="11"/>
        <v>73.900000000000006</v>
      </c>
      <c r="J78" s="546">
        <f t="shared" si="12"/>
        <v>1</v>
      </c>
      <c r="K78" s="547">
        <v>1</v>
      </c>
      <c r="L78" s="544">
        <f t="shared" si="13"/>
        <v>73.900000000000006</v>
      </c>
      <c r="M78" s="548">
        <f t="shared" si="14"/>
        <v>0</v>
      </c>
      <c r="N78" s="329">
        <f t="shared" si="15"/>
        <v>74829.854000000007</v>
      </c>
      <c r="O78" s="583">
        <f t="shared" si="16"/>
        <v>0</v>
      </c>
    </row>
    <row r="79" spans="1:15" s="329" customFormat="1" hidden="1" x14ac:dyDescent="0.25">
      <c r="A79" s="549" t="s">
        <v>1020</v>
      </c>
      <c r="B79" s="584">
        <v>2091094.33</v>
      </c>
      <c r="C79" s="551">
        <v>2.2000000000000002</v>
      </c>
      <c r="D79" s="552">
        <v>48242</v>
      </c>
      <c r="E79" s="552">
        <v>45559</v>
      </c>
      <c r="F79" s="543">
        <f t="shared" si="9"/>
        <v>46004.08</v>
      </c>
      <c r="G79" s="544">
        <f t="shared" si="10"/>
        <v>46.1</v>
      </c>
      <c r="H79" s="545">
        <v>0.99274043440000004</v>
      </c>
      <c r="I79" s="544">
        <f t="shared" si="11"/>
        <v>45.8</v>
      </c>
      <c r="J79" s="546">
        <f t="shared" si="12"/>
        <v>0.3</v>
      </c>
      <c r="K79" s="547">
        <v>1</v>
      </c>
      <c r="L79" s="544">
        <f t="shared" si="13"/>
        <v>45.8</v>
      </c>
      <c r="M79" s="548">
        <f t="shared" si="14"/>
        <v>0</v>
      </c>
      <c r="N79" s="329">
        <f t="shared" si="15"/>
        <v>46004.075259999998</v>
      </c>
      <c r="O79" s="583">
        <f t="shared" si="16"/>
        <v>0</v>
      </c>
    </row>
    <row r="80" spans="1:15" s="329" customFormat="1" hidden="1" x14ac:dyDescent="0.25">
      <c r="A80" s="549" t="s">
        <v>1021</v>
      </c>
      <c r="B80" s="585">
        <v>1014696.2</v>
      </c>
      <c r="C80" s="551">
        <v>2.2000000000000002</v>
      </c>
      <c r="D80" s="552">
        <v>17626</v>
      </c>
      <c r="E80" s="552">
        <v>22909</v>
      </c>
      <c r="F80" s="543">
        <f t="shared" si="9"/>
        <v>22323.32</v>
      </c>
      <c r="G80" s="544">
        <f t="shared" si="10"/>
        <v>22.4</v>
      </c>
      <c r="H80" s="545">
        <v>0.95304577909999999</v>
      </c>
      <c r="I80" s="544">
        <f t="shared" si="11"/>
        <v>21.4</v>
      </c>
      <c r="J80" s="546">
        <f t="shared" si="12"/>
        <v>1</v>
      </c>
      <c r="K80" s="547">
        <v>1</v>
      </c>
      <c r="L80" s="544">
        <f t="shared" si="13"/>
        <v>21.4</v>
      </c>
      <c r="M80" s="548">
        <f t="shared" si="14"/>
        <v>0</v>
      </c>
      <c r="N80" s="329">
        <f t="shared" si="15"/>
        <v>22323.3164</v>
      </c>
      <c r="O80" s="583">
        <f t="shared" si="16"/>
        <v>0</v>
      </c>
    </row>
    <row r="81" spans="1:15" s="329" customFormat="1" ht="47.25" hidden="1" x14ac:dyDescent="0.25">
      <c r="A81" s="549" t="s">
        <v>1022</v>
      </c>
      <c r="B81" s="585"/>
      <c r="C81" s="551">
        <v>2.2000000000000002</v>
      </c>
      <c r="D81" s="552"/>
      <c r="E81" s="552"/>
      <c r="F81" s="543">
        <f t="shared" si="9"/>
        <v>0</v>
      </c>
      <c r="G81" s="544">
        <f t="shared" si="10"/>
        <v>0</v>
      </c>
      <c r="H81" s="545">
        <v>0.97049306550000003</v>
      </c>
      <c r="I81" s="544">
        <f t="shared" si="11"/>
        <v>0</v>
      </c>
      <c r="J81" s="546">
        <f t="shared" si="12"/>
        <v>0</v>
      </c>
      <c r="K81" s="547">
        <v>1</v>
      </c>
      <c r="L81" s="544">
        <f t="shared" si="13"/>
        <v>0</v>
      </c>
      <c r="M81" s="548">
        <f t="shared" si="14"/>
        <v>0</v>
      </c>
      <c r="N81" s="329">
        <f t="shared" si="15"/>
        <v>0</v>
      </c>
      <c r="O81" s="583">
        <f t="shared" si="16"/>
        <v>0</v>
      </c>
    </row>
    <row r="82" spans="1:15" s="329" customFormat="1" hidden="1" x14ac:dyDescent="0.25">
      <c r="A82" s="549" t="s">
        <v>1023</v>
      </c>
      <c r="B82" s="585"/>
      <c r="C82" s="551">
        <v>2.2000000000000002</v>
      </c>
      <c r="D82" s="552"/>
      <c r="E82" s="552"/>
      <c r="F82" s="543">
        <f t="shared" si="9"/>
        <v>0</v>
      </c>
      <c r="G82" s="544">
        <f t="shared" si="10"/>
        <v>0</v>
      </c>
      <c r="H82" s="545">
        <v>0.93681132160000002</v>
      </c>
      <c r="I82" s="544">
        <f t="shared" si="11"/>
        <v>0</v>
      </c>
      <c r="J82" s="546">
        <f t="shared" si="12"/>
        <v>0</v>
      </c>
      <c r="K82" s="547">
        <v>1</v>
      </c>
      <c r="L82" s="544">
        <f t="shared" si="13"/>
        <v>0</v>
      </c>
      <c r="M82" s="548">
        <f t="shared" si="14"/>
        <v>0</v>
      </c>
      <c r="N82" s="329">
        <f t="shared" si="15"/>
        <v>0</v>
      </c>
      <c r="O82" s="583">
        <f t="shared" si="16"/>
        <v>0</v>
      </c>
    </row>
    <row r="83" spans="1:15" s="329" customFormat="1" hidden="1" x14ac:dyDescent="0.25">
      <c r="A83" s="549" t="s">
        <v>1024</v>
      </c>
      <c r="B83" s="550"/>
      <c r="C83" s="551">
        <v>2.2000000000000002</v>
      </c>
      <c r="D83" s="552"/>
      <c r="E83" s="552"/>
      <c r="F83" s="543">
        <f t="shared" si="9"/>
        <v>0</v>
      </c>
      <c r="G83" s="544">
        <f t="shared" si="10"/>
        <v>0</v>
      </c>
      <c r="H83" s="545">
        <v>0.98817620930000005</v>
      </c>
      <c r="I83" s="544">
        <f t="shared" si="11"/>
        <v>0</v>
      </c>
      <c r="J83" s="546">
        <f t="shared" si="12"/>
        <v>0</v>
      </c>
      <c r="K83" s="547">
        <v>1</v>
      </c>
      <c r="L83" s="544">
        <f t="shared" si="13"/>
        <v>0</v>
      </c>
      <c r="M83" s="548">
        <f t="shared" si="14"/>
        <v>0</v>
      </c>
      <c r="N83" s="329">
        <f t="shared" si="15"/>
        <v>0</v>
      </c>
      <c r="O83" s="583">
        <f t="shared" si="16"/>
        <v>0</v>
      </c>
    </row>
    <row r="84" spans="1:15" s="329" customFormat="1" ht="31.5" hidden="1" x14ac:dyDescent="0.25">
      <c r="A84" s="549" t="s">
        <v>1025</v>
      </c>
      <c r="B84" s="550"/>
      <c r="C84" s="551">
        <v>2.2000000000000002</v>
      </c>
      <c r="D84" s="552"/>
      <c r="E84" s="552"/>
      <c r="F84" s="543">
        <f t="shared" si="9"/>
        <v>0</v>
      </c>
      <c r="G84" s="544">
        <f t="shared" si="10"/>
        <v>0</v>
      </c>
      <c r="H84" s="545">
        <v>0.98541321019999994</v>
      </c>
      <c r="I84" s="544">
        <f t="shared" si="11"/>
        <v>0</v>
      </c>
      <c r="J84" s="546">
        <f t="shared" si="12"/>
        <v>0</v>
      </c>
      <c r="K84" s="547">
        <v>1</v>
      </c>
      <c r="L84" s="544">
        <f t="shared" si="13"/>
        <v>0</v>
      </c>
      <c r="M84" s="548">
        <f t="shared" si="14"/>
        <v>0</v>
      </c>
      <c r="N84" s="329">
        <f t="shared" si="15"/>
        <v>0</v>
      </c>
      <c r="O84" s="583">
        <f t="shared" si="16"/>
        <v>0</v>
      </c>
    </row>
    <row r="85" spans="1:15" s="329" customFormat="1" hidden="1" x14ac:dyDescent="0.25">
      <c r="A85" s="549" t="s">
        <v>1026</v>
      </c>
      <c r="B85" s="550">
        <v>1773847</v>
      </c>
      <c r="C85" s="551">
        <v>2.2000000000000002</v>
      </c>
      <c r="D85" s="552">
        <v>40033</v>
      </c>
      <c r="E85" s="552">
        <v>38968</v>
      </c>
      <c r="F85" s="543">
        <f t="shared" si="9"/>
        <v>39024.629999999997</v>
      </c>
      <c r="G85" s="544">
        <f t="shared" si="10"/>
        <v>39.1</v>
      </c>
      <c r="H85" s="545">
        <v>1</v>
      </c>
      <c r="I85" s="544">
        <f t="shared" si="11"/>
        <v>39.1</v>
      </c>
      <c r="J85" s="546">
        <f t="shared" si="12"/>
        <v>0</v>
      </c>
      <c r="K85" s="547">
        <v>1</v>
      </c>
      <c r="L85" s="544">
        <f t="shared" si="13"/>
        <v>39.1</v>
      </c>
      <c r="M85" s="548">
        <f t="shared" si="14"/>
        <v>0</v>
      </c>
      <c r="N85" s="329">
        <f t="shared" si="15"/>
        <v>39024.633999999998</v>
      </c>
      <c r="O85" s="583">
        <f t="shared" si="16"/>
        <v>0</v>
      </c>
    </row>
    <row r="86" spans="1:15" s="329" customFormat="1" hidden="1" x14ac:dyDescent="0.25">
      <c r="A86" s="549" t="s">
        <v>1027</v>
      </c>
      <c r="B86" s="550">
        <v>778569.78</v>
      </c>
      <c r="C86" s="551">
        <v>2.2000000000000002</v>
      </c>
      <c r="D86" s="552">
        <v>19266.93</v>
      </c>
      <c r="E86" s="552">
        <v>15293.14</v>
      </c>
      <c r="F86" s="543">
        <f t="shared" si="9"/>
        <v>17128.54</v>
      </c>
      <c r="G86" s="544">
        <f t="shared" si="10"/>
        <v>17.2</v>
      </c>
      <c r="H86" s="545">
        <v>0.99254281079999995</v>
      </c>
      <c r="I86" s="544">
        <f t="shared" si="11"/>
        <v>17.100000000000001</v>
      </c>
      <c r="J86" s="546">
        <f t="shared" si="12"/>
        <v>0.1</v>
      </c>
      <c r="K86" s="547">
        <v>1</v>
      </c>
      <c r="L86" s="544">
        <f t="shared" si="13"/>
        <v>17.100000000000001</v>
      </c>
      <c r="M86" s="548">
        <f t="shared" si="14"/>
        <v>0</v>
      </c>
      <c r="N86" s="329">
        <f t="shared" si="15"/>
        <v>17128.535159999999</v>
      </c>
      <c r="O86" s="583">
        <f t="shared" si="16"/>
        <v>0</v>
      </c>
    </row>
    <row r="87" spans="1:15" s="329" customFormat="1" hidden="1" x14ac:dyDescent="0.25">
      <c r="A87" s="549" t="s">
        <v>1028</v>
      </c>
      <c r="B87" s="550"/>
      <c r="C87" s="551">
        <v>2.2000000000000002</v>
      </c>
      <c r="D87" s="552"/>
      <c r="E87" s="552"/>
      <c r="F87" s="543">
        <f t="shared" si="9"/>
        <v>0</v>
      </c>
      <c r="G87" s="544">
        <f t="shared" si="10"/>
        <v>0</v>
      </c>
      <c r="H87" s="545">
        <v>0.98821361500000005</v>
      </c>
      <c r="I87" s="544">
        <f t="shared" si="11"/>
        <v>0</v>
      </c>
      <c r="J87" s="546">
        <f t="shared" si="12"/>
        <v>0</v>
      </c>
      <c r="K87" s="547">
        <v>1</v>
      </c>
      <c r="L87" s="544">
        <f t="shared" si="13"/>
        <v>0</v>
      </c>
      <c r="M87" s="548">
        <f t="shared" si="14"/>
        <v>0</v>
      </c>
      <c r="N87" s="329">
        <f t="shared" si="15"/>
        <v>0</v>
      </c>
      <c r="O87" s="583">
        <f t="shared" si="16"/>
        <v>0</v>
      </c>
    </row>
    <row r="88" spans="1:15" s="329" customFormat="1" hidden="1" x14ac:dyDescent="0.25">
      <c r="A88" s="549" t="s">
        <v>1029</v>
      </c>
      <c r="B88" s="550"/>
      <c r="C88" s="551">
        <v>2.2000000000000002</v>
      </c>
      <c r="D88" s="552">
        <v>0</v>
      </c>
      <c r="E88" s="552">
        <v>0</v>
      </c>
      <c r="F88" s="543">
        <f t="shared" si="9"/>
        <v>0</v>
      </c>
      <c r="G88" s="544">
        <f t="shared" si="10"/>
        <v>0</v>
      </c>
      <c r="H88" s="545">
        <v>0.97021219569999995</v>
      </c>
      <c r="I88" s="544">
        <f t="shared" si="11"/>
        <v>0</v>
      </c>
      <c r="J88" s="546">
        <f t="shared" si="12"/>
        <v>0</v>
      </c>
      <c r="K88" s="547">
        <v>1</v>
      </c>
      <c r="L88" s="544">
        <f t="shared" si="13"/>
        <v>0</v>
      </c>
      <c r="M88" s="548">
        <f t="shared" si="14"/>
        <v>0</v>
      </c>
      <c r="N88" s="329">
        <f t="shared" si="15"/>
        <v>0</v>
      </c>
      <c r="O88" s="583">
        <f t="shared" si="16"/>
        <v>0</v>
      </c>
    </row>
    <row r="89" spans="1:15" s="329" customFormat="1" hidden="1" x14ac:dyDescent="0.25">
      <c r="A89" s="549" t="s">
        <v>1030</v>
      </c>
      <c r="B89" s="550">
        <v>179592.8</v>
      </c>
      <c r="C89" s="551">
        <v>2.2000000000000002</v>
      </c>
      <c r="D89" s="552">
        <v>6610</v>
      </c>
      <c r="E89" s="552">
        <v>3168</v>
      </c>
      <c r="F89" s="543">
        <f t="shared" si="9"/>
        <v>3951.04</v>
      </c>
      <c r="G89" s="544">
        <f t="shared" si="10"/>
        <v>4</v>
      </c>
      <c r="H89" s="545">
        <v>0.92943408930000004</v>
      </c>
      <c r="I89" s="544">
        <f t="shared" si="11"/>
        <v>3.8</v>
      </c>
      <c r="J89" s="546">
        <f t="shared" si="12"/>
        <v>0.2</v>
      </c>
      <c r="K89" s="547">
        <v>1</v>
      </c>
      <c r="L89" s="544">
        <f t="shared" si="13"/>
        <v>3.8</v>
      </c>
      <c r="M89" s="548">
        <f t="shared" si="14"/>
        <v>0</v>
      </c>
      <c r="N89" s="329">
        <f t="shared" si="15"/>
        <v>3951.0416</v>
      </c>
      <c r="O89" s="583">
        <f t="shared" si="16"/>
        <v>0</v>
      </c>
    </row>
    <row r="90" spans="1:15" s="329" customFormat="1" hidden="1" x14ac:dyDescent="0.25">
      <c r="A90" s="549" t="s">
        <v>1031</v>
      </c>
      <c r="B90" s="550"/>
      <c r="C90" s="551">
        <v>2.2000000000000002</v>
      </c>
      <c r="D90" s="552"/>
      <c r="E90" s="552"/>
      <c r="F90" s="543">
        <f t="shared" si="9"/>
        <v>0</v>
      </c>
      <c r="G90" s="544">
        <f t="shared" si="10"/>
        <v>0</v>
      </c>
      <c r="H90" s="545">
        <v>0.98954054650000001</v>
      </c>
      <c r="I90" s="544">
        <f t="shared" si="11"/>
        <v>0</v>
      </c>
      <c r="J90" s="546">
        <f t="shared" si="12"/>
        <v>0</v>
      </c>
      <c r="K90" s="547">
        <v>1</v>
      </c>
      <c r="L90" s="544">
        <f t="shared" si="13"/>
        <v>0</v>
      </c>
      <c r="M90" s="548">
        <f t="shared" si="14"/>
        <v>0</v>
      </c>
      <c r="N90" s="329">
        <f t="shared" si="15"/>
        <v>0</v>
      </c>
      <c r="O90" s="583">
        <f t="shared" si="16"/>
        <v>0</v>
      </c>
    </row>
    <row r="91" spans="1:15" s="329" customFormat="1" hidden="1" x14ac:dyDescent="0.25">
      <c r="A91" s="549" t="s">
        <v>1032</v>
      </c>
      <c r="B91" s="550"/>
      <c r="C91" s="551">
        <v>2.2000000000000002</v>
      </c>
      <c r="D91" s="552"/>
      <c r="E91" s="552"/>
      <c r="F91" s="543">
        <f t="shared" si="9"/>
        <v>0</v>
      </c>
      <c r="G91" s="544">
        <f t="shared" si="10"/>
        <v>0</v>
      </c>
      <c r="H91" s="545">
        <v>0.99335630109999995</v>
      </c>
      <c r="I91" s="544">
        <f t="shared" si="11"/>
        <v>0</v>
      </c>
      <c r="J91" s="546">
        <f t="shared" si="12"/>
        <v>0</v>
      </c>
      <c r="K91" s="547">
        <v>1</v>
      </c>
      <c r="L91" s="544">
        <f t="shared" si="13"/>
        <v>0</v>
      </c>
      <c r="M91" s="548">
        <f t="shared" si="14"/>
        <v>0</v>
      </c>
      <c r="N91" s="329">
        <f t="shared" si="15"/>
        <v>0</v>
      </c>
      <c r="O91" s="583">
        <f t="shared" si="16"/>
        <v>0</v>
      </c>
    </row>
    <row r="92" spans="1:15" s="329" customFormat="1" hidden="1" x14ac:dyDescent="0.25">
      <c r="A92" s="549" t="s">
        <v>1033</v>
      </c>
      <c r="B92" s="550">
        <v>1686571.51</v>
      </c>
      <c r="C92" s="551">
        <v>2.2000000000000002</v>
      </c>
      <c r="D92" s="552">
        <v>35688</v>
      </c>
      <c r="E92" s="552">
        <v>26340</v>
      </c>
      <c r="F92" s="543">
        <f t="shared" si="9"/>
        <v>37104.57</v>
      </c>
      <c r="G92" s="544">
        <f t="shared" si="10"/>
        <v>37.200000000000003</v>
      </c>
      <c r="H92" s="545">
        <v>0.98430103670000002</v>
      </c>
      <c r="I92" s="544">
        <f t="shared" si="11"/>
        <v>36.700000000000003</v>
      </c>
      <c r="J92" s="546">
        <f t="shared" si="12"/>
        <v>0.5</v>
      </c>
      <c r="K92" s="547">
        <v>1</v>
      </c>
      <c r="L92" s="544">
        <f t="shared" si="13"/>
        <v>36.700000000000003</v>
      </c>
      <c r="M92" s="548">
        <f t="shared" si="14"/>
        <v>0</v>
      </c>
      <c r="N92" s="329">
        <f t="shared" si="15"/>
        <v>37104.573219999998</v>
      </c>
      <c r="O92" s="583">
        <f t="shared" si="16"/>
        <v>0</v>
      </c>
    </row>
    <row r="93" spans="1:15" s="329" customFormat="1" hidden="1" x14ac:dyDescent="0.25">
      <c r="A93" s="549" t="s">
        <v>1034</v>
      </c>
      <c r="B93" s="550"/>
      <c r="C93" s="551">
        <v>2.2000000000000002</v>
      </c>
      <c r="D93" s="552"/>
      <c r="E93" s="552"/>
      <c r="F93" s="543">
        <f t="shared" si="9"/>
        <v>0</v>
      </c>
      <c r="G93" s="544">
        <f t="shared" si="10"/>
        <v>0</v>
      </c>
      <c r="H93" s="545">
        <v>0.9791570503</v>
      </c>
      <c r="I93" s="544">
        <f t="shared" si="11"/>
        <v>0</v>
      </c>
      <c r="J93" s="546">
        <f t="shared" si="12"/>
        <v>0</v>
      </c>
      <c r="K93" s="547">
        <v>1</v>
      </c>
      <c r="L93" s="544">
        <f t="shared" si="13"/>
        <v>0</v>
      </c>
      <c r="M93" s="548">
        <f t="shared" si="14"/>
        <v>0</v>
      </c>
      <c r="N93" s="329">
        <f t="shared" si="15"/>
        <v>0</v>
      </c>
      <c r="O93" s="583">
        <f t="shared" si="16"/>
        <v>0</v>
      </c>
    </row>
    <row r="94" spans="1:15" s="329" customFormat="1" hidden="1" x14ac:dyDescent="0.25">
      <c r="A94" s="549" t="s">
        <v>1035</v>
      </c>
      <c r="B94" s="550">
        <v>9180556.0399999991</v>
      </c>
      <c r="C94" s="551">
        <v>2.2000000000000002</v>
      </c>
      <c r="D94" s="552">
        <v>190863</v>
      </c>
      <c r="E94" s="552">
        <v>140685</v>
      </c>
      <c r="F94" s="543">
        <f t="shared" si="9"/>
        <v>201972.23</v>
      </c>
      <c r="G94" s="544">
        <f t="shared" si="10"/>
        <v>202</v>
      </c>
      <c r="H94" s="545">
        <v>0.97788759410000003</v>
      </c>
      <c r="I94" s="544">
        <f t="shared" si="11"/>
        <v>197.6</v>
      </c>
      <c r="J94" s="546">
        <f t="shared" si="12"/>
        <v>4.4000000000000004</v>
      </c>
      <c r="K94" s="547">
        <v>1</v>
      </c>
      <c r="L94" s="544">
        <f t="shared" si="13"/>
        <v>197.6</v>
      </c>
      <c r="M94" s="548">
        <f t="shared" si="14"/>
        <v>0</v>
      </c>
      <c r="N94" s="329">
        <f t="shared" si="15"/>
        <v>201972.23288</v>
      </c>
      <c r="O94" s="583">
        <f t="shared" si="16"/>
        <v>0</v>
      </c>
    </row>
    <row r="95" spans="1:15" s="329" customFormat="1" hidden="1" x14ac:dyDescent="0.25">
      <c r="A95" s="549" t="s">
        <v>1036</v>
      </c>
      <c r="B95" s="550">
        <v>13354648</v>
      </c>
      <c r="C95" s="551">
        <v>2.2000000000000002</v>
      </c>
      <c r="D95" s="552">
        <v>292497</v>
      </c>
      <c r="E95" s="552">
        <v>271379</v>
      </c>
      <c r="F95" s="543">
        <f t="shared" si="9"/>
        <v>293802.26</v>
      </c>
      <c r="G95" s="544">
        <f t="shared" si="10"/>
        <v>293.89999999999998</v>
      </c>
      <c r="H95" s="545">
        <v>0.9937417019</v>
      </c>
      <c r="I95" s="544">
        <f t="shared" si="11"/>
        <v>292.10000000000002</v>
      </c>
      <c r="J95" s="546">
        <f t="shared" si="12"/>
        <v>1.8</v>
      </c>
      <c r="K95" s="547">
        <v>1</v>
      </c>
      <c r="L95" s="544">
        <f t="shared" si="13"/>
        <v>292.10000000000002</v>
      </c>
      <c r="M95" s="548">
        <f t="shared" si="14"/>
        <v>0</v>
      </c>
      <c r="N95" s="329">
        <f t="shared" si="15"/>
        <v>293802.25599999999</v>
      </c>
      <c r="O95" s="583">
        <f t="shared" si="16"/>
        <v>0</v>
      </c>
    </row>
    <row r="96" spans="1:15" s="329" customFormat="1" hidden="1" x14ac:dyDescent="0.25">
      <c r="A96" s="549" t="s">
        <v>1037</v>
      </c>
      <c r="B96" s="550"/>
      <c r="C96" s="551">
        <v>2.2000000000000002</v>
      </c>
      <c r="D96" s="552"/>
      <c r="E96" s="552"/>
      <c r="F96" s="543">
        <f t="shared" si="9"/>
        <v>0</v>
      </c>
      <c r="G96" s="544">
        <f t="shared" si="10"/>
        <v>0</v>
      </c>
      <c r="H96" s="545">
        <v>0.98438238889999996</v>
      </c>
      <c r="I96" s="544">
        <f t="shared" si="11"/>
        <v>0</v>
      </c>
      <c r="J96" s="546">
        <f t="shared" si="12"/>
        <v>0</v>
      </c>
      <c r="K96" s="547">
        <v>1</v>
      </c>
      <c r="L96" s="544">
        <f t="shared" si="13"/>
        <v>0</v>
      </c>
      <c r="M96" s="548">
        <f t="shared" si="14"/>
        <v>0</v>
      </c>
      <c r="N96" s="329">
        <f t="shared" si="15"/>
        <v>0</v>
      </c>
      <c r="O96" s="583">
        <f t="shared" si="16"/>
        <v>0</v>
      </c>
    </row>
    <row r="97" spans="1:15" s="329" customFormat="1" hidden="1" x14ac:dyDescent="0.25">
      <c r="A97" s="549" t="s">
        <v>1038</v>
      </c>
      <c r="B97" s="550">
        <v>1494059.25</v>
      </c>
      <c r="C97" s="551">
        <v>2.2000000000000002</v>
      </c>
      <c r="D97" s="552">
        <v>33754</v>
      </c>
      <c r="E97" s="552">
        <v>5680</v>
      </c>
      <c r="F97" s="543">
        <f t="shared" si="9"/>
        <v>32869.300000000003</v>
      </c>
      <c r="G97" s="544">
        <f t="shared" si="10"/>
        <v>32.9</v>
      </c>
      <c r="H97" s="545">
        <v>0.983714545</v>
      </c>
      <c r="I97" s="544">
        <f t="shared" si="11"/>
        <v>32.4</v>
      </c>
      <c r="J97" s="546">
        <f t="shared" si="12"/>
        <v>0.5</v>
      </c>
      <c r="K97" s="547">
        <v>1</v>
      </c>
      <c r="L97" s="544">
        <f t="shared" si="13"/>
        <v>32.4</v>
      </c>
      <c r="M97" s="548">
        <f t="shared" si="14"/>
        <v>0</v>
      </c>
      <c r="N97" s="329">
        <f t="shared" si="15"/>
        <v>32869.303500000002</v>
      </c>
      <c r="O97" s="583">
        <f t="shared" si="16"/>
        <v>0</v>
      </c>
    </row>
    <row r="98" spans="1:15" s="329" customFormat="1" hidden="1" x14ac:dyDescent="0.25">
      <c r="A98" s="549" t="s">
        <v>1039</v>
      </c>
      <c r="B98" s="550">
        <v>5909962.0099999998</v>
      </c>
      <c r="C98" s="551">
        <v>2.2000000000000002</v>
      </c>
      <c r="D98" s="552">
        <v>131358</v>
      </c>
      <c r="E98" s="552">
        <v>129640</v>
      </c>
      <c r="F98" s="543">
        <f t="shared" si="9"/>
        <v>130019.16</v>
      </c>
      <c r="G98" s="544">
        <f t="shared" si="10"/>
        <v>130.1</v>
      </c>
      <c r="H98" s="545">
        <v>0.9860758127</v>
      </c>
      <c r="I98" s="544">
        <f t="shared" si="11"/>
        <v>128.30000000000001</v>
      </c>
      <c r="J98" s="546">
        <f t="shared" si="12"/>
        <v>1.8</v>
      </c>
      <c r="K98" s="547">
        <v>1</v>
      </c>
      <c r="L98" s="544">
        <f t="shared" si="13"/>
        <v>128.30000000000001</v>
      </c>
      <c r="M98" s="548">
        <f t="shared" si="14"/>
        <v>0</v>
      </c>
      <c r="N98" s="329">
        <f t="shared" si="15"/>
        <v>130019.16422000001</v>
      </c>
      <c r="O98" s="583">
        <f t="shared" si="16"/>
        <v>0</v>
      </c>
    </row>
    <row r="99" spans="1:15" s="329" customFormat="1" hidden="1" x14ac:dyDescent="0.25">
      <c r="A99" s="549" t="s">
        <v>1040</v>
      </c>
      <c r="B99" s="586">
        <v>1280245.54</v>
      </c>
      <c r="C99" s="551">
        <v>2.2000000000000002</v>
      </c>
      <c r="D99" s="552">
        <v>7861</v>
      </c>
      <c r="E99" s="552">
        <v>27027</v>
      </c>
      <c r="F99" s="543">
        <f t="shared" si="9"/>
        <v>28165.4</v>
      </c>
      <c r="G99" s="544">
        <f t="shared" si="10"/>
        <v>28.2</v>
      </c>
      <c r="H99" s="545">
        <v>0.95482822150000002</v>
      </c>
      <c r="I99" s="544">
        <f t="shared" si="11"/>
        <v>27</v>
      </c>
      <c r="J99" s="546">
        <f t="shared" si="12"/>
        <v>1.2</v>
      </c>
      <c r="K99" s="547">
        <v>1</v>
      </c>
      <c r="L99" s="544">
        <f t="shared" si="13"/>
        <v>27</v>
      </c>
      <c r="M99" s="548">
        <f t="shared" si="14"/>
        <v>0</v>
      </c>
      <c r="N99" s="329">
        <f t="shared" si="15"/>
        <v>28165.401880000001</v>
      </c>
      <c r="O99" s="583">
        <f t="shared" si="16"/>
        <v>0</v>
      </c>
    </row>
    <row r="100" spans="1:15" s="329" customFormat="1" hidden="1" x14ac:dyDescent="0.25">
      <c r="A100" s="549" t="s">
        <v>1041</v>
      </c>
      <c r="B100" s="586">
        <v>16704470</v>
      </c>
      <c r="C100" s="551">
        <v>2.2000000000000002</v>
      </c>
      <c r="D100" s="552">
        <v>372342</v>
      </c>
      <c r="E100" s="552">
        <v>348962</v>
      </c>
      <c r="F100" s="543">
        <f t="shared" si="9"/>
        <v>367498.34</v>
      </c>
      <c r="G100" s="544">
        <f t="shared" si="10"/>
        <v>367.5</v>
      </c>
      <c r="H100" s="545">
        <v>0.97412982810000004</v>
      </c>
      <c r="I100" s="544">
        <f t="shared" si="11"/>
        <v>358</v>
      </c>
      <c r="J100" s="546">
        <f t="shared" si="12"/>
        <v>9.5</v>
      </c>
      <c r="K100" s="547">
        <v>1</v>
      </c>
      <c r="L100" s="544">
        <f t="shared" si="13"/>
        <v>358</v>
      </c>
      <c r="M100" s="548">
        <f t="shared" si="14"/>
        <v>0</v>
      </c>
      <c r="N100" s="329">
        <f t="shared" si="15"/>
        <v>367498.34</v>
      </c>
      <c r="O100" s="583">
        <f t="shared" si="16"/>
        <v>0</v>
      </c>
    </row>
    <row r="101" spans="1:15" s="329" customFormat="1" hidden="1" x14ac:dyDescent="0.25">
      <c r="A101" s="549" t="s">
        <v>1042</v>
      </c>
      <c r="B101" s="586">
        <v>34280301.329999998</v>
      </c>
      <c r="C101" s="551">
        <v>2.2000000000000002</v>
      </c>
      <c r="D101" s="552">
        <v>755304</v>
      </c>
      <c r="E101" s="552">
        <v>740848</v>
      </c>
      <c r="F101" s="543">
        <f t="shared" si="9"/>
        <v>754166.63</v>
      </c>
      <c r="G101" s="544">
        <f t="shared" si="10"/>
        <v>754.2</v>
      </c>
      <c r="H101" s="545">
        <v>0.98656964179999995</v>
      </c>
      <c r="I101" s="544">
        <f t="shared" si="11"/>
        <v>744.1</v>
      </c>
      <c r="J101" s="546">
        <f t="shared" si="12"/>
        <v>10.1</v>
      </c>
      <c r="K101" s="547">
        <v>1</v>
      </c>
      <c r="L101" s="544">
        <f t="shared" si="13"/>
        <v>744.1</v>
      </c>
      <c r="M101" s="548">
        <f t="shared" si="14"/>
        <v>0</v>
      </c>
      <c r="N101" s="329">
        <f t="shared" si="15"/>
        <v>754166.62925999996</v>
      </c>
      <c r="O101" s="583">
        <f t="shared" si="16"/>
        <v>0</v>
      </c>
    </row>
    <row r="102" spans="1:15" s="329" customFormat="1" hidden="1" x14ac:dyDescent="0.25">
      <c r="A102" s="549" t="s">
        <v>1043</v>
      </c>
      <c r="B102" s="586">
        <v>47653513</v>
      </c>
      <c r="C102" s="551">
        <v>2.2000000000000002</v>
      </c>
      <c r="D102" s="552">
        <v>1043051</v>
      </c>
      <c r="E102" s="552">
        <v>931020</v>
      </c>
      <c r="F102" s="543">
        <f t="shared" si="9"/>
        <v>1048377.29</v>
      </c>
      <c r="G102" s="544">
        <f t="shared" si="10"/>
        <v>1048.4000000000001</v>
      </c>
      <c r="H102" s="545">
        <v>0.87899139910000001</v>
      </c>
      <c r="I102" s="544">
        <f t="shared" si="11"/>
        <v>921.6</v>
      </c>
      <c r="J102" s="546">
        <f t="shared" si="12"/>
        <v>126.8</v>
      </c>
      <c r="K102" s="547">
        <v>1</v>
      </c>
      <c r="L102" s="544">
        <f t="shared" si="13"/>
        <v>921.6</v>
      </c>
      <c r="M102" s="548">
        <f t="shared" si="14"/>
        <v>0</v>
      </c>
      <c r="N102" s="329">
        <f t="shared" si="15"/>
        <v>1048377.286</v>
      </c>
      <c r="O102" s="583">
        <f t="shared" si="16"/>
        <v>0</v>
      </c>
    </row>
    <row r="103" spans="1:15" s="329" customFormat="1" hidden="1" x14ac:dyDescent="0.25">
      <c r="A103" s="549" t="s">
        <v>1044</v>
      </c>
      <c r="B103" s="586">
        <v>99669550.75</v>
      </c>
      <c r="C103" s="551">
        <v>2.2000000000000002</v>
      </c>
      <c r="D103" s="552">
        <v>2177955</v>
      </c>
      <c r="E103" s="552">
        <v>2148362</v>
      </c>
      <c r="F103" s="543">
        <f t="shared" si="9"/>
        <v>2192730.12</v>
      </c>
      <c r="G103" s="544">
        <f t="shared" si="10"/>
        <v>2192.8000000000002</v>
      </c>
      <c r="H103" s="545">
        <v>0.96682615949999995</v>
      </c>
      <c r="I103" s="544">
        <f t="shared" si="11"/>
        <v>2120.1</v>
      </c>
      <c r="J103" s="546">
        <f t="shared" si="12"/>
        <v>72.7</v>
      </c>
      <c r="K103" s="547">
        <v>1</v>
      </c>
      <c r="L103" s="544">
        <f t="shared" si="13"/>
        <v>2120.1</v>
      </c>
      <c r="M103" s="548">
        <f t="shared" si="14"/>
        <v>0</v>
      </c>
      <c r="N103" s="329">
        <f t="shared" si="15"/>
        <v>2192730.1165</v>
      </c>
      <c r="O103" s="583">
        <f t="shared" si="16"/>
        <v>0</v>
      </c>
    </row>
    <row r="104" spans="1:15" s="329" customFormat="1" ht="16.5" hidden="1" thickBot="1" x14ac:dyDescent="0.3">
      <c r="A104" s="587" t="s">
        <v>1045</v>
      </c>
      <c r="B104" s="560">
        <v>1081992242.98</v>
      </c>
      <c r="C104" s="561">
        <v>2.2000000000000002</v>
      </c>
      <c r="D104" s="562">
        <v>12029046</v>
      </c>
      <c r="E104" s="562">
        <v>23876475.34</v>
      </c>
      <c r="F104" s="543">
        <f t="shared" si="9"/>
        <v>23803829.350000001</v>
      </c>
      <c r="G104" s="544">
        <f t="shared" si="10"/>
        <v>23803.9</v>
      </c>
      <c r="H104" s="545">
        <v>1</v>
      </c>
      <c r="I104" s="544">
        <f t="shared" si="11"/>
        <v>23803.9</v>
      </c>
      <c r="J104" s="546">
        <f t="shared" si="12"/>
        <v>0</v>
      </c>
      <c r="K104" s="547">
        <v>1</v>
      </c>
      <c r="L104" s="544">
        <f t="shared" si="13"/>
        <v>23803.9</v>
      </c>
      <c r="M104" s="548">
        <f t="shared" si="14"/>
        <v>0</v>
      </c>
      <c r="N104" s="329">
        <f t="shared" si="15"/>
        <v>23803829.345559999</v>
      </c>
      <c r="O104" s="583">
        <f t="shared" si="16"/>
        <v>0</v>
      </c>
    </row>
    <row r="105" spans="1:15" ht="16.5" hidden="1" thickBot="1" x14ac:dyDescent="0.3">
      <c r="A105" s="588" t="s">
        <v>1046</v>
      </c>
      <c r="B105" s="564">
        <f>SUM(B74:B104)</f>
        <v>1331511070.77</v>
      </c>
      <c r="C105" s="565">
        <v>2.2000000000000002</v>
      </c>
      <c r="D105" s="564">
        <f>SUM(D74:D104)</f>
        <v>17418923.93</v>
      </c>
      <c r="E105" s="564">
        <f>SUM(E74:E104)</f>
        <v>28977173.91</v>
      </c>
      <c r="F105" s="564">
        <f>SUM(F74:F104)</f>
        <v>29293243.559999999</v>
      </c>
      <c r="G105" s="564">
        <f>SUM(G74:G104)</f>
        <v>29294.3</v>
      </c>
      <c r="H105" s="566" t="s">
        <v>471</v>
      </c>
      <c r="I105" s="564">
        <f>SUM(I74:I104)</f>
        <v>29059.4</v>
      </c>
      <c r="J105" s="564">
        <f>SUM(J74:J104)</f>
        <v>234.9</v>
      </c>
      <c r="K105" s="566" t="s">
        <v>471</v>
      </c>
      <c r="L105" s="564">
        <f>SUM(L74:L104)</f>
        <v>29059.4</v>
      </c>
      <c r="M105" s="564">
        <f>SUM(M74:M104)</f>
        <v>0</v>
      </c>
      <c r="N105" s="265">
        <f>SUM(N75:N104)</f>
        <v>29293243.556940001</v>
      </c>
      <c r="O105" s="265">
        <f t="shared" si="16"/>
        <v>3.0599981546401999E-3</v>
      </c>
    </row>
    <row r="106" spans="1:15" hidden="1" x14ac:dyDescent="0.25">
      <c r="A106" s="589" t="s">
        <v>694</v>
      </c>
      <c r="B106" s="569">
        <f>B105-B107</f>
        <v>192240416.96000001</v>
      </c>
      <c r="C106" s="570">
        <v>2.2000000000000002</v>
      </c>
      <c r="D106" s="569">
        <f>D105-D107</f>
        <v>4145881.93</v>
      </c>
      <c r="E106" s="569">
        <f>E105-E107</f>
        <v>4019296.57</v>
      </c>
      <c r="F106" s="569">
        <f>F105-F107</f>
        <v>4229289.17</v>
      </c>
      <c r="G106" s="569">
        <f>G105-G107</f>
        <v>4230.2</v>
      </c>
      <c r="H106" s="571" t="s">
        <v>471</v>
      </c>
      <c r="I106" s="569">
        <f>I105-I107</f>
        <v>4127.3999999999996</v>
      </c>
      <c r="J106" s="569">
        <f>J105-J107</f>
        <v>102.8</v>
      </c>
      <c r="K106" s="571" t="s">
        <v>471</v>
      </c>
      <c r="L106" s="569">
        <f>L105-L107</f>
        <v>4127.3999999999996</v>
      </c>
      <c r="M106" s="569">
        <f>M105-M107</f>
        <v>0</v>
      </c>
    </row>
    <row r="107" spans="1:15" ht="17.25" hidden="1" customHeight="1" thickBot="1" x14ac:dyDescent="0.3">
      <c r="A107" s="590" t="s">
        <v>695</v>
      </c>
      <c r="B107" s="575">
        <f>B74+B76+B82+B83+B84+B88+B91+B93+B94+B102+B104</f>
        <v>1139270653.8099999</v>
      </c>
      <c r="C107" s="576">
        <v>2.2000000000000002</v>
      </c>
      <c r="D107" s="575">
        <f>D74+D76+D82+D83+D84+D88+D91+D93+D94+D102+D104</f>
        <v>13273042</v>
      </c>
      <c r="E107" s="575">
        <f>E74+E76+E82+E83+E84+E88+E91+E93+E94+E102+E104</f>
        <v>24957877.34</v>
      </c>
      <c r="F107" s="575">
        <f>F74+F76+F82+F83+F84+F88+F91+F93+F94+F102+F104</f>
        <v>25063954.390000001</v>
      </c>
      <c r="G107" s="575">
        <f>G74+G76+G82+G83+G84+G88+G91+G93+G94+G102+G104</f>
        <v>25064.1</v>
      </c>
      <c r="H107" s="577" t="s">
        <v>471</v>
      </c>
      <c r="I107" s="575">
        <f>I74+I76+I82+I83+I84+I88+I91+I93+I94+I102+I104</f>
        <v>24932</v>
      </c>
      <c r="J107" s="575">
        <f>J74+J76+J82+J83+J84+J88+J91+J93+J94+J102+J104</f>
        <v>132.1</v>
      </c>
      <c r="K107" s="577" t="s">
        <v>471</v>
      </c>
      <c r="L107" s="575">
        <f>L74+L76+L82+L83+L84+L88+L91+L93+L94+L102+L104</f>
        <v>24932</v>
      </c>
      <c r="M107" s="575">
        <f>M74+M76+M82+M83+M84+M88+M91+M93+M94+M102+M104</f>
        <v>0</v>
      </c>
    </row>
    <row r="108" spans="1:15" s="329" customFormat="1" x14ac:dyDescent="0.25">
      <c r="A108" s="591" t="s">
        <v>359</v>
      </c>
      <c r="B108" s="550">
        <v>16174356.869999999</v>
      </c>
      <c r="C108" s="551">
        <v>2.2000000000000002</v>
      </c>
      <c r="D108" s="552">
        <v>399298</v>
      </c>
      <c r="E108" s="552">
        <v>97000</v>
      </c>
      <c r="F108" s="543">
        <f>ROUND((B108*C108)/100,2)</f>
        <v>355835.85</v>
      </c>
      <c r="G108" s="544">
        <f>ROUNDUP(F108/1000,1)</f>
        <v>355.9</v>
      </c>
      <c r="H108" s="545">
        <v>0.98122950480000004</v>
      </c>
      <c r="I108" s="544">
        <f>ROUNDUP(G108*H108,1)</f>
        <v>349.3</v>
      </c>
      <c r="J108" s="546">
        <f>G108-I108</f>
        <v>6.6</v>
      </c>
      <c r="K108" s="547">
        <v>1</v>
      </c>
      <c r="L108" s="544">
        <f>ROUNDUP(I108*K108,1)</f>
        <v>349.3</v>
      </c>
      <c r="M108" s="548">
        <f>L108-I108</f>
        <v>0</v>
      </c>
    </row>
    <row r="109" spans="1:15" s="329" customFormat="1" x14ac:dyDescent="0.25">
      <c r="A109" s="592" t="s">
        <v>62</v>
      </c>
      <c r="B109" s="550">
        <v>579015.92000000004</v>
      </c>
      <c r="C109" s="551">
        <v>2.2000000000000002</v>
      </c>
      <c r="D109" s="552">
        <v>12869</v>
      </c>
      <c r="E109" s="552">
        <v>12690</v>
      </c>
      <c r="F109" s="543">
        <f>ROUND((B109*C109)/100,2)</f>
        <v>12738.35</v>
      </c>
      <c r="G109" s="544">
        <f>ROUNDUP(F109/1000,1)</f>
        <v>12.8</v>
      </c>
      <c r="H109" s="545">
        <v>1</v>
      </c>
      <c r="I109" s="544">
        <f>ROUNDUP(G109*H109,1)</f>
        <v>12.8</v>
      </c>
      <c r="J109" s="546">
        <f>G109-I109</f>
        <v>0</v>
      </c>
      <c r="K109" s="547">
        <v>1</v>
      </c>
      <c r="L109" s="544">
        <f>ROUNDUP(I109*K109,1)</f>
        <v>12.8</v>
      </c>
      <c r="M109" s="548">
        <f>L109-I109</f>
        <v>0</v>
      </c>
    </row>
    <row r="110" spans="1:15" s="329" customFormat="1" x14ac:dyDescent="0.25">
      <c r="A110" s="592" t="s">
        <v>286</v>
      </c>
      <c r="B110" s="550">
        <v>742493.87</v>
      </c>
      <c r="C110" s="551">
        <v>2.2000000000000002</v>
      </c>
      <c r="D110" s="552">
        <v>16532</v>
      </c>
      <c r="E110" s="552">
        <v>16203</v>
      </c>
      <c r="F110" s="543">
        <f>ROUND((B110*C110)/100,2)</f>
        <v>16334.87</v>
      </c>
      <c r="G110" s="544">
        <f>ROUNDUP(F110/1000,1)</f>
        <v>16.399999999999999</v>
      </c>
      <c r="H110" s="545">
        <v>1</v>
      </c>
      <c r="I110" s="544">
        <f>ROUNDUP(G110*H110,1)</f>
        <v>16.399999999999999</v>
      </c>
      <c r="J110" s="546">
        <f>G110-I110</f>
        <v>0</v>
      </c>
      <c r="K110" s="547">
        <v>1</v>
      </c>
      <c r="L110" s="544">
        <f>ROUNDUP(I110*K110,1)</f>
        <v>16.399999999999999</v>
      </c>
      <c r="M110" s="548">
        <f>L110-I110</f>
        <v>0</v>
      </c>
    </row>
    <row r="111" spans="1:15" s="329" customFormat="1" x14ac:dyDescent="0.25">
      <c r="A111" s="592" t="s">
        <v>933</v>
      </c>
      <c r="B111" s="550">
        <v>4454165</v>
      </c>
      <c r="C111" s="551">
        <v>2.2000000000000002</v>
      </c>
      <c r="D111" s="552">
        <v>63189</v>
      </c>
      <c r="E111" s="552">
        <v>88973</v>
      </c>
      <c r="F111" s="543">
        <f>ROUND((B111*C111)/100,2)</f>
        <v>97991.63</v>
      </c>
      <c r="G111" s="544">
        <f>ROUNDUP(F111/1000,1)</f>
        <v>98</v>
      </c>
      <c r="H111" s="545">
        <v>0.95716725619999998</v>
      </c>
      <c r="I111" s="544">
        <f>ROUNDUP(G111*H111,1)</f>
        <v>93.9</v>
      </c>
      <c r="J111" s="546">
        <f>G111-I111</f>
        <v>4.0999999999999996</v>
      </c>
      <c r="K111" s="547">
        <v>1</v>
      </c>
      <c r="L111" s="544">
        <f>ROUNDUP(I111*K111,1)</f>
        <v>93.9</v>
      </c>
      <c r="M111" s="548">
        <f>L111-I111</f>
        <v>0</v>
      </c>
    </row>
    <row r="112" spans="1:15" s="329" customFormat="1" ht="16.5" thickBot="1" x14ac:dyDescent="0.3">
      <c r="A112" s="593" t="s">
        <v>360</v>
      </c>
      <c r="B112" s="560">
        <v>4030328.56</v>
      </c>
      <c r="C112" s="561">
        <v>2.2000000000000002</v>
      </c>
      <c r="D112" s="562">
        <v>93651</v>
      </c>
      <c r="E112" s="562">
        <v>90803</v>
      </c>
      <c r="F112" s="543">
        <f>ROUND((B112*C112)/100,2)</f>
        <v>88667.23</v>
      </c>
      <c r="G112" s="544">
        <f>ROUNDUP(F112/1000,1)</f>
        <v>88.7</v>
      </c>
      <c r="H112" s="545">
        <v>1</v>
      </c>
      <c r="I112" s="544">
        <f>ROUNDUP(G112*H112,1)</f>
        <v>88.7</v>
      </c>
      <c r="J112" s="546">
        <f>G112-I112</f>
        <v>0</v>
      </c>
      <c r="K112" s="547">
        <v>1</v>
      </c>
      <c r="L112" s="544">
        <f>ROUNDUP(I112*K112,1)</f>
        <v>88.7</v>
      </c>
      <c r="M112" s="548">
        <f>L112-I112</f>
        <v>0</v>
      </c>
    </row>
    <row r="113" spans="1:13" ht="16.5" thickBot="1" x14ac:dyDescent="0.3">
      <c r="A113" s="588" t="s">
        <v>1047</v>
      </c>
      <c r="B113" s="564">
        <f>SUM(B108:B112)</f>
        <v>25980360.219999999</v>
      </c>
      <c r="C113" s="565">
        <v>2.2000000000000002</v>
      </c>
      <c r="D113" s="564">
        <f>SUM(D108:D112)</f>
        <v>585539</v>
      </c>
      <c r="E113" s="564">
        <f>SUM(E108:E112)</f>
        <v>305669</v>
      </c>
      <c r="F113" s="564">
        <f>SUM(F108:F112)</f>
        <v>571567.93000000005</v>
      </c>
      <c r="G113" s="565">
        <f>SUM(G108:G112)</f>
        <v>571.79999999999995</v>
      </c>
      <c r="H113" s="566" t="s">
        <v>471</v>
      </c>
      <c r="I113" s="565">
        <f t="shared" ref="I113:J113" si="17">SUM(I108:I112)</f>
        <v>561.1</v>
      </c>
      <c r="J113" s="565">
        <f t="shared" si="17"/>
        <v>10.7</v>
      </c>
      <c r="K113" s="566" t="s">
        <v>471</v>
      </c>
      <c r="L113" s="565">
        <f>SUM(L108:L112)</f>
        <v>561.1</v>
      </c>
      <c r="M113" s="567">
        <f>SUM(M108:M112)</f>
        <v>0</v>
      </c>
    </row>
    <row r="114" spans="1:13" x14ac:dyDescent="0.25">
      <c r="A114" s="594" t="s">
        <v>694</v>
      </c>
      <c r="B114" s="569">
        <f>B113-B115</f>
        <v>9806003.3499999996</v>
      </c>
      <c r="C114" s="570">
        <v>2.2000000000000002</v>
      </c>
      <c r="D114" s="569">
        <f>D113-D115</f>
        <v>186241</v>
      </c>
      <c r="E114" s="569">
        <f>E113-E115</f>
        <v>208669</v>
      </c>
      <c r="F114" s="569">
        <f>F113-F115</f>
        <v>215732.08</v>
      </c>
      <c r="G114" s="572">
        <f>G113-G115</f>
        <v>215.9</v>
      </c>
      <c r="H114" s="571" t="s">
        <v>471</v>
      </c>
      <c r="I114" s="572">
        <f t="shared" ref="I114:J114" si="18">I113-I115</f>
        <v>211.8</v>
      </c>
      <c r="J114" s="572">
        <f t="shared" si="18"/>
        <v>4.0999999999999996</v>
      </c>
      <c r="K114" s="571" t="s">
        <v>471</v>
      </c>
      <c r="L114" s="572">
        <f>L113-L115</f>
        <v>211.8</v>
      </c>
      <c r="M114" s="573">
        <f>M113-M115</f>
        <v>0</v>
      </c>
    </row>
    <row r="115" spans="1:13" ht="17.25" customHeight="1" thickBot="1" x14ac:dyDescent="0.3">
      <c r="A115" s="590" t="s">
        <v>695</v>
      </c>
      <c r="B115" s="575">
        <f>B108</f>
        <v>16174356.869999999</v>
      </c>
      <c r="C115" s="576">
        <v>2.2000000000000002</v>
      </c>
      <c r="D115" s="575">
        <f>D108</f>
        <v>399298</v>
      </c>
      <c r="E115" s="575">
        <f>E108</f>
        <v>97000</v>
      </c>
      <c r="F115" s="575">
        <f>F108</f>
        <v>355835.85</v>
      </c>
      <c r="G115" s="578">
        <f>G108</f>
        <v>355.9</v>
      </c>
      <c r="H115" s="577" t="s">
        <v>471</v>
      </c>
      <c r="I115" s="578">
        <f>I108</f>
        <v>349.3</v>
      </c>
      <c r="J115" s="578">
        <f>J108</f>
        <v>6.6</v>
      </c>
      <c r="K115" s="577" t="s">
        <v>471</v>
      </c>
      <c r="L115" s="578">
        <f>L108</f>
        <v>349.3</v>
      </c>
      <c r="M115" s="578">
        <f>M108</f>
        <v>0</v>
      </c>
    </row>
    <row r="116" spans="1:13" s="329" customFormat="1" ht="16.5" hidden="1" thickBot="1" x14ac:dyDescent="0.3">
      <c r="A116" s="595" t="s">
        <v>691</v>
      </c>
      <c r="B116" s="596">
        <v>366841.21</v>
      </c>
      <c r="C116" s="597">
        <v>2.2000000000000002</v>
      </c>
      <c r="D116" s="598">
        <v>8178</v>
      </c>
      <c r="E116" s="598">
        <v>8100</v>
      </c>
      <c r="F116" s="598">
        <f>ROUND((B116*C116)/100,2)</f>
        <v>8070.51</v>
      </c>
      <c r="G116" s="599">
        <f>ROUNDUP(F116/1000,1)</f>
        <v>8.1</v>
      </c>
      <c r="H116" s="600">
        <v>1</v>
      </c>
      <c r="I116" s="599">
        <f>ROUNDUP(G116*H116,1)</f>
        <v>8.1</v>
      </c>
      <c r="J116" s="601">
        <f>G116-I116</f>
        <v>0</v>
      </c>
      <c r="K116" s="602">
        <v>1</v>
      </c>
      <c r="L116" s="599">
        <f>ROUNDUP(I116*K116,1)</f>
        <v>8.1</v>
      </c>
      <c r="M116" s="603">
        <f>L116-I116</f>
        <v>0</v>
      </c>
    </row>
    <row r="117" spans="1:13" ht="16.5" hidden="1" thickBot="1" x14ac:dyDescent="0.3">
      <c r="A117" s="604"/>
      <c r="B117" s="605"/>
      <c r="C117" s="606"/>
      <c r="D117" s="607"/>
      <c r="E117" s="607"/>
      <c r="F117" s="608"/>
      <c r="G117" s="609"/>
      <c r="H117" s="610"/>
      <c r="I117" s="609"/>
      <c r="J117" s="611"/>
      <c r="K117" s="612"/>
      <c r="L117" s="609"/>
      <c r="M117" s="613"/>
    </row>
    <row r="118" spans="1:13" ht="16.5" hidden="1" thickBot="1" x14ac:dyDescent="0.3">
      <c r="A118" s="588" t="s">
        <v>802</v>
      </c>
      <c r="B118" s="564">
        <f>B71+B105+B113+B116</f>
        <v>1830585740.25</v>
      </c>
      <c r="C118" s="565">
        <v>2.2000000000000002</v>
      </c>
      <c r="D118" s="564">
        <f>D71+D105+D113+D116</f>
        <v>28819288.719999999</v>
      </c>
      <c r="E118" s="564">
        <f>E71+E105+E113+E116</f>
        <v>39639021.530000001</v>
      </c>
      <c r="F118" s="564">
        <f>F71+F105+F113+F116</f>
        <v>40272886.310000002</v>
      </c>
      <c r="G118" s="565">
        <f>G71+G105+G113+G116</f>
        <v>40276.699999999997</v>
      </c>
      <c r="H118" s="566" t="s">
        <v>471</v>
      </c>
      <c r="I118" s="565">
        <f>I71+I105+I113+I116</f>
        <v>40025.9</v>
      </c>
      <c r="J118" s="565">
        <f>J71+J105+J113+J116</f>
        <v>250.8</v>
      </c>
      <c r="K118" s="614" t="s">
        <v>471</v>
      </c>
      <c r="L118" s="565">
        <f>L71+L105+L113+L116</f>
        <v>40025.9</v>
      </c>
      <c r="M118" s="567">
        <f>M71+M105+M113+M116</f>
        <v>0</v>
      </c>
    </row>
    <row r="119" spans="1:13" hidden="1" x14ac:dyDescent="0.25">
      <c r="A119" s="594" t="s">
        <v>694</v>
      </c>
      <c r="B119" s="569">
        <f>B72+B106+B114+B116</f>
        <v>675140729.57000005</v>
      </c>
      <c r="C119" s="570">
        <v>2.2000000000000002</v>
      </c>
      <c r="D119" s="569">
        <f>D72+D106+D114+D116</f>
        <v>15146948.720000001</v>
      </c>
      <c r="E119" s="569">
        <f>E72+E106+E114+E116</f>
        <v>14584144.189999999</v>
      </c>
      <c r="F119" s="569">
        <f>F72+F106+F114+F116</f>
        <v>14853096.07</v>
      </c>
      <c r="G119" s="572">
        <f>G72+G106+G114+G116</f>
        <v>14856.7</v>
      </c>
      <c r="H119" s="571" t="s">
        <v>471</v>
      </c>
      <c r="I119" s="572">
        <f>I72+I106+I114+I116</f>
        <v>14744.6</v>
      </c>
      <c r="J119" s="572">
        <f>J72+J106+J114+J116</f>
        <v>112.1</v>
      </c>
      <c r="K119" s="615" t="s">
        <v>471</v>
      </c>
      <c r="L119" s="572">
        <f>L72+L106+L114+L116</f>
        <v>14744.6</v>
      </c>
      <c r="M119" s="573">
        <f>M72+M106+M114+M116</f>
        <v>0</v>
      </c>
    </row>
    <row r="120" spans="1:13" ht="17.25" hidden="1" customHeight="1" thickBot="1" x14ac:dyDescent="0.3">
      <c r="A120" s="590" t="s">
        <v>695</v>
      </c>
      <c r="B120" s="575">
        <f>B73+B107+B115</f>
        <v>1155445010.6800001</v>
      </c>
      <c r="C120" s="576">
        <v>2.2000000000000002</v>
      </c>
      <c r="D120" s="575">
        <f>D73+D107+D115</f>
        <v>13672340</v>
      </c>
      <c r="E120" s="575">
        <f>E73+E107+E115</f>
        <v>25054877.34</v>
      </c>
      <c r="F120" s="575">
        <f>F73+F107+F115</f>
        <v>25419790.239999998</v>
      </c>
      <c r="G120" s="578">
        <f>G73+G107+G115</f>
        <v>25420</v>
      </c>
      <c r="H120" s="577" t="s">
        <v>471</v>
      </c>
      <c r="I120" s="578">
        <f>I73+I107+I115</f>
        <v>25281.3</v>
      </c>
      <c r="J120" s="578">
        <f>J73+J107+J115</f>
        <v>138.69999999999999</v>
      </c>
      <c r="K120" s="616" t="s">
        <v>471</v>
      </c>
      <c r="L120" s="578">
        <f>L73+L107+L115</f>
        <v>25281.3</v>
      </c>
      <c r="M120" s="579">
        <f>M73+M107+M115</f>
        <v>0</v>
      </c>
    </row>
    <row r="121" spans="1:13" hidden="1" x14ac:dyDescent="0.25">
      <c r="A121" s="268" t="s">
        <v>337</v>
      </c>
      <c r="B121" s="617">
        <f>B118-B119-B120</f>
        <v>0</v>
      </c>
      <c r="D121" s="617">
        <f>D118-D119-D120</f>
        <v>0</v>
      </c>
      <c r="E121" s="617">
        <f>E118-E119-E120</f>
        <v>0</v>
      </c>
      <c r="F121" s="617">
        <f>F118-F119-F120</f>
        <v>0</v>
      </c>
      <c r="G121" s="618">
        <f>G118-G119-G120</f>
        <v>0</v>
      </c>
      <c r="I121" s="618">
        <f>I118-I119-I120</f>
        <v>0</v>
      </c>
      <c r="J121" s="618">
        <f>J118-J119-J120</f>
        <v>0</v>
      </c>
      <c r="K121" s="618"/>
      <c r="L121" s="618">
        <f>L118-L119-L120</f>
        <v>0</v>
      </c>
      <c r="M121" s="618">
        <f>M118-M119-M120</f>
        <v>0</v>
      </c>
    </row>
  </sheetData>
  <mergeCells count="18">
    <mergeCell ref="L9:L12"/>
    <mergeCell ref="M9:M12"/>
    <mergeCell ref="F9:F12"/>
    <mergeCell ref="G9:G12"/>
    <mergeCell ref="H9:H12"/>
    <mergeCell ref="I9:I12"/>
    <mergeCell ref="J9:J12"/>
    <mergeCell ref="K9:K12"/>
    <mergeCell ref="A1:M3"/>
    <mergeCell ref="A4:M4"/>
    <mergeCell ref="A5:M5"/>
    <mergeCell ref="A7:E7"/>
    <mergeCell ref="B8:M8"/>
    <mergeCell ref="A9:A12"/>
    <mergeCell ref="B9:B11"/>
    <mergeCell ref="C9:C12"/>
    <mergeCell ref="D9:D12"/>
    <mergeCell ref="E9:E12"/>
  </mergeCells>
  <printOptions horizontalCentered="1"/>
  <pageMargins left="0.59055118110236227" right="0.39370078740157483" top="0.39370078740157483" bottom="0.39370078740157483" header="0.15748031496062992" footer="0.15748031496062992"/>
  <pageSetup paperSize="9" scale="46" fitToWidth="0" fitToHeight="0" orientation="landscape" r:id="rId1"/>
  <headerFooter alignWithMargins="0"/>
  <rowBreaks count="1" manualBreakCount="1">
    <brk id="73" max="1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46F52-6DB9-4131-B40E-C2F40B749C1C}">
  <dimension ref="A1:N284"/>
  <sheetViews>
    <sheetView view="pageBreakPreview" zoomScaleSheetLayoutView="100" workbookViewId="0">
      <pane xSplit="1" ySplit="7" topLeftCell="B8" activePane="bottomRight" state="frozen"/>
      <selection activeCell="CJ160" sqref="CJ160"/>
      <selection pane="topRight" activeCell="CJ160" sqref="CJ160"/>
      <selection pane="bottomLeft" activeCell="CJ160" sqref="CJ160"/>
      <selection pane="bottomRight" activeCell="F121" sqref="F121"/>
    </sheetView>
  </sheetViews>
  <sheetFormatPr defaultRowHeight="15.75" x14ac:dyDescent="0.25"/>
  <cols>
    <col min="1" max="1" width="23.85546875" style="264" customWidth="1"/>
    <col min="2" max="2" width="22.42578125" style="268" customWidth="1"/>
    <col min="3" max="3" width="18.85546875" style="695" customWidth="1"/>
    <col min="4" max="4" width="6.5703125" style="268" customWidth="1"/>
    <col min="5" max="5" width="18.42578125" style="268" customWidth="1"/>
    <col min="6" max="6" width="20" style="268" customWidth="1"/>
    <col min="7" max="7" width="22.5703125" style="268" customWidth="1"/>
    <col min="8" max="8" width="18.7109375" style="621" customWidth="1"/>
    <col min="9" max="9" width="16.140625" style="268" customWidth="1"/>
    <col min="10" max="10" width="23.7109375" style="621" customWidth="1"/>
    <col min="11" max="11" width="21.7109375" style="623" customWidth="1"/>
    <col min="12" max="12" width="12.28515625" style="621" customWidth="1"/>
    <col min="13" max="13" width="14.42578125" style="621" customWidth="1"/>
    <col min="14" max="14" width="16" style="621" customWidth="1"/>
    <col min="15" max="252" width="9.140625" style="264"/>
    <col min="253" max="253" width="2.7109375" style="264" customWidth="1"/>
    <col min="254" max="254" width="3.28515625" style="264" customWidth="1"/>
    <col min="255" max="255" width="2.5703125" style="264" customWidth="1"/>
    <col min="256" max="256" width="4.7109375" style="264" customWidth="1"/>
    <col min="257" max="257" width="5.140625" style="264" customWidth="1"/>
    <col min="258" max="258" width="5" style="264" customWidth="1"/>
    <col min="259" max="508" width="9.140625" style="264"/>
    <col min="509" max="509" width="2.7109375" style="264" customWidth="1"/>
    <col min="510" max="510" width="3.28515625" style="264" customWidth="1"/>
    <col min="511" max="511" width="2.5703125" style="264" customWidth="1"/>
    <col min="512" max="512" width="4.7109375" style="264" customWidth="1"/>
    <col min="513" max="513" width="5.140625" style="264" customWidth="1"/>
    <col min="514" max="514" width="5" style="264" customWidth="1"/>
    <col min="515" max="764" width="9.140625" style="264"/>
    <col min="765" max="765" width="2.7109375" style="264" customWidth="1"/>
    <col min="766" max="766" width="3.28515625" style="264" customWidth="1"/>
    <col min="767" max="767" width="2.5703125" style="264" customWidth="1"/>
    <col min="768" max="768" width="4.7109375" style="264" customWidth="1"/>
    <col min="769" max="769" width="5.140625" style="264" customWidth="1"/>
    <col min="770" max="770" width="5" style="264" customWidth="1"/>
    <col min="771" max="1020" width="9.140625" style="264"/>
    <col min="1021" max="1021" width="2.7109375" style="264" customWidth="1"/>
    <col min="1022" max="1022" width="3.28515625" style="264" customWidth="1"/>
    <col min="1023" max="1023" width="2.5703125" style="264" customWidth="1"/>
    <col min="1024" max="1024" width="4.7109375" style="264" customWidth="1"/>
    <col min="1025" max="1025" width="5.140625" style="264" customWidth="1"/>
    <col min="1026" max="1026" width="5" style="264" customWidth="1"/>
    <col min="1027" max="1276" width="9.140625" style="264"/>
    <col min="1277" max="1277" width="2.7109375" style="264" customWidth="1"/>
    <col min="1278" max="1278" width="3.28515625" style="264" customWidth="1"/>
    <col min="1279" max="1279" width="2.5703125" style="264" customWidth="1"/>
    <col min="1280" max="1280" width="4.7109375" style="264" customWidth="1"/>
    <col min="1281" max="1281" width="5.140625" style="264" customWidth="1"/>
    <col min="1282" max="1282" width="5" style="264" customWidth="1"/>
    <col min="1283" max="1532" width="9.140625" style="264"/>
    <col min="1533" max="1533" width="2.7109375" style="264" customWidth="1"/>
    <col min="1534" max="1534" width="3.28515625" style="264" customWidth="1"/>
    <col min="1535" max="1535" width="2.5703125" style="264" customWidth="1"/>
    <col min="1536" max="1536" width="4.7109375" style="264" customWidth="1"/>
    <col min="1537" max="1537" width="5.140625" style="264" customWidth="1"/>
    <col min="1538" max="1538" width="5" style="264" customWidth="1"/>
    <col min="1539" max="1788" width="9.140625" style="264"/>
    <col min="1789" max="1789" width="2.7109375" style="264" customWidth="1"/>
    <col min="1790" max="1790" width="3.28515625" style="264" customWidth="1"/>
    <col min="1791" max="1791" width="2.5703125" style="264" customWidth="1"/>
    <col min="1792" max="1792" width="4.7109375" style="264" customWidth="1"/>
    <col min="1793" max="1793" width="5.140625" style="264" customWidth="1"/>
    <col min="1794" max="1794" width="5" style="264" customWidth="1"/>
    <col min="1795" max="2044" width="9.140625" style="264"/>
    <col min="2045" max="2045" width="2.7109375" style="264" customWidth="1"/>
    <col min="2046" max="2046" width="3.28515625" style="264" customWidth="1"/>
    <col min="2047" max="2047" width="2.5703125" style="264" customWidth="1"/>
    <col min="2048" max="2048" width="4.7109375" style="264" customWidth="1"/>
    <col min="2049" max="2049" width="5.140625" style="264" customWidth="1"/>
    <col min="2050" max="2050" width="5" style="264" customWidth="1"/>
    <col min="2051" max="2300" width="9.140625" style="264"/>
    <col min="2301" max="2301" width="2.7109375" style="264" customWidth="1"/>
    <col min="2302" max="2302" width="3.28515625" style="264" customWidth="1"/>
    <col min="2303" max="2303" width="2.5703125" style="264" customWidth="1"/>
    <col min="2304" max="2304" width="4.7109375" style="264" customWidth="1"/>
    <col min="2305" max="2305" width="5.140625" style="264" customWidth="1"/>
    <col min="2306" max="2306" width="5" style="264" customWidth="1"/>
    <col min="2307" max="2556" width="9.140625" style="264"/>
    <col min="2557" max="2557" width="2.7109375" style="264" customWidth="1"/>
    <col min="2558" max="2558" width="3.28515625" style="264" customWidth="1"/>
    <col min="2559" max="2559" width="2.5703125" style="264" customWidth="1"/>
    <col min="2560" max="2560" width="4.7109375" style="264" customWidth="1"/>
    <col min="2561" max="2561" width="5.140625" style="264" customWidth="1"/>
    <col min="2562" max="2562" width="5" style="264" customWidth="1"/>
    <col min="2563" max="2812" width="9.140625" style="264"/>
    <col min="2813" max="2813" width="2.7109375" style="264" customWidth="1"/>
    <col min="2814" max="2814" width="3.28515625" style="264" customWidth="1"/>
    <col min="2815" max="2815" width="2.5703125" style="264" customWidth="1"/>
    <col min="2816" max="2816" width="4.7109375" style="264" customWidth="1"/>
    <col min="2817" max="2817" width="5.140625" style="264" customWidth="1"/>
    <col min="2818" max="2818" width="5" style="264" customWidth="1"/>
    <col min="2819" max="3068" width="9.140625" style="264"/>
    <col min="3069" max="3069" width="2.7109375" style="264" customWidth="1"/>
    <col min="3070" max="3070" width="3.28515625" style="264" customWidth="1"/>
    <col min="3071" max="3071" width="2.5703125" style="264" customWidth="1"/>
    <col min="3072" max="3072" width="4.7109375" style="264" customWidth="1"/>
    <col min="3073" max="3073" width="5.140625" style="264" customWidth="1"/>
    <col min="3074" max="3074" width="5" style="264" customWidth="1"/>
    <col min="3075" max="3324" width="9.140625" style="264"/>
    <col min="3325" max="3325" width="2.7109375" style="264" customWidth="1"/>
    <col min="3326" max="3326" width="3.28515625" style="264" customWidth="1"/>
    <col min="3327" max="3327" width="2.5703125" style="264" customWidth="1"/>
    <col min="3328" max="3328" width="4.7109375" style="264" customWidth="1"/>
    <col min="3329" max="3329" width="5.140625" style="264" customWidth="1"/>
    <col min="3330" max="3330" width="5" style="264" customWidth="1"/>
    <col min="3331" max="3580" width="9.140625" style="264"/>
    <col min="3581" max="3581" width="2.7109375" style="264" customWidth="1"/>
    <col min="3582" max="3582" width="3.28515625" style="264" customWidth="1"/>
    <col min="3583" max="3583" width="2.5703125" style="264" customWidth="1"/>
    <col min="3584" max="3584" width="4.7109375" style="264" customWidth="1"/>
    <col min="3585" max="3585" width="5.140625" style="264" customWidth="1"/>
    <col min="3586" max="3586" width="5" style="264" customWidth="1"/>
    <col min="3587" max="3836" width="9.140625" style="264"/>
    <col min="3837" max="3837" width="2.7109375" style="264" customWidth="1"/>
    <col min="3838" max="3838" width="3.28515625" style="264" customWidth="1"/>
    <col min="3839" max="3839" width="2.5703125" style="264" customWidth="1"/>
    <col min="3840" max="3840" width="4.7109375" style="264" customWidth="1"/>
    <col min="3841" max="3841" width="5.140625" style="264" customWidth="1"/>
    <col min="3842" max="3842" width="5" style="264" customWidth="1"/>
    <col min="3843" max="4092" width="9.140625" style="264"/>
    <col min="4093" max="4093" width="2.7109375" style="264" customWidth="1"/>
    <col min="4094" max="4094" width="3.28515625" style="264" customWidth="1"/>
    <col min="4095" max="4095" width="2.5703125" style="264" customWidth="1"/>
    <col min="4096" max="4096" width="4.7109375" style="264" customWidth="1"/>
    <col min="4097" max="4097" width="5.140625" style="264" customWidth="1"/>
    <col min="4098" max="4098" width="5" style="264" customWidth="1"/>
    <col min="4099" max="4348" width="9.140625" style="264"/>
    <col min="4349" max="4349" width="2.7109375" style="264" customWidth="1"/>
    <col min="4350" max="4350" width="3.28515625" style="264" customWidth="1"/>
    <col min="4351" max="4351" width="2.5703125" style="264" customWidth="1"/>
    <col min="4352" max="4352" width="4.7109375" style="264" customWidth="1"/>
    <col min="4353" max="4353" width="5.140625" style="264" customWidth="1"/>
    <col min="4354" max="4354" width="5" style="264" customWidth="1"/>
    <col min="4355" max="4604" width="9.140625" style="264"/>
    <col min="4605" max="4605" width="2.7109375" style="264" customWidth="1"/>
    <col min="4606" max="4606" width="3.28515625" style="264" customWidth="1"/>
    <col min="4607" max="4607" width="2.5703125" style="264" customWidth="1"/>
    <col min="4608" max="4608" width="4.7109375" style="264" customWidth="1"/>
    <col min="4609" max="4609" width="5.140625" style="264" customWidth="1"/>
    <col min="4610" max="4610" width="5" style="264" customWidth="1"/>
    <col min="4611" max="4860" width="9.140625" style="264"/>
    <col min="4861" max="4861" width="2.7109375" style="264" customWidth="1"/>
    <col min="4862" max="4862" width="3.28515625" style="264" customWidth="1"/>
    <col min="4863" max="4863" width="2.5703125" style="264" customWidth="1"/>
    <col min="4864" max="4864" width="4.7109375" style="264" customWidth="1"/>
    <col min="4865" max="4865" width="5.140625" style="264" customWidth="1"/>
    <col min="4866" max="4866" width="5" style="264" customWidth="1"/>
    <col min="4867" max="5116" width="9.140625" style="264"/>
    <col min="5117" max="5117" width="2.7109375" style="264" customWidth="1"/>
    <col min="5118" max="5118" width="3.28515625" style="264" customWidth="1"/>
    <col min="5119" max="5119" width="2.5703125" style="264" customWidth="1"/>
    <col min="5120" max="5120" width="4.7109375" style="264" customWidth="1"/>
    <col min="5121" max="5121" width="5.140625" style="264" customWidth="1"/>
    <col min="5122" max="5122" width="5" style="264" customWidth="1"/>
    <col min="5123" max="5372" width="9.140625" style="264"/>
    <col min="5373" max="5373" width="2.7109375" style="264" customWidth="1"/>
    <col min="5374" max="5374" width="3.28515625" style="264" customWidth="1"/>
    <col min="5375" max="5375" width="2.5703125" style="264" customWidth="1"/>
    <col min="5376" max="5376" width="4.7109375" style="264" customWidth="1"/>
    <col min="5377" max="5377" width="5.140625" style="264" customWidth="1"/>
    <col min="5378" max="5378" width="5" style="264" customWidth="1"/>
    <col min="5379" max="5628" width="9.140625" style="264"/>
    <col min="5629" max="5629" width="2.7109375" style="264" customWidth="1"/>
    <col min="5630" max="5630" width="3.28515625" style="264" customWidth="1"/>
    <col min="5631" max="5631" width="2.5703125" style="264" customWidth="1"/>
    <col min="5632" max="5632" width="4.7109375" style="264" customWidth="1"/>
    <col min="5633" max="5633" width="5.140625" style="264" customWidth="1"/>
    <col min="5634" max="5634" width="5" style="264" customWidth="1"/>
    <col min="5635" max="5884" width="9.140625" style="264"/>
    <col min="5885" max="5885" width="2.7109375" style="264" customWidth="1"/>
    <col min="5886" max="5886" width="3.28515625" style="264" customWidth="1"/>
    <col min="5887" max="5887" width="2.5703125" style="264" customWidth="1"/>
    <col min="5888" max="5888" width="4.7109375" style="264" customWidth="1"/>
    <col min="5889" max="5889" width="5.140625" style="264" customWidth="1"/>
    <col min="5890" max="5890" width="5" style="264" customWidth="1"/>
    <col min="5891" max="6140" width="9.140625" style="264"/>
    <col min="6141" max="6141" width="2.7109375" style="264" customWidth="1"/>
    <col min="6142" max="6142" width="3.28515625" style="264" customWidth="1"/>
    <col min="6143" max="6143" width="2.5703125" style="264" customWidth="1"/>
    <col min="6144" max="6144" width="4.7109375" style="264" customWidth="1"/>
    <col min="6145" max="6145" width="5.140625" style="264" customWidth="1"/>
    <col min="6146" max="6146" width="5" style="264" customWidth="1"/>
    <col min="6147" max="6396" width="9.140625" style="264"/>
    <col min="6397" max="6397" width="2.7109375" style="264" customWidth="1"/>
    <col min="6398" max="6398" width="3.28515625" style="264" customWidth="1"/>
    <col min="6399" max="6399" width="2.5703125" style="264" customWidth="1"/>
    <col min="6400" max="6400" width="4.7109375" style="264" customWidth="1"/>
    <col min="6401" max="6401" width="5.140625" style="264" customWidth="1"/>
    <col min="6402" max="6402" width="5" style="264" customWidth="1"/>
    <col min="6403" max="6652" width="9.140625" style="264"/>
    <col min="6653" max="6653" width="2.7109375" style="264" customWidth="1"/>
    <col min="6654" max="6654" width="3.28515625" style="264" customWidth="1"/>
    <col min="6655" max="6655" width="2.5703125" style="264" customWidth="1"/>
    <col min="6656" max="6656" width="4.7109375" style="264" customWidth="1"/>
    <col min="6657" max="6657" width="5.140625" style="264" customWidth="1"/>
    <col min="6658" max="6658" width="5" style="264" customWidth="1"/>
    <col min="6659" max="6908" width="9.140625" style="264"/>
    <col min="6909" max="6909" width="2.7109375" style="264" customWidth="1"/>
    <col min="6910" max="6910" width="3.28515625" style="264" customWidth="1"/>
    <col min="6911" max="6911" width="2.5703125" style="264" customWidth="1"/>
    <col min="6912" max="6912" width="4.7109375" style="264" customWidth="1"/>
    <col min="6913" max="6913" width="5.140625" style="264" customWidth="1"/>
    <col min="6914" max="6914" width="5" style="264" customWidth="1"/>
    <col min="6915" max="7164" width="9.140625" style="264"/>
    <col min="7165" max="7165" width="2.7109375" style="264" customWidth="1"/>
    <col min="7166" max="7166" width="3.28515625" style="264" customWidth="1"/>
    <col min="7167" max="7167" width="2.5703125" style="264" customWidth="1"/>
    <col min="7168" max="7168" width="4.7109375" style="264" customWidth="1"/>
    <col min="7169" max="7169" width="5.140625" style="264" customWidth="1"/>
    <col min="7170" max="7170" width="5" style="264" customWidth="1"/>
    <col min="7171" max="7420" width="9.140625" style="264"/>
    <col min="7421" max="7421" width="2.7109375" style="264" customWidth="1"/>
    <col min="7422" max="7422" width="3.28515625" style="264" customWidth="1"/>
    <col min="7423" max="7423" width="2.5703125" style="264" customWidth="1"/>
    <col min="7424" max="7424" width="4.7109375" style="264" customWidth="1"/>
    <col min="7425" max="7425" width="5.140625" style="264" customWidth="1"/>
    <col min="7426" max="7426" width="5" style="264" customWidth="1"/>
    <col min="7427" max="7676" width="9.140625" style="264"/>
    <col min="7677" max="7677" width="2.7109375" style="264" customWidth="1"/>
    <col min="7678" max="7678" width="3.28515625" style="264" customWidth="1"/>
    <col min="7679" max="7679" width="2.5703125" style="264" customWidth="1"/>
    <col min="7680" max="7680" width="4.7109375" style="264" customWidth="1"/>
    <col min="7681" max="7681" width="5.140625" style="264" customWidth="1"/>
    <col min="7682" max="7682" width="5" style="264" customWidth="1"/>
    <col min="7683" max="7932" width="9.140625" style="264"/>
    <col min="7933" max="7933" width="2.7109375" style="264" customWidth="1"/>
    <col min="7934" max="7934" width="3.28515625" style="264" customWidth="1"/>
    <col min="7935" max="7935" width="2.5703125" style="264" customWidth="1"/>
    <col min="7936" max="7936" width="4.7109375" style="264" customWidth="1"/>
    <col min="7937" max="7937" width="5.140625" style="264" customWidth="1"/>
    <col min="7938" max="7938" width="5" style="264" customWidth="1"/>
    <col min="7939" max="8188" width="9.140625" style="264"/>
    <col min="8189" max="8189" width="2.7109375" style="264" customWidth="1"/>
    <col min="8190" max="8190" width="3.28515625" style="264" customWidth="1"/>
    <col min="8191" max="8191" width="2.5703125" style="264" customWidth="1"/>
    <col min="8192" max="8192" width="4.7109375" style="264" customWidth="1"/>
    <col min="8193" max="8193" width="5.140625" style="264" customWidth="1"/>
    <col min="8194" max="8194" width="5" style="264" customWidth="1"/>
    <col min="8195" max="8444" width="9.140625" style="264"/>
    <col min="8445" max="8445" width="2.7109375" style="264" customWidth="1"/>
    <col min="8446" max="8446" width="3.28515625" style="264" customWidth="1"/>
    <col min="8447" max="8447" width="2.5703125" style="264" customWidth="1"/>
    <col min="8448" max="8448" width="4.7109375" style="264" customWidth="1"/>
    <col min="8449" max="8449" width="5.140625" style="264" customWidth="1"/>
    <col min="8450" max="8450" width="5" style="264" customWidth="1"/>
    <col min="8451" max="8700" width="9.140625" style="264"/>
    <col min="8701" max="8701" width="2.7109375" style="264" customWidth="1"/>
    <col min="8702" max="8702" width="3.28515625" style="264" customWidth="1"/>
    <col min="8703" max="8703" width="2.5703125" style="264" customWidth="1"/>
    <col min="8704" max="8704" width="4.7109375" style="264" customWidth="1"/>
    <col min="8705" max="8705" width="5.140625" style="264" customWidth="1"/>
    <col min="8706" max="8706" width="5" style="264" customWidth="1"/>
    <col min="8707" max="8956" width="9.140625" style="264"/>
    <col min="8957" max="8957" width="2.7109375" style="264" customWidth="1"/>
    <col min="8958" max="8958" width="3.28515625" style="264" customWidth="1"/>
    <col min="8959" max="8959" width="2.5703125" style="264" customWidth="1"/>
    <col min="8960" max="8960" width="4.7109375" style="264" customWidth="1"/>
    <col min="8961" max="8961" width="5.140625" style="264" customWidth="1"/>
    <col min="8962" max="8962" width="5" style="264" customWidth="1"/>
    <col min="8963" max="9212" width="9.140625" style="264"/>
    <col min="9213" max="9213" width="2.7109375" style="264" customWidth="1"/>
    <col min="9214" max="9214" width="3.28515625" style="264" customWidth="1"/>
    <col min="9215" max="9215" width="2.5703125" style="264" customWidth="1"/>
    <col min="9216" max="9216" width="4.7109375" style="264" customWidth="1"/>
    <col min="9217" max="9217" width="5.140625" style="264" customWidth="1"/>
    <col min="9218" max="9218" width="5" style="264" customWidth="1"/>
    <col min="9219" max="9468" width="9.140625" style="264"/>
    <col min="9469" max="9469" width="2.7109375" style="264" customWidth="1"/>
    <col min="9470" max="9470" width="3.28515625" style="264" customWidth="1"/>
    <col min="9471" max="9471" width="2.5703125" style="264" customWidth="1"/>
    <col min="9472" max="9472" width="4.7109375" style="264" customWidth="1"/>
    <col min="9473" max="9473" width="5.140625" style="264" customWidth="1"/>
    <col min="9474" max="9474" width="5" style="264" customWidth="1"/>
    <col min="9475" max="9724" width="9.140625" style="264"/>
    <col min="9725" max="9725" width="2.7109375" style="264" customWidth="1"/>
    <col min="9726" max="9726" width="3.28515625" style="264" customWidth="1"/>
    <col min="9727" max="9727" width="2.5703125" style="264" customWidth="1"/>
    <col min="9728" max="9728" width="4.7109375" style="264" customWidth="1"/>
    <col min="9729" max="9729" width="5.140625" style="264" customWidth="1"/>
    <col min="9730" max="9730" width="5" style="264" customWidth="1"/>
    <col min="9731" max="9980" width="9.140625" style="264"/>
    <col min="9981" max="9981" width="2.7109375" style="264" customWidth="1"/>
    <col min="9982" max="9982" width="3.28515625" style="264" customWidth="1"/>
    <col min="9983" max="9983" width="2.5703125" style="264" customWidth="1"/>
    <col min="9984" max="9984" width="4.7109375" style="264" customWidth="1"/>
    <col min="9985" max="9985" width="5.140625" style="264" customWidth="1"/>
    <col min="9986" max="9986" width="5" style="264" customWidth="1"/>
    <col min="9987" max="10236" width="9.140625" style="264"/>
    <col min="10237" max="10237" width="2.7109375" style="264" customWidth="1"/>
    <col min="10238" max="10238" width="3.28515625" style="264" customWidth="1"/>
    <col min="10239" max="10239" width="2.5703125" style="264" customWidth="1"/>
    <col min="10240" max="10240" width="4.7109375" style="264" customWidth="1"/>
    <col min="10241" max="10241" width="5.140625" style="264" customWidth="1"/>
    <col min="10242" max="10242" width="5" style="264" customWidth="1"/>
    <col min="10243" max="10492" width="9.140625" style="264"/>
    <col min="10493" max="10493" width="2.7109375" style="264" customWidth="1"/>
    <col min="10494" max="10494" width="3.28515625" style="264" customWidth="1"/>
    <col min="10495" max="10495" width="2.5703125" style="264" customWidth="1"/>
    <col min="10496" max="10496" width="4.7109375" style="264" customWidth="1"/>
    <col min="10497" max="10497" width="5.140625" style="264" customWidth="1"/>
    <col min="10498" max="10498" width="5" style="264" customWidth="1"/>
    <col min="10499" max="10748" width="9.140625" style="264"/>
    <col min="10749" max="10749" width="2.7109375" style="264" customWidth="1"/>
    <col min="10750" max="10750" width="3.28515625" style="264" customWidth="1"/>
    <col min="10751" max="10751" width="2.5703125" style="264" customWidth="1"/>
    <col min="10752" max="10752" width="4.7109375" style="264" customWidth="1"/>
    <col min="10753" max="10753" width="5.140625" style="264" customWidth="1"/>
    <col min="10754" max="10754" width="5" style="264" customWidth="1"/>
    <col min="10755" max="11004" width="9.140625" style="264"/>
    <col min="11005" max="11005" width="2.7109375" style="264" customWidth="1"/>
    <col min="11006" max="11006" width="3.28515625" style="264" customWidth="1"/>
    <col min="11007" max="11007" width="2.5703125" style="264" customWidth="1"/>
    <col min="11008" max="11008" width="4.7109375" style="264" customWidth="1"/>
    <col min="11009" max="11009" width="5.140625" style="264" customWidth="1"/>
    <col min="11010" max="11010" width="5" style="264" customWidth="1"/>
    <col min="11011" max="11260" width="9.140625" style="264"/>
    <col min="11261" max="11261" width="2.7109375" style="264" customWidth="1"/>
    <col min="11262" max="11262" width="3.28515625" style="264" customWidth="1"/>
    <col min="11263" max="11263" width="2.5703125" style="264" customWidth="1"/>
    <col min="11264" max="11264" width="4.7109375" style="264" customWidth="1"/>
    <col min="11265" max="11265" width="5.140625" style="264" customWidth="1"/>
    <col min="11266" max="11266" width="5" style="264" customWidth="1"/>
    <col min="11267" max="11516" width="9.140625" style="264"/>
    <col min="11517" max="11517" width="2.7109375" style="264" customWidth="1"/>
    <col min="11518" max="11518" width="3.28515625" style="264" customWidth="1"/>
    <col min="11519" max="11519" width="2.5703125" style="264" customWidth="1"/>
    <col min="11520" max="11520" width="4.7109375" style="264" customWidth="1"/>
    <col min="11521" max="11521" width="5.140625" style="264" customWidth="1"/>
    <col min="11522" max="11522" width="5" style="264" customWidth="1"/>
    <col min="11523" max="11772" width="9.140625" style="264"/>
    <col min="11773" max="11773" width="2.7109375" style="264" customWidth="1"/>
    <col min="11774" max="11774" width="3.28515625" style="264" customWidth="1"/>
    <col min="11775" max="11775" width="2.5703125" style="264" customWidth="1"/>
    <col min="11776" max="11776" width="4.7109375" style="264" customWidth="1"/>
    <col min="11777" max="11777" width="5.140625" style="264" customWidth="1"/>
    <col min="11778" max="11778" width="5" style="264" customWidth="1"/>
    <col min="11779" max="12028" width="9.140625" style="264"/>
    <col min="12029" max="12029" width="2.7109375" style="264" customWidth="1"/>
    <col min="12030" max="12030" width="3.28515625" style="264" customWidth="1"/>
    <col min="12031" max="12031" width="2.5703125" style="264" customWidth="1"/>
    <col min="12032" max="12032" width="4.7109375" style="264" customWidth="1"/>
    <col min="12033" max="12033" width="5.140625" style="264" customWidth="1"/>
    <col min="12034" max="12034" width="5" style="264" customWidth="1"/>
    <col min="12035" max="12284" width="9.140625" style="264"/>
    <col min="12285" max="12285" width="2.7109375" style="264" customWidth="1"/>
    <col min="12286" max="12286" width="3.28515625" style="264" customWidth="1"/>
    <col min="12287" max="12287" width="2.5703125" style="264" customWidth="1"/>
    <col min="12288" max="12288" width="4.7109375" style="264" customWidth="1"/>
    <col min="12289" max="12289" width="5.140625" style="264" customWidth="1"/>
    <col min="12290" max="12290" width="5" style="264" customWidth="1"/>
    <col min="12291" max="12540" width="9.140625" style="264"/>
    <col min="12541" max="12541" width="2.7109375" style="264" customWidth="1"/>
    <col min="12542" max="12542" width="3.28515625" style="264" customWidth="1"/>
    <col min="12543" max="12543" width="2.5703125" style="264" customWidth="1"/>
    <col min="12544" max="12544" width="4.7109375" style="264" customWidth="1"/>
    <col min="12545" max="12545" width="5.140625" style="264" customWidth="1"/>
    <col min="12546" max="12546" width="5" style="264" customWidth="1"/>
    <col min="12547" max="12796" width="9.140625" style="264"/>
    <col min="12797" max="12797" width="2.7109375" style="264" customWidth="1"/>
    <col min="12798" max="12798" width="3.28515625" style="264" customWidth="1"/>
    <col min="12799" max="12799" width="2.5703125" style="264" customWidth="1"/>
    <col min="12800" max="12800" width="4.7109375" style="264" customWidth="1"/>
    <col min="12801" max="12801" width="5.140625" style="264" customWidth="1"/>
    <col min="12802" max="12802" width="5" style="264" customWidth="1"/>
    <col min="12803" max="13052" width="9.140625" style="264"/>
    <col min="13053" max="13053" width="2.7109375" style="264" customWidth="1"/>
    <col min="13054" max="13054" width="3.28515625" style="264" customWidth="1"/>
    <col min="13055" max="13055" width="2.5703125" style="264" customWidth="1"/>
    <col min="13056" max="13056" width="4.7109375" style="264" customWidth="1"/>
    <col min="13057" max="13057" width="5.140625" style="264" customWidth="1"/>
    <col min="13058" max="13058" width="5" style="264" customWidth="1"/>
    <col min="13059" max="13308" width="9.140625" style="264"/>
    <col min="13309" max="13309" width="2.7109375" style="264" customWidth="1"/>
    <col min="13310" max="13310" width="3.28515625" style="264" customWidth="1"/>
    <col min="13311" max="13311" width="2.5703125" style="264" customWidth="1"/>
    <col min="13312" max="13312" width="4.7109375" style="264" customWidth="1"/>
    <col min="13313" max="13313" width="5.140625" style="264" customWidth="1"/>
    <col min="13314" max="13314" width="5" style="264" customWidth="1"/>
    <col min="13315" max="13564" width="9.140625" style="264"/>
    <col min="13565" max="13565" width="2.7109375" style="264" customWidth="1"/>
    <col min="13566" max="13566" width="3.28515625" style="264" customWidth="1"/>
    <col min="13567" max="13567" width="2.5703125" style="264" customWidth="1"/>
    <col min="13568" max="13568" width="4.7109375" style="264" customWidth="1"/>
    <col min="13569" max="13569" width="5.140625" style="264" customWidth="1"/>
    <col min="13570" max="13570" width="5" style="264" customWidth="1"/>
    <col min="13571" max="13820" width="9.140625" style="264"/>
    <col min="13821" max="13821" width="2.7109375" style="264" customWidth="1"/>
    <col min="13822" max="13822" width="3.28515625" style="264" customWidth="1"/>
    <col min="13823" max="13823" width="2.5703125" style="264" customWidth="1"/>
    <col min="13824" max="13824" width="4.7109375" style="264" customWidth="1"/>
    <col min="13825" max="13825" width="5.140625" style="264" customWidth="1"/>
    <col min="13826" max="13826" width="5" style="264" customWidth="1"/>
    <col min="13827" max="14076" width="9.140625" style="264"/>
    <col min="14077" max="14077" width="2.7109375" style="264" customWidth="1"/>
    <col min="14078" max="14078" width="3.28515625" style="264" customWidth="1"/>
    <col min="14079" max="14079" width="2.5703125" style="264" customWidth="1"/>
    <col min="14080" max="14080" width="4.7109375" style="264" customWidth="1"/>
    <col min="14081" max="14081" width="5.140625" style="264" customWidth="1"/>
    <col min="14082" max="14082" width="5" style="264" customWidth="1"/>
    <col min="14083" max="14332" width="9.140625" style="264"/>
    <col min="14333" max="14333" width="2.7109375" style="264" customWidth="1"/>
    <col min="14334" max="14334" width="3.28515625" style="264" customWidth="1"/>
    <col min="14335" max="14335" width="2.5703125" style="264" customWidth="1"/>
    <col min="14336" max="14336" width="4.7109375" style="264" customWidth="1"/>
    <col min="14337" max="14337" width="5.140625" style="264" customWidth="1"/>
    <col min="14338" max="14338" width="5" style="264" customWidth="1"/>
    <col min="14339" max="14588" width="9.140625" style="264"/>
    <col min="14589" max="14589" width="2.7109375" style="264" customWidth="1"/>
    <col min="14590" max="14590" width="3.28515625" style="264" customWidth="1"/>
    <col min="14591" max="14591" width="2.5703125" style="264" customWidth="1"/>
    <col min="14592" max="14592" width="4.7109375" style="264" customWidth="1"/>
    <col min="14593" max="14593" width="5.140625" style="264" customWidth="1"/>
    <col min="14594" max="14594" width="5" style="264" customWidth="1"/>
    <col min="14595" max="14844" width="9.140625" style="264"/>
    <col min="14845" max="14845" width="2.7109375" style="264" customWidth="1"/>
    <col min="14846" max="14846" width="3.28515625" style="264" customWidth="1"/>
    <col min="14847" max="14847" width="2.5703125" style="264" customWidth="1"/>
    <col min="14848" max="14848" width="4.7109375" style="264" customWidth="1"/>
    <col min="14849" max="14849" width="5.140625" style="264" customWidth="1"/>
    <col min="14850" max="14850" width="5" style="264" customWidth="1"/>
    <col min="14851" max="15100" width="9.140625" style="264"/>
    <col min="15101" max="15101" width="2.7109375" style="264" customWidth="1"/>
    <col min="15102" max="15102" width="3.28515625" style="264" customWidth="1"/>
    <col min="15103" max="15103" width="2.5703125" style="264" customWidth="1"/>
    <col min="15104" max="15104" width="4.7109375" style="264" customWidth="1"/>
    <col min="15105" max="15105" width="5.140625" style="264" customWidth="1"/>
    <col min="15106" max="15106" width="5" style="264" customWidth="1"/>
    <col min="15107" max="15356" width="9.140625" style="264"/>
    <col min="15357" max="15357" width="2.7109375" style="264" customWidth="1"/>
    <col min="15358" max="15358" width="3.28515625" style="264" customWidth="1"/>
    <col min="15359" max="15359" width="2.5703125" style="264" customWidth="1"/>
    <col min="15360" max="15360" width="4.7109375" style="264" customWidth="1"/>
    <col min="15361" max="15361" width="5.140625" style="264" customWidth="1"/>
    <col min="15362" max="15362" width="5" style="264" customWidth="1"/>
    <col min="15363" max="15612" width="9.140625" style="264"/>
    <col min="15613" max="15613" width="2.7109375" style="264" customWidth="1"/>
    <col min="15614" max="15614" width="3.28515625" style="264" customWidth="1"/>
    <col min="15615" max="15615" width="2.5703125" style="264" customWidth="1"/>
    <col min="15616" max="15616" width="4.7109375" style="264" customWidth="1"/>
    <col min="15617" max="15617" width="5.140625" style="264" customWidth="1"/>
    <col min="15618" max="15618" width="5" style="264" customWidth="1"/>
    <col min="15619" max="15868" width="9.140625" style="264"/>
    <col min="15869" max="15869" width="2.7109375" style="264" customWidth="1"/>
    <col min="15870" max="15870" width="3.28515625" style="264" customWidth="1"/>
    <col min="15871" max="15871" width="2.5703125" style="264" customWidth="1"/>
    <col min="15872" max="15872" width="4.7109375" style="264" customWidth="1"/>
    <col min="15873" max="15873" width="5.140625" style="264" customWidth="1"/>
    <col min="15874" max="15874" width="5" style="264" customWidth="1"/>
    <col min="15875" max="16124" width="9.140625" style="264"/>
    <col min="16125" max="16125" width="2.7109375" style="264" customWidth="1"/>
    <col min="16126" max="16126" width="3.28515625" style="264" customWidth="1"/>
    <col min="16127" max="16127" width="2.5703125" style="264" customWidth="1"/>
    <col min="16128" max="16128" width="4.7109375" style="264" customWidth="1"/>
    <col min="16129" max="16129" width="5.140625" style="264" customWidth="1"/>
    <col min="16130" max="16130" width="5" style="264" customWidth="1"/>
    <col min="16131" max="16384" width="9.140625" style="264"/>
  </cols>
  <sheetData>
    <row r="1" spans="1:14" ht="15" customHeight="1" x14ac:dyDescent="0.25">
      <c r="A1" s="1240" t="s">
        <v>1048</v>
      </c>
      <c r="B1" s="1240"/>
      <c r="C1" s="1240"/>
      <c r="D1" s="1240"/>
      <c r="E1" s="1240"/>
      <c r="F1" s="1240"/>
      <c r="G1" s="1240"/>
      <c r="I1" s="622"/>
    </row>
    <row r="2" spans="1:14" ht="15" customHeight="1" x14ac:dyDescent="0.25">
      <c r="A2" s="1241" t="s">
        <v>630</v>
      </c>
      <c r="B2" s="1241"/>
      <c r="C2" s="1241"/>
      <c r="D2" s="1241"/>
      <c r="E2" s="1241"/>
      <c r="F2" s="1241"/>
      <c r="G2" s="1241"/>
      <c r="I2" s="624"/>
    </row>
    <row r="3" spans="1:14" ht="15" customHeight="1" thickBot="1" x14ac:dyDescent="0.3">
      <c r="A3" s="1240" t="s">
        <v>386</v>
      </c>
      <c r="B3" s="1240"/>
      <c r="C3" s="1240"/>
      <c r="D3" s="1240"/>
      <c r="E3" s="1240"/>
      <c r="F3" s="1240"/>
      <c r="G3" s="1240"/>
      <c r="I3" s="622"/>
    </row>
    <row r="4" spans="1:14" ht="24" customHeight="1" thickBot="1" x14ac:dyDescent="0.3">
      <c r="A4" s="730" t="s">
        <v>705</v>
      </c>
      <c r="B4" s="1242" t="s">
        <v>634</v>
      </c>
      <c r="C4" s="1242"/>
      <c r="D4" s="1242"/>
      <c r="E4" s="1242"/>
      <c r="F4" s="1242"/>
      <c r="G4" s="625"/>
      <c r="I4" s="405"/>
    </row>
    <row r="5" spans="1:14" ht="16.5" customHeight="1" x14ac:dyDescent="0.25">
      <c r="A5" s="1217" t="s">
        <v>632</v>
      </c>
      <c r="B5" s="1235" t="s">
        <v>635</v>
      </c>
      <c r="C5" s="1235"/>
      <c r="D5" s="1235" t="s">
        <v>636</v>
      </c>
      <c r="E5" s="1235" t="s">
        <v>1049</v>
      </c>
      <c r="F5" s="1235" t="s">
        <v>1050</v>
      </c>
      <c r="G5" s="1235" t="s">
        <v>1051</v>
      </c>
      <c r="H5" s="1243" t="s">
        <v>1052</v>
      </c>
      <c r="I5" s="1219" t="s">
        <v>655</v>
      </c>
      <c r="J5" s="1219" t="s">
        <v>1053</v>
      </c>
      <c r="K5" s="1245" t="s">
        <v>1054</v>
      </c>
      <c r="L5" s="1219" t="s">
        <v>686</v>
      </c>
      <c r="M5" s="1231" t="s">
        <v>949</v>
      </c>
      <c r="N5" s="1233" t="s">
        <v>950</v>
      </c>
    </row>
    <row r="6" spans="1:14" ht="75.75" customHeight="1" thickBot="1" x14ac:dyDescent="0.3">
      <c r="A6" s="1218"/>
      <c r="B6" s="533" t="s">
        <v>1055</v>
      </c>
      <c r="C6" s="533" t="s">
        <v>1056</v>
      </c>
      <c r="D6" s="1237"/>
      <c r="E6" s="1237"/>
      <c r="F6" s="1237"/>
      <c r="G6" s="1237"/>
      <c r="H6" s="1244"/>
      <c r="I6" s="1220"/>
      <c r="J6" s="1220"/>
      <c r="K6" s="1246"/>
      <c r="L6" s="1220"/>
      <c r="M6" s="1232"/>
      <c r="N6" s="1234"/>
    </row>
    <row r="7" spans="1:14" ht="14.25" thickBot="1" x14ac:dyDescent="0.3">
      <c r="A7" s="626">
        <v>1</v>
      </c>
      <c r="B7" s="537">
        <v>2</v>
      </c>
      <c r="C7" s="537">
        <v>3</v>
      </c>
      <c r="D7" s="537">
        <v>4</v>
      </c>
      <c r="E7" s="537">
        <v>5</v>
      </c>
      <c r="F7" s="537">
        <v>6</v>
      </c>
      <c r="G7" s="537" t="s">
        <v>1057</v>
      </c>
      <c r="H7" s="627" t="s">
        <v>1058</v>
      </c>
      <c r="I7" s="537">
        <v>9</v>
      </c>
      <c r="J7" s="537" t="s">
        <v>1059</v>
      </c>
      <c r="K7" s="628" t="s">
        <v>1060</v>
      </c>
      <c r="L7" s="629">
        <v>12</v>
      </c>
      <c r="M7" s="629" t="s">
        <v>1061</v>
      </c>
      <c r="N7" s="630" t="s">
        <v>1062</v>
      </c>
    </row>
    <row r="8" spans="1:14" s="263" customFormat="1" hidden="1" x14ac:dyDescent="0.25">
      <c r="A8" s="731" t="s">
        <v>958</v>
      </c>
      <c r="B8" s="631" t="s">
        <v>1063</v>
      </c>
      <c r="C8" s="632">
        <v>23708828.399999999</v>
      </c>
      <c r="D8" s="633">
        <v>1.5</v>
      </c>
      <c r="E8" s="633">
        <v>1206620.28</v>
      </c>
      <c r="F8" s="633">
        <v>301655.07</v>
      </c>
      <c r="G8" s="543">
        <f t="shared" ref="G8:G64" si="0">ROUND((C8*D8)/100,2)</f>
        <v>355632.43</v>
      </c>
      <c r="H8" s="544">
        <f t="shared" ref="H8:H64" si="1">ROUNDUP(G8/1000,1)</f>
        <v>355.7</v>
      </c>
      <c r="I8" s="545">
        <v>1</v>
      </c>
      <c r="J8" s="544">
        <f t="shared" ref="J8:J64" si="2">ROUNDUP(H8*I8,1)</f>
        <v>355.7</v>
      </c>
      <c r="K8" s="546">
        <f t="shared" ref="K8:K64" si="3">H8-J8</f>
        <v>0</v>
      </c>
      <c r="L8" s="547">
        <v>1</v>
      </c>
      <c r="M8" s="544">
        <f t="shared" ref="M8:M64" si="4">ROUNDUP(J8*L8,1)</f>
        <v>355.7</v>
      </c>
      <c r="N8" s="634">
        <f t="shared" ref="N8:N64" si="5">M8-J8</f>
        <v>0</v>
      </c>
    </row>
    <row r="9" spans="1:14" s="263" customFormat="1" hidden="1" x14ac:dyDescent="0.25">
      <c r="A9" s="732" t="s">
        <v>959</v>
      </c>
      <c r="B9" s="635" t="s">
        <v>1064</v>
      </c>
      <c r="C9" s="636">
        <v>28802387.699999999</v>
      </c>
      <c r="D9" s="637">
        <v>1.5</v>
      </c>
      <c r="E9" s="637">
        <v>1353733</v>
      </c>
      <c r="F9" s="637">
        <v>662458</v>
      </c>
      <c r="G9" s="543">
        <f t="shared" si="0"/>
        <v>432035.82</v>
      </c>
      <c r="H9" s="544">
        <f t="shared" si="1"/>
        <v>432.1</v>
      </c>
      <c r="I9" s="545">
        <v>1</v>
      </c>
      <c r="J9" s="544">
        <f t="shared" si="2"/>
        <v>432.1</v>
      </c>
      <c r="K9" s="546">
        <f t="shared" si="3"/>
        <v>0</v>
      </c>
      <c r="L9" s="547">
        <v>1</v>
      </c>
      <c r="M9" s="544">
        <f t="shared" si="4"/>
        <v>432.1</v>
      </c>
      <c r="N9" s="634">
        <f t="shared" si="5"/>
        <v>0</v>
      </c>
    </row>
    <row r="10" spans="1:14" s="263" customFormat="1" ht="15" hidden="1" customHeight="1" x14ac:dyDescent="0.25">
      <c r="A10" s="732" t="s">
        <v>960</v>
      </c>
      <c r="B10" s="638" t="s">
        <v>1065</v>
      </c>
      <c r="C10" s="636">
        <v>18030986</v>
      </c>
      <c r="D10" s="637">
        <v>1.5</v>
      </c>
      <c r="E10" s="637">
        <v>959477</v>
      </c>
      <c r="F10" s="637">
        <v>442721</v>
      </c>
      <c r="G10" s="543">
        <f t="shared" si="0"/>
        <v>270464.78999999998</v>
      </c>
      <c r="H10" s="544">
        <f t="shared" si="1"/>
        <v>270.5</v>
      </c>
      <c r="I10" s="545">
        <v>1</v>
      </c>
      <c r="J10" s="544">
        <f t="shared" si="2"/>
        <v>270.5</v>
      </c>
      <c r="K10" s="546">
        <f t="shared" si="3"/>
        <v>0</v>
      </c>
      <c r="L10" s="547">
        <v>1</v>
      </c>
      <c r="M10" s="544">
        <f t="shared" si="4"/>
        <v>270.5</v>
      </c>
      <c r="N10" s="634">
        <f t="shared" si="5"/>
        <v>0</v>
      </c>
    </row>
    <row r="11" spans="1:14" s="263" customFormat="1" hidden="1" x14ac:dyDescent="0.25">
      <c r="A11" s="732" t="s">
        <v>961</v>
      </c>
      <c r="B11" s="639" t="s">
        <v>1066</v>
      </c>
      <c r="C11" s="636">
        <v>27817123.109999999</v>
      </c>
      <c r="D11" s="637">
        <v>1.5</v>
      </c>
      <c r="E11" s="637">
        <v>1131718</v>
      </c>
      <c r="F11" s="637">
        <v>282929</v>
      </c>
      <c r="G11" s="543">
        <f t="shared" si="0"/>
        <v>417256.85</v>
      </c>
      <c r="H11" s="544">
        <f t="shared" si="1"/>
        <v>417.3</v>
      </c>
      <c r="I11" s="545">
        <v>1</v>
      </c>
      <c r="J11" s="544">
        <f t="shared" si="2"/>
        <v>417.3</v>
      </c>
      <c r="K11" s="546">
        <f t="shared" si="3"/>
        <v>0</v>
      </c>
      <c r="L11" s="547">
        <v>1</v>
      </c>
      <c r="M11" s="544">
        <f t="shared" si="4"/>
        <v>417.3</v>
      </c>
      <c r="N11" s="634">
        <f t="shared" si="5"/>
        <v>0</v>
      </c>
    </row>
    <row r="12" spans="1:14" s="263" customFormat="1" hidden="1" x14ac:dyDescent="0.25">
      <c r="A12" s="732" t="s">
        <v>962</v>
      </c>
      <c r="B12" s="640" t="s">
        <v>1067</v>
      </c>
      <c r="C12" s="636">
        <v>19980325.75</v>
      </c>
      <c r="D12" s="637">
        <v>1.5</v>
      </c>
      <c r="E12" s="637">
        <v>814558</v>
      </c>
      <c r="F12" s="637">
        <v>428418</v>
      </c>
      <c r="G12" s="543">
        <f t="shared" si="0"/>
        <v>299704.89</v>
      </c>
      <c r="H12" s="544">
        <f t="shared" si="1"/>
        <v>299.8</v>
      </c>
      <c r="I12" s="545">
        <v>1</v>
      </c>
      <c r="J12" s="544">
        <f t="shared" si="2"/>
        <v>299.8</v>
      </c>
      <c r="K12" s="546">
        <f t="shared" si="3"/>
        <v>0</v>
      </c>
      <c r="L12" s="547">
        <v>1</v>
      </c>
      <c r="M12" s="544">
        <f t="shared" si="4"/>
        <v>299.8</v>
      </c>
      <c r="N12" s="634">
        <f t="shared" si="5"/>
        <v>0</v>
      </c>
    </row>
    <row r="13" spans="1:14" s="263" customFormat="1" hidden="1" x14ac:dyDescent="0.25">
      <c r="A13" s="732" t="s">
        <v>963</v>
      </c>
      <c r="B13" s="641" t="s">
        <v>1068</v>
      </c>
      <c r="C13" s="636">
        <v>19847511.93</v>
      </c>
      <c r="D13" s="637">
        <v>1.5</v>
      </c>
      <c r="E13" s="637"/>
      <c r="F13" s="637">
        <v>124046.95</v>
      </c>
      <c r="G13" s="543">
        <f t="shared" si="0"/>
        <v>297712.68</v>
      </c>
      <c r="H13" s="544">
        <f t="shared" si="1"/>
        <v>297.8</v>
      </c>
      <c r="I13" s="545">
        <v>1</v>
      </c>
      <c r="J13" s="544">
        <f t="shared" si="2"/>
        <v>297.8</v>
      </c>
      <c r="K13" s="546">
        <f t="shared" si="3"/>
        <v>0</v>
      </c>
      <c r="L13" s="547">
        <v>1</v>
      </c>
      <c r="M13" s="544">
        <f t="shared" si="4"/>
        <v>297.8</v>
      </c>
      <c r="N13" s="634">
        <f t="shared" si="5"/>
        <v>0</v>
      </c>
    </row>
    <row r="14" spans="1:14" s="263" customFormat="1" hidden="1" x14ac:dyDescent="0.25">
      <c r="A14" s="732" t="s">
        <v>964</v>
      </c>
      <c r="B14" s="640" t="s">
        <v>1069</v>
      </c>
      <c r="C14" s="636">
        <v>6297492.7599999998</v>
      </c>
      <c r="D14" s="637">
        <v>1.5</v>
      </c>
      <c r="E14" s="637">
        <v>281704</v>
      </c>
      <c r="F14" s="637">
        <v>141272.79999999999</v>
      </c>
      <c r="G14" s="543">
        <f t="shared" si="0"/>
        <v>94462.39</v>
      </c>
      <c r="H14" s="544">
        <f t="shared" si="1"/>
        <v>94.5</v>
      </c>
      <c r="I14" s="545">
        <v>1</v>
      </c>
      <c r="J14" s="544">
        <f t="shared" si="2"/>
        <v>94.5</v>
      </c>
      <c r="K14" s="546">
        <f t="shared" si="3"/>
        <v>0</v>
      </c>
      <c r="L14" s="547">
        <v>1</v>
      </c>
      <c r="M14" s="544">
        <f t="shared" si="4"/>
        <v>94.5</v>
      </c>
      <c r="N14" s="634">
        <f t="shared" si="5"/>
        <v>0</v>
      </c>
    </row>
    <row r="15" spans="1:14" s="263" customFormat="1" hidden="1" x14ac:dyDescent="0.25">
      <c r="A15" s="732" t="s">
        <v>965</v>
      </c>
      <c r="B15" s="635" t="s">
        <v>1070</v>
      </c>
      <c r="C15" s="636">
        <v>25571389.760000002</v>
      </c>
      <c r="D15" s="637">
        <v>1.5</v>
      </c>
      <c r="E15" s="637">
        <v>0</v>
      </c>
      <c r="F15" s="637">
        <v>223750</v>
      </c>
      <c r="G15" s="543">
        <f t="shared" si="0"/>
        <v>383570.85</v>
      </c>
      <c r="H15" s="544">
        <f t="shared" si="1"/>
        <v>383.6</v>
      </c>
      <c r="I15" s="545">
        <v>1</v>
      </c>
      <c r="J15" s="544">
        <f t="shared" si="2"/>
        <v>383.6</v>
      </c>
      <c r="K15" s="546">
        <f t="shared" si="3"/>
        <v>0</v>
      </c>
      <c r="L15" s="547">
        <v>1</v>
      </c>
      <c r="M15" s="544">
        <f t="shared" si="4"/>
        <v>383.6</v>
      </c>
      <c r="N15" s="634">
        <f t="shared" si="5"/>
        <v>0</v>
      </c>
    </row>
    <row r="16" spans="1:14" s="263" customFormat="1" hidden="1" x14ac:dyDescent="0.25">
      <c r="A16" s="732" t="s">
        <v>966</v>
      </c>
      <c r="B16" s="640" t="s">
        <v>1071</v>
      </c>
      <c r="C16" s="642">
        <v>14318189.550000001</v>
      </c>
      <c r="D16" s="637">
        <v>1.5</v>
      </c>
      <c r="E16" s="637">
        <v>611896</v>
      </c>
      <c r="F16" s="637">
        <v>152974</v>
      </c>
      <c r="G16" s="543">
        <f t="shared" si="0"/>
        <v>214772.84</v>
      </c>
      <c r="H16" s="544">
        <f t="shared" si="1"/>
        <v>214.8</v>
      </c>
      <c r="I16" s="545">
        <v>0.99730957610000004</v>
      </c>
      <c r="J16" s="544">
        <f t="shared" si="2"/>
        <v>214.3</v>
      </c>
      <c r="K16" s="546">
        <f t="shared" si="3"/>
        <v>0.5</v>
      </c>
      <c r="L16" s="547">
        <v>1</v>
      </c>
      <c r="M16" s="544">
        <f t="shared" si="4"/>
        <v>214.3</v>
      </c>
      <c r="N16" s="634">
        <f t="shared" si="5"/>
        <v>0</v>
      </c>
    </row>
    <row r="17" spans="1:14" s="263" customFormat="1" hidden="1" x14ac:dyDescent="0.25">
      <c r="A17" s="732" t="s">
        <v>967</v>
      </c>
      <c r="B17" s="643" t="s">
        <v>1072</v>
      </c>
      <c r="C17" s="636">
        <v>6760683.7699999996</v>
      </c>
      <c r="D17" s="637">
        <v>1.5</v>
      </c>
      <c r="E17" s="637">
        <v>1052724</v>
      </c>
      <c r="F17" s="637">
        <v>173984.71</v>
      </c>
      <c r="G17" s="543">
        <f t="shared" si="0"/>
        <v>101410.26</v>
      </c>
      <c r="H17" s="544">
        <f t="shared" si="1"/>
        <v>101.5</v>
      </c>
      <c r="I17" s="545">
        <v>1</v>
      </c>
      <c r="J17" s="544">
        <f t="shared" si="2"/>
        <v>101.5</v>
      </c>
      <c r="K17" s="546">
        <f t="shared" si="3"/>
        <v>0</v>
      </c>
      <c r="L17" s="547">
        <v>1</v>
      </c>
      <c r="M17" s="544">
        <f t="shared" si="4"/>
        <v>101.5</v>
      </c>
      <c r="N17" s="634">
        <f t="shared" si="5"/>
        <v>0</v>
      </c>
    </row>
    <row r="18" spans="1:14" s="263" customFormat="1" hidden="1" x14ac:dyDescent="0.25">
      <c r="A18" s="732" t="s">
        <v>968</v>
      </c>
      <c r="B18" s="637" t="s">
        <v>1073</v>
      </c>
      <c r="C18" s="636">
        <v>23987363.969999999</v>
      </c>
      <c r="D18" s="637">
        <v>1.5</v>
      </c>
      <c r="E18" s="637">
        <v>1173373</v>
      </c>
      <c r="F18" s="637">
        <v>504533</v>
      </c>
      <c r="G18" s="543">
        <f t="shared" si="0"/>
        <v>359810.46</v>
      </c>
      <c r="H18" s="544">
        <f t="shared" si="1"/>
        <v>359.9</v>
      </c>
      <c r="I18" s="545">
        <v>1</v>
      </c>
      <c r="J18" s="544">
        <f t="shared" si="2"/>
        <v>359.9</v>
      </c>
      <c r="K18" s="546">
        <f t="shared" si="3"/>
        <v>0</v>
      </c>
      <c r="L18" s="547">
        <v>1</v>
      </c>
      <c r="M18" s="544">
        <f t="shared" si="4"/>
        <v>359.9</v>
      </c>
      <c r="N18" s="634">
        <f t="shared" si="5"/>
        <v>0</v>
      </c>
    </row>
    <row r="19" spans="1:14" s="263" customFormat="1" hidden="1" x14ac:dyDescent="0.25">
      <c r="A19" s="732" t="s">
        <v>969</v>
      </c>
      <c r="B19" s="637" t="s">
        <v>1074</v>
      </c>
      <c r="C19" s="636">
        <v>25303854.329999998</v>
      </c>
      <c r="D19" s="637">
        <v>1.5</v>
      </c>
      <c r="E19" s="637">
        <v>543420</v>
      </c>
      <c r="F19" s="637">
        <v>94890</v>
      </c>
      <c r="G19" s="543">
        <f t="shared" si="0"/>
        <v>379557.81</v>
      </c>
      <c r="H19" s="544">
        <f t="shared" si="1"/>
        <v>379.6</v>
      </c>
      <c r="I19" s="545">
        <v>1</v>
      </c>
      <c r="J19" s="544">
        <f t="shared" si="2"/>
        <v>379.6</v>
      </c>
      <c r="K19" s="546">
        <f t="shared" si="3"/>
        <v>0</v>
      </c>
      <c r="L19" s="547">
        <v>1</v>
      </c>
      <c r="M19" s="544">
        <f t="shared" si="4"/>
        <v>379.6</v>
      </c>
      <c r="N19" s="634">
        <f t="shared" si="5"/>
        <v>0</v>
      </c>
    </row>
    <row r="20" spans="1:14" s="263" customFormat="1" hidden="1" x14ac:dyDescent="0.25">
      <c r="A20" s="732" t="s">
        <v>970</v>
      </c>
      <c r="B20" s="638" t="s">
        <v>1075</v>
      </c>
      <c r="C20" s="636">
        <v>9377917.6300000008</v>
      </c>
      <c r="D20" s="637">
        <v>1.5</v>
      </c>
      <c r="E20" s="637">
        <v>345303</v>
      </c>
      <c r="F20" s="637">
        <v>191826</v>
      </c>
      <c r="G20" s="543">
        <f t="shared" si="0"/>
        <v>140668.76</v>
      </c>
      <c r="H20" s="544">
        <f t="shared" si="1"/>
        <v>140.69999999999999</v>
      </c>
      <c r="I20" s="545">
        <v>1</v>
      </c>
      <c r="J20" s="544">
        <f t="shared" si="2"/>
        <v>140.69999999999999</v>
      </c>
      <c r="K20" s="546">
        <f t="shared" si="3"/>
        <v>0</v>
      </c>
      <c r="L20" s="547">
        <v>1</v>
      </c>
      <c r="M20" s="544">
        <f t="shared" si="4"/>
        <v>140.69999999999999</v>
      </c>
      <c r="N20" s="634">
        <f t="shared" si="5"/>
        <v>0</v>
      </c>
    </row>
    <row r="21" spans="1:14" s="263" customFormat="1" hidden="1" x14ac:dyDescent="0.25">
      <c r="A21" s="733" t="s">
        <v>971</v>
      </c>
      <c r="B21" s="644" t="s">
        <v>1076</v>
      </c>
      <c r="C21" s="636">
        <v>6784861.4500000002</v>
      </c>
      <c r="D21" s="637">
        <v>1.5</v>
      </c>
      <c r="E21" s="637">
        <v>328124</v>
      </c>
      <c r="F21" s="637">
        <v>158354</v>
      </c>
      <c r="G21" s="543">
        <f t="shared" si="0"/>
        <v>101772.92</v>
      </c>
      <c r="H21" s="544">
        <f t="shared" si="1"/>
        <v>101.8</v>
      </c>
      <c r="I21" s="545">
        <v>1</v>
      </c>
      <c r="J21" s="544">
        <f t="shared" si="2"/>
        <v>101.8</v>
      </c>
      <c r="K21" s="546">
        <f t="shared" si="3"/>
        <v>0</v>
      </c>
      <c r="L21" s="547">
        <v>1</v>
      </c>
      <c r="M21" s="544">
        <f t="shared" si="4"/>
        <v>101.8</v>
      </c>
      <c r="N21" s="634">
        <f t="shared" si="5"/>
        <v>0</v>
      </c>
    </row>
    <row r="22" spans="1:14" s="263" customFormat="1" hidden="1" x14ac:dyDescent="0.25">
      <c r="A22" s="732" t="s">
        <v>972</v>
      </c>
      <c r="B22" s="640" t="s">
        <v>1077</v>
      </c>
      <c r="C22" s="636">
        <v>16286569.52</v>
      </c>
      <c r="D22" s="637">
        <v>1.5</v>
      </c>
      <c r="E22" s="637">
        <v>665598</v>
      </c>
      <c r="F22" s="637">
        <v>349623</v>
      </c>
      <c r="G22" s="543">
        <f t="shared" si="0"/>
        <v>244298.54</v>
      </c>
      <c r="H22" s="544">
        <f t="shared" si="1"/>
        <v>244.3</v>
      </c>
      <c r="I22" s="545">
        <v>1</v>
      </c>
      <c r="J22" s="544">
        <f t="shared" si="2"/>
        <v>244.3</v>
      </c>
      <c r="K22" s="546">
        <f t="shared" si="3"/>
        <v>0</v>
      </c>
      <c r="L22" s="547">
        <v>1</v>
      </c>
      <c r="M22" s="544">
        <f t="shared" si="4"/>
        <v>244.3</v>
      </c>
      <c r="N22" s="634">
        <f t="shared" si="5"/>
        <v>0</v>
      </c>
    </row>
    <row r="23" spans="1:14" s="263" customFormat="1" hidden="1" x14ac:dyDescent="0.25">
      <c r="A23" s="732" t="s">
        <v>973</v>
      </c>
      <c r="B23" s="640" t="s">
        <v>1078</v>
      </c>
      <c r="C23" s="636">
        <v>20036943.32</v>
      </c>
      <c r="D23" s="637">
        <v>1.5</v>
      </c>
      <c r="E23" s="637">
        <v>850647</v>
      </c>
      <c r="F23" s="637">
        <v>438078</v>
      </c>
      <c r="G23" s="543">
        <f t="shared" si="0"/>
        <v>300554.15000000002</v>
      </c>
      <c r="H23" s="544">
        <f t="shared" si="1"/>
        <v>300.60000000000002</v>
      </c>
      <c r="I23" s="545">
        <v>1</v>
      </c>
      <c r="J23" s="544">
        <f t="shared" si="2"/>
        <v>300.60000000000002</v>
      </c>
      <c r="K23" s="546">
        <f t="shared" si="3"/>
        <v>0</v>
      </c>
      <c r="L23" s="547">
        <v>1</v>
      </c>
      <c r="M23" s="544">
        <f t="shared" si="4"/>
        <v>300.60000000000002</v>
      </c>
      <c r="N23" s="634">
        <f t="shared" si="5"/>
        <v>0</v>
      </c>
    </row>
    <row r="24" spans="1:14" s="263" customFormat="1" ht="15.75" hidden="1" customHeight="1" x14ac:dyDescent="0.25">
      <c r="A24" s="734" t="s">
        <v>974</v>
      </c>
      <c r="B24" s="640" t="s">
        <v>1079</v>
      </c>
      <c r="C24" s="636">
        <v>6612595.4800000004</v>
      </c>
      <c r="D24" s="637">
        <v>1.5</v>
      </c>
      <c r="E24" s="637">
        <v>287020</v>
      </c>
      <c r="F24" s="637">
        <v>146140</v>
      </c>
      <c r="G24" s="543">
        <f t="shared" si="0"/>
        <v>99188.93</v>
      </c>
      <c r="H24" s="544">
        <f t="shared" si="1"/>
        <v>99.2</v>
      </c>
      <c r="I24" s="545">
        <v>1</v>
      </c>
      <c r="J24" s="544">
        <f t="shared" si="2"/>
        <v>99.2</v>
      </c>
      <c r="K24" s="546">
        <f t="shared" si="3"/>
        <v>0</v>
      </c>
      <c r="L24" s="547">
        <v>1</v>
      </c>
      <c r="M24" s="544">
        <f t="shared" si="4"/>
        <v>99.2</v>
      </c>
      <c r="N24" s="634">
        <f t="shared" si="5"/>
        <v>0</v>
      </c>
    </row>
    <row r="25" spans="1:14" s="263" customFormat="1" hidden="1" x14ac:dyDescent="0.25">
      <c r="A25" s="732" t="s">
        <v>975</v>
      </c>
      <c r="B25" s="640" t="s">
        <v>1080</v>
      </c>
      <c r="C25" s="645">
        <v>15498218.82</v>
      </c>
      <c r="D25" s="637">
        <v>1.5</v>
      </c>
      <c r="E25" s="637">
        <v>652892</v>
      </c>
      <c r="F25" s="637">
        <v>337578</v>
      </c>
      <c r="G25" s="543">
        <f t="shared" si="0"/>
        <v>232473.28</v>
      </c>
      <c r="H25" s="544">
        <f t="shared" si="1"/>
        <v>232.5</v>
      </c>
      <c r="I25" s="545">
        <v>1</v>
      </c>
      <c r="J25" s="544">
        <f t="shared" si="2"/>
        <v>232.5</v>
      </c>
      <c r="K25" s="546">
        <f t="shared" si="3"/>
        <v>0</v>
      </c>
      <c r="L25" s="547">
        <v>1</v>
      </c>
      <c r="M25" s="544">
        <f t="shared" si="4"/>
        <v>232.5</v>
      </c>
      <c r="N25" s="634">
        <f t="shared" si="5"/>
        <v>0</v>
      </c>
    </row>
    <row r="26" spans="1:14" s="263" customFormat="1" hidden="1" x14ac:dyDescent="0.25">
      <c r="A26" s="732" t="s">
        <v>976</v>
      </c>
      <c r="B26" s="640" t="s">
        <v>1081</v>
      </c>
      <c r="C26" s="636">
        <v>21609438</v>
      </c>
      <c r="D26" s="637">
        <v>1.5</v>
      </c>
      <c r="E26" s="637">
        <v>1028039</v>
      </c>
      <c r="F26" s="637">
        <v>500117</v>
      </c>
      <c r="G26" s="543">
        <f t="shared" si="0"/>
        <v>324141.57</v>
      </c>
      <c r="H26" s="544">
        <f t="shared" si="1"/>
        <v>324.2</v>
      </c>
      <c r="I26" s="545">
        <v>1</v>
      </c>
      <c r="J26" s="544">
        <f t="shared" si="2"/>
        <v>324.2</v>
      </c>
      <c r="K26" s="546">
        <f t="shared" si="3"/>
        <v>0</v>
      </c>
      <c r="L26" s="547">
        <v>1</v>
      </c>
      <c r="M26" s="544">
        <f t="shared" si="4"/>
        <v>324.2</v>
      </c>
      <c r="N26" s="634">
        <f t="shared" si="5"/>
        <v>0</v>
      </c>
    </row>
    <row r="27" spans="1:14" s="263" customFormat="1" ht="15.75" hidden="1" customHeight="1" x14ac:dyDescent="0.25">
      <c r="A27" s="732" t="s">
        <v>977</v>
      </c>
      <c r="B27" s="640" t="s">
        <v>1082</v>
      </c>
      <c r="C27" s="646">
        <v>11442003.35</v>
      </c>
      <c r="D27" s="637">
        <v>1.5</v>
      </c>
      <c r="E27" s="637">
        <v>638864</v>
      </c>
      <c r="F27" s="637">
        <v>159716</v>
      </c>
      <c r="G27" s="543">
        <f t="shared" si="0"/>
        <v>171630.05</v>
      </c>
      <c r="H27" s="544">
        <f t="shared" si="1"/>
        <v>171.7</v>
      </c>
      <c r="I27" s="545">
        <v>1</v>
      </c>
      <c r="J27" s="544">
        <f t="shared" si="2"/>
        <v>171.7</v>
      </c>
      <c r="K27" s="546">
        <f t="shared" si="3"/>
        <v>0</v>
      </c>
      <c r="L27" s="547">
        <v>1</v>
      </c>
      <c r="M27" s="544">
        <f t="shared" si="4"/>
        <v>171.7</v>
      </c>
      <c r="N27" s="634">
        <f t="shared" si="5"/>
        <v>0</v>
      </c>
    </row>
    <row r="28" spans="1:14" s="263" customFormat="1" hidden="1" x14ac:dyDescent="0.25">
      <c r="A28" s="732" t="s">
        <v>978</v>
      </c>
      <c r="B28" s="631" t="s">
        <v>1083</v>
      </c>
      <c r="C28" s="636">
        <v>12862544.470000001</v>
      </c>
      <c r="D28" s="637">
        <v>1.5</v>
      </c>
      <c r="E28" s="637">
        <v>508124</v>
      </c>
      <c r="F28" s="637">
        <v>271736</v>
      </c>
      <c r="G28" s="543">
        <f t="shared" si="0"/>
        <v>192938.17</v>
      </c>
      <c r="H28" s="544">
        <f t="shared" si="1"/>
        <v>193</v>
      </c>
      <c r="I28" s="545">
        <v>1</v>
      </c>
      <c r="J28" s="544">
        <f t="shared" si="2"/>
        <v>193</v>
      </c>
      <c r="K28" s="546">
        <f t="shared" si="3"/>
        <v>0</v>
      </c>
      <c r="L28" s="547">
        <v>1</v>
      </c>
      <c r="M28" s="544">
        <f t="shared" si="4"/>
        <v>193</v>
      </c>
      <c r="N28" s="634">
        <f t="shared" si="5"/>
        <v>0</v>
      </c>
    </row>
    <row r="29" spans="1:14" s="263" customFormat="1" hidden="1" x14ac:dyDescent="0.25">
      <c r="A29" s="732" t="s">
        <v>979</v>
      </c>
      <c r="B29" s="635" t="s">
        <v>1084</v>
      </c>
      <c r="C29" s="636">
        <v>16912096.190000001</v>
      </c>
      <c r="D29" s="637">
        <v>1.5</v>
      </c>
      <c r="E29" s="637">
        <v>830529</v>
      </c>
      <c r="F29" s="637">
        <v>397896</v>
      </c>
      <c r="G29" s="543">
        <f t="shared" si="0"/>
        <v>253681.44</v>
      </c>
      <c r="H29" s="544">
        <f t="shared" si="1"/>
        <v>253.7</v>
      </c>
      <c r="I29" s="545">
        <v>1</v>
      </c>
      <c r="J29" s="544">
        <f t="shared" si="2"/>
        <v>253.7</v>
      </c>
      <c r="K29" s="546">
        <f t="shared" si="3"/>
        <v>0</v>
      </c>
      <c r="L29" s="547">
        <v>1</v>
      </c>
      <c r="M29" s="544">
        <f t="shared" si="4"/>
        <v>253.7</v>
      </c>
      <c r="N29" s="634">
        <f t="shared" si="5"/>
        <v>0</v>
      </c>
    </row>
    <row r="30" spans="1:14" s="263" customFormat="1" hidden="1" x14ac:dyDescent="0.25">
      <c r="A30" s="732" t="s">
        <v>980</v>
      </c>
      <c r="B30" s="635" t="s">
        <v>1085</v>
      </c>
      <c r="C30" s="636">
        <v>29539989.609999999</v>
      </c>
      <c r="D30" s="637">
        <v>1.5</v>
      </c>
      <c r="E30" s="637">
        <v>1276343</v>
      </c>
      <c r="F30" s="637">
        <v>429863</v>
      </c>
      <c r="G30" s="543">
        <f t="shared" si="0"/>
        <v>443099.84</v>
      </c>
      <c r="H30" s="544">
        <f t="shared" si="1"/>
        <v>443.1</v>
      </c>
      <c r="I30" s="545">
        <v>1</v>
      </c>
      <c r="J30" s="544">
        <f t="shared" si="2"/>
        <v>443.1</v>
      </c>
      <c r="K30" s="546">
        <f t="shared" si="3"/>
        <v>0</v>
      </c>
      <c r="L30" s="547">
        <v>1</v>
      </c>
      <c r="M30" s="544">
        <f t="shared" si="4"/>
        <v>443.1</v>
      </c>
      <c r="N30" s="634">
        <f t="shared" si="5"/>
        <v>0</v>
      </c>
    </row>
    <row r="31" spans="1:14" s="263" customFormat="1" hidden="1" x14ac:dyDescent="0.25">
      <c r="A31" s="732" t="s">
        <v>981</v>
      </c>
      <c r="B31" s="638" t="s">
        <v>1086</v>
      </c>
      <c r="C31" s="636">
        <v>10602035.279999999</v>
      </c>
      <c r="D31" s="637">
        <v>1.5</v>
      </c>
      <c r="E31" s="637">
        <v>798061</v>
      </c>
      <c r="F31" s="637">
        <v>318790</v>
      </c>
      <c r="G31" s="543">
        <f t="shared" si="0"/>
        <v>159030.53</v>
      </c>
      <c r="H31" s="544">
        <f t="shared" si="1"/>
        <v>159.1</v>
      </c>
      <c r="I31" s="545">
        <v>1</v>
      </c>
      <c r="J31" s="544">
        <f t="shared" si="2"/>
        <v>159.1</v>
      </c>
      <c r="K31" s="546">
        <f t="shared" si="3"/>
        <v>0</v>
      </c>
      <c r="L31" s="547">
        <v>1</v>
      </c>
      <c r="M31" s="544">
        <f t="shared" si="4"/>
        <v>159.1</v>
      </c>
      <c r="N31" s="634">
        <f t="shared" si="5"/>
        <v>0</v>
      </c>
    </row>
    <row r="32" spans="1:14" s="263" customFormat="1" hidden="1" x14ac:dyDescent="0.25">
      <c r="A32" s="732" t="s">
        <v>982</v>
      </c>
      <c r="B32" s="631" t="s">
        <v>1087</v>
      </c>
      <c r="C32" s="646">
        <v>9418075.0399999991</v>
      </c>
      <c r="D32" s="637">
        <v>1.5</v>
      </c>
      <c r="E32" s="637">
        <v>360820</v>
      </c>
      <c r="F32" s="637">
        <v>196131.34</v>
      </c>
      <c r="G32" s="543">
        <f t="shared" si="0"/>
        <v>141271.13</v>
      </c>
      <c r="H32" s="544">
        <f t="shared" si="1"/>
        <v>141.30000000000001</v>
      </c>
      <c r="I32" s="545">
        <v>1</v>
      </c>
      <c r="J32" s="544">
        <f t="shared" si="2"/>
        <v>141.30000000000001</v>
      </c>
      <c r="K32" s="546">
        <f t="shared" si="3"/>
        <v>0</v>
      </c>
      <c r="L32" s="547">
        <v>1</v>
      </c>
      <c r="M32" s="544">
        <f t="shared" si="4"/>
        <v>141.30000000000001</v>
      </c>
      <c r="N32" s="634">
        <f t="shared" si="5"/>
        <v>0</v>
      </c>
    </row>
    <row r="33" spans="1:14" s="263" customFormat="1" ht="31.5" hidden="1" x14ac:dyDescent="0.25">
      <c r="A33" s="732" t="s">
        <v>983</v>
      </c>
      <c r="B33" s="635" t="s">
        <v>1088</v>
      </c>
      <c r="C33" s="636">
        <v>30277396.449999999</v>
      </c>
      <c r="D33" s="637">
        <v>1.5</v>
      </c>
      <c r="E33" s="637">
        <v>1302124</v>
      </c>
      <c r="F33" s="637">
        <v>661648</v>
      </c>
      <c r="G33" s="543">
        <f t="shared" si="0"/>
        <v>454160.95</v>
      </c>
      <c r="H33" s="544">
        <f t="shared" si="1"/>
        <v>454.2</v>
      </c>
      <c r="I33" s="545">
        <v>0.97869633489999996</v>
      </c>
      <c r="J33" s="544">
        <f t="shared" si="2"/>
        <v>444.6</v>
      </c>
      <c r="K33" s="546">
        <f t="shared" si="3"/>
        <v>9.6</v>
      </c>
      <c r="L33" s="547">
        <v>1</v>
      </c>
      <c r="M33" s="544">
        <f t="shared" si="4"/>
        <v>444.6</v>
      </c>
      <c r="N33" s="634">
        <f t="shared" si="5"/>
        <v>0</v>
      </c>
    </row>
    <row r="34" spans="1:14" s="263" customFormat="1" hidden="1" x14ac:dyDescent="0.25">
      <c r="A34" s="732" t="s">
        <v>984</v>
      </c>
      <c r="B34" s="638" t="s">
        <v>1089</v>
      </c>
      <c r="C34" s="636">
        <v>23194715.460000001</v>
      </c>
      <c r="D34" s="637">
        <v>1.5</v>
      </c>
      <c r="E34" s="637">
        <v>983561</v>
      </c>
      <c r="F34" s="637">
        <v>506833</v>
      </c>
      <c r="G34" s="543">
        <f t="shared" si="0"/>
        <v>347920.73</v>
      </c>
      <c r="H34" s="544">
        <f t="shared" si="1"/>
        <v>348</v>
      </c>
      <c r="I34" s="545">
        <v>1</v>
      </c>
      <c r="J34" s="544">
        <f t="shared" si="2"/>
        <v>348</v>
      </c>
      <c r="K34" s="546">
        <f t="shared" si="3"/>
        <v>0</v>
      </c>
      <c r="L34" s="547">
        <v>1</v>
      </c>
      <c r="M34" s="544">
        <f t="shared" si="4"/>
        <v>348</v>
      </c>
      <c r="N34" s="634">
        <f t="shared" si="5"/>
        <v>0</v>
      </c>
    </row>
    <row r="35" spans="1:14" s="263" customFormat="1" hidden="1" x14ac:dyDescent="0.25">
      <c r="A35" s="732" t="s">
        <v>985</v>
      </c>
      <c r="B35" s="640" t="s">
        <v>1090</v>
      </c>
      <c r="C35" s="636">
        <v>13363865.449999999</v>
      </c>
      <c r="D35" s="637">
        <v>1.5</v>
      </c>
      <c r="E35" s="637">
        <v>551983</v>
      </c>
      <c r="F35" s="637">
        <v>288340</v>
      </c>
      <c r="G35" s="543">
        <f t="shared" si="0"/>
        <v>200457.98</v>
      </c>
      <c r="H35" s="544">
        <f t="shared" si="1"/>
        <v>200.5</v>
      </c>
      <c r="I35" s="545">
        <v>1</v>
      </c>
      <c r="J35" s="544">
        <f t="shared" si="2"/>
        <v>200.5</v>
      </c>
      <c r="K35" s="546">
        <f t="shared" si="3"/>
        <v>0</v>
      </c>
      <c r="L35" s="547">
        <v>1</v>
      </c>
      <c r="M35" s="544">
        <f t="shared" si="4"/>
        <v>200.5</v>
      </c>
      <c r="N35" s="634">
        <f t="shared" si="5"/>
        <v>0</v>
      </c>
    </row>
    <row r="36" spans="1:14" s="263" customFormat="1" hidden="1" x14ac:dyDescent="0.25">
      <c r="A36" s="732" t="s">
        <v>986</v>
      </c>
      <c r="B36" s="640" t="s">
        <v>1072</v>
      </c>
      <c r="C36" s="636">
        <v>24622776.359999999</v>
      </c>
      <c r="D36" s="637">
        <v>1.5</v>
      </c>
      <c r="E36" s="637">
        <v>1052724</v>
      </c>
      <c r="F36" s="637">
        <v>272552</v>
      </c>
      <c r="G36" s="543">
        <f t="shared" si="0"/>
        <v>369341.65</v>
      </c>
      <c r="H36" s="544">
        <f t="shared" si="1"/>
        <v>369.4</v>
      </c>
      <c r="I36" s="545">
        <v>1</v>
      </c>
      <c r="J36" s="544">
        <f t="shared" si="2"/>
        <v>369.4</v>
      </c>
      <c r="K36" s="546">
        <f t="shared" si="3"/>
        <v>0</v>
      </c>
      <c r="L36" s="547">
        <v>1</v>
      </c>
      <c r="M36" s="544">
        <f t="shared" si="4"/>
        <v>369.4</v>
      </c>
      <c r="N36" s="634">
        <f t="shared" si="5"/>
        <v>0</v>
      </c>
    </row>
    <row r="37" spans="1:14" s="263" customFormat="1" hidden="1" x14ac:dyDescent="0.25">
      <c r="A37" s="732" t="s">
        <v>987</v>
      </c>
      <c r="B37" s="640" t="s">
        <v>1091</v>
      </c>
      <c r="C37" s="636">
        <v>21964578.789999999</v>
      </c>
      <c r="D37" s="637">
        <v>1.5</v>
      </c>
      <c r="E37" s="637">
        <v>921728</v>
      </c>
      <c r="F37" s="637">
        <v>477533.51</v>
      </c>
      <c r="G37" s="543">
        <f t="shared" si="0"/>
        <v>329468.68</v>
      </c>
      <c r="H37" s="544">
        <f t="shared" si="1"/>
        <v>329.5</v>
      </c>
      <c r="I37" s="545">
        <v>1</v>
      </c>
      <c r="J37" s="544">
        <f t="shared" si="2"/>
        <v>329.5</v>
      </c>
      <c r="K37" s="546">
        <f t="shared" si="3"/>
        <v>0</v>
      </c>
      <c r="L37" s="547">
        <v>1</v>
      </c>
      <c r="M37" s="544">
        <f t="shared" si="4"/>
        <v>329.5</v>
      </c>
      <c r="N37" s="634">
        <f t="shared" si="5"/>
        <v>0</v>
      </c>
    </row>
    <row r="38" spans="1:14" s="263" customFormat="1" hidden="1" x14ac:dyDescent="0.25">
      <c r="A38" s="732" t="s">
        <v>988</v>
      </c>
      <c r="B38" s="640" t="s">
        <v>1092</v>
      </c>
      <c r="C38" s="636">
        <v>12272579.619999999</v>
      </c>
      <c r="D38" s="637">
        <v>1.5</v>
      </c>
      <c r="E38" s="637">
        <v>633384</v>
      </c>
      <c r="F38" s="637">
        <v>296412</v>
      </c>
      <c r="G38" s="543">
        <f t="shared" si="0"/>
        <v>184088.69</v>
      </c>
      <c r="H38" s="544">
        <f t="shared" si="1"/>
        <v>184.1</v>
      </c>
      <c r="I38" s="545">
        <v>1</v>
      </c>
      <c r="J38" s="544">
        <f t="shared" si="2"/>
        <v>184.1</v>
      </c>
      <c r="K38" s="546">
        <f t="shared" si="3"/>
        <v>0</v>
      </c>
      <c r="L38" s="547">
        <v>1</v>
      </c>
      <c r="M38" s="544">
        <f t="shared" si="4"/>
        <v>184.1</v>
      </c>
      <c r="N38" s="634">
        <f t="shared" si="5"/>
        <v>0</v>
      </c>
    </row>
    <row r="39" spans="1:14" s="263" customFormat="1" ht="15.75" hidden="1" customHeight="1" x14ac:dyDescent="0.25">
      <c r="A39" s="735" t="s">
        <v>989</v>
      </c>
      <c r="B39" s="640" t="s">
        <v>1093</v>
      </c>
      <c r="C39" s="636">
        <v>14300651.960000001</v>
      </c>
      <c r="D39" s="637">
        <v>1.5</v>
      </c>
      <c r="E39" s="637">
        <v>596381</v>
      </c>
      <c r="F39" s="637">
        <v>309977.75</v>
      </c>
      <c r="G39" s="543">
        <f t="shared" si="0"/>
        <v>214509.78</v>
      </c>
      <c r="H39" s="544">
        <f t="shared" si="1"/>
        <v>214.6</v>
      </c>
      <c r="I39" s="545">
        <v>1</v>
      </c>
      <c r="J39" s="544">
        <f t="shared" si="2"/>
        <v>214.6</v>
      </c>
      <c r="K39" s="546">
        <f t="shared" si="3"/>
        <v>0</v>
      </c>
      <c r="L39" s="547">
        <v>1</v>
      </c>
      <c r="M39" s="544">
        <f t="shared" si="4"/>
        <v>214.6</v>
      </c>
      <c r="N39" s="634">
        <f t="shared" si="5"/>
        <v>0</v>
      </c>
    </row>
    <row r="40" spans="1:14" s="263" customFormat="1" hidden="1" x14ac:dyDescent="0.25">
      <c r="A40" s="732" t="s">
        <v>990</v>
      </c>
      <c r="B40" s="640" t="s">
        <v>1094</v>
      </c>
      <c r="C40" s="636">
        <v>13101939.32</v>
      </c>
      <c r="D40" s="637">
        <v>1.5</v>
      </c>
      <c r="E40" s="637">
        <v>519180</v>
      </c>
      <c r="F40" s="637">
        <v>277245</v>
      </c>
      <c r="G40" s="543">
        <f t="shared" si="0"/>
        <v>196529.09</v>
      </c>
      <c r="H40" s="544">
        <f t="shared" si="1"/>
        <v>196.6</v>
      </c>
      <c r="I40" s="545">
        <v>1</v>
      </c>
      <c r="J40" s="544">
        <f t="shared" si="2"/>
        <v>196.6</v>
      </c>
      <c r="K40" s="546">
        <f t="shared" si="3"/>
        <v>0</v>
      </c>
      <c r="L40" s="547">
        <v>1</v>
      </c>
      <c r="M40" s="544">
        <f t="shared" si="4"/>
        <v>196.6</v>
      </c>
      <c r="N40" s="634">
        <f t="shared" si="5"/>
        <v>0</v>
      </c>
    </row>
    <row r="41" spans="1:14" s="263" customFormat="1" hidden="1" x14ac:dyDescent="0.25">
      <c r="A41" s="732" t="s">
        <v>991</v>
      </c>
      <c r="B41" s="640" t="s">
        <v>1095</v>
      </c>
      <c r="C41" s="636">
        <v>13613394.43</v>
      </c>
      <c r="D41" s="637">
        <v>1.5</v>
      </c>
      <c r="E41" s="637">
        <v>751040</v>
      </c>
      <c r="F41" s="637">
        <v>340913</v>
      </c>
      <c r="G41" s="543">
        <f t="shared" si="0"/>
        <v>204200.92</v>
      </c>
      <c r="H41" s="544">
        <f t="shared" si="1"/>
        <v>204.3</v>
      </c>
      <c r="I41" s="545">
        <v>1</v>
      </c>
      <c r="J41" s="544">
        <f t="shared" si="2"/>
        <v>204.3</v>
      </c>
      <c r="K41" s="546">
        <f t="shared" si="3"/>
        <v>0</v>
      </c>
      <c r="L41" s="547">
        <v>1</v>
      </c>
      <c r="M41" s="544">
        <f t="shared" si="4"/>
        <v>204.3</v>
      </c>
      <c r="N41" s="634">
        <f t="shared" si="5"/>
        <v>0</v>
      </c>
    </row>
    <row r="42" spans="1:14" s="263" customFormat="1" hidden="1" x14ac:dyDescent="0.25">
      <c r="A42" s="732" t="s">
        <v>992</v>
      </c>
      <c r="B42" s="640" t="s">
        <v>1096</v>
      </c>
      <c r="C42" s="636">
        <v>13276075.32</v>
      </c>
      <c r="D42" s="637">
        <v>1.5</v>
      </c>
      <c r="E42" s="637">
        <v>624675</v>
      </c>
      <c r="F42" s="637">
        <v>305523</v>
      </c>
      <c r="G42" s="543">
        <f t="shared" si="0"/>
        <v>199141.13</v>
      </c>
      <c r="H42" s="544">
        <f t="shared" si="1"/>
        <v>199.2</v>
      </c>
      <c r="I42" s="545">
        <v>1</v>
      </c>
      <c r="J42" s="544">
        <f t="shared" si="2"/>
        <v>199.2</v>
      </c>
      <c r="K42" s="546">
        <f t="shared" si="3"/>
        <v>0</v>
      </c>
      <c r="L42" s="547">
        <v>1</v>
      </c>
      <c r="M42" s="544">
        <f t="shared" si="4"/>
        <v>199.2</v>
      </c>
      <c r="N42" s="634">
        <f t="shared" si="5"/>
        <v>0</v>
      </c>
    </row>
    <row r="43" spans="1:14" s="263" customFormat="1" hidden="1" x14ac:dyDescent="0.25">
      <c r="A43" s="732" t="s">
        <v>993</v>
      </c>
      <c r="B43" s="631" t="s">
        <v>1097</v>
      </c>
      <c r="C43" s="636">
        <v>10619925.25</v>
      </c>
      <c r="D43" s="637">
        <v>1.5</v>
      </c>
      <c r="E43" s="637">
        <v>519999.2</v>
      </c>
      <c r="F43" s="637">
        <v>251417.25</v>
      </c>
      <c r="G43" s="543">
        <f t="shared" si="0"/>
        <v>159298.88</v>
      </c>
      <c r="H43" s="544">
        <f t="shared" si="1"/>
        <v>159.30000000000001</v>
      </c>
      <c r="I43" s="545">
        <v>1</v>
      </c>
      <c r="J43" s="544">
        <f t="shared" si="2"/>
        <v>159.30000000000001</v>
      </c>
      <c r="K43" s="546">
        <f t="shared" si="3"/>
        <v>0</v>
      </c>
      <c r="L43" s="547">
        <v>1</v>
      </c>
      <c r="M43" s="544">
        <f t="shared" si="4"/>
        <v>159.30000000000001</v>
      </c>
      <c r="N43" s="634">
        <f t="shared" si="5"/>
        <v>0</v>
      </c>
    </row>
    <row r="44" spans="1:14" s="263" customFormat="1" ht="31.5" hidden="1" x14ac:dyDescent="0.25">
      <c r="A44" s="732" t="s">
        <v>994</v>
      </c>
      <c r="B44" s="635" t="s">
        <v>1098</v>
      </c>
      <c r="C44" s="636">
        <v>43026663.659999996</v>
      </c>
      <c r="D44" s="637">
        <v>1.5</v>
      </c>
      <c r="E44" s="637">
        <v>1847477</v>
      </c>
      <c r="F44" s="637">
        <v>947782</v>
      </c>
      <c r="G44" s="543">
        <f t="shared" si="0"/>
        <v>645399.94999999995</v>
      </c>
      <c r="H44" s="544">
        <f t="shared" si="1"/>
        <v>645.4</v>
      </c>
      <c r="I44" s="545">
        <v>0.98315819660000003</v>
      </c>
      <c r="J44" s="544">
        <f t="shared" si="2"/>
        <v>634.6</v>
      </c>
      <c r="K44" s="546">
        <f t="shared" si="3"/>
        <v>10.8</v>
      </c>
      <c r="L44" s="547">
        <v>1</v>
      </c>
      <c r="M44" s="544">
        <f t="shared" si="4"/>
        <v>634.6</v>
      </c>
      <c r="N44" s="634">
        <f t="shared" si="5"/>
        <v>0</v>
      </c>
    </row>
    <row r="45" spans="1:14" s="263" customFormat="1" hidden="1" x14ac:dyDescent="0.25">
      <c r="A45" s="732" t="s">
        <v>995</v>
      </c>
      <c r="B45" s="638" t="s">
        <v>1099</v>
      </c>
      <c r="C45" s="646">
        <v>14062335.130000001</v>
      </c>
      <c r="D45" s="637">
        <v>1.5</v>
      </c>
      <c r="E45" s="637">
        <v>576976</v>
      </c>
      <c r="F45" s="637">
        <v>302446</v>
      </c>
      <c r="G45" s="543">
        <f t="shared" si="0"/>
        <v>210935.03</v>
      </c>
      <c r="H45" s="544">
        <f t="shared" si="1"/>
        <v>211</v>
      </c>
      <c r="I45" s="545">
        <v>1</v>
      </c>
      <c r="J45" s="544">
        <f t="shared" si="2"/>
        <v>211</v>
      </c>
      <c r="K45" s="546">
        <f t="shared" si="3"/>
        <v>0</v>
      </c>
      <c r="L45" s="547">
        <v>1</v>
      </c>
      <c r="M45" s="544">
        <f t="shared" si="4"/>
        <v>211</v>
      </c>
      <c r="N45" s="634">
        <f t="shared" si="5"/>
        <v>0</v>
      </c>
    </row>
    <row r="46" spans="1:14" s="263" customFormat="1" hidden="1" x14ac:dyDescent="0.25">
      <c r="A46" s="732" t="s">
        <v>996</v>
      </c>
      <c r="B46" s="640" t="s">
        <v>1100</v>
      </c>
      <c r="C46" s="636">
        <v>9229829.3399999999</v>
      </c>
      <c r="D46" s="637">
        <v>1.5</v>
      </c>
      <c r="E46" s="637">
        <v>307398</v>
      </c>
      <c r="F46" s="637">
        <v>104075</v>
      </c>
      <c r="G46" s="543">
        <f t="shared" si="0"/>
        <v>138447.44</v>
      </c>
      <c r="H46" s="544">
        <f t="shared" si="1"/>
        <v>138.5</v>
      </c>
      <c r="I46" s="545">
        <v>0.94366307559999996</v>
      </c>
      <c r="J46" s="544">
        <f t="shared" si="2"/>
        <v>130.69999999999999</v>
      </c>
      <c r="K46" s="546">
        <f t="shared" si="3"/>
        <v>7.8</v>
      </c>
      <c r="L46" s="547">
        <v>1</v>
      </c>
      <c r="M46" s="544">
        <f t="shared" si="4"/>
        <v>130.69999999999999</v>
      </c>
      <c r="N46" s="634">
        <f t="shared" si="5"/>
        <v>0</v>
      </c>
    </row>
    <row r="47" spans="1:14" s="263" customFormat="1" ht="15.75" hidden="1" customHeight="1" x14ac:dyDescent="0.25">
      <c r="A47" s="732" t="s">
        <v>997</v>
      </c>
      <c r="B47" s="640" t="s">
        <v>1101</v>
      </c>
      <c r="C47" s="636">
        <v>9732896.0600000005</v>
      </c>
      <c r="D47" s="637">
        <v>1.5</v>
      </c>
      <c r="E47" s="637">
        <v>520149.44</v>
      </c>
      <c r="F47" s="637">
        <v>239531</v>
      </c>
      <c r="G47" s="543">
        <f t="shared" si="0"/>
        <v>145993.44</v>
      </c>
      <c r="H47" s="544">
        <f t="shared" si="1"/>
        <v>146</v>
      </c>
      <c r="I47" s="545">
        <v>1</v>
      </c>
      <c r="J47" s="544">
        <f t="shared" si="2"/>
        <v>146</v>
      </c>
      <c r="K47" s="546">
        <f t="shared" si="3"/>
        <v>0</v>
      </c>
      <c r="L47" s="547">
        <v>1</v>
      </c>
      <c r="M47" s="544">
        <f t="shared" si="4"/>
        <v>146</v>
      </c>
      <c r="N47" s="634">
        <f t="shared" si="5"/>
        <v>0</v>
      </c>
    </row>
    <row r="48" spans="1:14" s="263" customFormat="1" hidden="1" x14ac:dyDescent="0.25">
      <c r="A48" s="732" t="s">
        <v>998</v>
      </c>
      <c r="B48" s="640" t="s">
        <v>1102</v>
      </c>
      <c r="C48" s="636">
        <v>11768485.74</v>
      </c>
      <c r="D48" s="637">
        <v>1.5</v>
      </c>
      <c r="E48" s="637">
        <v>438756</v>
      </c>
      <c r="F48" s="637">
        <v>242085</v>
      </c>
      <c r="G48" s="543">
        <f t="shared" si="0"/>
        <v>176527.29</v>
      </c>
      <c r="H48" s="544">
        <f t="shared" si="1"/>
        <v>176.6</v>
      </c>
      <c r="I48" s="545">
        <v>1</v>
      </c>
      <c r="J48" s="544">
        <f t="shared" si="2"/>
        <v>176.6</v>
      </c>
      <c r="K48" s="546">
        <f t="shared" si="3"/>
        <v>0</v>
      </c>
      <c r="L48" s="547">
        <v>1</v>
      </c>
      <c r="M48" s="544">
        <f t="shared" si="4"/>
        <v>176.6</v>
      </c>
      <c r="N48" s="634">
        <f t="shared" si="5"/>
        <v>0</v>
      </c>
    </row>
    <row r="49" spans="1:14" s="263" customFormat="1" hidden="1" x14ac:dyDescent="0.25">
      <c r="A49" s="732" t="s">
        <v>999</v>
      </c>
      <c r="B49" s="640" t="s">
        <v>1103</v>
      </c>
      <c r="C49" s="636">
        <v>14324008.32</v>
      </c>
      <c r="D49" s="637">
        <v>1.5</v>
      </c>
      <c r="E49" s="637">
        <v>582784</v>
      </c>
      <c r="F49" s="637">
        <v>306842</v>
      </c>
      <c r="G49" s="543">
        <f t="shared" si="0"/>
        <v>214860.12</v>
      </c>
      <c r="H49" s="544">
        <f t="shared" si="1"/>
        <v>214.9</v>
      </c>
      <c r="I49" s="545">
        <v>1</v>
      </c>
      <c r="J49" s="544">
        <f t="shared" si="2"/>
        <v>214.9</v>
      </c>
      <c r="K49" s="546">
        <f t="shared" si="3"/>
        <v>0</v>
      </c>
      <c r="L49" s="547">
        <v>1</v>
      </c>
      <c r="M49" s="544">
        <f t="shared" si="4"/>
        <v>214.9</v>
      </c>
      <c r="N49" s="634">
        <f t="shared" si="5"/>
        <v>0</v>
      </c>
    </row>
    <row r="50" spans="1:14" s="263" customFormat="1" hidden="1" x14ac:dyDescent="0.25">
      <c r="A50" s="732" t="s">
        <v>1000</v>
      </c>
      <c r="B50" s="640" t="s">
        <v>1104</v>
      </c>
      <c r="C50" s="636">
        <v>13161083.93</v>
      </c>
      <c r="D50" s="637">
        <v>1.5</v>
      </c>
      <c r="E50" s="637">
        <v>539485</v>
      </c>
      <c r="F50" s="637">
        <v>282933.25</v>
      </c>
      <c r="G50" s="543">
        <f t="shared" si="0"/>
        <v>197416.26</v>
      </c>
      <c r="H50" s="544">
        <f t="shared" si="1"/>
        <v>197.5</v>
      </c>
      <c r="I50" s="545">
        <v>1</v>
      </c>
      <c r="J50" s="544">
        <f t="shared" si="2"/>
        <v>197.5</v>
      </c>
      <c r="K50" s="546">
        <f t="shared" si="3"/>
        <v>0</v>
      </c>
      <c r="L50" s="547">
        <v>1</v>
      </c>
      <c r="M50" s="544">
        <f t="shared" si="4"/>
        <v>197.5</v>
      </c>
      <c r="N50" s="634">
        <f t="shared" si="5"/>
        <v>0</v>
      </c>
    </row>
    <row r="51" spans="1:14" s="263" customFormat="1" hidden="1" x14ac:dyDescent="0.25">
      <c r="A51" s="732" t="s">
        <v>1001</v>
      </c>
      <c r="B51" s="640" t="s">
        <v>1075</v>
      </c>
      <c r="C51" s="636">
        <v>10245052.789999999</v>
      </c>
      <c r="D51" s="637">
        <v>1.5</v>
      </c>
      <c r="E51" s="637">
        <v>574215</v>
      </c>
      <c r="F51" s="637">
        <v>258807</v>
      </c>
      <c r="G51" s="543">
        <f t="shared" si="0"/>
        <v>153675.79</v>
      </c>
      <c r="H51" s="544">
        <f t="shared" si="1"/>
        <v>153.69999999999999</v>
      </c>
      <c r="I51" s="545">
        <v>0.98512713200000002</v>
      </c>
      <c r="J51" s="544">
        <f t="shared" si="2"/>
        <v>151.5</v>
      </c>
      <c r="K51" s="546">
        <f t="shared" si="3"/>
        <v>2.2000000000000002</v>
      </c>
      <c r="L51" s="547">
        <v>1</v>
      </c>
      <c r="M51" s="544">
        <f t="shared" si="4"/>
        <v>151.5</v>
      </c>
      <c r="N51" s="634">
        <f t="shared" si="5"/>
        <v>0</v>
      </c>
    </row>
    <row r="52" spans="1:14" s="263" customFormat="1" hidden="1" x14ac:dyDescent="0.25">
      <c r="A52" s="732" t="s">
        <v>1002</v>
      </c>
      <c r="B52" s="640" t="s">
        <v>1105</v>
      </c>
      <c r="C52" s="636">
        <v>13060493.810000001</v>
      </c>
      <c r="D52" s="637">
        <v>1.5</v>
      </c>
      <c r="E52" s="637">
        <v>545061</v>
      </c>
      <c r="F52" s="637">
        <v>136266</v>
      </c>
      <c r="G52" s="543">
        <f t="shared" si="0"/>
        <v>195907.41</v>
      </c>
      <c r="H52" s="544">
        <f t="shared" si="1"/>
        <v>196</v>
      </c>
      <c r="I52" s="545">
        <v>1</v>
      </c>
      <c r="J52" s="544">
        <f t="shared" si="2"/>
        <v>196</v>
      </c>
      <c r="K52" s="546">
        <f t="shared" si="3"/>
        <v>0</v>
      </c>
      <c r="L52" s="547">
        <v>1</v>
      </c>
      <c r="M52" s="544">
        <f t="shared" si="4"/>
        <v>196</v>
      </c>
      <c r="N52" s="634">
        <f t="shared" si="5"/>
        <v>0</v>
      </c>
    </row>
    <row r="53" spans="1:14" s="263" customFormat="1" hidden="1" x14ac:dyDescent="0.25">
      <c r="A53" s="732" t="s">
        <v>1003</v>
      </c>
      <c r="B53" s="640" t="s">
        <v>1106</v>
      </c>
      <c r="C53" s="636">
        <v>13997502.189999999</v>
      </c>
      <c r="D53" s="637">
        <v>1.5</v>
      </c>
      <c r="E53" s="637">
        <v>582152</v>
      </c>
      <c r="F53" s="637">
        <v>303011</v>
      </c>
      <c r="G53" s="543">
        <f t="shared" si="0"/>
        <v>209962.53</v>
      </c>
      <c r="H53" s="544">
        <f t="shared" si="1"/>
        <v>210</v>
      </c>
      <c r="I53" s="545">
        <v>1</v>
      </c>
      <c r="J53" s="544">
        <f t="shared" si="2"/>
        <v>210</v>
      </c>
      <c r="K53" s="546">
        <f t="shared" si="3"/>
        <v>0</v>
      </c>
      <c r="L53" s="547">
        <v>1</v>
      </c>
      <c r="M53" s="544">
        <f t="shared" si="4"/>
        <v>210</v>
      </c>
      <c r="N53" s="634">
        <f t="shared" si="5"/>
        <v>0</v>
      </c>
    </row>
    <row r="54" spans="1:14" s="263" customFormat="1" ht="31.5" hidden="1" x14ac:dyDescent="0.25">
      <c r="A54" s="732" t="s">
        <v>1004</v>
      </c>
      <c r="B54" s="640" t="s">
        <v>1107</v>
      </c>
      <c r="C54" s="636">
        <v>15943583.16</v>
      </c>
      <c r="D54" s="637">
        <v>1.5</v>
      </c>
      <c r="E54" s="637">
        <v>1200014</v>
      </c>
      <c r="F54" s="637">
        <v>479366</v>
      </c>
      <c r="G54" s="543">
        <f t="shared" si="0"/>
        <v>239153.75</v>
      </c>
      <c r="H54" s="544">
        <f t="shared" si="1"/>
        <v>239.2</v>
      </c>
      <c r="I54" s="545">
        <v>0.99632124430000002</v>
      </c>
      <c r="J54" s="544">
        <f t="shared" si="2"/>
        <v>238.4</v>
      </c>
      <c r="K54" s="546">
        <f t="shared" si="3"/>
        <v>0.8</v>
      </c>
      <c r="L54" s="547">
        <v>1</v>
      </c>
      <c r="M54" s="544">
        <f t="shared" si="4"/>
        <v>238.4</v>
      </c>
      <c r="N54" s="634">
        <f t="shared" si="5"/>
        <v>0</v>
      </c>
    </row>
    <row r="55" spans="1:14" s="263" customFormat="1" hidden="1" x14ac:dyDescent="0.25">
      <c r="A55" s="732" t="s">
        <v>1005</v>
      </c>
      <c r="B55" s="640" t="s">
        <v>1108</v>
      </c>
      <c r="C55" s="636">
        <v>6368740.4400000004</v>
      </c>
      <c r="D55" s="637">
        <v>1.5</v>
      </c>
      <c r="E55" s="637">
        <v>226295.28</v>
      </c>
      <c r="F55" s="637">
        <v>127266.66</v>
      </c>
      <c r="G55" s="543">
        <f t="shared" si="0"/>
        <v>95531.11</v>
      </c>
      <c r="H55" s="544">
        <f t="shared" si="1"/>
        <v>95.6</v>
      </c>
      <c r="I55" s="545">
        <v>0.99309176379999997</v>
      </c>
      <c r="J55" s="544">
        <f t="shared" si="2"/>
        <v>95</v>
      </c>
      <c r="K55" s="546">
        <f t="shared" si="3"/>
        <v>0.6</v>
      </c>
      <c r="L55" s="547">
        <v>1</v>
      </c>
      <c r="M55" s="544">
        <f t="shared" si="4"/>
        <v>95</v>
      </c>
      <c r="N55" s="634">
        <f t="shared" si="5"/>
        <v>0</v>
      </c>
    </row>
    <row r="56" spans="1:14" s="263" customFormat="1" hidden="1" x14ac:dyDescent="0.25">
      <c r="A56" s="732" t="s">
        <v>1006</v>
      </c>
      <c r="B56" s="640" t="s">
        <v>1109</v>
      </c>
      <c r="C56" s="636">
        <v>21107762.760000002</v>
      </c>
      <c r="D56" s="637">
        <v>1.5</v>
      </c>
      <c r="E56" s="637">
        <v>1094571</v>
      </c>
      <c r="F56" s="637">
        <v>273642</v>
      </c>
      <c r="G56" s="543">
        <f t="shared" si="0"/>
        <v>316616.44</v>
      </c>
      <c r="H56" s="544">
        <f t="shared" si="1"/>
        <v>316.7</v>
      </c>
      <c r="I56" s="545">
        <v>1</v>
      </c>
      <c r="J56" s="544">
        <f t="shared" si="2"/>
        <v>316.7</v>
      </c>
      <c r="K56" s="546">
        <f t="shared" si="3"/>
        <v>0</v>
      </c>
      <c r="L56" s="547">
        <v>1</v>
      </c>
      <c r="M56" s="544">
        <f t="shared" si="4"/>
        <v>316.7</v>
      </c>
      <c r="N56" s="634">
        <f t="shared" si="5"/>
        <v>0</v>
      </c>
    </row>
    <row r="57" spans="1:14" s="263" customFormat="1" hidden="1" x14ac:dyDescent="0.25">
      <c r="A57" s="732" t="s">
        <v>1007</v>
      </c>
      <c r="B57" s="640" t="s">
        <v>1110</v>
      </c>
      <c r="C57" s="636">
        <v>27273457.82</v>
      </c>
      <c r="D57" s="637">
        <v>1.5</v>
      </c>
      <c r="E57" s="637">
        <v>1150659</v>
      </c>
      <c r="F57" s="637">
        <v>594489</v>
      </c>
      <c r="G57" s="543">
        <f t="shared" si="0"/>
        <v>409101.87</v>
      </c>
      <c r="H57" s="544">
        <f t="shared" si="1"/>
        <v>409.2</v>
      </c>
      <c r="I57" s="545">
        <v>0.9967273713</v>
      </c>
      <c r="J57" s="544">
        <f t="shared" si="2"/>
        <v>407.9</v>
      </c>
      <c r="K57" s="546">
        <f t="shared" si="3"/>
        <v>1.3</v>
      </c>
      <c r="L57" s="547">
        <v>1</v>
      </c>
      <c r="M57" s="544">
        <f t="shared" si="4"/>
        <v>407.9</v>
      </c>
      <c r="N57" s="634">
        <f t="shared" si="5"/>
        <v>0</v>
      </c>
    </row>
    <row r="58" spans="1:14" s="263" customFormat="1" hidden="1" x14ac:dyDescent="0.25">
      <c r="A58" s="734" t="s">
        <v>1008</v>
      </c>
      <c r="B58" s="640" t="s">
        <v>1111</v>
      </c>
      <c r="C58" s="636">
        <v>12835325.869999999</v>
      </c>
      <c r="D58" s="637">
        <v>1.5</v>
      </c>
      <c r="E58" s="637">
        <v>559876</v>
      </c>
      <c r="F58" s="637">
        <v>284365</v>
      </c>
      <c r="G58" s="543">
        <f t="shared" si="0"/>
        <v>192529.89</v>
      </c>
      <c r="H58" s="544">
        <f t="shared" si="1"/>
        <v>192.6</v>
      </c>
      <c r="I58" s="545">
        <v>1</v>
      </c>
      <c r="J58" s="544">
        <f t="shared" si="2"/>
        <v>192.6</v>
      </c>
      <c r="K58" s="546">
        <f t="shared" si="3"/>
        <v>0</v>
      </c>
      <c r="L58" s="547">
        <v>1</v>
      </c>
      <c r="M58" s="544">
        <f t="shared" si="4"/>
        <v>192.6</v>
      </c>
      <c r="N58" s="634">
        <f t="shared" si="5"/>
        <v>0</v>
      </c>
    </row>
    <row r="59" spans="1:14" s="263" customFormat="1" hidden="1" x14ac:dyDescent="0.25">
      <c r="A59" s="732" t="s">
        <v>1009</v>
      </c>
      <c r="B59" s="640" t="s">
        <v>1112</v>
      </c>
      <c r="C59" s="636">
        <v>24981044.27</v>
      </c>
      <c r="D59" s="637">
        <v>1.5</v>
      </c>
      <c r="E59" s="637">
        <v>1044490</v>
      </c>
      <c r="F59" s="637">
        <v>542158</v>
      </c>
      <c r="G59" s="543">
        <f t="shared" si="0"/>
        <v>374715.66</v>
      </c>
      <c r="H59" s="544">
        <f t="shared" si="1"/>
        <v>374.8</v>
      </c>
      <c r="I59" s="545">
        <v>1</v>
      </c>
      <c r="J59" s="544">
        <f t="shared" si="2"/>
        <v>374.8</v>
      </c>
      <c r="K59" s="546">
        <f t="shared" si="3"/>
        <v>0</v>
      </c>
      <c r="L59" s="547">
        <v>1</v>
      </c>
      <c r="M59" s="544">
        <f t="shared" si="4"/>
        <v>374.8</v>
      </c>
      <c r="N59" s="634">
        <f t="shared" si="5"/>
        <v>0</v>
      </c>
    </row>
    <row r="60" spans="1:14" s="263" customFormat="1" hidden="1" x14ac:dyDescent="0.25">
      <c r="A60" s="732" t="s">
        <v>1010</v>
      </c>
      <c r="B60" s="647" t="s">
        <v>1113</v>
      </c>
      <c r="C60" s="636">
        <v>9606450.1500000004</v>
      </c>
      <c r="D60" s="637">
        <v>1.5</v>
      </c>
      <c r="E60" s="637">
        <v>451436</v>
      </c>
      <c r="F60" s="637">
        <v>220970</v>
      </c>
      <c r="G60" s="543">
        <f t="shared" si="0"/>
        <v>144096.75</v>
      </c>
      <c r="H60" s="544">
        <f t="shared" si="1"/>
        <v>144.1</v>
      </c>
      <c r="I60" s="545">
        <v>1</v>
      </c>
      <c r="J60" s="544">
        <f t="shared" si="2"/>
        <v>144.1</v>
      </c>
      <c r="K60" s="546">
        <f t="shared" si="3"/>
        <v>0</v>
      </c>
      <c r="L60" s="547">
        <v>1</v>
      </c>
      <c r="M60" s="544">
        <f t="shared" si="4"/>
        <v>144.1</v>
      </c>
      <c r="N60" s="634">
        <f t="shared" si="5"/>
        <v>0</v>
      </c>
    </row>
    <row r="61" spans="1:14" s="263" customFormat="1" hidden="1" x14ac:dyDescent="0.25">
      <c r="A61" s="732" t="s">
        <v>1011</v>
      </c>
      <c r="B61" s="640" t="s">
        <v>1114</v>
      </c>
      <c r="C61" s="648">
        <v>24001444.600000001</v>
      </c>
      <c r="D61" s="637">
        <v>1.5</v>
      </c>
      <c r="E61" s="637">
        <v>1009939</v>
      </c>
      <c r="F61" s="637">
        <v>522499</v>
      </c>
      <c r="G61" s="543">
        <f t="shared" si="0"/>
        <v>360021.67</v>
      </c>
      <c r="H61" s="544">
        <f t="shared" si="1"/>
        <v>360.1</v>
      </c>
      <c r="I61" s="545">
        <v>1</v>
      </c>
      <c r="J61" s="544">
        <f t="shared" si="2"/>
        <v>360.1</v>
      </c>
      <c r="K61" s="546">
        <f t="shared" si="3"/>
        <v>0</v>
      </c>
      <c r="L61" s="547">
        <v>1</v>
      </c>
      <c r="M61" s="544">
        <f t="shared" si="4"/>
        <v>360.1</v>
      </c>
      <c r="N61" s="634">
        <f t="shared" si="5"/>
        <v>0</v>
      </c>
    </row>
    <row r="62" spans="1:14" s="263" customFormat="1" hidden="1" x14ac:dyDescent="0.25">
      <c r="A62" s="732" t="s">
        <v>1012</v>
      </c>
      <c r="B62" s="631" t="s">
        <v>1115</v>
      </c>
      <c r="C62" s="636">
        <v>13026428.289999999</v>
      </c>
      <c r="D62" s="637">
        <v>1.5</v>
      </c>
      <c r="E62" s="637">
        <v>721996</v>
      </c>
      <c r="F62" s="637">
        <v>327046</v>
      </c>
      <c r="G62" s="543">
        <f t="shared" si="0"/>
        <v>195396.42</v>
      </c>
      <c r="H62" s="544">
        <f t="shared" si="1"/>
        <v>195.4</v>
      </c>
      <c r="I62" s="545">
        <v>1</v>
      </c>
      <c r="J62" s="544">
        <f t="shared" si="2"/>
        <v>195.4</v>
      </c>
      <c r="K62" s="546">
        <f t="shared" si="3"/>
        <v>0</v>
      </c>
      <c r="L62" s="547">
        <v>1</v>
      </c>
      <c r="M62" s="544">
        <f t="shared" si="4"/>
        <v>195.4</v>
      </c>
      <c r="N62" s="634">
        <f t="shared" si="5"/>
        <v>0</v>
      </c>
    </row>
    <row r="63" spans="1:14" s="263" customFormat="1" hidden="1" x14ac:dyDescent="0.25">
      <c r="A63" s="732" t="s">
        <v>1013</v>
      </c>
      <c r="B63" s="635" t="s">
        <v>1116</v>
      </c>
      <c r="C63" s="636">
        <v>34625504.409999996</v>
      </c>
      <c r="D63" s="637">
        <v>1.5</v>
      </c>
      <c r="E63" s="637">
        <v>1316274</v>
      </c>
      <c r="F63" s="637">
        <v>756514</v>
      </c>
      <c r="G63" s="543">
        <f t="shared" si="0"/>
        <v>519382.57</v>
      </c>
      <c r="H63" s="544">
        <f t="shared" si="1"/>
        <v>519.4</v>
      </c>
      <c r="I63" s="545">
        <v>1</v>
      </c>
      <c r="J63" s="544">
        <f t="shared" si="2"/>
        <v>519.4</v>
      </c>
      <c r="K63" s="546">
        <f t="shared" si="3"/>
        <v>0</v>
      </c>
      <c r="L63" s="547">
        <v>1</v>
      </c>
      <c r="M63" s="544">
        <f t="shared" si="4"/>
        <v>519.4</v>
      </c>
      <c r="N63" s="634">
        <f t="shared" si="5"/>
        <v>0</v>
      </c>
    </row>
    <row r="64" spans="1:14" s="263" customFormat="1" ht="16.5" hidden="1" thickBot="1" x14ac:dyDescent="0.3">
      <c r="A64" s="736" t="s">
        <v>1014</v>
      </c>
      <c r="B64" s="649" t="s">
        <v>1117</v>
      </c>
      <c r="C64" s="650">
        <v>20225395.359999999</v>
      </c>
      <c r="D64" s="651">
        <v>1.5</v>
      </c>
      <c r="E64" s="651">
        <v>1125882</v>
      </c>
      <c r="F64" s="651">
        <v>509000.69</v>
      </c>
      <c r="G64" s="543">
        <f t="shared" si="0"/>
        <v>303380.93</v>
      </c>
      <c r="H64" s="544">
        <f t="shared" si="1"/>
        <v>303.39999999999998</v>
      </c>
      <c r="I64" s="545">
        <v>0.98398561829999998</v>
      </c>
      <c r="J64" s="544">
        <f t="shared" si="2"/>
        <v>298.60000000000002</v>
      </c>
      <c r="K64" s="546">
        <f t="shared" si="3"/>
        <v>4.8</v>
      </c>
      <c r="L64" s="547">
        <v>1</v>
      </c>
      <c r="M64" s="544">
        <f t="shared" si="4"/>
        <v>298.60000000000002</v>
      </c>
      <c r="N64" s="634">
        <f t="shared" si="5"/>
        <v>0</v>
      </c>
    </row>
    <row r="65" spans="1:14" s="657" customFormat="1" ht="16.5" hidden="1" thickBot="1" x14ac:dyDescent="0.3">
      <c r="A65" s="737" t="s">
        <v>920</v>
      </c>
      <c r="B65" s="652" t="s">
        <v>471</v>
      </c>
      <c r="C65" s="653">
        <f>SUM(C8:C64)</f>
        <v>980620811.70000005</v>
      </c>
      <c r="D65" s="654">
        <v>1.5</v>
      </c>
      <c r="E65" s="654">
        <f>SUM(E8:E64)</f>
        <v>42572252.200000003</v>
      </c>
      <c r="F65" s="654">
        <f>SUM(F8:F64)</f>
        <v>19178969.98</v>
      </c>
      <c r="G65" s="654">
        <f>SUM(G8:G64)</f>
        <v>14709312.18</v>
      </c>
      <c r="H65" s="655">
        <f>SUM(H8:H64)</f>
        <v>14712.1</v>
      </c>
      <c r="I65" s="652" t="s">
        <v>471</v>
      </c>
      <c r="J65" s="655">
        <f>SUM(J8:J64)</f>
        <v>14673.7</v>
      </c>
      <c r="K65" s="655">
        <f>SUM(K8:K64)</f>
        <v>38.4</v>
      </c>
      <c r="L65" s="652" t="s">
        <v>471</v>
      </c>
      <c r="M65" s="655">
        <f>SUM(M8:M64)</f>
        <v>14673.7</v>
      </c>
      <c r="N65" s="656">
        <f>SUM(N8:N64)</f>
        <v>0</v>
      </c>
    </row>
    <row r="66" spans="1:14" s="657" customFormat="1" hidden="1" x14ac:dyDescent="0.25">
      <c r="A66" s="738" t="s">
        <v>619</v>
      </c>
      <c r="B66" s="658" t="s">
        <v>471</v>
      </c>
      <c r="C66" s="659">
        <f>C65-C67</f>
        <v>825121972.74000001</v>
      </c>
      <c r="D66" s="660">
        <v>1.5</v>
      </c>
      <c r="E66" s="660">
        <f>E65-E67</f>
        <v>37797334.920000002</v>
      </c>
      <c r="F66" s="660">
        <f>F65-F67</f>
        <v>17053459.16</v>
      </c>
      <c r="G66" s="660">
        <f>G65-G67</f>
        <v>12376829.59</v>
      </c>
      <c r="H66" s="661">
        <f>H65-H67</f>
        <v>12379.3</v>
      </c>
      <c r="I66" s="658" t="s">
        <v>471</v>
      </c>
      <c r="J66" s="661">
        <f>J65-J67</f>
        <v>12359.5</v>
      </c>
      <c r="K66" s="661">
        <f>K65-K67</f>
        <v>19.8</v>
      </c>
      <c r="L66" s="658" t="s">
        <v>471</v>
      </c>
      <c r="M66" s="661">
        <f>M65-M67</f>
        <v>12359.5</v>
      </c>
      <c r="N66" s="662">
        <f>N65-N67</f>
        <v>0</v>
      </c>
    </row>
    <row r="67" spans="1:14" s="657" customFormat="1" ht="16.5" hidden="1" thickBot="1" x14ac:dyDescent="0.3">
      <c r="A67" s="739" t="s">
        <v>620</v>
      </c>
      <c r="B67" s="663" t="s">
        <v>471</v>
      </c>
      <c r="C67" s="664">
        <f>C8+C11+C13+C14+C15+C44+C46</f>
        <v>155498838.96000001</v>
      </c>
      <c r="D67" s="665">
        <v>1.5</v>
      </c>
      <c r="E67" s="665">
        <f>E8+E11+E13+E14+E15+E44+E46</f>
        <v>4774917.28</v>
      </c>
      <c r="F67" s="665">
        <f>F8+F11+F13+F14+F15+F44+F46</f>
        <v>2125510.8199999998</v>
      </c>
      <c r="G67" s="665">
        <f>G8+G11+G13+G14+G15+G44+G46</f>
        <v>2332482.59</v>
      </c>
      <c r="H67" s="666">
        <f>H8+H11+H13+H14+H15+H44+H46</f>
        <v>2332.8000000000002</v>
      </c>
      <c r="I67" s="663" t="s">
        <v>471</v>
      </c>
      <c r="J67" s="666">
        <f>J8+J11+J13+J14+J15+J44+J46</f>
        <v>2314.1999999999998</v>
      </c>
      <c r="K67" s="666">
        <f>K8+K11+K13+K14+K15+K44+K46</f>
        <v>18.600000000000001</v>
      </c>
      <c r="L67" s="663" t="s">
        <v>471</v>
      </c>
      <c r="M67" s="666">
        <f>M8+M11+M13+M14+M15+M44+M46</f>
        <v>2314.1999999999998</v>
      </c>
      <c r="N67" s="667">
        <f>N8+N11+N13+N14+N15+N44+N46</f>
        <v>0</v>
      </c>
    </row>
    <row r="68" spans="1:14" s="263" customFormat="1" ht="31.5" hidden="1" x14ac:dyDescent="0.25">
      <c r="A68" s="740" t="s">
        <v>1015</v>
      </c>
      <c r="B68" s="640" t="s">
        <v>1118</v>
      </c>
      <c r="C68" s="636">
        <v>22114900.989999998</v>
      </c>
      <c r="D68" s="637">
        <v>1.5</v>
      </c>
      <c r="E68" s="637">
        <v>1090722</v>
      </c>
      <c r="F68" s="637">
        <v>273499</v>
      </c>
      <c r="G68" s="543">
        <f t="shared" ref="G68:G98" si="6">ROUND((C68*D68)/100,2)</f>
        <v>331723.51</v>
      </c>
      <c r="H68" s="544">
        <f t="shared" ref="H68:H98" si="7">ROUNDUP(G68/1000,1)</f>
        <v>331.8</v>
      </c>
      <c r="I68" s="545">
        <v>0.97288573229999997</v>
      </c>
      <c r="J68" s="544">
        <f t="shared" ref="J68:J98" si="8">ROUNDUP(H68*I68,1)</f>
        <v>322.89999999999998</v>
      </c>
      <c r="K68" s="546">
        <f t="shared" ref="K68:K98" si="9">H68-J68</f>
        <v>8.9</v>
      </c>
      <c r="L68" s="547">
        <v>1</v>
      </c>
      <c r="M68" s="544">
        <f t="shared" ref="M68:M98" si="10">ROUNDUP(J68*L68,1)</f>
        <v>322.89999999999998</v>
      </c>
      <c r="N68" s="634">
        <f t="shared" ref="N68:N98" si="11">M68-J68</f>
        <v>0</v>
      </c>
    </row>
    <row r="69" spans="1:14" s="263" customFormat="1" ht="31.5" hidden="1" x14ac:dyDescent="0.25">
      <c r="A69" s="732" t="s">
        <v>1016</v>
      </c>
      <c r="B69" s="668" t="s">
        <v>1119</v>
      </c>
      <c r="C69" s="632">
        <v>33785080.469999999</v>
      </c>
      <c r="D69" s="633">
        <v>1.5</v>
      </c>
      <c r="E69" s="633">
        <v>1857816</v>
      </c>
      <c r="F69" s="633">
        <v>464454</v>
      </c>
      <c r="G69" s="543">
        <f t="shared" si="6"/>
        <v>506776.21</v>
      </c>
      <c r="H69" s="544">
        <f t="shared" si="7"/>
        <v>506.8</v>
      </c>
      <c r="I69" s="545">
        <v>0.99102482879999998</v>
      </c>
      <c r="J69" s="544">
        <f t="shared" si="8"/>
        <v>502.3</v>
      </c>
      <c r="K69" s="546">
        <f t="shared" si="9"/>
        <v>4.5</v>
      </c>
      <c r="L69" s="547">
        <v>1</v>
      </c>
      <c r="M69" s="544">
        <f t="shared" si="10"/>
        <v>502.3</v>
      </c>
      <c r="N69" s="634">
        <f t="shared" si="11"/>
        <v>0</v>
      </c>
    </row>
    <row r="70" spans="1:14" s="263" customFormat="1" ht="31.5" hidden="1" x14ac:dyDescent="0.25">
      <c r="A70" s="732" t="s">
        <v>1017</v>
      </c>
      <c r="B70" s="640" t="s">
        <v>1120</v>
      </c>
      <c r="C70" s="636">
        <v>10338980.41</v>
      </c>
      <c r="D70" s="637">
        <v>1.5</v>
      </c>
      <c r="E70" s="637">
        <v>578036</v>
      </c>
      <c r="F70" s="637">
        <v>260822</v>
      </c>
      <c r="G70" s="543">
        <f t="shared" si="6"/>
        <v>155084.71</v>
      </c>
      <c r="H70" s="544">
        <f t="shared" si="7"/>
        <v>155.1</v>
      </c>
      <c r="I70" s="545">
        <v>0.903958123</v>
      </c>
      <c r="J70" s="544">
        <f t="shared" si="8"/>
        <v>140.30000000000001</v>
      </c>
      <c r="K70" s="546">
        <f t="shared" si="9"/>
        <v>14.8</v>
      </c>
      <c r="L70" s="547">
        <v>1</v>
      </c>
      <c r="M70" s="544">
        <f t="shared" si="10"/>
        <v>140.30000000000001</v>
      </c>
      <c r="N70" s="634">
        <f t="shared" si="11"/>
        <v>0</v>
      </c>
    </row>
    <row r="71" spans="1:14" s="263" customFormat="1" hidden="1" x14ac:dyDescent="0.25">
      <c r="A71" s="732" t="s">
        <v>1018</v>
      </c>
      <c r="B71" s="640" t="s">
        <v>1121</v>
      </c>
      <c r="C71" s="636">
        <v>18297617.41</v>
      </c>
      <c r="D71" s="637">
        <v>1.5</v>
      </c>
      <c r="E71" s="637">
        <v>1034111</v>
      </c>
      <c r="F71" s="637">
        <v>452063.15</v>
      </c>
      <c r="G71" s="543">
        <f t="shared" si="6"/>
        <v>274464.26</v>
      </c>
      <c r="H71" s="544">
        <f t="shared" si="7"/>
        <v>274.5</v>
      </c>
      <c r="I71" s="545">
        <v>0.98286433699999998</v>
      </c>
      <c r="J71" s="544">
        <f t="shared" si="8"/>
        <v>269.8</v>
      </c>
      <c r="K71" s="546">
        <f t="shared" si="9"/>
        <v>4.7</v>
      </c>
      <c r="L71" s="547">
        <v>1</v>
      </c>
      <c r="M71" s="544">
        <f t="shared" si="10"/>
        <v>269.8</v>
      </c>
      <c r="N71" s="634">
        <f t="shared" si="11"/>
        <v>0</v>
      </c>
    </row>
    <row r="72" spans="1:14" s="263" customFormat="1" hidden="1" x14ac:dyDescent="0.25">
      <c r="A72" s="732" t="s">
        <v>1019</v>
      </c>
      <c r="B72" s="640" t="s">
        <v>1122</v>
      </c>
      <c r="C72" s="636">
        <v>20392277.890000001</v>
      </c>
      <c r="D72" s="637">
        <v>1.5</v>
      </c>
      <c r="E72" s="637">
        <v>1081272</v>
      </c>
      <c r="F72" s="637">
        <v>270318</v>
      </c>
      <c r="G72" s="543">
        <f t="shared" si="6"/>
        <v>305884.17</v>
      </c>
      <c r="H72" s="544">
        <f t="shared" si="7"/>
        <v>305.89999999999998</v>
      </c>
      <c r="I72" s="545">
        <v>0.98579538609999995</v>
      </c>
      <c r="J72" s="544">
        <f t="shared" si="8"/>
        <v>301.60000000000002</v>
      </c>
      <c r="K72" s="546">
        <f t="shared" si="9"/>
        <v>4.3</v>
      </c>
      <c r="L72" s="547">
        <v>1</v>
      </c>
      <c r="M72" s="544">
        <f t="shared" si="10"/>
        <v>301.60000000000002</v>
      </c>
      <c r="N72" s="634">
        <f t="shared" si="11"/>
        <v>0</v>
      </c>
    </row>
    <row r="73" spans="1:14" s="263" customFormat="1" hidden="1" x14ac:dyDescent="0.25">
      <c r="A73" s="732" t="s">
        <v>1020</v>
      </c>
      <c r="B73" s="640" t="s">
        <v>1123</v>
      </c>
      <c r="C73" s="636">
        <v>31793145.300000001</v>
      </c>
      <c r="D73" s="637">
        <v>1.5</v>
      </c>
      <c r="E73" s="637">
        <v>1370168</v>
      </c>
      <c r="F73" s="637">
        <v>700214</v>
      </c>
      <c r="G73" s="543">
        <f t="shared" si="6"/>
        <v>476897.18</v>
      </c>
      <c r="H73" s="544">
        <f t="shared" si="7"/>
        <v>476.9</v>
      </c>
      <c r="I73" s="545">
        <v>0.99274043440000004</v>
      </c>
      <c r="J73" s="544">
        <f t="shared" si="8"/>
        <v>473.5</v>
      </c>
      <c r="K73" s="546">
        <f t="shared" si="9"/>
        <v>3.4</v>
      </c>
      <c r="L73" s="547">
        <v>1</v>
      </c>
      <c r="M73" s="544">
        <f t="shared" si="10"/>
        <v>473.5</v>
      </c>
      <c r="N73" s="634">
        <f t="shared" si="11"/>
        <v>0</v>
      </c>
    </row>
    <row r="74" spans="1:14" s="263" customFormat="1" hidden="1" x14ac:dyDescent="0.25">
      <c r="A74" s="732" t="s">
        <v>1021</v>
      </c>
      <c r="B74" s="640" t="s">
        <v>1124</v>
      </c>
      <c r="C74" s="669">
        <v>13639876.949999999</v>
      </c>
      <c r="D74" s="637">
        <v>1.5</v>
      </c>
      <c r="E74" s="637">
        <v>738583</v>
      </c>
      <c r="F74" s="637">
        <v>324029</v>
      </c>
      <c r="G74" s="543">
        <f t="shared" si="6"/>
        <v>204598.15</v>
      </c>
      <c r="H74" s="544">
        <f t="shared" si="7"/>
        <v>204.6</v>
      </c>
      <c r="I74" s="545">
        <v>0.95304577909999999</v>
      </c>
      <c r="J74" s="544">
        <f t="shared" si="8"/>
        <v>195</v>
      </c>
      <c r="K74" s="546">
        <f t="shared" si="9"/>
        <v>9.6</v>
      </c>
      <c r="L74" s="547">
        <v>1</v>
      </c>
      <c r="M74" s="544">
        <f t="shared" si="10"/>
        <v>195</v>
      </c>
      <c r="N74" s="634">
        <f t="shared" si="11"/>
        <v>0</v>
      </c>
    </row>
    <row r="75" spans="1:14" s="263" customFormat="1" ht="63" hidden="1" x14ac:dyDescent="0.25">
      <c r="A75" s="732" t="s">
        <v>1022</v>
      </c>
      <c r="B75" s="640" t="s">
        <v>1125</v>
      </c>
      <c r="C75" s="670">
        <v>14225542.470000001</v>
      </c>
      <c r="D75" s="637">
        <v>1.5</v>
      </c>
      <c r="E75" s="637">
        <v>730023.8</v>
      </c>
      <c r="F75" s="637">
        <v>210033.88</v>
      </c>
      <c r="G75" s="543">
        <f t="shared" si="6"/>
        <v>213383.14</v>
      </c>
      <c r="H75" s="544">
        <f t="shared" si="7"/>
        <v>213.4</v>
      </c>
      <c r="I75" s="545">
        <v>0.97049306550000003</v>
      </c>
      <c r="J75" s="544">
        <f t="shared" si="8"/>
        <v>207.2</v>
      </c>
      <c r="K75" s="546">
        <f t="shared" si="9"/>
        <v>6.2</v>
      </c>
      <c r="L75" s="547">
        <v>1</v>
      </c>
      <c r="M75" s="544">
        <f t="shared" si="10"/>
        <v>207.2</v>
      </c>
      <c r="N75" s="634">
        <f t="shared" si="11"/>
        <v>0</v>
      </c>
    </row>
    <row r="76" spans="1:14" s="263" customFormat="1" hidden="1" x14ac:dyDescent="0.25">
      <c r="A76" s="732" t="s">
        <v>1023</v>
      </c>
      <c r="B76" s="671" t="s">
        <v>1126</v>
      </c>
      <c r="C76" s="636">
        <v>26817189</v>
      </c>
      <c r="D76" s="637">
        <v>1.5</v>
      </c>
      <c r="E76" s="637">
        <v>2083899.17</v>
      </c>
      <c r="F76" s="637">
        <v>788379</v>
      </c>
      <c r="G76" s="543">
        <f t="shared" si="6"/>
        <v>402257.84</v>
      </c>
      <c r="H76" s="544">
        <f t="shared" si="7"/>
        <v>402.3</v>
      </c>
      <c r="I76" s="545">
        <v>0.93681132160000002</v>
      </c>
      <c r="J76" s="544">
        <f t="shared" si="8"/>
        <v>376.9</v>
      </c>
      <c r="K76" s="546">
        <f t="shared" si="9"/>
        <v>25.4</v>
      </c>
      <c r="L76" s="547">
        <v>1</v>
      </c>
      <c r="M76" s="544">
        <f t="shared" si="10"/>
        <v>376.9</v>
      </c>
      <c r="N76" s="634">
        <f t="shared" si="11"/>
        <v>0</v>
      </c>
    </row>
    <row r="77" spans="1:14" s="263" customFormat="1" hidden="1" x14ac:dyDescent="0.25">
      <c r="A77" s="732" t="s">
        <v>1024</v>
      </c>
      <c r="B77" s="640" t="s">
        <v>1127</v>
      </c>
      <c r="C77" s="636">
        <v>46379409.439999998</v>
      </c>
      <c r="D77" s="637">
        <v>1.5</v>
      </c>
      <c r="E77" s="637">
        <v>2093299</v>
      </c>
      <c r="F77" s="637">
        <v>1053193</v>
      </c>
      <c r="G77" s="543">
        <f t="shared" si="6"/>
        <v>695691.14</v>
      </c>
      <c r="H77" s="544">
        <f t="shared" si="7"/>
        <v>695.7</v>
      </c>
      <c r="I77" s="545">
        <v>0.98817620930000005</v>
      </c>
      <c r="J77" s="544">
        <f t="shared" si="8"/>
        <v>687.5</v>
      </c>
      <c r="K77" s="546">
        <f t="shared" si="9"/>
        <v>8.1999999999999993</v>
      </c>
      <c r="L77" s="547">
        <v>1</v>
      </c>
      <c r="M77" s="544">
        <f t="shared" si="10"/>
        <v>687.5</v>
      </c>
      <c r="N77" s="634">
        <f t="shared" si="11"/>
        <v>0</v>
      </c>
    </row>
    <row r="78" spans="1:14" s="263" customFormat="1" ht="31.5" hidden="1" x14ac:dyDescent="0.25">
      <c r="A78" s="732" t="s">
        <v>1025</v>
      </c>
      <c r="B78" s="640" t="s">
        <v>1128</v>
      </c>
      <c r="C78" s="636">
        <v>22021012.039999999</v>
      </c>
      <c r="D78" s="637">
        <v>1.5</v>
      </c>
      <c r="E78" s="637">
        <v>1209094.83</v>
      </c>
      <c r="F78" s="637">
        <v>555973</v>
      </c>
      <c r="G78" s="543">
        <f t="shared" si="6"/>
        <v>330315.18</v>
      </c>
      <c r="H78" s="544">
        <f t="shared" si="7"/>
        <v>330.4</v>
      </c>
      <c r="I78" s="545">
        <v>0.98541321019999994</v>
      </c>
      <c r="J78" s="544">
        <f t="shared" si="8"/>
        <v>325.60000000000002</v>
      </c>
      <c r="K78" s="546">
        <f t="shared" si="9"/>
        <v>4.8</v>
      </c>
      <c r="L78" s="547">
        <v>1</v>
      </c>
      <c r="M78" s="544">
        <f t="shared" si="10"/>
        <v>325.60000000000002</v>
      </c>
      <c r="N78" s="634">
        <f t="shared" si="11"/>
        <v>0</v>
      </c>
    </row>
    <row r="79" spans="1:14" s="263" customFormat="1" hidden="1" x14ac:dyDescent="0.25">
      <c r="A79" s="732" t="s">
        <v>1026</v>
      </c>
      <c r="B79" s="640" t="s">
        <v>1129</v>
      </c>
      <c r="C79" s="636">
        <v>8818160.9000000004</v>
      </c>
      <c r="D79" s="637">
        <v>1.5</v>
      </c>
      <c r="E79" s="637">
        <v>557947</v>
      </c>
      <c r="F79" s="637">
        <v>139486</v>
      </c>
      <c r="G79" s="543">
        <f t="shared" si="6"/>
        <v>132272.41</v>
      </c>
      <c r="H79" s="544">
        <f t="shared" si="7"/>
        <v>132.30000000000001</v>
      </c>
      <c r="I79" s="545">
        <v>1</v>
      </c>
      <c r="J79" s="544">
        <f t="shared" si="8"/>
        <v>132.30000000000001</v>
      </c>
      <c r="K79" s="546">
        <f t="shared" si="9"/>
        <v>0</v>
      </c>
      <c r="L79" s="547">
        <v>1</v>
      </c>
      <c r="M79" s="544">
        <f t="shared" si="10"/>
        <v>132.30000000000001</v>
      </c>
      <c r="N79" s="634">
        <f t="shared" si="11"/>
        <v>0</v>
      </c>
    </row>
    <row r="80" spans="1:14" s="263" customFormat="1" hidden="1" x14ac:dyDescent="0.25">
      <c r="A80" s="732" t="s">
        <v>1027</v>
      </c>
      <c r="B80" s="640" t="s">
        <v>1130</v>
      </c>
      <c r="C80" s="672">
        <v>24361013</v>
      </c>
      <c r="D80" s="637">
        <v>1.5</v>
      </c>
      <c r="E80" s="637">
        <v>1281792</v>
      </c>
      <c r="F80" s="637">
        <v>587309.4</v>
      </c>
      <c r="G80" s="543">
        <f t="shared" si="6"/>
        <v>365415.2</v>
      </c>
      <c r="H80" s="544">
        <f t="shared" si="7"/>
        <v>365.5</v>
      </c>
      <c r="I80" s="545">
        <v>0.99254281079999995</v>
      </c>
      <c r="J80" s="544">
        <f t="shared" si="8"/>
        <v>362.8</v>
      </c>
      <c r="K80" s="546">
        <f t="shared" si="9"/>
        <v>2.7</v>
      </c>
      <c r="L80" s="547">
        <v>1</v>
      </c>
      <c r="M80" s="544">
        <f t="shared" si="10"/>
        <v>362.8</v>
      </c>
      <c r="N80" s="634">
        <f t="shared" si="11"/>
        <v>0</v>
      </c>
    </row>
    <row r="81" spans="1:14" s="263" customFormat="1" hidden="1" x14ac:dyDescent="0.25">
      <c r="A81" s="732" t="s">
        <v>1028</v>
      </c>
      <c r="B81" s="640" t="s">
        <v>1131</v>
      </c>
      <c r="C81" s="672">
        <v>34014142.880000003</v>
      </c>
      <c r="D81" s="637">
        <v>1.5</v>
      </c>
      <c r="E81" s="637">
        <v>771200</v>
      </c>
      <c r="F81" s="637">
        <v>392000</v>
      </c>
      <c r="G81" s="543">
        <f t="shared" si="6"/>
        <v>510212.14</v>
      </c>
      <c r="H81" s="544">
        <f t="shared" si="7"/>
        <v>510.3</v>
      </c>
      <c r="I81" s="545">
        <v>0.98821361500000005</v>
      </c>
      <c r="J81" s="544">
        <f t="shared" si="8"/>
        <v>504.3</v>
      </c>
      <c r="K81" s="546">
        <f t="shared" si="9"/>
        <v>6</v>
      </c>
      <c r="L81" s="547">
        <v>1</v>
      </c>
      <c r="M81" s="544">
        <f t="shared" si="10"/>
        <v>504.3</v>
      </c>
      <c r="N81" s="634">
        <f t="shared" si="11"/>
        <v>0</v>
      </c>
    </row>
    <row r="82" spans="1:14" s="263" customFormat="1" hidden="1" x14ac:dyDescent="0.25">
      <c r="A82" s="732" t="s">
        <v>1029</v>
      </c>
      <c r="B82" s="640" t="s">
        <v>1132</v>
      </c>
      <c r="C82" s="672">
        <v>43874039.439999998</v>
      </c>
      <c r="D82" s="637">
        <v>1.5</v>
      </c>
      <c r="E82" s="637">
        <v>1816200</v>
      </c>
      <c r="F82" s="637">
        <v>947647.94</v>
      </c>
      <c r="G82" s="543">
        <f t="shared" si="6"/>
        <v>658110.59</v>
      </c>
      <c r="H82" s="544">
        <f t="shared" si="7"/>
        <v>658.2</v>
      </c>
      <c r="I82" s="545">
        <v>0.97021219569999995</v>
      </c>
      <c r="J82" s="544">
        <f t="shared" si="8"/>
        <v>638.6</v>
      </c>
      <c r="K82" s="546">
        <f t="shared" si="9"/>
        <v>19.600000000000001</v>
      </c>
      <c r="L82" s="547">
        <v>1</v>
      </c>
      <c r="M82" s="544">
        <f t="shared" si="10"/>
        <v>638.6</v>
      </c>
      <c r="N82" s="634">
        <f t="shared" si="11"/>
        <v>0</v>
      </c>
    </row>
    <row r="83" spans="1:14" s="263" customFormat="1" hidden="1" x14ac:dyDescent="0.25">
      <c r="A83" s="732" t="s">
        <v>1030</v>
      </c>
      <c r="B83" s="640" t="s">
        <v>1133</v>
      </c>
      <c r="C83" s="672">
        <v>35653926.719999999</v>
      </c>
      <c r="D83" s="637">
        <v>1.5</v>
      </c>
      <c r="E83" s="637">
        <v>1958443</v>
      </c>
      <c r="F83" s="637">
        <v>465355</v>
      </c>
      <c r="G83" s="543">
        <f t="shared" si="6"/>
        <v>534808.9</v>
      </c>
      <c r="H83" s="544">
        <f t="shared" si="7"/>
        <v>534.9</v>
      </c>
      <c r="I83" s="545">
        <v>0.92943408930000004</v>
      </c>
      <c r="J83" s="544">
        <f t="shared" si="8"/>
        <v>497.2</v>
      </c>
      <c r="K83" s="546">
        <f t="shared" si="9"/>
        <v>37.700000000000003</v>
      </c>
      <c r="L83" s="547">
        <v>1</v>
      </c>
      <c r="M83" s="544">
        <f t="shared" si="10"/>
        <v>497.2</v>
      </c>
      <c r="N83" s="634">
        <f t="shared" si="11"/>
        <v>0</v>
      </c>
    </row>
    <row r="84" spans="1:14" s="263" customFormat="1" hidden="1" x14ac:dyDescent="0.25">
      <c r="A84" s="732" t="s">
        <v>1031</v>
      </c>
      <c r="B84" s="640" t="s">
        <v>1134</v>
      </c>
      <c r="C84" s="672">
        <v>29260980.960000001</v>
      </c>
      <c r="D84" s="637">
        <v>1.5</v>
      </c>
      <c r="E84" s="637">
        <v>329186.03999999998</v>
      </c>
      <c r="F84" s="637">
        <v>109728.68</v>
      </c>
      <c r="G84" s="543">
        <f t="shared" si="6"/>
        <v>438914.71</v>
      </c>
      <c r="H84" s="544">
        <f t="shared" si="7"/>
        <v>439</v>
      </c>
      <c r="I84" s="545">
        <v>0.98954054650000001</v>
      </c>
      <c r="J84" s="544">
        <f t="shared" si="8"/>
        <v>434.5</v>
      </c>
      <c r="K84" s="546">
        <f t="shared" si="9"/>
        <v>4.5</v>
      </c>
      <c r="L84" s="547">
        <v>1</v>
      </c>
      <c r="M84" s="544">
        <f t="shared" si="10"/>
        <v>434.5</v>
      </c>
      <c r="N84" s="634">
        <f t="shared" si="11"/>
        <v>0</v>
      </c>
    </row>
    <row r="85" spans="1:14" s="263" customFormat="1" ht="30" hidden="1" x14ac:dyDescent="0.25">
      <c r="A85" s="732" t="s">
        <v>1032</v>
      </c>
      <c r="B85" s="741" t="s">
        <v>1135</v>
      </c>
      <c r="C85" s="672">
        <v>40772563.630000003</v>
      </c>
      <c r="D85" s="637">
        <v>1.5</v>
      </c>
      <c r="E85" s="637">
        <v>1856595</v>
      </c>
      <c r="F85" s="637">
        <v>922839</v>
      </c>
      <c r="G85" s="543">
        <f t="shared" si="6"/>
        <v>611588.44999999995</v>
      </c>
      <c r="H85" s="544">
        <f t="shared" si="7"/>
        <v>611.6</v>
      </c>
      <c r="I85" s="545">
        <v>0.99335630109999995</v>
      </c>
      <c r="J85" s="544">
        <f t="shared" si="8"/>
        <v>607.6</v>
      </c>
      <c r="K85" s="546">
        <f t="shared" si="9"/>
        <v>4</v>
      </c>
      <c r="L85" s="547">
        <v>1</v>
      </c>
      <c r="M85" s="544">
        <f t="shared" si="10"/>
        <v>607.6</v>
      </c>
      <c r="N85" s="634">
        <f t="shared" si="11"/>
        <v>0</v>
      </c>
    </row>
    <row r="86" spans="1:14" s="263" customFormat="1" hidden="1" x14ac:dyDescent="0.25">
      <c r="A86" s="732" t="s">
        <v>1033</v>
      </c>
      <c r="B86" s="640" t="s">
        <v>1136</v>
      </c>
      <c r="C86" s="672">
        <v>20589040.079999998</v>
      </c>
      <c r="D86" s="637">
        <v>1.5</v>
      </c>
      <c r="E86" s="637">
        <v>1016056</v>
      </c>
      <c r="F86" s="637">
        <v>485641</v>
      </c>
      <c r="G86" s="543">
        <f t="shared" si="6"/>
        <v>308835.59999999998</v>
      </c>
      <c r="H86" s="544">
        <f t="shared" si="7"/>
        <v>308.89999999999998</v>
      </c>
      <c r="I86" s="545">
        <v>0.98430103670000002</v>
      </c>
      <c r="J86" s="544">
        <f t="shared" si="8"/>
        <v>304.10000000000002</v>
      </c>
      <c r="K86" s="546">
        <f t="shared" si="9"/>
        <v>4.8</v>
      </c>
      <c r="L86" s="547">
        <v>1</v>
      </c>
      <c r="M86" s="544">
        <f t="shared" si="10"/>
        <v>304.10000000000002</v>
      </c>
      <c r="N86" s="634">
        <f t="shared" si="11"/>
        <v>0</v>
      </c>
    </row>
    <row r="87" spans="1:14" s="263" customFormat="1" ht="22.5" hidden="1" x14ac:dyDescent="0.25">
      <c r="A87" s="732" t="s">
        <v>1034</v>
      </c>
      <c r="B87" s="742" t="s">
        <v>1137</v>
      </c>
      <c r="C87" s="672">
        <v>29202672.32</v>
      </c>
      <c r="D87" s="637">
        <v>1.5</v>
      </c>
      <c r="E87" s="637">
        <v>2033878</v>
      </c>
      <c r="F87" s="637">
        <v>816475</v>
      </c>
      <c r="G87" s="543">
        <f t="shared" si="6"/>
        <v>438040.08</v>
      </c>
      <c r="H87" s="544">
        <f t="shared" si="7"/>
        <v>438.1</v>
      </c>
      <c r="I87" s="545">
        <v>0.9791570503</v>
      </c>
      <c r="J87" s="544">
        <f t="shared" si="8"/>
        <v>429</v>
      </c>
      <c r="K87" s="546">
        <f t="shared" si="9"/>
        <v>9.1</v>
      </c>
      <c r="L87" s="547">
        <v>1</v>
      </c>
      <c r="M87" s="544">
        <f t="shared" si="10"/>
        <v>429</v>
      </c>
      <c r="N87" s="634">
        <f t="shared" si="11"/>
        <v>0</v>
      </c>
    </row>
    <row r="88" spans="1:14" s="263" customFormat="1" ht="31.5" hidden="1" x14ac:dyDescent="0.25">
      <c r="A88" s="732" t="s">
        <v>1035</v>
      </c>
      <c r="B88" s="668" t="s">
        <v>1138</v>
      </c>
      <c r="C88" s="672">
        <v>56594350.439999998</v>
      </c>
      <c r="D88" s="637">
        <v>1.5</v>
      </c>
      <c r="E88" s="637">
        <v>2376554</v>
      </c>
      <c r="F88" s="637">
        <v>1230824</v>
      </c>
      <c r="G88" s="543">
        <f t="shared" si="6"/>
        <v>848915.26</v>
      </c>
      <c r="H88" s="544">
        <f t="shared" si="7"/>
        <v>849</v>
      </c>
      <c r="I88" s="545">
        <v>0.97788759410000003</v>
      </c>
      <c r="J88" s="544">
        <f t="shared" si="8"/>
        <v>830.3</v>
      </c>
      <c r="K88" s="546">
        <f t="shared" si="9"/>
        <v>18.7</v>
      </c>
      <c r="L88" s="547">
        <v>1</v>
      </c>
      <c r="M88" s="544">
        <f t="shared" si="10"/>
        <v>830.3</v>
      </c>
      <c r="N88" s="634">
        <f t="shared" si="11"/>
        <v>0</v>
      </c>
    </row>
    <row r="89" spans="1:14" s="263" customFormat="1" hidden="1" x14ac:dyDescent="0.25">
      <c r="A89" s="732" t="s">
        <v>1036</v>
      </c>
      <c r="B89" s="673" t="s">
        <v>1139</v>
      </c>
      <c r="C89" s="672">
        <v>57814246.600000001</v>
      </c>
      <c r="D89" s="637">
        <v>1.5</v>
      </c>
      <c r="E89" s="637">
        <v>2333507</v>
      </c>
      <c r="F89" s="637">
        <v>1428168</v>
      </c>
      <c r="G89" s="543">
        <f t="shared" si="6"/>
        <v>867213.7</v>
      </c>
      <c r="H89" s="544">
        <f t="shared" si="7"/>
        <v>867.3</v>
      </c>
      <c r="I89" s="545">
        <v>0.9937417019</v>
      </c>
      <c r="J89" s="544">
        <f t="shared" si="8"/>
        <v>861.9</v>
      </c>
      <c r="K89" s="546">
        <f t="shared" si="9"/>
        <v>5.4</v>
      </c>
      <c r="L89" s="547">
        <v>1</v>
      </c>
      <c r="M89" s="544">
        <f t="shared" si="10"/>
        <v>861.9</v>
      </c>
      <c r="N89" s="634">
        <f t="shared" si="11"/>
        <v>0</v>
      </c>
    </row>
    <row r="90" spans="1:14" s="263" customFormat="1" hidden="1" x14ac:dyDescent="0.25">
      <c r="A90" s="732" t="s">
        <v>1037</v>
      </c>
      <c r="B90" s="674" t="s">
        <v>1140</v>
      </c>
      <c r="C90" s="672">
        <v>30197224.609999999</v>
      </c>
      <c r="D90" s="637">
        <v>1.5</v>
      </c>
      <c r="E90" s="637">
        <v>1241501</v>
      </c>
      <c r="F90" s="637">
        <v>640713</v>
      </c>
      <c r="G90" s="543">
        <f t="shared" si="6"/>
        <v>452958.37</v>
      </c>
      <c r="H90" s="544">
        <f t="shared" si="7"/>
        <v>453</v>
      </c>
      <c r="I90" s="545">
        <v>0.98438238889999996</v>
      </c>
      <c r="J90" s="544">
        <f t="shared" si="8"/>
        <v>446</v>
      </c>
      <c r="K90" s="546">
        <f t="shared" si="9"/>
        <v>7</v>
      </c>
      <c r="L90" s="547">
        <v>1</v>
      </c>
      <c r="M90" s="544">
        <f t="shared" si="10"/>
        <v>446</v>
      </c>
      <c r="N90" s="634">
        <f t="shared" si="11"/>
        <v>0</v>
      </c>
    </row>
    <row r="91" spans="1:14" s="263" customFormat="1" hidden="1" x14ac:dyDescent="0.25">
      <c r="A91" s="732" t="s">
        <v>1038</v>
      </c>
      <c r="B91" s="640" t="s">
        <v>1141</v>
      </c>
      <c r="C91" s="672">
        <v>21769805.16</v>
      </c>
      <c r="D91" s="637">
        <v>1.5</v>
      </c>
      <c r="E91" s="637">
        <v>1593052</v>
      </c>
      <c r="F91" s="637">
        <v>398263</v>
      </c>
      <c r="G91" s="543">
        <f t="shared" si="6"/>
        <v>326547.08</v>
      </c>
      <c r="H91" s="544">
        <f t="shared" si="7"/>
        <v>326.60000000000002</v>
      </c>
      <c r="I91" s="545">
        <v>0.983714545</v>
      </c>
      <c r="J91" s="544">
        <f t="shared" si="8"/>
        <v>321.3</v>
      </c>
      <c r="K91" s="546">
        <f t="shared" si="9"/>
        <v>5.3</v>
      </c>
      <c r="L91" s="547">
        <v>1</v>
      </c>
      <c r="M91" s="544">
        <f t="shared" si="10"/>
        <v>321.3</v>
      </c>
      <c r="N91" s="634">
        <f t="shared" si="11"/>
        <v>0</v>
      </c>
    </row>
    <row r="92" spans="1:14" s="263" customFormat="1" ht="78.75" hidden="1" x14ac:dyDescent="0.25">
      <c r="A92" s="732" t="s">
        <v>1039</v>
      </c>
      <c r="B92" s="668" t="s">
        <v>1142</v>
      </c>
      <c r="C92" s="672">
        <v>80169860.969999999</v>
      </c>
      <c r="D92" s="637">
        <v>1.5</v>
      </c>
      <c r="E92" s="637">
        <v>4175378</v>
      </c>
      <c r="F92" s="637">
        <v>1052828</v>
      </c>
      <c r="G92" s="543">
        <f t="shared" si="6"/>
        <v>1202547.9099999999</v>
      </c>
      <c r="H92" s="544">
        <f t="shared" si="7"/>
        <v>1202.5999999999999</v>
      </c>
      <c r="I92" s="545">
        <v>0.9860758127</v>
      </c>
      <c r="J92" s="544">
        <f t="shared" si="8"/>
        <v>1185.9000000000001</v>
      </c>
      <c r="K92" s="546">
        <f t="shared" si="9"/>
        <v>16.7</v>
      </c>
      <c r="L92" s="547">
        <v>1</v>
      </c>
      <c r="M92" s="544">
        <f t="shared" si="10"/>
        <v>1185.9000000000001</v>
      </c>
      <c r="N92" s="634">
        <f t="shared" si="11"/>
        <v>0</v>
      </c>
    </row>
    <row r="93" spans="1:14" s="263" customFormat="1" ht="15" hidden="1" customHeight="1" x14ac:dyDescent="0.25">
      <c r="A93" s="732" t="s">
        <v>1040</v>
      </c>
      <c r="B93" s="640" t="s">
        <v>1143</v>
      </c>
      <c r="C93" s="672">
        <v>51014343.939999998</v>
      </c>
      <c r="D93" s="637">
        <v>1.5</v>
      </c>
      <c r="E93" s="637">
        <v>2130967</v>
      </c>
      <c r="F93" s="637">
        <v>536691</v>
      </c>
      <c r="G93" s="543">
        <f t="shared" si="6"/>
        <v>765215.16</v>
      </c>
      <c r="H93" s="544">
        <f t="shared" si="7"/>
        <v>765.3</v>
      </c>
      <c r="I93" s="545">
        <v>0.95482822150000002</v>
      </c>
      <c r="J93" s="544">
        <f t="shared" si="8"/>
        <v>730.8</v>
      </c>
      <c r="K93" s="546">
        <f t="shared" si="9"/>
        <v>34.5</v>
      </c>
      <c r="L93" s="547">
        <v>1</v>
      </c>
      <c r="M93" s="544">
        <f t="shared" si="10"/>
        <v>730.8</v>
      </c>
      <c r="N93" s="634">
        <f t="shared" si="11"/>
        <v>0</v>
      </c>
    </row>
    <row r="94" spans="1:14" s="263" customFormat="1" hidden="1" x14ac:dyDescent="0.25">
      <c r="A94" s="732" t="s">
        <v>1041</v>
      </c>
      <c r="B94" s="640" t="s">
        <v>1144</v>
      </c>
      <c r="C94" s="672">
        <v>64390514.369999997</v>
      </c>
      <c r="D94" s="637">
        <v>1.5</v>
      </c>
      <c r="E94" s="637">
        <v>2656429</v>
      </c>
      <c r="F94" s="637">
        <v>1383538</v>
      </c>
      <c r="G94" s="543">
        <f t="shared" si="6"/>
        <v>965857.72</v>
      </c>
      <c r="H94" s="544">
        <f t="shared" si="7"/>
        <v>965.9</v>
      </c>
      <c r="I94" s="545">
        <v>0.97412982810000004</v>
      </c>
      <c r="J94" s="544">
        <f t="shared" si="8"/>
        <v>941</v>
      </c>
      <c r="K94" s="546">
        <f t="shared" si="9"/>
        <v>24.9</v>
      </c>
      <c r="L94" s="547">
        <v>1</v>
      </c>
      <c r="M94" s="544">
        <f t="shared" si="10"/>
        <v>941</v>
      </c>
      <c r="N94" s="634">
        <f t="shared" si="11"/>
        <v>0</v>
      </c>
    </row>
    <row r="95" spans="1:14" s="263" customFormat="1" hidden="1" x14ac:dyDescent="0.25">
      <c r="A95" s="732" t="s">
        <v>1042</v>
      </c>
      <c r="B95" s="640" t="s">
        <v>1145</v>
      </c>
      <c r="C95" s="672">
        <v>35973735.259999998</v>
      </c>
      <c r="D95" s="637">
        <v>1.5</v>
      </c>
      <c r="E95" s="637">
        <v>1960972</v>
      </c>
      <c r="F95" s="637">
        <v>887368</v>
      </c>
      <c r="G95" s="543">
        <f t="shared" si="6"/>
        <v>539606.03</v>
      </c>
      <c r="H95" s="544">
        <f t="shared" si="7"/>
        <v>539.70000000000005</v>
      </c>
      <c r="I95" s="545">
        <v>0.98656964179999995</v>
      </c>
      <c r="J95" s="544">
        <f t="shared" si="8"/>
        <v>532.5</v>
      </c>
      <c r="K95" s="546">
        <f t="shared" si="9"/>
        <v>7.2</v>
      </c>
      <c r="L95" s="547">
        <v>1</v>
      </c>
      <c r="M95" s="544">
        <f t="shared" si="10"/>
        <v>532.5</v>
      </c>
      <c r="N95" s="634">
        <f t="shared" si="11"/>
        <v>0</v>
      </c>
    </row>
    <row r="96" spans="1:14" s="263" customFormat="1" hidden="1" x14ac:dyDescent="0.25">
      <c r="A96" s="732" t="s">
        <v>1043</v>
      </c>
      <c r="B96" s="675" t="s">
        <v>1146</v>
      </c>
      <c r="C96" s="672">
        <v>35320706.259999998</v>
      </c>
      <c r="D96" s="637">
        <v>1.5</v>
      </c>
      <c r="E96" s="637">
        <v>1453414</v>
      </c>
      <c r="F96" s="637">
        <v>468497</v>
      </c>
      <c r="G96" s="543">
        <f t="shared" si="6"/>
        <v>529810.59</v>
      </c>
      <c r="H96" s="544">
        <f t="shared" si="7"/>
        <v>529.9</v>
      </c>
      <c r="I96" s="545">
        <v>0.87899139910000001</v>
      </c>
      <c r="J96" s="544">
        <f t="shared" si="8"/>
        <v>465.8</v>
      </c>
      <c r="K96" s="546">
        <f t="shared" si="9"/>
        <v>64.099999999999994</v>
      </c>
      <c r="L96" s="547">
        <v>1</v>
      </c>
      <c r="M96" s="544">
        <f t="shared" si="10"/>
        <v>465.8</v>
      </c>
      <c r="N96" s="634">
        <f t="shared" si="11"/>
        <v>0</v>
      </c>
    </row>
    <row r="97" spans="1:14" s="263" customFormat="1" hidden="1" x14ac:dyDescent="0.25">
      <c r="A97" s="732" t="s">
        <v>1044</v>
      </c>
      <c r="B97" s="640" t="s">
        <v>1147</v>
      </c>
      <c r="C97" s="672">
        <v>45583867.159999996</v>
      </c>
      <c r="D97" s="637">
        <v>1.5</v>
      </c>
      <c r="E97" s="637">
        <v>2510673</v>
      </c>
      <c r="F97" s="637">
        <v>1140489</v>
      </c>
      <c r="G97" s="543">
        <f t="shared" si="6"/>
        <v>683758.01</v>
      </c>
      <c r="H97" s="544">
        <f t="shared" si="7"/>
        <v>683.8</v>
      </c>
      <c r="I97" s="545">
        <v>0.96682615949999995</v>
      </c>
      <c r="J97" s="544">
        <f t="shared" si="8"/>
        <v>661.2</v>
      </c>
      <c r="K97" s="546">
        <f t="shared" si="9"/>
        <v>22.6</v>
      </c>
      <c r="L97" s="547">
        <v>1</v>
      </c>
      <c r="M97" s="544">
        <f t="shared" si="10"/>
        <v>661.2</v>
      </c>
      <c r="N97" s="634">
        <f t="shared" si="11"/>
        <v>0</v>
      </c>
    </row>
    <row r="98" spans="1:14" s="263" customFormat="1" ht="16.5" hidden="1" thickBot="1" x14ac:dyDescent="0.3">
      <c r="A98" s="743" t="s">
        <v>1045</v>
      </c>
      <c r="B98" s="640" t="s">
        <v>1148</v>
      </c>
      <c r="C98" s="676">
        <v>60382703.009999998</v>
      </c>
      <c r="D98" s="651">
        <v>1.5</v>
      </c>
      <c r="E98" s="651">
        <v>36283</v>
      </c>
      <c r="F98" s="651">
        <v>690000</v>
      </c>
      <c r="G98" s="543">
        <f t="shared" si="6"/>
        <v>905740.55</v>
      </c>
      <c r="H98" s="544">
        <f t="shared" si="7"/>
        <v>905.8</v>
      </c>
      <c r="I98" s="545">
        <v>1</v>
      </c>
      <c r="J98" s="544">
        <f t="shared" si="8"/>
        <v>905.8</v>
      </c>
      <c r="K98" s="546">
        <f t="shared" si="9"/>
        <v>0</v>
      </c>
      <c r="L98" s="547">
        <v>1</v>
      </c>
      <c r="M98" s="544">
        <f t="shared" si="10"/>
        <v>905.8</v>
      </c>
      <c r="N98" s="634">
        <f t="shared" si="11"/>
        <v>0</v>
      </c>
    </row>
    <row r="99" spans="1:14" s="657" customFormat="1" ht="16.5" hidden="1" thickBot="1" x14ac:dyDescent="0.3">
      <c r="A99" s="744" t="s">
        <v>1046</v>
      </c>
      <c r="B99" s="652" t="s">
        <v>471</v>
      </c>
      <c r="C99" s="653">
        <f>SUM(C68:C98)</f>
        <v>1065562930.08</v>
      </c>
      <c r="D99" s="654">
        <v>1.5</v>
      </c>
      <c r="E99" s="654">
        <f>SUM(E68:E98)</f>
        <v>47957051.840000004</v>
      </c>
      <c r="F99" s="654">
        <f>SUM(F68:F98)</f>
        <v>20076839.050000001</v>
      </c>
      <c r="G99" s="654">
        <f>SUM(G68:G98)</f>
        <v>15983443.949999999</v>
      </c>
      <c r="H99" s="655">
        <f>SUM(H68:H98)</f>
        <v>15985.1</v>
      </c>
      <c r="I99" s="677" t="s">
        <v>471</v>
      </c>
      <c r="J99" s="655">
        <f>SUM(J68:J98)</f>
        <v>15595.5</v>
      </c>
      <c r="K99" s="655">
        <f>SUM(K68:K98)</f>
        <v>389.6</v>
      </c>
      <c r="L99" s="677" t="s">
        <v>471</v>
      </c>
      <c r="M99" s="655">
        <f>SUM(M68:M98)</f>
        <v>15595.5</v>
      </c>
      <c r="N99" s="655">
        <f>SUM(N68:N98)</f>
        <v>0</v>
      </c>
    </row>
    <row r="100" spans="1:14" s="657" customFormat="1" hidden="1" x14ac:dyDescent="0.25">
      <c r="A100" s="745" t="s">
        <v>694</v>
      </c>
      <c r="B100" s="658" t="s">
        <v>471</v>
      </c>
      <c r="C100" s="659">
        <f>C99-C101</f>
        <v>671744403.10000002</v>
      </c>
      <c r="D100" s="660">
        <v>1.5</v>
      </c>
      <c r="E100" s="660">
        <f>E99-E101</f>
        <v>31329076.84</v>
      </c>
      <c r="F100" s="660">
        <f>F99-F101</f>
        <v>12068690.109999999</v>
      </c>
      <c r="G100" s="660">
        <f>G99-G101</f>
        <v>10076166.050000001</v>
      </c>
      <c r="H100" s="661">
        <f>H99-H101</f>
        <v>10077.200000000001</v>
      </c>
      <c r="I100" s="678" t="s">
        <v>471</v>
      </c>
      <c r="J100" s="661">
        <f>J99-J101</f>
        <v>9865.2000000000007</v>
      </c>
      <c r="K100" s="661">
        <f>K99-K101</f>
        <v>212</v>
      </c>
      <c r="L100" s="678" t="s">
        <v>471</v>
      </c>
      <c r="M100" s="661">
        <f>M99-M101</f>
        <v>9865.2000000000007</v>
      </c>
      <c r="N100" s="661">
        <f>N99-N101</f>
        <v>0</v>
      </c>
    </row>
    <row r="101" spans="1:14" s="657" customFormat="1" ht="16.5" hidden="1" thickBot="1" x14ac:dyDescent="0.3">
      <c r="A101" s="746" t="s">
        <v>695</v>
      </c>
      <c r="B101" s="663" t="s">
        <v>471</v>
      </c>
      <c r="C101" s="664">
        <f>C68+C70+C76+C77+C78+C82+C85+C87+C88+C96+C98</f>
        <v>393818526.98000002</v>
      </c>
      <c r="D101" s="665">
        <v>1.5</v>
      </c>
      <c r="E101" s="665">
        <f>E68+E70+E76+E77+E78+E82+E85+E87+E88+E96+E98</f>
        <v>16627975</v>
      </c>
      <c r="F101" s="665">
        <f>F68+F70+F76+F77+F78+F82+F85+F87+F88+F96+F98</f>
        <v>8008148.9400000004</v>
      </c>
      <c r="G101" s="665">
        <f>G68+G70+G76+G77+G78+G82+G85+G87+G88+G96+G98</f>
        <v>5907277.9000000004</v>
      </c>
      <c r="H101" s="666">
        <f>H68+H70+H76+H77+H78+H82+H85+H87+H88+H96+H98</f>
        <v>5907.9</v>
      </c>
      <c r="I101" s="679" t="s">
        <v>471</v>
      </c>
      <c r="J101" s="666">
        <f>J68+J70+J76+J77+J78+J82+J85+J87+J88+J96+J98</f>
        <v>5730.3</v>
      </c>
      <c r="K101" s="666">
        <f>K68+K70+K76+K77+K78+K82+K85+K87+K88+K96+K98</f>
        <v>177.6</v>
      </c>
      <c r="L101" s="679" t="s">
        <v>471</v>
      </c>
      <c r="M101" s="666">
        <f>M68+M70+M76+M77+M78+M82+M85+M87+M88+M96+M98</f>
        <v>5730.3</v>
      </c>
      <c r="N101" s="666">
        <f>N68+N70+N76+N77+N78+N82+N85+N87+N88+N96+N98</f>
        <v>0</v>
      </c>
    </row>
    <row r="102" spans="1:14" s="263" customFormat="1" ht="19.5" customHeight="1" x14ac:dyDescent="0.25">
      <c r="A102" s="747" t="s">
        <v>359</v>
      </c>
      <c r="B102" s="741" t="s">
        <v>1149</v>
      </c>
      <c r="C102" s="680">
        <v>18247277.739999998</v>
      </c>
      <c r="D102" s="637">
        <v>1.5</v>
      </c>
      <c r="E102" s="637">
        <v>1005402</v>
      </c>
      <c r="F102" s="637">
        <v>251000</v>
      </c>
      <c r="G102" s="543">
        <f>ROUND((C102*D102)/100,2)</f>
        <v>273709.17</v>
      </c>
      <c r="H102" s="544">
        <f>ROUNDUP(G102/1000,1)</f>
        <v>273.8</v>
      </c>
      <c r="I102" s="545">
        <v>0.98122950480000004</v>
      </c>
      <c r="J102" s="544">
        <f>ROUNDUP(H102*I102,1)</f>
        <v>268.7</v>
      </c>
      <c r="K102" s="546">
        <f>H102-J102</f>
        <v>5.0999999999999996</v>
      </c>
      <c r="L102" s="547">
        <v>1</v>
      </c>
      <c r="M102" s="544">
        <f>ROUNDUP(J102*L102,1)</f>
        <v>268.7</v>
      </c>
      <c r="N102" s="634">
        <f>M102-J102</f>
        <v>0</v>
      </c>
    </row>
    <row r="103" spans="1:14" s="263" customFormat="1" x14ac:dyDescent="0.25">
      <c r="A103" s="748" t="s">
        <v>62</v>
      </c>
      <c r="B103" s="741"/>
      <c r="C103" s="680"/>
      <c r="D103" s="637">
        <v>1.5</v>
      </c>
      <c r="E103" s="637"/>
      <c r="F103" s="637"/>
      <c r="G103" s="543">
        <f>ROUND((C103*D103)/100,2)</f>
        <v>0</v>
      </c>
      <c r="H103" s="544">
        <f>ROUNDUP(G103/1000,1)</f>
        <v>0</v>
      </c>
      <c r="I103" s="545">
        <v>1</v>
      </c>
      <c r="J103" s="544">
        <f>ROUNDUP(H103*I103,1)</f>
        <v>0</v>
      </c>
      <c r="K103" s="546">
        <f>H103-J103</f>
        <v>0</v>
      </c>
      <c r="L103" s="547">
        <v>1</v>
      </c>
      <c r="M103" s="544">
        <f>ROUNDUP(J103*L103,1)</f>
        <v>0</v>
      </c>
      <c r="N103" s="634">
        <f>M103-J103</f>
        <v>0</v>
      </c>
    </row>
    <row r="104" spans="1:14" s="263" customFormat="1" x14ac:dyDescent="0.25">
      <c r="A104" s="748" t="s">
        <v>286</v>
      </c>
      <c r="B104" s="741"/>
      <c r="C104" s="680"/>
      <c r="D104" s="637">
        <v>1.5</v>
      </c>
      <c r="E104" s="637"/>
      <c r="F104" s="637"/>
      <c r="G104" s="543">
        <f>ROUND((C104*D104)/100,2)</f>
        <v>0</v>
      </c>
      <c r="H104" s="544">
        <f>ROUNDUP(G104/1000,1)</f>
        <v>0</v>
      </c>
      <c r="I104" s="545">
        <v>1</v>
      </c>
      <c r="J104" s="544">
        <f>ROUNDUP(H104*I104,1)</f>
        <v>0</v>
      </c>
      <c r="K104" s="546">
        <f>H104-J104</f>
        <v>0</v>
      </c>
      <c r="L104" s="547">
        <v>1</v>
      </c>
      <c r="M104" s="544">
        <f>ROUNDUP(J104*L104,1)</f>
        <v>0</v>
      </c>
      <c r="N104" s="634">
        <f>M104-J104</f>
        <v>0</v>
      </c>
    </row>
    <row r="105" spans="1:14" s="263" customFormat="1" x14ac:dyDescent="0.25">
      <c r="A105" s="748" t="s">
        <v>933</v>
      </c>
      <c r="B105" s="741"/>
      <c r="C105" s="680"/>
      <c r="D105" s="637">
        <v>1.5</v>
      </c>
      <c r="E105" s="637"/>
      <c r="F105" s="637"/>
      <c r="G105" s="543">
        <f>ROUND((C105*D105)/100,2)</f>
        <v>0</v>
      </c>
      <c r="H105" s="544">
        <f>ROUNDUP(G105/1000,1)</f>
        <v>0</v>
      </c>
      <c r="I105" s="545">
        <v>0.95716725619999998</v>
      </c>
      <c r="J105" s="544">
        <f>ROUNDUP(H105*I105,1)</f>
        <v>0</v>
      </c>
      <c r="K105" s="546">
        <f>H105-J105</f>
        <v>0</v>
      </c>
      <c r="L105" s="547">
        <v>1</v>
      </c>
      <c r="M105" s="544">
        <f>ROUNDUP(J105*L105,1)</f>
        <v>0</v>
      </c>
      <c r="N105" s="634">
        <f>M105-J105</f>
        <v>0</v>
      </c>
    </row>
    <row r="106" spans="1:14" s="263" customFormat="1" ht="18.75" customHeight="1" thickBot="1" x14ac:dyDescent="0.3">
      <c r="A106" s="749" t="s">
        <v>360</v>
      </c>
      <c r="B106" s="750" t="s">
        <v>1150</v>
      </c>
      <c r="C106" s="681">
        <v>8906912.1500000004</v>
      </c>
      <c r="D106" s="651">
        <v>1.5</v>
      </c>
      <c r="E106" s="651">
        <v>441676</v>
      </c>
      <c r="F106" s="651">
        <v>210622</v>
      </c>
      <c r="G106" s="543">
        <f>ROUND((C106*D106)/100,2)</f>
        <v>133603.68</v>
      </c>
      <c r="H106" s="544">
        <f>ROUNDUP(G106/1000,1)</f>
        <v>133.69999999999999</v>
      </c>
      <c r="I106" s="545">
        <v>1</v>
      </c>
      <c r="J106" s="544">
        <f>ROUNDUP(H106*I106,1)</f>
        <v>133.69999999999999</v>
      </c>
      <c r="K106" s="546">
        <f>H106-J106</f>
        <v>0</v>
      </c>
      <c r="L106" s="547">
        <v>1</v>
      </c>
      <c r="M106" s="544">
        <f>ROUNDUP(J106*L106,1)</f>
        <v>133.69999999999999</v>
      </c>
      <c r="N106" s="634">
        <f>M106-J106</f>
        <v>0</v>
      </c>
    </row>
    <row r="107" spans="1:14" s="657" customFormat="1" ht="16.5" thickBot="1" x14ac:dyDescent="0.3">
      <c r="A107" s="744" t="s">
        <v>1047</v>
      </c>
      <c r="B107" s="652" t="s">
        <v>471</v>
      </c>
      <c r="C107" s="653">
        <f>SUM(C102:C106)</f>
        <v>27154189.890000001</v>
      </c>
      <c r="D107" s="654">
        <v>1.5</v>
      </c>
      <c r="E107" s="654">
        <f>SUM(E102:E106)</f>
        <v>1447078</v>
      </c>
      <c r="F107" s="654">
        <f>SUM(F102:F106)</f>
        <v>461622</v>
      </c>
      <c r="G107" s="654">
        <f>SUM(G102:G106)</f>
        <v>407312.85</v>
      </c>
      <c r="H107" s="655">
        <f>SUM(H102:H106)</f>
        <v>407.5</v>
      </c>
      <c r="I107" s="677" t="s">
        <v>471</v>
      </c>
      <c r="J107" s="655">
        <f>SUM(J102:J106)</f>
        <v>402.4</v>
      </c>
      <c r="K107" s="655">
        <f>SUM(K102:K106)</f>
        <v>5.0999999999999996</v>
      </c>
      <c r="L107" s="677" t="s">
        <v>471</v>
      </c>
      <c r="M107" s="655">
        <f>SUM(M102:M106)</f>
        <v>402.4</v>
      </c>
      <c r="N107" s="655">
        <f>SUM(N102:N106)</f>
        <v>0</v>
      </c>
    </row>
    <row r="108" spans="1:14" s="657" customFormat="1" x14ac:dyDescent="0.25">
      <c r="A108" s="751" t="s">
        <v>694</v>
      </c>
      <c r="B108" s="658" t="s">
        <v>471</v>
      </c>
      <c r="C108" s="659">
        <f>C107-C109</f>
        <v>8906912.1500000004</v>
      </c>
      <c r="D108" s="660">
        <v>1.5</v>
      </c>
      <c r="E108" s="660">
        <f>E107-E109</f>
        <v>441676</v>
      </c>
      <c r="F108" s="660">
        <f>F107-F109</f>
        <v>210622</v>
      </c>
      <c r="G108" s="660">
        <f>G107-G109</f>
        <v>133603.68</v>
      </c>
      <c r="H108" s="661">
        <f>H107-H109</f>
        <v>133.69999999999999</v>
      </c>
      <c r="I108" s="678" t="s">
        <v>471</v>
      </c>
      <c r="J108" s="661">
        <f>J107-J109</f>
        <v>133.69999999999999</v>
      </c>
      <c r="K108" s="661">
        <f>K107-K109</f>
        <v>0</v>
      </c>
      <c r="L108" s="678" t="s">
        <v>471</v>
      </c>
      <c r="M108" s="661">
        <f>M107-M109</f>
        <v>133.69999999999999</v>
      </c>
      <c r="N108" s="661">
        <f>N107-N109</f>
        <v>0</v>
      </c>
    </row>
    <row r="109" spans="1:14" s="657" customFormat="1" ht="16.5" thickBot="1" x14ac:dyDescent="0.3">
      <c r="A109" s="746" t="s">
        <v>695</v>
      </c>
      <c r="B109" s="663" t="s">
        <v>471</v>
      </c>
      <c r="C109" s="665">
        <f>C102</f>
        <v>18247277.739999998</v>
      </c>
      <c r="D109" s="665">
        <v>1.5</v>
      </c>
      <c r="E109" s="665">
        <f>E102</f>
        <v>1005402</v>
      </c>
      <c r="F109" s="665">
        <f t="shared" ref="F109:H109" si="12">F102</f>
        <v>251000</v>
      </c>
      <c r="G109" s="665">
        <f t="shared" si="12"/>
        <v>273709.17</v>
      </c>
      <c r="H109" s="666">
        <f t="shared" si="12"/>
        <v>273.8</v>
      </c>
      <c r="I109" s="679" t="s">
        <v>471</v>
      </c>
      <c r="J109" s="665">
        <f t="shared" ref="J109:K109" si="13">J102</f>
        <v>268.7</v>
      </c>
      <c r="K109" s="665">
        <f t="shared" si="13"/>
        <v>5.0999999999999996</v>
      </c>
      <c r="L109" s="679" t="s">
        <v>471</v>
      </c>
      <c r="M109" s="666">
        <f t="shared" ref="M109:N109" si="14">M102</f>
        <v>268.7</v>
      </c>
      <c r="N109" s="666">
        <f t="shared" si="14"/>
        <v>0</v>
      </c>
    </row>
    <row r="110" spans="1:14" ht="16.5" hidden="1" thickBot="1" x14ac:dyDescent="0.3">
      <c r="A110" s="752" t="s">
        <v>691</v>
      </c>
      <c r="B110" s="682"/>
      <c r="C110" s="683"/>
      <c r="D110" s="684">
        <v>1.5</v>
      </c>
      <c r="E110" s="682"/>
      <c r="F110" s="682"/>
      <c r="G110" s="685">
        <f>ROUND((C110*D110)/100,2)</f>
        <v>0</v>
      </c>
      <c r="H110" s="686">
        <f>ROUNDUP(G110/1000,1)</f>
        <v>0</v>
      </c>
      <c r="I110" s="687">
        <v>1</v>
      </c>
      <c r="J110" s="686">
        <f>ROUNDUP(H110*I110,1)</f>
        <v>0</v>
      </c>
      <c r="K110" s="688">
        <f>H110-J110</f>
        <v>0</v>
      </c>
      <c r="L110" s="689">
        <v>1</v>
      </c>
      <c r="M110" s="686">
        <f>ROUNDUP(J110*L110,1)</f>
        <v>0</v>
      </c>
      <c r="N110" s="690">
        <f>M110-J110</f>
        <v>0</v>
      </c>
    </row>
    <row r="111" spans="1:14" ht="16.5" hidden="1" thickBot="1" x14ac:dyDescent="0.3">
      <c r="A111" s="753"/>
      <c r="B111" s="682"/>
      <c r="C111" s="683"/>
      <c r="D111" s="684"/>
      <c r="E111" s="682"/>
      <c r="F111" s="682"/>
      <c r="G111" s="608"/>
      <c r="H111" s="609"/>
      <c r="I111" s="610"/>
      <c r="J111" s="609"/>
      <c r="K111" s="611"/>
      <c r="L111" s="612"/>
      <c r="M111" s="609"/>
      <c r="N111" s="691"/>
    </row>
    <row r="112" spans="1:14" s="657" customFormat="1" ht="16.5" hidden="1" thickBot="1" x14ac:dyDescent="0.3">
      <c r="A112" s="744" t="s">
        <v>802</v>
      </c>
      <c r="B112" s="652" t="s">
        <v>471</v>
      </c>
      <c r="C112" s="653">
        <f>C65+C99+C107+C110</f>
        <v>2073337931.6700001</v>
      </c>
      <c r="D112" s="654">
        <v>1.5</v>
      </c>
      <c r="E112" s="654">
        <f>E65+E99+E107+E110</f>
        <v>91976382.040000007</v>
      </c>
      <c r="F112" s="654">
        <f>F65+F99+F107+F110</f>
        <v>39717431.030000001</v>
      </c>
      <c r="G112" s="654">
        <f>G65+G99+G107+G110</f>
        <v>31100068.98</v>
      </c>
      <c r="H112" s="655">
        <f>H65+H99+H107+H110</f>
        <v>31104.7</v>
      </c>
      <c r="I112" s="677" t="s">
        <v>471</v>
      </c>
      <c r="J112" s="655">
        <f>J65+J99+J107+J110</f>
        <v>30671.599999999999</v>
      </c>
      <c r="K112" s="655">
        <f>K65+K99+K107+K110</f>
        <v>433.1</v>
      </c>
      <c r="L112" s="677" t="s">
        <v>471</v>
      </c>
      <c r="M112" s="655">
        <f>M65+M99+M107+M110</f>
        <v>30671.599999999999</v>
      </c>
      <c r="N112" s="655">
        <f>N65+N99+N107+N110</f>
        <v>0</v>
      </c>
    </row>
    <row r="113" spans="1:14" s="657" customFormat="1" hidden="1" x14ac:dyDescent="0.25">
      <c r="A113" s="751" t="s">
        <v>694</v>
      </c>
      <c r="B113" s="658" t="s">
        <v>471</v>
      </c>
      <c r="C113" s="659">
        <f>C66+C100+C108+C110</f>
        <v>1505773287.99</v>
      </c>
      <c r="D113" s="660">
        <v>1.5</v>
      </c>
      <c r="E113" s="660">
        <f>E66+E100+E108+E110</f>
        <v>69568087.760000005</v>
      </c>
      <c r="F113" s="660">
        <f>F66+F100+F108+F110</f>
        <v>29332771.27</v>
      </c>
      <c r="G113" s="660">
        <f>G66+G100+G108+G110</f>
        <v>22586599.32</v>
      </c>
      <c r="H113" s="661">
        <f>H66+H100+H108+H110</f>
        <v>22590.2</v>
      </c>
      <c r="I113" s="678" t="s">
        <v>471</v>
      </c>
      <c r="J113" s="661">
        <f>J66+J100+J108+J110</f>
        <v>22358.400000000001</v>
      </c>
      <c r="K113" s="661">
        <f>K66+K100+K108+K110</f>
        <v>231.8</v>
      </c>
      <c r="L113" s="678" t="s">
        <v>471</v>
      </c>
      <c r="M113" s="661">
        <f>M66+M100+M108+M110</f>
        <v>22358.400000000001</v>
      </c>
      <c r="N113" s="661">
        <f>N66+N100+N108+N110</f>
        <v>0</v>
      </c>
    </row>
    <row r="114" spans="1:14" s="657" customFormat="1" ht="16.5" hidden="1" thickBot="1" x14ac:dyDescent="0.3">
      <c r="A114" s="746" t="s">
        <v>695</v>
      </c>
      <c r="B114" s="663" t="s">
        <v>471</v>
      </c>
      <c r="C114" s="664">
        <f>C67+C101+C109</f>
        <v>567564643.67999995</v>
      </c>
      <c r="D114" s="665">
        <v>1.5</v>
      </c>
      <c r="E114" s="665">
        <f>E67+E101+E109</f>
        <v>22408294.280000001</v>
      </c>
      <c r="F114" s="665">
        <f>F67+F101+F109</f>
        <v>10384659.76</v>
      </c>
      <c r="G114" s="665">
        <f>G67+G101+G109</f>
        <v>8513469.6600000001</v>
      </c>
      <c r="H114" s="666">
        <f>H67+H101+H109</f>
        <v>8514.5</v>
      </c>
      <c r="I114" s="679" t="s">
        <v>471</v>
      </c>
      <c r="J114" s="666">
        <f>J67+J101+J109</f>
        <v>8313.2000000000007</v>
      </c>
      <c r="K114" s="666">
        <f>K67+K101+K109</f>
        <v>201.3</v>
      </c>
      <c r="L114" s="679" t="s">
        <v>471</v>
      </c>
      <c r="M114" s="666">
        <f>M67+M101+M109</f>
        <v>8313.2000000000007</v>
      </c>
      <c r="N114" s="666">
        <f>N67+N101+N109</f>
        <v>0</v>
      </c>
    </row>
    <row r="115" spans="1:14" hidden="1" x14ac:dyDescent="0.25">
      <c r="A115" s="264" t="s">
        <v>337</v>
      </c>
      <c r="B115" s="621"/>
      <c r="C115" s="692">
        <f>C112-C113-C114</f>
        <v>0</v>
      </c>
      <c r="D115" s="621"/>
      <c r="E115" s="693">
        <f>E112-E113-E114</f>
        <v>0</v>
      </c>
      <c r="F115" s="693">
        <f>F112-F113-F114</f>
        <v>0</v>
      </c>
      <c r="G115" s="693">
        <f>G112-G113-G114</f>
        <v>0</v>
      </c>
      <c r="H115" s="694">
        <f>H112-H113-H114</f>
        <v>0</v>
      </c>
      <c r="I115" s="694"/>
      <c r="J115" s="694">
        <f>J112-J113-J114</f>
        <v>0</v>
      </c>
      <c r="K115" s="694">
        <f>K112-K113-K114</f>
        <v>0</v>
      </c>
      <c r="L115" s="694"/>
      <c r="M115" s="694">
        <f>M112-M113-M114</f>
        <v>0</v>
      </c>
      <c r="N115" s="694">
        <f>N112-N113-N114</f>
        <v>0</v>
      </c>
    </row>
    <row r="116" spans="1:14" x14ac:dyDescent="0.25">
      <c r="B116" s="621"/>
      <c r="D116" s="621"/>
      <c r="E116" s="621"/>
      <c r="F116" s="621"/>
      <c r="G116" s="621"/>
      <c r="I116" s="621"/>
    </row>
    <row r="117" spans="1:14" x14ac:dyDescent="0.25">
      <c r="B117" s="621"/>
      <c r="D117" s="621"/>
      <c r="E117" s="621"/>
      <c r="F117" s="621"/>
      <c r="G117" s="621"/>
      <c r="I117" s="621"/>
    </row>
    <row r="118" spans="1:14" x14ac:dyDescent="0.25">
      <c r="B118" s="621"/>
      <c r="D118" s="621"/>
      <c r="E118" s="621"/>
      <c r="F118" s="621"/>
      <c r="G118" s="621"/>
      <c r="I118" s="621"/>
    </row>
    <row r="119" spans="1:14" x14ac:dyDescent="0.25">
      <c r="B119" s="621"/>
      <c r="D119" s="621"/>
      <c r="E119" s="621"/>
      <c r="F119" s="621"/>
      <c r="G119" s="621"/>
      <c r="I119" s="621"/>
    </row>
    <row r="120" spans="1:14" x14ac:dyDescent="0.25">
      <c r="B120" s="621"/>
      <c r="D120" s="621"/>
      <c r="E120" s="621"/>
      <c r="F120" s="621"/>
      <c r="G120" s="621"/>
      <c r="I120" s="621"/>
    </row>
    <row r="121" spans="1:14" x14ac:dyDescent="0.25">
      <c r="B121" s="621"/>
      <c r="D121" s="621"/>
      <c r="E121" s="621"/>
      <c r="F121" s="621"/>
      <c r="G121" s="621"/>
      <c r="I121" s="621"/>
    </row>
    <row r="122" spans="1:14" x14ac:dyDescent="0.25">
      <c r="B122" s="621"/>
      <c r="D122" s="621"/>
      <c r="E122" s="621"/>
      <c r="F122" s="621"/>
      <c r="G122" s="621"/>
      <c r="I122" s="621"/>
    </row>
    <row r="123" spans="1:14" x14ac:dyDescent="0.25">
      <c r="B123" s="621"/>
      <c r="D123" s="621"/>
      <c r="E123" s="621"/>
      <c r="F123" s="621"/>
      <c r="G123" s="621"/>
      <c r="I123" s="621"/>
    </row>
    <row r="124" spans="1:14" x14ac:dyDescent="0.25">
      <c r="B124" s="621"/>
      <c r="D124" s="621"/>
      <c r="E124" s="621"/>
      <c r="F124" s="621"/>
      <c r="G124" s="621"/>
      <c r="I124" s="621"/>
    </row>
    <row r="125" spans="1:14" x14ac:dyDescent="0.25">
      <c r="B125" s="621"/>
      <c r="D125" s="621"/>
      <c r="E125" s="621"/>
      <c r="F125" s="621"/>
      <c r="G125" s="621"/>
      <c r="I125" s="621"/>
    </row>
    <row r="126" spans="1:14" x14ac:dyDescent="0.25">
      <c r="B126" s="621"/>
      <c r="D126" s="621"/>
      <c r="E126" s="621"/>
      <c r="F126" s="621"/>
      <c r="G126" s="621"/>
      <c r="I126" s="621"/>
    </row>
    <row r="127" spans="1:14" x14ac:dyDescent="0.25">
      <c r="B127" s="621"/>
      <c r="D127" s="621"/>
      <c r="E127" s="621"/>
      <c r="F127" s="621"/>
      <c r="G127" s="621"/>
      <c r="I127" s="621"/>
    </row>
    <row r="128" spans="1:14" x14ac:dyDescent="0.25">
      <c r="B128" s="621"/>
      <c r="D128" s="621"/>
      <c r="E128" s="621"/>
      <c r="F128" s="621"/>
      <c r="G128" s="621"/>
      <c r="I128" s="621"/>
    </row>
    <row r="129" spans="3:11" s="621" customFormat="1" x14ac:dyDescent="0.25">
      <c r="C129" s="695"/>
      <c r="K129" s="623"/>
    </row>
    <row r="130" spans="3:11" s="621" customFormat="1" x14ac:dyDescent="0.25">
      <c r="C130" s="695"/>
      <c r="K130" s="623"/>
    </row>
    <row r="131" spans="3:11" s="621" customFormat="1" x14ac:dyDescent="0.25">
      <c r="C131" s="695"/>
      <c r="K131" s="623"/>
    </row>
    <row r="132" spans="3:11" s="621" customFormat="1" x14ac:dyDescent="0.25">
      <c r="C132" s="695"/>
      <c r="K132" s="623"/>
    </row>
    <row r="133" spans="3:11" s="621" customFormat="1" x14ac:dyDescent="0.25">
      <c r="C133" s="695"/>
      <c r="K133" s="623"/>
    </row>
    <row r="134" spans="3:11" s="621" customFormat="1" x14ac:dyDescent="0.25">
      <c r="C134" s="695"/>
      <c r="K134" s="623"/>
    </row>
    <row r="135" spans="3:11" s="621" customFormat="1" x14ac:dyDescent="0.25">
      <c r="C135" s="695"/>
      <c r="K135" s="623"/>
    </row>
    <row r="136" spans="3:11" s="621" customFormat="1" x14ac:dyDescent="0.25">
      <c r="C136" s="695"/>
      <c r="K136" s="623"/>
    </row>
    <row r="137" spans="3:11" s="621" customFormat="1" x14ac:dyDescent="0.25">
      <c r="C137" s="695"/>
      <c r="K137" s="623"/>
    </row>
    <row r="138" spans="3:11" s="621" customFormat="1" x14ac:dyDescent="0.25">
      <c r="C138" s="695"/>
      <c r="K138" s="623"/>
    </row>
    <row r="139" spans="3:11" s="621" customFormat="1" x14ac:dyDescent="0.25">
      <c r="C139" s="695"/>
      <c r="K139" s="623"/>
    </row>
    <row r="140" spans="3:11" s="621" customFormat="1" x14ac:dyDescent="0.25">
      <c r="C140" s="695"/>
      <c r="K140" s="623"/>
    </row>
    <row r="141" spans="3:11" s="621" customFormat="1" x14ac:dyDescent="0.25">
      <c r="C141" s="695"/>
      <c r="K141" s="623"/>
    </row>
    <row r="142" spans="3:11" s="621" customFormat="1" x14ac:dyDescent="0.25">
      <c r="C142" s="695"/>
      <c r="K142" s="623"/>
    </row>
    <row r="143" spans="3:11" s="621" customFormat="1" x14ac:dyDescent="0.25">
      <c r="C143" s="695"/>
      <c r="K143" s="623"/>
    </row>
    <row r="144" spans="3:11" s="621" customFormat="1" x14ac:dyDescent="0.25">
      <c r="C144" s="695"/>
      <c r="K144" s="623"/>
    </row>
    <row r="145" spans="3:11" s="621" customFormat="1" x14ac:dyDescent="0.25">
      <c r="C145" s="695"/>
      <c r="K145" s="623"/>
    </row>
    <row r="146" spans="3:11" s="621" customFormat="1" x14ac:dyDescent="0.25">
      <c r="C146" s="695"/>
      <c r="K146" s="623"/>
    </row>
    <row r="147" spans="3:11" s="621" customFormat="1" x14ac:dyDescent="0.25">
      <c r="C147" s="695"/>
      <c r="K147" s="623"/>
    </row>
    <row r="148" spans="3:11" s="621" customFormat="1" x14ac:dyDescent="0.25">
      <c r="C148" s="695"/>
      <c r="K148" s="623"/>
    </row>
    <row r="149" spans="3:11" s="621" customFormat="1" x14ac:dyDescent="0.25">
      <c r="C149" s="695"/>
      <c r="K149" s="623"/>
    </row>
    <row r="150" spans="3:11" s="621" customFormat="1" x14ac:dyDescent="0.25">
      <c r="C150" s="695"/>
      <c r="K150" s="623"/>
    </row>
    <row r="151" spans="3:11" s="621" customFormat="1" x14ac:dyDescent="0.25">
      <c r="C151" s="695"/>
      <c r="K151" s="623"/>
    </row>
    <row r="152" spans="3:11" s="621" customFormat="1" x14ac:dyDescent="0.25">
      <c r="C152" s="695"/>
      <c r="K152" s="623"/>
    </row>
    <row r="153" spans="3:11" s="621" customFormat="1" x14ac:dyDescent="0.25">
      <c r="C153" s="695"/>
      <c r="K153" s="623"/>
    </row>
    <row r="154" spans="3:11" s="621" customFormat="1" x14ac:dyDescent="0.25">
      <c r="C154" s="695"/>
      <c r="K154" s="623"/>
    </row>
    <row r="155" spans="3:11" s="621" customFormat="1" x14ac:dyDescent="0.25">
      <c r="C155" s="695"/>
      <c r="K155" s="623"/>
    </row>
    <row r="156" spans="3:11" s="621" customFormat="1" x14ac:dyDescent="0.25">
      <c r="C156" s="695"/>
      <c r="K156" s="623"/>
    </row>
    <row r="157" spans="3:11" s="621" customFormat="1" x14ac:dyDescent="0.25">
      <c r="C157" s="695"/>
      <c r="K157" s="623"/>
    </row>
    <row r="158" spans="3:11" s="621" customFormat="1" x14ac:dyDescent="0.25">
      <c r="C158" s="695"/>
      <c r="K158" s="623"/>
    </row>
    <row r="159" spans="3:11" s="621" customFormat="1" x14ac:dyDescent="0.25">
      <c r="C159" s="695"/>
      <c r="K159" s="623"/>
    </row>
    <row r="160" spans="3:11" s="621" customFormat="1" x14ac:dyDescent="0.25">
      <c r="C160" s="695"/>
      <c r="K160" s="623"/>
    </row>
    <row r="161" spans="3:11" s="621" customFormat="1" x14ac:dyDescent="0.25">
      <c r="C161" s="695"/>
      <c r="K161" s="623"/>
    </row>
    <row r="162" spans="3:11" s="621" customFormat="1" x14ac:dyDescent="0.25">
      <c r="C162" s="695"/>
      <c r="K162" s="623"/>
    </row>
    <row r="163" spans="3:11" s="621" customFormat="1" x14ac:dyDescent="0.25">
      <c r="C163" s="695"/>
      <c r="K163" s="623"/>
    </row>
    <row r="164" spans="3:11" s="621" customFormat="1" x14ac:dyDescent="0.25">
      <c r="C164" s="695"/>
      <c r="K164" s="623"/>
    </row>
    <row r="165" spans="3:11" s="621" customFormat="1" x14ac:dyDescent="0.25">
      <c r="C165" s="695"/>
      <c r="K165" s="623"/>
    </row>
    <row r="166" spans="3:11" s="621" customFormat="1" x14ac:dyDescent="0.25">
      <c r="C166" s="695"/>
      <c r="K166" s="623"/>
    </row>
    <row r="167" spans="3:11" s="621" customFormat="1" x14ac:dyDescent="0.25">
      <c r="C167" s="695"/>
      <c r="K167" s="623"/>
    </row>
    <row r="168" spans="3:11" s="621" customFormat="1" x14ac:dyDescent="0.25">
      <c r="C168" s="695"/>
      <c r="K168" s="623"/>
    </row>
    <row r="169" spans="3:11" s="621" customFormat="1" x14ac:dyDescent="0.25">
      <c r="C169" s="695"/>
      <c r="K169" s="623"/>
    </row>
    <row r="170" spans="3:11" s="621" customFormat="1" x14ac:dyDescent="0.25">
      <c r="C170" s="695"/>
      <c r="K170" s="623"/>
    </row>
    <row r="171" spans="3:11" s="621" customFormat="1" x14ac:dyDescent="0.25">
      <c r="C171" s="695"/>
      <c r="K171" s="623"/>
    </row>
    <row r="172" spans="3:11" s="621" customFormat="1" x14ac:dyDescent="0.25">
      <c r="C172" s="695"/>
      <c r="K172" s="623"/>
    </row>
    <row r="173" spans="3:11" s="621" customFormat="1" x14ac:dyDescent="0.25">
      <c r="C173" s="695"/>
      <c r="K173" s="623"/>
    </row>
    <row r="174" spans="3:11" s="621" customFormat="1" x14ac:dyDescent="0.25">
      <c r="C174" s="695"/>
      <c r="K174" s="623"/>
    </row>
    <row r="175" spans="3:11" s="621" customFormat="1" x14ac:dyDescent="0.25">
      <c r="C175" s="695"/>
      <c r="K175" s="623"/>
    </row>
    <row r="176" spans="3:11" s="621" customFormat="1" x14ac:dyDescent="0.25">
      <c r="C176" s="695"/>
      <c r="K176" s="623"/>
    </row>
    <row r="177" spans="3:11" s="621" customFormat="1" x14ac:dyDescent="0.25">
      <c r="C177" s="695"/>
      <c r="K177" s="623"/>
    </row>
    <row r="178" spans="3:11" s="621" customFormat="1" x14ac:dyDescent="0.25">
      <c r="C178" s="695"/>
      <c r="K178" s="623"/>
    </row>
    <row r="179" spans="3:11" s="621" customFormat="1" x14ac:dyDescent="0.25">
      <c r="C179" s="695"/>
      <c r="K179" s="623"/>
    </row>
    <row r="180" spans="3:11" s="621" customFormat="1" x14ac:dyDescent="0.25">
      <c r="C180" s="695"/>
      <c r="K180" s="623"/>
    </row>
    <row r="181" spans="3:11" s="621" customFormat="1" x14ac:dyDescent="0.25">
      <c r="C181" s="695"/>
      <c r="K181" s="623"/>
    </row>
    <row r="182" spans="3:11" s="621" customFormat="1" x14ac:dyDescent="0.25">
      <c r="C182" s="695"/>
      <c r="K182" s="623"/>
    </row>
    <row r="183" spans="3:11" s="621" customFormat="1" x14ac:dyDescent="0.25">
      <c r="C183" s="695"/>
      <c r="K183" s="623"/>
    </row>
    <row r="184" spans="3:11" s="621" customFormat="1" x14ac:dyDescent="0.25">
      <c r="C184" s="695"/>
      <c r="K184" s="623"/>
    </row>
    <row r="185" spans="3:11" s="621" customFormat="1" x14ac:dyDescent="0.25">
      <c r="C185" s="695"/>
      <c r="K185" s="623"/>
    </row>
    <row r="186" spans="3:11" s="621" customFormat="1" x14ac:dyDescent="0.25">
      <c r="C186" s="695"/>
      <c r="K186" s="623"/>
    </row>
    <row r="187" spans="3:11" s="621" customFormat="1" x14ac:dyDescent="0.25">
      <c r="C187" s="695"/>
      <c r="K187" s="623"/>
    </row>
    <row r="188" spans="3:11" s="621" customFormat="1" x14ac:dyDescent="0.25">
      <c r="C188" s="695"/>
      <c r="K188" s="623"/>
    </row>
    <row r="189" spans="3:11" s="621" customFormat="1" x14ac:dyDescent="0.25">
      <c r="C189" s="695"/>
      <c r="K189" s="623"/>
    </row>
    <row r="190" spans="3:11" s="621" customFormat="1" x14ac:dyDescent="0.25">
      <c r="C190" s="695"/>
      <c r="K190" s="623"/>
    </row>
    <row r="191" spans="3:11" s="621" customFormat="1" x14ac:dyDescent="0.25">
      <c r="C191" s="695"/>
      <c r="K191" s="623"/>
    </row>
    <row r="192" spans="3:11" s="621" customFormat="1" x14ac:dyDescent="0.25">
      <c r="C192" s="695"/>
      <c r="K192" s="623"/>
    </row>
    <row r="193" spans="3:11" s="621" customFormat="1" x14ac:dyDescent="0.25">
      <c r="C193" s="695"/>
      <c r="K193" s="623"/>
    </row>
    <row r="194" spans="3:11" s="621" customFormat="1" x14ac:dyDescent="0.25">
      <c r="C194" s="695"/>
      <c r="K194" s="623"/>
    </row>
    <row r="195" spans="3:11" s="621" customFormat="1" x14ac:dyDescent="0.25">
      <c r="C195" s="695"/>
      <c r="K195" s="623"/>
    </row>
    <row r="196" spans="3:11" s="621" customFormat="1" x14ac:dyDescent="0.25">
      <c r="C196" s="695"/>
      <c r="K196" s="623"/>
    </row>
    <row r="197" spans="3:11" s="621" customFormat="1" x14ac:dyDescent="0.25">
      <c r="C197" s="695"/>
      <c r="K197" s="623"/>
    </row>
    <row r="198" spans="3:11" s="621" customFormat="1" x14ac:dyDescent="0.25">
      <c r="C198" s="695"/>
      <c r="K198" s="623"/>
    </row>
    <row r="199" spans="3:11" s="621" customFormat="1" x14ac:dyDescent="0.25">
      <c r="C199" s="695"/>
      <c r="K199" s="623"/>
    </row>
    <row r="200" spans="3:11" s="621" customFormat="1" x14ac:dyDescent="0.25">
      <c r="C200" s="695"/>
      <c r="K200" s="623"/>
    </row>
    <row r="201" spans="3:11" s="621" customFormat="1" x14ac:dyDescent="0.25">
      <c r="C201" s="695"/>
      <c r="K201" s="623"/>
    </row>
    <row r="202" spans="3:11" s="621" customFormat="1" x14ac:dyDescent="0.25">
      <c r="C202" s="695"/>
      <c r="K202" s="623"/>
    </row>
    <row r="203" spans="3:11" s="621" customFormat="1" x14ac:dyDescent="0.25">
      <c r="C203" s="695"/>
      <c r="K203" s="623"/>
    </row>
    <row r="204" spans="3:11" s="621" customFormat="1" x14ac:dyDescent="0.25">
      <c r="C204" s="695"/>
      <c r="K204" s="623"/>
    </row>
    <row r="205" spans="3:11" s="621" customFormat="1" x14ac:dyDescent="0.25">
      <c r="C205" s="695"/>
      <c r="K205" s="623"/>
    </row>
    <row r="206" spans="3:11" s="621" customFormat="1" x14ac:dyDescent="0.25">
      <c r="C206" s="695"/>
      <c r="K206" s="623"/>
    </row>
    <row r="207" spans="3:11" s="621" customFormat="1" x14ac:dyDescent="0.25">
      <c r="C207" s="695"/>
      <c r="K207" s="623"/>
    </row>
    <row r="208" spans="3:11" s="621" customFormat="1" x14ac:dyDescent="0.25">
      <c r="C208" s="695"/>
      <c r="K208" s="623"/>
    </row>
    <row r="209" spans="3:11" s="621" customFormat="1" x14ac:dyDescent="0.25">
      <c r="C209" s="695"/>
      <c r="K209" s="623"/>
    </row>
    <row r="210" spans="3:11" s="621" customFormat="1" x14ac:dyDescent="0.25">
      <c r="C210" s="695"/>
      <c r="K210" s="623"/>
    </row>
    <row r="211" spans="3:11" s="621" customFormat="1" x14ac:dyDescent="0.25">
      <c r="C211" s="695"/>
      <c r="K211" s="623"/>
    </row>
    <row r="212" spans="3:11" s="621" customFormat="1" x14ac:dyDescent="0.25">
      <c r="C212" s="695"/>
      <c r="K212" s="623"/>
    </row>
    <row r="213" spans="3:11" s="621" customFormat="1" x14ac:dyDescent="0.25">
      <c r="C213" s="695"/>
      <c r="K213" s="623"/>
    </row>
    <row r="214" spans="3:11" s="621" customFormat="1" x14ac:dyDescent="0.25">
      <c r="C214" s="695"/>
      <c r="K214" s="623"/>
    </row>
    <row r="215" spans="3:11" s="621" customFormat="1" x14ac:dyDescent="0.25">
      <c r="C215" s="695"/>
      <c r="K215" s="623"/>
    </row>
    <row r="216" spans="3:11" s="621" customFormat="1" x14ac:dyDescent="0.25">
      <c r="C216" s="695"/>
      <c r="K216" s="623"/>
    </row>
    <row r="217" spans="3:11" s="621" customFormat="1" x14ac:dyDescent="0.25">
      <c r="C217" s="695"/>
      <c r="K217" s="623"/>
    </row>
    <row r="218" spans="3:11" s="621" customFormat="1" x14ac:dyDescent="0.25">
      <c r="C218" s="695"/>
      <c r="K218" s="623"/>
    </row>
    <row r="219" spans="3:11" s="621" customFormat="1" x14ac:dyDescent="0.25">
      <c r="C219" s="695"/>
      <c r="K219" s="623"/>
    </row>
    <row r="220" spans="3:11" s="621" customFormat="1" x14ac:dyDescent="0.25">
      <c r="C220" s="695"/>
      <c r="K220" s="623"/>
    </row>
    <row r="221" spans="3:11" s="621" customFormat="1" x14ac:dyDescent="0.25">
      <c r="C221" s="695"/>
      <c r="K221" s="623"/>
    </row>
    <row r="222" spans="3:11" s="621" customFormat="1" x14ac:dyDescent="0.25">
      <c r="C222" s="695"/>
      <c r="K222" s="623"/>
    </row>
    <row r="223" spans="3:11" s="621" customFormat="1" x14ac:dyDescent="0.25">
      <c r="C223" s="695"/>
      <c r="K223" s="623"/>
    </row>
    <row r="224" spans="3:11" s="621" customFormat="1" x14ac:dyDescent="0.25">
      <c r="C224" s="695"/>
      <c r="K224" s="623"/>
    </row>
    <row r="225" spans="3:11" s="621" customFormat="1" x14ac:dyDescent="0.25">
      <c r="C225" s="695"/>
      <c r="K225" s="623"/>
    </row>
    <row r="226" spans="3:11" s="621" customFormat="1" x14ac:dyDescent="0.25">
      <c r="C226" s="695"/>
      <c r="K226" s="623"/>
    </row>
    <row r="227" spans="3:11" s="621" customFormat="1" x14ac:dyDescent="0.25">
      <c r="C227" s="695"/>
      <c r="K227" s="623"/>
    </row>
    <row r="228" spans="3:11" s="621" customFormat="1" x14ac:dyDescent="0.25">
      <c r="C228" s="695"/>
      <c r="K228" s="623"/>
    </row>
    <row r="229" spans="3:11" s="621" customFormat="1" x14ac:dyDescent="0.25">
      <c r="C229" s="695"/>
      <c r="K229" s="623"/>
    </row>
    <row r="230" spans="3:11" s="621" customFormat="1" x14ac:dyDescent="0.25">
      <c r="C230" s="695"/>
      <c r="K230" s="623"/>
    </row>
    <row r="231" spans="3:11" s="621" customFormat="1" x14ac:dyDescent="0.25">
      <c r="C231" s="695"/>
      <c r="K231" s="623"/>
    </row>
    <row r="232" spans="3:11" s="621" customFormat="1" x14ac:dyDescent="0.25">
      <c r="C232" s="695"/>
      <c r="K232" s="623"/>
    </row>
    <row r="233" spans="3:11" s="621" customFormat="1" x14ac:dyDescent="0.25">
      <c r="C233" s="695"/>
      <c r="K233" s="623"/>
    </row>
    <row r="234" spans="3:11" s="621" customFormat="1" x14ac:dyDescent="0.25">
      <c r="C234" s="695"/>
      <c r="K234" s="623"/>
    </row>
    <row r="235" spans="3:11" s="621" customFormat="1" x14ac:dyDescent="0.25">
      <c r="C235" s="695"/>
      <c r="K235" s="623"/>
    </row>
    <row r="236" spans="3:11" s="621" customFormat="1" x14ac:dyDescent="0.25">
      <c r="C236" s="695"/>
      <c r="K236" s="623"/>
    </row>
    <row r="237" spans="3:11" s="621" customFormat="1" x14ac:dyDescent="0.25">
      <c r="C237" s="695"/>
      <c r="K237" s="623"/>
    </row>
    <row r="238" spans="3:11" s="621" customFormat="1" x14ac:dyDescent="0.25">
      <c r="C238" s="695"/>
      <c r="K238" s="623"/>
    </row>
    <row r="239" spans="3:11" s="621" customFormat="1" x14ac:dyDescent="0.25">
      <c r="C239" s="695"/>
      <c r="K239" s="623"/>
    </row>
    <row r="240" spans="3:11" s="621" customFormat="1" x14ac:dyDescent="0.25">
      <c r="C240" s="695"/>
      <c r="K240" s="623"/>
    </row>
    <row r="241" spans="3:11" s="621" customFormat="1" x14ac:dyDescent="0.25">
      <c r="C241" s="695"/>
      <c r="K241" s="623"/>
    </row>
    <row r="242" spans="3:11" s="621" customFormat="1" x14ac:dyDescent="0.25">
      <c r="C242" s="695"/>
      <c r="K242" s="623"/>
    </row>
    <row r="243" spans="3:11" s="621" customFormat="1" x14ac:dyDescent="0.25">
      <c r="C243" s="695"/>
      <c r="K243" s="623"/>
    </row>
    <row r="244" spans="3:11" s="621" customFormat="1" x14ac:dyDescent="0.25">
      <c r="C244" s="695"/>
      <c r="K244" s="623"/>
    </row>
    <row r="245" spans="3:11" s="621" customFormat="1" x14ac:dyDescent="0.25">
      <c r="C245" s="695"/>
      <c r="K245" s="623"/>
    </row>
    <row r="246" spans="3:11" s="621" customFormat="1" x14ac:dyDescent="0.25">
      <c r="C246" s="695"/>
      <c r="K246" s="623"/>
    </row>
    <row r="247" spans="3:11" s="621" customFormat="1" x14ac:dyDescent="0.25">
      <c r="C247" s="695"/>
      <c r="K247" s="623"/>
    </row>
    <row r="248" spans="3:11" s="621" customFormat="1" x14ac:dyDescent="0.25">
      <c r="C248" s="695"/>
      <c r="K248" s="623"/>
    </row>
    <row r="249" spans="3:11" s="621" customFormat="1" x14ac:dyDescent="0.25">
      <c r="C249" s="695"/>
      <c r="K249" s="623"/>
    </row>
    <row r="250" spans="3:11" s="621" customFormat="1" x14ac:dyDescent="0.25">
      <c r="C250" s="695"/>
      <c r="K250" s="623"/>
    </row>
    <row r="251" spans="3:11" s="621" customFormat="1" x14ac:dyDescent="0.25">
      <c r="C251" s="695"/>
      <c r="K251" s="623"/>
    </row>
    <row r="252" spans="3:11" s="621" customFormat="1" x14ac:dyDescent="0.25">
      <c r="C252" s="695"/>
      <c r="K252" s="623"/>
    </row>
    <row r="253" spans="3:11" s="621" customFormat="1" x14ac:dyDescent="0.25">
      <c r="C253" s="695"/>
      <c r="K253" s="623"/>
    </row>
    <row r="254" spans="3:11" s="621" customFormat="1" x14ac:dyDescent="0.25">
      <c r="C254" s="695"/>
      <c r="K254" s="623"/>
    </row>
    <row r="255" spans="3:11" s="621" customFormat="1" x14ac:dyDescent="0.25">
      <c r="C255" s="695"/>
      <c r="K255" s="623"/>
    </row>
    <row r="256" spans="3:11" s="621" customFormat="1" x14ac:dyDescent="0.25">
      <c r="C256" s="695"/>
      <c r="K256" s="623"/>
    </row>
    <row r="257" spans="3:11" s="621" customFormat="1" x14ac:dyDescent="0.25">
      <c r="C257" s="695"/>
      <c r="K257" s="623"/>
    </row>
    <row r="258" spans="3:11" s="621" customFormat="1" x14ac:dyDescent="0.25">
      <c r="C258" s="695"/>
      <c r="K258" s="623"/>
    </row>
    <row r="259" spans="3:11" s="621" customFormat="1" x14ac:dyDescent="0.25">
      <c r="C259" s="695"/>
      <c r="K259" s="623"/>
    </row>
    <row r="260" spans="3:11" s="621" customFormat="1" x14ac:dyDescent="0.25">
      <c r="C260" s="695"/>
      <c r="K260" s="623"/>
    </row>
    <row r="261" spans="3:11" s="621" customFormat="1" x14ac:dyDescent="0.25">
      <c r="C261" s="695"/>
      <c r="K261" s="623"/>
    </row>
    <row r="262" spans="3:11" s="621" customFormat="1" x14ac:dyDescent="0.25">
      <c r="C262" s="695"/>
      <c r="K262" s="623"/>
    </row>
    <row r="263" spans="3:11" s="621" customFormat="1" x14ac:dyDescent="0.25">
      <c r="C263" s="695"/>
      <c r="K263" s="623"/>
    </row>
    <row r="264" spans="3:11" s="621" customFormat="1" x14ac:dyDescent="0.25">
      <c r="C264" s="695"/>
      <c r="K264" s="623"/>
    </row>
    <row r="265" spans="3:11" s="621" customFormat="1" x14ac:dyDescent="0.25">
      <c r="C265" s="695"/>
      <c r="K265" s="623"/>
    </row>
    <row r="266" spans="3:11" s="621" customFormat="1" x14ac:dyDescent="0.25">
      <c r="C266" s="695"/>
      <c r="K266" s="623"/>
    </row>
    <row r="267" spans="3:11" s="621" customFormat="1" x14ac:dyDescent="0.25">
      <c r="C267" s="695"/>
      <c r="K267" s="623"/>
    </row>
    <row r="268" spans="3:11" s="621" customFormat="1" x14ac:dyDescent="0.25">
      <c r="C268" s="695"/>
      <c r="K268" s="623"/>
    </row>
    <row r="269" spans="3:11" s="621" customFormat="1" x14ac:dyDescent="0.25">
      <c r="C269" s="695"/>
      <c r="K269" s="623"/>
    </row>
    <row r="270" spans="3:11" s="621" customFormat="1" x14ac:dyDescent="0.25">
      <c r="C270" s="695"/>
      <c r="K270" s="623"/>
    </row>
    <row r="271" spans="3:11" s="621" customFormat="1" x14ac:dyDescent="0.25">
      <c r="C271" s="695"/>
      <c r="K271" s="623"/>
    </row>
    <row r="272" spans="3:11" s="621" customFormat="1" x14ac:dyDescent="0.25">
      <c r="C272" s="695"/>
      <c r="K272" s="623"/>
    </row>
    <row r="273" spans="3:11" s="621" customFormat="1" x14ac:dyDescent="0.25">
      <c r="C273" s="695"/>
      <c r="K273" s="623"/>
    </row>
    <row r="274" spans="3:11" s="621" customFormat="1" x14ac:dyDescent="0.25">
      <c r="C274" s="695"/>
      <c r="K274" s="623"/>
    </row>
    <row r="275" spans="3:11" s="621" customFormat="1" x14ac:dyDescent="0.25">
      <c r="C275" s="695"/>
      <c r="K275" s="623"/>
    </row>
    <row r="276" spans="3:11" s="621" customFormat="1" x14ac:dyDescent="0.25">
      <c r="C276" s="695"/>
      <c r="K276" s="623"/>
    </row>
    <row r="277" spans="3:11" s="621" customFormat="1" x14ac:dyDescent="0.25">
      <c r="C277" s="695"/>
      <c r="K277" s="623"/>
    </row>
    <row r="278" spans="3:11" s="621" customFormat="1" x14ac:dyDescent="0.25">
      <c r="C278" s="695"/>
      <c r="K278" s="623"/>
    </row>
    <row r="279" spans="3:11" s="621" customFormat="1" x14ac:dyDescent="0.25">
      <c r="C279" s="695"/>
      <c r="K279" s="623"/>
    </row>
    <row r="280" spans="3:11" s="621" customFormat="1" x14ac:dyDescent="0.25">
      <c r="C280" s="695"/>
      <c r="K280" s="623"/>
    </row>
    <row r="281" spans="3:11" s="621" customFormat="1" x14ac:dyDescent="0.25">
      <c r="C281" s="695"/>
      <c r="K281" s="623"/>
    </row>
    <row r="282" spans="3:11" s="621" customFormat="1" x14ac:dyDescent="0.25">
      <c r="C282" s="695"/>
      <c r="K282" s="623"/>
    </row>
    <row r="283" spans="3:11" s="621" customFormat="1" x14ac:dyDescent="0.25">
      <c r="C283" s="695"/>
      <c r="K283" s="623"/>
    </row>
    <row r="284" spans="3:11" s="621" customFormat="1" x14ac:dyDescent="0.25">
      <c r="C284" s="695"/>
      <c r="K284" s="623"/>
    </row>
  </sheetData>
  <mergeCells count="17">
    <mergeCell ref="N5:N6"/>
    <mergeCell ref="H5:H6"/>
    <mergeCell ref="I5:I6"/>
    <mergeCell ref="J5:J6"/>
    <mergeCell ref="K5:K6"/>
    <mergeCell ref="L5:L6"/>
    <mergeCell ref="M5:M6"/>
    <mergeCell ref="A1:G1"/>
    <mergeCell ref="A2:G2"/>
    <mergeCell ref="A3:G3"/>
    <mergeCell ref="B4:F4"/>
    <mergeCell ref="A5:A6"/>
    <mergeCell ref="B5:C5"/>
    <mergeCell ref="D5:D6"/>
    <mergeCell ref="E5:E6"/>
    <mergeCell ref="F5:F6"/>
    <mergeCell ref="G5:G6"/>
  </mergeCells>
  <printOptions horizontalCentered="1"/>
  <pageMargins left="0" right="0" top="0" bottom="0" header="0.15748031496062992" footer="0.23622047244094491"/>
  <pageSetup paperSize="9" scale="47" fitToHeight="0" orientation="landscape" r:id="rId1"/>
  <headerFooter alignWithMargins="0"/>
  <rowBreaks count="1" manualBreakCount="1">
    <brk id="67" max="1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722F6-E650-474F-ADD4-CBB6CF0B17B5}">
  <sheetPr>
    <pageSetUpPr fitToPage="1"/>
  </sheetPr>
  <dimension ref="A1:N25"/>
  <sheetViews>
    <sheetView view="pageBreakPreview" zoomScale="88" zoomScaleSheetLayoutView="88" workbookViewId="0">
      <selection activeCell="I17" sqref="I17"/>
    </sheetView>
  </sheetViews>
  <sheetFormatPr defaultRowHeight="12.75" x14ac:dyDescent="0.25"/>
  <cols>
    <col min="1" max="1" width="14.85546875" style="265" customWidth="1"/>
    <col min="2" max="2" width="30.42578125" style="265" customWidth="1"/>
    <col min="3" max="3" width="14.85546875" style="265" customWidth="1"/>
    <col min="4" max="4" width="10" style="265" customWidth="1"/>
    <col min="5" max="5" width="17.140625" style="265" customWidth="1"/>
    <col min="6" max="6" width="17.28515625" style="265" customWidth="1"/>
    <col min="7" max="7" width="20" style="265" customWidth="1"/>
    <col min="8" max="8" width="18.7109375" style="265" customWidth="1"/>
    <col min="9" max="9" width="15.85546875" style="265" customWidth="1"/>
    <col min="10" max="10" width="17.42578125" style="265" customWidth="1"/>
    <col min="11" max="11" width="16.140625" style="265" customWidth="1"/>
    <col min="12" max="12" width="11.28515625" style="265" customWidth="1"/>
    <col min="13" max="13" width="13.42578125" style="265" customWidth="1"/>
    <col min="14" max="14" width="15" style="265" customWidth="1"/>
    <col min="15" max="257" width="9.140625" style="265"/>
    <col min="258" max="258" width="38" style="265" customWidth="1"/>
    <col min="259" max="259" width="22.85546875" style="265" customWidth="1"/>
    <col min="260" max="260" width="10" style="265" customWidth="1"/>
    <col min="261" max="261" width="26.7109375" style="265" customWidth="1"/>
    <col min="262" max="262" width="33.7109375" style="265" customWidth="1"/>
    <col min="263" max="263" width="34.85546875" style="265" customWidth="1"/>
    <col min="264" max="513" width="9.140625" style="265"/>
    <col min="514" max="514" width="38" style="265" customWidth="1"/>
    <col min="515" max="515" width="22.85546875" style="265" customWidth="1"/>
    <col min="516" max="516" width="10" style="265" customWidth="1"/>
    <col min="517" max="517" width="26.7109375" style="265" customWidth="1"/>
    <col min="518" max="518" width="33.7109375" style="265" customWidth="1"/>
    <col min="519" max="519" width="34.85546875" style="265" customWidth="1"/>
    <col min="520" max="769" width="9.140625" style="265"/>
    <col min="770" max="770" width="38" style="265" customWidth="1"/>
    <col min="771" max="771" width="22.85546875" style="265" customWidth="1"/>
    <col min="772" max="772" width="10" style="265" customWidth="1"/>
    <col min="773" max="773" width="26.7109375" style="265" customWidth="1"/>
    <col min="774" max="774" width="33.7109375" style="265" customWidth="1"/>
    <col min="775" max="775" width="34.85546875" style="265" customWidth="1"/>
    <col min="776" max="1025" width="9.140625" style="265"/>
    <col min="1026" max="1026" width="38" style="265" customWidth="1"/>
    <col min="1027" max="1027" width="22.85546875" style="265" customWidth="1"/>
    <col min="1028" max="1028" width="10" style="265" customWidth="1"/>
    <col min="1029" max="1029" width="26.7109375" style="265" customWidth="1"/>
    <col min="1030" max="1030" width="33.7109375" style="265" customWidth="1"/>
    <col min="1031" max="1031" width="34.85546875" style="265" customWidth="1"/>
    <col min="1032" max="1281" width="9.140625" style="265"/>
    <col min="1282" max="1282" width="38" style="265" customWidth="1"/>
    <col min="1283" max="1283" width="22.85546875" style="265" customWidth="1"/>
    <col min="1284" max="1284" width="10" style="265" customWidth="1"/>
    <col min="1285" max="1285" width="26.7109375" style="265" customWidth="1"/>
    <col min="1286" max="1286" width="33.7109375" style="265" customWidth="1"/>
    <col min="1287" max="1287" width="34.85546875" style="265" customWidth="1"/>
    <col min="1288" max="1537" width="9.140625" style="265"/>
    <col min="1538" max="1538" width="38" style="265" customWidth="1"/>
    <col min="1539" max="1539" width="22.85546875" style="265" customWidth="1"/>
    <col min="1540" max="1540" width="10" style="265" customWidth="1"/>
    <col min="1541" max="1541" width="26.7109375" style="265" customWidth="1"/>
    <col min="1542" max="1542" width="33.7109375" style="265" customWidth="1"/>
    <col min="1543" max="1543" width="34.85546875" style="265" customWidth="1"/>
    <col min="1544" max="1793" width="9.140625" style="265"/>
    <col min="1794" max="1794" width="38" style="265" customWidth="1"/>
    <col min="1795" max="1795" width="22.85546875" style="265" customWidth="1"/>
    <col min="1796" max="1796" width="10" style="265" customWidth="1"/>
    <col min="1797" max="1797" width="26.7109375" style="265" customWidth="1"/>
    <col min="1798" max="1798" width="33.7109375" style="265" customWidth="1"/>
    <col min="1799" max="1799" width="34.85546875" style="265" customWidth="1"/>
    <col min="1800" max="2049" width="9.140625" style="265"/>
    <col min="2050" max="2050" width="38" style="265" customWidth="1"/>
    <col min="2051" max="2051" width="22.85546875" style="265" customWidth="1"/>
    <col min="2052" max="2052" width="10" style="265" customWidth="1"/>
    <col min="2053" max="2053" width="26.7109375" style="265" customWidth="1"/>
    <col min="2054" max="2054" width="33.7109375" style="265" customWidth="1"/>
    <col min="2055" max="2055" width="34.85546875" style="265" customWidth="1"/>
    <col min="2056" max="2305" width="9.140625" style="265"/>
    <col min="2306" max="2306" width="38" style="265" customWidth="1"/>
    <col min="2307" max="2307" width="22.85546875" style="265" customWidth="1"/>
    <col min="2308" max="2308" width="10" style="265" customWidth="1"/>
    <col min="2309" max="2309" width="26.7109375" style="265" customWidth="1"/>
    <col min="2310" max="2310" width="33.7109375" style="265" customWidth="1"/>
    <col min="2311" max="2311" width="34.85546875" style="265" customWidth="1"/>
    <col min="2312" max="2561" width="9.140625" style="265"/>
    <col min="2562" max="2562" width="38" style="265" customWidth="1"/>
    <col min="2563" max="2563" width="22.85546875" style="265" customWidth="1"/>
    <col min="2564" max="2564" width="10" style="265" customWidth="1"/>
    <col min="2565" max="2565" width="26.7109375" style="265" customWidth="1"/>
    <col min="2566" max="2566" width="33.7109375" style="265" customWidth="1"/>
    <col min="2567" max="2567" width="34.85546875" style="265" customWidth="1"/>
    <col min="2568" max="2817" width="9.140625" style="265"/>
    <col min="2818" max="2818" width="38" style="265" customWidth="1"/>
    <col min="2819" max="2819" width="22.85546875" style="265" customWidth="1"/>
    <col min="2820" max="2820" width="10" style="265" customWidth="1"/>
    <col min="2821" max="2821" width="26.7109375" style="265" customWidth="1"/>
    <col min="2822" max="2822" width="33.7109375" style="265" customWidth="1"/>
    <col min="2823" max="2823" width="34.85546875" style="265" customWidth="1"/>
    <col min="2824" max="3073" width="9.140625" style="265"/>
    <col min="3074" max="3074" width="38" style="265" customWidth="1"/>
    <col min="3075" max="3075" width="22.85546875" style="265" customWidth="1"/>
    <col min="3076" max="3076" width="10" style="265" customWidth="1"/>
    <col min="3077" max="3077" width="26.7109375" style="265" customWidth="1"/>
    <col min="3078" max="3078" width="33.7109375" style="265" customWidth="1"/>
    <col min="3079" max="3079" width="34.85546875" style="265" customWidth="1"/>
    <col min="3080" max="3329" width="9.140625" style="265"/>
    <col min="3330" max="3330" width="38" style="265" customWidth="1"/>
    <col min="3331" max="3331" width="22.85546875" style="265" customWidth="1"/>
    <col min="3332" max="3332" width="10" style="265" customWidth="1"/>
    <col min="3333" max="3333" width="26.7109375" style="265" customWidth="1"/>
    <col min="3334" max="3334" width="33.7109375" style="265" customWidth="1"/>
    <col min="3335" max="3335" width="34.85546875" style="265" customWidth="1"/>
    <col min="3336" max="3585" width="9.140625" style="265"/>
    <col min="3586" max="3586" width="38" style="265" customWidth="1"/>
    <col min="3587" max="3587" width="22.85546875" style="265" customWidth="1"/>
    <col min="3588" max="3588" width="10" style="265" customWidth="1"/>
    <col min="3589" max="3589" width="26.7109375" style="265" customWidth="1"/>
    <col min="3590" max="3590" width="33.7109375" style="265" customWidth="1"/>
    <col min="3591" max="3591" width="34.85546875" style="265" customWidth="1"/>
    <col min="3592" max="3841" width="9.140625" style="265"/>
    <col min="3842" max="3842" width="38" style="265" customWidth="1"/>
    <col min="3843" max="3843" width="22.85546875" style="265" customWidth="1"/>
    <col min="3844" max="3844" width="10" style="265" customWidth="1"/>
    <col min="3845" max="3845" width="26.7109375" style="265" customWidth="1"/>
    <col min="3846" max="3846" width="33.7109375" style="265" customWidth="1"/>
    <col min="3847" max="3847" width="34.85546875" style="265" customWidth="1"/>
    <col min="3848" max="4097" width="9.140625" style="265"/>
    <col min="4098" max="4098" width="38" style="265" customWidth="1"/>
    <col min="4099" max="4099" width="22.85546875" style="265" customWidth="1"/>
    <col min="4100" max="4100" width="10" style="265" customWidth="1"/>
    <col min="4101" max="4101" width="26.7109375" style="265" customWidth="1"/>
    <col min="4102" max="4102" width="33.7109375" style="265" customWidth="1"/>
    <col min="4103" max="4103" width="34.85546875" style="265" customWidth="1"/>
    <col min="4104" max="4353" width="9.140625" style="265"/>
    <col min="4354" max="4354" width="38" style="265" customWidth="1"/>
    <col min="4355" max="4355" width="22.85546875" style="265" customWidth="1"/>
    <col min="4356" max="4356" width="10" style="265" customWidth="1"/>
    <col min="4357" max="4357" width="26.7109375" style="265" customWidth="1"/>
    <col min="4358" max="4358" width="33.7109375" style="265" customWidth="1"/>
    <col min="4359" max="4359" width="34.85546875" style="265" customWidth="1"/>
    <col min="4360" max="4609" width="9.140625" style="265"/>
    <col min="4610" max="4610" width="38" style="265" customWidth="1"/>
    <col min="4611" max="4611" width="22.85546875" style="265" customWidth="1"/>
    <col min="4612" max="4612" width="10" style="265" customWidth="1"/>
    <col min="4613" max="4613" width="26.7109375" style="265" customWidth="1"/>
    <col min="4614" max="4614" width="33.7109375" style="265" customWidth="1"/>
    <col min="4615" max="4615" width="34.85546875" style="265" customWidth="1"/>
    <col min="4616" max="4865" width="9.140625" style="265"/>
    <col min="4866" max="4866" width="38" style="265" customWidth="1"/>
    <col min="4867" max="4867" width="22.85546875" style="265" customWidth="1"/>
    <col min="4868" max="4868" width="10" style="265" customWidth="1"/>
    <col min="4869" max="4869" width="26.7109375" style="265" customWidth="1"/>
    <col min="4870" max="4870" width="33.7109375" style="265" customWidth="1"/>
    <col min="4871" max="4871" width="34.85546875" style="265" customWidth="1"/>
    <col min="4872" max="5121" width="9.140625" style="265"/>
    <col min="5122" max="5122" width="38" style="265" customWidth="1"/>
    <col min="5123" max="5123" width="22.85546875" style="265" customWidth="1"/>
    <col min="5124" max="5124" width="10" style="265" customWidth="1"/>
    <col min="5125" max="5125" width="26.7109375" style="265" customWidth="1"/>
    <col min="5126" max="5126" width="33.7109375" style="265" customWidth="1"/>
    <col min="5127" max="5127" width="34.85546875" style="265" customWidth="1"/>
    <col min="5128" max="5377" width="9.140625" style="265"/>
    <col min="5378" max="5378" width="38" style="265" customWidth="1"/>
    <col min="5379" max="5379" width="22.85546875" style="265" customWidth="1"/>
    <col min="5380" max="5380" width="10" style="265" customWidth="1"/>
    <col min="5381" max="5381" width="26.7109375" style="265" customWidth="1"/>
    <col min="5382" max="5382" width="33.7109375" style="265" customWidth="1"/>
    <col min="5383" max="5383" width="34.85546875" style="265" customWidth="1"/>
    <col min="5384" max="5633" width="9.140625" style="265"/>
    <col min="5634" max="5634" width="38" style="265" customWidth="1"/>
    <col min="5635" max="5635" width="22.85546875" style="265" customWidth="1"/>
    <col min="5636" max="5636" width="10" style="265" customWidth="1"/>
    <col min="5637" max="5637" width="26.7109375" style="265" customWidth="1"/>
    <col min="5638" max="5638" width="33.7109375" style="265" customWidth="1"/>
    <col min="5639" max="5639" width="34.85546875" style="265" customWidth="1"/>
    <col min="5640" max="5889" width="9.140625" style="265"/>
    <col min="5890" max="5890" width="38" style="265" customWidth="1"/>
    <col min="5891" max="5891" width="22.85546875" style="265" customWidth="1"/>
    <col min="5892" max="5892" width="10" style="265" customWidth="1"/>
    <col min="5893" max="5893" width="26.7109375" style="265" customWidth="1"/>
    <col min="5894" max="5894" width="33.7109375" style="265" customWidth="1"/>
    <col min="5895" max="5895" width="34.85546875" style="265" customWidth="1"/>
    <col min="5896" max="6145" width="9.140625" style="265"/>
    <col min="6146" max="6146" width="38" style="265" customWidth="1"/>
    <col min="6147" max="6147" width="22.85546875" style="265" customWidth="1"/>
    <col min="6148" max="6148" width="10" style="265" customWidth="1"/>
    <col min="6149" max="6149" width="26.7109375" style="265" customWidth="1"/>
    <col min="6150" max="6150" width="33.7109375" style="265" customWidth="1"/>
    <col min="6151" max="6151" width="34.85546875" style="265" customWidth="1"/>
    <col min="6152" max="6401" width="9.140625" style="265"/>
    <col min="6402" max="6402" width="38" style="265" customWidth="1"/>
    <col min="6403" max="6403" width="22.85546875" style="265" customWidth="1"/>
    <col min="6404" max="6404" width="10" style="265" customWidth="1"/>
    <col min="6405" max="6405" width="26.7109375" style="265" customWidth="1"/>
    <col min="6406" max="6406" width="33.7109375" style="265" customWidth="1"/>
    <col min="6407" max="6407" width="34.85546875" style="265" customWidth="1"/>
    <col min="6408" max="6657" width="9.140625" style="265"/>
    <col min="6658" max="6658" width="38" style="265" customWidth="1"/>
    <col min="6659" max="6659" width="22.85546875" style="265" customWidth="1"/>
    <col min="6660" max="6660" width="10" style="265" customWidth="1"/>
    <col min="6661" max="6661" width="26.7109375" style="265" customWidth="1"/>
    <col min="6662" max="6662" width="33.7109375" style="265" customWidth="1"/>
    <col min="6663" max="6663" width="34.85546875" style="265" customWidth="1"/>
    <col min="6664" max="6913" width="9.140625" style="265"/>
    <col min="6914" max="6914" width="38" style="265" customWidth="1"/>
    <col min="6915" max="6915" width="22.85546875" style="265" customWidth="1"/>
    <col min="6916" max="6916" width="10" style="265" customWidth="1"/>
    <col min="6917" max="6917" width="26.7109375" style="265" customWidth="1"/>
    <col min="6918" max="6918" width="33.7109375" style="265" customWidth="1"/>
    <col min="6919" max="6919" width="34.85546875" style="265" customWidth="1"/>
    <col min="6920" max="7169" width="9.140625" style="265"/>
    <col min="7170" max="7170" width="38" style="265" customWidth="1"/>
    <col min="7171" max="7171" width="22.85546875" style="265" customWidth="1"/>
    <col min="7172" max="7172" width="10" style="265" customWidth="1"/>
    <col min="7173" max="7173" width="26.7109375" style="265" customWidth="1"/>
    <col min="7174" max="7174" width="33.7109375" style="265" customWidth="1"/>
    <col min="7175" max="7175" width="34.85546875" style="265" customWidth="1"/>
    <col min="7176" max="7425" width="9.140625" style="265"/>
    <col min="7426" max="7426" width="38" style="265" customWidth="1"/>
    <col min="7427" max="7427" width="22.85546875" style="265" customWidth="1"/>
    <col min="7428" max="7428" width="10" style="265" customWidth="1"/>
    <col min="7429" max="7429" width="26.7109375" style="265" customWidth="1"/>
    <col min="7430" max="7430" width="33.7109375" style="265" customWidth="1"/>
    <col min="7431" max="7431" width="34.85546875" style="265" customWidth="1"/>
    <col min="7432" max="7681" width="9.140625" style="265"/>
    <col min="7682" max="7682" width="38" style="265" customWidth="1"/>
    <col min="7683" max="7683" width="22.85546875" style="265" customWidth="1"/>
    <col min="7684" max="7684" width="10" style="265" customWidth="1"/>
    <col min="7685" max="7685" width="26.7109375" style="265" customWidth="1"/>
    <col min="7686" max="7686" width="33.7109375" style="265" customWidth="1"/>
    <col min="7687" max="7687" width="34.85546875" style="265" customWidth="1"/>
    <col min="7688" max="7937" width="9.140625" style="265"/>
    <col min="7938" max="7938" width="38" style="265" customWidth="1"/>
    <col min="7939" max="7939" width="22.85546875" style="265" customWidth="1"/>
    <col min="7940" max="7940" width="10" style="265" customWidth="1"/>
    <col min="7941" max="7941" width="26.7109375" style="265" customWidth="1"/>
    <col min="7942" max="7942" width="33.7109375" style="265" customWidth="1"/>
    <col min="7943" max="7943" width="34.85546875" style="265" customWidth="1"/>
    <col min="7944" max="8193" width="9.140625" style="265"/>
    <col min="8194" max="8194" width="38" style="265" customWidth="1"/>
    <col min="8195" max="8195" width="22.85546875" style="265" customWidth="1"/>
    <col min="8196" max="8196" width="10" style="265" customWidth="1"/>
    <col min="8197" max="8197" width="26.7109375" style="265" customWidth="1"/>
    <col min="8198" max="8198" width="33.7109375" style="265" customWidth="1"/>
    <col min="8199" max="8199" width="34.85546875" style="265" customWidth="1"/>
    <col min="8200" max="8449" width="9.140625" style="265"/>
    <col min="8450" max="8450" width="38" style="265" customWidth="1"/>
    <col min="8451" max="8451" width="22.85546875" style="265" customWidth="1"/>
    <col min="8452" max="8452" width="10" style="265" customWidth="1"/>
    <col min="8453" max="8453" width="26.7109375" style="265" customWidth="1"/>
    <col min="8454" max="8454" width="33.7109375" style="265" customWidth="1"/>
    <col min="8455" max="8455" width="34.85546875" style="265" customWidth="1"/>
    <col min="8456" max="8705" width="9.140625" style="265"/>
    <col min="8706" max="8706" width="38" style="265" customWidth="1"/>
    <col min="8707" max="8707" width="22.85546875" style="265" customWidth="1"/>
    <col min="8708" max="8708" width="10" style="265" customWidth="1"/>
    <col min="8709" max="8709" width="26.7109375" style="265" customWidth="1"/>
    <col min="8710" max="8710" width="33.7109375" style="265" customWidth="1"/>
    <col min="8711" max="8711" width="34.85546875" style="265" customWidth="1"/>
    <col min="8712" max="8961" width="9.140625" style="265"/>
    <col min="8962" max="8962" width="38" style="265" customWidth="1"/>
    <col min="8963" max="8963" width="22.85546875" style="265" customWidth="1"/>
    <col min="8964" max="8964" width="10" style="265" customWidth="1"/>
    <col min="8965" max="8965" width="26.7109375" style="265" customWidth="1"/>
    <col min="8966" max="8966" width="33.7109375" style="265" customWidth="1"/>
    <col min="8967" max="8967" width="34.85546875" style="265" customWidth="1"/>
    <col min="8968" max="9217" width="9.140625" style="265"/>
    <col min="9218" max="9218" width="38" style="265" customWidth="1"/>
    <col min="9219" max="9219" width="22.85546875" style="265" customWidth="1"/>
    <col min="9220" max="9220" width="10" style="265" customWidth="1"/>
    <col min="9221" max="9221" width="26.7109375" style="265" customWidth="1"/>
    <col min="9222" max="9222" width="33.7109375" style="265" customWidth="1"/>
    <col min="9223" max="9223" width="34.85546875" style="265" customWidth="1"/>
    <col min="9224" max="9473" width="9.140625" style="265"/>
    <col min="9474" max="9474" width="38" style="265" customWidth="1"/>
    <col min="9475" max="9475" width="22.85546875" style="265" customWidth="1"/>
    <col min="9476" max="9476" width="10" style="265" customWidth="1"/>
    <col min="9477" max="9477" width="26.7109375" style="265" customWidth="1"/>
    <col min="9478" max="9478" width="33.7109375" style="265" customWidth="1"/>
    <col min="9479" max="9479" width="34.85546875" style="265" customWidth="1"/>
    <col min="9480" max="9729" width="9.140625" style="265"/>
    <col min="9730" max="9730" width="38" style="265" customWidth="1"/>
    <col min="9731" max="9731" width="22.85546875" style="265" customWidth="1"/>
    <col min="9732" max="9732" width="10" style="265" customWidth="1"/>
    <col min="9733" max="9733" width="26.7109375" style="265" customWidth="1"/>
    <col min="9734" max="9734" width="33.7109375" style="265" customWidth="1"/>
    <col min="9735" max="9735" width="34.85546875" style="265" customWidth="1"/>
    <col min="9736" max="9985" width="9.140625" style="265"/>
    <col min="9986" max="9986" width="38" style="265" customWidth="1"/>
    <col min="9987" max="9987" width="22.85546875" style="265" customWidth="1"/>
    <col min="9988" max="9988" width="10" style="265" customWidth="1"/>
    <col min="9989" max="9989" width="26.7109375" style="265" customWidth="1"/>
    <col min="9990" max="9990" width="33.7109375" style="265" customWidth="1"/>
    <col min="9991" max="9991" width="34.85546875" style="265" customWidth="1"/>
    <col min="9992" max="10241" width="9.140625" style="265"/>
    <col min="10242" max="10242" width="38" style="265" customWidth="1"/>
    <col min="10243" max="10243" width="22.85546875" style="265" customWidth="1"/>
    <col min="10244" max="10244" width="10" style="265" customWidth="1"/>
    <col min="10245" max="10245" width="26.7109375" style="265" customWidth="1"/>
    <col min="10246" max="10246" width="33.7109375" style="265" customWidth="1"/>
    <col min="10247" max="10247" width="34.85546875" style="265" customWidth="1"/>
    <col min="10248" max="10497" width="9.140625" style="265"/>
    <col min="10498" max="10498" width="38" style="265" customWidth="1"/>
    <col min="10499" max="10499" width="22.85546875" style="265" customWidth="1"/>
    <col min="10500" max="10500" width="10" style="265" customWidth="1"/>
    <col min="10501" max="10501" width="26.7109375" style="265" customWidth="1"/>
    <col min="10502" max="10502" width="33.7109375" style="265" customWidth="1"/>
    <col min="10503" max="10503" width="34.85546875" style="265" customWidth="1"/>
    <col min="10504" max="10753" width="9.140625" style="265"/>
    <col min="10754" max="10754" width="38" style="265" customWidth="1"/>
    <col min="10755" max="10755" width="22.85546875" style="265" customWidth="1"/>
    <col min="10756" max="10756" width="10" style="265" customWidth="1"/>
    <col min="10757" max="10757" width="26.7109375" style="265" customWidth="1"/>
    <col min="10758" max="10758" width="33.7109375" style="265" customWidth="1"/>
    <col min="10759" max="10759" width="34.85546875" style="265" customWidth="1"/>
    <col min="10760" max="11009" width="9.140625" style="265"/>
    <col min="11010" max="11010" width="38" style="265" customWidth="1"/>
    <col min="11011" max="11011" width="22.85546875" style="265" customWidth="1"/>
    <col min="11012" max="11012" width="10" style="265" customWidth="1"/>
    <col min="11013" max="11013" width="26.7109375" style="265" customWidth="1"/>
    <col min="11014" max="11014" width="33.7109375" style="265" customWidth="1"/>
    <col min="11015" max="11015" width="34.85546875" style="265" customWidth="1"/>
    <col min="11016" max="11265" width="9.140625" style="265"/>
    <col min="11266" max="11266" width="38" style="265" customWidth="1"/>
    <col min="11267" max="11267" width="22.85546875" style="265" customWidth="1"/>
    <col min="11268" max="11268" width="10" style="265" customWidth="1"/>
    <col min="11269" max="11269" width="26.7109375" style="265" customWidth="1"/>
    <col min="11270" max="11270" width="33.7109375" style="265" customWidth="1"/>
    <col min="11271" max="11271" width="34.85546875" style="265" customWidth="1"/>
    <col min="11272" max="11521" width="9.140625" style="265"/>
    <col min="11522" max="11522" width="38" style="265" customWidth="1"/>
    <col min="11523" max="11523" width="22.85546875" style="265" customWidth="1"/>
    <col min="11524" max="11524" width="10" style="265" customWidth="1"/>
    <col min="11525" max="11525" width="26.7109375" style="265" customWidth="1"/>
    <col min="11526" max="11526" width="33.7109375" style="265" customWidth="1"/>
    <col min="11527" max="11527" width="34.85546875" style="265" customWidth="1"/>
    <col min="11528" max="11777" width="9.140625" style="265"/>
    <col min="11778" max="11778" width="38" style="265" customWidth="1"/>
    <col min="11779" max="11779" width="22.85546875" style="265" customWidth="1"/>
    <col min="11780" max="11780" width="10" style="265" customWidth="1"/>
    <col min="11781" max="11781" width="26.7109375" style="265" customWidth="1"/>
    <col min="11782" max="11782" width="33.7109375" style="265" customWidth="1"/>
    <col min="11783" max="11783" width="34.85546875" style="265" customWidth="1"/>
    <col min="11784" max="12033" width="9.140625" style="265"/>
    <col min="12034" max="12034" width="38" style="265" customWidth="1"/>
    <col min="12035" max="12035" width="22.85546875" style="265" customWidth="1"/>
    <col min="12036" max="12036" width="10" style="265" customWidth="1"/>
    <col min="12037" max="12037" width="26.7109375" style="265" customWidth="1"/>
    <col min="12038" max="12038" width="33.7109375" style="265" customWidth="1"/>
    <col min="12039" max="12039" width="34.85546875" style="265" customWidth="1"/>
    <col min="12040" max="12289" width="9.140625" style="265"/>
    <col min="12290" max="12290" width="38" style="265" customWidth="1"/>
    <col min="12291" max="12291" width="22.85546875" style="265" customWidth="1"/>
    <col min="12292" max="12292" width="10" style="265" customWidth="1"/>
    <col min="12293" max="12293" width="26.7109375" style="265" customWidth="1"/>
    <col min="12294" max="12294" width="33.7109375" style="265" customWidth="1"/>
    <col min="12295" max="12295" width="34.85546875" style="265" customWidth="1"/>
    <col min="12296" max="12545" width="9.140625" style="265"/>
    <col min="12546" max="12546" width="38" style="265" customWidth="1"/>
    <col min="12547" max="12547" width="22.85546875" style="265" customWidth="1"/>
    <col min="12548" max="12548" width="10" style="265" customWidth="1"/>
    <col min="12549" max="12549" width="26.7109375" style="265" customWidth="1"/>
    <col min="12550" max="12550" width="33.7109375" style="265" customWidth="1"/>
    <col min="12551" max="12551" width="34.85546875" style="265" customWidth="1"/>
    <col min="12552" max="12801" width="9.140625" style="265"/>
    <col min="12802" max="12802" width="38" style="265" customWidth="1"/>
    <col min="12803" max="12803" width="22.85546875" style="265" customWidth="1"/>
    <col min="12804" max="12804" width="10" style="265" customWidth="1"/>
    <col min="12805" max="12805" width="26.7109375" style="265" customWidth="1"/>
    <col min="12806" max="12806" width="33.7109375" style="265" customWidth="1"/>
    <col min="12807" max="12807" width="34.85546875" style="265" customWidth="1"/>
    <col min="12808" max="13057" width="9.140625" style="265"/>
    <col min="13058" max="13058" width="38" style="265" customWidth="1"/>
    <col min="13059" max="13059" width="22.85546875" style="265" customWidth="1"/>
    <col min="13060" max="13060" width="10" style="265" customWidth="1"/>
    <col min="13061" max="13061" width="26.7109375" style="265" customWidth="1"/>
    <col min="13062" max="13062" width="33.7109375" style="265" customWidth="1"/>
    <col min="13063" max="13063" width="34.85546875" style="265" customWidth="1"/>
    <col min="13064" max="13313" width="9.140625" style="265"/>
    <col min="13314" max="13314" width="38" style="265" customWidth="1"/>
    <col min="13315" max="13315" width="22.85546875" style="265" customWidth="1"/>
    <col min="13316" max="13316" width="10" style="265" customWidth="1"/>
    <col min="13317" max="13317" width="26.7109375" style="265" customWidth="1"/>
    <col min="13318" max="13318" width="33.7109375" style="265" customWidth="1"/>
    <col min="13319" max="13319" width="34.85546875" style="265" customWidth="1"/>
    <col min="13320" max="13569" width="9.140625" style="265"/>
    <col min="13570" max="13570" width="38" style="265" customWidth="1"/>
    <col min="13571" max="13571" width="22.85546875" style="265" customWidth="1"/>
    <col min="13572" max="13572" width="10" style="265" customWidth="1"/>
    <col min="13573" max="13573" width="26.7109375" style="265" customWidth="1"/>
    <col min="13574" max="13574" width="33.7109375" style="265" customWidth="1"/>
    <col min="13575" max="13575" width="34.85546875" style="265" customWidth="1"/>
    <col min="13576" max="13825" width="9.140625" style="265"/>
    <col min="13826" max="13826" width="38" style="265" customWidth="1"/>
    <col min="13827" max="13827" width="22.85546875" style="265" customWidth="1"/>
    <col min="13828" max="13828" width="10" style="265" customWidth="1"/>
    <col min="13829" max="13829" width="26.7109375" style="265" customWidth="1"/>
    <col min="13830" max="13830" width="33.7109375" style="265" customWidth="1"/>
    <col min="13831" max="13831" width="34.85546875" style="265" customWidth="1"/>
    <col min="13832" max="14081" width="9.140625" style="265"/>
    <col min="14082" max="14082" width="38" style="265" customWidth="1"/>
    <col min="14083" max="14083" width="22.85546875" style="265" customWidth="1"/>
    <col min="14084" max="14084" width="10" style="265" customWidth="1"/>
    <col min="14085" max="14085" width="26.7109375" style="265" customWidth="1"/>
    <col min="14086" max="14086" width="33.7109375" style="265" customWidth="1"/>
    <col min="14087" max="14087" width="34.85546875" style="265" customWidth="1"/>
    <col min="14088" max="14337" width="9.140625" style="265"/>
    <col min="14338" max="14338" width="38" style="265" customWidth="1"/>
    <col min="14339" max="14339" width="22.85546875" style="265" customWidth="1"/>
    <col min="14340" max="14340" width="10" style="265" customWidth="1"/>
    <col min="14341" max="14341" width="26.7109375" style="265" customWidth="1"/>
    <col min="14342" max="14342" width="33.7109375" style="265" customWidth="1"/>
    <col min="14343" max="14343" width="34.85546875" style="265" customWidth="1"/>
    <col min="14344" max="14593" width="9.140625" style="265"/>
    <col min="14594" max="14594" width="38" style="265" customWidth="1"/>
    <col min="14595" max="14595" width="22.85546875" style="265" customWidth="1"/>
    <col min="14596" max="14596" width="10" style="265" customWidth="1"/>
    <col min="14597" max="14597" width="26.7109375" style="265" customWidth="1"/>
    <col min="14598" max="14598" width="33.7109375" style="265" customWidth="1"/>
    <col min="14599" max="14599" width="34.85546875" style="265" customWidth="1"/>
    <col min="14600" max="14849" width="9.140625" style="265"/>
    <col min="14850" max="14850" width="38" style="265" customWidth="1"/>
    <col min="14851" max="14851" width="22.85546875" style="265" customWidth="1"/>
    <col min="14852" max="14852" width="10" style="265" customWidth="1"/>
    <col min="14853" max="14853" width="26.7109375" style="265" customWidth="1"/>
    <col min="14854" max="14854" width="33.7109375" style="265" customWidth="1"/>
    <col min="14855" max="14855" width="34.85546875" style="265" customWidth="1"/>
    <col min="14856" max="15105" width="9.140625" style="265"/>
    <col min="15106" max="15106" width="38" style="265" customWidth="1"/>
    <col min="15107" max="15107" width="22.85546875" style="265" customWidth="1"/>
    <col min="15108" max="15108" width="10" style="265" customWidth="1"/>
    <col min="15109" max="15109" width="26.7109375" style="265" customWidth="1"/>
    <col min="15110" max="15110" width="33.7109375" style="265" customWidth="1"/>
    <col min="15111" max="15111" width="34.85546875" style="265" customWidth="1"/>
    <col min="15112" max="15361" width="9.140625" style="265"/>
    <col min="15362" max="15362" width="38" style="265" customWidth="1"/>
    <col min="15363" max="15363" width="22.85546875" style="265" customWidth="1"/>
    <col min="15364" max="15364" width="10" style="265" customWidth="1"/>
    <col min="15365" max="15365" width="26.7109375" style="265" customWidth="1"/>
    <col min="15366" max="15366" width="33.7109375" style="265" customWidth="1"/>
    <col min="15367" max="15367" width="34.85546875" style="265" customWidth="1"/>
    <col min="15368" max="15617" width="9.140625" style="265"/>
    <col min="15618" max="15618" width="38" style="265" customWidth="1"/>
    <col min="15619" max="15619" width="22.85546875" style="265" customWidth="1"/>
    <col min="15620" max="15620" width="10" style="265" customWidth="1"/>
    <col min="15621" max="15621" width="26.7109375" style="265" customWidth="1"/>
    <col min="15622" max="15622" width="33.7109375" style="265" customWidth="1"/>
    <col min="15623" max="15623" width="34.85546875" style="265" customWidth="1"/>
    <col min="15624" max="15873" width="9.140625" style="265"/>
    <col min="15874" max="15874" width="38" style="265" customWidth="1"/>
    <col min="15875" max="15875" width="22.85546875" style="265" customWidth="1"/>
    <col min="15876" max="15876" width="10" style="265" customWidth="1"/>
    <col min="15877" max="15877" width="26.7109375" style="265" customWidth="1"/>
    <col min="15878" max="15878" width="33.7109375" style="265" customWidth="1"/>
    <col min="15879" max="15879" width="34.85546875" style="265" customWidth="1"/>
    <col min="15880" max="16129" width="9.140625" style="265"/>
    <col min="16130" max="16130" width="38" style="265" customWidth="1"/>
    <col min="16131" max="16131" width="22.85546875" style="265" customWidth="1"/>
    <col min="16132" max="16132" width="10" style="265" customWidth="1"/>
    <col min="16133" max="16133" width="26.7109375" style="265" customWidth="1"/>
    <col min="16134" max="16134" width="33.7109375" style="265" customWidth="1"/>
    <col min="16135" max="16135" width="34.85546875" style="265" customWidth="1"/>
    <col min="16136" max="16384" width="9.140625" style="265"/>
  </cols>
  <sheetData>
    <row r="1" spans="1:14" ht="15.75" customHeight="1" x14ac:dyDescent="0.25">
      <c r="A1" s="696"/>
      <c r="B1" s="696"/>
      <c r="C1" s="266"/>
      <c r="D1" s="266"/>
      <c r="E1" s="266"/>
      <c r="F1" s="267"/>
    </row>
    <row r="2" spans="1:14" ht="15" customHeight="1" x14ac:dyDescent="0.25">
      <c r="B2" s="1240" t="s">
        <v>1151</v>
      </c>
      <c r="C2" s="1240"/>
      <c r="D2" s="1240"/>
      <c r="E2" s="1240"/>
      <c r="F2" s="1240"/>
      <c r="G2" s="1240"/>
      <c r="H2" s="1240"/>
    </row>
    <row r="3" spans="1:14" ht="15" customHeight="1" x14ac:dyDescent="0.25">
      <c r="B3" s="1241" t="s">
        <v>630</v>
      </c>
      <c r="C3" s="1241"/>
      <c r="D3" s="1241"/>
      <c r="E3" s="1241"/>
      <c r="F3" s="1241"/>
      <c r="G3" s="1241"/>
      <c r="H3" s="1241"/>
    </row>
    <row r="4" spans="1:14" ht="15" customHeight="1" x14ac:dyDescent="0.25">
      <c r="B4" s="1240" t="s">
        <v>386</v>
      </c>
      <c r="C4" s="1240"/>
      <c r="D4" s="1240"/>
      <c r="E4" s="1240"/>
      <c r="F4" s="1240"/>
      <c r="G4" s="1240"/>
      <c r="H4" s="1240"/>
    </row>
    <row r="5" spans="1:14" ht="14.25" x14ac:dyDescent="0.25">
      <c r="C5" s="404"/>
      <c r="D5" s="404"/>
      <c r="E5" s="404"/>
      <c r="F5" s="404"/>
      <c r="G5" s="404"/>
      <c r="H5" s="404"/>
      <c r="I5" s="404"/>
      <c r="J5" s="404"/>
      <c r="K5" s="404"/>
    </row>
    <row r="6" spans="1:14" ht="15.75" customHeight="1" thickBot="1" x14ac:dyDescent="0.3">
      <c r="B6" s="1242" t="s">
        <v>637</v>
      </c>
      <c r="C6" s="1242"/>
      <c r="D6" s="1242"/>
      <c r="E6" s="1242"/>
      <c r="F6" s="1242"/>
      <c r="G6" s="1242"/>
      <c r="H6" s="1242"/>
    </row>
    <row r="7" spans="1:14" s="268" customFormat="1" ht="16.5" thickBot="1" x14ac:dyDescent="0.25">
      <c r="A7" s="697" t="s">
        <v>705</v>
      </c>
      <c r="G7" s="359" t="s">
        <v>677</v>
      </c>
    </row>
    <row r="8" spans="1:14" s="268" customFormat="1" ht="33.75" customHeight="1" x14ac:dyDescent="0.25">
      <c r="A8" s="1247" t="s">
        <v>632</v>
      </c>
      <c r="B8" s="1249" t="s">
        <v>638</v>
      </c>
      <c r="C8" s="1249" t="s">
        <v>639</v>
      </c>
      <c r="D8" s="1249" t="s">
        <v>636</v>
      </c>
      <c r="E8" s="1251" t="s">
        <v>1152</v>
      </c>
      <c r="F8" s="1251" t="s">
        <v>1050</v>
      </c>
      <c r="G8" s="1249" t="s">
        <v>1153</v>
      </c>
      <c r="H8" s="1249" t="s">
        <v>1154</v>
      </c>
      <c r="I8" s="1219" t="s">
        <v>655</v>
      </c>
      <c r="J8" s="1219" t="s">
        <v>692</v>
      </c>
      <c r="K8" s="1219" t="s">
        <v>693</v>
      </c>
      <c r="L8" s="1256" t="s">
        <v>686</v>
      </c>
      <c r="M8" s="1231" t="s">
        <v>949</v>
      </c>
      <c r="N8" s="1233" t="s">
        <v>950</v>
      </c>
    </row>
    <row r="9" spans="1:14" s="268" customFormat="1" ht="126.75" customHeight="1" thickBot="1" x14ac:dyDescent="0.3">
      <c r="A9" s="1248"/>
      <c r="B9" s="1250"/>
      <c r="C9" s="1250"/>
      <c r="D9" s="1250"/>
      <c r="E9" s="1252"/>
      <c r="F9" s="1252"/>
      <c r="G9" s="1250"/>
      <c r="H9" s="1250"/>
      <c r="I9" s="1225"/>
      <c r="J9" s="1225"/>
      <c r="K9" s="1225"/>
      <c r="L9" s="1257"/>
      <c r="M9" s="1253"/>
      <c r="N9" s="1254"/>
    </row>
    <row r="10" spans="1:14" s="268" customFormat="1" ht="16.5" thickBot="1" x14ac:dyDescent="0.3">
      <c r="A10" s="698" t="s">
        <v>698</v>
      </c>
      <c r="B10" s="699">
        <v>1</v>
      </c>
      <c r="C10" s="699">
        <v>2</v>
      </c>
      <c r="D10" s="699">
        <v>3</v>
      </c>
      <c r="E10" s="699">
        <v>4</v>
      </c>
      <c r="F10" s="699">
        <v>5</v>
      </c>
      <c r="G10" s="699">
        <v>6</v>
      </c>
      <c r="H10" s="699" t="s">
        <v>696</v>
      </c>
      <c r="I10" s="699">
        <v>8</v>
      </c>
      <c r="J10" s="699" t="s">
        <v>381</v>
      </c>
      <c r="K10" s="699" t="s">
        <v>697</v>
      </c>
      <c r="L10" s="699">
        <v>11</v>
      </c>
      <c r="M10" s="699" t="s">
        <v>956</v>
      </c>
      <c r="N10" s="700" t="s">
        <v>957</v>
      </c>
    </row>
    <row r="11" spans="1:14" s="268" customFormat="1" ht="15.75" x14ac:dyDescent="0.25">
      <c r="A11" s="1220" t="s">
        <v>360</v>
      </c>
      <c r="B11" s="701" t="s">
        <v>640</v>
      </c>
      <c r="C11" s="702">
        <v>98.2</v>
      </c>
      <c r="D11" s="702">
        <v>20</v>
      </c>
      <c r="E11" s="702">
        <v>1964</v>
      </c>
      <c r="F11" s="703">
        <v>1964</v>
      </c>
      <c r="G11" s="703">
        <v>1964</v>
      </c>
      <c r="H11" s="704">
        <f t="shared" ref="H11:H16" si="0">ROUNDUP(G11/1000,1)</f>
        <v>2</v>
      </c>
      <c r="I11" s="705" t="s">
        <v>471</v>
      </c>
      <c r="J11" s="705" t="s">
        <v>471</v>
      </c>
      <c r="K11" s="705" t="s">
        <v>471</v>
      </c>
      <c r="L11" s="705" t="s">
        <v>471</v>
      </c>
      <c r="M11" s="705" t="s">
        <v>471</v>
      </c>
      <c r="N11" s="705" t="s">
        <v>471</v>
      </c>
    </row>
    <row r="12" spans="1:14" s="268" customFormat="1" ht="15.75" x14ac:dyDescent="0.25">
      <c r="A12" s="1220"/>
      <c r="B12" s="706" t="s">
        <v>641</v>
      </c>
      <c r="C12" s="707">
        <v>115</v>
      </c>
      <c r="D12" s="707">
        <v>25</v>
      </c>
      <c r="E12" s="707">
        <v>2876</v>
      </c>
      <c r="F12" s="708">
        <v>2876</v>
      </c>
      <c r="G12" s="708">
        <v>2876</v>
      </c>
      <c r="H12" s="709">
        <f t="shared" si="0"/>
        <v>2.9</v>
      </c>
      <c r="I12" s="710" t="s">
        <v>471</v>
      </c>
      <c r="J12" s="710" t="s">
        <v>471</v>
      </c>
      <c r="K12" s="710" t="s">
        <v>471</v>
      </c>
      <c r="L12" s="710" t="s">
        <v>471</v>
      </c>
      <c r="M12" s="710" t="s">
        <v>471</v>
      </c>
      <c r="N12" s="710" t="s">
        <v>471</v>
      </c>
    </row>
    <row r="13" spans="1:14" s="268" customFormat="1" ht="15.75" x14ac:dyDescent="0.25">
      <c r="A13" s="1220"/>
      <c r="B13" s="711"/>
      <c r="C13" s="712"/>
      <c r="D13" s="712"/>
      <c r="E13" s="713"/>
      <c r="F13" s="712"/>
      <c r="G13" s="712"/>
      <c r="H13" s="714">
        <f t="shared" si="0"/>
        <v>0</v>
      </c>
      <c r="I13" s="710" t="s">
        <v>471</v>
      </c>
      <c r="J13" s="710" t="s">
        <v>471</v>
      </c>
      <c r="K13" s="710" t="s">
        <v>471</v>
      </c>
      <c r="L13" s="710" t="s">
        <v>471</v>
      </c>
      <c r="M13" s="710" t="s">
        <v>471</v>
      </c>
      <c r="N13" s="710" t="s">
        <v>471</v>
      </c>
    </row>
    <row r="14" spans="1:14" s="268" customFormat="1" ht="15.75" x14ac:dyDescent="0.25">
      <c r="A14" s="1220"/>
      <c r="B14" s="711"/>
      <c r="C14" s="712"/>
      <c r="D14" s="712"/>
      <c r="E14" s="713"/>
      <c r="F14" s="712"/>
      <c r="G14" s="712"/>
      <c r="H14" s="714">
        <f t="shared" si="0"/>
        <v>0</v>
      </c>
      <c r="I14" s="710" t="s">
        <v>471</v>
      </c>
      <c r="J14" s="710" t="s">
        <v>471</v>
      </c>
      <c r="K14" s="710" t="s">
        <v>471</v>
      </c>
      <c r="L14" s="710" t="s">
        <v>471</v>
      </c>
      <c r="M14" s="710" t="s">
        <v>471</v>
      </c>
      <c r="N14" s="710" t="s">
        <v>471</v>
      </c>
    </row>
    <row r="15" spans="1:14" s="268" customFormat="1" ht="15.75" x14ac:dyDescent="0.25">
      <c r="A15" s="1220"/>
      <c r="B15" s="711"/>
      <c r="C15" s="712"/>
      <c r="D15" s="712"/>
      <c r="E15" s="713"/>
      <c r="F15" s="712"/>
      <c r="G15" s="712"/>
      <c r="H15" s="714">
        <f t="shared" si="0"/>
        <v>0</v>
      </c>
      <c r="I15" s="710" t="s">
        <v>471</v>
      </c>
      <c r="J15" s="710" t="s">
        <v>471</v>
      </c>
      <c r="K15" s="710" t="s">
        <v>471</v>
      </c>
      <c r="L15" s="710" t="s">
        <v>471</v>
      </c>
      <c r="M15" s="710" t="s">
        <v>471</v>
      </c>
      <c r="N15" s="710" t="s">
        <v>471</v>
      </c>
    </row>
    <row r="16" spans="1:14" s="268" customFormat="1" ht="16.5" thickBot="1" x14ac:dyDescent="0.3">
      <c r="A16" s="1220"/>
      <c r="B16" s="715"/>
      <c r="C16" s="716"/>
      <c r="D16" s="716"/>
      <c r="E16" s="717"/>
      <c r="F16" s="716"/>
      <c r="G16" s="716"/>
      <c r="H16" s="718">
        <f t="shared" si="0"/>
        <v>0</v>
      </c>
      <c r="I16" s="710" t="s">
        <v>471</v>
      </c>
      <c r="J16" s="710" t="s">
        <v>471</v>
      </c>
      <c r="K16" s="710" t="s">
        <v>471</v>
      </c>
      <c r="L16" s="710" t="s">
        <v>471</v>
      </c>
      <c r="M16" s="710" t="s">
        <v>471</v>
      </c>
      <c r="N16" s="710" t="s">
        <v>471</v>
      </c>
    </row>
    <row r="17" spans="1:14" s="620" customFormat="1" ht="21.75" customHeight="1" thickBot="1" x14ac:dyDescent="0.3">
      <c r="A17" s="1255"/>
      <c r="B17" s="719" t="s">
        <v>642</v>
      </c>
      <c r="C17" s="720"/>
      <c r="D17" s="720"/>
      <c r="E17" s="720">
        <f>SUM(E11:E16)</f>
        <v>4840</v>
      </c>
      <c r="F17" s="720">
        <f>SUM(F11:F16)</f>
        <v>4840</v>
      </c>
      <c r="G17" s="720">
        <f>SUM(G11:G16)</f>
        <v>4840</v>
      </c>
      <c r="H17" s="720">
        <f>SUM(H11:H16)</f>
        <v>4.9000000000000004</v>
      </c>
      <c r="I17" s="721">
        <v>1</v>
      </c>
      <c r="J17" s="722">
        <f>ROUNDUP(H17*I17,1)</f>
        <v>4.9000000000000004</v>
      </c>
      <c r="K17" s="723">
        <f>H17-J17</f>
        <v>0</v>
      </c>
      <c r="L17" s="724">
        <v>1</v>
      </c>
      <c r="M17" s="722">
        <f>ROUNDUP(J17*L17,1)</f>
        <v>4.9000000000000004</v>
      </c>
      <c r="N17" s="725">
        <f>M17-J17</f>
        <v>0</v>
      </c>
    </row>
    <row r="18" spans="1:14" s="268" customFormat="1" ht="13.5" customHeight="1" x14ac:dyDescent="0.25">
      <c r="C18" s="330"/>
      <c r="D18" s="330"/>
      <c r="E18" s="330"/>
      <c r="F18" s="330"/>
      <c r="G18" s="331"/>
    </row>
    <row r="19" spans="1:14" s="268" customFormat="1" ht="13.5" customHeight="1" x14ac:dyDescent="0.25">
      <c r="E19" s="360"/>
      <c r="H19" s="332"/>
      <c r="I19" s="332"/>
      <c r="J19" s="332"/>
      <c r="K19" s="332"/>
    </row>
    <row r="20" spans="1:14" ht="15.75" x14ac:dyDescent="0.25">
      <c r="A20" s="726"/>
      <c r="B20" s="726"/>
      <c r="C20" s="727"/>
      <c r="D20" s="727"/>
      <c r="E20" s="728"/>
      <c r="F20" s="361"/>
      <c r="G20" s="729"/>
      <c r="H20" s="728"/>
      <c r="I20" s="728"/>
      <c r="J20" s="728"/>
      <c r="K20" s="728"/>
    </row>
    <row r="21" spans="1:14" ht="15.75" x14ac:dyDescent="0.25">
      <c r="A21" s="726"/>
      <c r="B21" s="726"/>
      <c r="C21" s="727"/>
      <c r="D21" s="727"/>
      <c r="E21" s="728"/>
      <c r="F21" s="361"/>
      <c r="G21" s="729"/>
      <c r="H21" s="728"/>
      <c r="I21" s="728"/>
      <c r="J21" s="728"/>
      <c r="K21" s="728"/>
    </row>
    <row r="22" spans="1:14" ht="15.75" x14ac:dyDescent="0.25">
      <c r="A22" s="726"/>
      <c r="B22" s="726"/>
      <c r="C22" s="727"/>
      <c r="D22" s="727"/>
      <c r="E22" s="728"/>
      <c r="F22" s="361"/>
      <c r="G22" s="729"/>
      <c r="H22" s="728"/>
      <c r="I22" s="728"/>
      <c r="J22" s="728"/>
      <c r="K22" s="728"/>
    </row>
    <row r="23" spans="1:14" ht="15.75" x14ac:dyDescent="0.25">
      <c r="A23" s="726"/>
      <c r="B23" s="726"/>
      <c r="C23" s="727"/>
      <c r="D23" s="727"/>
      <c r="E23" s="729"/>
      <c r="F23" s="361"/>
      <c r="G23" s="729"/>
      <c r="H23" s="729"/>
      <c r="I23" s="729"/>
      <c r="J23" s="729"/>
      <c r="K23" s="729"/>
    </row>
    <row r="24" spans="1:14" ht="15.75" x14ac:dyDescent="0.25">
      <c r="A24" s="726"/>
      <c r="B24" s="726"/>
      <c r="C24" s="727"/>
      <c r="D24" s="727"/>
      <c r="E24" s="729"/>
      <c r="F24" s="361"/>
      <c r="G24" s="729"/>
      <c r="H24" s="729"/>
      <c r="I24" s="729"/>
      <c r="J24" s="729"/>
      <c r="K24" s="729"/>
    </row>
    <row r="25" spans="1:14" ht="15" x14ac:dyDescent="0.25">
      <c r="A25" s="729"/>
      <c r="B25" s="729"/>
      <c r="C25" s="729"/>
      <c r="D25" s="729"/>
      <c r="E25" s="729"/>
      <c r="F25" s="729"/>
      <c r="G25" s="729"/>
      <c r="H25" s="729"/>
      <c r="I25" s="729"/>
      <c r="J25" s="729"/>
      <c r="K25" s="729"/>
    </row>
  </sheetData>
  <mergeCells count="19">
    <mergeCell ref="M8:M9"/>
    <mergeCell ref="N8:N9"/>
    <mergeCell ref="A11:A17"/>
    <mergeCell ref="G8:G9"/>
    <mergeCell ref="H8:H9"/>
    <mergeCell ref="I8:I9"/>
    <mergeCell ref="J8:J9"/>
    <mergeCell ref="K8:K9"/>
    <mergeCell ref="L8:L9"/>
    <mergeCell ref="B2:H2"/>
    <mergeCell ref="B3:H3"/>
    <mergeCell ref="B4:H4"/>
    <mergeCell ref="B6:H6"/>
    <mergeCell ref="A8:A9"/>
    <mergeCell ref="B8:B9"/>
    <mergeCell ref="C8:C9"/>
    <mergeCell ref="D8:D9"/>
    <mergeCell ref="E8:E9"/>
    <mergeCell ref="F8:F9"/>
  </mergeCells>
  <printOptions horizontalCentered="1"/>
  <pageMargins left="0.59055118110236227" right="0.39370078740157483" top="0.59055118110236227" bottom="0.59055118110236227" header="0.51181102362204722" footer="0.51181102362204722"/>
  <pageSetup paperSize="9" scale="5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9A71B-8965-4FA3-AA5D-299CE85DBD0A}">
  <sheetPr>
    <tabColor rgb="FF92D050"/>
    <outlinePr summaryBelow="0" summaryRight="0"/>
    <pageSetUpPr autoPageBreaks="0" fitToPage="1"/>
  </sheetPr>
  <dimension ref="A1:G112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118" sqref="L118"/>
    </sheetView>
  </sheetViews>
  <sheetFormatPr defaultColWidth="9.140625" defaultRowHeight="11.25" x14ac:dyDescent="0.25"/>
  <cols>
    <col min="1" max="1" width="28.140625" style="362" customWidth="1"/>
    <col min="2" max="2" width="16.42578125" style="362" customWidth="1"/>
    <col min="3" max="3" width="21.28515625" style="362" customWidth="1"/>
    <col min="4" max="4" width="14.5703125" style="362" customWidth="1"/>
    <col min="5" max="5" width="12.7109375" style="362" customWidth="1"/>
    <col min="6" max="6" width="17" style="362" customWidth="1"/>
    <col min="7" max="8" width="14.28515625" style="362" customWidth="1"/>
    <col min="9" max="256" width="9.140625" style="362"/>
    <col min="257" max="257" width="28.140625" style="362" customWidth="1"/>
    <col min="258" max="258" width="16.42578125" style="362" customWidth="1"/>
    <col min="259" max="259" width="21.28515625" style="362" customWidth="1"/>
    <col min="260" max="260" width="14.5703125" style="362" customWidth="1"/>
    <col min="261" max="261" width="12.7109375" style="362" customWidth="1"/>
    <col min="262" max="262" width="17" style="362" customWidth="1"/>
    <col min="263" max="263" width="14.28515625" style="362" customWidth="1"/>
    <col min="264" max="512" width="9.140625" style="362"/>
    <col min="513" max="513" width="28.140625" style="362" customWidth="1"/>
    <col min="514" max="514" width="16.42578125" style="362" customWidth="1"/>
    <col min="515" max="515" width="21.28515625" style="362" customWidth="1"/>
    <col min="516" max="516" width="14.5703125" style="362" customWidth="1"/>
    <col min="517" max="517" width="12.7109375" style="362" customWidth="1"/>
    <col min="518" max="518" width="17" style="362" customWidth="1"/>
    <col min="519" max="519" width="14.28515625" style="362" customWidth="1"/>
    <col min="520" max="768" width="9.140625" style="362"/>
    <col min="769" max="769" width="28.140625" style="362" customWidth="1"/>
    <col min="770" max="770" width="16.42578125" style="362" customWidth="1"/>
    <col min="771" max="771" width="21.28515625" style="362" customWidth="1"/>
    <col min="772" max="772" width="14.5703125" style="362" customWidth="1"/>
    <col min="773" max="773" width="12.7109375" style="362" customWidth="1"/>
    <col min="774" max="774" width="17" style="362" customWidth="1"/>
    <col min="775" max="775" width="14.28515625" style="362" customWidth="1"/>
    <col min="776" max="1024" width="9.140625" style="362"/>
    <col min="1025" max="1025" width="28.140625" style="362" customWidth="1"/>
    <col min="1026" max="1026" width="16.42578125" style="362" customWidth="1"/>
    <col min="1027" max="1027" width="21.28515625" style="362" customWidth="1"/>
    <col min="1028" max="1028" width="14.5703125" style="362" customWidth="1"/>
    <col min="1029" max="1029" width="12.7109375" style="362" customWidth="1"/>
    <col min="1030" max="1030" width="17" style="362" customWidth="1"/>
    <col min="1031" max="1031" width="14.28515625" style="362" customWidth="1"/>
    <col min="1032" max="1280" width="9.140625" style="362"/>
    <col min="1281" max="1281" width="28.140625" style="362" customWidth="1"/>
    <col min="1282" max="1282" width="16.42578125" style="362" customWidth="1"/>
    <col min="1283" max="1283" width="21.28515625" style="362" customWidth="1"/>
    <col min="1284" max="1284" width="14.5703125" style="362" customWidth="1"/>
    <col min="1285" max="1285" width="12.7109375" style="362" customWidth="1"/>
    <col min="1286" max="1286" width="17" style="362" customWidth="1"/>
    <col min="1287" max="1287" width="14.28515625" style="362" customWidth="1"/>
    <col min="1288" max="1536" width="9.140625" style="362"/>
    <col min="1537" max="1537" width="28.140625" style="362" customWidth="1"/>
    <col min="1538" max="1538" width="16.42578125" style="362" customWidth="1"/>
    <col min="1539" max="1539" width="21.28515625" style="362" customWidth="1"/>
    <col min="1540" max="1540" width="14.5703125" style="362" customWidth="1"/>
    <col min="1541" max="1541" width="12.7109375" style="362" customWidth="1"/>
    <col min="1542" max="1542" width="17" style="362" customWidth="1"/>
    <col min="1543" max="1543" width="14.28515625" style="362" customWidth="1"/>
    <col min="1544" max="1792" width="9.140625" style="362"/>
    <col min="1793" max="1793" width="28.140625" style="362" customWidth="1"/>
    <col min="1794" max="1794" width="16.42578125" style="362" customWidth="1"/>
    <col min="1795" max="1795" width="21.28515625" style="362" customWidth="1"/>
    <col min="1796" max="1796" width="14.5703125" style="362" customWidth="1"/>
    <col min="1797" max="1797" width="12.7109375" style="362" customWidth="1"/>
    <col min="1798" max="1798" width="17" style="362" customWidth="1"/>
    <col min="1799" max="1799" width="14.28515625" style="362" customWidth="1"/>
    <col min="1800" max="2048" width="9.140625" style="362"/>
    <col min="2049" max="2049" width="28.140625" style="362" customWidth="1"/>
    <col min="2050" max="2050" width="16.42578125" style="362" customWidth="1"/>
    <col min="2051" max="2051" width="21.28515625" style="362" customWidth="1"/>
    <col min="2052" max="2052" width="14.5703125" style="362" customWidth="1"/>
    <col min="2053" max="2053" width="12.7109375" style="362" customWidth="1"/>
    <col min="2054" max="2054" width="17" style="362" customWidth="1"/>
    <col min="2055" max="2055" width="14.28515625" style="362" customWidth="1"/>
    <col min="2056" max="2304" width="9.140625" style="362"/>
    <col min="2305" max="2305" width="28.140625" style="362" customWidth="1"/>
    <col min="2306" max="2306" width="16.42578125" style="362" customWidth="1"/>
    <col min="2307" max="2307" width="21.28515625" style="362" customWidth="1"/>
    <col min="2308" max="2308" width="14.5703125" style="362" customWidth="1"/>
    <col min="2309" max="2309" width="12.7109375" style="362" customWidth="1"/>
    <col min="2310" max="2310" width="17" style="362" customWidth="1"/>
    <col min="2311" max="2311" width="14.28515625" style="362" customWidth="1"/>
    <col min="2312" max="2560" width="9.140625" style="362"/>
    <col min="2561" max="2561" width="28.140625" style="362" customWidth="1"/>
    <col min="2562" max="2562" width="16.42578125" style="362" customWidth="1"/>
    <col min="2563" max="2563" width="21.28515625" style="362" customWidth="1"/>
    <col min="2564" max="2564" width="14.5703125" style="362" customWidth="1"/>
    <col min="2565" max="2565" width="12.7109375" style="362" customWidth="1"/>
    <col min="2566" max="2566" width="17" style="362" customWidth="1"/>
    <col min="2567" max="2567" width="14.28515625" style="362" customWidth="1"/>
    <col min="2568" max="2816" width="9.140625" style="362"/>
    <col min="2817" max="2817" width="28.140625" style="362" customWidth="1"/>
    <col min="2818" max="2818" width="16.42578125" style="362" customWidth="1"/>
    <col min="2819" max="2819" width="21.28515625" style="362" customWidth="1"/>
    <col min="2820" max="2820" width="14.5703125" style="362" customWidth="1"/>
    <col min="2821" max="2821" width="12.7109375" style="362" customWidth="1"/>
    <col min="2822" max="2822" width="17" style="362" customWidth="1"/>
    <col min="2823" max="2823" width="14.28515625" style="362" customWidth="1"/>
    <col min="2824" max="3072" width="9.140625" style="362"/>
    <col min="3073" max="3073" width="28.140625" style="362" customWidth="1"/>
    <col min="3074" max="3074" width="16.42578125" style="362" customWidth="1"/>
    <col min="3075" max="3075" width="21.28515625" style="362" customWidth="1"/>
    <col min="3076" max="3076" width="14.5703125" style="362" customWidth="1"/>
    <col min="3077" max="3077" width="12.7109375" style="362" customWidth="1"/>
    <col min="3078" max="3078" width="17" style="362" customWidth="1"/>
    <col min="3079" max="3079" width="14.28515625" style="362" customWidth="1"/>
    <col min="3080" max="3328" width="9.140625" style="362"/>
    <col min="3329" max="3329" width="28.140625" style="362" customWidth="1"/>
    <col min="3330" max="3330" width="16.42578125" style="362" customWidth="1"/>
    <col min="3331" max="3331" width="21.28515625" style="362" customWidth="1"/>
    <col min="3332" max="3332" width="14.5703125" style="362" customWidth="1"/>
    <col min="3333" max="3333" width="12.7109375" style="362" customWidth="1"/>
    <col min="3334" max="3334" width="17" style="362" customWidth="1"/>
    <col min="3335" max="3335" width="14.28515625" style="362" customWidth="1"/>
    <col min="3336" max="3584" width="9.140625" style="362"/>
    <col min="3585" max="3585" width="28.140625" style="362" customWidth="1"/>
    <col min="3586" max="3586" width="16.42578125" style="362" customWidth="1"/>
    <col min="3587" max="3587" width="21.28515625" style="362" customWidth="1"/>
    <col min="3588" max="3588" width="14.5703125" style="362" customWidth="1"/>
    <col min="3589" max="3589" width="12.7109375" style="362" customWidth="1"/>
    <col min="3590" max="3590" width="17" style="362" customWidth="1"/>
    <col min="3591" max="3591" width="14.28515625" style="362" customWidth="1"/>
    <col min="3592" max="3840" width="9.140625" style="362"/>
    <col min="3841" max="3841" width="28.140625" style="362" customWidth="1"/>
    <col min="3842" max="3842" width="16.42578125" style="362" customWidth="1"/>
    <col min="3843" max="3843" width="21.28515625" style="362" customWidth="1"/>
    <col min="3844" max="3844" width="14.5703125" style="362" customWidth="1"/>
    <col min="3845" max="3845" width="12.7109375" style="362" customWidth="1"/>
    <col min="3846" max="3846" width="17" style="362" customWidth="1"/>
    <col min="3847" max="3847" width="14.28515625" style="362" customWidth="1"/>
    <col min="3848" max="4096" width="9.140625" style="362"/>
    <col min="4097" max="4097" width="28.140625" style="362" customWidth="1"/>
    <col min="4098" max="4098" width="16.42578125" style="362" customWidth="1"/>
    <col min="4099" max="4099" width="21.28515625" style="362" customWidth="1"/>
    <col min="4100" max="4100" width="14.5703125" style="362" customWidth="1"/>
    <col min="4101" max="4101" width="12.7109375" style="362" customWidth="1"/>
    <col min="4102" max="4102" width="17" style="362" customWidth="1"/>
    <col min="4103" max="4103" width="14.28515625" style="362" customWidth="1"/>
    <col min="4104" max="4352" width="9.140625" style="362"/>
    <col min="4353" max="4353" width="28.140625" style="362" customWidth="1"/>
    <col min="4354" max="4354" width="16.42578125" style="362" customWidth="1"/>
    <col min="4355" max="4355" width="21.28515625" style="362" customWidth="1"/>
    <col min="4356" max="4356" width="14.5703125" style="362" customWidth="1"/>
    <col min="4357" max="4357" width="12.7109375" style="362" customWidth="1"/>
    <col min="4358" max="4358" width="17" style="362" customWidth="1"/>
    <col min="4359" max="4359" width="14.28515625" style="362" customWidth="1"/>
    <col min="4360" max="4608" width="9.140625" style="362"/>
    <col min="4609" max="4609" width="28.140625" style="362" customWidth="1"/>
    <col min="4610" max="4610" width="16.42578125" style="362" customWidth="1"/>
    <col min="4611" max="4611" width="21.28515625" style="362" customWidth="1"/>
    <col min="4612" max="4612" width="14.5703125" style="362" customWidth="1"/>
    <col min="4613" max="4613" width="12.7109375" style="362" customWidth="1"/>
    <col min="4614" max="4614" width="17" style="362" customWidth="1"/>
    <col min="4615" max="4615" width="14.28515625" style="362" customWidth="1"/>
    <col min="4616" max="4864" width="9.140625" style="362"/>
    <col min="4865" max="4865" width="28.140625" style="362" customWidth="1"/>
    <col min="4866" max="4866" width="16.42578125" style="362" customWidth="1"/>
    <col min="4867" max="4867" width="21.28515625" style="362" customWidth="1"/>
    <col min="4868" max="4868" width="14.5703125" style="362" customWidth="1"/>
    <col min="4869" max="4869" width="12.7109375" style="362" customWidth="1"/>
    <col min="4870" max="4870" width="17" style="362" customWidth="1"/>
    <col min="4871" max="4871" width="14.28515625" style="362" customWidth="1"/>
    <col min="4872" max="5120" width="9.140625" style="362"/>
    <col min="5121" max="5121" width="28.140625" style="362" customWidth="1"/>
    <col min="5122" max="5122" width="16.42578125" style="362" customWidth="1"/>
    <col min="5123" max="5123" width="21.28515625" style="362" customWidth="1"/>
    <col min="5124" max="5124" width="14.5703125" style="362" customWidth="1"/>
    <col min="5125" max="5125" width="12.7109375" style="362" customWidth="1"/>
    <col min="5126" max="5126" width="17" style="362" customWidth="1"/>
    <col min="5127" max="5127" width="14.28515625" style="362" customWidth="1"/>
    <col min="5128" max="5376" width="9.140625" style="362"/>
    <col min="5377" max="5377" width="28.140625" style="362" customWidth="1"/>
    <col min="5378" max="5378" width="16.42578125" style="362" customWidth="1"/>
    <col min="5379" max="5379" width="21.28515625" style="362" customWidth="1"/>
    <col min="5380" max="5380" width="14.5703125" style="362" customWidth="1"/>
    <col min="5381" max="5381" width="12.7109375" style="362" customWidth="1"/>
    <col min="5382" max="5382" width="17" style="362" customWidth="1"/>
    <col min="5383" max="5383" width="14.28515625" style="362" customWidth="1"/>
    <col min="5384" max="5632" width="9.140625" style="362"/>
    <col min="5633" max="5633" width="28.140625" style="362" customWidth="1"/>
    <col min="5634" max="5634" width="16.42578125" style="362" customWidth="1"/>
    <col min="5635" max="5635" width="21.28515625" style="362" customWidth="1"/>
    <col min="5636" max="5636" width="14.5703125" style="362" customWidth="1"/>
    <col min="5637" max="5637" width="12.7109375" style="362" customWidth="1"/>
    <col min="5638" max="5638" width="17" style="362" customWidth="1"/>
    <col min="5639" max="5639" width="14.28515625" style="362" customWidth="1"/>
    <col min="5640" max="5888" width="9.140625" style="362"/>
    <col min="5889" max="5889" width="28.140625" style="362" customWidth="1"/>
    <col min="5890" max="5890" width="16.42578125" style="362" customWidth="1"/>
    <col min="5891" max="5891" width="21.28515625" style="362" customWidth="1"/>
    <col min="5892" max="5892" width="14.5703125" style="362" customWidth="1"/>
    <col min="5893" max="5893" width="12.7109375" style="362" customWidth="1"/>
    <col min="5894" max="5894" width="17" style="362" customWidth="1"/>
    <col min="5895" max="5895" width="14.28515625" style="362" customWidth="1"/>
    <col min="5896" max="6144" width="9.140625" style="362"/>
    <col min="6145" max="6145" width="28.140625" style="362" customWidth="1"/>
    <col min="6146" max="6146" width="16.42578125" style="362" customWidth="1"/>
    <col min="6147" max="6147" width="21.28515625" style="362" customWidth="1"/>
    <col min="6148" max="6148" width="14.5703125" style="362" customWidth="1"/>
    <col min="6149" max="6149" width="12.7109375" style="362" customWidth="1"/>
    <col min="6150" max="6150" width="17" style="362" customWidth="1"/>
    <col min="6151" max="6151" width="14.28515625" style="362" customWidth="1"/>
    <col min="6152" max="6400" width="9.140625" style="362"/>
    <col min="6401" max="6401" width="28.140625" style="362" customWidth="1"/>
    <col min="6402" max="6402" width="16.42578125" style="362" customWidth="1"/>
    <col min="6403" max="6403" width="21.28515625" style="362" customWidth="1"/>
    <col min="6404" max="6404" width="14.5703125" style="362" customWidth="1"/>
    <col min="6405" max="6405" width="12.7109375" style="362" customWidth="1"/>
    <col min="6406" max="6406" width="17" style="362" customWidth="1"/>
    <col min="6407" max="6407" width="14.28515625" style="362" customWidth="1"/>
    <col min="6408" max="6656" width="9.140625" style="362"/>
    <col min="6657" max="6657" width="28.140625" style="362" customWidth="1"/>
    <col min="6658" max="6658" width="16.42578125" style="362" customWidth="1"/>
    <col min="6659" max="6659" width="21.28515625" style="362" customWidth="1"/>
    <col min="6660" max="6660" width="14.5703125" style="362" customWidth="1"/>
    <col min="6661" max="6661" width="12.7109375" style="362" customWidth="1"/>
    <col min="6662" max="6662" width="17" style="362" customWidth="1"/>
    <col min="6663" max="6663" width="14.28515625" style="362" customWidth="1"/>
    <col min="6664" max="6912" width="9.140625" style="362"/>
    <col min="6913" max="6913" width="28.140625" style="362" customWidth="1"/>
    <col min="6914" max="6914" width="16.42578125" style="362" customWidth="1"/>
    <col min="6915" max="6915" width="21.28515625" style="362" customWidth="1"/>
    <col min="6916" max="6916" width="14.5703125" style="362" customWidth="1"/>
    <col min="6917" max="6917" width="12.7109375" style="362" customWidth="1"/>
    <col min="6918" max="6918" width="17" style="362" customWidth="1"/>
    <col min="6919" max="6919" width="14.28515625" style="362" customWidth="1"/>
    <col min="6920" max="7168" width="9.140625" style="362"/>
    <col min="7169" max="7169" width="28.140625" style="362" customWidth="1"/>
    <col min="7170" max="7170" width="16.42578125" style="362" customWidth="1"/>
    <col min="7171" max="7171" width="21.28515625" style="362" customWidth="1"/>
    <col min="7172" max="7172" width="14.5703125" style="362" customWidth="1"/>
    <col min="7173" max="7173" width="12.7109375" style="362" customWidth="1"/>
    <col min="7174" max="7174" width="17" style="362" customWidth="1"/>
    <col min="7175" max="7175" width="14.28515625" style="362" customWidth="1"/>
    <col min="7176" max="7424" width="9.140625" style="362"/>
    <col min="7425" max="7425" width="28.140625" style="362" customWidth="1"/>
    <col min="7426" max="7426" width="16.42578125" style="362" customWidth="1"/>
    <col min="7427" max="7427" width="21.28515625" style="362" customWidth="1"/>
    <col min="7428" max="7428" width="14.5703125" style="362" customWidth="1"/>
    <col min="7429" max="7429" width="12.7109375" style="362" customWidth="1"/>
    <col min="7430" max="7430" width="17" style="362" customWidth="1"/>
    <col min="7431" max="7431" width="14.28515625" style="362" customWidth="1"/>
    <col min="7432" max="7680" width="9.140625" style="362"/>
    <col min="7681" max="7681" width="28.140625" style="362" customWidth="1"/>
    <col min="7682" max="7682" width="16.42578125" style="362" customWidth="1"/>
    <col min="7683" max="7683" width="21.28515625" style="362" customWidth="1"/>
    <col min="7684" max="7684" width="14.5703125" style="362" customWidth="1"/>
    <col min="7685" max="7685" width="12.7109375" style="362" customWidth="1"/>
    <col min="7686" max="7686" width="17" style="362" customWidth="1"/>
    <col min="7687" max="7687" width="14.28515625" style="362" customWidth="1"/>
    <col min="7688" max="7936" width="9.140625" style="362"/>
    <col min="7937" max="7937" width="28.140625" style="362" customWidth="1"/>
    <col min="7938" max="7938" width="16.42578125" style="362" customWidth="1"/>
    <col min="7939" max="7939" width="21.28515625" style="362" customWidth="1"/>
    <col min="7940" max="7940" width="14.5703125" style="362" customWidth="1"/>
    <col min="7941" max="7941" width="12.7109375" style="362" customWidth="1"/>
    <col min="7942" max="7942" width="17" style="362" customWidth="1"/>
    <col min="7943" max="7943" width="14.28515625" style="362" customWidth="1"/>
    <col min="7944" max="8192" width="9.140625" style="362"/>
    <col min="8193" max="8193" width="28.140625" style="362" customWidth="1"/>
    <col min="8194" max="8194" width="16.42578125" style="362" customWidth="1"/>
    <col min="8195" max="8195" width="21.28515625" style="362" customWidth="1"/>
    <col min="8196" max="8196" width="14.5703125" style="362" customWidth="1"/>
    <col min="8197" max="8197" width="12.7109375" style="362" customWidth="1"/>
    <col min="8198" max="8198" width="17" style="362" customWidth="1"/>
    <col min="8199" max="8199" width="14.28515625" style="362" customWidth="1"/>
    <col min="8200" max="8448" width="9.140625" style="362"/>
    <col min="8449" max="8449" width="28.140625" style="362" customWidth="1"/>
    <col min="8450" max="8450" width="16.42578125" style="362" customWidth="1"/>
    <col min="8451" max="8451" width="21.28515625" style="362" customWidth="1"/>
    <col min="8452" max="8452" width="14.5703125" style="362" customWidth="1"/>
    <col min="8453" max="8453" width="12.7109375" style="362" customWidth="1"/>
    <col min="8454" max="8454" width="17" style="362" customWidth="1"/>
    <col min="8455" max="8455" width="14.28515625" style="362" customWidth="1"/>
    <col min="8456" max="8704" width="9.140625" style="362"/>
    <col min="8705" max="8705" width="28.140625" style="362" customWidth="1"/>
    <col min="8706" max="8706" width="16.42578125" style="362" customWidth="1"/>
    <col min="8707" max="8707" width="21.28515625" style="362" customWidth="1"/>
    <col min="8708" max="8708" width="14.5703125" style="362" customWidth="1"/>
    <col min="8709" max="8709" width="12.7109375" style="362" customWidth="1"/>
    <col min="8710" max="8710" width="17" style="362" customWidth="1"/>
    <col min="8711" max="8711" width="14.28515625" style="362" customWidth="1"/>
    <col min="8712" max="8960" width="9.140625" style="362"/>
    <col min="8961" max="8961" width="28.140625" style="362" customWidth="1"/>
    <col min="8962" max="8962" width="16.42578125" style="362" customWidth="1"/>
    <col min="8963" max="8963" width="21.28515625" style="362" customWidth="1"/>
    <col min="8964" max="8964" width="14.5703125" style="362" customWidth="1"/>
    <col min="8965" max="8965" width="12.7109375" style="362" customWidth="1"/>
    <col min="8966" max="8966" width="17" style="362" customWidth="1"/>
    <col min="8967" max="8967" width="14.28515625" style="362" customWidth="1"/>
    <col min="8968" max="9216" width="9.140625" style="362"/>
    <col min="9217" max="9217" width="28.140625" style="362" customWidth="1"/>
    <col min="9218" max="9218" width="16.42578125" style="362" customWidth="1"/>
    <col min="9219" max="9219" width="21.28515625" style="362" customWidth="1"/>
    <col min="9220" max="9220" width="14.5703125" style="362" customWidth="1"/>
    <col min="9221" max="9221" width="12.7109375" style="362" customWidth="1"/>
    <col min="9222" max="9222" width="17" style="362" customWidth="1"/>
    <col min="9223" max="9223" width="14.28515625" style="362" customWidth="1"/>
    <col min="9224" max="9472" width="9.140625" style="362"/>
    <col min="9473" max="9473" width="28.140625" style="362" customWidth="1"/>
    <col min="9474" max="9474" width="16.42578125" style="362" customWidth="1"/>
    <col min="9475" max="9475" width="21.28515625" style="362" customWidth="1"/>
    <col min="9476" max="9476" width="14.5703125" style="362" customWidth="1"/>
    <col min="9477" max="9477" width="12.7109375" style="362" customWidth="1"/>
    <col min="9478" max="9478" width="17" style="362" customWidth="1"/>
    <col min="9479" max="9479" width="14.28515625" style="362" customWidth="1"/>
    <col min="9480" max="9728" width="9.140625" style="362"/>
    <col min="9729" max="9729" width="28.140625" style="362" customWidth="1"/>
    <col min="9730" max="9730" width="16.42578125" style="362" customWidth="1"/>
    <col min="9731" max="9731" width="21.28515625" style="362" customWidth="1"/>
    <col min="9732" max="9732" width="14.5703125" style="362" customWidth="1"/>
    <col min="9733" max="9733" width="12.7109375" style="362" customWidth="1"/>
    <col min="9734" max="9734" width="17" style="362" customWidth="1"/>
    <col min="9735" max="9735" width="14.28515625" style="362" customWidth="1"/>
    <col min="9736" max="9984" width="9.140625" style="362"/>
    <col min="9985" max="9985" width="28.140625" style="362" customWidth="1"/>
    <col min="9986" max="9986" width="16.42578125" style="362" customWidth="1"/>
    <col min="9987" max="9987" width="21.28515625" style="362" customWidth="1"/>
    <col min="9988" max="9988" width="14.5703125" style="362" customWidth="1"/>
    <col min="9989" max="9989" width="12.7109375" style="362" customWidth="1"/>
    <col min="9990" max="9990" width="17" style="362" customWidth="1"/>
    <col min="9991" max="9991" width="14.28515625" style="362" customWidth="1"/>
    <col min="9992" max="10240" width="9.140625" style="362"/>
    <col min="10241" max="10241" width="28.140625" style="362" customWidth="1"/>
    <col min="10242" max="10242" width="16.42578125" style="362" customWidth="1"/>
    <col min="10243" max="10243" width="21.28515625" style="362" customWidth="1"/>
    <col min="10244" max="10244" width="14.5703125" style="362" customWidth="1"/>
    <col min="10245" max="10245" width="12.7109375" style="362" customWidth="1"/>
    <col min="10246" max="10246" width="17" style="362" customWidth="1"/>
    <col min="10247" max="10247" width="14.28515625" style="362" customWidth="1"/>
    <col min="10248" max="10496" width="9.140625" style="362"/>
    <col min="10497" max="10497" width="28.140625" style="362" customWidth="1"/>
    <col min="10498" max="10498" width="16.42578125" style="362" customWidth="1"/>
    <col min="10499" max="10499" width="21.28515625" style="362" customWidth="1"/>
    <col min="10500" max="10500" width="14.5703125" style="362" customWidth="1"/>
    <col min="10501" max="10501" width="12.7109375" style="362" customWidth="1"/>
    <col min="10502" max="10502" width="17" style="362" customWidth="1"/>
    <col min="10503" max="10503" width="14.28515625" style="362" customWidth="1"/>
    <col min="10504" max="10752" width="9.140625" style="362"/>
    <col min="10753" max="10753" width="28.140625" style="362" customWidth="1"/>
    <col min="10754" max="10754" width="16.42578125" style="362" customWidth="1"/>
    <col min="10755" max="10755" width="21.28515625" style="362" customWidth="1"/>
    <col min="10756" max="10756" width="14.5703125" style="362" customWidth="1"/>
    <col min="10757" max="10757" width="12.7109375" style="362" customWidth="1"/>
    <col min="10758" max="10758" width="17" style="362" customWidth="1"/>
    <col min="10759" max="10759" width="14.28515625" style="362" customWidth="1"/>
    <col min="10760" max="11008" width="9.140625" style="362"/>
    <col min="11009" max="11009" width="28.140625" style="362" customWidth="1"/>
    <col min="11010" max="11010" width="16.42578125" style="362" customWidth="1"/>
    <col min="11011" max="11011" width="21.28515625" style="362" customWidth="1"/>
    <col min="11012" max="11012" width="14.5703125" style="362" customWidth="1"/>
    <col min="11013" max="11013" width="12.7109375" style="362" customWidth="1"/>
    <col min="11014" max="11014" width="17" style="362" customWidth="1"/>
    <col min="11015" max="11015" width="14.28515625" style="362" customWidth="1"/>
    <col min="11016" max="11264" width="9.140625" style="362"/>
    <col min="11265" max="11265" width="28.140625" style="362" customWidth="1"/>
    <col min="11266" max="11266" width="16.42578125" style="362" customWidth="1"/>
    <col min="11267" max="11267" width="21.28515625" style="362" customWidth="1"/>
    <col min="11268" max="11268" width="14.5703125" style="362" customWidth="1"/>
    <col min="11269" max="11269" width="12.7109375" style="362" customWidth="1"/>
    <col min="11270" max="11270" width="17" style="362" customWidth="1"/>
    <col min="11271" max="11271" width="14.28515625" style="362" customWidth="1"/>
    <col min="11272" max="11520" width="9.140625" style="362"/>
    <col min="11521" max="11521" width="28.140625" style="362" customWidth="1"/>
    <col min="11522" max="11522" width="16.42578125" style="362" customWidth="1"/>
    <col min="11523" max="11523" width="21.28515625" style="362" customWidth="1"/>
    <col min="11524" max="11524" width="14.5703125" style="362" customWidth="1"/>
    <col min="11525" max="11525" width="12.7109375" style="362" customWidth="1"/>
    <col min="11526" max="11526" width="17" style="362" customWidth="1"/>
    <col min="11527" max="11527" width="14.28515625" style="362" customWidth="1"/>
    <col min="11528" max="11776" width="9.140625" style="362"/>
    <col min="11777" max="11777" width="28.140625" style="362" customWidth="1"/>
    <col min="11778" max="11778" width="16.42578125" style="362" customWidth="1"/>
    <col min="11779" max="11779" width="21.28515625" style="362" customWidth="1"/>
    <col min="11780" max="11780" width="14.5703125" style="362" customWidth="1"/>
    <col min="11781" max="11781" width="12.7109375" style="362" customWidth="1"/>
    <col min="11782" max="11782" width="17" style="362" customWidth="1"/>
    <col min="11783" max="11783" width="14.28515625" style="362" customWidth="1"/>
    <col min="11784" max="12032" width="9.140625" style="362"/>
    <col min="12033" max="12033" width="28.140625" style="362" customWidth="1"/>
    <col min="12034" max="12034" width="16.42578125" style="362" customWidth="1"/>
    <col min="12035" max="12035" width="21.28515625" style="362" customWidth="1"/>
    <col min="12036" max="12036" width="14.5703125" style="362" customWidth="1"/>
    <col min="12037" max="12037" width="12.7109375" style="362" customWidth="1"/>
    <col min="12038" max="12038" width="17" style="362" customWidth="1"/>
    <col min="12039" max="12039" width="14.28515625" style="362" customWidth="1"/>
    <col min="12040" max="12288" width="9.140625" style="362"/>
    <col min="12289" max="12289" width="28.140625" style="362" customWidth="1"/>
    <col min="12290" max="12290" width="16.42578125" style="362" customWidth="1"/>
    <col min="12291" max="12291" width="21.28515625" style="362" customWidth="1"/>
    <col min="12292" max="12292" width="14.5703125" style="362" customWidth="1"/>
    <col min="12293" max="12293" width="12.7109375" style="362" customWidth="1"/>
    <col min="12294" max="12294" width="17" style="362" customWidth="1"/>
    <col min="12295" max="12295" width="14.28515625" style="362" customWidth="1"/>
    <col min="12296" max="12544" width="9.140625" style="362"/>
    <col min="12545" max="12545" width="28.140625" style="362" customWidth="1"/>
    <col min="12546" max="12546" width="16.42578125" style="362" customWidth="1"/>
    <col min="12547" max="12547" width="21.28515625" style="362" customWidth="1"/>
    <col min="12548" max="12548" width="14.5703125" style="362" customWidth="1"/>
    <col min="12549" max="12549" width="12.7109375" style="362" customWidth="1"/>
    <col min="12550" max="12550" width="17" style="362" customWidth="1"/>
    <col min="12551" max="12551" width="14.28515625" style="362" customWidth="1"/>
    <col min="12552" max="12800" width="9.140625" style="362"/>
    <col min="12801" max="12801" width="28.140625" style="362" customWidth="1"/>
    <col min="12802" max="12802" width="16.42578125" style="362" customWidth="1"/>
    <col min="12803" max="12803" width="21.28515625" style="362" customWidth="1"/>
    <col min="12804" max="12804" width="14.5703125" style="362" customWidth="1"/>
    <col min="12805" max="12805" width="12.7109375" style="362" customWidth="1"/>
    <col min="12806" max="12806" width="17" style="362" customWidth="1"/>
    <col min="12807" max="12807" width="14.28515625" style="362" customWidth="1"/>
    <col min="12808" max="13056" width="9.140625" style="362"/>
    <col min="13057" max="13057" width="28.140625" style="362" customWidth="1"/>
    <col min="13058" max="13058" width="16.42578125" style="362" customWidth="1"/>
    <col min="13059" max="13059" width="21.28515625" style="362" customWidth="1"/>
    <col min="13060" max="13060" width="14.5703125" style="362" customWidth="1"/>
    <col min="13061" max="13061" width="12.7109375" style="362" customWidth="1"/>
    <col min="13062" max="13062" width="17" style="362" customWidth="1"/>
    <col min="13063" max="13063" width="14.28515625" style="362" customWidth="1"/>
    <col min="13064" max="13312" width="9.140625" style="362"/>
    <col min="13313" max="13313" width="28.140625" style="362" customWidth="1"/>
    <col min="13314" max="13314" width="16.42578125" style="362" customWidth="1"/>
    <col min="13315" max="13315" width="21.28515625" style="362" customWidth="1"/>
    <col min="13316" max="13316" width="14.5703125" style="362" customWidth="1"/>
    <col min="13317" max="13317" width="12.7109375" style="362" customWidth="1"/>
    <col min="13318" max="13318" width="17" style="362" customWidth="1"/>
    <col min="13319" max="13319" width="14.28515625" style="362" customWidth="1"/>
    <col min="13320" max="13568" width="9.140625" style="362"/>
    <col min="13569" max="13569" width="28.140625" style="362" customWidth="1"/>
    <col min="13570" max="13570" width="16.42578125" style="362" customWidth="1"/>
    <col min="13571" max="13571" width="21.28515625" style="362" customWidth="1"/>
    <col min="13572" max="13572" width="14.5703125" style="362" customWidth="1"/>
    <col min="13573" max="13573" width="12.7109375" style="362" customWidth="1"/>
    <col min="13574" max="13574" width="17" style="362" customWidth="1"/>
    <col min="13575" max="13575" width="14.28515625" style="362" customWidth="1"/>
    <col min="13576" max="13824" width="9.140625" style="362"/>
    <col min="13825" max="13825" width="28.140625" style="362" customWidth="1"/>
    <col min="13826" max="13826" width="16.42578125" style="362" customWidth="1"/>
    <col min="13827" max="13827" width="21.28515625" style="362" customWidth="1"/>
    <col min="13828" max="13828" width="14.5703125" style="362" customWidth="1"/>
    <col min="13829" max="13829" width="12.7109375" style="362" customWidth="1"/>
    <col min="13830" max="13830" width="17" style="362" customWidth="1"/>
    <col min="13831" max="13831" width="14.28515625" style="362" customWidth="1"/>
    <col min="13832" max="14080" width="9.140625" style="362"/>
    <col min="14081" max="14081" width="28.140625" style="362" customWidth="1"/>
    <col min="14082" max="14082" width="16.42578125" style="362" customWidth="1"/>
    <col min="14083" max="14083" width="21.28515625" style="362" customWidth="1"/>
    <col min="14084" max="14084" width="14.5703125" style="362" customWidth="1"/>
    <col min="14085" max="14085" width="12.7109375" style="362" customWidth="1"/>
    <col min="14086" max="14086" width="17" style="362" customWidth="1"/>
    <col min="14087" max="14087" width="14.28515625" style="362" customWidth="1"/>
    <col min="14088" max="14336" width="9.140625" style="362"/>
    <col min="14337" max="14337" width="28.140625" style="362" customWidth="1"/>
    <col min="14338" max="14338" width="16.42578125" style="362" customWidth="1"/>
    <col min="14339" max="14339" width="21.28515625" style="362" customWidth="1"/>
    <col min="14340" max="14340" width="14.5703125" style="362" customWidth="1"/>
    <col min="14341" max="14341" width="12.7109375" style="362" customWidth="1"/>
    <col min="14342" max="14342" width="17" style="362" customWidth="1"/>
    <col min="14343" max="14343" width="14.28515625" style="362" customWidth="1"/>
    <col min="14344" max="14592" width="9.140625" style="362"/>
    <col min="14593" max="14593" width="28.140625" style="362" customWidth="1"/>
    <col min="14594" max="14594" width="16.42578125" style="362" customWidth="1"/>
    <col min="14595" max="14595" width="21.28515625" style="362" customWidth="1"/>
    <col min="14596" max="14596" width="14.5703125" style="362" customWidth="1"/>
    <col min="14597" max="14597" width="12.7109375" style="362" customWidth="1"/>
    <col min="14598" max="14598" width="17" style="362" customWidth="1"/>
    <col min="14599" max="14599" width="14.28515625" style="362" customWidth="1"/>
    <col min="14600" max="14848" width="9.140625" style="362"/>
    <col min="14849" max="14849" width="28.140625" style="362" customWidth="1"/>
    <col min="14850" max="14850" width="16.42578125" style="362" customWidth="1"/>
    <col min="14851" max="14851" width="21.28515625" style="362" customWidth="1"/>
    <col min="14852" max="14852" width="14.5703125" style="362" customWidth="1"/>
    <col min="14853" max="14853" width="12.7109375" style="362" customWidth="1"/>
    <col min="14854" max="14854" width="17" style="362" customWidth="1"/>
    <col min="14855" max="14855" width="14.28515625" style="362" customWidth="1"/>
    <col min="14856" max="15104" width="9.140625" style="362"/>
    <col min="15105" max="15105" width="28.140625" style="362" customWidth="1"/>
    <col min="15106" max="15106" width="16.42578125" style="362" customWidth="1"/>
    <col min="15107" max="15107" width="21.28515625" style="362" customWidth="1"/>
    <col min="15108" max="15108" width="14.5703125" style="362" customWidth="1"/>
    <col min="15109" max="15109" width="12.7109375" style="362" customWidth="1"/>
    <col min="15110" max="15110" width="17" style="362" customWidth="1"/>
    <col min="15111" max="15111" width="14.28515625" style="362" customWidth="1"/>
    <col min="15112" max="15360" width="9.140625" style="362"/>
    <col min="15361" max="15361" width="28.140625" style="362" customWidth="1"/>
    <col min="15362" max="15362" width="16.42578125" style="362" customWidth="1"/>
    <col min="15363" max="15363" width="21.28515625" style="362" customWidth="1"/>
    <col min="15364" max="15364" width="14.5703125" style="362" customWidth="1"/>
    <col min="15365" max="15365" width="12.7109375" style="362" customWidth="1"/>
    <col min="15366" max="15366" width="17" style="362" customWidth="1"/>
    <col min="15367" max="15367" width="14.28515625" style="362" customWidth="1"/>
    <col min="15368" max="15616" width="9.140625" style="362"/>
    <col min="15617" max="15617" width="28.140625" style="362" customWidth="1"/>
    <col min="15618" max="15618" width="16.42578125" style="362" customWidth="1"/>
    <col min="15619" max="15619" width="21.28515625" style="362" customWidth="1"/>
    <col min="15620" max="15620" width="14.5703125" style="362" customWidth="1"/>
    <col min="15621" max="15621" width="12.7109375" style="362" customWidth="1"/>
    <col min="15622" max="15622" width="17" style="362" customWidth="1"/>
    <col min="15623" max="15623" width="14.28515625" style="362" customWidth="1"/>
    <col min="15624" max="15872" width="9.140625" style="362"/>
    <col min="15873" max="15873" width="28.140625" style="362" customWidth="1"/>
    <col min="15874" max="15874" width="16.42578125" style="362" customWidth="1"/>
    <col min="15875" max="15875" width="21.28515625" style="362" customWidth="1"/>
    <col min="15876" max="15876" width="14.5703125" style="362" customWidth="1"/>
    <col min="15877" max="15877" width="12.7109375" style="362" customWidth="1"/>
    <col min="15878" max="15878" width="17" style="362" customWidth="1"/>
    <col min="15879" max="15879" width="14.28515625" style="362" customWidth="1"/>
    <col min="15880" max="16128" width="9.140625" style="362"/>
    <col min="16129" max="16129" width="28.140625" style="362" customWidth="1"/>
    <col min="16130" max="16130" width="16.42578125" style="362" customWidth="1"/>
    <col min="16131" max="16131" width="21.28515625" style="362" customWidth="1"/>
    <col min="16132" max="16132" width="14.5703125" style="362" customWidth="1"/>
    <col min="16133" max="16133" width="12.7109375" style="362" customWidth="1"/>
    <col min="16134" max="16134" width="17" style="362" customWidth="1"/>
    <col min="16135" max="16135" width="14.28515625" style="362" customWidth="1"/>
    <col min="16136" max="16384" width="9.140625" style="362"/>
  </cols>
  <sheetData>
    <row r="1" spans="1:7" ht="9.9499999999999993" customHeight="1" x14ac:dyDescent="0.25"/>
    <row r="2" spans="1:7" ht="15.75" x14ac:dyDescent="0.25">
      <c r="A2" s="754" t="s">
        <v>1157</v>
      </c>
    </row>
    <row r="3" spans="1:7" ht="9.9499999999999993" customHeight="1" x14ac:dyDescent="0.25">
      <c r="B3" s="755" t="s">
        <v>1158</v>
      </c>
      <c r="C3" s="755"/>
      <c r="D3" s="755"/>
    </row>
    <row r="4" spans="1:7" ht="12.75" customHeight="1" x14ac:dyDescent="0.25">
      <c r="A4" s="1259" t="s">
        <v>706</v>
      </c>
      <c r="B4" s="1260" t="s">
        <v>1159</v>
      </c>
      <c r="C4" s="1260" t="s">
        <v>1160</v>
      </c>
      <c r="D4" s="1260" t="s">
        <v>1161</v>
      </c>
      <c r="E4" s="1260" t="s">
        <v>655</v>
      </c>
      <c r="F4" s="1260" t="s">
        <v>654</v>
      </c>
      <c r="G4" s="1258" t="s">
        <v>707</v>
      </c>
    </row>
    <row r="5" spans="1:7" ht="104.25" customHeight="1" x14ac:dyDescent="0.25">
      <c r="A5" s="1259"/>
      <c r="B5" s="1260"/>
      <c r="C5" s="1260"/>
      <c r="D5" s="1260"/>
      <c r="E5" s="1260"/>
      <c r="F5" s="1260"/>
      <c r="G5" s="1258"/>
    </row>
    <row r="6" spans="1:7" ht="10.5" customHeight="1" x14ac:dyDescent="0.25">
      <c r="A6" s="756">
        <v>0</v>
      </c>
      <c r="B6" s="756">
        <v>1</v>
      </c>
      <c r="C6" s="756">
        <v>2</v>
      </c>
      <c r="D6" s="756">
        <v>3</v>
      </c>
      <c r="E6" s="756" t="s">
        <v>708</v>
      </c>
      <c r="F6" s="756" t="s">
        <v>709</v>
      </c>
      <c r="G6" s="756" t="s">
        <v>710</v>
      </c>
    </row>
    <row r="7" spans="1:7" ht="11.25" hidden="1" customHeight="1" x14ac:dyDescent="0.25">
      <c r="A7" s="757" t="s">
        <v>711</v>
      </c>
      <c r="B7" s="758">
        <v>792720</v>
      </c>
      <c r="C7" s="758">
        <v>28443548.140000001</v>
      </c>
      <c r="D7" s="758"/>
      <c r="E7" s="759">
        <f>IF(B7=0,1,C7/(B7+C7))</f>
        <v>0.97288573229999997</v>
      </c>
      <c r="F7" s="760">
        <f>D7*E7</f>
        <v>0</v>
      </c>
      <c r="G7" s="760">
        <f>D7-F7</f>
        <v>0</v>
      </c>
    </row>
    <row r="8" spans="1:7" ht="11.25" hidden="1" customHeight="1" x14ac:dyDescent="0.25">
      <c r="A8" s="757" t="s">
        <v>712</v>
      </c>
      <c r="B8" s="758">
        <v>460714.09</v>
      </c>
      <c r="C8" s="758">
        <v>50871352.829999998</v>
      </c>
      <c r="D8" s="758"/>
      <c r="E8" s="759">
        <f t="shared" ref="E8:E38" si="0">IF(B8=0,1,C8/(B8+C8))</f>
        <v>0.99102482879999998</v>
      </c>
      <c r="F8" s="760">
        <f t="shared" ref="F8:F37" si="1">D8*E8</f>
        <v>0</v>
      </c>
      <c r="G8" s="760">
        <f t="shared" ref="G8:G37" si="2">D8-F8</f>
        <v>0</v>
      </c>
    </row>
    <row r="9" spans="1:7" ht="11.25" hidden="1" customHeight="1" x14ac:dyDescent="0.25">
      <c r="A9" s="757" t="s">
        <v>713</v>
      </c>
      <c r="B9" s="758">
        <v>4017972.43</v>
      </c>
      <c r="C9" s="758">
        <v>37817657.549999997</v>
      </c>
      <c r="D9" s="758"/>
      <c r="E9" s="759">
        <f t="shared" si="0"/>
        <v>0.903958123</v>
      </c>
      <c r="F9" s="760">
        <f t="shared" si="1"/>
        <v>0</v>
      </c>
      <c r="G9" s="760">
        <f t="shared" si="2"/>
        <v>0</v>
      </c>
    </row>
    <row r="10" spans="1:7" ht="11.25" hidden="1" customHeight="1" x14ac:dyDescent="0.25">
      <c r="A10" s="757" t="s">
        <v>714</v>
      </c>
      <c r="B10" s="758">
        <v>521690.4</v>
      </c>
      <c r="C10" s="758">
        <v>29923025.969999999</v>
      </c>
      <c r="D10" s="758"/>
      <c r="E10" s="759">
        <f t="shared" si="0"/>
        <v>0.98286433699999998</v>
      </c>
      <c r="F10" s="760">
        <f t="shared" si="1"/>
        <v>0</v>
      </c>
      <c r="G10" s="760">
        <f t="shared" si="2"/>
        <v>0</v>
      </c>
    </row>
    <row r="11" spans="1:7" ht="11.25" hidden="1" customHeight="1" x14ac:dyDescent="0.25">
      <c r="A11" s="757" t="s">
        <v>715</v>
      </c>
      <c r="B11" s="758">
        <v>595713.96</v>
      </c>
      <c r="C11" s="758">
        <v>41342346.840000004</v>
      </c>
      <c r="D11" s="758"/>
      <c r="E11" s="759">
        <f t="shared" si="0"/>
        <v>0.98579538609999995</v>
      </c>
      <c r="F11" s="760">
        <f t="shared" si="1"/>
        <v>0</v>
      </c>
      <c r="G11" s="760">
        <f t="shared" si="2"/>
        <v>0</v>
      </c>
    </row>
    <row r="12" spans="1:7" ht="11.25" hidden="1" customHeight="1" x14ac:dyDescent="0.25">
      <c r="A12" s="757" t="s">
        <v>716</v>
      </c>
      <c r="B12" s="758">
        <v>276000</v>
      </c>
      <c r="C12" s="758">
        <v>37742803.939999998</v>
      </c>
      <c r="D12" s="758"/>
      <c r="E12" s="759">
        <f t="shared" si="0"/>
        <v>0.99274043440000004</v>
      </c>
      <c r="F12" s="760">
        <f t="shared" si="1"/>
        <v>0</v>
      </c>
      <c r="G12" s="760">
        <f t="shared" si="2"/>
        <v>0</v>
      </c>
    </row>
    <row r="13" spans="1:7" ht="11.25" hidden="1" customHeight="1" x14ac:dyDescent="0.25">
      <c r="A13" s="757" t="s">
        <v>717</v>
      </c>
      <c r="B13" s="758">
        <v>1453330</v>
      </c>
      <c r="C13" s="758">
        <v>29498732.91</v>
      </c>
      <c r="D13" s="758"/>
      <c r="E13" s="759">
        <f t="shared" si="0"/>
        <v>0.95304577909999999</v>
      </c>
      <c r="F13" s="760">
        <f t="shared" si="1"/>
        <v>0</v>
      </c>
      <c r="G13" s="760">
        <f t="shared" si="2"/>
        <v>0</v>
      </c>
    </row>
    <row r="14" spans="1:7" ht="11.25" hidden="1" customHeight="1" x14ac:dyDescent="0.25">
      <c r="A14" s="757" t="s">
        <v>718</v>
      </c>
      <c r="B14" s="758">
        <v>1182665</v>
      </c>
      <c r="C14" s="758">
        <v>38898252.25</v>
      </c>
      <c r="D14" s="758"/>
      <c r="E14" s="759">
        <f t="shared" si="0"/>
        <v>0.97049306550000003</v>
      </c>
      <c r="F14" s="760">
        <f t="shared" si="1"/>
        <v>0</v>
      </c>
      <c r="G14" s="760">
        <f t="shared" si="2"/>
        <v>0</v>
      </c>
    </row>
    <row r="15" spans="1:7" ht="11.25" hidden="1" customHeight="1" x14ac:dyDescent="0.25">
      <c r="A15" s="757" t="s">
        <v>719</v>
      </c>
      <c r="B15" s="758">
        <v>3045264.69</v>
      </c>
      <c r="C15" s="758">
        <v>45147936.490000002</v>
      </c>
      <c r="D15" s="758"/>
      <c r="E15" s="759">
        <f t="shared" si="0"/>
        <v>0.93681132160000002</v>
      </c>
      <c r="F15" s="760">
        <f t="shared" si="1"/>
        <v>0</v>
      </c>
      <c r="G15" s="760">
        <f t="shared" si="2"/>
        <v>0</v>
      </c>
    </row>
    <row r="16" spans="1:7" ht="11.25" hidden="1" customHeight="1" x14ac:dyDescent="0.25">
      <c r="A16" s="757" t="s">
        <v>720</v>
      </c>
      <c r="B16" s="758">
        <v>465008.72</v>
      </c>
      <c r="C16" s="758">
        <v>38863217.729999997</v>
      </c>
      <c r="D16" s="758"/>
      <c r="E16" s="759">
        <f t="shared" si="0"/>
        <v>0.98817620930000005</v>
      </c>
      <c r="F16" s="760">
        <f t="shared" si="1"/>
        <v>0</v>
      </c>
      <c r="G16" s="760">
        <f t="shared" si="2"/>
        <v>0</v>
      </c>
    </row>
    <row r="17" spans="1:7" ht="11.25" hidden="1" customHeight="1" x14ac:dyDescent="0.25">
      <c r="A17" s="757" t="s">
        <v>721</v>
      </c>
      <c r="B17" s="758">
        <v>602834.32999999996</v>
      </c>
      <c r="C17" s="758">
        <v>40724581.600000001</v>
      </c>
      <c r="D17" s="758"/>
      <c r="E17" s="759">
        <f t="shared" si="0"/>
        <v>0.98541321019999994</v>
      </c>
      <c r="F17" s="760">
        <f t="shared" si="1"/>
        <v>0</v>
      </c>
      <c r="G17" s="760">
        <f t="shared" si="2"/>
        <v>0</v>
      </c>
    </row>
    <row r="18" spans="1:7" ht="11.25" hidden="1" customHeight="1" x14ac:dyDescent="0.25">
      <c r="A18" s="761" t="s">
        <v>722</v>
      </c>
      <c r="B18" s="758">
        <v>0</v>
      </c>
      <c r="C18" s="758">
        <v>25213254.510000002</v>
      </c>
      <c r="D18" s="758"/>
      <c r="E18" s="759">
        <f>IF(B18=0,1,C18/(B18+C18))</f>
        <v>1</v>
      </c>
      <c r="F18" s="760">
        <f>D18*E18</f>
        <v>0</v>
      </c>
      <c r="G18" s="760">
        <f>D18-F18</f>
        <v>0</v>
      </c>
    </row>
    <row r="19" spans="1:7" ht="11.25" hidden="1" customHeight="1" x14ac:dyDescent="0.25">
      <c r="A19" s="757" t="s">
        <v>723</v>
      </c>
      <c r="B19" s="758">
        <v>284214.26</v>
      </c>
      <c r="C19" s="758">
        <v>37828572.200000003</v>
      </c>
      <c r="D19" s="758"/>
      <c r="E19" s="759">
        <f t="shared" si="0"/>
        <v>0.99254281079999995</v>
      </c>
      <c r="F19" s="760">
        <f t="shared" si="1"/>
        <v>0</v>
      </c>
      <c r="G19" s="760">
        <f t="shared" si="2"/>
        <v>0</v>
      </c>
    </row>
    <row r="20" spans="1:7" ht="11.25" hidden="1" customHeight="1" x14ac:dyDescent="0.25">
      <c r="A20" s="757" t="s">
        <v>724</v>
      </c>
      <c r="B20" s="758">
        <v>496130</v>
      </c>
      <c r="C20" s="758">
        <v>41597353.25</v>
      </c>
      <c r="D20" s="758"/>
      <c r="E20" s="759">
        <f t="shared" si="0"/>
        <v>0.98821361500000005</v>
      </c>
      <c r="F20" s="760">
        <f t="shared" si="1"/>
        <v>0</v>
      </c>
      <c r="G20" s="760">
        <f t="shared" si="2"/>
        <v>0</v>
      </c>
    </row>
    <row r="21" spans="1:7" ht="11.25" hidden="1" customHeight="1" x14ac:dyDescent="0.25">
      <c r="A21" s="757" t="s">
        <v>725</v>
      </c>
      <c r="B21" s="758">
        <v>1179087.98</v>
      </c>
      <c r="C21" s="758">
        <v>38403822.109999999</v>
      </c>
      <c r="D21" s="758"/>
      <c r="E21" s="759">
        <f t="shared" si="0"/>
        <v>0.97021219569999995</v>
      </c>
      <c r="F21" s="760">
        <f t="shared" si="1"/>
        <v>0</v>
      </c>
      <c r="G21" s="760">
        <f t="shared" si="2"/>
        <v>0</v>
      </c>
    </row>
    <row r="22" spans="1:7" ht="11.25" hidden="1" customHeight="1" x14ac:dyDescent="0.25">
      <c r="A22" s="757" t="s">
        <v>726</v>
      </c>
      <c r="B22" s="758">
        <v>3470437.05</v>
      </c>
      <c r="C22" s="758">
        <v>45709641.75</v>
      </c>
      <c r="D22" s="758"/>
      <c r="E22" s="759">
        <f t="shared" si="0"/>
        <v>0.92943408930000004</v>
      </c>
      <c r="F22" s="760">
        <f t="shared" si="1"/>
        <v>0</v>
      </c>
      <c r="G22" s="760">
        <f t="shared" si="2"/>
        <v>0</v>
      </c>
    </row>
    <row r="23" spans="1:7" ht="11.25" hidden="1" customHeight="1" x14ac:dyDescent="0.25">
      <c r="A23" s="757" t="s">
        <v>727</v>
      </c>
      <c r="B23" s="758">
        <v>467280</v>
      </c>
      <c r="C23" s="758">
        <v>44208094.5</v>
      </c>
      <c r="D23" s="758"/>
      <c r="E23" s="759">
        <f t="shared" si="0"/>
        <v>0.98954054650000001</v>
      </c>
      <c r="F23" s="760">
        <f t="shared" si="1"/>
        <v>0</v>
      </c>
      <c r="G23" s="760">
        <f t="shared" si="2"/>
        <v>0</v>
      </c>
    </row>
    <row r="24" spans="1:7" ht="11.25" hidden="1" customHeight="1" x14ac:dyDescent="0.25">
      <c r="A24" s="757" t="s">
        <v>728</v>
      </c>
      <c r="B24" s="758">
        <v>242197.18</v>
      </c>
      <c r="C24" s="758">
        <v>36212974.090000004</v>
      </c>
      <c r="D24" s="758"/>
      <c r="E24" s="759">
        <f t="shared" si="0"/>
        <v>0.99335630109999995</v>
      </c>
      <c r="F24" s="760">
        <f t="shared" si="1"/>
        <v>0</v>
      </c>
      <c r="G24" s="760">
        <f t="shared" si="2"/>
        <v>0</v>
      </c>
    </row>
    <row r="25" spans="1:7" ht="11.25" hidden="1" customHeight="1" x14ac:dyDescent="0.25">
      <c r="A25" s="757" t="s">
        <v>729</v>
      </c>
      <c r="B25" s="758">
        <v>489646</v>
      </c>
      <c r="C25" s="758">
        <v>30700056.850000001</v>
      </c>
      <c r="D25" s="758"/>
      <c r="E25" s="759">
        <f t="shared" si="0"/>
        <v>0.98430103670000002</v>
      </c>
      <c r="F25" s="760">
        <f t="shared" si="1"/>
        <v>0</v>
      </c>
      <c r="G25" s="760">
        <f t="shared" si="2"/>
        <v>0</v>
      </c>
    </row>
    <row r="26" spans="1:7" ht="11.25" hidden="1" customHeight="1" x14ac:dyDescent="0.25">
      <c r="A26" s="757" t="s">
        <v>730</v>
      </c>
      <c r="B26" s="758">
        <v>831600</v>
      </c>
      <c r="C26" s="758">
        <v>39066783.409999996</v>
      </c>
      <c r="D26" s="758"/>
      <c r="E26" s="759">
        <f t="shared" si="0"/>
        <v>0.9791570503</v>
      </c>
      <c r="F26" s="760">
        <f t="shared" si="1"/>
        <v>0</v>
      </c>
      <c r="G26" s="760">
        <f t="shared" si="2"/>
        <v>0</v>
      </c>
    </row>
    <row r="27" spans="1:7" ht="11.25" hidden="1" customHeight="1" x14ac:dyDescent="0.25">
      <c r="A27" s="757" t="s">
        <v>731</v>
      </c>
      <c r="B27" s="758">
        <v>1589873.69</v>
      </c>
      <c r="C27" s="758">
        <v>70309751.159999996</v>
      </c>
      <c r="D27" s="758"/>
      <c r="E27" s="759">
        <f t="shared" si="0"/>
        <v>0.97788759410000003</v>
      </c>
      <c r="F27" s="760">
        <f t="shared" si="1"/>
        <v>0</v>
      </c>
      <c r="G27" s="760">
        <f t="shared" si="2"/>
        <v>0</v>
      </c>
    </row>
    <row r="28" spans="1:7" ht="11.25" hidden="1" customHeight="1" x14ac:dyDescent="0.25">
      <c r="A28" s="757" t="s">
        <v>732</v>
      </c>
      <c r="B28" s="758">
        <v>316150</v>
      </c>
      <c r="C28" s="758">
        <v>50200778.520000003</v>
      </c>
      <c r="D28" s="758"/>
      <c r="E28" s="759">
        <f t="shared" si="0"/>
        <v>0.9937417019</v>
      </c>
      <c r="F28" s="760">
        <f t="shared" si="1"/>
        <v>0</v>
      </c>
      <c r="G28" s="760">
        <f t="shared" si="2"/>
        <v>0</v>
      </c>
    </row>
    <row r="29" spans="1:7" ht="11.25" hidden="1" customHeight="1" x14ac:dyDescent="0.25">
      <c r="A29" s="757" t="s">
        <v>733</v>
      </c>
      <c r="B29" s="758">
        <v>569860</v>
      </c>
      <c r="C29" s="758">
        <v>35918434.840000004</v>
      </c>
      <c r="D29" s="758"/>
      <c r="E29" s="759">
        <f t="shared" si="0"/>
        <v>0.98438238889999996</v>
      </c>
      <c r="F29" s="760">
        <f t="shared" si="1"/>
        <v>0</v>
      </c>
      <c r="G29" s="760">
        <f t="shared" si="2"/>
        <v>0</v>
      </c>
    </row>
    <row r="30" spans="1:7" ht="11.25" hidden="1" customHeight="1" x14ac:dyDescent="0.25">
      <c r="A30" s="757" t="s">
        <v>734</v>
      </c>
      <c r="B30" s="758">
        <v>494510</v>
      </c>
      <c r="C30" s="758">
        <v>29870622.52</v>
      </c>
      <c r="D30" s="758"/>
      <c r="E30" s="759">
        <f t="shared" si="0"/>
        <v>0.983714545</v>
      </c>
      <c r="F30" s="760">
        <f t="shared" si="1"/>
        <v>0</v>
      </c>
      <c r="G30" s="760">
        <f t="shared" si="2"/>
        <v>0</v>
      </c>
    </row>
    <row r="31" spans="1:7" ht="11.25" hidden="1" customHeight="1" x14ac:dyDescent="0.25">
      <c r="A31" s="757" t="s">
        <v>735</v>
      </c>
      <c r="B31" s="758">
        <v>903847</v>
      </c>
      <c r="C31" s="758">
        <v>64008164.240000002</v>
      </c>
      <c r="D31" s="758"/>
      <c r="E31" s="759">
        <f t="shared" si="0"/>
        <v>0.9860758127</v>
      </c>
      <c r="F31" s="760">
        <f t="shared" si="1"/>
        <v>0</v>
      </c>
      <c r="G31" s="760">
        <f t="shared" si="2"/>
        <v>0</v>
      </c>
    </row>
    <row r="32" spans="1:7" ht="11.25" hidden="1" customHeight="1" x14ac:dyDescent="0.25">
      <c r="A32" s="757" t="s">
        <v>736</v>
      </c>
      <c r="B32" s="758">
        <v>1659250.8</v>
      </c>
      <c r="C32" s="758">
        <v>35072772.060000002</v>
      </c>
      <c r="D32" s="758"/>
      <c r="E32" s="759">
        <f t="shared" si="0"/>
        <v>0.95482822150000002</v>
      </c>
      <c r="F32" s="760">
        <f t="shared" si="1"/>
        <v>0</v>
      </c>
      <c r="G32" s="760">
        <f t="shared" si="2"/>
        <v>0</v>
      </c>
    </row>
    <row r="33" spans="1:7" ht="11.25" hidden="1" customHeight="1" x14ac:dyDescent="0.25">
      <c r="A33" s="757" t="s">
        <v>737</v>
      </c>
      <c r="B33" s="758">
        <v>1721330</v>
      </c>
      <c r="C33" s="758">
        <v>64815916.200000003</v>
      </c>
      <c r="D33" s="758"/>
      <c r="E33" s="759">
        <f t="shared" si="0"/>
        <v>0.97412982810000004</v>
      </c>
      <c r="F33" s="760">
        <f t="shared" si="1"/>
        <v>0</v>
      </c>
      <c r="G33" s="760">
        <f t="shared" si="2"/>
        <v>0</v>
      </c>
    </row>
    <row r="34" spans="1:7" ht="11.25" hidden="1" customHeight="1" x14ac:dyDescent="0.25">
      <c r="A34" s="757" t="s">
        <v>738</v>
      </c>
      <c r="B34" s="758">
        <v>775195.43</v>
      </c>
      <c r="C34" s="758">
        <v>56944443.780000001</v>
      </c>
      <c r="D34" s="758"/>
      <c r="E34" s="759">
        <f t="shared" si="0"/>
        <v>0.98656964179999995</v>
      </c>
      <c r="F34" s="760">
        <f t="shared" si="1"/>
        <v>0</v>
      </c>
      <c r="G34" s="760">
        <f t="shared" si="2"/>
        <v>0</v>
      </c>
    </row>
    <row r="35" spans="1:7" ht="11.25" hidden="1" customHeight="1" x14ac:dyDescent="0.25">
      <c r="A35" s="757" t="s">
        <v>739</v>
      </c>
      <c r="B35" s="758">
        <v>6774371.6600000001</v>
      </c>
      <c r="C35" s="758">
        <v>49208191.640000001</v>
      </c>
      <c r="D35" s="758"/>
      <c r="E35" s="759">
        <f t="shared" si="0"/>
        <v>0.87899139910000001</v>
      </c>
      <c r="F35" s="760">
        <f t="shared" si="1"/>
        <v>0</v>
      </c>
      <c r="G35" s="760">
        <f t="shared" si="2"/>
        <v>0</v>
      </c>
    </row>
    <row r="36" spans="1:7" ht="11.25" hidden="1" customHeight="1" x14ac:dyDescent="0.25">
      <c r="A36" s="757" t="s">
        <v>740</v>
      </c>
      <c r="B36" s="758">
        <v>2075175</v>
      </c>
      <c r="C36" s="758">
        <v>60479385.200000003</v>
      </c>
      <c r="D36" s="758"/>
      <c r="E36" s="759">
        <f>IF(B36=0,1,C36/(B36+C36))</f>
        <v>0.96682615949999995</v>
      </c>
      <c r="F36" s="760">
        <f>D36*E36</f>
        <v>0</v>
      </c>
      <c r="G36" s="760">
        <f>D36-F36</f>
        <v>0</v>
      </c>
    </row>
    <row r="37" spans="1:7" ht="11.25" hidden="1" customHeight="1" x14ac:dyDescent="0.25">
      <c r="A37" s="761" t="s">
        <v>741</v>
      </c>
      <c r="B37" s="758">
        <v>0</v>
      </c>
      <c r="C37" s="758">
        <v>66895177.530000001</v>
      </c>
      <c r="D37" s="758"/>
      <c r="E37" s="759">
        <f t="shared" si="0"/>
        <v>1</v>
      </c>
      <c r="F37" s="760">
        <f t="shared" si="1"/>
        <v>0</v>
      </c>
      <c r="G37" s="760">
        <f t="shared" si="2"/>
        <v>0</v>
      </c>
    </row>
    <row r="38" spans="1:7" ht="12.75" hidden="1" customHeight="1" x14ac:dyDescent="0.25">
      <c r="A38" s="762" t="s">
        <v>50</v>
      </c>
      <c r="B38" s="763">
        <f>SUM(B7:B37)</f>
        <v>37754069.670000002</v>
      </c>
      <c r="C38" s="763">
        <f>SUM(C7:C37)</f>
        <v>1341937646.6099999</v>
      </c>
      <c r="D38" s="763">
        <f>SUM(D7:D37)</f>
        <v>0</v>
      </c>
      <c r="E38" s="759">
        <f t="shared" si="0"/>
        <v>0.97263586550000003</v>
      </c>
      <c r="F38" s="763">
        <f>SUM(F7:F37)</f>
        <v>0</v>
      </c>
      <c r="G38" s="763">
        <f>SUM(G7:G37)</f>
        <v>0</v>
      </c>
    </row>
    <row r="39" spans="1:7" hidden="1" x14ac:dyDescent="0.25">
      <c r="B39" s="363"/>
      <c r="C39" s="363">
        <v>1341937646.6099999</v>
      </c>
      <c r="D39" s="363"/>
      <c r="E39" s="364"/>
      <c r="F39" s="363"/>
      <c r="G39" s="363"/>
    </row>
    <row r="40" spans="1:7" hidden="1" x14ac:dyDescent="0.25">
      <c r="B40" s="365">
        <f>B38-B39</f>
        <v>37754069.670000002</v>
      </c>
      <c r="C40" s="365">
        <f>C38-C39</f>
        <v>0</v>
      </c>
      <c r="D40" s="365">
        <f>D38-D39</f>
        <v>0</v>
      </c>
      <c r="E40" s="364"/>
      <c r="F40" s="365"/>
      <c r="G40" s="363"/>
    </row>
    <row r="41" spans="1:7" ht="11.25" hidden="1" customHeight="1" x14ac:dyDescent="0.25">
      <c r="A41" s="761" t="s">
        <v>742</v>
      </c>
      <c r="B41" s="758">
        <v>0</v>
      </c>
      <c r="C41" s="758">
        <v>27501463.539999999</v>
      </c>
      <c r="D41" s="758"/>
      <c r="E41" s="759">
        <f>IF(B41=0,1,C41/(B41+C41))</f>
        <v>1</v>
      </c>
      <c r="F41" s="760">
        <f>D41*E41</f>
        <v>0</v>
      </c>
      <c r="G41" s="760">
        <f>D41-F41</f>
        <v>0</v>
      </c>
    </row>
    <row r="42" spans="1:7" ht="11.25" hidden="1" customHeight="1" x14ac:dyDescent="0.25">
      <c r="A42" s="761" t="s">
        <v>743</v>
      </c>
      <c r="B42" s="758">
        <v>0</v>
      </c>
      <c r="C42" s="758">
        <v>49139042.299999997</v>
      </c>
      <c r="D42" s="758"/>
      <c r="E42" s="759">
        <f t="shared" ref="E42:E98" si="3">IF(B42=0,1,C42/(B42+C42))</f>
        <v>1</v>
      </c>
      <c r="F42" s="760">
        <f t="shared" ref="F42:F97" si="4">D42*E42</f>
        <v>0</v>
      </c>
      <c r="G42" s="760">
        <f t="shared" ref="G42:G97" si="5">D42-F42</f>
        <v>0</v>
      </c>
    </row>
    <row r="43" spans="1:7" ht="11.25" hidden="1" customHeight="1" x14ac:dyDescent="0.25">
      <c r="A43" s="761" t="s">
        <v>744</v>
      </c>
      <c r="B43" s="758">
        <v>0</v>
      </c>
      <c r="C43" s="758">
        <v>30577917.75</v>
      </c>
      <c r="D43" s="758"/>
      <c r="E43" s="759">
        <f t="shared" si="3"/>
        <v>1</v>
      </c>
      <c r="F43" s="760">
        <f t="shared" si="4"/>
        <v>0</v>
      </c>
      <c r="G43" s="760">
        <f t="shared" si="5"/>
        <v>0</v>
      </c>
    </row>
    <row r="44" spans="1:7" ht="11.25" hidden="1" customHeight="1" x14ac:dyDescent="0.25">
      <c r="A44" s="761" t="s">
        <v>745</v>
      </c>
      <c r="B44" s="758">
        <v>0</v>
      </c>
      <c r="C44" s="758">
        <v>27767858.850000001</v>
      </c>
      <c r="D44" s="758"/>
      <c r="E44" s="759">
        <f t="shared" si="3"/>
        <v>1</v>
      </c>
      <c r="F44" s="760">
        <f t="shared" si="4"/>
        <v>0</v>
      </c>
      <c r="G44" s="760">
        <f t="shared" si="5"/>
        <v>0</v>
      </c>
    </row>
    <row r="45" spans="1:7" ht="11.25" hidden="1" customHeight="1" x14ac:dyDescent="0.25">
      <c r="A45" s="761" t="s">
        <v>746</v>
      </c>
      <c r="B45" s="758">
        <v>0</v>
      </c>
      <c r="C45" s="758">
        <v>14813742.039999999</v>
      </c>
      <c r="D45" s="758"/>
      <c r="E45" s="759">
        <f t="shared" si="3"/>
        <v>1</v>
      </c>
      <c r="F45" s="760">
        <f t="shared" si="4"/>
        <v>0</v>
      </c>
      <c r="G45" s="760">
        <f t="shared" si="5"/>
        <v>0</v>
      </c>
    </row>
    <row r="46" spans="1:7" hidden="1" x14ac:dyDescent="0.25">
      <c r="A46" s="761" t="s">
        <v>893</v>
      </c>
      <c r="B46" s="758">
        <v>0</v>
      </c>
      <c r="C46" s="764">
        <v>0</v>
      </c>
      <c r="D46" s="758"/>
      <c r="E46" s="759">
        <f>IF(B46=0,1,C46/(B46+C46))</f>
        <v>1</v>
      </c>
      <c r="F46" s="760">
        <f>D46*E46</f>
        <v>0</v>
      </c>
      <c r="G46" s="760">
        <f>D46-F46</f>
        <v>0</v>
      </c>
    </row>
    <row r="47" spans="1:7" ht="11.25" hidden="1" customHeight="1" x14ac:dyDescent="0.25">
      <c r="A47" s="761" t="s">
        <v>747</v>
      </c>
      <c r="B47" s="758">
        <v>0</v>
      </c>
      <c r="C47" s="758">
        <v>16092656.07</v>
      </c>
      <c r="D47" s="758"/>
      <c r="E47" s="759">
        <f t="shared" si="3"/>
        <v>1</v>
      </c>
      <c r="F47" s="760">
        <f t="shared" si="4"/>
        <v>0</v>
      </c>
      <c r="G47" s="760">
        <f t="shared" si="5"/>
        <v>0</v>
      </c>
    </row>
    <row r="48" spans="1:7" hidden="1" x14ac:dyDescent="0.25">
      <c r="A48" s="761" t="s">
        <v>895</v>
      </c>
      <c r="B48" s="758">
        <v>0</v>
      </c>
      <c r="C48" s="764">
        <v>0</v>
      </c>
      <c r="D48" s="758"/>
      <c r="E48" s="759">
        <f>IF(B48=0,1,C48/(B48+C48))</f>
        <v>1</v>
      </c>
      <c r="F48" s="760">
        <f>D48*E48</f>
        <v>0</v>
      </c>
      <c r="G48" s="760">
        <f>D48-F48</f>
        <v>0</v>
      </c>
    </row>
    <row r="49" spans="1:7" ht="11.25" hidden="1" customHeight="1" x14ac:dyDescent="0.25">
      <c r="A49" s="761" t="s">
        <v>748</v>
      </c>
      <c r="B49" s="758">
        <v>47444</v>
      </c>
      <c r="C49" s="758">
        <v>17586951.829999998</v>
      </c>
      <c r="D49" s="758"/>
      <c r="E49" s="759">
        <f t="shared" si="3"/>
        <v>0.99730957610000004</v>
      </c>
      <c r="F49" s="760">
        <f t="shared" si="4"/>
        <v>0</v>
      </c>
      <c r="G49" s="760">
        <f t="shared" si="5"/>
        <v>0</v>
      </c>
    </row>
    <row r="50" spans="1:7" ht="11.25" hidden="1" customHeight="1" x14ac:dyDescent="0.25">
      <c r="A50" s="761" t="s">
        <v>749</v>
      </c>
      <c r="B50" s="758">
        <v>0</v>
      </c>
      <c r="C50" s="758">
        <v>14067417.529999999</v>
      </c>
      <c r="D50" s="758"/>
      <c r="E50" s="759">
        <f t="shared" si="3"/>
        <v>1</v>
      </c>
      <c r="F50" s="760">
        <f t="shared" si="4"/>
        <v>0</v>
      </c>
      <c r="G50" s="760">
        <f t="shared" si="5"/>
        <v>0</v>
      </c>
    </row>
    <row r="51" spans="1:7" ht="11.25" hidden="1" customHeight="1" x14ac:dyDescent="0.25">
      <c r="A51" s="761" t="s">
        <v>750</v>
      </c>
      <c r="B51" s="758">
        <v>0</v>
      </c>
      <c r="C51" s="758">
        <v>20158966.190000001</v>
      </c>
      <c r="D51" s="758"/>
      <c r="E51" s="759">
        <f t="shared" si="3"/>
        <v>1</v>
      </c>
      <c r="F51" s="760">
        <f t="shared" si="4"/>
        <v>0</v>
      </c>
      <c r="G51" s="760">
        <f t="shared" si="5"/>
        <v>0</v>
      </c>
    </row>
    <row r="52" spans="1:7" ht="11.25" hidden="1" customHeight="1" x14ac:dyDescent="0.25">
      <c r="A52" s="761" t="s">
        <v>751</v>
      </c>
      <c r="B52" s="758">
        <v>0</v>
      </c>
      <c r="C52" s="758">
        <v>37008448.909999996</v>
      </c>
      <c r="D52" s="758"/>
      <c r="E52" s="759">
        <f t="shared" si="3"/>
        <v>1</v>
      </c>
      <c r="F52" s="760">
        <f t="shared" si="4"/>
        <v>0</v>
      </c>
      <c r="G52" s="760">
        <f t="shared" si="5"/>
        <v>0</v>
      </c>
    </row>
    <row r="53" spans="1:7" ht="11.25" hidden="1" customHeight="1" x14ac:dyDescent="0.25">
      <c r="A53" s="761" t="s">
        <v>752</v>
      </c>
      <c r="B53" s="758">
        <v>0</v>
      </c>
      <c r="C53" s="758">
        <v>15100603.07</v>
      </c>
      <c r="D53" s="758"/>
      <c r="E53" s="759">
        <f t="shared" si="3"/>
        <v>1</v>
      </c>
      <c r="F53" s="760">
        <f t="shared" si="4"/>
        <v>0</v>
      </c>
      <c r="G53" s="760">
        <f t="shared" si="5"/>
        <v>0</v>
      </c>
    </row>
    <row r="54" spans="1:7" ht="11.25" hidden="1" customHeight="1" x14ac:dyDescent="0.25">
      <c r="A54" s="761" t="s">
        <v>753</v>
      </c>
      <c r="B54" s="758">
        <v>0</v>
      </c>
      <c r="C54" s="758">
        <v>12590677.23</v>
      </c>
      <c r="D54" s="758"/>
      <c r="E54" s="759">
        <f t="shared" si="3"/>
        <v>1</v>
      </c>
      <c r="F54" s="760">
        <f t="shared" si="4"/>
        <v>0</v>
      </c>
      <c r="G54" s="760">
        <f t="shared" si="5"/>
        <v>0</v>
      </c>
    </row>
    <row r="55" spans="1:7" ht="11.25" hidden="1" customHeight="1" x14ac:dyDescent="0.25">
      <c r="A55" s="761" t="s">
        <v>754</v>
      </c>
      <c r="B55" s="758">
        <v>0</v>
      </c>
      <c r="C55" s="758">
        <v>19626861.210000001</v>
      </c>
      <c r="D55" s="758"/>
      <c r="E55" s="759">
        <f t="shared" si="3"/>
        <v>1</v>
      </c>
      <c r="F55" s="760">
        <f t="shared" si="4"/>
        <v>0</v>
      </c>
      <c r="G55" s="760">
        <f t="shared" si="5"/>
        <v>0</v>
      </c>
    </row>
    <row r="56" spans="1:7" ht="11.25" hidden="1" customHeight="1" x14ac:dyDescent="0.25">
      <c r="A56" s="761" t="s">
        <v>755</v>
      </c>
      <c r="B56" s="758">
        <v>0</v>
      </c>
      <c r="C56" s="758">
        <v>25929644.300000001</v>
      </c>
      <c r="D56" s="758"/>
      <c r="E56" s="759">
        <f>IF(B56=0,1,C56/(B56+C56))</f>
        <v>1</v>
      </c>
      <c r="F56" s="760">
        <f>D56*E56</f>
        <v>0</v>
      </c>
      <c r="G56" s="760">
        <f>D56-F56</f>
        <v>0</v>
      </c>
    </row>
    <row r="57" spans="1:7" ht="11.25" hidden="1" customHeight="1" x14ac:dyDescent="0.25">
      <c r="A57" s="761" t="s">
        <v>756</v>
      </c>
      <c r="B57" s="758">
        <v>0</v>
      </c>
      <c r="C57" s="758">
        <v>11784829.289999999</v>
      </c>
      <c r="D57" s="758"/>
      <c r="E57" s="759">
        <f>IF(B57=0,1,C57/(B57+C57))</f>
        <v>1</v>
      </c>
      <c r="F57" s="760">
        <f>D57*E57</f>
        <v>0</v>
      </c>
      <c r="G57" s="760">
        <f>D57-F57</f>
        <v>0</v>
      </c>
    </row>
    <row r="58" spans="1:7" ht="11.25" hidden="1" customHeight="1" x14ac:dyDescent="0.25">
      <c r="A58" s="761" t="s">
        <v>757</v>
      </c>
      <c r="B58" s="758">
        <v>0</v>
      </c>
      <c r="C58" s="758">
        <v>18450322.210000001</v>
      </c>
      <c r="D58" s="758"/>
      <c r="E58" s="759">
        <f t="shared" si="3"/>
        <v>1</v>
      </c>
      <c r="F58" s="760">
        <f t="shared" si="4"/>
        <v>0</v>
      </c>
      <c r="G58" s="760">
        <f t="shared" si="5"/>
        <v>0</v>
      </c>
    </row>
    <row r="59" spans="1:7" ht="11.25" hidden="1" customHeight="1" x14ac:dyDescent="0.25">
      <c r="A59" s="761" t="s">
        <v>758</v>
      </c>
      <c r="B59" s="758">
        <v>0</v>
      </c>
      <c r="C59" s="758">
        <v>28988300.690000001</v>
      </c>
      <c r="D59" s="758"/>
      <c r="E59" s="759">
        <f t="shared" si="3"/>
        <v>1</v>
      </c>
      <c r="F59" s="760">
        <f t="shared" si="4"/>
        <v>0</v>
      </c>
      <c r="G59" s="760">
        <f t="shared" si="5"/>
        <v>0</v>
      </c>
    </row>
    <row r="60" spans="1:7" ht="11.25" hidden="1" customHeight="1" x14ac:dyDescent="0.25">
      <c r="A60" s="761" t="s">
        <v>759</v>
      </c>
      <c r="B60" s="758">
        <v>0</v>
      </c>
      <c r="C60" s="758">
        <v>17812012.260000002</v>
      </c>
      <c r="D60" s="758"/>
      <c r="E60" s="759">
        <f t="shared" si="3"/>
        <v>1</v>
      </c>
      <c r="F60" s="760">
        <f t="shared" si="4"/>
        <v>0</v>
      </c>
      <c r="G60" s="760">
        <f t="shared" si="5"/>
        <v>0</v>
      </c>
    </row>
    <row r="61" spans="1:7" ht="11.25" hidden="1" customHeight="1" x14ac:dyDescent="0.25">
      <c r="A61" s="761" t="s">
        <v>760</v>
      </c>
      <c r="B61" s="758">
        <v>0</v>
      </c>
      <c r="C61" s="758">
        <v>20780175.879999999</v>
      </c>
      <c r="D61" s="758"/>
      <c r="E61" s="759">
        <f t="shared" si="3"/>
        <v>1</v>
      </c>
      <c r="F61" s="760">
        <f t="shared" si="4"/>
        <v>0</v>
      </c>
      <c r="G61" s="760">
        <f t="shared" si="5"/>
        <v>0</v>
      </c>
    </row>
    <row r="62" spans="1:7" ht="11.25" hidden="1" customHeight="1" x14ac:dyDescent="0.25">
      <c r="A62" s="761" t="s">
        <v>761</v>
      </c>
      <c r="B62" s="758">
        <v>0</v>
      </c>
      <c r="C62" s="758">
        <v>29178420.260000002</v>
      </c>
      <c r="D62" s="758"/>
      <c r="E62" s="759">
        <f t="shared" si="3"/>
        <v>1</v>
      </c>
      <c r="F62" s="760">
        <f t="shared" si="4"/>
        <v>0</v>
      </c>
      <c r="G62" s="760">
        <f t="shared" si="5"/>
        <v>0</v>
      </c>
    </row>
    <row r="63" spans="1:7" ht="11.25" hidden="1" customHeight="1" x14ac:dyDescent="0.25">
      <c r="A63" s="761" t="s">
        <v>762</v>
      </c>
      <c r="B63" s="758">
        <v>0</v>
      </c>
      <c r="C63" s="758">
        <v>44290712.109999999</v>
      </c>
      <c r="D63" s="758"/>
      <c r="E63" s="759">
        <f t="shared" si="3"/>
        <v>1</v>
      </c>
      <c r="F63" s="760">
        <f t="shared" si="4"/>
        <v>0</v>
      </c>
      <c r="G63" s="760">
        <f t="shared" si="5"/>
        <v>0</v>
      </c>
    </row>
    <row r="64" spans="1:7" ht="11.25" hidden="1" customHeight="1" x14ac:dyDescent="0.25">
      <c r="A64" s="761" t="s">
        <v>763</v>
      </c>
      <c r="B64" s="758">
        <v>0</v>
      </c>
      <c r="C64" s="758">
        <v>22322283.32</v>
      </c>
      <c r="D64" s="758"/>
      <c r="E64" s="759">
        <f t="shared" si="3"/>
        <v>1</v>
      </c>
      <c r="F64" s="760">
        <f t="shared" si="4"/>
        <v>0</v>
      </c>
      <c r="G64" s="760">
        <f t="shared" si="5"/>
        <v>0</v>
      </c>
    </row>
    <row r="65" spans="1:7" ht="11.25" hidden="1" customHeight="1" x14ac:dyDescent="0.25">
      <c r="A65" s="761" t="s">
        <v>764</v>
      </c>
      <c r="B65" s="758">
        <v>0</v>
      </c>
      <c r="C65" s="758">
        <v>11765897.09</v>
      </c>
      <c r="D65" s="758"/>
      <c r="E65" s="759">
        <f t="shared" si="3"/>
        <v>1</v>
      </c>
      <c r="F65" s="760">
        <f t="shared" si="4"/>
        <v>0</v>
      </c>
      <c r="G65" s="760">
        <f t="shared" si="5"/>
        <v>0</v>
      </c>
    </row>
    <row r="66" spans="1:7" ht="11.25" hidden="1" customHeight="1" x14ac:dyDescent="0.25">
      <c r="A66" s="757" t="s">
        <v>765</v>
      </c>
      <c r="B66" s="758">
        <v>686507.36</v>
      </c>
      <c r="C66" s="758">
        <v>31538340.210000001</v>
      </c>
      <c r="D66" s="758"/>
      <c r="E66" s="759">
        <f t="shared" si="3"/>
        <v>0.97869633489999996</v>
      </c>
      <c r="F66" s="760">
        <f t="shared" si="4"/>
        <v>0</v>
      </c>
      <c r="G66" s="760">
        <f t="shared" si="5"/>
        <v>0</v>
      </c>
    </row>
    <row r="67" spans="1:7" ht="11.25" hidden="1" customHeight="1" x14ac:dyDescent="0.25">
      <c r="A67" s="761" t="s">
        <v>766</v>
      </c>
      <c r="B67" s="758">
        <v>0</v>
      </c>
      <c r="C67" s="758">
        <v>35916951.880000003</v>
      </c>
      <c r="D67" s="758"/>
      <c r="E67" s="759">
        <f t="shared" si="3"/>
        <v>1</v>
      </c>
      <c r="F67" s="760">
        <f t="shared" si="4"/>
        <v>0</v>
      </c>
      <c r="G67" s="760">
        <f t="shared" si="5"/>
        <v>0</v>
      </c>
    </row>
    <row r="68" spans="1:7" ht="11.25" hidden="1" customHeight="1" x14ac:dyDescent="0.25">
      <c r="A68" s="761" t="s">
        <v>767</v>
      </c>
      <c r="B68" s="758">
        <v>0</v>
      </c>
      <c r="C68" s="758">
        <v>17818141.32</v>
      </c>
      <c r="D68" s="758"/>
      <c r="E68" s="759">
        <f t="shared" si="3"/>
        <v>1</v>
      </c>
      <c r="F68" s="760">
        <f t="shared" si="4"/>
        <v>0</v>
      </c>
      <c r="G68" s="760">
        <f t="shared" si="5"/>
        <v>0</v>
      </c>
    </row>
    <row r="69" spans="1:7" ht="11.25" hidden="1" customHeight="1" x14ac:dyDescent="0.25">
      <c r="A69" s="761" t="s">
        <v>768</v>
      </c>
      <c r="B69" s="758">
        <v>0</v>
      </c>
      <c r="C69" s="758">
        <v>37320067.670000002</v>
      </c>
      <c r="D69" s="758"/>
      <c r="E69" s="759">
        <f t="shared" si="3"/>
        <v>1</v>
      </c>
      <c r="F69" s="760">
        <f t="shared" si="4"/>
        <v>0</v>
      </c>
      <c r="G69" s="760">
        <f t="shared" si="5"/>
        <v>0</v>
      </c>
    </row>
    <row r="70" spans="1:7" ht="11.25" hidden="1" customHeight="1" x14ac:dyDescent="0.25">
      <c r="A70" s="761" t="s">
        <v>769</v>
      </c>
      <c r="B70" s="758">
        <v>0</v>
      </c>
      <c r="C70" s="758">
        <v>29342340.940000001</v>
      </c>
      <c r="D70" s="758"/>
      <c r="E70" s="759">
        <f t="shared" si="3"/>
        <v>1</v>
      </c>
      <c r="F70" s="760">
        <f t="shared" si="4"/>
        <v>0</v>
      </c>
      <c r="G70" s="760">
        <f t="shared" si="5"/>
        <v>0</v>
      </c>
    </row>
    <row r="71" spans="1:7" ht="11.25" hidden="1" customHeight="1" x14ac:dyDescent="0.25">
      <c r="A71" s="761" t="s">
        <v>770</v>
      </c>
      <c r="B71" s="758">
        <v>0</v>
      </c>
      <c r="C71" s="758">
        <v>22845232.620000001</v>
      </c>
      <c r="D71" s="758"/>
      <c r="E71" s="759">
        <f t="shared" si="3"/>
        <v>1</v>
      </c>
      <c r="F71" s="760">
        <f t="shared" si="4"/>
        <v>0</v>
      </c>
      <c r="G71" s="760">
        <f t="shared" si="5"/>
        <v>0</v>
      </c>
    </row>
    <row r="72" spans="1:7" ht="11.25" hidden="1" customHeight="1" x14ac:dyDescent="0.25">
      <c r="A72" s="761" t="s">
        <v>771</v>
      </c>
      <c r="B72" s="758">
        <v>0</v>
      </c>
      <c r="C72" s="758">
        <v>16657444.699999999</v>
      </c>
      <c r="D72" s="758"/>
      <c r="E72" s="759">
        <f t="shared" si="3"/>
        <v>1</v>
      </c>
      <c r="F72" s="760">
        <f t="shared" si="4"/>
        <v>0</v>
      </c>
      <c r="G72" s="760">
        <f t="shared" si="5"/>
        <v>0</v>
      </c>
    </row>
    <row r="73" spans="1:7" ht="11.25" hidden="1" customHeight="1" x14ac:dyDescent="0.25">
      <c r="A73" s="761" t="s">
        <v>772</v>
      </c>
      <c r="B73" s="758">
        <v>0</v>
      </c>
      <c r="C73" s="758">
        <v>15857628.279999999</v>
      </c>
      <c r="D73" s="758"/>
      <c r="E73" s="759">
        <f t="shared" si="3"/>
        <v>1</v>
      </c>
      <c r="F73" s="760">
        <f t="shared" si="4"/>
        <v>0</v>
      </c>
      <c r="G73" s="760">
        <f t="shared" si="5"/>
        <v>0</v>
      </c>
    </row>
    <row r="74" spans="1:7" ht="11.25" hidden="1" customHeight="1" x14ac:dyDescent="0.25">
      <c r="A74" s="761" t="s">
        <v>773</v>
      </c>
      <c r="B74" s="758">
        <v>0</v>
      </c>
      <c r="C74" s="758">
        <v>35272213.920000002</v>
      </c>
      <c r="D74" s="758"/>
      <c r="E74" s="759">
        <f t="shared" si="3"/>
        <v>1</v>
      </c>
      <c r="F74" s="760">
        <f t="shared" si="4"/>
        <v>0</v>
      </c>
      <c r="G74" s="760">
        <f t="shared" si="5"/>
        <v>0</v>
      </c>
    </row>
    <row r="75" spans="1:7" ht="11.25" hidden="1" customHeight="1" x14ac:dyDescent="0.25">
      <c r="A75" s="761" t="s">
        <v>774</v>
      </c>
      <c r="B75" s="758">
        <v>0</v>
      </c>
      <c r="C75" s="758">
        <v>22120531.82</v>
      </c>
      <c r="D75" s="758"/>
      <c r="E75" s="759">
        <f t="shared" si="3"/>
        <v>1</v>
      </c>
      <c r="F75" s="760">
        <f t="shared" si="4"/>
        <v>0</v>
      </c>
      <c r="G75" s="760">
        <f t="shared" si="5"/>
        <v>0</v>
      </c>
    </row>
    <row r="76" spans="1:7" ht="11.25" hidden="1" customHeight="1" x14ac:dyDescent="0.25">
      <c r="A76" s="761" t="s">
        <v>775</v>
      </c>
      <c r="B76" s="758">
        <v>0</v>
      </c>
      <c r="C76" s="758">
        <v>18101958.760000002</v>
      </c>
      <c r="D76" s="758"/>
      <c r="E76" s="759">
        <f t="shared" si="3"/>
        <v>1</v>
      </c>
      <c r="F76" s="760">
        <f t="shared" si="4"/>
        <v>0</v>
      </c>
      <c r="G76" s="760">
        <f t="shared" si="5"/>
        <v>0</v>
      </c>
    </row>
    <row r="77" spans="1:7" ht="11.25" hidden="1" customHeight="1" x14ac:dyDescent="0.25">
      <c r="A77" s="757" t="s">
        <v>776</v>
      </c>
      <c r="B77" s="758">
        <v>870310</v>
      </c>
      <c r="C77" s="758">
        <v>50805272.579999998</v>
      </c>
      <c r="D77" s="758"/>
      <c r="E77" s="759">
        <f t="shared" si="3"/>
        <v>0.98315819660000003</v>
      </c>
      <c r="F77" s="760">
        <f t="shared" si="4"/>
        <v>0</v>
      </c>
      <c r="G77" s="760">
        <f t="shared" si="5"/>
        <v>0</v>
      </c>
    </row>
    <row r="78" spans="1:7" ht="11.25" hidden="1" customHeight="1" x14ac:dyDescent="0.25">
      <c r="A78" s="761" t="s">
        <v>777</v>
      </c>
      <c r="B78" s="758">
        <v>0</v>
      </c>
      <c r="C78" s="758">
        <v>26501511.16</v>
      </c>
      <c r="D78" s="758"/>
      <c r="E78" s="759">
        <f t="shared" si="3"/>
        <v>1</v>
      </c>
      <c r="F78" s="760">
        <f t="shared" si="4"/>
        <v>0</v>
      </c>
      <c r="G78" s="760">
        <f t="shared" si="5"/>
        <v>0</v>
      </c>
    </row>
    <row r="79" spans="1:7" ht="11.25" hidden="1" customHeight="1" x14ac:dyDescent="0.25">
      <c r="A79" s="757" t="s">
        <v>778</v>
      </c>
      <c r="B79" s="758">
        <v>823470</v>
      </c>
      <c r="C79" s="758">
        <v>13793408.880000001</v>
      </c>
      <c r="D79" s="758"/>
      <c r="E79" s="759">
        <f t="shared" si="3"/>
        <v>0.94366307559999996</v>
      </c>
      <c r="F79" s="760">
        <f t="shared" si="4"/>
        <v>0</v>
      </c>
      <c r="G79" s="760">
        <f t="shared" si="5"/>
        <v>0</v>
      </c>
    </row>
    <row r="80" spans="1:7" ht="11.25" hidden="1" customHeight="1" x14ac:dyDescent="0.25">
      <c r="A80" s="761" t="s">
        <v>779</v>
      </c>
      <c r="B80" s="758">
        <v>0</v>
      </c>
      <c r="C80" s="758">
        <v>22106827.780000001</v>
      </c>
      <c r="D80" s="758"/>
      <c r="E80" s="759">
        <f t="shared" si="3"/>
        <v>1</v>
      </c>
      <c r="F80" s="760">
        <f t="shared" si="4"/>
        <v>0</v>
      </c>
      <c r="G80" s="760">
        <f t="shared" si="5"/>
        <v>0</v>
      </c>
    </row>
    <row r="81" spans="1:7" ht="11.25" hidden="1" customHeight="1" x14ac:dyDescent="0.25">
      <c r="A81" s="761" t="s">
        <v>780</v>
      </c>
      <c r="B81" s="758">
        <v>0</v>
      </c>
      <c r="C81" s="758">
        <v>7868692.9500000002</v>
      </c>
      <c r="D81" s="758"/>
      <c r="E81" s="759">
        <f t="shared" si="3"/>
        <v>1</v>
      </c>
      <c r="F81" s="760">
        <f t="shared" si="4"/>
        <v>0</v>
      </c>
      <c r="G81" s="760">
        <f t="shared" si="5"/>
        <v>0</v>
      </c>
    </row>
    <row r="82" spans="1:7" ht="11.25" hidden="1" customHeight="1" x14ac:dyDescent="0.25">
      <c r="A82" s="761" t="s">
        <v>781</v>
      </c>
      <c r="B82" s="758">
        <v>0</v>
      </c>
      <c r="C82" s="758">
        <v>15688860.710000001</v>
      </c>
      <c r="D82" s="758"/>
      <c r="E82" s="759">
        <f t="shared" si="3"/>
        <v>1</v>
      </c>
      <c r="F82" s="760">
        <f t="shared" si="4"/>
        <v>0</v>
      </c>
      <c r="G82" s="760">
        <f t="shared" si="5"/>
        <v>0</v>
      </c>
    </row>
    <row r="83" spans="1:7" ht="11.25" hidden="1" customHeight="1" x14ac:dyDescent="0.25">
      <c r="A83" s="761" t="s">
        <v>782</v>
      </c>
      <c r="B83" s="758">
        <v>0</v>
      </c>
      <c r="C83" s="758">
        <v>23232878.66</v>
      </c>
      <c r="D83" s="758"/>
      <c r="E83" s="759">
        <f t="shared" si="3"/>
        <v>1</v>
      </c>
      <c r="F83" s="760">
        <f t="shared" si="4"/>
        <v>0</v>
      </c>
      <c r="G83" s="760">
        <f t="shared" si="5"/>
        <v>0</v>
      </c>
    </row>
    <row r="84" spans="1:7" ht="11.25" hidden="1" customHeight="1" x14ac:dyDescent="0.25">
      <c r="A84" s="761" t="s">
        <v>783</v>
      </c>
      <c r="B84" s="758">
        <v>243187.75</v>
      </c>
      <c r="C84" s="758">
        <v>16107912.1</v>
      </c>
      <c r="D84" s="758"/>
      <c r="E84" s="759">
        <f t="shared" si="3"/>
        <v>0.98512713200000002</v>
      </c>
      <c r="F84" s="760">
        <f t="shared" si="4"/>
        <v>0</v>
      </c>
      <c r="G84" s="760">
        <f t="shared" si="5"/>
        <v>0</v>
      </c>
    </row>
    <row r="85" spans="1:7" ht="11.25" hidden="1" customHeight="1" x14ac:dyDescent="0.25">
      <c r="A85" s="761" t="s">
        <v>784</v>
      </c>
      <c r="B85" s="758">
        <v>0</v>
      </c>
      <c r="C85" s="758">
        <v>16908240.34</v>
      </c>
      <c r="D85" s="758"/>
      <c r="E85" s="759">
        <f t="shared" si="3"/>
        <v>1</v>
      </c>
      <c r="F85" s="760">
        <f t="shared" si="4"/>
        <v>0</v>
      </c>
      <c r="G85" s="760">
        <f t="shared" si="5"/>
        <v>0</v>
      </c>
    </row>
    <row r="86" spans="1:7" ht="11.25" hidden="1" customHeight="1" x14ac:dyDescent="0.25">
      <c r="A86" s="761" t="s">
        <v>785</v>
      </c>
      <c r="B86" s="758">
        <v>0</v>
      </c>
      <c r="C86" s="758">
        <v>16088015.439999999</v>
      </c>
      <c r="D86" s="758"/>
      <c r="E86" s="759">
        <f t="shared" si="3"/>
        <v>1</v>
      </c>
      <c r="F86" s="760">
        <f t="shared" si="4"/>
        <v>0</v>
      </c>
      <c r="G86" s="760">
        <f t="shared" si="5"/>
        <v>0</v>
      </c>
    </row>
    <row r="87" spans="1:7" ht="11.25" hidden="1" customHeight="1" x14ac:dyDescent="0.25">
      <c r="A87" s="757" t="s">
        <v>786</v>
      </c>
      <c r="B87" s="758">
        <v>151584.68</v>
      </c>
      <c r="C87" s="758">
        <v>41053836.829999998</v>
      </c>
      <c r="D87" s="758"/>
      <c r="E87" s="759">
        <f t="shared" si="3"/>
        <v>0.99632124430000002</v>
      </c>
      <c r="F87" s="760">
        <f t="shared" si="4"/>
        <v>0</v>
      </c>
      <c r="G87" s="760">
        <f t="shared" si="5"/>
        <v>0</v>
      </c>
    </row>
    <row r="88" spans="1:7" ht="11.25" hidden="1" customHeight="1" x14ac:dyDescent="0.25">
      <c r="A88" s="757" t="s">
        <v>787</v>
      </c>
      <c r="B88" s="758">
        <v>71225.710000000006</v>
      </c>
      <c r="C88" s="758">
        <v>10239034.16</v>
      </c>
      <c r="D88" s="758"/>
      <c r="E88" s="759">
        <f t="shared" si="3"/>
        <v>0.99309176379999997</v>
      </c>
      <c r="F88" s="760">
        <f t="shared" si="4"/>
        <v>0</v>
      </c>
      <c r="G88" s="760">
        <f t="shared" si="5"/>
        <v>0</v>
      </c>
    </row>
    <row r="89" spans="1:7" ht="11.25" hidden="1" customHeight="1" x14ac:dyDescent="0.25">
      <c r="A89" s="761" t="s">
        <v>788</v>
      </c>
      <c r="B89" s="758">
        <v>0</v>
      </c>
      <c r="C89" s="758">
        <v>32824055.969999999</v>
      </c>
      <c r="D89" s="758"/>
      <c r="E89" s="759">
        <f t="shared" si="3"/>
        <v>1</v>
      </c>
      <c r="F89" s="760">
        <f t="shared" si="4"/>
        <v>0</v>
      </c>
      <c r="G89" s="760">
        <f t="shared" si="5"/>
        <v>0</v>
      </c>
    </row>
    <row r="90" spans="1:7" ht="11.25" hidden="1" customHeight="1" x14ac:dyDescent="0.25">
      <c r="A90" s="757" t="s">
        <v>789</v>
      </c>
      <c r="B90" s="758">
        <v>102359.53</v>
      </c>
      <c r="C90" s="758">
        <v>31175105.579999998</v>
      </c>
      <c r="D90" s="758"/>
      <c r="E90" s="759">
        <f t="shared" si="3"/>
        <v>0.9967273713</v>
      </c>
      <c r="F90" s="760">
        <f t="shared" si="4"/>
        <v>0</v>
      </c>
      <c r="G90" s="760">
        <f t="shared" si="5"/>
        <v>0</v>
      </c>
    </row>
    <row r="91" spans="1:7" ht="11.25" hidden="1" customHeight="1" x14ac:dyDescent="0.25">
      <c r="A91" s="761" t="s">
        <v>790</v>
      </c>
      <c r="B91" s="758">
        <v>0</v>
      </c>
      <c r="C91" s="758">
        <v>15898251.060000001</v>
      </c>
      <c r="D91" s="758"/>
      <c r="E91" s="759">
        <f t="shared" si="3"/>
        <v>1</v>
      </c>
      <c r="F91" s="760">
        <f t="shared" si="4"/>
        <v>0</v>
      </c>
      <c r="G91" s="760">
        <f t="shared" si="5"/>
        <v>0</v>
      </c>
    </row>
    <row r="92" spans="1:7" ht="11.25" hidden="1" customHeight="1" x14ac:dyDescent="0.25">
      <c r="A92" s="761" t="s">
        <v>791</v>
      </c>
      <c r="B92" s="758">
        <v>0</v>
      </c>
      <c r="C92" s="758">
        <v>30979984.43</v>
      </c>
      <c r="D92" s="758"/>
      <c r="E92" s="759">
        <f t="shared" si="3"/>
        <v>1</v>
      </c>
      <c r="F92" s="760">
        <f t="shared" si="4"/>
        <v>0</v>
      </c>
      <c r="G92" s="760">
        <f t="shared" si="5"/>
        <v>0</v>
      </c>
    </row>
    <row r="93" spans="1:7" ht="11.25" hidden="1" customHeight="1" x14ac:dyDescent="0.25">
      <c r="A93" s="761" t="s">
        <v>792</v>
      </c>
      <c r="B93" s="758">
        <v>0</v>
      </c>
      <c r="C93" s="758">
        <v>17982967.41</v>
      </c>
      <c r="D93" s="758"/>
      <c r="E93" s="759">
        <f t="shared" si="3"/>
        <v>1</v>
      </c>
      <c r="F93" s="760">
        <f t="shared" si="4"/>
        <v>0</v>
      </c>
      <c r="G93" s="760">
        <f t="shared" si="5"/>
        <v>0</v>
      </c>
    </row>
    <row r="94" spans="1:7" ht="11.25" hidden="1" customHeight="1" x14ac:dyDescent="0.25">
      <c r="A94" s="761" t="s">
        <v>793</v>
      </c>
      <c r="B94" s="758">
        <v>0</v>
      </c>
      <c r="C94" s="758">
        <v>31960930.870000001</v>
      </c>
      <c r="D94" s="758"/>
      <c r="E94" s="759">
        <f t="shared" si="3"/>
        <v>1</v>
      </c>
      <c r="F94" s="760">
        <f t="shared" si="4"/>
        <v>0</v>
      </c>
      <c r="G94" s="760">
        <f t="shared" si="5"/>
        <v>0</v>
      </c>
    </row>
    <row r="95" spans="1:7" ht="11.25" hidden="1" customHeight="1" x14ac:dyDescent="0.25">
      <c r="A95" s="761" t="s">
        <v>794</v>
      </c>
      <c r="B95" s="758">
        <v>0</v>
      </c>
      <c r="C95" s="758">
        <v>34222706.299999997</v>
      </c>
      <c r="D95" s="758"/>
      <c r="E95" s="759">
        <f t="shared" si="3"/>
        <v>1</v>
      </c>
      <c r="F95" s="760">
        <f t="shared" si="4"/>
        <v>0</v>
      </c>
      <c r="G95" s="760">
        <f t="shared" si="5"/>
        <v>0</v>
      </c>
    </row>
    <row r="96" spans="1:7" ht="11.25" hidden="1" customHeight="1" x14ac:dyDescent="0.25">
      <c r="A96" s="761" t="s">
        <v>795</v>
      </c>
      <c r="B96" s="758">
        <v>0</v>
      </c>
      <c r="C96" s="758">
        <v>54215723.520000003</v>
      </c>
      <c r="D96" s="758"/>
      <c r="E96" s="759">
        <f t="shared" si="3"/>
        <v>1</v>
      </c>
      <c r="F96" s="760">
        <f t="shared" si="4"/>
        <v>0</v>
      </c>
      <c r="G96" s="760">
        <f t="shared" si="5"/>
        <v>0</v>
      </c>
    </row>
    <row r="97" spans="1:7" ht="11.25" hidden="1" customHeight="1" x14ac:dyDescent="0.25">
      <c r="A97" s="757" t="s">
        <v>796</v>
      </c>
      <c r="B97" s="758">
        <v>592316</v>
      </c>
      <c r="C97" s="758">
        <v>36394188.549999997</v>
      </c>
      <c r="D97" s="758"/>
      <c r="E97" s="759">
        <f t="shared" si="3"/>
        <v>0.98398561829999998</v>
      </c>
      <c r="F97" s="760">
        <f t="shared" si="4"/>
        <v>0</v>
      </c>
      <c r="G97" s="760">
        <f t="shared" si="5"/>
        <v>0</v>
      </c>
    </row>
    <row r="98" spans="1:7" ht="12.75" hidden="1" customHeight="1" x14ac:dyDescent="0.25">
      <c r="A98" s="762" t="s">
        <v>50</v>
      </c>
      <c r="B98" s="763">
        <f>SUM(B41:B97)</f>
        <v>3588405.03</v>
      </c>
      <c r="C98" s="763">
        <f>SUM(C41:C97)</f>
        <v>1362174461.3299999</v>
      </c>
      <c r="D98" s="763">
        <f>SUM(D41:D97)</f>
        <v>0</v>
      </c>
      <c r="E98" s="759">
        <f t="shared" si="3"/>
        <v>0.99737260019999996</v>
      </c>
      <c r="F98" s="763">
        <f>SUM(F41:F97)</f>
        <v>0</v>
      </c>
      <c r="G98" s="763">
        <f>SUM(G41:G97)</f>
        <v>0</v>
      </c>
    </row>
    <row r="99" spans="1:7" hidden="1" x14ac:dyDescent="0.25">
      <c r="B99" s="363"/>
      <c r="C99" s="363">
        <v>1362174461.3299999</v>
      </c>
      <c r="D99" s="363"/>
      <c r="E99" s="364"/>
      <c r="F99" s="363"/>
      <c r="G99" s="363"/>
    </row>
    <row r="100" spans="1:7" hidden="1" x14ac:dyDescent="0.25">
      <c r="B100" s="365"/>
      <c r="C100" s="365">
        <f>C98-C99</f>
        <v>0</v>
      </c>
      <c r="D100" s="365"/>
      <c r="E100" s="364"/>
      <c r="F100" s="365"/>
      <c r="G100" s="365"/>
    </row>
    <row r="101" spans="1:7" ht="11.25" customHeight="1" x14ac:dyDescent="0.25">
      <c r="A101" s="757" t="s">
        <v>48</v>
      </c>
      <c r="B101" s="758">
        <v>1135218.21</v>
      </c>
      <c r="C101" s="758">
        <v>59343645.020000003</v>
      </c>
      <c r="D101" s="758"/>
      <c r="E101" s="759">
        <f t="shared" ref="E101:E106" si="6">IF(B101=0,1,C101/(B101+C101))</f>
        <v>0.98122950480000004</v>
      </c>
      <c r="F101" s="760">
        <f>D101*E101</f>
        <v>0</v>
      </c>
      <c r="G101" s="760">
        <f>D101-F101</f>
        <v>0</v>
      </c>
    </row>
    <row r="102" spans="1:7" ht="11.25" customHeight="1" x14ac:dyDescent="0.25">
      <c r="A102" s="761" t="s">
        <v>62</v>
      </c>
      <c r="B102" s="758">
        <v>0</v>
      </c>
      <c r="C102" s="758">
        <v>11564988.49</v>
      </c>
      <c r="D102" s="758"/>
      <c r="E102" s="759">
        <f>IF(B102=0,1,C102/(B102+C102))</f>
        <v>1</v>
      </c>
      <c r="F102" s="760">
        <f>D102*E102</f>
        <v>0</v>
      </c>
      <c r="G102" s="760">
        <f>D102-F102</f>
        <v>0</v>
      </c>
    </row>
    <row r="103" spans="1:7" ht="11.25" customHeight="1" x14ac:dyDescent="0.25">
      <c r="A103" s="761" t="s">
        <v>627</v>
      </c>
      <c r="B103" s="758">
        <v>0</v>
      </c>
      <c r="C103" s="758">
        <v>5309238.3600000003</v>
      </c>
      <c r="D103" s="758"/>
      <c r="E103" s="759">
        <f t="shared" ref="E103" si="7">IF(B103=0,1,C103/(B103+C103))</f>
        <v>1</v>
      </c>
      <c r="F103" s="760">
        <f>D103*E103</f>
        <v>0</v>
      </c>
      <c r="G103" s="760">
        <f>D103-F103</f>
        <v>0</v>
      </c>
    </row>
    <row r="104" spans="1:7" ht="11.25" customHeight="1" x14ac:dyDescent="0.25">
      <c r="A104" s="757" t="s">
        <v>49</v>
      </c>
      <c r="B104" s="758">
        <v>1746740</v>
      </c>
      <c r="C104" s="758">
        <v>39033743.469999999</v>
      </c>
      <c r="D104" s="758"/>
      <c r="E104" s="759">
        <f>IF(B104=0,1,C104/(B104+C104))</f>
        <v>0.95716725619999998</v>
      </c>
      <c r="F104" s="760">
        <f>D104*E104</f>
        <v>0</v>
      </c>
      <c r="G104" s="760">
        <f>D104-F104</f>
        <v>0</v>
      </c>
    </row>
    <row r="105" spans="1:7" ht="11.25" customHeight="1" x14ac:dyDescent="0.25">
      <c r="A105" s="761" t="s">
        <v>502</v>
      </c>
      <c r="B105" s="758">
        <v>0</v>
      </c>
      <c r="C105" s="758">
        <v>37700422.25</v>
      </c>
      <c r="D105" s="758"/>
      <c r="E105" s="759">
        <f>IF(B105=0,1,C105/(B105+C105))</f>
        <v>1</v>
      </c>
      <c r="F105" s="760">
        <f>D105*E105</f>
        <v>0</v>
      </c>
      <c r="G105" s="760">
        <f>D105-F105</f>
        <v>0</v>
      </c>
    </row>
    <row r="106" spans="1:7" ht="12.75" customHeight="1" x14ac:dyDescent="0.25">
      <c r="A106" s="762" t="s">
        <v>50</v>
      </c>
      <c r="B106" s="763">
        <f>SUM(B101:B105)</f>
        <v>2881958.21</v>
      </c>
      <c r="C106" s="763">
        <f>SUM(C101:C105)</f>
        <v>152952037.59</v>
      </c>
      <c r="D106" s="763">
        <f>SUM(D101:D105)</f>
        <v>0</v>
      </c>
      <c r="E106" s="759">
        <f t="shared" si="6"/>
        <v>0.98150622909999996</v>
      </c>
      <c r="F106" s="763">
        <f>SUM(F101:F105)</f>
        <v>0</v>
      </c>
      <c r="G106" s="763">
        <f>SUM(G101:G105)</f>
        <v>0</v>
      </c>
    </row>
    <row r="107" spans="1:7" x14ac:dyDescent="0.25">
      <c r="B107" s="363"/>
      <c r="C107" s="363">
        <v>152952037.59</v>
      </c>
      <c r="D107" s="363"/>
      <c r="E107" s="364"/>
      <c r="F107" s="363"/>
      <c r="G107" s="363"/>
    </row>
    <row r="108" spans="1:7" hidden="1" x14ac:dyDescent="0.25">
      <c r="B108" s="365">
        <f>B106-B107</f>
        <v>2881958.21</v>
      </c>
      <c r="C108" s="365">
        <f>C106-C107</f>
        <v>0</v>
      </c>
      <c r="D108" s="365">
        <f>D106-D107</f>
        <v>0</v>
      </c>
      <c r="E108" s="364"/>
      <c r="F108" s="365"/>
      <c r="G108" s="365"/>
    </row>
    <row r="109" spans="1:7" hidden="1" x14ac:dyDescent="0.25">
      <c r="A109" s="761" t="s">
        <v>691</v>
      </c>
      <c r="B109" s="758">
        <v>0</v>
      </c>
      <c r="C109" s="758">
        <v>6493927.9800000004</v>
      </c>
      <c r="D109" s="758"/>
      <c r="E109" s="759">
        <f>IF(B109=0,1,C109/(B109+C109))</f>
        <v>1</v>
      </c>
      <c r="F109" s="760">
        <f>D109*E109</f>
        <v>0</v>
      </c>
      <c r="G109" s="760">
        <f>D109-F109</f>
        <v>0</v>
      </c>
    </row>
    <row r="110" spans="1:7" ht="12.75" hidden="1" x14ac:dyDescent="0.25">
      <c r="A110" s="762" t="s">
        <v>648</v>
      </c>
      <c r="B110" s="763">
        <f>B38+B98+B106+B109</f>
        <v>44224432.909999996</v>
      </c>
      <c r="C110" s="763">
        <f>C38+C98+C106+C109</f>
        <v>2863558073.5100002</v>
      </c>
      <c r="D110" s="763">
        <f>D38+D98+D106+D109</f>
        <v>0</v>
      </c>
      <c r="E110" s="759">
        <f>IF(B110=0,1,C110/(B110+C110))</f>
        <v>0.98479101069999997</v>
      </c>
      <c r="F110" s="763">
        <f>F38+F98+F106+F109</f>
        <v>0</v>
      </c>
      <c r="G110" s="763">
        <f>G38+G98+G106+G109</f>
        <v>0</v>
      </c>
    </row>
    <row r="111" spans="1:7" hidden="1" x14ac:dyDescent="0.25">
      <c r="B111" s="363"/>
      <c r="C111" s="363">
        <v>2863558073.5100002</v>
      </c>
      <c r="D111" s="363"/>
      <c r="E111" s="363"/>
      <c r="F111" s="363"/>
      <c r="G111" s="363"/>
    </row>
    <row r="112" spans="1:7" hidden="1" x14ac:dyDescent="0.25">
      <c r="C112" s="365">
        <f>C110-C111</f>
        <v>0</v>
      </c>
    </row>
  </sheetData>
  <mergeCells count="7">
    <mergeCell ref="G4:G5"/>
    <mergeCell ref="A4:A5"/>
    <mergeCell ref="B4:B5"/>
    <mergeCell ref="C4:C5"/>
    <mergeCell ref="D4:D5"/>
    <mergeCell ref="E4:E5"/>
    <mergeCell ref="F4:F5"/>
  </mergeCells>
  <pageMargins left="0.75" right="0.75" top="1" bottom="1" header="0.5" footer="0.5"/>
  <pageSetup paperSize="9" scale="70" orientation="portrait" horizontalDpi="120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4EADE-6EA8-44A1-A690-5AFABF7E4F6C}">
  <sheetPr>
    <tabColor rgb="FF92D050"/>
  </sheetPr>
  <dimension ref="A2:I5"/>
  <sheetViews>
    <sheetView view="pageBreakPreview" zoomScaleNormal="100" zoomScaleSheetLayoutView="100" workbookViewId="0">
      <selection activeCell="B5" sqref="B5"/>
    </sheetView>
  </sheetViews>
  <sheetFormatPr defaultRowHeight="15" x14ac:dyDescent="0.25"/>
  <cols>
    <col min="1" max="1" width="14" style="1" customWidth="1"/>
    <col min="2" max="2" width="14.28515625" style="1" customWidth="1"/>
    <col min="3" max="3" width="15.5703125" style="1" customWidth="1"/>
    <col min="4" max="4" width="15" style="1" customWidth="1"/>
    <col min="5" max="5" width="16.140625" style="1" customWidth="1"/>
    <col min="6" max="6" width="13.7109375" style="1" customWidth="1"/>
    <col min="7" max="7" width="15.85546875" style="1" customWidth="1"/>
    <col min="8" max="8" width="14" style="1" customWidth="1"/>
    <col min="9" max="9" width="13.140625" style="1" customWidth="1"/>
    <col min="10" max="256" width="9.140625" style="1"/>
    <col min="257" max="257" width="6.28515625" style="1" customWidth="1"/>
    <col min="258" max="258" width="14.28515625" style="1" customWidth="1"/>
    <col min="259" max="259" width="15.5703125" style="1" customWidth="1"/>
    <col min="260" max="260" width="15" style="1" customWidth="1"/>
    <col min="261" max="261" width="16.140625" style="1" customWidth="1"/>
    <col min="262" max="262" width="13.7109375" style="1" customWidth="1"/>
    <col min="263" max="263" width="15.85546875" style="1" customWidth="1"/>
    <col min="264" max="264" width="14" style="1" customWidth="1"/>
    <col min="265" max="512" width="9.140625" style="1"/>
    <col min="513" max="513" width="6.28515625" style="1" customWidth="1"/>
    <col min="514" max="514" width="14.28515625" style="1" customWidth="1"/>
    <col min="515" max="515" width="15.5703125" style="1" customWidth="1"/>
    <col min="516" max="516" width="15" style="1" customWidth="1"/>
    <col min="517" max="517" width="16.140625" style="1" customWidth="1"/>
    <col min="518" max="518" width="13.7109375" style="1" customWidth="1"/>
    <col min="519" max="519" width="15.85546875" style="1" customWidth="1"/>
    <col min="520" max="520" width="14" style="1" customWidth="1"/>
    <col min="521" max="768" width="9.140625" style="1"/>
    <col min="769" max="769" width="6.28515625" style="1" customWidth="1"/>
    <col min="770" max="770" width="14.28515625" style="1" customWidth="1"/>
    <col min="771" max="771" width="15.5703125" style="1" customWidth="1"/>
    <col min="772" max="772" width="15" style="1" customWidth="1"/>
    <col min="773" max="773" width="16.140625" style="1" customWidth="1"/>
    <col min="774" max="774" width="13.7109375" style="1" customWidth="1"/>
    <col min="775" max="775" width="15.85546875" style="1" customWidth="1"/>
    <col min="776" max="776" width="14" style="1" customWidth="1"/>
    <col min="777" max="1024" width="9.140625" style="1"/>
    <col min="1025" max="1025" width="6.28515625" style="1" customWidth="1"/>
    <col min="1026" max="1026" width="14.28515625" style="1" customWidth="1"/>
    <col min="1027" max="1027" width="15.5703125" style="1" customWidth="1"/>
    <col min="1028" max="1028" width="15" style="1" customWidth="1"/>
    <col min="1029" max="1029" width="16.140625" style="1" customWidth="1"/>
    <col min="1030" max="1030" width="13.7109375" style="1" customWidth="1"/>
    <col min="1031" max="1031" width="15.85546875" style="1" customWidth="1"/>
    <col min="1032" max="1032" width="14" style="1" customWidth="1"/>
    <col min="1033" max="1280" width="9.140625" style="1"/>
    <col min="1281" max="1281" width="6.28515625" style="1" customWidth="1"/>
    <col min="1282" max="1282" width="14.28515625" style="1" customWidth="1"/>
    <col min="1283" max="1283" width="15.5703125" style="1" customWidth="1"/>
    <col min="1284" max="1284" width="15" style="1" customWidth="1"/>
    <col min="1285" max="1285" width="16.140625" style="1" customWidth="1"/>
    <col min="1286" max="1286" width="13.7109375" style="1" customWidth="1"/>
    <col min="1287" max="1287" width="15.85546875" style="1" customWidth="1"/>
    <col min="1288" max="1288" width="14" style="1" customWidth="1"/>
    <col min="1289" max="1536" width="9.140625" style="1"/>
    <col min="1537" max="1537" width="6.28515625" style="1" customWidth="1"/>
    <col min="1538" max="1538" width="14.28515625" style="1" customWidth="1"/>
    <col min="1539" max="1539" width="15.5703125" style="1" customWidth="1"/>
    <col min="1540" max="1540" width="15" style="1" customWidth="1"/>
    <col min="1541" max="1541" width="16.140625" style="1" customWidth="1"/>
    <col min="1542" max="1542" width="13.7109375" style="1" customWidth="1"/>
    <col min="1543" max="1543" width="15.85546875" style="1" customWidth="1"/>
    <col min="1544" max="1544" width="14" style="1" customWidth="1"/>
    <col min="1545" max="1792" width="9.140625" style="1"/>
    <col min="1793" max="1793" width="6.28515625" style="1" customWidth="1"/>
    <col min="1794" max="1794" width="14.28515625" style="1" customWidth="1"/>
    <col min="1795" max="1795" width="15.5703125" style="1" customWidth="1"/>
    <col min="1796" max="1796" width="15" style="1" customWidth="1"/>
    <col min="1797" max="1797" width="16.140625" style="1" customWidth="1"/>
    <col min="1798" max="1798" width="13.7109375" style="1" customWidth="1"/>
    <col min="1799" max="1799" width="15.85546875" style="1" customWidth="1"/>
    <col min="1800" max="1800" width="14" style="1" customWidth="1"/>
    <col min="1801" max="2048" width="9.140625" style="1"/>
    <col min="2049" max="2049" width="6.28515625" style="1" customWidth="1"/>
    <col min="2050" max="2050" width="14.28515625" style="1" customWidth="1"/>
    <col min="2051" max="2051" width="15.5703125" style="1" customWidth="1"/>
    <col min="2052" max="2052" width="15" style="1" customWidth="1"/>
    <col min="2053" max="2053" width="16.140625" style="1" customWidth="1"/>
    <col min="2054" max="2054" width="13.7109375" style="1" customWidth="1"/>
    <col min="2055" max="2055" width="15.85546875" style="1" customWidth="1"/>
    <col min="2056" max="2056" width="14" style="1" customWidth="1"/>
    <col min="2057" max="2304" width="9.140625" style="1"/>
    <col min="2305" max="2305" width="6.28515625" style="1" customWidth="1"/>
    <col min="2306" max="2306" width="14.28515625" style="1" customWidth="1"/>
    <col min="2307" max="2307" width="15.5703125" style="1" customWidth="1"/>
    <col min="2308" max="2308" width="15" style="1" customWidth="1"/>
    <col min="2309" max="2309" width="16.140625" style="1" customWidth="1"/>
    <col min="2310" max="2310" width="13.7109375" style="1" customWidth="1"/>
    <col min="2311" max="2311" width="15.85546875" style="1" customWidth="1"/>
    <col min="2312" max="2312" width="14" style="1" customWidth="1"/>
    <col min="2313" max="2560" width="9.140625" style="1"/>
    <col min="2561" max="2561" width="6.28515625" style="1" customWidth="1"/>
    <col min="2562" max="2562" width="14.28515625" style="1" customWidth="1"/>
    <col min="2563" max="2563" width="15.5703125" style="1" customWidth="1"/>
    <col min="2564" max="2564" width="15" style="1" customWidth="1"/>
    <col min="2565" max="2565" width="16.140625" style="1" customWidth="1"/>
    <col min="2566" max="2566" width="13.7109375" style="1" customWidth="1"/>
    <col min="2567" max="2567" width="15.85546875" style="1" customWidth="1"/>
    <col min="2568" max="2568" width="14" style="1" customWidth="1"/>
    <col min="2569" max="2816" width="9.140625" style="1"/>
    <col min="2817" max="2817" width="6.28515625" style="1" customWidth="1"/>
    <col min="2818" max="2818" width="14.28515625" style="1" customWidth="1"/>
    <col min="2819" max="2819" width="15.5703125" style="1" customWidth="1"/>
    <col min="2820" max="2820" width="15" style="1" customWidth="1"/>
    <col min="2821" max="2821" width="16.140625" style="1" customWidth="1"/>
    <col min="2822" max="2822" width="13.7109375" style="1" customWidth="1"/>
    <col min="2823" max="2823" width="15.85546875" style="1" customWidth="1"/>
    <col min="2824" max="2824" width="14" style="1" customWidth="1"/>
    <col min="2825" max="3072" width="9.140625" style="1"/>
    <col min="3073" max="3073" width="6.28515625" style="1" customWidth="1"/>
    <col min="3074" max="3074" width="14.28515625" style="1" customWidth="1"/>
    <col min="3075" max="3075" width="15.5703125" style="1" customWidth="1"/>
    <col min="3076" max="3076" width="15" style="1" customWidth="1"/>
    <col min="3077" max="3077" width="16.140625" style="1" customWidth="1"/>
    <col min="3078" max="3078" width="13.7109375" style="1" customWidth="1"/>
    <col min="3079" max="3079" width="15.85546875" style="1" customWidth="1"/>
    <col min="3080" max="3080" width="14" style="1" customWidth="1"/>
    <col min="3081" max="3328" width="9.140625" style="1"/>
    <col min="3329" max="3329" width="6.28515625" style="1" customWidth="1"/>
    <col min="3330" max="3330" width="14.28515625" style="1" customWidth="1"/>
    <col min="3331" max="3331" width="15.5703125" style="1" customWidth="1"/>
    <col min="3332" max="3332" width="15" style="1" customWidth="1"/>
    <col min="3333" max="3333" width="16.140625" style="1" customWidth="1"/>
    <col min="3334" max="3334" width="13.7109375" style="1" customWidth="1"/>
    <col min="3335" max="3335" width="15.85546875" style="1" customWidth="1"/>
    <col min="3336" max="3336" width="14" style="1" customWidth="1"/>
    <col min="3337" max="3584" width="9.140625" style="1"/>
    <col min="3585" max="3585" width="6.28515625" style="1" customWidth="1"/>
    <col min="3586" max="3586" width="14.28515625" style="1" customWidth="1"/>
    <col min="3587" max="3587" width="15.5703125" style="1" customWidth="1"/>
    <col min="3588" max="3588" width="15" style="1" customWidth="1"/>
    <col min="3589" max="3589" width="16.140625" style="1" customWidth="1"/>
    <col min="3590" max="3590" width="13.7109375" style="1" customWidth="1"/>
    <col min="3591" max="3591" width="15.85546875" style="1" customWidth="1"/>
    <col min="3592" max="3592" width="14" style="1" customWidth="1"/>
    <col min="3593" max="3840" width="9.140625" style="1"/>
    <col min="3841" max="3841" width="6.28515625" style="1" customWidth="1"/>
    <col min="3842" max="3842" width="14.28515625" style="1" customWidth="1"/>
    <col min="3843" max="3843" width="15.5703125" style="1" customWidth="1"/>
    <col min="3844" max="3844" width="15" style="1" customWidth="1"/>
    <col min="3845" max="3845" width="16.140625" style="1" customWidth="1"/>
    <col min="3846" max="3846" width="13.7109375" style="1" customWidth="1"/>
    <col min="3847" max="3847" width="15.85546875" style="1" customWidth="1"/>
    <col min="3848" max="3848" width="14" style="1" customWidth="1"/>
    <col min="3849" max="4096" width="9.140625" style="1"/>
    <col min="4097" max="4097" width="6.28515625" style="1" customWidth="1"/>
    <col min="4098" max="4098" width="14.28515625" style="1" customWidth="1"/>
    <col min="4099" max="4099" width="15.5703125" style="1" customWidth="1"/>
    <col min="4100" max="4100" width="15" style="1" customWidth="1"/>
    <col min="4101" max="4101" width="16.140625" style="1" customWidth="1"/>
    <col min="4102" max="4102" width="13.7109375" style="1" customWidth="1"/>
    <col min="4103" max="4103" width="15.85546875" style="1" customWidth="1"/>
    <col min="4104" max="4104" width="14" style="1" customWidth="1"/>
    <col min="4105" max="4352" width="9.140625" style="1"/>
    <col min="4353" max="4353" width="6.28515625" style="1" customWidth="1"/>
    <col min="4354" max="4354" width="14.28515625" style="1" customWidth="1"/>
    <col min="4355" max="4355" width="15.5703125" style="1" customWidth="1"/>
    <col min="4356" max="4356" width="15" style="1" customWidth="1"/>
    <col min="4357" max="4357" width="16.140625" style="1" customWidth="1"/>
    <col min="4358" max="4358" width="13.7109375" style="1" customWidth="1"/>
    <col min="4359" max="4359" width="15.85546875" style="1" customWidth="1"/>
    <col min="4360" max="4360" width="14" style="1" customWidth="1"/>
    <col min="4361" max="4608" width="9.140625" style="1"/>
    <col min="4609" max="4609" width="6.28515625" style="1" customWidth="1"/>
    <col min="4610" max="4610" width="14.28515625" style="1" customWidth="1"/>
    <col min="4611" max="4611" width="15.5703125" style="1" customWidth="1"/>
    <col min="4612" max="4612" width="15" style="1" customWidth="1"/>
    <col min="4613" max="4613" width="16.140625" style="1" customWidth="1"/>
    <col min="4614" max="4614" width="13.7109375" style="1" customWidth="1"/>
    <col min="4615" max="4615" width="15.85546875" style="1" customWidth="1"/>
    <col min="4616" max="4616" width="14" style="1" customWidth="1"/>
    <col min="4617" max="4864" width="9.140625" style="1"/>
    <col min="4865" max="4865" width="6.28515625" style="1" customWidth="1"/>
    <col min="4866" max="4866" width="14.28515625" style="1" customWidth="1"/>
    <col min="4867" max="4867" width="15.5703125" style="1" customWidth="1"/>
    <col min="4868" max="4868" width="15" style="1" customWidth="1"/>
    <col min="4869" max="4869" width="16.140625" style="1" customWidth="1"/>
    <col min="4870" max="4870" width="13.7109375" style="1" customWidth="1"/>
    <col min="4871" max="4871" width="15.85546875" style="1" customWidth="1"/>
    <col min="4872" max="4872" width="14" style="1" customWidth="1"/>
    <col min="4873" max="5120" width="9.140625" style="1"/>
    <col min="5121" max="5121" width="6.28515625" style="1" customWidth="1"/>
    <col min="5122" max="5122" width="14.28515625" style="1" customWidth="1"/>
    <col min="5123" max="5123" width="15.5703125" style="1" customWidth="1"/>
    <col min="5124" max="5124" width="15" style="1" customWidth="1"/>
    <col min="5125" max="5125" width="16.140625" style="1" customWidth="1"/>
    <col min="5126" max="5126" width="13.7109375" style="1" customWidth="1"/>
    <col min="5127" max="5127" width="15.85546875" style="1" customWidth="1"/>
    <col min="5128" max="5128" width="14" style="1" customWidth="1"/>
    <col min="5129" max="5376" width="9.140625" style="1"/>
    <col min="5377" max="5377" width="6.28515625" style="1" customWidth="1"/>
    <col min="5378" max="5378" width="14.28515625" style="1" customWidth="1"/>
    <col min="5379" max="5379" width="15.5703125" style="1" customWidth="1"/>
    <col min="5380" max="5380" width="15" style="1" customWidth="1"/>
    <col min="5381" max="5381" width="16.140625" style="1" customWidth="1"/>
    <col min="5382" max="5382" width="13.7109375" style="1" customWidth="1"/>
    <col min="5383" max="5383" width="15.85546875" style="1" customWidth="1"/>
    <col min="5384" max="5384" width="14" style="1" customWidth="1"/>
    <col min="5385" max="5632" width="9.140625" style="1"/>
    <col min="5633" max="5633" width="6.28515625" style="1" customWidth="1"/>
    <col min="5634" max="5634" width="14.28515625" style="1" customWidth="1"/>
    <col min="5635" max="5635" width="15.5703125" style="1" customWidth="1"/>
    <col min="5636" max="5636" width="15" style="1" customWidth="1"/>
    <col min="5637" max="5637" width="16.140625" style="1" customWidth="1"/>
    <col min="5638" max="5638" width="13.7109375" style="1" customWidth="1"/>
    <col min="5639" max="5639" width="15.85546875" style="1" customWidth="1"/>
    <col min="5640" max="5640" width="14" style="1" customWidth="1"/>
    <col min="5641" max="5888" width="9.140625" style="1"/>
    <col min="5889" max="5889" width="6.28515625" style="1" customWidth="1"/>
    <col min="5890" max="5890" width="14.28515625" style="1" customWidth="1"/>
    <col min="5891" max="5891" width="15.5703125" style="1" customWidth="1"/>
    <col min="5892" max="5892" width="15" style="1" customWidth="1"/>
    <col min="5893" max="5893" width="16.140625" style="1" customWidth="1"/>
    <col min="5894" max="5894" width="13.7109375" style="1" customWidth="1"/>
    <col min="5895" max="5895" width="15.85546875" style="1" customWidth="1"/>
    <col min="5896" max="5896" width="14" style="1" customWidth="1"/>
    <col min="5897" max="6144" width="9.140625" style="1"/>
    <col min="6145" max="6145" width="6.28515625" style="1" customWidth="1"/>
    <col min="6146" max="6146" width="14.28515625" style="1" customWidth="1"/>
    <col min="6147" max="6147" width="15.5703125" style="1" customWidth="1"/>
    <col min="6148" max="6148" width="15" style="1" customWidth="1"/>
    <col min="6149" max="6149" width="16.140625" style="1" customWidth="1"/>
    <col min="6150" max="6150" width="13.7109375" style="1" customWidth="1"/>
    <col min="6151" max="6151" width="15.85546875" style="1" customWidth="1"/>
    <col min="6152" max="6152" width="14" style="1" customWidth="1"/>
    <col min="6153" max="6400" width="9.140625" style="1"/>
    <col min="6401" max="6401" width="6.28515625" style="1" customWidth="1"/>
    <col min="6402" max="6402" width="14.28515625" style="1" customWidth="1"/>
    <col min="6403" max="6403" width="15.5703125" style="1" customWidth="1"/>
    <col min="6404" max="6404" width="15" style="1" customWidth="1"/>
    <col min="6405" max="6405" width="16.140625" style="1" customWidth="1"/>
    <col min="6406" max="6406" width="13.7109375" style="1" customWidth="1"/>
    <col min="6407" max="6407" width="15.85546875" style="1" customWidth="1"/>
    <col min="6408" max="6408" width="14" style="1" customWidth="1"/>
    <col min="6409" max="6656" width="9.140625" style="1"/>
    <col min="6657" max="6657" width="6.28515625" style="1" customWidth="1"/>
    <col min="6658" max="6658" width="14.28515625" style="1" customWidth="1"/>
    <col min="6659" max="6659" width="15.5703125" style="1" customWidth="1"/>
    <col min="6660" max="6660" width="15" style="1" customWidth="1"/>
    <col min="6661" max="6661" width="16.140625" style="1" customWidth="1"/>
    <col min="6662" max="6662" width="13.7109375" style="1" customWidth="1"/>
    <col min="6663" max="6663" width="15.85546875" style="1" customWidth="1"/>
    <col min="6664" max="6664" width="14" style="1" customWidth="1"/>
    <col min="6665" max="6912" width="9.140625" style="1"/>
    <col min="6913" max="6913" width="6.28515625" style="1" customWidth="1"/>
    <col min="6914" max="6914" width="14.28515625" style="1" customWidth="1"/>
    <col min="6915" max="6915" width="15.5703125" style="1" customWidth="1"/>
    <col min="6916" max="6916" width="15" style="1" customWidth="1"/>
    <col min="6917" max="6917" width="16.140625" style="1" customWidth="1"/>
    <col min="6918" max="6918" width="13.7109375" style="1" customWidth="1"/>
    <col min="6919" max="6919" width="15.85546875" style="1" customWidth="1"/>
    <col min="6920" max="6920" width="14" style="1" customWidth="1"/>
    <col min="6921" max="7168" width="9.140625" style="1"/>
    <col min="7169" max="7169" width="6.28515625" style="1" customWidth="1"/>
    <col min="7170" max="7170" width="14.28515625" style="1" customWidth="1"/>
    <col min="7171" max="7171" width="15.5703125" style="1" customWidth="1"/>
    <col min="7172" max="7172" width="15" style="1" customWidth="1"/>
    <col min="7173" max="7173" width="16.140625" style="1" customWidth="1"/>
    <col min="7174" max="7174" width="13.7109375" style="1" customWidth="1"/>
    <col min="7175" max="7175" width="15.85546875" style="1" customWidth="1"/>
    <col min="7176" max="7176" width="14" style="1" customWidth="1"/>
    <col min="7177" max="7424" width="9.140625" style="1"/>
    <col min="7425" max="7425" width="6.28515625" style="1" customWidth="1"/>
    <col min="7426" max="7426" width="14.28515625" style="1" customWidth="1"/>
    <col min="7427" max="7427" width="15.5703125" style="1" customWidth="1"/>
    <col min="7428" max="7428" width="15" style="1" customWidth="1"/>
    <col min="7429" max="7429" width="16.140625" style="1" customWidth="1"/>
    <col min="7430" max="7430" width="13.7109375" style="1" customWidth="1"/>
    <col min="7431" max="7431" width="15.85546875" style="1" customWidth="1"/>
    <col min="7432" max="7432" width="14" style="1" customWidth="1"/>
    <col min="7433" max="7680" width="9.140625" style="1"/>
    <col min="7681" max="7681" width="6.28515625" style="1" customWidth="1"/>
    <col min="7682" max="7682" width="14.28515625" style="1" customWidth="1"/>
    <col min="7683" max="7683" width="15.5703125" style="1" customWidth="1"/>
    <col min="7684" max="7684" width="15" style="1" customWidth="1"/>
    <col min="7685" max="7685" width="16.140625" style="1" customWidth="1"/>
    <col min="7686" max="7686" width="13.7109375" style="1" customWidth="1"/>
    <col min="7687" max="7687" width="15.85546875" style="1" customWidth="1"/>
    <col min="7688" max="7688" width="14" style="1" customWidth="1"/>
    <col min="7689" max="7936" width="9.140625" style="1"/>
    <col min="7937" max="7937" width="6.28515625" style="1" customWidth="1"/>
    <col min="7938" max="7938" width="14.28515625" style="1" customWidth="1"/>
    <col min="7939" max="7939" width="15.5703125" style="1" customWidth="1"/>
    <col min="7940" max="7940" width="15" style="1" customWidth="1"/>
    <col min="7941" max="7941" width="16.140625" style="1" customWidth="1"/>
    <col min="7942" max="7942" width="13.7109375" style="1" customWidth="1"/>
    <col min="7943" max="7943" width="15.85546875" style="1" customWidth="1"/>
    <col min="7944" max="7944" width="14" style="1" customWidth="1"/>
    <col min="7945" max="8192" width="9.140625" style="1"/>
    <col min="8193" max="8193" width="6.28515625" style="1" customWidth="1"/>
    <col min="8194" max="8194" width="14.28515625" style="1" customWidth="1"/>
    <col min="8195" max="8195" width="15.5703125" style="1" customWidth="1"/>
    <col min="8196" max="8196" width="15" style="1" customWidth="1"/>
    <col min="8197" max="8197" width="16.140625" style="1" customWidth="1"/>
    <col min="8198" max="8198" width="13.7109375" style="1" customWidth="1"/>
    <col min="8199" max="8199" width="15.85546875" style="1" customWidth="1"/>
    <col min="8200" max="8200" width="14" style="1" customWidth="1"/>
    <col min="8201" max="8448" width="9.140625" style="1"/>
    <col min="8449" max="8449" width="6.28515625" style="1" customWidth="1"/>
    <col min="8450" max="8450" width="14.28515625" style="1" customWidth="1"/>
    <col min="8451" max="8451" width="15.5703125" style="1" customWidth="1"/>
    <col min="8452" max="8452" width="15" style="1" customWidth="1"/>
    <col min="8453" max="8453" width="16.140625" style="1" customWidth="1"/>
    <col min="8454" max="8454" width="13.7109375" style="1" customWidth="1"/>
    <col min="8455" max="8455" width="15.85546875" style="1" customWidth="1"/>
    <col min="8456" max="8456" width="14" style="1" customWidth="1"/>
    <col min="8457" max="8704" width="9.140625" style="1"/>
    <col min="8705" max="8705" width="6.28515625" style="1" customWidth="1"/>
    <col min="8706" max="8706" width="14.28515625" style="1" customWidth="1"/>
    <col min="8707" max="8707" width="15.5703125" style="1" customWidth="1"/>
    <col min="8708" max="8708" width="15" style="1" customWidth="1"/>
    <col min="8709" max="8709" width="16.140625" style="1" customWidth="1"/>
    <col min="8710" max="8710" width="13.7109375" style="1" customWidth="1"/>
    <col min="8711" max="8711" width="15.85546875" style="1" customWidth="1"/>
    <col min="8712" max="8712" width="14" style="1" customWidth="1"/>
    <col min="8713" max="8960" width="9.140625" style="1"/>
    <col min="8961" max="8961" width="6.28515625" style="1" customWidth="1"/>
    <col min="8962" max="8962" width="14.28515625" style="1" customWidth="1"/>
    <col min="8963" max="8963" width="15.5703125" style="1" customWidth="1"/>
    <col min="8964" max="8964" width="15" style="1" customWidth="1"/>
    <col min="8965" max="8965" width="16.140625" style="1" customWidth="1"/>
    <col min="8966" max="8966" width="13.7109375" style="1" customWidth="1"/>
    <col min="8967" max="8967" width="15.85546875" style="1" customWidth="1"/>
    <col min="8968" max="8968" width="14" style="1" customWidth="1"/>
    <col min="8969" max="9216" width="9.140625" style="1"/>
    <col min="9217" max="9217" width="6.28515625" style="1" customWidth="1"/>
    <col min="9218" max="9218" width="14.28515625" style="1" customWidth="1"/>
    <col min="9219" max="9219" width="15.5703125" style="1" customWidth="1"/>
    <col min="9220" max="9220" width="15" style="1" customWidth="1"/>
    <col min="9221" max="9221" width="16.140625" style="1" customWidth="1"/>
    <col min="9222" max="9222" width="13.7109375" style="1" customWidth="1"/>
    <col min="9223" max="9223" width="15.85546875" style="1" customWidth="1"/>
    <col min="9224" max="9224" width="14" style="1" customWidth="1"/>
    <col min="9225" max="9472" width="9.140625" style="1"/>
    <col min="9473" max="9473" width="6.28515625" style="1" customWidth="1"/>
    <col min="9474" max="9474" width="14.28515625" style="1" customWidth="1"/>
    <col min="9475" max="9475" width="15.5703125" style="1" customWidth="1"/>
    <col min="9476" max="9476" width="15" style="1" customWidth="1"/>
    <col min="9477" max="9477" width="16.140625" style="1" customWidth="1"/>
    <col min="9478" max="9478" width="13.7109375" style="1" customWidth="1"/>
    <col min="9479" max="9479" width="15.85546875" style="1" customWidth="1"/>
    <col min="9480" max="9480" width="14" style="1" customWidth="1"/>
    <col min="9481" max="9728" width="9.140625" style="1"/>
    <col min="9729" max="9729" width="6.28515625" style="1" customWidth="1"/>
    <col min="9730" max="9730" width="14.28515625" style="1" customWidth="1"/>
    <col min="9731" max="9731" width="15.5703125" style="1" customWidth="1"/>
    <col min="9732" max="9732" width="15" style="1" customWidth="1"/>
    <col min="9733" max="9733" width="16.140625" style="1" customWidth="1"/>
    <col min="9734" max="9734" width="13.7109375" style="1" customWidth="1"/>
    <col min="9735" max="9735" width="15.85546875" style="1" customWidth="1"/>
    <col min="9736" max="9736" width="14" style="1" customWidth="1"/>
    <col min="9737" max="9984" width="9.140625" style="1"/>
    <col min="9985" max="9985" width="6.28515625" style="1" customWidth="1"/>
    <col min="9986" max="9986" width="14.28515625" style="1" customWidth="1"/>
    <col min="9987" max="9987" width="15.5703125" style="1" customWidth="1"/>
    <col min="9988" max="9988" width="15" style="1" customWidth="1"/>
    <col min="9989" max="9989" width="16.140625" style="1" customWidth="1"/>
    <col min="9990" max="9990" width="13.7109375" style="1" customWidth="1"/>
    <col min="9991" max="9991" width="15.85546875" style="1" customWidth="1"/>
    <col min="9992" max="9992" width="14" style="1" customWidth="1"/>
    <col min="9993" max="10240" width="9.140625" style="1"/>
    <col min="10241" max="10241" width="6.28515625" style="1" customWidth="1"/>
    <col min="10242" max="10242" width="14.28515625" style="1" customWidth="1"/>
    <col min="10243" max="10243" width="15.5703125" style="1" customWidth="1"/>
    <col min="10244" max="10244" width="15" style="1" customWidth="1"/>
    <col min="10245" max="10245" width="16.140625" style="1" customWidth="1"/>
    <col min="10246" max="10246" width="13.7109375" style="1" customWidth="1"/>
    <col min="10247" max="10247" width="15.85546875" style="1" customWidth="1"/>
    <col min="10248" max="10248" width="14" style="1" customWidth="1"/>
    <col min="10249" max="10496" width="9.140625" style="1"/>
    <col min="10497" max="10497" width="6.28515625" style="1" customWidth="1"/>
    <col min="10498" max="10498" width="14.28515625" style="1" customWidth="1"/>
    <col min="10499" max="10499" width="15.5703125" style="1" customWidth="1"/>
    <col min="10500" max="10500" width="15" style="1" customWidth="1"/>
    <col min="10501" max="10501" width="16.140625" style="1" customWidth="1"/>
    <col min="10502" max="10502" width="13.7109375" style="1" customWidth="1"/>
    <col min="10503" max="10503" width="15.85546875" style="1" customWidth="1"/>
    <col min="10504" max="10504" width="14" style="1" customWidth="1"/>
    <col min="10505" max="10752" width="9.140625" style="1"/>
    <col min="10753" max="10753" width="6.28515625" style="1" customWidth="1"/>
    <col min="10754" max="10754" width="14.28515625" style="1" customWidth="1"/>
    <col min="10755" max="10755" width="15.5703125" style="1" customWidth="1"/>
    <col min="10756" max="10756" width="15" style="1" customWidth="1"/>
    <col min="10757" max="10757" width="16.140625" style="1" customWidth="1"/>
    <col min="10758" max="10758" width="13.7109375" style="1" customWidth="1"/>
    <col min="10759" max="10759" width="15.85546875" style="1" customWidth="1"/>
    <col min="10760" max="10760" width="14" style="1" customWidth="1"/>
    <col min="10761" max="11008" width="9.140625" style="1"/>
    <col min="11009" max="11009" width="6.28515625" style="1" customWidth="1"/>
    <col min="11010" max="11010" width="14.28515625" style="1" customWidth="1"/>
    <col min="11011" max="11011" width="15.5703125" style="1" customWidth="1"/>
    <col min="11012" max="11012" width="15" style="1" customWidth="1"/>
    <col min="11013" max="11013" width="16.140625" style="1" customWidth="1"/>
    <col min="11014" max="11014" width="13.7109375" style="1" customWidth="1"/>
    <col min="11015" max="11015" width="15.85546875" style="1" customWidth="1"/>
    <col min="11016" max="11016" width="14" style="1" customWidth="1"/>
    <col min="11017" max="11264" width="9.140625" style="1"/>
    <col min="11265" max="11265" width="6.28515625" style="1" customWidth="1"/>
    <col min="11266" max="11266" width="14.28515625" style="1" customWidth="1"/>
    <col min="11267" max="11267" width="15.5703125" style="1" customWidth="1"/>
    <col min="11268" max="11268" width="15" style="1" customWidth="1"/>
    <col min="11269" max="11269" width="16.140625" style="1" customWidth="1"/>
    <col min="11270" max="11270" width="13.7109375" style="1" customWidth="1"/>
    <col min="11271" max="11271" width="15.85546875" style="1" customWidth="1"/>
    <col min="11272" max="11272" width="14" style="1" customWidth="1"/>
    <col min="11273" max="11520" width="9.140625" style="1"/>
    <col min="11521" max="11521" width="6.28515625" style="1" customWidth="1"/>
    <col min="11522" max="11522" width="14.28515625" style="1" customWidth="1"/>
    <col min="11523" max="11523" width="15.5703125" style="1" customWidth="1"/>
    <col min="11524" max="11524" width="15" style="1" customWidth="1"/>
    <col min="11525" max="11525" width="16.140625" style="1" customWidth="1"/>
    <col min="11526" max="11526" width="13.7109375" style="1" customWidth="1"/>
    <col min="11527" max="11527" width="15.85546875" style="1" customWidth="1"/>
    <col min="11528" max="11528" width="14" style="1" customWidth="1"/>
    <col min="11529" max="11776" width="9.140625" style="1"/>
    <col min="11777" max="11777" width="6.28515625" style="1" customWidth="1"/>
    <col min="11778" max="11778" width="14.28515625" style="1" customWidth="1"/>
    <col min="11779" max="11779" width="15.5703125" style="1" customWidth="1"/>
    <col min="11780" max="11780" width="15" style="1" customWidth="1"/>
    <col min="11781" max="11781" width="16.140625" style="1" customWidth="1"/>
    <col min="11782" max="11782" width="13.7109375" style="1" customWidth="1"/>
    <col min="11783" max="11783" width="15.85546875" style="1" customWidth="1"/>
    <col min="11784" max="11784" width="14" style="1" customWidth="1"/>
    <col min="11785" max="12032" width="9.140625" style="1"/>
    <col min="12033" max="12033" width="6.28515625" style="1" customWidth="1"/>
    <col min="12034" max="12034" width="14.28515625" style="1" customWidth="1"/>
    <col min="12035" max="12035" width="15.5703125" style="1" customWidth="1"/>
    <col min="12036" max="12036" width="15" style="1" customWidth="1"/>
    <col min="12037" max="12037" width="16.140625" style="1" customWidth="1"/>
    <col min="12038" max="12038" width="13.7109375" style="1" customWidth="1"/>
    <col min="12039" max="12039" width="15.85546875" style="1" customWidth="1"/>
    <col min="12040" max="12040" width="14" style="1" customWidth="1"/>
    <col min="12041" max="12288" width="9.140625" style="1"/>
    <col min="12289" max="12289" width="6.28515625" style="1" customWidth="1"/>
    <col min="12290" max="12290" width="14.28515625" style="1" customWidth="1"/>
    <col min="12291" max="12291" width="15.5703125" style="1" customWidth="1"/>
    <col min="12292" max="12292" width="15" style="1" customWidth="1"/>
    <col min="12293" max="12293" width="16.140625" style="1" customWidth="1"/>
    <col min="12294" max="12294" width="13.7109375" style="1" customWidth="1"/>
    <col min="12295" max="12295" width="15.85546875" style="1" customWidth="1"/>
    <col min="12296" max="12296" width="14" style="1" customWidth="1"/>
    <col min="12297" max="12544" width="9.140625" style="1"/>
    <col min="12545" max="12545" width="6.28515625" style="1" customWidth="1"/>
    <col min="12546" max="12546" width="14.28515625" style="1" customWidth="1"/>
    <col min="12547" max="12547" width="15.5703125" style="1" customWidth="1"/>
    <col min="12548" max="12548" width="15" style="1" customWidth="1"/>
    <col min="12549" max="12549" width="16.140625" style="1" customWidth="1"/>
    <col min="12550" max="12550" width="13.7109375" style="1" customWidth="1"/>
    <col min="12551" max="12551" width="15.85546875" style="1" customWidth="1"/>
    <col min="12552" max="12552" width="14" style="1" customWidth="1"/>
    <col min="12553" max="12800" width="9.140625" style="1"/>
    <col min="12801" max="12801" width="6.28515625" style="1" customWidth="1"/>
    <col min="12802" max="12802" width="14.28515625" style="1" customWidth="1"/>
    <col min="12803" max="12803" width="15.5703125" style="1" customWidth="1"/>
    <col min="12804" max="12804" width="15" style="1" customWidth="1"/>
    <col min="12805" max="12805" width="16.140625" style="1" customWidth="1"/>
    <col min="12806" max="12806" width="13.7109375" style="1" customWidth="1"/>
    <col min="12807" max="12807" width="15.85546875" style="1" customWidth="1"/>
    <col min="12808" max="12808" width="14" style="1" customWidth="1"/>
    <col min="12809" max="13056" width="9.140625" style="1"/>
    <col min="13057" max="13057" width="6.28515625" style="1" customWidth="1"/>
    <col min="13058" max="13058" width="14.28515625" style="1" customWidth="1"/>
    <col min="13059" max="13059" width="15.5703125" style="1" customWidth="1"/>
    <col min="13060" max="13060" width="15" style="1" customWidth="1"/>
    <col min="13061" max="13061" width="16.140625" style="1" customWidth="1"/>
    <col min="13062" max="13062" width="13.7109375" style="1" customWidth="1"/>
    <col min="13063" max="13063" width="15.85546875" style="1" customWidth="1"/>
    <col min="13064" max="13064" width="14" style="1" customWidth="1"/>
    <col min="13065" max="13312" width="9.140625" style="1"/>
    <col min="13313" max="13313" width="6.28515625" style="1" customWidth="1"/>
    <col min="13314" max="13314" width="14.28515625" style="1" customWidth="1"/>
    <col min="13315" max="13315" width="15.5703125" style="1" customWidth="1"/>
    <col min="13316" max="13316" width="15" style="1" customWidth="1"/>
    <col min="13317" max="13317" width="16.140625" style="1" customWidth="1"/>
    <col min="13318" max="13318" width="13.7109375" style="1" customWidth="1"/>
    <col min="13319" max="13319" width="15.85546875" style="1" customWidth="1"/>
    <col min="13320" max="13320" width="14" style="1" customWidth="1"/>
    <col min="13321" max="13568" width="9.140625" style="1"/>
    <col min="13569" max="13569" width="6.28515625" style="1" customWidth="1"/>
    <col min="13570" max="13570" width="14.28515625" style="1" customWidth="1"/>
    <col min="13571" max="13571" width="15.5703125" style="1" customWidth="1"/>
    <col min="13572" max="13572" width="15" style="1" customWidth="1"/>
    <col min="13573" max="13573" width="16.140625" style="1" customWidth="1"/>
    <col min="13574" max="13574" width="13.7109375" style="1" customWidth="1"/>
    <col min="13575" max="13575" width="15.85546875" style="1" customWidth="1"/>
    <col min="13576" max="13576" width="14" style="1" customWidth="1"/>
    <col min="13577" max="13824" width="9.140625" style="1"/>
    <col min="13825" max="13825" width="6.28515625" style="1" customWidth="1"/>
    <col min="13826" max="13826" width="14.28515625" style="1" customWidth="1"/>
    <col min="13827" max="13827" width="15.5703125" style="1" customWidth="1"/>
    <col min="13828" max="13828" width="15" style="1" customWidth="1"/>
    <col min="13829" max="13829" width="16.140625" style="1" customWidth="1"/>
    <col min="13830" max="13830" width="13.7109375" style="1" customWidth="1"/>
    <col min="13831" max="13831" width="15.85546875" style="1" customWidth="1"/>
    <col min="13832" max="13832" width="14" style="1" customWidth="1"/>
    <col min="13833" max="14080" width="9.140625" style="1"/>
    <col min="14081" max="14081" width="6.28515625" style="1" customWidth="1"/>
    <col min="14082" max="14082" width="14.28515625" style="1" customWidth="1"/>
    <col min="14083" max="14083" width="15.5703125" style="1" customWidth="1"/>
    <col min="14084" max="14084" width="15" style="1" customWidth="1"/>
    <col min="14085" max="14085" width="16.140625" style="1" customWidth="1"/>
    <col min="14086" max="14086" width="13.7109375" style="1" customWidth="1"/>
    <col min="14087" max="14087" width="15.85546875" style="1" customWidth="1"/>
    <col min="14088" max="14088" width="14" style="1" customWidth="1"/>
    <col min="14089" max="14336" width="9.140625" style="1"/>
    <col min="14337" max="14337" width="6.28515625" style="1" customWidth="1"/>
    <col min="14338" max="14338" width="14.28515625" style="1" customWidth="1"/>
    <col min="14339" max="14339" width="15.5703125" style="1" customWidth="1"/>
    <col min="14340" max="14340" width="15" style="1" customWidth="1"/>
    <col min="14341" max="14341" width="16.140625" style="1" customWidth="1"/>
    <col min="14342" max="14342" width="13.7109375" style="1" customWidth="1"/>
    <col min="14343" max="14343" width="15.85546875" style="1" customWidth="1"/>
    <col min="14344" max="14344" width="14" style="1" customWidth="1"/>
    <col min="14345" max="14592" width="9.140625" style="1"/>
    <col min="14593" max="14593" width="6.28515625" style="1" customWidth="1"/>
    <col min="14594" max="14594" width="14.28515625" style="1" customWidth="1"/>
    <col min="14595" max="14595" width="15.5703125" style="1" customWidth="1"/>
    <col min="14596" max="14596" width="15" style="1" customWidth="1"/>
    <col min="14597" max="14597" width="16.140625" style="1" customWidth="1"/>
    <col min="14598" max="14598" width="13.7109375" style="1" customWidth="1"/>
    <col min="14599" max="14599" width="15.85546875" style="1" customWidth="1"/>
    <col min="14600" max="14600" width="14" style="1" customWidth="1"/>
    <col min="14601" max="14848" width="9.140625" style="1"/>
    <col min="14849" max="14849" width="6.28515625" style="1" customWidth="1"/>
    <col min="14850" max="14850" width="14.28515625" style="1" customWidth="1"/>
    <col min="14851" max="14851" width="15.5703125" style="1" customWidth="1"/>
    <col min="14852" max="14852" width="15" style="1" customWidth="1"/>
    <col min="14853" max="14853" width="16.140625" style="1" customWidth="1"/>
    <col min="14854" max="14854" width="13.7109375" style="1" customWidth="1"/>
    <col min="14855" max="14855" width="15.85546875" style="1" customWidth="1"/>
    <col min="14856" max="14856" width="14" style="1" customWidth="1"/>
    <col min="14857" max="15104" width="9.140625" style="1"/>
    <col min="15105" max="15105" width="6.28515625" style="1" customWidth="1"/>
    <col min="15106" max="15106" width="14.28515625" style="1" customWidth="1"/>
    <col min="15107" max="15107" width="15.5703125" style="1" customWidth="1"/>
    <col min="15108" max="15108" width="15" style="1" customWidth="1"/>
    <col min="15109" max="15109" width="16.140625" style="1" customWidth="1"/>
    <col min="15110" max="15110" width="13.7109375" style="1" customWidth="1"/>
    <col min="15111" max="15111" width="15.85546875" style="1" customWidth="1"/>
    <col min="15112" max="15112" width="14" style="1" customWidth="1"/>
    <col min="15113" max="15360" width="9.140625" style="1"/>
    <col min="15361" max="15361" width="6.28515625" style="1" customWidth="1"/>
    <col min="15362" max="15362" width="14.28515625" style="1" customWidth="1"/>
    <col min="15363" max="15363" width="15.5703125" style="1" customWidth="1"/>
    <col min="15364" max="15364" width="15" style="1" customWidth="1"/>
    <col min="15365" max="15365" width="16.140625" style="1" customWidth="1"/>
    <col min="15366" max="15366" width="13.7109375" style="1" customWidth="1"/>
    <col min="15367" max="15367" width="15.85546875" style="1" customWidth="1"/>
    <col min="15368" max="15368" width="14" style="1" customWidth="1"/>
    <col min="15369" max="15616" width="9.140625" style="1"/>
    <col min="15617" max="15617" width="6.28515625" style="1" customWidth="1"/>
    <col min="15618" max="15618" width="14.28515625" style="1" customWidth="1"/>
    <col min="15619" max="15619" width="15.5703125" style="1" customWidth="1"/>
    <col min="15620" max="15620" width="15" style="1" customWidth="1"/>
    <col min="15621" max="15621" width="16.140625" style="1" customWidth="1"/>
    <col min="15622" max="15622" width="13.7109375" style="1" customWidth="1"/>
    <col min="15623" max="15623" width="15.85546875" style="1" customWidth="1"/>
    <col min="15624" max="15624" width="14" style="1" customWidth="1"/>
    <col min="15625" max="15872" width="9.140625" style="1"/>
    <col min="15873" max="15873" width="6.28515625" style="1" customWidth="1"/>
    <col min="15874" max="15874" width="14.28515625" style="1" customWidth="1"/>
    <col min="15875" max="15875" width="15.5703125" style="1" customWidth="1"/>
    <col min="15876" max="15876" width="15" style="1" customWidth="1"/>
    <col min="15877" max="15877" width="16.140625" style="1" customWidth="1"/>
    <col min="15878" max="15878" width="13.7109375" style="1" customWidth="1"/>
    <col min="15879" max="15879" width="15.85546875" style="1" customWidth="1"/>
    <col min="15880" max="15880" width="14" style="1" customWidth="1"/>
    <col min="15881" max="16128" width="9.140625" style="1"/>
    <col min="16129" max="16129" width="6.28515625" style="1" customWidth="1"/>
    <col min="16130" max="16130" width="14.28515625" style="1" customWidth="1"/>
    <col min="16131" max="16131" width="15.5703125" style="1" customWidth="1"/>
    <col min="16132" max="16132" width="15" style="1" customWidth="1"/>
    <col min="16133" max="16133" width="16.140625" style="1" customWidth="1"/>
    <col min="16134" max="16134" width="13.7109375" style="1" customWidth="1"/>
    <col min="16135" max="16135" width="15.85546875" style="1" customWidth="1"/>
    <col min="16136" max="16136" width="14" style="1" customWidth="1"/>
    <col min="16137" max="16384" width="9.140625" style="1"/>
  </cols>
  <sheetData>
    <row r="2" spans="1:9" x14ac:dyDescent="0.25">
      <c r="B2" s="1" t="s">
        <v>1195</v>
      </c>
    </row>
    <row r="3" spans="1:9" ht="77.25" customHeight="1" x14ac:dyDescent="0.25">
      <c r="B3" s="866" t="s">
        <v>1196</v>
      </c>
      <c r="C3" s="866" t="s">
        <v>1197</v>
      </c>
      <c r="D3" s="866" t="s">
        <v>1198</v>
      </c>
      <c r="E3" s="866" t="s">
        <v>1199</v>
      </c>
      <c r="F3" s="866" t="s">
        <v>1200</v>
      </c>
      <c r="G3" s="866" t="s">
        <v>1201</v>
      </c>
      <c r="H3" s="866" t="s">
        <v>1202</v>
      </c>
    </row>
    <row r="4" spans="1:9" x14ac:dyDescent="0.25">
      <c r="A4" s="1" t="s">
        <v>1203</v>
      </c>
      <c r="B4" s="867">
        <v>38663.800000000003</v>
      </c>
      <c r="C4" s="868">
        <f>7.9/100+1</f>
        <v>1.079</v>
      </c>
      <c r="D4" s="869">
        <f>B4*C4</f>
        <v>41718.199999999997</v>
      </c>
      <c r="E4" s="868">
        <f>7/100+1</f>
        <v>1.07</v>
      </c>
      <c r="F4" s="869">
        <f>D4*E4</f>
        <v>44638.5</v>
      </c>
      <c r="G4" s="868">
        <f>6.6/100+1</f>
        <v>1.0660000000000001</v>
      </c>
      <c r="H4" s="869">
        <f>F4*G4</f>
        <v>47584.6</v>
      </c>
      <c r="I4" s="1" t="s">
        <v>1206</v>
      </c>
    </row>
    <row r="5" spans="1:9" x14ac:dyDescent="0.25">
      <c r="A5" s="1" t="s">
        <v>1204</v>
      </c>
      <c r="B5" s="867">
        <v>38100</v>
      </c>
      <c r="C5" s="868">
        <f>7.9/100+1</f>
        <v>1.079</v>
      </c>
      <c r="D5" s="869">
        <f>B5*C5</f>
        <v>41109.9</v>
      </c>
      <c r="E5" s="868">
        <f>7/100+1</f>
        <v>1.07</v>
      </c>
      <c r="F5" s="869">
        <f>D5*E5</f>
        <v>43987.6</v>
      </c>
      <c r="G5" s="868">
        <f>6.6/100+1</f>
        <v>1.0660000000000001</v>
      </c>
      <c r="H5" s="869">
        <f>F5*G5</f>
        <v>46890.8</v>
      </c>
      <c r="I5" s="1" t="s">
        <v>1205</v>
      </c>
    </row>
  </sheetData>
  <pageMargins left="0.7" right="0.7" top="0.75" bottom="0.75" header="0.3" footer="0.3"/>
  <pageSetup paperSize="9" scale="8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  <pageSetUpPr fitToPage="1"/>
  </sheetPr>
  <dimension ref="A1:ID32"/>
  <sheetViews>
    <sheetView view="pageBreakPreview" zoomScale="75" zoomScaleNormal="75" zoomScaleSheetLayoutView="75" workbookViewId="0">
      <pane xSplit="1" ySplit="9" topLeftCell="GI10" activePane="bottomRight" state="frozen"/>
      <selection pane="topRight" activeCell="C1" sqref="C1"/>
      <selection pane="bottomLeft" activeCell="A11" sqref="A11"/>
      <selection pane="bottomRight" activeCell="HD8" sqref="HD8"/>
    </sheetView>
  </sheetViews>
  <sheetFormatPr defaultColWidth="11.5703125" defaultRowHeight="15.75" x14ac:dyDescent="0.25"/>
  <cols>
    <col min="1" max="1" width="25.28515625" style="66" customWidth="1"/>
    <col min="2" max="3" width="12.85546875" style="66" customWidth="1"/>
    <col min="4" max="5" width="10.5703125" style="66" customWidth="1"/>
    <col min="6" max="6" width="13.7109375" style="66" customWidth="1"/>
    <col min="7" max="7" width="13.28515625" style="66" customWidth="1"/>
    <col min="8" max="8" width="10.85546875" style="66" customWidth="1"/>
    <col min="9" max="9" width="10.140625" style="66" customWidth="1"/>
    <col min="10" max="10" width="10.42578125" style="66" bestFit="1" customWidth="1"/>
    <col min="11" max="14" width="9.140625" style="66" customWidth="1"/>
    <col min="15" max="15" width="9.28515625" style="66" customWidth="1"/>
    <col min="16" max="18" width="9.140625" style="66" customWidth="1"/>
    <col min="19" max="19" width="9.7109375" style="66" customWidth="1"/>
    <col min="20" max="21" width="9.140625" style="66" customWidth="1"/>
    <col min="22" max="22" width="9.140625" style="66" hidden="1" customWidth="1"/>
    <col min="23" max="24" width="9.140625" style="66" customWidth="1"/>
    <col min="25" max="25" width="9.140625" style="66" hidden="1" customWidth="1"/>
    <col min="26" max="26" width="9.85546875" style="66" bestFit="1" customWidth="1"/>
    <col min="27" max="27" width="10.42578125" style="66" customWidth="1"/>
    <col min="28" max="28" width="13.140625" style="66" customWidth="1"/>
    <col min="29" max="29" width="9.85546875" style="66" customWidth="1"/>
    <col min="30" max="30" width="9.140625" style="66" customWidth="1"/>
    <col min="31" max="36" width="11.5703125" style="66" customWidth="1"/>
    <col min="37" max="37" width="11.5703125" style="66" hidden="1" customWidth="1"/>
    <col min="38" max="38" width="2.85546875" style="66" customWidth="1"/>
    <col min="39" max="40" width="12.85546875" style="66" customWidth="1"/>
    <col min="41" max="42" width="10.5703125" style="66" customWidth="1"/>
    <col min="43" max="43" width="13.7109375" style="66" customWidth="1"/>
    <col min="44" max="44" width="13.28515625" style="66" customWidth="1"/>
    <col min="45" max="45" width="10.85546875" style="66" customWidth="1"/>
    <col min="46" max="46" width="10.140625" style="66" customWidth="1"/>
    <col min="47" max="47" width="10.42578125" style="66" bestFit="1" customWidth="1"/>
    <col min="48" max="51" width="9.140625" style="66" customWidth="1"/>
    <col min="52" max="52" width="9.28515625" style="66" customWidth="1"/>
    <col min="53" max="55" width="9.140625" style="66" customWidth="1"/>
    <col min="56" max="56" width="9.7109375" style="66" customWidth="1"/>
    <col min="57" max="58" width="9.140625" style="66" customWidth="1"/>
    <col min="59" max="59" width="9.140625" style="66" hidden="1" customWidth="1"/>
    <col min="60" max="61" width="9.140625" style="66" customWidth="1"/>
    <col min="62" max="62" width="9.140625" style="66" hidden="1" customWidth="1"/>
    <col min="63" max="63" width="9.85546875" style="66" bestFit="1" customWidth="1"/>
    <col min="64" max="64" width="9.140625" style="66" customWidth="1"/>
    <col min="65" max="65" width="13.140625" style="66" customWidth="1"/>
    <col min="66" max="66" width="9.85546875" style="66" customWidth="1"/>
    <col min="67" max="67" width="9.140625" style="66" customWidth="1"/>
    <col min="68" max="73" width="11.5703125" style="66" customWidth="1"/>
    <col min="74" max="74" width="11.5703125" style="66" hidden="1" customWidth="1"/>
    <col min="75" max="75" width="2.85546875" style="66" customWidth="1"/>
    <col min="76" max="77" width="12.85546875" style="66" customWidth="1"/>
    <col min="78" max="79" width="10.5703125" style="66" customWidth="1"/>
    <col min="80" max="80" width="13.7109375" style="66" customWidth="1"/>
    <col min="81" max="81" width="13.28515625" style="66" customWidth="1"/>
    <col min="82" max="82" width="10.85546875" style="66" customWidth="1"/>
    <col min="83" max="83" width="10.140625" style="66" customWidth="1"/>
    <col min="84" max="84" width="10.42578125" style="66" bestFit="1" customWidth="1"/>
    <col min="85" max="88" width="9.140625" style="66" customWidth="1"/>
    <col min="89" max="89" width="9.28515625" style="66" customWidth="1"/>
    <col min="90" max="92" width="9.140625" style="66" customWidth="1"/>
    <col min="93" max="93" width="9.7109375" style="66" customWidth="1"/>
    <col min="94" max="95" width="9.140625" style="66" customWidth="1"/>
    <col min="96" max="96" width="9.140625" style="66" hidden="1" customWidth="1"/>
    <col min="97" max="98" width="9.140625" style="66" customWidth="1"/>
    <col min="99" max="99" width="9.140625" style="66" hidden="1" customWidth="1"/>
    <col min="100" max="100" width="9.85546875" style="66" bestFit="1" customWidth="1"/>
    <col min="101" max="101" width="9.140625" style="66" customWidth="1"/>
    <col min="102" max="102" width="13.140625" style="66" customWidth="1"/>
    <col min="103" max="103" width="9.85546875" style="66" customWidth="1"/>
    <col min="104" max="104" width="9.140625" style="66" customWidth="1"/>
    <col min="105" max="110" width="11.5703125" style="66" customWidth="1"/>
    <col min="111" max="111" width="11.5703125" style="66" hidden="1" customWidth="1"/>
    <col min="112" max="112" width="3" style="66" customWidth="1"/>
    <col min="113" max="114" width="12.85546875" style="66" customWidth="1"/>
    <col min="115" max="116" width="10.5703125" style="66" customWidth="1"/>
    <col min="117" max="117" width="13.7109375" style="66" customWidth="1"/>
    <col min="118" max="118" width="13.28515625" style="66" customWidth="1"/>
    <col min="119" max="119" width="10.85546875" style="66" customWidth="1"/>
    <col min="120" max="120" width="10.140625" style="66" customWidth="1"/>
    <col min="121" max="121" width="10.42578125" style="66" bestFit="1" customWidth="1"/>
    <col min="122" max="125" width="9.140625" style="66" customWidth="1"/>
    <col min="126" max="126" width="9.28515625" style="66" customWidth="1"/>
    <col min="127" max="129" width="9.140625" style="66" customWidth="1"/>
    <col min="130" max="130" width="9.7109375" style="66" customWidth="1"/>
    <col min="131" max="132" width="9.140625" style="66" customWidth="1"/>
    <col min="133" max="133" width="9.140625" style="66" hidden="1" customWidth="1"/>
    <col min="134" max="135" width="9.140625" style="66" customWidth="1"/>
    <col min="136" max="136" width="9.140625" style="66" hidden="1" customWidth="1"/>
    <col min="137" max="137" width="9.85546875" style="66" bestFit="1" customWidth="1"/>
    <col min="138" max="138" width="9.140625" style="66" customWidth="1"/>
    <col min="139" max="139" width="13.140625" style="66" customWidth="1"/>
    <col min="140" max="140" width="9.85546875" style="66" customWidth="1"/>
    <col min="141" max="141" width="9.140625" style="66" customWidth="1"/>
    <col min="142" max="147" width="11.5703125" style="66" customWidth="1"/>
    <col min="148" max="148" width="11.5703125" style="66" hidden="1" customWidth="1"/>
    <col min="149" max="149" width="3" style="66" customWidth="1"/>
    <col min="150" max="151" width="12.85546875" style="66" customWidth="1"/>
    <col min="152" max="153" width="10.5703125" style="66" customWidth="1"/>
    <col min="154" max="154" width="13.7109375" style="66" customWidth="1"/>
    <col min="155" max="155" width="13.28515625" style="66" customWidth="1"/>
    <col min="156" max="156" width="10.85546875" style="66" customWidth="1"/>
    <col min="157" max="157" width="10.140625" style="66" customWidth="1"/>
    <col min="158" max="158" width="10.42578125" style="66" bestFit="1" customWidth="1"/>
    <col min="159" max="162" width="9.140625" style="66" customWidth="1"/>
    <col min="163" max="163" width="9.28515625" style="66" customWidth="1"/>
    <col min="164" max="166" width="9.140625" style="66" customWidth="1"/>
    <col min="167" max="167" width="9.7109375" style="66" customWidth="1"/>
    <col min="168" max="169" width="9.140625" style="66" customWidth="1"/>
    <col min="170" max="170" width="9.140625" style="66" hidden="1" customWidth="1"/>
    <col min="171" max="172" width="9.140625" style="66" customWidth="1"/>
    <col min="173" max="173" width="9.140625" style="66" hidden="1" customWidth="1"/>
    <col min="174" max="174" width="9.85546875" style="66" bestFit="1" customWidth="1"/>
    <col min="175" max="175" width="9.140625" style="66" customWidth="1"/>
    <col min="176" max="176" width="13.140625" style="66" customWidth="1"/>
    <col min="177" max="177" width="9.85546875" style="66" customWidth="1"/>
    <col min="178" max="178" width="9.140625" style="66" customWidth="1"/>
    <col min="179" max="184" width="11.5703125" style="66" customWidth="1"/>
    <col min="185" max="185" width="11.5703125" style="66" hidden="1" customWidth="1"/>
    <col min="186" max="186" width="2.85546875" style="66" customWidth="1"/>
    <col min="187" max="188" width="12.85546875" style="66" customWidth="1"/>
    <col min="189" max="190" width="10.5703125" style="66" customWidth="1"/>
    <col min="191" max="191" width="13.7109375" style="66" customWidth="1"/>
    <col min="192" max="192" width="13.28515625" style="66" customWidth="1"/>
    <col min="193" max="193" width="10.85546875" style="66" customWidth="1"/>
    <col min="194" max="194" width="10.140625" style="66" customWidth="1"/>
    <col min="195" max="195" width="10.42578125" style="66" bestFit="1" customWidth="1"/>
    <col min="196" max="199" width="9.140625" style="66" customWidth="1"/>
    <col min="200" max="200" width="9.28515625" style="66" customWidth="1"/>
    <col min="201" max="203" width="9.140625" style="66" customWidth="1"/>
    <col min="204" max="204" width="9.7109375" style="66" customWidth="1"/>
    <col min="205" max="206" width="9.140625" style="66" customWidth="1"/>
    <col min="207" max="207" width="9.140625" style="66" hidden="1" customWidth="1"/>
    <col min="208" max="209" width="9.140625" style="66" customWidth="1"/>
    <col min="210" max="210" width="9.140625" style="66" hidden="1" customWidth="1"/>
    <col min="211" max="211" width="9.85546875" style="66" bestFit="1" customWidth="1"/>
    <col min="212" max="212" width="9.140625" style="66" customWidth="1"/>
    <col min="213" max="213" width="13.140625" style="66" customWidth="1"/>
    <col min="214" max="214" width="9.85546875" style="66" customWidth="1"/>
    <col min="215" max="215" width="9.140625" style="66" customWidth="1"/>
    <col min="216" max="218" width="11.5703125" style="66" customWidth="1"/>
    <col min="219" max="219" width="12.7109375" style="66" customWidth="1"/>
    <col min="220" max="221" width="11.5703125" style="66" customWidth="1"/>
    <col min="222" max="222" width="11.5703125" style="66" hidden="1" customWidth="1"/>
    <col min="223" max="223" width="2.28515625" style="66" customWidth="1"/>
    <col min="224" max="224" width="9.140625" style="66" customWidth="1"/>
    <col min="225" max="225" width="0" style="66" hidden="1" customWidth="1"/>
    <col min="226" max="232" width="11.5703125" style="66"/>
    <col min="233" max="235" width="14.42578125" style="66" bestFit="1" customWidth="1"/>
    <col min="236" max="237" width="13.28515625" style="66" bestFit="1" customWidth="1"/>
    <col min="238" max="238" width="14.42578125" style="66" bestFit="1" customWidth="1"/>
    <col min="239" max="16384" width="11.5703125" style="66"/>
  </cols>
  <sheetData>
    <row r="1" spans="1:238" x14ac:dyDescent="0.25">
      <c r="A1" s="1"/>
      <c r="B1" s="1"/>
      <c r="C1" s="1"/>
      <c r="HE1" s="1051" t="s">
        <v>356</v>
      </c>
      <c r="HF1" s="1051"/>
      <c r="HG1" s="1051"/>
      <c r="HH1" s="1051"/>
      <c r="HI1" s="1051"/>
      <c r="HJ1" s="1051"/>
      <c r="HK1" s="1051"/>
      <c r="HL1" s="1051"/>
      <c r="HM1" s="1051"/>
      <c r="HN1" s="1051"/>
    </row>
    <row r="2" spans="1:238" x14ac:dyDescent="0.25">
      <c r="A2" s="148"/>
      <c r="B2" s="148"/>
      <c r="C2" s="1051" t="s">
        <v>354</v>
      </c>
      <c r="D2" s="1051"/>
      <c r="E2" s="1051"/>
      <c r="F2" s="1051"/>
      <c r="G2" s="1051"/>
      <c r="H2" s="1051"/>
      <c r="I2" s="1051"/>
      <c r="J2" s="1051"/>
      <c r="K2" s="1051"/>
      <c r="L2" s="1051"/>
      <c r="M2" s="1051"/>
      <c r="N2" s="1051"/>
      <c r="O2" s="1051"/>
      <c r="P2" s="1051"/>
      <c r="Q2" s="1051"/>
      <c r="R2" s="1051"/>
      <c r="S2" s="1051"/>
      <c r="T2" s="1051"/>
      <c r="U2" s="1051"/>
      <c r="V2" s="1051"/>
      <c r="W2" s="1051"/>
      <c r="X2" s="1051"/>
      <c r="Y2" s="1051"/>
      <c r="Z2" s="1051"/>
      <c r="AA2" s="1051"/>
      <c r="AB2" s="1051"/>
      <c r="AC2" s="1051"/>
      <c r="AD2" s="1051"/>
      <c r="AE2" s="1051"/>
      <c r="AF2" s="1051"/>
      <c r="AG2" s="1051"/>
      <c r="AH2" s="1051"/>
      <c r="AI2" s="1051"/>
      <c r="AJ2" s="1051"/>
      <c r="AK2" s="1051"/>
      <c r="AN2" s="1051" t="s">
        <v>354</v>
      </c>
      <c r="AO2" s="1051"/>
      <c r="AP2" s="1051"/>
      <c r="AQ2" s="1051"/>
      <c r="AR2" s="1051"/>
      <c r="AS2" s="1051"/>
      <c r="AT2" s="1051"/>
      <c r="AU2" s="1051"/>
      <c r="AV2" s="1051"/>
      <c r="AW2" s="1051"/>
      <c r="AX2" s="1051"/>
      <c r="AY2" s="1051"/>
      <c r="AZ2" s="1051"/>
      <c r="BA2" s="1051"/>
      <c r="BB2" s="1051"/>
      <c r="BC2" s="1051"/>
      <c r="BD2" s="1051"/>
      <c r="BE2" s="1051"/>
      <c r="BF2" s="1051"/>
      <c r="BG2" s="1051"/>
      <c r="BH2" s="1051"/>
      <c r="BI2" s="1051"/>
      <c r="BJ2" s="1051"/>
      <c r="BK2" s="1051"/>
      <c r="BL2" s="1051"/>
      <c r="BM2" s="1051"/>
      <c r="BN2" s="1051"/>
      <c r="BO2" s="1051"/>
      <c r="BP2" s="1051"/>
      <c r="BQ2" s="1051"/>
      <c r="BR2" s="1051"/>
      <c r="BS2" s="1051"/>
      <c r="BT2" s="1051"/>
      <c r="BU2" s="1051"/>
      <c r="BV2" s="1051"/>
      <c r="BY2" s="1051" t="s">
        <v>354</v>
      </c>
      <c r="BZ2" s="1051"/>
      <c r="CA2" s="1051"/>
      <c r="CB2" s="1051"/>
      <c r="CC2" s="1051"/>
      <c r="CD2" s="1051"/>
      <c r="CE2" s="1051"/>
      <c r="CF2" s="1051"/>
      <c r="CG2" s="1051"/>
      <c r="CH2" s="1051"/>
      <c r="CI2" s="1051"/>
      <c r="CJ2" s="1051"/>
      <c r="CK2" s="1051"/>
      <c r="CL2" s="1051"/>
      <c r="CM2" s="1051"/>
      <c r="CN2" s="1051"/>
      <c r="CO2" s="1051"/>
      <c r="CP2" s="1051"/>
      <c r="CQ2" s="1051"/>
      <c r="CR2" s="1051"/>
      <c r="CS2" s="1051"/>
      <c r="CT2" s="1051"/>
      <c r="CU2" s="1051"/>
      <c r="CV2" s="1051"/>
      <c r="CW2" s="1051"/>
      <c r="CX2" s="1051"/>
      <c r="CY2" s="1051"/>
      <c r="CZ2" s="1051"/>
      <c r="DA2" s="1051"/>
      <c r="DB2" s="1051"/>
      <c r="DC2" s="1051"/>
      <c r="DD2" s="1051"/>
      <c r="DE2" s="1051"/>
      <c r="DF2" s="1051"/>
      <c r="DG2" s="1051"/>
      <c r="DJ2" s="1051" t="s">
        <v>354</v>
      </c>
      <c r="DK2" s="1051"/>
      <c r="DL2" s="1051"/>
      <c r="DM2" s="1051"/>
      <c r="DN2" s="1051"/>
      <c r="DO2" s="1051"/>
      <c r="DP2" s="1051"/>
      <c r="DQ2" s="1051"/>
      <c r="DR2" s="1051"/>
      <c r="DS2" s="1051"/>
      <c r="DT2" s="1051"/>
      <c r="DU2" s="1051"/>
      <c r="DV2" s="1051"/>
      <c r="DW2" s="1051"/>
      <c r="DX2" s="1051"/>
      <c r="DY2" s="1051"/>
      <c r="DZ2" s="1051"/>
      <c r="EA2" s="1051"/>
      <c r="EB2" s="1051"/>
      <c r="EC2" s="1051"/>
      <c r="ED2" s="1051"/>
      <c r="EE2" s="1051"/>
      <c r="EF2" s="1051"/>
      <c r="EG2" s="1051"/>
      <c r="EH2" s="1051"/>
      <c r="EI2" s="1051"/>
      <c r="EJ2" s="1051"/>
      <c r="EK2" s="1051"/>
      <c r="EL2" s="1051"/>
      <c r="EM2" s="1051"/>
      <c r="EN2" s="1051"/>
      <c r="EO2" s="1051"/>
      <c r="EP2" s="1051"/>
      <c r="EQ2" s="1051"/>
      <c r="ER2" s="1051"/>
      <c r="EU2" s="1051" t="s">
        <v>354</v>
      </c>
      <c r="EV2" s="1051"/>
      <c r="EW2" s="1051"/>
      <c r="EX2" s="1051"/>
      <c r="EY2" s="1051"/>
      <c r="EZ2" s="1051"/>
      <c r="FA2" s="1051"/>
      <c r="FB2" s="1051"/>
      <c r="FC2" s="1051"/>
      <c r="FD2" s="1051"/>
      <c r="FE2" s="1051"/>
      <c r="FF2" s="1051"/>
      <c r="FG2" s="1051"/>
      <c r="FH2" s="1051"/>
      <c r="FI2" s="1051"/>
      <c r="FJ2" s="1051"/>
      <c r="FK2" s="1051"/>
      <c r="FL2" s="1051"/>
      <c r="FM2" s="1051"/>
      <c r="FN2" s="1051"/>
      <c r="FO2" s="1051"/>
      <c r="FP2" s="1051"/>
      <c r="FQ2" s="1051"/>
      <c r="FR2" s="1051"/>
      <c r="FS2" s="1051"/>
      <c r="FT2" s="1051"/>
      <c r="FU2" s="1051"/>
      <c r="FV2" s="1051"/>
      <c r="FW2" s="1051"/>
      <c r="FX2" s="1051"/>
      <c r="FY2" s="1051"/>
      <c r="FZ2" s="1051"/>
      <c r="GA2" s="1051"/>
      <c r="GB2" s="1051"/>
      <c r="GC2" s="1051"/>
      <c r="GF2" s="1051" t="s">
        <v>354</v>
      </c>
      <c r="GG2" s="1051"/>
      <c r="GH2" s="1051"/>
      <c r="GI2" s="1051"/>
      <c r="GJ2" s="1051"/>
      <c r="GK2" s="1051"/>
      <c r="GL2" s="1051"/>
      <c r="GM2" s="1051"/>
      <c r="GN2" s="1051"/>
      <c r="GO2" s="1051"/>
      <c r="GP2" s="1051"/>
      <c r="GQ2" s="1051"/>
      <c r="GR2" s="1051"/>
      <c r="GS2" s="1051"/>
      <c r="GT2" s="1051"/>
      <c r="GU2" s="1051"/>
      <c r="GV2" s="1051"/>
      <c r="GW2" s="1051"/>
      <c r="GX2" s="1051"/>
      <c r="GY2" s="1051"/>
      <c r="GZ2" s="1051"/>
      <c r="HA2" s="1051"/>
      <c r="HB2" s="1051"/>
      <c r="HC2" s="1051"/>
      <c r="HD2" s="1051"/>
      <c r="HE2" s="1051"/>
      <c r="HF2" s="1051"/>
      <c r="HG2" s="1051"/>
      <c r="HH2" s="1051"/>
      <c r="HI2" s="1051"/>
      <c r="HJ2" s="1051"/>
      <c r="HK2" s="1051"/>
      <c r="HL2" s="1051"/>
      <c r="HM2" s="1051"/>
      <c r="HN2" s="1051"/>
    </row>
    <row r="3" spans="1:238" ht="15.75" customHeight="1" x14ac:dyDescent="0.25">
      <c r="A3" s="145"/>
      <c r="B3" s="145"/>
      <c r="C3" s="1034" t="s">
        <v>355</v>
      </c>
      <c r="D3" s="1034"/>
      <c r="E3" s="1034"/>
      <c r="F3" s="1034"/>
      <c r="G3" s="1034"/>
      <c r="H3" s="1034"/>
      <c r="I3" s="1034"/>
      <c r="J3" s="1034"/>
      <c r="K3" s="1034"/>
      <c r="L3" s="1034"/>
      <c r="M3" s="1034"/>
      <c r="N3" s="1034"/>
      <c r="O3" s="1034"/>
      <c r="P3" s="1034"/>
      <c r="Q3" s="1034"/>
      <c r="R3" s="1034"/>
      <c r="S3" s="1034"/>
      <c r="T3" s="1034"/>
      <c r="U3" s="1034"/>
      <c r="V3" s="1034"/>
      <c r="W3" s="1034"/>
      <c r="X3" s="1034"/>
      <c r="Y3" s="1034"/>
      <c r="Z3" s="1034"/>
      <c r="AA3" s="1034"/>
      <c r="AB3" s="1034"/>
      <c r="AC3" s="1034"/>
      <c r="AD3" s="1034"/>
      <c r="AE3" s="1034"/>
      <c r="AF3" s="1034"/>
      <c r="AG3" s="1034"/>
      <c r="AH3" s="1034"/>
      <c r="AI3" s="1034"/>
      <c r="AJ3" s="1034"/>
      <c r="AK3" s="1034"/>
      <c r="AN3" s="1034" t="s">
        <v>355</v>
      </c>
      <c r="AO3" s="1034"/>
      <c r="AP3" s="1034"/>
      <c r="AQ3" s="1034"/>
      <c r="AR3" s="1034"/>
      <c r="AS3" s="1034"/>
      <c r="AT3" s="1034"/>
      <c r="AU3" s="1034"/>
      <c r="AV3" s="1034"/>
      <c r="AW3" s="1034"/>
      <c r="AX3" s="1034"/>
      <c r="AY3" s="1034"/>
      <c r="AZ3" s="1034"/>
      <c r="BA3" s="1034"/>
      <c r="BB3" s="1034"/>
      <c r="BC3" s="1034"/>
      <c r="BD3" s="1034"/>
      <c r="BE3" s="1034"/>
      <c r="BF3" s="1034"/>
      <c r="BG3" s="1034"/>
      <c r="BH3" s="1034"/>
      <c r="BI3" s="1034"/>
      <c r="BJ3" s="1034"/>
      <c r="BK3" s="1034"/>
      <c r="BL3" s="1034"/>
      <c r="BM3" s="1034"/>
      <c r="BN3" s="1034"/>
      <c r="BO3" s="1034"/>
      <c r="BP3" s="1034"/>
      <c r="BQ3" s="1034"/>
      <c r="BR3" s="1034"/>
      <c r="BS3" s="1034"/>
      <c r="BT3" s="1034"/>
      <c r="BU3" s="1034"/>
      <c r="BV3" s="1034"/>
      <c r="BY3" s="1034" t="s">
        <v>355</v>
      </c>
      <c r="BZ3" s="1034"/>
      <c r="CA3" s="1034"/>
      <c r="CB3" s="1034"/>
      <c r="CC3" s="1034"/>
      <c r="CD3" s="1034"/>
      <c r="CE3" s="1034"/>
      <c r="CF3" s="1034"/>
      <c r="CG3" s="1034"/>
      <c r="CH3" s="1034"/>
      <c r="CI3" s="1034"/>
      <c r="CJ3" s="1034"/>
      <c r="CK3" s="1034"/>
      <c r="CL3" s="1034"/>
      <c r="CM3" s="1034"/>
      <c r="CN3" s="1034"/>
      <c r="CO3" s="1034"/>
      <c r="CP3" s="1034"/>
      <c r="CQ3" s="1034"/>
      <c r="CR3" s="1034"/>
      <c r="CS3" s="1034"/>
      <c r="CT3" s="1034"/>
      <c r="CU3" s="1034"/>
      <c r="CV3" s="1034"/>
      <c r="CW3" s="1034"/>
      <c r="CX3" s="1034"/>
      <c r="CY3" s="1034"/>
      <c r="CZ3" s="1034"/>
      <c r="DA3" s="1034"/>
      <c r="DB3" s="1034"/>
      <c r="DC3" s="1034"/>
      <c r="DD3" s="1034"/>
      <c r="DE3" s="1034"/>
      <c r="DF3" s="1034"/>
      <c r="DG3" s="1034"/>
      <c r="DJ3" s="1034" t="s">
        <v>355</v>
      </c>
      <c r="DK3" s="1034"/>
      <c r="DL3" s="1034"/>
      <c r="DM3" s="1034"/>
      <c r="DN3" s="1034"/>
      <c r="DO3" s="1034"/>
      <c r="DP3" s="1034"/>
      <c r="DQ3" s="1034"/>
      <c r="DR3" s="1034"/>
      <c r="DS3" s="1034"/>
      <c r="DT3" s="1034"/>
      <c r="DU3" s="1034"/>
      <c r="DV3" s="1034"/>
      <c r="DW3" s="1034"/>
      <c r="DX3" s="1034"/>
      <c r="DY3" s="1034"/>
      <c r="DZ3" s="1034"/>
      <c r="EA3" s="1034"/>
      <c r="EB3" s="1034"/>
      <c r="EC3" s="1034"/>
      <c r="ED3" s="1034"/>
      <c r="EE3" s="1034"/>
      <c r="EF3" s="1034"/>
      <c r="EG3" s="1034"/>
      <c r="EH3" s="1034"/>
      <c r="EI3" s="1034"/>
      <c r="EJ3" s="1034"/>
      <c r="EK3" s="1034"/>
      <c r="EL3" s="1034"/>
      <c r="EM3" s="1034"/>
      <c r="EN3" s="1034"/>
      <c r="EO3" s="1034"/>
      <c r="EP3" s="1034"/>
      <c r="EQ3" s="1034"/>
      <c r="ER3" s="1034"/>
      <c r="EU3" s="1034" t="s">
        <v>355</v>
      </c>
      <c r="EV3" s="1034"/>
      <c r="EW3" s="1034"/>
      <c r="EX3" s="1034"/>
      <c r="EY3" s="1034"/>
      <c r="EZ3" s="1034"/>
      <c r="FA3" s="1034"/>
      <c r="FB3" s="1034"/>
      <c r="FC3" s="1034"/>
      <c r="FD3" s="1034"/>
      <c r="FE3" s="1034"/>
      <c r="FF3" s="1034"/>
      <c r="FG3" s="1034"/>
      <c r="FH3" s="1034"/>
      <c r="FI3" s="1034"/>
      <c r="FJ3" s="1034"/>
      <c r="FK3" s="1034"/>
      <c r="FL3" s="1034"/>
      <c r="FM3" s="1034"/>
      <c r="FN3" s="1034"/>
      <c r="FO3" s="1034"/>
      <c r="FP3" s="1034"/>
      <c r="FQ3" s="1034"/>
      <c r="FR3" s="1034"/>
      <c r="FS3" s="1034"/>
      <c r="FT3" s="1034"/>
      <c r="FU3" s="1034"/>
      <c r="FV3" s="1034"/>
      <c r="FW3" s="1034"/>
      <c r="FX3" s="1034"/>
      <c r="FY3" s="1034"/>
      <c r="FZ3" s="1034"/>
      <c r="GA3" s="1034"/>
      <c r="GB3" s="1034"/>
      <c r="GC3" s="1034"/>
      <c r="GF3" s="1034" t="s">
        <v>355</v>
      </c>
      <c r="GG3" s="1034"/>
      <c r="GH3" s="1034"/>
      <c r="GI3" s="1034"/>
      <c r="GJ3" s="1034"/>
      <c r="GK3" s="1034"/>
      <c r="GL3" s="1034"/>
      <c r="GM3" s="1034"/>
      <c r="GN3" s="1034"/>
      <c r="GO3" s="1034"/>
      <c r="GP3" s="1034"/>
      <c r="GQ3" s="1034"/>
      <c r="GR3" s="1034"/>
      <c r="GS3" s="1034"/>
      <c r="GT3" s="1034"/>
      <c r="GU3" s="1034"/>
      <c r="GV3" s="1034"/>
      <c r="GW3" s="1034"/>
      <c r="GX3" s="1034"/>
      <c r="GY3" s="1034"/>
      <c r="GZ3" s="1034"/>
      <c r="HA3" s="1034"/>
      <c r="HB3" s="1034"/>
      <c r="HC3" s="1034"/>
      <c r="HD3" s="1034"/>
      <c r="HE3" s="1034"/>
      <c r="HF3" s="1034"/>
      <c r="HG3" s="1034"/>
      <c r="HH3" s="1034"/>
      <c r="HI3" s="1034"/>
      <c r="HJ3" s="1034"/>
      <c r="HK3" s="1034"/>
      <c r="HL3" s="1034"/>
      <c r="HM3" s="1034"/>
      <c r="HN3" s="1034"/>
    </row>
    <row r="4" spans="1:238" x14ac:dyDescent="0.25">
      <c r="A4" s="147"/>
      <c r="B4" s="147"/>
      <c r="C4" s="1058" t="s">
        <v>238</v>
      </c>
      <c r="D4" s="1058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N4" s="1058" t="s">
        <v>238</v>
      </c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Y4" s="1058" t="s">
        <v>238</v>
      </c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J4" s="1058" t="s">
        <v>238</v>
      </c>
      <c r="DK4" s="1058"/>
      <c r="DL4" s="1058"/>
      <c r="DM4" s="1058"/>
      <c r="DN4" s="1058"/>
      <c r="DO4" s="1058"/>
      <c r="DP4" s="1058"/>
      <c r="DQ4" s="1058"/>
      <c r="DR4" s="1058"/>
      <c r="DS4" s="1058"/>
      <c r="DT4" s="1058"/>
      <c r="DU4" s="1058"/>
      <c r="DV4" s="1058"/>
      <c r="DW4" s="1058"/>
      <c r="DX4" s="1058"/>
      <c r="DY4" s="1058"/>
      <c r="DZ4" s="1058"/>
      <c r="EA4" s="1058"/>
      <c r="EB4" s="1058"/>
      <c r="EC4" s="1058"/>
      <c r="ED4" s="1058"/>
      <c r="EE4" s="1058"/>
      <c r="EF4" s="1058"/>
      <c r="EG4" s="1058"/>
      <c r="EH4" s="1058"/>
      <c r="EI4" s="1058"/>
      <c r="EJ4" s="1058"/>
      <c r="EK4" s="1058"/>
      <c r="EL4" s="1058"/>
      <c r="EM4" s="1058"/>
      <c r="EN4" s="1058"/>
      <c r="EO4" s="1058"/>
      <c r="EP4" s="1058"/>
      <c r="EQ4" s="1058"/>
      <c r="ER4" s="1058"/>
      <c r="EU4" s="1058" t="s">
        <v>238</v>
      </c>
      <c r="EV4" s="1058"/>
      <c r="EW4" s="1058"/>
      <c r="EX4" s="1058"/>
      <c r="EY4" s="1058"/>
      <c r="EZ4" s="1058"/>
      <c r="FA4" s="1058"/>
      <c r="FB4" s="1058"/>
      <c r="FC4" s="1058"/>
      <c r="FD4" s="1058"/>
      <c r="FE4" s="1058"/>
      <c r="FF4" s="1058"/>
      <c r="FG4" s="1058"/>
      <c r="FH4" s="1058"/>
      <c r="FI4" s="1058"/>
      <c r="FJ4" s="1058"/>
      <c r="FK4" s="1058"/>
      <c r="FL4" s="1058"/>
      <c r="FM4" s="1058"/>
      <c r="FN4" s="1058"/>
      <c r="FO4" s="1058"/>
      <c r="FP4" s="1058"/>
      <c r="FQ4" s="1058"/>
      <c r="FR4" s="1058"/>
      <c r="FS4" s="1058"/>
      <c r="FT4" s="1058"/>
      <c r="FU4" s="1058"/>
      <c r="FV4" s="1058"/>
      <c r="FW4" s="1058"/>
      <c r="FX4" s="1058"/>
      <c r="FY4" s="1058"/>
      <c r="FZ4" s="1058"/>
      <c r="GA4" s="1058"/>
      <c r="GB4" s="1058"/>
      <c r="GC4" s="1058"/>
      <c r="GF4" s="1058" t="s">
        <v>238</v>
      </c>
      <c r="GG4" s="1058"/>
      <c r="GH4" s="1058"/>
      <c r="GI4" s="1058"/>
      <c r="GJ4" s="1058"/>
      <c r="GK4" s="1058"/>
      <c r="GL4" s="1058"/>
      <c r="GM4" s="1058"/>
      <c r="GN4" s="1058"/>
      <c r="GO4" s="1058"/>
      <c r="GP4" s="1058"/>
      <c r="GQ4" s="1058"/>
      <c r="GR4" s="1058"/>
      <c r="GS4" s="1058"/>
      <c r="GT4" s="1058"/>
      <c r="GU4" s="1058"/>
      <c r="GV4" s="1058"/>
      <c r="GW4" s="1058"/>
      <c r="GX4" s="1058"/>
      <c r="GY4" s="1058"/>
      <c r="GZ4" s="1058"/>
      <c r="HA4" s="1058"/>
      <c r="HB4" s="1058"/>
      <c r="HC4" s="1058"/>
      <c r="HD4" s="1058"/>
      <c r="HE4" s="1058"/>
      <c r="HF4" s="1058"/>
      <c r="HG4" s="1058"/>
      <c r="HH4" s="1058"/>
      <c r="HI4" s="1058"/>
      <c r="HJ4" s="1058"/>
      <c r="HK4" s="1058"/>
      <c r="HL4" s="1058"/>
      <c r="HM4" s="1058"/>
      <c r="HN4" s="1058"/>
    </row>
    <row r="5" spans="1:238" ht="15.75" customHeight="1" x14ac:dyDescent="0.25">
      <c r="A5" s="146"/>
      <c r="B5" s="146"/>
      <c r="C5" s="1059" t="s">
        <v>265</v>
      </c>
      <c r="D5" s="1059"/>
      <c r="E5" s="1059"/>
      <c r="F5" s="1059"/>
      <c r="G5" s="1059"/>
      <c r="H5" s="1059"/>
      <c r="I5" s="1059"/>
      <c r="J5" s="1059"/>
      <c r="K5" s="1059"/>
      <c r="L5" s="1059"/>
      <c r="M5" s="1059"/>
      <c r="N5" s="1059"/>
      <c r="O5" s="1059"/>
      <c r="P5" s="1059"/>
      <c r="Q5" s="1059"/>
      <c r="R5" s="1059"/>
      <c r="S5" s="1059"/>
      <c r="T5" s="1059"/>
      <c r="U5" s="1059"/>
      <c r="V5" s="1059"/>
      <c r="W5" s="1059"/>
      <c r="X5" s="1059"/>
      <c r="Y5" s="1059"/>
      <c r="Z5" s="1059"/>
      <c r="AA5" s="1059"/>
      <c r="AB5" s="1059"/>
      <c r="AC5" s="1059"/>
      <c r="AD5" s="1059"/>
      <c r="AE5" s="1059"/>
      <c r="AF5" s="1059"/>
      <c r="AG5" s="1059"/>
      <c r="AH5" s="1059"/>
      <c r="AI5" s="1059"/>
      <c r="AJ5" s="1059"/>
      <c r="AK5" s="1059"/>
      <c r="AN5" s="1059" t="s">
        <v>265</v>
      </c>
      <c r="AO5" s="1059"/>
      <c r="AP5" s="1059"/>
      <c r="AQ5" s="1059"/>
      <c r="AR5" s="1059"/>
      <c r="AS5" s="1059"/>
      <c r="AT5" s="1059"/>
      <c r="AU5" s="1059"/>
      <c r="AV5" s="1059"/>
      <c r="AW5" s="1059"/>
      <c r="AX5" s="1059"/>
      <c r="AY5" s="1059"/>
      <c r="AZ5" s="1059"/>
      <c r="BA5" s="1059"/>
      <c r="BB5" s="1059"/>
      <c r="BC5" s="1059"/>
      <c r="BD5" s="1059"/>
      <c r="BE5" s="1059"/>
      <c r="BF5" s="1059"/>
      <c r="BG5" s="1059"/>
      <c r="BH5" s="1059"/>
      <c r="BI5" s="1059"/>
      <c r="BJ5" s="1059"/>
      <c r="BK5" s="1059"/>
      <c r="BL5" s="1059"/>
      <c r="BM5" s="1059"/>
      <c r="BN5" s="1059"/>
      <c r="BO5" s="1059"/>
      <c r="BP5" s="1059"/>
      <c r="BQ5" s="1059"/>
      <c r="BR5" s="1059"/>
      <c r="BS5" s="1059"/>
      <c r="BT5" s="1059"/>
      <c r="BU5" s="1059"/>
      <c r="BV5" s="1059"/>
      <c r="BY5" s="1059" t="s">
        <v>265</v>
      </c>
      <c r="BZ5" s="1059"/>
      <c r="CA5" s="1059"/>
      <c r="CB5" s="1059"/>
      <c r="CC5" s="1059"/>
      <c r="CD5" s="1059"/>
      <c r="CE5" s="1059"/>
      <c r="CF5" s="1059"/>
      <c r="CG5" s="1059"/>
      <c r="CH5" s="1059"/>
      <c r="CI5" s="1059"/>
      <c r="CJ5" s="1059"/>
      <c r="CK5" s="1059"/>
      <c r="CL5" s="1059"/>
      <c r="CM5" s="1059"/>
      <c r="CN5" s="1059"/>
      <c r="CO5" s="1059"/>
      <c r="CP5" s="1059"/>
      <c r="CQ5" s="1059"/>
      <c r="CR5" s="1059"/>
      <c r="CS5" s="1059"/>
      <c r="CT5" s="1059"/>
      <c r="CU5" s="1059"/>
      <c r="CV5" s="1059"/>
      <c r="CW5" s="1059"/>
      <c r="CX5" s="1059"/>
      <c r="CY5" s="1059"/>
      <c r="CZ5" s="1059"/>
      <c r="DA5" s="1059"/>
      <c r="DB5" s="1059"/>
      <c r="DC5" s="1059"/>
      <c r="DD5" s="1059"/>
      <c r="DE5" s="1059"/>
      <c r="DF5" s="1059"/>
      <c r="DG5" s="1059"/>
      <c r="DJ5" s="1059" t="s">
        <v>265</v>
      </c>
      <c r="DK5" s="1059"/>
      <c r="DL5" s="1059"/>
      <c r="DM5" s="1059"/>
      <c r="DN5" s="1059"/>
      <c r="DO5" s="1059"/>
      <c r="DP5" s="1059"/>
      <c r="DQ5" s="1059"/>
      <c r="DR5" s="1059"/>
      <c r="DS5" s="1059"/>
      <c r="DT5" s="1059"/>
      <c r="DU5" s="1059"/>
      <c r="DV5" s="1059"/>
      <c r="DW5" s="1059"/>
      <c r="DX5" s="1059"/>
      <c r="DY5" s="1059"/>
      <c r="DZ5" s="1059"/>
      <c r="EA5" s="1059"/>
      <c r="EB5" s="1059"/>
      <c r="EC5" s="1059"/>
      <c r="ED5" s="1059"/>
      <c r="EE5" s="1059"/>
      <c r="EF5" s="1059"/>
      <c r="EG5" s="1059"/>
      <c r="EH5" s="1059"/>
      <c r="EI5" s="1059"/>
      <c r="EJ5" s="1059"/>
      <c r="EK5" s="1059"/>
      <c r="EL5" s="1059"/>
      <c r="EM5" s="1059"/>
      <c r="EN5" s="1059"/>
      <c r="EO5" s="1059"/>
      <c r="EP5" s="1059"/>
      <c r="EQ5" s="1059"/>
      <c r="ER5" s="1059"/>
      <c r="EU5" s="1059" t="s">
        <v>265</v>
      </c>
      <c r="EV5" s="1059"/>
      <c r="EW5" s="1059"/>
      <c r="EX5" s="1059"/>
      <c r="EY5" s="1059"/>
      <c r="EZ5" s="1059"/>
      <c r="FA5" s="1059"/>
      <c r="FB5" s="1059"/>
      <c r="FC5" s="1059"/>
      <c r="FD5" s="1059"/>
      <c r="FE5" s="1059"/>
      <c r="FF5" s="1059"/>
      <c r="FG5" s="1059"/>
      <c r="FH5" s="1059"/>
      <c r="FI5" s="1059"/>
      <c r="FJ5" s="1059"/>
      <c r="FK5" s="1059"/>
      <c r="FL5" s="1059"/>
      <c r="FM5" s="1059"/>
      <c r="FN5" s="1059"/>
      <c r="FO5" s="1059"/>
      <c r="FP5" s="1059"/>
      <c r="FQ5" s="1059"/>
      <c r="FR5" s="1059"/>
      <c r="FS5" s="1059"/>
      <c r="FT5" s="1059"/>
      <c r="FU5" s="1059"/>
      <c r="FV5" s="1059"/>
      <c r="FW5" s="1059"/>
      <c r="FX5" s="1059"/>
      <c r="FY5" s="1059"/>
      <c r="FZ5" s="1059"/>
      <c r="GA5" s="1059"/>
      <c r="GB5" s="1059"/>
      <c r="GC5" s="1059"/>
      <c r="GF5" s="1059" t="s">
        <v>265</v>
      </c>
      <c r="GG5" s="1059"/>
      <c r="GH5" s="1059"/>
      <c r="GI5" s="1059"/>
      <c r="GJ5" s="1059"/>
      <c r="GK5" s="1059"/>
      <c r="GL5" s="1059"/>
      <c r="GM5" s="1059"/>
      <c r="GN5" s="1059"/>
      <c r="GO5" s="1059"/>
      <c r="GP5" s="1059"/>
      <c r="GQ5" s="1059"/>
      <c r="GR5" s="1059"/>
      <c r="GS5" s="1059"/>
      <c r="GT5" s="1059"/>
      <c r="GU5" s="1059"/>
      <c r="GV5" s="1059"/>
      <c r="GW5" s="1059"/>
      <c r="GX5" s="1059"/>
      <c r="GY5" s="1059"/>
      <c r="GZ5" s="1059"/>
      <c r="HA5" s="1059"/>
      <c r="HB5" s="1059"/>
      <c r="HC5" s="1059"/>
      <c r="HD5" s="1059"/>
      <c r="HE5" s="1059"/>
      <c r="HF5" s="1059"/>
      <c r="HG5" s="1059"/>
      <c r="HH5" s="1059"/>
      <c r="HI5" s="1059"/>
      <c r="HJ5" s="1059"/>
      <c r="HK5" s="1059"/>
      <c r="HL5" s="1059"/>
      <c r="HM5" s="1059"/>
      <c r="HN5" s="1059"/>
    </row>
    <row r="6" spans="1:238" s="113" customFormat="1" x14ac:dyDescent="0.25">
      <c r="B6" s="1057" t="s">
        <v>496</v>
      </c>
      <c r="C6" s="1057"/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  <c r="O6" s="1057"/>
      <c r="P6" s="1057"/>
      <c r="Q6" s="1057"/>
      <c r="R6" s="1057"/>
      <c r="S6" s="1057"/>
      <c r="T6" s="1057"/>
      <c r="U6" s="1057"/>
      <c r="V6" s="1057"/>
      <c r="W6" s="1057"/>
      <c r="X6" s="1057"/>
      <c r="Y6" s="1057"/>
      <c r="Z6" s="1057"/>
      <c r="AA6" s="1057"/>
      <c r="AB6" s="1057"/>
      <c r="AC6" s="1057"/>
      <c r="AD6" s="1057"/>
      <c r="AE6" s="1057"/>
      <c r="AF6" s="1057"/>
      <c r="AG6" s="1057"/>
      <c r="AH6" s="1057"/>
      <c r="AI6" s="1057"/>
      <c r="AJ6" s="1057"/>
      <c r="AK6" s="1057"/>
      <c r="AM6" s="1057" t="s">
        <v>490</v>
      </c>
      <c r="AN6" s="1057"/>
      <c r="AO6" s="1057"/>
      <c r="AP6" s="1057"/>
      <c r="AQ6" s="1057"/>
      <c r="AR6" s="1057"/>
      <c r="AS6" s="1057"/>
      <c r="AT6" s="1057"/>
      <c r="AU6" s="1057"/>
      <c r="AV6" s="1057"/>
      <c r="AW6" s="1057"/>
      <c r="AX6" s="1057"/>
      <c r="AY6" s="1057"/>
      <c r="AZ6" s="1057"/>
      <c r="BA6" s="1057"/>
      <c r="BB6" s="1057"/>
      <c r="BC6" s="1057"/>
      <c r="BD6" s="1057"/>
      <c r="BE6" s="1057"/>
      <c r="BF6" s="1057"/>
      <c r="BG6" s="1057"/>
      <c r="BH6" s="1057"/>
      <c r="BI6" s="1057"/>
      <c r="BJ6" s="1057"/>
      <c r="BK6" s="1057"/>
      <c r="BL6" s="1057"/>
      <c r="BM6" s="1057"/>
      <c r="BN6" s="1057"/>
      <c r="BO6" s="1057"/>
      <c r="BP6" s="1057"/>
      <c r="BQ6" s="1057"/>
      <c r="BR6" s="1057"/>
      <c r="BS6" s="1057"/>
      <c r="BT6" s="1057"/>
      <c r="BU6" s="1057"/>
      <c r="BV6" s="1057"/>
      <c r="BX6" s="1057" t="s">
        <v>450</v>
      </c>
      <c r="BY6" s="1057"/>
      <c r="BZ6" s="1057"/>
      <c r="CA6" s="1057"/>
      <c r="CB6" s="1057"/>
      <c r="CC6" s="1057"/>
      <c r="CD6" s="1057"/>
      <c r="CE6" s="1057"/>
      <c r="CF6" s="1057"/>
      <c r="CG6" s="1057"/>
      <c r="CH6" s="1057"/>
      <c r="CI6" s="1057"/>
      <c r="CJ6" s="1057"/>
      <c r="CK6" s="1057"/>
      <c r="CL6" s="1057"/>
      <c r="CM6" s="1057"/>
      <c r="CN6" s="1057"/>
      <c r="CO6" s="1057"/>
      <c r="CP6" s="1057"/>
      <c r="CQ6" s="1057"/>
      <c r="CR6" s="1057"/>
      <c r="CS6" s="1057"/>
      <c r="CT6" s="1057"/>
      <c r="CU6" s="1057"/>
      <c r="CV6" s="1057"/>
      <c r="CW6" s="1057"/>
      <c r="CX6" s="1057"/>
      <c r="CY6" s="1057"/>
      <c r="CZ6" s="1057"/>
      <c r="DA6" s="1057"/>
      <c r="DB6" s="1057"/>
      <c r="DC6" s="1057"/>
      <c r="DD6" s="1057"/>
      <c r="DE6" s="1057"/>
      <c r="DF6" s="1057"/>
      <c r="DG6" s="1057"/>
      <c r="DI6" s="1057" t="s">
        <v>449</v>
      </c>
      <c r="DJ6" s="1057"/>
      <c r="DK6" s="1057"/>
      <c r="DL6" s="1057"/>
      <c r="DM6" s="1057"/>
      <c r="DN6" s="1057"/>
      <c r="DO6" s="1057"/>
      <c r="DP6" s="1057"/>
      <c r="DQ6" s="1057"/>
      <c r="DR6" s="1057"/>
      <c r="DS6" s="1057"/>
      <c r="DT6" s="1057"/>
      <c r="DU6" s="1057"/>
      <c r="DV6" s="1057"/>
      <c r="DW6" s="1057"/>
      <c r="DX6" s="1057"/>
      <c r="DY6" s="1057"/>
      <c r="DZ6" s="1057"/>
      <c r="EA6" s="1057"/>
      <c r="EB6" s="1057"/>
      <c r="EC6" s="1057"/>
      <c r="ED6" s="1057"/>
      <c r="EE6" s="1057"/>
      <c r="EF6" s="1057"/>
      <c r="EG6" s="1057"/>
      <c r="EH6" s="1057"/>
      <c r="EI6" s="1057"/>
      <c r="EJ6" s="1057"/>
      <c r="EK6" s="1057"/>
      <c r="EL6" s="1057"/>
      <c r="EM6" s="1057"/>
      <c r="EN6" s="1057"/>
      <c r="EO6" s="1057"/>
      <c r="EP6" s="1057"/>
      <c r="EQ6" s="1057"/>
      <c r="ER6" s="1057"/>
      <c r="ET6" s="1057" t="s">
        <v>461</v>
      </c>
      <c r="EU6" s="1057"/>
      <c r="EV6" s="1057"/>
      <c r="EW6" s="1057"/>
      <c r="EX6" s="1057"/>
      <c r="EY6" s="1057"/>
      <c r="EZ6" s="1057"/>
      <c r="FA6" s="1057"/>
      <c r="FB6" s="1057"/>
      <c r="FC6" s="1057"/>
      <c r="FD6" s="1057"/>
      <c r="FE6" s="1057"/>
      <c r="FF6" s="1057"/>
      <c r="FG6" s="1057"/>
      <c r="FH6" s="1057"/>
      <c r="FI6" s="1057"/>
      <c r="FJ6" s="1057"/>
      <c r="FK6" s="1057"/>
      <c r="FL6" s="1057"/>
      <c r="FM6" s="1057"/>
      <c r="FN6" s="1057"/>
      <c r="FO6" s="1057"/>
      <c r="FP6" s="1057"/>
      <c r="FQ6" s="1057"/>
      <c r="FR6" s="1057"/>
      <c r="FS6" s="1057"/>
      <c r="FT6" s="1057"/>
      <c r="FU6" s="1057"/>
      <c r="FV6" s="1057"/>
      <c r="FW6" s="1057"/>
      <c r="FX6" s="1057"/>
      <c r="FY6" s="1057"/>
      <c r="FZ6" s="1057"/>
      <c r="GA6" s="1057"/>
      <c r="GB6" s="1057"/>
      <c r="GC6" s="1057"/>
      <c r="GE6" s="1056" t="s">
        <v>678</v>
      </c>
      <c r="GF6" s="1056"/>
      <c r="GG6" s="1056"/>
      <c r="GH6" s="1056"/>
      <c r="GI6" s="1056"/>
      <c r="GJ6" s="1056"/>
      <c r="GK6" s="1056"/>
      <c r="GL6" s="1056"/>
      <c r="GM6" s="1056"/>
      <c r="GN6" s="1056"/>
      <c r="GO6" s="1056"/>
      <c r="GP6" s="1056"/>
      <c r="GQ6" s="1056"/>
      <c r="GR6" s="1056"/>
      <c r="GS6" s="1056"/>
      <c r="GT6" s="1056"/>
      <c r="GU6" s="1056"/>
      <c r="GV6" s="1056"/>
      <c r="GW6" s="1056"/>
      <c r="GX6" s="1056"/>
      <c r="GY6" s="1056"/>
      <c r="GZ6" s="1056"/>
      <c r="HA6" s="1056"/>
      <c r="HB6" s="1056"/>
      <c r="HC6" s="1056"/>
      <c r="HD6" s="1056"/>
      <c r="HE6" s="1056"/>
      <c r="HF6" s="1056"/>
      <c r="HG6" s="1056"/>
      <c r="HH6" s="1056"/>
      <c r="HI6" s="1056"/>
      <c r="HJ6" s="1056"/>
      <c r="HK6" s="1056"/>
      <c r="HL6" s="1056"/>
      <c r="HM6" s="1056"/>
      <c r="HN6" s="1056"/>
      <c r="HP6" s="1053" t="s">
        <v>465</v>
      </c>
    </row>
    <row r="7" spans="1:238" ht="15.75" customHeight="1" x14ac:dyDescent="0.25">
      <c r="A7" s="1064" t="s">
        <v>400</v>
      </c>
      <c r="B7" s="1054" t="s">
        <v>470</v>
      </c>
      <c r="C7" s="1054" t="s">
        <v>351</v>
      </c>
      <c r="D7" s="1068" t="s">
        <v>29</v>
      </c>
      <c r="E7" s="1068"/>
      <c r="F7" s="1054" t="s">
        <v>352</v>
      </c>
      <c r="G7" s="1065" t="s">
        <v>416</v>
      </c>
      <c r="H7" s="1065" t="s">
        <v>349</v>
      </c>
      <c r="I7" s="1065" t="s">
        <v>414</v>
      </c>
      <c r="J7" s="1065" t="s">
        <v>401</v>
      </c>
      <c r="K7" s="1065" t="s">
        <v>402</v>
      </c>
      <c r="L7" s="1065" t="s">
        <v>407</v>
      </c>
      <c r="M7" s="1065" t="s">
        <v>411</v>
      </c>
      <c r="N7" s="1065" t="s">
        <v>463</v>
      </c>
      <c r="O7" s="1065" t="s">
        <v>415</v>
      </c>
      <c r="P7" s="1066" t="s">
        <v>342</v>
      </c>
      <c r="Q7" s="1069" t="s">
        <v>1192</v>
      </c>
      <c r="R7" s="1069" t="s">
        <v>1193</v>
      </c>
      <c r="S7" s="1069" t="s">
        <v>652</v>
      </c>
      <c r="T7" s="1066" t="s">
        <v>340</v>
      </c>
      <c r="U7" s="1060" t="s">
        <v>497</v>
      </c>
      <c r="V7" s="1060" t="s">
        <v>341</v>
      </c>
      <c r="W7" s="1060" t="s">
        <v>344</v>
      </c>
      <c r="X7" s="1060" t="s">
        <v>343</v>
      </c>
      <c r="Y7" s="1060" t="s">
        <v>345</v>
      </c>
      <c r="Z7" s="1060" t="s">
        <v>346</v>
      </c>
      <c r="AA7" s="1062" t="s">
        <v>29</v>
      </c>
      <c r="AB7" s="1062"/>
      <c r="AC7" s="1062"/>
      <c r="AD7" s="1060" t="s">
        <v>412</v>
      </c>
      <c r="AE7" s="137" t="s">
        <v>434</v>
      </c>
      <c r="AF7" s="1063" t="s">
        <v>435</v>
      </c>
      <c r="AG7" s="1063"/>
      <c r="AH7" s="1063"/>
      <c r="AI7" s="1063"/>
      <c r="AJ7" s="1063"/>
      <c r="AK7" s="1063"/>
      <c r="AM7" s="1054" t="s">
        <v>470</v>
      </c>
      <c r="AN7" s="1054" t="s">
        <v>351</v>
      </c>
      <c r="AO7" s="1068" t="s">
        <v>29</v>
      </c>
      <c r="AP7" s="1068"/>
      <c r="AQ7" s="1054" t="s">
        <v>352</v>
      </c>
      <c r="AR7" s="1065" t="s">
        <v>416</v>
      </c>
      <c r="AS7" s="1065" t="s">
        <v>349</v>
      </c>
      <c r="AT7" s="1065" t="s">
        <v>414</v>
      </c>
      <c r="AU7" s="1065" t="s">
        <v>401</v>
      </c>
      <c r="AV7" s="1065" t="s">
        <v>402</v>
      </c>
      <c r="AW7" s="1065" t="s">
        <v>407</v>
      </c>
      <c r="AX7" s="1065" t="s">
        <v>411</v>
      </c>
      <c r="AY7" s="1065" t="s">
        <v>463</v>
      </c>
      <c r="AZ7" s="1065" t="s">
        <v>415</v>
      </c>
      <c r="BA7" s="1066" t="s">
        <v>342</v>
      </c>
      <c r="BB7" s="1069" t="s">
        <v>1192</v>
      </c>
      <c r="BC7" s="1069" t="s">
        <v>1193</v>
      </c>
      <c r="BD7" s="1069" t="s">
        <v>652</v>
      </c>
      <c r="BE7" s="1066" t="s">
        <v>340</v>
      </c>
      <c r="BF7" s="1060" t="s">
        <v>497</v>
      </c>
      <c r="BG7" s="1060" t="s">
        <v>341</v>
      </c>
      <c r="BH7" s="1060" t="s">
        <v>344</v>
      </c>
      <c r="BI7" s="1060" t="s">
        <v>343</v>
      </c>
      <c r="BJ7" s="1060" t="s">
        <v>345</v>
      </c>
      <c r="BK7" s="1060" t="s">
        <v>346</v>
      </c>
      <c r="BL7" s="1062" t="s">
        <v>29</v>
      </c>
      <c r="BM7" s="1062"/>
      <c r="BN7" s="1062"/>
      <c r="BO7" s="1060" t="s">
        <v>412</v>
      </c>
      <c r="BP7" s="137" t="s">
        <v>434</v>
      </c>
      <c r="BQ7" s="1063" t="s">
        <v>435</v>
      </c>
      <c r="BR7" s="1063"/>
      <c r="BS7" s="1063"/>
      <c r="BT7" s="1063"/>
      <c r="BU7" s="1063"/>
      <c r="BV7" s="1063"/>
      <c r="BX7" s="1054" t="s">
        <v>470</v>
      </c>
      <c r="BY7" s="1054" t="s">
        <v>351</v>
      </c>
      <c r="BZ7" s="1068" t="s">
        <v>29</v>
      </c>
      <c r="CA7" s="1068"/>
      <c r="CB7" s="1054" t="s">
        <v>352</v>
      </c>
      <c r="CC7" s="1065" t="s">
        <v>416</v>
      </c>
      <c r="CD7" s="1065" t="s">
        <v>349</v>
      </c>
      <c r="CE7" s="1065" t="s">
        <v>414</v>
      </c>
      <c r="CF7" s="1065" t="s">
        <v>401</v>
      </c>
      <c r="CG7" s="1065" t="s">
        <v>402</v>
      </c>
      <c r="CH7" s="1065" t="s">
        <v>407</v>
      </c>
      <c r="CI7" s="1065" t="s">
        <v>411</v>
      </c>
      <c r="CJ7" s="1065" t="s">
        <v>463</v>
      </c>
      <c r="CK7" s="1065" t="s">
        <v>415</v>
      </c>
      <c r="CL7" s="1066" t="s">
        <v>342</v>
      </c>
      <c r="CM7" s="1069" t="s">
        <v>1192</v>
      </c>
      <c r="CN7" s="1069" t="s">
        <v>1193</v>
      </c>
      <c r="CO7" s="1069" t="s">
        <v>652</v>
      </c>
      <c r="CP7" s="1066" t="s">
        <v>340</v>
      </c>
      <c r="CQ7" s="1060" t="s">
        <v>497</v>
      </c>
      <c r="CR7" s="1060" t="s">
        <v>341</v>
      </c>
      <c r="CS7" s="1060" t="s">
        <v>344</v>
      </c>
      <c r="CT7" s="1060" t="s">
        <v>343</v>
      </c>
      <c r="CU7" s="1060" t="s">
        <v>345</v>
      </c>
      <c r="CV7" s="1060" t="s">
        <v>346</v>
      </c>
      <c r="CW7" s="1062" t="s">
        <v>29</v>
      </c>
      <c r="CX7" s="1062"/>
      <c r="CY7" s="1062"/>
      <c r="CZ7" s="1060" t="s">
        <v>412</v>
      </c>
      <c r="DA7" s="137" t="s">
        <v>434</v>
      </c>
      <c r="DB7" s="1063" t="s">
        <v>435</v>
      </c>
      <c r="DC7" s="1063"/>
      <c r="DD7" s="1063"/>
      <c r="DE7" s="1063"/>
      <c r="DF7" s="1063"/>
      <c r="DG7" s="1063"/>
      <c r="DI7" s="1054" t="s">
        <v>470</v>
      </c>
      <c r="DJ7" s="1054" t="s">
        <v>351</v>
      </c>
      <c r="DK7" s="1068" t="s">
        <v>29</v>
      </c>
      <c r="DL7" s="1068"/>
      <c r="DM7" s="1054" t="s">
        <v>352</v>
      </c>
      <c r="DN7" s="1065" t="s">
        <v>416</v>
      </c>
      <c r="DO7" s="1065" t="s">
        <v>349</v>
      </c>
      <c r="DP7" s="1065" t="s">
        <v>414</v>
      </c>
      <c r="DQ7" s="1065" t="s">
        <v>401</v>
      </c>
      <c r="DR7" s="1065" t="s">
        <v>402</v>
      </c>
      <c r="DS7" s="1065" t="s">
        <v>407</v>
      </c>
      <c r="DT7" s="1065" t="s">
        <v>411</v>
      </c>
      <c r="DU7" s="1065" t="s">
        <v>463</v>
      </c>
      <c r="DV7" s="1065" t="s">
        <v>415</v>
      </c>
      <c r="DW7" s="1066" t="s">
        <v>342</v>
      </c>
      <c r="DX7" s="1069" t="s">
        <v>1192</v>
      </c>
      <c r="DY7" s="1069" t="s">
        <v>1193</v>
      </c>
      <c r="DZ7" s="1069" t="s">
        <v>652</v>
      </c>
      <c r="EA7" s="1066" t="s">
        <v>340</v>
      </c>
      <c r="EB7" s="1060" t="s">
        <v>497</v>
      </c>
      <c r="EC7" s="1060" t="s">
        <v>341</v>
      </c>
      <c r="ED7" s="1060" t="s">
        <v>344</v>
      </c>
      <c r="EE7" s="1060" t="s">
        <v>343</v>
      </c>
      <c r="EF7" s="1060" t="s">
        <v>345</v>
      </c>
      <c r="EG7" s="1060" t="s">
        <v>346</v>
      </c>
      <c r="EH7" s="1062" t="s">
        <v>29</v>
      </c>
      <c r="EI7" s="1062"/>
      <c r="EJ7" s="1062"/>
      <c r="EK7" s="1060" t="s">
        <v>412</v>
      </c>
      <c r="EL7" s="137" t="s">
        <v>434</v>
      </c>
      <c r="EM7" s="1063" t="s">
        <v>435</v>
      </c>
      <c r="EN7" s="1063"/>
      <c r="EO7" s="1063"/>
      <c r="EP7" s="1063"/>
      <c r="EQ7" s="1063"/>
      <c r="ER7" s="1063"/>
      <c r="ET7" s="1054" t="s">
        <v>470</v>
      </c>
      <c r="EU7" s="1054" t="s">
        <v>351</v>
      </c>
      <c r="EV7" s="1068" t="s">
        <v>29</v>
      </c>
      <c r="EW7" s="1068"/>
      <c r="EX7" s="1054" t="s">
        <v>352</v>
      </c>
      <c r="EY7" s="1065" t="s">
        <v>416</v>
      </c>
      <c r="EZ7" s="1065" t="s">
        <v>349</v>
      </c>
      <c r="FA7" s="1065" t="s">
        <v>414</v>
      </c>
      <c r="FB7" s="1065" t="s">
        <v>401</v>
      </c>
      <c r="FC7" s="1065" t="s">
        <v>402</v>
      </c>
      <c r="FD7" s="1065" t="s">
        <v>407</v>
      </c>
      <c r="FE7" s="1065" t="s">
        <v>411</v>
      </c>
      <c r="FF7" s="1065" t="s">
        <v>463</v>
      </c>
      <c r="FG7" s="1065" t="s">
        <v>415</v>
      </c>
      <c r="FH7" s="1066" t="s">
        <v>342</v>
      </c>
      <c r="FI7" s="1069" t="s">
        <v>1192</v>
      </c>
      <c r="FJ7" s="1069" t="s">
        <v>1193</v>
      </c>
      <c r="FK7" s="1069" t="s">
        <v>652</v>
      </c>
      <c r="FL7" s="1066" t="s">
        <v>340</v>
      </c>
      <c r="FM7" s="1060" t="s">
        <v>497</v>
      </c>
      <c r="FN7" s="1060" t="s">
        <v>341</v>
      </c>
      <c r="FO7" s="1060" t="s">
        <v>344</v>
      </c>
      <c r="FP7" s="1060" t="s">
        <v>343</v>
      </c>
      <c r="FQ7" s="1060" t="s">
        <v>345</v>
      </c>
      <c r="FR7" s="1060" t="s">
        <v>346</v>
      </c>
      <c r="FS7" s="1062" t="s">
        <v>29</v>
      </c>
      <c r="FT7" s="1062"/>
      <c r="FU7" s="1062"/>
      <c r="FV7" s="1060" t="s">
        <v>412</v>
      </c>
      <c r="FW7" s="137" t="s">
        <v>434</v>
      </c>
      <c r="FX7" s="1063" t="s">
        <v>435</v>
      </c>
      <c r="FY7" s="1063"/>
      <c r="FZ7" s="1063"/>
      <c r="GA7" s="1063"/>
      <c r="GB7" s="1063"/>
      <c r="GC7" s="1063"/>
      <c r="GE7" s="1054" t="s">
        <v>470</v>
      </c>
      <c r="GF7" s="1054" t="s">
        <v>351</v>
      </c>
      <c r="GG7" s="1068" t="s">
        <v>29</v>
      </c>
      <c r="GH7" s="1068"/>
      <c r="GI7" s="1054" t="s">
        <v>352</v>
      </c>
      <c r="GJ7" s="1065" t="s">
        <v>416</v>
      </c>
      <c r="GK7" s="1065" t="s">
        <v>349</v>
      </c>
      <c r="GL7" s="1065" t="s">
        <v>414</v>
      </c>
      <c r="GM7" s="1065" t="s">
        <v>401</v>
      </c>
      <c r="GN7" s="1065" t="s">
        <v>402</v>
      </c>
      <c r="GO7" s="1065" t="s">
        <v>407</v>
      </c>
      <c r="GP7" s="1065" t="s">
        <v>411</v>
      </c>
      <c r="GQ7" s="1065" t="s">
        <v>463</v>
      </c>
      <c r="GR7" s="1065" t="s">
        <v>415</v>
      </c>
      <c r="GS7" s="1066" t="s">
        <v>342</v>
      </c>
      <c r="GT7" s="1069" t="s">
        <v>1192</v>
      </c>
      <c r="GU7" s="1069" t="s">
        <v>1193</v>
      </c>
      <c r="GV7" s="1069" t="s">
        <v>652</v>
      </c>
      <c r="GW7" s="1066" t="s">
        <v>340</v>
      </c>
      <c r="GX7" s="1060" t="s">
        <v>497</v>
      </c>
      <c r="GY7" s="1060" t="s">
        <v>341</v>
      </c>
      <c r="GZ7" s="1060" t="s">
        <v>344</v>
      </c>
      <c r="HA7" s="1060" t="s">
        <v>343</v>
      </c>
      <c r="HB7" s="1060" t="s">
        <v>345</v>
      </c>
      <c r="HC7" s="1060" t="s">
        <v>346</v>
      </c>
      <c r="HD7" s="1062" t="s">
        <v>29</v>
      </c>
      <c r="HE7" s="1062"/>
      <c r="HF7" s="1062"/>
      <c r="HG7" s="1060" t="s">
        <v>412</v>
      </c>
      <c r="HH7" s="137" t="s">
        <v>434</v>
      </c>
      <c r="HI7" s="1063" t="s">
        <v>435</v>
      </c>
      <c r="HJ7" s="1063"/>
      <c r="HK7" s="1063"/>
      <c r="HL7" s="1063"/>
      <c r="HM7" s="1063"/>
      <c r="HN7" s="1063"/>
      <c r="HP7" s="1053"/>
      <c r="HS7" s="1072" t="s">
        <v>660</v>
      </c>
      <c r="HT7" s="1072"/>
      <c r="HU7" s="1072"/>
      <c r="HV7" s="1072"/>
      <c r="HW7" s="1072"/>
      <c r="HX7" s="1072"/>
      <c r="HY7" s="1072"/>
      <c r="HZ7" s="1072"/>
      <c r="IA7" s="1072"/>
      <c r="IB7" s="1072"/>
      <c r="IC7" s="1072"/>
      <c r="ID7" s="1072"/>
    </row>
    <row r="8" spans="1:238" ht="231.75" customHeight="1" x14ac:dyDescent="0.25">
      <c r="A8" s="1064"/>
      <c r="B8" s="1055"/>
      <c r="C8" s="1055"/>
      <c r="D8" s="149" t="s">
        <v>347</v>
      </c>
      <c r="E8" s="149" t="s">
        <v>348</v>
      </c>
      <c r="F8" s="1055"/>
      <c r="G8" s="1053"/>
      <c r="H8" s="1053"/>
      <c r="I8" s="1053"/>
      <c r="J8" s="1053"/>
      <c r="K8" s="1053"/>
      <c r="L8" s="1053"/>
      <c r="M8" s="1053"/>
      <c r="N8" s="1053"/>
      <c r="O8" s="1053"/>
      <c r="P8" s="1067"/>
      <c r="Q8" s="1070"/>
      <c r="R8" s="1070"/>
      <c r="S8" s="1070"/>
      <c r="T8" s="1067"/>
      <c r="U8" s="1061"/>
      <c r="V8" s="1061"/>
      <c r="W8" s="1061"/>
      <c r="X8" s="1061"/>
      <c r="Y8" s="1061"/>
      <c r="Z8" s="1061"/>
      <c r="AA8" s="225" t="s">
        <v>1194</v>
      </c>
      <c r="AB8" s="226" t="s">
        <v>413</v>
      </c>
      <c r="AC8" s="226" t="s">
        <v>417</v>
      </c>
      <c r="AD8" s="1061"/>
      <c r="AE8" s="144" t="s">
        <v>418</v>
      </c>
      <c r="AF8" s="271" t="s">
        <v>811</v>
      </c>
      <c r="AG8" s="271" t="s">
        <v>812</v>
      </c>
      <c r="AH8" s="271" t="s">
        <v>1208</v>
      </c>
      <c r="AI8" s="271" t="s">
        <v>436</v>
      </c>
      <c r="AJ8" s="149" t="s">
        <v>453</v>
      </c>
      <c r="AK8" s="144" t="s">
        <v>439</v>
      </c>
      <c r="AM8" s="1055"/>
      <c r="AN8" s="1055"/>
      <c r="AO8" s="149" t="s">
        <v>347</v>
      </c>
      <c r="AP8" s="149" t="s">
        <v>348</v>
      </c>
      <c r="AQ8" s="1055"/>
      <c r="AR8" s="1053"/>
      <c r="AS8" s="1053"/>
      <c r="AT8" s="1053"/>
      <c r="AU8" s="1053"/>
      <c r="AV8" s="1053"/>
      <c r="AW8" s="1053"/>
      <c r="AX8" s="1053"/>
      <c r="AY8" s="1053"/>
      <c r="AZ8" s="1053"/>
      <c r="BA8" s="1067"/>
      <c r="BB8" s="1070"/>
      <c r="BC8" s="1070"/>
      <c r="BD8" s="1070"/>
      <c r="BE8" s="1067"/>
      <c r="BF8" s="1061"/>
      <c r="BG8" s="1061"/>
      <c r="BH8" s="1061"/>
      <c r="BI8" s="1061"/>
      <c r="BJ8" s="1061"/>
      <c r="BK8" s="1061"/>
      <c r="BL8" s="225" t="s">
        <v>1194</v>
      </c>
      <c r="BM8" s="854" t="s">
        <v>413</v>
      </c>
      <c r="BN8" s="854" t="s">
        <v>417</v>
      </c>
      <c r="BO8" s="1061"/>
      <c r="BP8" s="144" t="s">
        <v>418</v>
      </c>
      <c r="BQ8" s="271" t="s">
        <v>811</v>
      </c>
      <c r="BR8" s="271" t="s">
        <v>812</v>
      </c>
      <c r="BS8" s="271" t="s">
        <v>1208</v>
      </c>
      <c r="BT8" s="271" t="s">
        <v>436</v>
      </c>
      <c r="BU8" s="853" t="s">
        <v>453</v>
      </c>
      <c r="BV8" s="144" t="s">
        <v>439</v>
      </c>
      <c r="BX8" s="1055"/>
      <c r="BY8" s="1055"/>
      <c r="BZ8" s="149" t="s">
        <v>347</v>
      </c>
      <c r="CA8" s="149" t="s">
        <v>348</v>
      </c>
      <c r="CB8" s="1055"/>
      <c r="CC8" s="1053"/>
      <c r="CD8" s="1053"/>
      <c r="CE8" s="1053"/>
      <c r="CF8" s="1053"/>
      <c r="CG8" s="1053"/>
      <c r="CH8" s="1053"/>
      <c r="CI8" s="1053"/>
      <c r="CJ8" s="1053"/>
      <c r="CK8" s="1053"/>
      <c r="CL8" s="1067"/>
      <c r="CM8" s="1070"/>
      <c r="CN8" s="1070"/>
      <c r="CO8" s="1070"/>
      <c r="CP8" s="1067"/>
      <c r="CQ8" s="1061"/>
      <c r="CR8" s="1061"/>
      <c r="CS8" s="1061"/>
      <c r="CT8" s="1061"/>
      <c r="CU8" s="1061"/>
      <c r="CV8" s="1061"/>
      <c r="CW8" s="225" t="s">
        <v>1194</v>
      </c>
      <c r="CX8" s="854" t="s">
        <v>413</v>
      </c>
      <c r="CY8" s="854" t="s">
        <v>417</v>
      </c>
      <c r="CZ8" s="1061"/>
      <c r="DA8" s="144" t="s">
        <v>418</v>
      </c>
      <c r="DB8" s="271" t="s">
        <v>811</v>
      </c>
      <c r="DC8" s="271" t="s">
        <v>812</v>
      </c>
      <c r="DD8" s="271" t="s">
        <v>1208</v>
      </c>
      <c r="DE8" s="271" t="s">
        <v>436</v>
      </c>
      <c r="DF8" s="853" t="s">
        <v>453</v>
      </c>
      <c r="DG8" s="144" t="s">
        <v>439</v>
      </c>
      <c r="DI8" s="1055"/>
      <c r="DJ8" s="1055"/>
      <c r="DK8" s="149" t="s">
        <v>347</v>
      </c>
      <c r="DL8" s="149" t="s">
        <v>348</v>
      </c>
      <c r="DM8" s="1055"/>
      <c r="DN8" s="1053"/>
      <c r="DO8" s="1053"/>
      <c r="DP8" s="1053"/>
      <c r="DQ8" s="1053"/>
      <c r="DR8" s="1053"/>
      <c r="DS8" s="1053"/>
      <c r="DT8" s="1053"/>
      <c r="DU8" s="1053"/>
      <c r="DV8" s="1053"/>
      <c r="DW8" s="1067"/>
      <c r="DX8" s="1070"/>
      <c r="DY8" s="1070"/>
      <c r="DZ8" s="1070"/>
      <c r="EA8" s="1067"/>
      <c r="EB8" s="1061"/>
      <c r="EC8" s="1061"/>
      <c r="ED8" s="1061"/>
      <c r="EE8" s="1061"/>
      <c r="EF8" s="1061"/>
      <c r="EG8" s="1061"/>
      <c r="EH8" s="225" t="s">
        <v>1194</v>
      </c>
      <c r="EI8" s="854" t="s">
        <v>413</v>
      </c>
      <c r="EJ8" s="854" t="s">
        <v>417</v>
      </c>
      <c r="EK8" s="1061"/>
      <c r="EL8" s="144" t="s">
        <v>418</v>
      </c>
      <c r="EM8" s="271" t="s">
        <v>811</v>
      </c>
      <c r="EN8" s="271" t="s">
        <v>812</v>
      </c>
      <c r="EO8" s="271" t="s">
        <v>1208</v>
      </c>
      <c r="EP8" s="271" t="s">
        <v>436</v>
      </c>
      <c r="EQ8" s="853" t="s">
        <v>453</v>
      </c>
      <c r="ER8" s="144" t="s">
        <v>439</v>
      </c>
      <c r="ET8" s="1055"/>
      <c r="EU8" s="1055"/>
      <c r="EV8" s="149" t="s">
        <v>347</v>
      </c>
      <c r="EW8" s="149" t="s">
        <v>348</v>
      </c>
      <c r="EX8" s="1055"/>
      <c r="EY8" s="1053"/>
      <c r="EZ8" s="1053"/>
      <c r="FA8" s="1053"/>
      <c r="FB8" s="1053"/>
      <c r="FC8" s="1053"/>
      <c r="FD8" s="1053"/>
      <c r="FE8" s="1053"/>
      <c r="FF8" s="1053"/>
      <c r="FG8" s="1053"/>
      <c r="FH8" s="1067"/>
      <c r="FI8" s="1070"/>
      <c r="FJ8" s="1070"/>
      <c r="FK8" s="1070"/>
      <c r="FL8" s="1067"/>
      <c r="FM8" s="1061"/>
      <c r="FN8" s="1061"/>
      <c r="FO8" s="1061"/>
      <c r="FP8" s="1061"/>
      <c r="FQ8" s="1061"/>
      <c r="FR8" s="1061"/>
      <c r="FS8" s="225" t="s">
        <v>1194</v>
      </c>
      <c r="FT8" s="854" t="s">
        <v>413</v>
      </c>
      <c r="FU8" s="854" t="s">
        <v>417</v>
      </c>
      <c r="FV8" s="1061"/>
      <c r="FW8" s="144" t="s">
        <v>418</v>
      </c>
      <c r="FX8" s="271" t="s">
        <v>811</v>
      </c>
      <c r="FY8" s="271" t="s">
        <v>812</v>
      </c>
      <c r="FZ8" s="271" t="s">
        <v>1208</v>
      </c>
      <c r="GA8" s="271" t="s">
        <v>436</v>
      </c>
      <c r="GB8" s="853" t="s">
        <v>453</v>
      </c>
      <c r="GC8" s="144" t="s">
        <v>439</v>
      </c>
      <c r="GE8" s="1055"/>
      <c r="GF8" s="1055"/>
      <c r="GG8" s="149" t="s">
        <v>347</v>
      </c>
      <c r="GH8" s="149" t="s">
        <v>348</v>
      </c>
      <c r="GI8" s="1055"/>
      <c r="GJ8" s="1053"/>
      <c r="GK8" s="1053"/>
      <c r="GL8" s="1053"/>
      <c r="GM8" s="1053"/>
      <c r="GN8" s="1053"/>
      <c r="GO8" s="1053"/>
      <c r="GP8" s="1053"/>
      <c r="GQ8" s="1053"/>
      <c r="GR8" s="1053"/>
      <c r="GS8" s="1067"/>
      <c r="GT8" s="1070"/>
      <c r="GU8" s="1070"/>
      <c r="GV8" s="1070"/>
      <c r="GW8" s="1067"/>
      <c r="GX8" s="1061"/>
      <c r="GY8" s="1061"/>
      <c r="GZ8" s="1061"/>
      <c r="HA8" s="1061"/>
      <c r="HB8" s="1061"/>
      <c r="HC8" s="1061"/>
      <c r="HD8" s="225" t="s">
        <v>1194</v>
      </c>
      <c r="HE8" s="854" t="s">
        <v>413</v>
      </c>
      <c r="HF8" s="854" t="s">
        <v>417</v>
      </c>
      <c r="HG8" s="1061"/>
      <c r="HH8" s="144" t="s">
        <v>418</v>
      </c>
      <c r="HI8" s="271" t="s">
        <v>811</v>
      </c>
      <c r="HJ8" s="271" t="s">
        <v>812</v>
      </c>
      <c r="HK8" s="271" t="s">
        <v>1208</v>
      </c>
      <c r="HL8" s="271" t="s">
        <v>436</v>
      </c>
      <c r="HM8" s="853" t="s">
        <v>453</v>
      </c>
      <c r="HN8" s="144" t="s">
        <v>439</v>
      </c>
      <c r="HP8" s="1053"/>
      <c r="HS8" s="1071" t="s">
        <v>658</v>
      </c>
      <c r="HT8" s="1071"/>
      <c r="HU8" s="1071"/>
      <c r="HV8" s="1071"/>
      <c r="HW8" s="1071"/>
      <c r="HX8" s="1071"/>
      <c r="HY8" s="1071" t="s">
        <v>659</v>
      </c>
      <c r="HZ8" s="1071"/>
      <c r="IA8" s="1071"/>
      <c r="IB8" s="1071"/>
      <c r="IC8" s="1071"/>
      <c r="ID8" s="1071"/>
    </row>
    <row r="9" spans="1:238" s="114" customFormat="1" ht="67.5" customHeight="1" x14ac:dyDescent="0.25">
      <c r="A9" s="115"/>
      <c r="B9" s="134" t="s">
        <v>578</v>
      </c>
      <c r="C9" s="134" t="s">
        <v>579</v>
      </c>
      <c r="D9" s="134" t="s">
        <v>580</v>
      </c>
      <c r="E9" s="134" t="s">
        <v>581</v>
      </c>
      <c r="F9" s="134" t="s">
        <v>582</v>
      </c>
      <c r="G9" s="134">
        <v>5</v>
      </c>
      <c r="H9" s="134">
        <v>6</v>
      </c>
      <c r="I9" s="134" t="s">
        <v>419</v>
      </c>
      <c r="J9" s="134" t="s">
        <v>442</v>
      </c>
      <c r="K9" s="134" t="s">
        <v>443</v>
      </c>
      <c r="L9" s="134" t="s">
        <v>444</v>
      </c>
      <c r="M9" s="134" t="s">
        <v>445</v>
      </c>
      <c r="N9" s="134" t="s">
        <v>446</v>
      </c>
      <c r="O9" s="134" t="s">
        <v>420</v>
      </c>
      <c r="P9" s="134">
        <v>14</v>
      </c>
      <c r="Q9" s="134" t="s">
        <v>649</v>
      </c>
      <c r="R9" s="134" t="s">
        <v>650</v>
      </c>
      <c r="S9" s="134" t="s">
        <v>651</v>
      </c>
      <c r="T9" s="134">
        <v>16</v>
      </c>
      <c r="U9" s="134" t="s">
        <v>421</v>
      </c>
      <c r="V9" s="134"/>
      <c r="W9" s="134" t="s">
        <v>422</v>
      </c>
      <c r="X9" s="134" t="s">
        <v>423</v>
      </c>
      <c r="Y9" s="134"/>
      <c r="Z9" s="134" t="s">
        <v>424</v>
      </c>
      <c r="AA9" s="134" t="s">
        <v>425</v>
      </c>
      <c r="AB9" s="134" t="s">
        <v>426</v>
      </c>
      <c r="AC9" s="134" t="s">
        <v>427</v>
      </c>
      <c r="AD9" s="134" t="s">
        <v>428</v>
      </c>
      <c r="AE9" s="134" t="s">
        <v>429</v>
      </c>
      <c r="AF9" s="134" t="s">
        <v>1207</v>
      </c>
      <c r="AG9" s="134" t="s">
        <v>433</v>
      </c>
      <c r="AH9" s="134" t="s">
        <v>432</v>
      </c>
      <c r="AI9" s="134" t="s">
        <v>437</v>
      </c>
      <c r="AJ9" s="134" t="s">
        <v>438</v>
      </c>
      <c r="AK9" s="134" t="s">
        <v>440</v>
      </c>
      <c r="AM9" s="134" t="s">
        <v>578</v>
      </c>
      <c r="AN9" s="134" t="s">
        <v>579</v>
      </c>
      <c r="AO9" s="134" t="s">
        <v>580</v>
      </c>
      <c r="AP9" s="134" t="s">
        <v>581</v>
      </c>
      <c r="AQ9" s="134" t="s">
        <v>582</v>
      </c>
      <c r="AR9" s="134">
        <v>5</v>
      </c>
      <c r="AS9" s="134">
        <v>6</v>
      </c>
      <c r="AT9" s="134" t="s">
        <v>419</v>
      </c>
      <c r="AU9" s="134" t="s">
        <v>442</v>
      </c>
      <c r="AV9" s="134" t="s">
        <v>443</v>
      </c>
      <c r="AW9" s="134" t="s">
        <v>444</v>
      </c>
      <c r="AX9" s="134" t="s">
        <v>445</v>
      </c>
      <c r="AY9" s="134" t="s">
        <v>446</v>
      </c>
      <c r="AZ9" s="134" t="s">
        <v>420</v>
      </c>
      <c r="BA9" s="134">
        <v>14</v>
      </c>
      <c r="BB9" s="134" t="s">
        <v>649</v>
      </c>
      <c r="BC9" s="134" t="s">
        <v>650</v>
      </c>
      <c r="BD9" s="134" t="s">
        <v>651</v>
      </c>
      <c r="BE9" s="134">
        <v>16</v>
      </c>
      <c r="BF9" s="134" t="s">
        <v>421</v>
      </c>
      <c r="BG9" s="134"/>
      <c r="BH9" s="134" t="s">
        <v>422</v>
      </c>
      <c r="BI9" s="134" t="s">
        <v>423</v>
      </c>
      <c r="BJ9" s="134"/>
      <c r="BK9" s="134" t="s">
        <v>424</v>
      </c>
      <c r="BL9" s="134" t="s">
        <v>425</v>
      </c>
      <c r="BM9" s="134" t="s">
        <v>426</v>
      </c>
      <c r="BN9" s="134" t="s">
        <v>427</v>
      </c>
      <c r="BO9" s="134" t="s">
        <v>428</v>
      </c>
      <c r="BP9" s="134" t="s">
        <v>429</v>
      </c>
      <c r="BQ9" s="134" t="s">
        <v>1207</v>
      </c>
      <c r="BR9" s="134" t="s">
        <v>433</v>
      </c>
      <c r="BS9" s="134" t="s">
        <v>432</v>
      </c>
      <c r="BT9" s="134" t="s">
        <v>437</v>
      </c>
      <c r="BU9" s="134" t="s">
        <v>438</v>
      </c>
      <c r="BV9" s="134" t="s">
        <v>440</v>
      </c>
      <c r="BX9" s="134" t="s">
        <v>578</v>
      </c>
      <c r="BY9" s="134" t="s">
        <v>579</v>
      </c>
      <c r="BZ9" s="134" t="s">
        <v>580</v>
      </c>
      <c r="CA9" s="134" t="s">
        <v>581</v>
      </c>
      <c r="CB9" s="134" t="s">
        <v>582</v>
      </c>
      <c r="CC9" s="134">
        <v>5</v>
      </c>
      <c r="CD9" s="134">
        <v>6</v>
      </c>
      <c r="CE9" s="134" t="s">
        <v>419</v>
      </c>
      <c r="CF9" s="134" t="s">
        <v>442</v>
      </c>
      <c r="CG9" s="134" t="s">
        <v>443</v>
      </c>
      <c r="CH9" s="134" t="s">
        <v>444</v>
      </c>
      <c r="CI9" s="134" t="s">
        <v>445</v>
      </c>
      <c r="CJ9" s="134" t="s">
        <v>446</v>
      </c>
      <c r="CK9" s="134" t="s">
        <v>420</v>
      </c>
      <c r="CL9" s="134">
        <v>14</v>
      </c>
      <c r="CM9" s="134" t="s">
        <v>649</v>
      </c>
      <c r="CN9" s="134" t="s">
        <v>650</v>
      </c>
      <c r="CO9" s="134" t="s">
        <v>651</v>
      </c>
      <c r="CP9" s="134">
        <v>16</v>
      </c>
      <c r="CQ9" s="134" t="s">
        <v>421</v>
      </c>
      <c r="CR9" s="134"/>
      <c r="CS9" s="134" t="s">
        <v>422</v>
      </c>
      <c r="CT9" s="134" t="s">
        <v>423</v>
      </c>
      <c r="CU9" s="134"/>
      <c r="CV9" s="134" t="s">
        <v>424</v>
      </c>
      <c r="CW9" s="134" t="s">
        <v>425</v>
      </c>
      <c r="CX9" s="134" t="s">
        <v>426</v>
      </c>
      <c r="CY9" s="134" t="s">
        <v>427</v>
      </c>
      <c r="CZ9" s="134" t="s">
        <v>428</v>
      </c>
      <c r="DA9" s="134" t="s">
        <v>429</v>
      </c>
      <c r="DB9" s="134" t="s">
        <v>1207</v>
      </c>
      <c r="DC9" s="134" t="s">
        <v>433</v>
      </c>
      <c r="DD9" s="134" t="s">
        <v>432</v>
      </c>
      <c r="DE9" s="134" t="s">
        <v>437</v>
      </c>
      <c r="DF9" s="134" t="s">
        <v>438</v>
      </c>
      <c r="DG9" s="134" t="s">
        <v>440</v>
      </c>
      <c r="DI9" s="134" t="s">
        <v>578</v>
      </c>
      <c r="DJ9" s="134" t="s">
        <v>579</v>
      </c>
      <c r="DK9" s="134" t="s">
        <v>580</v>
      </c>
      <c r="DL9" s="134" t="s">
        <v>581</v>
      </c>
      <c r="DM9" s="134" t="s">
        <v>582</v>
      </c>
      <c r="DN9" s="134">
        <v>5</v>
      </c>
      <c r="DO9" s="134">
        <v>6</v>
      </c>
      <c r="DP9" s="134" t="s">
        <v>419</v>
      </c>
      <c r="DQ9" s="134" t="s">
        <v>442</v>
      </c>
      <c r="DR9" s="134" t="s">
        <v>443</v>
      </c>
      <c r="DS9" s="134" t="s">
        <v>444</v>
      </c>
      <c r="DT9" s="134" t="s">
        <v>445</v>
      </c>
      <c r="DU9" s="134" t="s">
        <v>446</v>
      </c>
      <c r="DV9" s="134" t="s">
        <v>420</v>
      </c>
      <c r="DW9" s="134">
        <v>14</v>
      </c>
      <c r="DX9" s="134" t="s">
        <v>649</v>
      </c>
      <c r="DY9" s="134" t="s">
        <v>650</v>
      </c>
      <c r="DZ9" s="134" t="s">
        <v>651</v>
      </c>
      <c r="EA9" s="134">
        <v>16</v>
      </c>
      <c r="EB9" s="134" t="s">
        <v>421</v>
      </c>
      <c r="EC9" s="134"/>
      <c r="ED9" s="134" t="s">
        <v>422</v>
      </c>
      <c r="EE9" s="134" t="s">
        <v>423</v>
      </c>
      <c r="EF9" s="134"/>
      <c r="EG9" s="134" t="s">
        <v>424</v>
      </c>
      <c r="EH9" s="134" t="s">
        <v>425</v>
      </c>
      <c r="EI9" s="134" t="s">
        <v>426</v>
      </c>
      <c r="EJ9" s="134" t="s">
        <v>427</v>
      </c>
      <c r="EK9" s="134" t="s">
        <v>428</v>
      </c>
      <c r="EL9" s="134" t="s">
        <v>429</v>
      </c>
      <c r="EM9" s="134" t="s">
        <v>1207</v>
      </c>
      <c r="EN9" s="134" t="s">
        <v>433</v>
      </c>
      <c r="EO9" s="134" t="s">
        <v>432</v>
      </c>
      <c r="EP9" s="134" t="s">
        <v>437</v>
      </c>
      <c r="EQ9" s="134" t="s">
        <v>438</v>
      </c>
      <c r="ER9" s="134" t="s">
        <v>440</v>
      </c>
      <c r="ET9" s="134" t="s">
        <v>578</v>
      </c>
      <c r="EU9" s="134" t="s">
        <v>579</v>
      </c>
      <c r="EV9" s="134" t="s">
        <v>580</v>
      </c>
      <c r="EW9" s="134" t="s">
        <v>581</v>
      </c>
      <c r="EX9" s="134" t="s">
        <v>582</v>
      </c>
      <c r="EY9" s="134">
        <v>5</v>
      </c>
      <c r="EZ9" s="134">
        <v>6</v>
      </c>
      <c r="FA9" s="134" t="s">
        <v>419</v>
      </c>
      <c r="FB9" s="134" t="s">
        <v>442</v>
      </c>
      <c r="FC9" s="134" t="s">
        <v>443</v>
      </c>
      <c r="FD9" s="134" t="s">
        <v>444</v>
      </c>
      <c r="FE9" s="134" t="s">
        <v>445</v>
      </c>
      <c r="FF9" s="134" t="s">
        <v>446</v>
      </c>
      <c r="FG9" s="134" t="s">
        <v>420</v>
      </c>
      <c r="FH9" s="134">
        <v>14</v>
      </c>
      <c r="FI9" s="134" t="s">
        <v>649</v>
      </c>
      <c r="FJ9" s="134" t="s">
        <v>650</v>
      </c>
      <c r="FK9" s="134" t="s">
        <v>651</v>
      </c>
      <c r="FL9" s="134">
        <v>16</v>
      </c>
      <c r="FM9" s="134" t="s">
        <v>421</v>
      </c>
      <c r="FN9" s="134"/>
      <c r="FO9" s="134" t="s">
        <v>422</v>
      </c>
      <c r="FP9" s="134" t="s">
        <v>423</v>
      </c>
      <c r="FQ9" s="134"/>
      <c r="FR9" s="134" t="s">
        <v>424</v>
      </c>
      <c r="FS9" s="134" t="s">
        <v>425</v>
      </c>
      <c r="FT9" s="134" t="s">
        <v>426</v>
      </c>
      <c r="FU9" s="134" t="s">
        <v>427</v>
      </c>
      <c r="FV9" s="134" t="s">
        <v>428</v>
      </c>
      <c r="FW9" s="134" t="s">
        <v>429</v>
      </c>
      <c r="FX9" s="134" t="s">
        <v>1207</v>
      </c>
      <c r="FY9" s="134" t="s">
        <v>433</v>
      </c>
      <c r="FZ9" s="134" t="s">
        <v>432</v>
      </c>
      <c r="GA9" s="134" t="s">
        <v>437</v>
      </c>
      <c r="GB9" s="134" t="s">
        <v>438</v>
      </c>
      <c r="GC9" s="134" t="s">
        <v>440</v>
      </c>
      <c r="GE9" s="134" t="s">
        <v>578</v>
      </c>
      <c r="GF9" s="134" t="s">
        <v>579</v>
      </c>
      <c r="GG9" s="134" t="s">
        <v>580</v>
      </c>
      <c r="GH9" s="134" t="s">
        <v>581</v>
      </c>
      <c r="GI9" s="134" t="s">
        <v>582</v>
      </c>
      <c r="GJ9" s="134">
        <v>5</v>
      </c>
      <c r="GK9" s="134">
        <v>6</v>
      </c>
      <c r="GL9" s="134" t="s">
        <v>419</v>
      </c>
      <c r="GM9" s="134" t="s">
        <v>442</v>
      </c>
      <c r="GN9" s="134" t="s">
        <v>443</v>
      </c>
      <c r="GO9" s="134" t="s">
        <v>444</v>
      </c>
      <c r="GP9" s="134" t="s">
        <v>445</v>
      </c>
      <c r="GQ9" s="134" t="s">
        <v>446</v>
      </c>
      <c r="GR9" s="134" t="s">
        <v>420</v>
      </c>
      <c r="GS9" s="134">
        <v>14</v>
      </c>
      <c r="GT9" s="134" t="s">
        <v>649</v>
      </c>
      <c r="GU9" s="134" t="s">
        <v>650</v>
      </c>
      <c r="GV9" s="134" t="s">
        <v>651</v>
      </c>
      <c r="GW9" s="134">
        <v>16</v>
      </c>
      <c r="GX9" s="134" t="s">
        <v>421</v>
      </c>
      <c r="GY9" s="134"/>
      <c r="GZ9" s="134" t="s">
        <v>422</v>
      </c>
      <c r="HA9" s="134" t="s">
        <v>423</v>
      </c>
      <c r="HB9" s="134"/>
      <c r="HC9" s="134" t="s">
        <v>424</v>
      </c>
      <c r="HD9" s="134" t="s">
        <v>425</v>
      </c>
      <c r="HE9" s="134" t="s">
        <v>426</v>
      </c>
      <c r="HF9" s="134" t="s">
        <v>427</v>
      </c>
      <c r="HG9" s="134" t="s">
        <v>428</v>
      </c>
      <c r="HH9" s="134" t="s">
        <v>429</v>
      </c>
      <c r="HI9" s="134" t="s">
        <v>1207</v>
      </c>
      <c r="HJ9" s="134" t="s">
        <v>433</v>
      </c>
      <c r="HK9" s="134" t="s">
        <v>432</v>
      </c>
      <c r="HL9" s="134" t="s">
        <v>437</v>
      </c>
      <c r="HM9" s="134" t="s">
        <v>438</v>
      </c>
      <c r="HN9" s="134" t="s">
        <v>440</v>
      </c>
      <c r="HP9" s="134" t="s">
        <v>464</v>
      </c>
      <c r="HQ9" s="134" t="s">
        <v>583</v>
      </c>
      <c r="HS9" s="134" t="s">
        <v>48</v>
      </c>
      <c r="HT9" s="134" t="s">
        <v>49</v>
      </c>
      <c r="HU9" s="134" t="s">
        <v>502</v>
      </c>
      <c r="HV9" s="134" t="s">
        <v>62</v>
      </c>
      <c r="HW9" s="134" t="s">
        <v>627</v>
      </c>
      <c r="HX9" s="134" t="s">
        <v>60</v>
      </c>
      <c r="HY9" s="134" t="s">
        <v>48</v>
      </c>
      <c r="HZ9" s="134" t="s">
        <v>49</v>
      </c>
      <c r="IA9" s="134" t="s">
        <v>502</v>
      </c>
      <c r="IB9" s="134" t="s">
        <v>62</v>
      </c>
      <c r="IC9" s="134" t="s">
        <v>627</v>
      </c>
      <c r="ID9" s="134" t="s">
        <v>60</v>
      </c>
    </row>
    <row r="10" spans="1:238" s="113" customFormat="1" ht="18.75" customHeight="1" x14ac:dyDescent="0.25">
      <c r="A10" s="282"/>
      <c r="B10" s="283"/>
      <c r="C10" s="283"/>
      <c r="D10" s="283"/>
      <c r="E10" s="283"/>
      <c r="F10" s="283"/>
      <c r="G10" s="284"/>
      <c r="H10" s="284"/>
      <c r="I10" s="285"/>
      <c r="J10" s="284"/>
      <c r="K10" s="284"/>
      <c r="L10" s="284"/>
      <c r="M10" s="284"/>
      <c r="N10" s="284"/>
      <c r="O10" s="285"/>
      <c r="P10" s="284"/>
      <c r="Q10" s="284"/>
      <c r="R10" s="284"/>
      <c r="S10" s="284"/>
      <c r="T10" s="286"/>
      <c r="U10" s="287"/>
      <c r="V10" s="287"/>
      <c r="W10" s="287"/>
      <c r="X10" s="287"/>
      <c r="Y10" s="287"/>
      <c r="Z10" s="287"/>
      <c r="AA10" s="287"/>
      <c r="AB10" s="287"/>
      <c r="AC10" s="287"/>
      <c r="AD10" s="288"/>
      <c r="AE10" s="289"/>
      <c r="AF10" s="290"/>
      <c r="AG10" s="291"/>
      <c r="AH10" s="292">
        <v>59.8</v>
      </c>
      <c r="AI10" s="293"/>
      <c r="AJ10" s="294"/>
      <c r="AK10" s="293"/>
      <c r="AM10" s="283"/>
      <c r="AN10" s="283"/>
      <c r="AO10" s="283"/>
      <c r="AP10" s="283"/>
      <c r="AQ10" s="283"/>
      <c r="AR10" s="284"/>
      <c r="AS10" s="284"/>
      <c r="AT10" s="285"/>
      <c r="AU10" s="284"/>
      <c r="AV10" s="284"/>
      <c r="AW10" s="284"/>
      <c r="AX10" s="284"/>
      <c r="AY10" s="284"/>
      <c r="AZ10" s="285"/>
      <c r="BA10" s="284"/>
      <c r="BB10" s="284"/>
      <c r="BC10" s="284"/>
      <c r="BD10" s="284"/>
      <c r="BE10" s="286"/>
      <c r="BF10" s="287"/>
      <c r="BG10" s="287"/>
      <c r="BH10" s="287"/>
      <c r="BI10" s="287"/>
      <c r="BJ10" s="287"/>
      <c r="BK10" s="287"/>
      <c r="BL10" s="287"/>
      <c r="BM10" s="287"/>
      <c r="BN10" s="287"/>
      <c r="BO10" s="288"/>
      <c r="BP10" s="289"/>
      <c r="BQ10" s="290"/>
      <c r="BR10" s="291"/>
      <c r="BS10" s="292">
        <v>43.3</v>
      </c>
      <c r="BT10" s="293"/>
      <c r="BU10" s="294"/>
      <c r="BV10" s="293"/>
      <c r="BX10" s="283"/>
      <c r="BY10" s="283"/>
      <c r="BZ10" s="283"/>
      <c r="CA10" s="283"/>
      <c r="CB10" s="283"/>
      <c r="CC10" s="284"/>
      <c r="CD10" s="284"/>
      <c r="CE10" s="285"/>
      <c r="CF10" s="284"/>
      <c r="CG10" s="284"/>
      <c r="CH10" s="284"/>
      <c r="CI10" s="284"/>
      <c r="CJ10" s="284"/>
      <c r="CK10" s="285"/>
      <c r="CL10" s="284"/>
      <c r="CM10" s="284"/>
      <c r="CN10" s="284"/>
      <c r="CO10" s="284"/>
      <c r="CP10" s="286"/>
      <c r="CQ10" s="287"/>
      <c r="CR10" s="287"/>
      <c r="CS10" s="287"/>
      <c r="CT10" s="287"/>
      <c r="CU10" s="287"/>
      <c r="CV10" s="287"/>
      <c r="CW10" s="287"/>
      <c r="CX10" s="287"/>
      <c r="CY10" s="287"/>
      <c r="CZ10" s="288"/>
      <c r="DA10" s="289"/>
      <c r="DB10" s="290"/>
      <c r="DC10" s="291"/>
      <c r="DD10" s="292">
        <v>27.7</v>
      </c>
      <c r="DE10" s="293"/>
      <c r="DF10" s="294"/>
      <c r="DG10" s="293"/>
      <c r="DI10" s="283"/>
      <c r="DJ10" s="283"/>
      <c r="DK10" s="283"/>
      <c r="DL10" s="283"/>
      <c r="DM10" s="283"/>
      <c r="DN10" s="284"/>
      <c r="DO10" s="284"/>
      <c r="DP10" s="285"/>
      <c r="DQ10" s="284"/>
      <c r="DR10" s="284"/>
      <c r="DS10" s="284"/>
      <c r="DT10" s="284"/>
      <c r="DU10" s="284"/>
      <c r="DV10" s="285"/>
      <c r="DW10" s="284"/>
      <c r="DX10" s="284"/>
      <c r="DY10" s="284"/>
      <c r="DZ10" s="284"/>
      <c r="EA10" s="286"/>
      <c r="EB10" s="287"/>
      <c r="EC10" s="287"/>
      <c r="ED10" s="287"/>
      <c r="EE10" s="287"/>
      <c r="EF10" s="287"/>
      <c r="EG10" s="287"/>
      <c r="EH10" s="287"/>
      <c r="EI10" s="287"/>
      <c r="EJ10" s="287"/>
      <c r="EK10" s="288"/>
      <c r="EL10" s="289"/>
      <c r="EM10" s="290"/>
      <c r="EN10" s="291"/>
      <c r="EO10" s="292">
        <v>9.4</v>
      </c>
      <c r="EP10" s="293"/>
      <c r="EQ10" s="294"/>
      <c r="ER10" s="293"/>
      <c r="ET10" s="283"/>
      <c r="EU10" s="283"/>
      <c r="EV10" s="283"/>
      <c r="EW10" s="283"/>
      <c r="EX10" s="283"/>
      <c r="EY10" s="284"/>
      <c r="EZ10" s="284"/>
      <c r="FA10" s="285"/>
      <c r="FB10" s="284"/>
      <c r="FC10" s="284"/>
      <c r="FD10" s="284"/>
      <c r="FE10" s="284"/>
      <c r="FF10" s="284"/>
      <c r="FG10" s="285"/>
      <c r="FH10" s="284"/>
      <c r="FI10" s="284"/>
      <c r="FJ10" s="284"/>
      <c r="FK10" s="284"/>
      <c r="FL10" s="286"/>
      <c r="FM10" s="287"/>
      <c r="FN10" s="287"/>
      <c r="FO10" s="287"/>
      <c r="FP10" s="287"/>
      <c r="FQ10" s="287"/>
      <c r="FR10" s="287"/>
      <c r="FS10" s="287"/>
      <c r="FT10" s="287"/>
      <c r="FU10" s="287"/>
      <c r="FV10" s="288"/>
      <c r="FW10" s="289"/>
      <c r="FX10" s="290"/>
      <c r="FY10" s="291"/>
      <c r="FZ10" s="292">
        <v>4</v>
      </c>
      <c r="GA10" s="293"/>
      <c r="GB10" s="294"/>
      <c r="GC10" s="293"/>
      <c r="GE10" s="283"/>
      <c r="GF10" s="283"/>
      <c r="GG10" s="283"/>
      <c r="GH10" s="283"/>
      <c r="GI10" s="283"/>
      <c r="GJ10" s="284"/>
      <c r="GK10" s="284"/>
      <c r="GL10" s="285"/>
      <c r="GM10" s="284"/>
      <c r="GN10" s="284"/>
      <c r="GO10" s="284"/>
      <c r="GP10" s="284"/>
      <c r="GQ10" s="284"/>
      <c r="GR10" s="285"/>
      <c r="GS10" s="284"/>
      <c r="GT10" s="284"/>
      <c r="GU10" s="284"/>
      <c r="GV10" s="284"/>
      <c r="GW10" s="286"/>
      <c r="GX10" s="287"/>
      <c r="GY10" s="287"/>
      <c r="GZ10" s="287"/>
      <c r="HA10" s="287"/>
      <c r="HB10" s="287"/>
      <c r="HC10" s="287"/>
      <c r="HD10" s="287"/>
      <c r="HE10" s="287"/>
      <c r="HF10" s="287"/>
      <c r="HG10" s="288"/>
      <c r="HH10" s="289"/>
      <c r="HI10" s="290"/>
      <c r="HJ10" s="291"/>
      <c r="HK10" s="295">
        <f>AH10+BS10+DD10+EO10+FZ10</f>
        <v>144.19999999999999</v>
      </c>
      <c r="HL10" s="293"/>
      <c r="HM10" s="294"/>
      <c r="HN10" s="293"/>
      <c r="HP10" s="284"/>
      <c r="HS10" s="290"/>
      <c r="HT10" s="290"/>
      <c r="HU10" s="290"/>
      <c r="HV10" s="290"/>
      <c r="HW10" s="290"/>
      <c r="HX10" s="290"/>
      <c r="HY10" s="290"/>
      <c r="HZ10" s="290"/>
      <c r="IA10" s="290"/>
      <c r="IB10" s="290"/>
      <c r="IC10" s="290"/>
      <c r="ID10" s="290"/>
    </row>
    <row r="11" spans="1:238" s="113" customFormat="1" ht="18.75" customHeight="1" x14ac:dyDescent="0.25">
      <c r="A11" s="349" t="s">
        <v>447</v>
      </c>
      <c r="B11" s="350"/>
      <c r="C11" s="350"/>
      <c r="D11" s="350"/>
      <c r="E11" s="350"/>
      <c r="F11" s="350"/>
      <c r="G11" s="351"/>
      <c r="H11" s="351"/>
      <c r="I11" s="352"/>
      <c r="J11" s="351"/>
      <c r="K11" s="351"/>
      <c r="L11" s="351"/>
      <c r="M11" s="351"/>
      <c r="N11" s="351"/>
      <c r="O11" s="352"/>
      <c r="P11" s="351"/>
      <c r="Q11" s="351"/>
      <c r="R11" s="351"/>
      <c r="S11" s="351"/>
      <c r="T11" s="353"/>
      <c r="U11" s="340">
        <f>'211,213 допы 2024 (без овз)'!$AW$60</f>
        <v>1.47617</v>
      </c>
      <c r="V11" s="341"/>
      <c r="W11" s="342">
        <f>'211,213 допы 2024 (без овз)'!$AW$62</f>
        <v>0.29274</v>
      </c>
      <c r="X11" s="343">
        <f>'211,213 допы 2024 (без овз)'!$AW$63</f>
        <v>0.45841999999999999</v>
      </c>
      <c r="Y11" s="344"/>
      <c r="Z11" s="344"/>
      <c r="AA11" s="345">
        <f>'211,213 допы 2024 (без овз)'!$AW$65</f>
        <v>1.1776</v>
      </c>
      <c r="AB11" s="346">
        <f>1+(42+3)/365</f>
        <v>1.1232899999999999</v>
      </c>
      <c r="AC11" s="347"/>
      <c r="AD11" s="348">
        <f>'211,213 допы 2024 (без овз)'!$AW$64</f>
        <v>8.1689999999999999E-2</v>
      </c>
      <c r="AE11" s="354"/>
      <c r="AF11" s="354"/>
      <c r="AG11" s="355"/>
      <c r="AH11" s="356"/>
      <c r="AI11" s="354"/>
      <c r="AJ11" s="357"/>
      <c r="AK11" s="354"/>
      <c r="AM11" s="350"/>
      <c r="AN11" s="350"/>
      <c r="AO11" s="350"/>
      <c r="AP11" s="350"/>
      <c r="AQ11" s="350"/>
      <c r="AR11" s="351"/>
      <c r="AS11" s="351"/>
      <c r="AT11" s="352"/>
      <c r="AU11" s="351"/>
      <c r="AV11" s="351"/>
      <c r="AW11" s="351"/>
      <c r="AX11" s="351"/>
      <c r="AY11" s="351"/>
      <c r="AZ11" s="352"/>
      <c r="BA11" s="351"/>
      <c r="BB11" s="351"/>
      <c r="BC11" s="351"/>
      <c r="BD11" s="351"/>
      <c r="BE11" s="353"/>
      <c r="BF11" s="340">
        <f>'211,213 допы 2024 (без овз)'!$AW$146</f>
        <v>1.38046</v>
      </c>
      <c r="BG11" s="341"/>
      <c r="BH11" s="342">
        <f>'211,213 допы 2024 (без овз)'!$AW$148</f>
        <v>0.43123</v>
      </c>
      <c r="BI11" s="343">
        <f>'211,213 допы 2024 (без овз)'!$AW$149</f>
        <v>0.66134000000000004</v>
      </c>
      <c r="BJ11" s="341"/>
      <c r="BK11" s="341"/>
      <c r="BL11" s="345">
        <f>'211,213 допы 2024 (без овз)'!$AW$151</f>
        <v>1.2245299999999999</v>
      </c>
      <c r="BM11" s="346">
        <f>1+(42+3)/365</f>
        <v>1.1232899999999999</v>
      </c>
      <c r="BN11" s="347"/>
      <c r="BO11" s="348">
        <f>'211,213 допы 2024 (без овз)'!$AW$150</f>
        <v>0.10316</v>
      </c>
      <c r="BP11" s="354"/>
      <c r="BQ11" s="354"/>
      <c r="BR11" s="355"/>
      <c r="BS11" s="356"/>
      <c r="BT11" s="354"/>
      <c r="BU11" s="357"/>
      <c r="BV11" s="354"/>
      <c r="BX11" s="350"/>
      <c r="BY11" s="350"/>
      <c r="BZ11" s="350"/>
      <c r="CA11" s="350"/>
      <c r="CB11" s="350"/>
      <c r="CC11" s="351"/>
      <c r="CD11" s="351"/>
      <c r="CE11" s="352"/>
      <c r="CF11" s="351"/>
      <c r="CG11" s="351"/>
      <c r="CH11" s="351"/>
      <c r="CI11" s="351"/>
      <c r="CJ11" s="351"/>
      <c r="CK11" s="352"/>
      <c r="CL11" s="351"/>
      <c r="CM11" s="351"/>
      <c r="CN11" s="351"/>
      <c r="CO11" s="351"/>
      <c r="CP11" s="353"/>
      <c r="CQ11" s="340">
        <f>'211,213 допы 2024 (без овз)'!$AW$196</f>
        <v>1.34843</v>
      </c>
      <c r="CR11" s="341"/>
      <c r="CS11" s="342">
        <f>'211,213 допы 2024 (без овз)'!$AW$198</f>
        <v>0.33637</v>
      </c>
      <c r="CT11" s="343">
        <f>'211,213 допы 2024 (без овз)'!$AW$199</f>
        <v>0.65883000000000003</v>
      </c>
      <c r="CU11" s="341"/>
      <c r="CV11" s="341"/>
      <c r="CW11" s="345">
        <f>'211,213 допы 2024 (без овз)'!$AW$201</f>
        <v>1.4220999999999999</v>
      </c>
      <c r="CX11" s="346">
        <f>1+(42+3)/365</f>
        <v>1.1232899999999999</v>
      </c>
      <c r="CY11" s="347"/>
      <c r="CZ11" s="348">
        <f>'211,213 допы 2024 (без овз)'!$AW$200</f>
        <v>0.32107000000000002</v>
      </c>
      <c r="DA11" s="354"/>
      <c r="DB11" s="354"/>
      <c r="DC11" s="355"/>
      <c r="DD11" s="356"/>
      <c r="DE11" s="354"/>
      <c r="DF11" s="357"/>
      <c r="DG11" s="354"/>
      <c r="DI11" s="350"/>
      <c r="DJ11" s="350"/>
      <c r="DK11" s="350"/>
      <c r="DL11" s="350"/>
      <c r="DM11" s="350"/>
      <c r="DN11" s="351"/>
      <c r="DO11" s="351"/>
      <c r="DP11" s="352"/>
      <c r="DQ11" s="351"/>
      <c r="DR11" s="351"/>
      <c r="DS11" s="351"/>
      <c r="DT11" s="351"/>
      <c r="DU11" s="351"/>
      <c r="DV11" s="352"/>
      <c r="DW11" s="351"/>
      <c r="DX11" s="351"/>
      <c r="DY11" s="351"/>
      <c r="DZ11" s="351"/>
      <c r="EA11" s="353"/>
      <c r="EB11" s="340">
        <f>'211,213 допы 2024 (без овз)'!$AW$232</f>
        <v>1.35737</v>
      </c>
      <c r="EC11" s="341"/>
      <c r="ED11" s="342">
        <f>'211,213 допы 2024 (без овз)'!$AW$234</f>
        <v>0.22051999999999999</v>
      </c>
      <c r="EE11" s="343">
        <f>'211,213 допы 2024 (без овз)'!$AW$235</f>
        <v>0.73350000000000004</v>
      </c>
      <c r="EF11" s="341"/>
      <c r="EG11" s="341"/>
      <c r="EH11" s="345">
        <f>'211,213 допы 2024 (без овз)'!$AW$237</f>
        <v>1.2033499999999999</v>
      </c>
      <c r="EI11" s="346">
        <f>1+(42+3)/365</f>
        <v>1.1232899999999999</v>
      </c>
      <c r="EJ11" s="347"/>
      <c r="EK11" s="348">
        <f>'211,213 допы 2024 (без овз)'!$AW$236</f>
        <v>0.17288999999999999</v>
      </c>
      <c r="EL11" s="354"/>
      <c r="EM11" s="354"/>
      <c r="EN11" s="355"/>
      <c r="EO11" s="356"/>
      <c r="EP11" s="354"/>
      <c r="EQ11" s="357"/>
      <c r="ER11" s="354"/>
      <c r="ET11" s="350"/>
      <c r="EU11" s="350"/>
      <c r="EV11" s="350"/>
      <c r="EW11" s="350"/>
      <c r="EX11" s="350"/>
      <c r="EY11" s="351"/>
      <c r="EZ11" s="351"/>
      <c r="FA11" s="352"/>
      <c r="FB11" s="351"/>
      <c r="FC11" s="351"/>
      <c r="FD11" s="351"/>
      <c r="FE11" s="351"/>
      <c r="FF11" s="351"/>
      <c r="FG11" s="352"/>
      <c r="FH11" s="351"/>
      <c r="FI11" s="351"/>
      <c r="FJ11" s="351"/>
      <c r="FK11" s="351"/>
      <c r="FL11" s="353"/>
      <c r="FM11" s="340">
        <f>'211,213 допы 2024 (без овз)'!$AW$91</f>
        <v>1.32193</v>
      </c>
      <c r="FN11" s="341"/>
      <c r="FO11" s="342">
        <f>'211,213 допы 2024 (без овз)'!$AW$93</f>
        <v>0.21695999999999999</v>
      </c>
      <c r="FP11" s="343">
        <f>'211,213 допы 2024 (без овз)'!$AW$94</f>
        <v>0.97809999999999997</v>
      </c>
      <c r="FQ11" s="341"/>
      <c r="FR11" s="341"/>
      <c r="FS11" s="345">
        <f>'211,213 допы 2024 (без овз)'!$AW$96</f>
        <v>1.0935600000000001</v>
      </c>
      <c r="FT11" s="346">
        <f>1+(42+3)/365</f>
        <v>1.1232899999999999</v>
      </c>
      <c r="FU11" s="347"/>
      <c r="FV11" s="348">
        <f>'211,213 допы 2024 (без овз)'!$AW$95</f>
        <v>0</v>
      </c>
      <c r="FW11" s="354"/>
      <c r="FX11" s="354"/>
      <c r="FY11" s="355"/>
      <c r="FZ11" s="356"/>
      <c r="GA11" s="354"/>
      <c r="GB11" s="357"/>
      <c r="GC11" s="354"/>
      <c r="GE11" s="350"/>
      <c r="GF11" s="350"/>
      <c r="GG11" s="350"/>
      <c r="GH11" s="350"/>
      <c r="GI11" s="350"/>
      <c r="GJ11" s="351"/>
      <c r="GK11" s="351"/>
      <c r="GL11" s="352"/>
      <c r="GM11" s="351"/>
      <c r="GN11" s="351"/>
      <c r="GO11" s="351"/>
      <c r="GP11" s="351"/>
      <c r="GQ11" s="351"/>
      <c r="GR11" s="352"/>
      <c r="GS11" s="351"/>
      <c r="GT11" s="351"/>
      <c r="GU11" s="351"/>
      <c r="GV11" s="351"/>
      <c r="GW11" s="353"/>
      <c r="GX11" s="340">
        <f>'211,213 допы 2024 (без овз)'!$AW$251</f>
        <v>1.4064300000000001</v>
      </c>
      <c r="GY11" s="341"/>
      <c r="GZ11" s="342">
        <f>'211,213 допы 2024 (без овз)'!$AW$253</f>
        <v>0.32916000000000001</v>
      </c>
      <c r="HA11" s="343">
        <f>'211,213 допы 2024 (без овз)'!$AW$254</f>
        <v>0.59841999999999995</v>
      </c>
      <c r="HB11" s="341"/>
      <c r="HC11" s="341"/>
      <c r="HD11" s="345">
        <f>'211,213 допы 2024 (без овз)'!$AW$256</f>
        <v>1.24295</v>
      </c>
      <c r="HE11" s="346">
        <f>1+(42+3)/365</f>
        <v>1.1232899999999999</v>
      </c>
      <c r="HF11" s="347"/>
      <c r="HG11" s="348">
        <f>'211,213 допы 2024 (без овз)'!$AW$255</f>
        <v>0.13783999999999999</v>
      </c>
      <c r="HH11" s="354"/>
      <c r="HI11" s="354"/>
      <c r="HJ11" s="355"/>
      <c r="HK11" s="356"/>
      <c r="HL11" s="354"/>
      <c r="HM11" s="357"/>
      <c r="HN11" s="354"/>
      <c r="HP11" s="351"/>
      <c r="HS11" s="354"/>
      <c r="HT11" s="354"/>
      <c r="HU11" s="354"/>
      <c r="HV11" s="354"/>
      <c r="HW11" s="354"/>
      <c r="HX11" s="354"/>
      <c r="HY11" s="354"/>
      <c r="HZ11" s="354"/>
      <c r="IA11" s="354"/>
      <c r="IB11" s="354"/>
      <c r="IC11" s="354"/>
      <c r="ID11" s="354"/>
    </row>
    <row r="12" spans="1:238" s="113" customFormat="1" ht="18.75" customHeight="1" x14ac:dyDescent="0.25">
      <c r="A12" s="349" t="s">
        <v>448</v>
      </c>
      <c r="B12" s="350"/>
      <c r="C12" s="350"/>
      <c r="D12" s="350"/>
      <c r="E12" s="350"/>
      <c r="F12" s="350"/>
      <c r="G12" s="351"/>
      <c r="H12" s="351"/>
      <c r="I12" s="352"/>
      <c r="J12" s="351"/>
      <c r="K12" s="351"/>
      <c r="L12" s="351"/>
      <c r="M12" s="351"/>
      <c r="N12" s="351"/>
      <c r="O12" s="352"/>
      <c r="P12" s="351"/>
      <c r="Q12" s="351"/>
      <c r="R12" s="351"/>
      <c r="S12" s="351"/>
      <c r="T12" s="353"/>
      <c r="U12" s="340">
        <f>'211,213 допы 2024 (с овз)'!$AW$60</f>
        <v>1.48072</v>
      </c>
      <c r="V12" s="341"/>
      <c r="W12" s="342">
        <f>'211,213 допы 2024 (с овз)'!$AW$62</f>
        <v>0.29183999999999999</v>
      </c>
      <c r="X12" s="343">
        <f>'211,213 допы 2024 (с овз)'!$AW$63</f>
        <v>0.46305000000000002</v>
      </c>
      <c r="Y12" s="344"/>
      <c r="Z12" s="344"/>
      <c r="AA12" s="345">
        <f>'211,213 допы 2024 (с овз)'!$AW$65</f>
        <v>1.17672</v>
      </c>
      <c r="AB12" s="346">
        <f>1+(56+3)/365</f>
        <v>1.16164</v>
      </c>
      <c r="AC12" s="347"/>
      <c r="AD12" s="348">
        <f>'211,213 допы 2024 (с овз)'!$AW$64</f>
        <v>8.1439999999999999E-2</v>
      </c>
      <c r="AE12" s="354"/>
      <c r="AF12" s="354"/>
      <c r="AG12" s="355"/>
      <c r="AH12" s="356"/>
      <c r="AI12" s="354"/>
      <c r="AJ12" s="357"/>
      <c r="AK12" s="354"/>
      <c r="AM12" s="350"/>
      <c r="AN12" s="350"/>
      <c r="AO12" s="350"/>
      <c r="AP12" s="350"/>
      <c r="AQ12" s="350"/>
      <c r="AR12" s="351"/>
      <c r="AS12" s="351"/>
      <c r="AT12" s="352"/>
      <c r="AU12" s="351"/>
      <c r="AV12" s="351"/>
      <c r="AW12" s="351"/>
      <c r="AX12" s="351"/>
      <c r="AY12" s="351"/>
      <c r="AZ12" s="352"/>
      <c r="BA12" s="351"/>
      <c r="BB12" s="351"/>
      <c r="BC12" s="351"/>
      <c r="BD12" s="351"/>
      <c r="BE12" s="353"/>
      <c r="BF12" s="340">
        <f>'211,213 допы 2024 (с овз)'!$AW$146</f>
        <v>1.3871500000000001</v>
      </c>
      <c r="BG12" s="341"/>
      <c r="BH12" s="342">
        <f>'211,213 допы 2024 (с овз)'!$AW$148</f>
        <v>0.42914999999999998</v>
      </c>
      <c r="BI12" s="343">
        <f>'211,213 допы 2024 (с овз)'!$AW$149</f>
        <v>0.66744000000000003</v>
      </c>
      <c r="BJ12" s="341"/>
      <c r="BK12" s="341"/>
      <c r="BL12" s="345">
        <f>'211,213 допы 2024 (с овз)'!$AW$151</f>
        <v>1.22112</v>
      </c>
      <c r="BM12" s="346">
        <f>1+(56+3)/365</f>
        <v>1.16164</v>
      </c>
      <c r="BN12" s="347"/>
      <c r="BO12" s="348">
        <f>'211,213 допы 2024 (с овз)'!$AW$150</f>
        <v>0.10267</v>
      </c>
      <c r="BP12" s="354"/>
      <c r="BQ12" s="354"/>
      <c r="BR12" s="355"/>
      <c r="BS12" s="356"/>
      <c r="BT12" s="354"/>
      <c r="BU12" s="357"/>
      <c r="BV12" s="354"/>
      <c r="BX12" s="350"/>
      <c r="BY12" s="350"/>
      <c r="BZ12" s="350"/>
      <c r="CA12" s="350"/>
      <c r="CB12" s="350"/>
      <c r="CC12" s="351"/>
      <c r="CD12" s="351"/>
      <c r="CE12" s="352"/>
      <c r="CF12" s="351"/>
      <c r="CG12" s="351"/>
      <c r="CH12" s="351"/>
      <c r="CI12" s="351"/>
      <c r="CJ12" s="351"/>
      <c r="CK12" s="352"/>
      <c r="CL12" s="351"/>
      <c r="CM12" s="351"/>
      <c r="CN12" s="351"/>
      <c r="CO12" s="351"/>
      <c r="CP12" s="353"/>
      <c r="CQ12" s="340">
        <f>'211,213 допы 2024 (с овз)'!$AW$196</f>
        <v>1.3502099999999999</v>
      </c>
      <c r="CR12" s="341"/>
      <c r="CS12" s="342">
        <f>'211,213 допы 2024 (с овз)'!$AW$198</f>
        <v>0.33593000000000001</v>
      </c>
      <c r="CT12" s="343">
        <f>'211,213 допы 2024 (с овз)'!$AW$199</f>
        <v>0.67049999999999998</v>
      </c>
      <c r="CU12" s="341"/>
      <c r="CV12" s="341"/>
      <c r="CW12" s="345">
        <f>'211,213 допы 2024 (с овз)'!$AW$201</f>
        <v>1.4190199999999999</v>
      </c>
      <c r="CX12" s="346">
        <f>1+(56+3)/365</f>
        <v>1.16164</v>
      </c>
      <c r="CY12" s="347"/>
      <c r="CZ12" s="348">
        <f>'211,213 допы 2024 (с овз)'!$AW$200</f>
        <v>0.32064999999999999</v>
      </c>
      <c r="DA12" s="354"/>
      <c r="DB12" s="354"/>
      <c r="DC12" s="355"/>
      <c r="DD12" s="356"/>
      <c r="DE12" s="354"/>
      <c r="DF12" s="357"/>
      <c r="DG12" s="354"/>
      <c r="DI12" s="350"/>
      <c r="DJ12" s="350"/>
      <c r="DK12" s="350"/>
      <c r="DL12" s="350"/>
      <c r="DM12" s="350"/>
      <c r="DN12" s="351"/>
      <c r="DO12" s="351"/>
      <c r="DP12" s="352"/>
      <c r="DQ12" s="351"/>
      <c r="DR12" s="351"/>
      <c r="DS12" s="351"/>
      <c r="DT12" s="351"/>
      <c r="DU12" s="351"/>
      <c r="DV12" s="352"/>
      <c r="DW12" s="351"/>
      <c r="DX12" s="351"/>
      <c r="DY12" s="351"/>
      <c r="DZ12" s="351"/>
      <c r="EA12" s="353"/>
      <c r="EB12" s="340">
        <f>'211,213 допы 2024 (с овз)'!$AW$232</f>
        <v>1.35737</v>
      </c>
      <c r="EC12" s="341"/>
      <c r="ED12" s="342">
        <f>'211,213 допы 2024 (с овз)'!$AW$234</f>
        <v>0.22051999999999999</v>
      </c>
      <c r="EE12" s="343">
        <f>'211,213 допы 2024 (с овз)'!$AW$235</f>
        <v>0.73350000000000004</v>
      </c>
      <c r="EF12" s="341"/>
      <c r="EG12" s="341"/>
      <c r="EH12" s="345">
        <f>'211,213 допы 2024 (с овз)'!$AW$237</f>
        <v>1.2033499999999999</v>
      </c>
      <c r="EI12" s="346">
        <f>1+(56+3)/365</f>
        <v>1.16164</v>
      </c>
      <c r="EJ12" s="347"/>
      <c r="EK12" s="348">
        <f>'211,213 допы 2024 (с овз)'!$AW$236</f>
        <v>0.17288999999999999</v>
      </c>
      <c r="EL12" s="354"/>
      <c r="EM12" s="354"/>
      <c r="EN12" s="355"/>
      <c r="EO12" s="356"/>
      <c r="EP12" s="354"/>
      <c r="EQ12" s="357"/>
      <c r="ER12" s="354"/>
      <c r="ET12" s="350"/>
      <c r="EU12" s="350"/>
      <c r="EV12" s="350"/>
      <c r="EW12" s="350"/>
      <c r="EX12" s="350"/>
      <c r="EY12" s="351"/>
      <c r="EZ12" s="351"/>
      <c r="FA12" s="352"/>
      <c r="FB12" s="351"/>
      <c r="FC12" s="351"/>
      <c r="FD12" s="351"/>
      <c r="FE12" s="351"/>
      <c r="FF12" s="351"/>
      <c r="FG12" s="352"/>
      <c r="FH12" s="351"/>
      <c r="FI12" s="351"/>
      <c r="FJ12" s="351"/>
      <c r="FK12" s="351"/>
      <c r="FL12" s="353"/>
      <c r="FM12" s="340">
        <f>'211,213 допы 2024 (с овз)'!$AW$91</f>
        <v>1.32193</v>
      </c>
      <c r="FN12" s="341"/>
      <c r="FO12" s="342">
        <f>'211,213 допы 2024 (с овз)'!$AW$93</f>
        <v>0.21695999999999999</v>
      </c>
      <c r="FP12" s="343">
        <f>'211,213 допы 2024 (с овз)'!$AW$94</f>
        <v>0.97809999999999997</v>
      </c>
      <c r="FQ12" s="341"/>
      <c r="FR12" s="341"/>
      <c r="FS12" s="345">
        <f>'211,213 допы 2024 (с овз)'!$AW$96</f>
        <v>1.0935600000000001</v>
      </c>
      <c r="FT12" s="346">
        <f>1+(56+3)/365</f>
        <v>1.16164</v>
      </c>
      <c r="FU12" s="347"/>
      <c r="FV12" s="348">
        <f>'211,213 допы 2024 (с овз)'!$AW$95</f>
        <v>0</v>
      </c>
      <c r="FW12" s="354"/>
      <c r="FX12" s="354"/>
      <c r="FY12" s="355"/>
      <c r="FZ12" s="356"/>
      <c r="GA12" s="354"/>
      <c r="GB12" s="357"/>
      <c r="GC12" s="354"/>
      <c r="GE12" s="350"/>
      <c r="GF12" s="350"/>
      <c r="GG12" s="350"/>
      <c r="GH12" s="350"/>
      <c r="GI12" s="350"/>
      <c r="GJ12" s="351"/>
      <c r="GK12" s="351"/>
      <c r="GL12" s="352"/>
      <c r="GM12" s="351"/>
      <c r="GN12" s="351"/>
      <c r="GO12" s="351"/>
      <c r="GP12" s="351"/>
      <c r="GQ12" s="351"/>
      <c r="GR12" s="352"/>
      <c r="GS12" s="351"/>
      <c r="GT12" s="351"/>
      <c r="GU12" s="351"/>
      <c r="GV12" s="351"/>
      <c r="GW12" s="353"/>
      <c r="GX12" s="340">
        <f>'211,213 допы 2024 (с овз)'!$AW$251</f>
        <v>1.41039</v>
      </c>
      <c r="GY12" s="341"/>
      <c r="GZ12" s="342">
        <f>'211,213 допы 2024 (с овз)'!$AW$253</f>
        <v>0.32823000000000002</v>
      </c>
      <c r="HA12" s="343">
        <f>'211,213 допы 2024 (с овз)'!$AW$254</f>
        <v>0.60419</v>
      </c>
      <c r="HB12" s="341"/>
      <c r="HC12" s="341"/>
      <c r="HD12" s="345">
        <f>'211,213 допы 2024 (с овз)'!$AW$256</f>
        <v>1.2410600000000001</v>
      </c>
      <c r="HE12" s="346">
        <f>1+(56+3)/365</f>
        <v>1.16164</v>
      </c>
      <c r="HF12" s="347"/>
      <c r="HG12" s="348">
        <f>'211,213 допы 2024 (с овз)'!$AW$255</f>
        <v>0.13744999999999999</v>
      </c>
      <c r="HH12" s="354"/>
      <c r="HI12" s="354"/>
      <c r="HJ12" s="355"/>
      <c r="HK12" s="356"/>
      <c r="HL12" s="354"/>
      <c r="HM12" s="357"/>
      <c r="HN12" s="354"/>
      <c r="HP12" s="351"/>
      <c r="HS12" s="354"/>
      <c r="HT12" s="354"/>
      <c r="HU12" s="354"/>
      <c r="HV12" s="354"/>
      <c r="HW12" s="354"/>
      <c r="HX12" s="354"/>
      <c r="HY12" s="354"/>
      <c r="HZ12" s="354"/>
      <c r="IA12" s="354"/>
      <c r="IB12" s="354"/>
      <c r="IC12" s="354"/>
      <c r="ID12" s="354"/>
    </row>
    <row r="13" spans="1:238" s="113" customFormat="1" x14ac:dyDescent="0.25">
      <c r="A13" s="120" t="s">
        <v>52</v>
      </c>
      <c r="B13" s="135">
        <f>C13+AJ13</f>
        <v>190.87</v>
      </c>
      <c r="C13" s="135">
        <f>N13*P13*S13*T13*U13*(1+V13+W13+X13+Y13)*Z13/G13/H13</f>
        <v>148.87</v>
      </c>
      <c r="D13" s="135">
        <f>N13*P13*S13*T13*U13*(1+V13+Y13)*Z13/G13/H13</f>
        <v>85.01</v>
      </c>
      <c r="E13" s="135">
        <f>C13-D13</f>
        <v>63.86</v>
      </c>
      <c r="F13" s="135">
        <f>N13*P13*S13*T13*U13*(1+V13+Y13)*Z13*AD13/G13/H13</f>
        <v>6.94</v>
      </c>
      <c r="G13" s="124">
        <v>76.900000000000006</v>
      </c>
      <c r="H13" s="132">
        <v>800</v>
      </c>
      <c r="I13" s="133">
        <f>G13*H13</f>
        <v>61520</v>
      </c>
      <c r="J13" s="378">
        <f>'1.4. часы и места для МЗ и СЗ'!Z20</f>
        <v>12384</v>
      </c>
      <c r="K13" s="378">
        <f>'1.4. часы и места для МЗ и СЗ'!AA20</f>
        <v>120</v>
      </c>
      <c r="L13" s="378">
        <f>'1.4. часы и места для МЗ и СЗ'!AB20</f>
        <v>8</v>
      </c>
      <c r="M13" s="378">
        <f>'1.4. часы и места для МЗ и СЗ'!AC20</f>
        <v>36</v>
      </c>
      <c r="N13" s="379">
        <f>'1.4. часы и места для МЗ и СЗ'!AD20</f>
        <v>2.39</v>
      </c>
      <c r="O13" s="133">
        <f>J13/800</f>
        <v>15</v>
      </c>
      <c r="P13" s="125">
        <v>12</v>
      </c>
      <c r="Q13" s="160">
        <v>13855</v>
      </c>
      <c r="R13" s="272">
        <v>1.01</v>
      </c>
      <c r="S13" s="269">
        <f>Q13*R13</f>
        <v>13994</v>
      </c>
      <c r="T13" s="127">
        <v>1.302</v>
      </c>
      <c r="U13" s="128">
        <f t="shared" ref="U13:U21" si="0">U$11</f>
        <v>1.47617</v>
      </c>
      <c r="V13" s="129">
        <v>0</v>
      </c>
      <c r="W13" s="128">
        <f t="shared" ref="W13:X21" si="1">W$11</f>
        <v>0.29274</v>
      </c>
      <c r="X13" s="128">
        <f t="shared" si="1"/>
        <v>0.45841999999999999</v>
      </c>
      <c r="Y13" s="129">
        <v>0</v>
      </c>
      <c r="Z13" s="128">
        <f>ROUND(AA13*AB13*AC13,2)</f>
        <v>6.78</v>
      </c>
      <c r="AA13" s="128">
        <f t="shared" ref="AA13:AB26" si="2">AA$11</f>
        <v>1.1776</v>
      </c>
      <c r="AB13" s="128">
        <f t="shared" si="2"/>
        <v>1.1232899999999999</v>
      </c>
      <c r="AC13" s="128">
        <f>IF(O13=0,0,G13/O13)</f>
        <v>5.1266699999999998</v>
      </c>
      <c r="AD13" s="130">
        <f t="shared" ref="AD13:AD21" si="3">AD$11</f>
        <v>8.1689999999999999E-2</v>
      </c>
      <c r="AE13" s="131">
        <f>C13*J13+F13*J13</f>
        <v>1929551</v>
      </c>
      <c r="AF13" s="162">
        <v>41718.199999999997</v>
      </c>
      <c r="AG13" s="138">
        <f t="shared" ref="AG13:AG26" si="4">AF13-S13*U13</f>
        <v>21060.68</v>
      </c>
      <c r="AH13" s="142">
        <f t="shared" ref="AH13:AH22" si="5">AH$10/J$26*J13</f>
        <v>1.591623</v>
      </c>
      <c r="AI13" s="131">
        <f>AG13*AH13*1.302*12</f>
        <v>523727</v>
      </c>
      <c r="AJ13" s="153">
        <f>IF(J13=0,0,AI13/J13)</f>
        <v>42</v>
      </c>
      <c r="AK13" s="140">
        <f>IF(D13=0,0,(AJ13+D13)/D13)</f>
        <v>1.4940599999999999</v>
      </c>
      <c r="AM13" s="135">
        <f>AN13+BU13</f>
        <v>0</v>
      </c>
      <c r="AN13" s="135">
        <f>AY13*BA13*BD13*BE13*BF13*(1+BG13+BH13+BI13+BJ13)*BK13/AR13/AS13</f>
        <v>0</v>
      </c>
      <c r="AO13" s="135">
        <f>AY13*BA13*BD13*BE13*BF13*(1+BG13+BJ13)*BK13/AR13/AS13</f>
        <v>0</v>
      </c>
      <c r="AP13" s="135">
        <f>AN13-AO13</f>
        <v>0</v>
      </c>
      <c r="AQ13" s="135">
        <f>AY13*BA13*BD13*BE13*BF13*(1+BG13+BJ13)*BK13*BO13/AR13/AS13</f>
        <v>0</v>
      </c>
      <c r="AR13" s="124">
        <v>76.900000000000006</v>
      </c>
      <c r="AS13" s="132">
        <v>800</v>
      </c>
      <c r="AT13" s="133">
        <f>AR13*AS13</f>
        <v>61520</v>
      </c>
      <c r="AU13" s="378">
        <f>'1.4. часы и места для МЗ и СЗ'!Z59</f>
        <v>0</v>
      </c>
      <c r="AV13" s="378">
        <f>'1.4. часы и места для МЗ и СЗ'!AA59</f>
        <v>0</v>
      </c>
      <c r="AW13" s="378">
        <f>'1.4. часы и места для МЗ и СЗ'!AB59</f>
        <v>0</v>
      </c>
      <c r="AX13" s="378">
        <f>'1.4. часы и места для МЗ и СЗ'!AC59</f>
        <v>0</v>
      </c>
      <c r="AY13" s="379">
        <f>'1.4. часы и места для МЗ и СЗ'!AD59</f>
        <v>0</v>
      </c>
      <c r="AZ13" s="133">
        <f>AU13/800</f>
        <v>0</v>
      </c>
      <c r="BA13" s="125">
        <v>12</v>
      </c>
      <c r="BB13" s="382">
        <f t="shared" ref="BB13:BB26" si="6">Q13</f>
        <v>13855</v>
      </c>
      <c r="BC13" s="383">
        <f t="shared" ref="BC13:BC26" si="7">R13</f>
        <v>1.01</v>
      </c>
      <c r="BD13" s="269">
        <f>BB13*BC13</f>
        <v>13994</v>
      </c>
      <c r="BE13" s="127">
        <v>1.302</v>
      </c>
      <c r="BF13" s="128">
        <f t="shared" ref="BF13:BF21" si="8">BF$11</f>
        <v>1.38046</v>
      </c>
      <c r="BG13" s="129">
        <v>0</v>
      </c>
      <c r="BH13" s="128">
        <f t="shared" ref="BH13:BI21" si="9">BH$11</f>
        <v>0.43123</v>
      </c>
      <c r="BI13" s="128">
        <f t="shared" si="9"/>
        <v>0.66134000000000004</v>
      </c>
      <c r="BJ13" s="129">
        <v>0</v>
      </c>
      <c r="BK13" s="128">
        <f>ROUND(BL13*BM13*BN13,2)</f>
        <v>0</v>
      </c>
      <c r="BL13" s="128">
        <f t="shared" ref="BL13:BM26" si="10">BL$11</f>
        <v>1.2245299999999999</v>
      </c>
      <c r="BM13" s="128">
        <f t="shared" si="10"/>
        <v>1.1232899999999999</v>
      </c>
      <c r="BN13" s="128">
        <f>IF(AZ13=0,0,AR13/AZ13)</f>
        <v>0</v>
      </c>
      <c r="BO13" s="130">
        <f t="shared" ref="BO13:BO21" si="11">BO$11</f>
        <v>0.10316</v>
      </c>
      <c r="BP13" s="131">
        <f>AN13*AU13+AQ13*AU13</f>
        <v>0</v>
      </c>
      <c r="BQ13" s="387">
        <f t="shared" ref="BQ13:BQ26" si="12">AF13</f>
        <v>41718.199999999997</v>
      </c>
      <c r="BR13" s="138">
        <f t="shared" ref="BR13:BR26" si="13">BQ13-BD13*BF13</f>
        <v>22400.04</v>
      </c>
      <c r="BS13" s="142">
        <f t="shared" ref="BS13:BS22" si="14">BS$10/AU$26*AU13</f>
        <v>0</v>
      </c>
      <c r="BT13" s="131">
        <f>BR13*BS13*1.302*12</f>
        <v>0</v>
      </c>
      <c r="BU13" s="153">
        <f>IF(AU13=0,0,BT13/AU13)</f>
        <v>0</v>
      </c>
      <c r="BV13" s="140">
        <f>IF(AO13=0,0,(BU13+AO13)/AO13)</f>
        <v>0</v>
      </c>
      <c r="BX13" s="135">
        <f>BY13+DF13</f>
        <v>101.64</v>
      </c>
      <c r="BY13" s="135">
        <f>CJ13*CL13*CO13*CP13*CQ13*(1+CR13+CS13+CT13+CU13)*CV13/CC13/CD13</f>
        <v>60.64</v>
      </c>
      <c r="BZ13" s="135">
        <f>CJ13*CL13*CO13*CP13*CQ13*(1+CR13+CU13)*CV13/CC13/CD13</f>
        <v>30.39</v>
      </c>
      <c r="CA13" s="135">
        <f>BY13-BZ13</f>
        <v>30.25</v>
      </c>
      <c r="CB13" s="135">
        <f>CJ13*CL13*CO13*CP13*CQ13*(1+CR13+CU13)*CV13*CZ13/CC13/CD13</f>
        <v>9.76</v>
      </c>
      <c r="CC13" s="124">
        <v>76.900000000000006</v>
      </c>
      <c r="CD13" s="132">
        <v>800</v>
      </c>
      <c r="CE13" s="133">
        <f>CC13*CD13</f>
        <v>61520</v>
      </c>
      <c r="CF13" s="378">
        <f>'1.4. часы и места для МЗ и СЗ'!Z72</f>
        <v>113328</v>
      </c>
      <c r="CG13" s="378">
        <f>'1.4. часы и места для МЗ и СЗ'!AA72</f>
        <v>689</v>
      </c>
      <c r="CH13" s="378">
        <f>'1.4. часы и места для МЗ и СЗ'!AB72</f>
        <v>23</v>
      </c>
      <c r="CI13" s="378">
        <f>'1.4. часы и места для МЗ и СЗ'!AC72</f>
        <v>36</v>
      </c>
      <c r="CJ13" s="379">
        <f>'1.4. часы и места для МЗ и СЗ'!AD72</f>
        <v>7.29</v>
      </c>
      <c r="CK13" s="133">
        <f>CF13/800</f>
        <v>142</v>
      </c>
      <c r="CL13" s="125">
        <v>12</v>
      </c>
      <c r="CM13" s="382">
        <f t="shared" ref="CM13:CM26" si="15">Q13</f>
        <v>13855</v>
      </c>
      <c r="CN13" s="383">
        <f t="shared" ref="CN13:CN26" si="16">R13</f>
        <v>1.01</v>
      </c>
      <c r="CO13" s="269">
        <f>CM13*CN13</f>
        <v>13994</v>
      </c>
      <c r="CP13" s="127">
        <v>1.302</v>
      </c>
      <c r="CQ13" s="128">
        <f t="shared" ref="CQ13:CQ21" si="17">CQ$11</f>
        <v>1.34843</v>
      </c>
      <c r="CR13" s="129">
        <v>0</v>
      </c>
      <c r="CS13" s="128">
        <f t="shared" ref="CS13:CT21" si="18">CS$11</f>
        <v>0.33637</v>
      </c>
      <c r="CT13" s="128">
        <f t="shared" si="18"/>
        <v>0.65883000000000003</v>
      </c>
      <c r="CU13" s="129">
        <v>0</v>
      </c>
      <c r="CV13" s="128">
        <f>ROUND(CW13*CX13*CY13,2)</f>
        <v>0.87</v>
      </c>
      <c r="CW13" s="128">
        <f t="shared" ref="CW13:CX26" si="19">CW$11</f>
        <v>1.4220999999999999</v>
      </c>
      <c r="CX13" s="128">
        <f t="shared" si="19"/>
        <v>1.1232899999999999</v>
      </c>
      <c r="CY13" s="128">
        <f>IF(CK13=0,0,CC13/CK13)</f>
        <v>0.54154999999999998</v>
      </c>
      <c r="CZ13" s="130">
        <f t="shared" ref="CZ13:CZ21" si="20">CZ$11</f>
        <v>0.32107000000000002</v>
      </c>
      <c r="DA13" s="131">
        <f>BY13*CF13+CB13*CF13</f>
        <v>7978291</v>
      </c>
      <c r="DB13" s="387">
        <f t="shared" ref="DB13:DB26" si="21">AF13</f>
        <v>41718.199999999997</v>
      </c>
      <c r="DC13" s="138">
        <f t="shared" ref="DC13:DC26" si="22">DB13-CO13*CQ13</f>
        <v>22848.27</v>
      </c>
      <c r="DD13" s="142">
        <f t="shared" ref="DD13:DD22" si="23">DD$10/CF$26*CF13</f>
        <v>13.170156</v>
      </c>
      <c r="DE13" s="131">
        <f>DC13*DD13*1.302*12</f>
        <v>4701500</v>
      </c>
      <c r="DF13" s="153">
        <f>IF(CF13=0,0,DE13/CF13)</f>
        <v>41</v>
      </c>
      <c r="DG13" s="140">
        <f>IF(BZ13=0,0,(DF13+BZ13)/BZ13)</f>
        <v>2.3491300000000002</v>
      </c>
      <c r="DI13" s="135">
        <f>DJ13+EQ13</f>
        <v>0</v>
      </c>
      <c r="DJ13" s="135">
        <f>DU13*DW13*DZ13*EA13*EB13*(1+EC13+ED13+EE13+EF13)*EG13/DN13/DO13</f>
        <v>0</v>
      </c>
      <c r="DK13" s="135">
        <f>DU13*DW13*DZ13*EA13*EB13*(1+EC13+EF13)*EG13/DN13/DO13</f>
        <v>0</v>
      </c>
      <c r="DL13" s="135">
        <f>DJ13-DK13</f>
        <v>0</v>
      </c>
      <c r="DM13" s="135">
        <f>DU13*DW13*DZ13*EA13*EB13*(1+EC13+EF13)*EG13*EK13/DN13/DO13</f>
        <v>0</v>
      </c>
      <c r="DN13" s="124">
        <v>76.900000000000006</v>
      </c>
      <c r="DO13" s="132">
        <v>800</v>
      </c>
      <c r="DP13" s="133">
        <f>DN13*DO13</f>
        <v>61520</v>
      </c>
      <c r="DQ13" s="378">
        <f>'1.4. часы и места для МЗ и СЗ'!Z33</f>
        <v>0</v>
      </c>
      <c r="DR13" s="378">
        <f>'1.4. часы и места для МЗ и СЗ'!AA33</f>
        <v>0</v>
      </c>
      <c r="DS13" s="378">
        <f>'1.4. часы и места для МЗ и СЗ'!AB33</f>
        <v>0</v>
      </c>
      <c r="DT13" s="378">
        <f>'1.4. часы и места для МЗ и СЗ'!AC33</f>
        <v>0</v>
      </c>
      <c r="DU13" s="379">
        <f>'1.4. часы и места для МЗ и СЗ'!AD33</f>
        <v>0</v>
      </c>
      <c r="DV13" s="133">
        <f>DQ13/800</f>
        <v>0</v>
      </c>
      <c r="DW13" s="125">
        <v>12</v>
      </c>
      <c r="DX13" s="382">
        <f t="shared" ref="DX13:DX26" si="24">Q13</f>
        <v>13855</v>
      </c>
      <c r="DY13" s="383">
        <f t="shared" ref="DY13:DY26" si="25">R13</f>
        <v>1.01</v>
      </c>
      <c r="DZ13" s="269">
        <f>DX13*DY13</f>
        <v>13994</v>
      </c>
      <c r="EA13" s="127">
        <v>1.302</v>
      </c>
      <c r="EB13" s="128">
        <f t="shared" ref="EB13:EB21" si="26">EB$11</f>
        <v>1.35737</v>
      </c>
      <c r="EC13" s="129">
        <v>0</v>
      </c>
      <c r="ED13" s="128">
        <f t="shared" ref="ED13:EE21" si="27">ED$11</f>
        <v>0.22051999999999999</v>
      </c>
      <c r="EE13" s="128">
        <f t="shared" si="27"/>
        <v>0.73350000000000004</v>
      </c>
      <c r="EF13" s="129">
        <v>0</v>
      </c>
      <c r="EG13" s="128">
        <f>ROUND(EH13*EI13*EJ13,2)</f>
        <v>0</v>
      </c>
      <c r="EH13" s="128">
        <f t="shared" ref="EH13:EI21" si="28">EH$11</f>
        <v>1.2033499999999999</v>
      </c>
      <c r="EI13" s="128">
        <f t="shared" si="28"/>
        <v>1.1232899999999999</v>
      </c>
      <c r="EJ13" s="128">
        <f>IF(DV13=0,0,DN13/DV13)</f>
        <v>0</v>
      </c>
      <c r="EK13" s="130">
        <f t="shared" ref="EK13:EK21" si="29">EK$11</f>
        <v>0.17288999999999999</v>
      </c>
      <c r="EL13" s="131">
        <f>DJ13*DQ13+DM13*DQ13</f>
        <v>0</v>
      </c>
      <c r="EM13" s="387">
        <f t="shared" ref="EM13:EM26" si="30">AF13</f>
        <v>41718.199999999997</v>
      </c>
      <c r="EN13" s="138">
        <f t="shared" ref="EN13:EN26" si="31">EM13-DZ13*EB13</f>
        <v>22723.16</v>
      </c>
      <c r="EO13" s="142">
        <f t="shared" ref="EO13:EO22" si="32">EO$10/DQ$26*DQ13</f>
        <v>0</v>
      </c>
      <c r="EP13" s="131">
        <f>EN13*EO13*1.302*12</f>
        <v>0</v>
      </c>
      <c r="EQ13" s="153">
        <f>IF(DQ13=0,0,EP13/DQ13)</f>
        <v>0</v>
      </c>
      <c r="ER13" s="140">
        <f>IF(DK13=0,0,(EQ13+DK13)/DK13)</f>
        <v>0</v>
      </c>
      <c r="ET13" s="135">
        <f>EU13+GB13</f>
        <v>0</v>
      </c>
      <c r="EU13" s="135">
        <f>FF13*FH13*FK13*FL13*FM13*(1+FN13+FO13+FP13+FQ13)*FR13/EY13/EZ13</f>
        <v>0</v>
      </c>
      <c r="EV13" s="135">
        <f>FF13*FH13*FK13*FL13*FM13*(1+FN13+FQ13)*FR13/EY13/EZ13</f>
        <v>0</v>
      </c>
      <c r="EW13" s="135">
        <f>EU13-EV13</f>
        <v>0</v>
      </c>
      <c r="EX13" s="135">
        <f>FF13*FH13*FK13*FL13*FM13*(1+FN13+FQ13)*FR13*FV13/EY13/EZ13</f>
        <v>0</v>
      </c>
      <c r="EY13" s="124">
        <v>76.900000000000006</v>
      </c>
      <c r="EZ13" s="132">
        <v>800</v>
      </c>
      <c r="FA13" s="133">
        <f>EY13*EZ13</f>
        <v>61520</v>
      </c>
      <c r="FB13" s="378">
        <f>'1.4. часы и места для МЗ и СЗ'!Z46</f>
        <v>0</v>
      </c>
      <c r="FC13" s="378">
        <f>'1.4. часы и места для МЗ и СЗ'!AA46</f>
        <v>0</v>
      </c>
      <c r="FD13" s="378">
        <f>'1.4. часы и места для МЗ и СЗ'!AB46</f>
        <v>0</v>
      </c>
      <c r="FE13" s="378">
        <f>'1.4. часы и места для МЗ и СЗ'!AC46</f>
        <v>0</v>
      </c>
      <c r="FF13" s="379">
        <f>'1.4. часы и места для МЗ и СЗ'!AD46</f>
        <v>0</v>
      </c>
      <c r="FG13" s="133">
        <f>FB13/800</f>
        <v>0</v>
      </c>
      <c r="FH13" s="125">
        <v>12</v>
      </c>
      <c r="FI13" s="382">
        <f t="shared" ref="FI13:FI26" si="33">Q13</f>
        <v>13855</v>
      </c>
      <c r="FJ13" s="383">
        <f t="shared" ref="FJ13:FJ26" si="34">R13</f>
        <v>1.01</v>
      </c>
      <c r="FK13" s="269">
        <f>FI13*FJ13</f>
        <v>13994</v>
      </c>
      <c r="FL13" s="127">
        <v>1.302</v>
      </c>
      <c r="FM13" s="128">
        <f t="shared" ref="FM13:FM21" si="35">FM$11</f>
        <v>1.32193</v>
      </c>
      <c r="FN13" s="129">
        <v>0</v>
      </c>
      <c r="FO13" s="128">
        <f t="shared" ref="FO13:FP21" si="36">FO$11</f>
        <v>0.21695999999999999</v>
      </c>
      <c r="FP13" s="128">
        <f t="shared" si="36"/>
        <v>0.97809999999999997</v>
      </c>
      <c r="FQ13" s="129">
        <v>0</v>
      </c>
      <c r="FR13" s="128">
        <f>ROUND(FS13*FT13*FU13,2)</f>
        <v>0</v>
      </c>
      <c r="FS13" s="128">
        <f t="shared" ref="FS13:FT26" si="37">FS$11</f>
        <v>1.0935600000000001</v>
      </c>
      <c r="FT13" s="128">
        <f t="shared" si="37"/>
        <v>1.1232899999999999</v>
      </c>
      <c r="FU13" s="128">
        <f>IF(FG13=0,0,EY13/FG13)</f>
        <v>0</v>
      </c>
      <c r="FV13" s="130">
        <f t="shared" ref="FV13:FV21" si="38">FV$11</f>
        <v>0</v>
      </c>
      <c r="FW13" s="131">
        <f>EU13*FB13+EX13*FB13</f>
        <v>0</v>
      </c>
      <c r="FX13" s="387">
        <f t="shared" ref="FX13:FX26" si="39">AF13</f>
        <v>41718.199999999997</v>
      </c>
      <c r="FY13" s="138">
        <f t="shared" ref="FY13:FY26" si="40">FX13-FK13*FM13</f>
        <v>23219.11</v>
      </c>
      <c r="FZ13" s="142">
        <f t="shared" ref="FZ13:FZ22" si="41">FZ$10/FB$26*FB13</f>
        <v>0</v>
      </c>
      <c r="GA13" s="131">
        <f>FY13*FZ13*1.302*12</f>
        <v>0</v>
      </c>
      <c r="GB13" s="153">
        <f>IF(FB13=0,0,GA13/FB13)</f>
        <v>0</v>
      </c>
      <c r="GC13" s="140">
        <f>IF(EV13=0,0,(GB13+EV13)/EV13)</f>
        <v>0</v>
      </c>
      <c r="GE13" s="135">
        <f>GF13+HM13</f>
        <v>101.42</v>
      </c>
      <c r="GF13" s="135">
        <f>GQ13*GS13*GV13*GW13*GX13*(1+GY13+GZ13+HA13+HB13)*HC13/GJ13/GK13</f>
        <v>63.42</v>
      </c>
      <c r="GG13" s="135">
        <f>GQ13*GS13*GV13*GW13*GX13*(1+GY13+HB13)*HC13/GJ13/GK13</f>
        <v>32.9</v>
      </c>
      <c r="GH13" s="135">
        <f>GF13-GG13</f>
        <v>30.52</v>
      </c>
      <c r="GI13" s="135">
        <f>GQ13*GS13*GV13*GW13*GX13*(1+GY13+HB13)*HC13*HG13/GJ13/GK13</f>
        <v>4.54</v>
      </c>
      <c r="GJ13" s="124">
        <v>76.900000000000006</v>
      </c>
      <c r="GK13" s="132">
        <v>800</v>
      </c>
      <c r="GL13" s="133">
        <f>GJ13*GK13</f>
        <v>61520</v>
      </c>
      <c r="GM13" s="227">
        <f t="shared" ref="GM13:GO14" si="42">J13+AU13+CF13+DQ13+FB13</f>
        <v>125712</v>
      </c>
      <c r="GN13" s="227">
        <f t="shared" si="42"/>
        <v>809</v>
      </c>
      <c r="GO13" s="227">
        <f t="shared" si="42"/>
        <v>31</v>
      </c>
      <c r="GP13" s="158" t="s">
        <v>471</v>
      </c>
      <c r="GQ13" s="229">
        <f>N13+AY13+CJ13+DU13+FF13</f>
        <v>9.68</v>
      </c>
      <c r="GR13" s="133">
        <f>GM13/800</f>
        <v>157</v>
      </c>
      <c r="GS13" s="125">
        <v>12</v>
      </c>
      <c r="GT13" s="382">
        <f t="shared" ref="GT13:GT26" si="43">Q13</f>
        <v>13855</v>
      </c>
      <c r="GU13" s="383">
        <f t="shared" ref="GU13:GU26" si="44">R13</f>
        <v>1.01</v>
      </c>
      <c r="GV13" s="269">
        <f>GT13*GU13</f>
        <v>13994</v>
      </c>
      <c r="GW13" s="127">
        <v>1.302</v>
      </c>
      <c r="GX13" s="128">
        <f t="shared" ref="GX13:GX21" si="45">GX$11</f>
        <v>1.4064300000000001</v>
      </c>
      <c r="GY13" s="129">
        <v>0</v>
      </c>
      <c r="GZ13" s="128">
        <f t="shared" ref="GZ13:HA21" si="46">GZ$11</f>
        <v>0.32916000000000001</v>
      </c>
      <c r="HA13" s="128">
        <f t="shared" si="46"/>
        <v>0.59841999999999995</v>
      </c>
      <c r="HB13" s="129">
        <v>0</v>
      </c>
      <c r="HC13" s="128">
        <f>ROUND(HD13*HE13*HF13,2)</f>
        <v>0.68</v>
      </c>
      <c r="HD13" s="128">
        <f t="shared" ref="HD13:HE26" si="47">HD$11</f>
        <v>1.24295</v>
      </c>
      <c r="HE13" s="128">
        <f t="shared" si="47"/>
        <v>1.1232899999999999</v>
      </c>
      <c r="HF13" s="128">
        <f>IF(GR13=0,0,GJ13/GR13)</f>
        <v>0.48981000000000002</v>
      </c>
      <c r="HG13" s="130">
        <f t="shared" ref="HG13:HG21" si="48">HG$11</f>
        <v>0.13783999999999999</v>
      </c>
      <c r="HH13" s="131">
        <f>GF13*GM13+GI13*GM13</f>
        <v>8543388</v>
      </c>
      <c r="HI13" s="387">
        <f t="shared" ref="HI13:HI26" si="49">AF13</f>
        <v>41718.199999999997</v>
      </c>
      <c r="HJ13" s="138">
        <f t="shared" ref="HJ13:HJ26" si="50">HI13-GV13*GX13</f>
        <v>22036.62</v>
      </c>
      <c r="HK13" s="142">
        <f t="shared" ref="HK13:HK22" si="51">HK$10/GM$26*GM13</f>
        <v>14.052066</v>
      </c>
      <c r="HL13" s="131">
        <f>HJ13*HK13*1.302*12</f>
        <v>4838128</v>
      </c>
      <c r="HM13" s="153">
        <f>IF(GM13=0,0,HL13/GM13)</f>
        <v>38</v>
      </c>
      <c r="HN13" s="140">
        <f>IF(GG13=0,0,(HM13+GG13)/GG13)</f>
        <v>2.1550199999999999</v>
      </c>
      <c r="HP13" s="151">
        <f>GQ13*18</f>
        <v>174.24</v>
      </c>
      <c r="HS13" s="163">
        <f>J13</f>
        <v>12384</v>
      </c>
      <c r="HT13" s="163">
        <f>AU13</f>
        <v>0</v>
      </c>
      <c r="HU13" s="163">
        <f>CF13</f>
        <v>113328</v>
      </c>
      <c r="HV13" s="163">
        <f>DQ13</f>
        <v>0</v>
      </c>
      <c r="HW13" s="163">
        <f>FB13</f>
        <v>0</v>
      </c>
      <c r="HX13" s="162">
        <f>SUM(HS13:HW13)</f>
        <v>125712</v>
      </c>
      <c r="HY13" s="163">
        <f>HS13*B13</f>
        <v>2363734.08</v>
      </c>
      <c r="HZ13" s="163">
        <f>HT13*AM13</f>
        <v>0</v>
      </c>
      <c r="IA13" s="163">
        <f>HU13*BX13</f>
        <v>11518657.92</v>
      </c>
      <c r="IB13" s="163">
        <f>HV13*DI13</f>
        <v>0</v>
      </c>
      <c r="IC13" s="163">
        <f>HW13*ET13</f>
        <v>0</v>
      </c>
      <c r="ID13" s="162">
        <f>SUM(HY13:IC13)</f>
        <v>13882392</v>
      </c>
    </row>
    <row r="14" spans="1:238" s="113" customFormat="1" ht="24" x14ac:dyDescent="0.25">
      <c r="A14" s="120" t="s">
        <v>53</v>
      </c>
      <c r="B14" s="135">
        <f t="shared" ref="B14:B22" si="52">C14+AJ14</f>
        <v>142.96</v>
      </c>
      <c r="C14" s="135">
        <f t="shared" ref="C14:C22" si="53">N14*P14*S14*T14*U14*(1+V14+W14+X14+Y14)*Z14/G14/H14</f>
        <v>100.96</v>
      </c>
      <c r="D14" s="135">
        <f t="shared" ref="D14:D22" si="54">N14*P14*S14*T14*U14*(1+V14+Y14)*Z14/G14/H14</f>
        <v>57.65</v>
      </c>
      <c r="E14" s="135">
        <f>C14-D14</f>
        <v>43.31</v>
      </c>
      <c r="F14" s="135">
        <f t="shared" ref="F14:F26" si="55">N14*P14*S14*T14*U14*(1+V14+Y14)*Z14*AD14/G14/H14</f>
        <v>4.71</v>
      </c>
      <c r="G14" s="124">
        <v>76.900000000000006</v>
      </c>
      <c r="H14" s="132">
        <v>800</v>
      </c>
      <c r="I14" s="133">
        <f t="shared" ref="I14:I26" si="56">G14*H14</f>
        <v>61520</v>
      </c>
      <c r="J14" s="378">
        <f>'1.4. часы и места для МЗ и СЗ'!Z21</f>
        <v>19872</v>
      </c>
      <c r="K14" s="378">
        <f>'1.4. часы и места для МЗ и СЗ'!AA21</f>
        <v>207</v>
      </c>
      <c r="L14" s="378">
        <f>'1.4. часы и места для МЗ и СЗ'!AB21</f>
        <v>17</v>
      </c>
      <c r="M14" s="378">
        <f>'1.4. часы и места для МЗ и СЗ'!AC21</f>
        <v>36</v>
      </c>
      <c r="N14" s="379">
        <f>'1.4. часы и места для МЗ и СЗ'!AD21</f>
        <v>2.7</v>
      </c>
      <c r="O14" s="133">
        <f t="shared" ref="O14:O26" si="57">J14/800</f>
        <v>25</v>
      </c>
      <c r="P14" s="125">
        <v>12</v>
      </c>
      <c r="Q14" s="160">
        <v>13855</v>
      </c>
      <c r="R14" s="272">
        <v>1.01</v>
      </c>
      <c r="S14" s="269">
        <f t="shared" ref="S14:S26" si="58">Q14*R14</f>
        <v>13994</v>
      </c>
      <c r="T14" s="127">
        <v>1.302</v>
      </c>
      <c r="U14" s="128">
        <f t="shared" si="0"/>
        <v>1.47617</v>
      </c>
      <c r="V14" s="129">
        <v>0</v>
      </c>
      <c r="W14" s="128">
        <f t="shared" si="1"/>
        <v>0.29274</v>
      </c>
      <c r="X14" s="128">
        <f t="shared" si="1"/>
        <v>0.45841999999999999</v>
      </c>
      <c r="Y14" s="129">
        <v>0</v>
      </c>
      <c r="Z14" s="128">
        <f t="shared" ref="Z14:Z26" si="59">ROUND(AA14*AB14*AC14,2)</f>
        <v>4.07</v>
      </c>
      <c r="AA14" s="128">
        <f t="shared" si="2"/>
        <v>1.1776</v>
      </c>
      <c r="AB14" s="128">
        <f t="shared" si="2"/>
        <v>1.1232899999999999</v>
      </c>
      <c r="AC14" s="128">
        <f t="shared" ref="AC14:AC26" si="60">IF(O14=0,0,G14/O14)</f>
        <v>3.0760000000000001</v>
      </c>
      <c r="AD14" s="130">
        <f t="shared" si="3"/>
        <v>8.1689999999999999E-2</v>
      </c>
      <c r="AE14" s="131">
        <f>C14*J14+F14*J14</f>
        <v>2099874</v>
      </c>
      <c r="AF14" s="162">
        <v>41718.199999999997</v>
      </c>
      <c r="AG14" s="138">
        <f t="shared" si="4"/>
        <v>21060.68</v>
      </c>
      <c r="AH14" s="142">
        <f t="shared" si="5"/>
        <v>2.5539999999999998</v>
      </c>
      <c r="AI14" s="131">
        <f t="shared" ref="AI14:AI26" si="61">AG14*AH14*1.302*12</f>
        <v>840399</v>
      </c>
      <c r="AJ14" s="153">
        <f t="shared" ref="AJ14:AJ26" si="62">IF(J14=0,0,AI14/J14)</f>
        <v>42</v>
      </c>
      <c r="AK14" s="140">
        <f t="shared" ref="AK14:AK26" si="63">IF(D14=0,0,(AJ14+D14)/D14)</f>
        <v>1.7285299999999999</v>
      </c>
      <c r="AM14" s="135">
        <f t="shared" ref="AM14:AM22" si="64">AN14+BU14</f>
        <v>0</v>
      </c>
      <c r="AN14" s="135">
        <f t="shared" ref="AN14:AN22" si="65">AY14*BA14*BD14*BE14*BF14*(1+BG14+BH14+BI14+BJ14)*BK14/AR14/AS14</f>
        <v>0</v>
      </c>
      <c r="AO14" s="135">
        <f t="shared" ref="AO14:AO22" si="66">AY14*BA14*BD14*BE14*BF14*(1+BG14+BJ14)*BK14/AR14/AS14</f>
        <v>0</v>
      </c>
      <c r="AP14" s="135">
        <f>AN14-AO14</f>
        <v>0</v>
      </c>
      <c r="AQ14" s="135">
        <f t="shared" ref="AQ14:AQ26" si="67">AY14*BA14*BD14*BE14*BF14*(1+BG14+BJ14)*BK14*BO14/AR14/AS14</f>
        <v>0</v>
      </c>
      <c r="AR14" s="124">
        <v>76.900000000000006</v>
      </c>
      <c r="AS14" s="132">
        <v>800</v>
      </c>
      <c r="AT14" s="133">
        <f t="shared" ref="AT14:AT26" si="68">AR14*AS14</f>
        <v>61520</v>
      </c>
      <c r="AU14" s="378">
        <f>'1.4. часы и места для МЗ и СЗ'!Z60</f>
        <v>0</v>
      </c>
      <c r="AV14" s="378">
        <f>'1.4. часы и места для МЗ и СЗ'!AA60</f>
        <v>0</v>
      </c>
      <c r="AW14" s="378">
        <f>'1.4. часы и места для МЗ и СЗ'!AB60</f>
        <v>0</v>
      </c>
      <c r="AX14" s="378">
        <f>'1.4. часы и места для МЗ и СЗ'!AC60</f>
        <v>0</v>
      </c>
      <c r="AY14" s="379">
        <f>'1.4. часы и места для МЗ и СЗ'!AD60</f>
        <v>0</v>
      </c>
      <c r="AZ14" s="133">
        <f t="shared" ref="AZ14:AZ26" si="69">AU14/800</f>
        <v>0</v>
      </c>
      <c r="BA14" s="125">
        <v>12</v>
      </c>
      <c r="BB14" s="382">
        <f t="shared" si="6"/>
        <v>13855</v>
      </c>
      <c r="BC14" s="383">
        <f t="shared" si="7"/>
        <v>1.01</v>
      </c>
      <c r="BD14" s="269">
        <f t="shared" ref="BD14:BD26" si="70">BB14*BC14</f>
        <v>13994</v>
      </c>
      <c r="BE14" s="127">
        <v>1.302</v>
      </c>
      <c r="BF14" s="128">
        <f t="shared" si="8"/>
        <v>1.38046</v>
      </c>
      <c r="BG14" s="129">
        <v>0</v>
      </c>
      <c r="BH14" s="128">
        <f t="shared" si="9"/>
        <v>0.43123</v>
      </c>
      <c r="BI14" s="128">
        <f t="shared" si="9"/>
        <v>0.66134000000000004</v>
      </c>
      <c r="BJ14" s="129">
        <v>0</v>
      </c>
      <c r="BK14" s="128">
        <f t="shared" ref="BK14:BK26" si="71">ROUND(BL14*BM14*BN14,2)</f>
        <v>0</v>
      </c>
      <c r="BL14" s="128">
        <f t="shared" si="10"/>
        <v>1.2245299999999999</v>
      </c>
      <c r="BM14" s="128">
        <f t="shared" si="10"/>
        <v>1.1232899999999999</v>
      </c>
      <c r="BN14" s="128">
        <f t="shared" ref="BN14:BN26" si="72">IF(AZ14=0,0,AR14/AZ14)</f>
        <v>0</v>
      </c>
      <c r="BO14" s="130">
        <f t="shared" si="11"/>
        <v>0.10316</v>
      </c>
      <c r="BP14" s="131">
        <f>AN14*AU14+AQ14*AU14</f>
        <v>0</v>
      </c>
      <c r="BQ14" s="387">
        <f t="shared" si="12"/>
        <v>41718.199999999997</v>
      </c>
      <c r="BR14" s="138">
        <f t="shared" si="13"/>
        <v>22400.04</v>
      </c>
      <c r="BS14" s="142">
        <f t="shared" si="14"/>
        <v>0</v>
      </c>
      <c r="BT14" s="131">
        <f t="shared" ref="BT14:BT26" si="73">BR14*BS14*1.302*12</f>
        <v>0</v>
      </c>
      <c r="BU14" s="153">
        <f t="shared" ref="BU14:BU26" si="74">IF(AU14=0,0,BT14/AU14)</f>
        <v>0</v>
      </c>
      <c r="BV14" s="140">
        <f t="shared" ref="BV14:BV26" si="75">IF(AO14=0,0,(BU14+AO14)/AO14)</f>
        <v>0</v>
      </c>
      <c r="BX14" s="135">
        <f t="shared" ref="BX14:BX22" si="76">BY14+DF14</f>
        <v>108.68</v>
      </c>
      <c r="BY14" s="135">
        <f t="shared" ref="BY14:BY22" si="77">CJ14*CL14*CO14*CP14*CQ14*(1+CR14+CS14+CT14+CU14)*CV14/CC14/CD14</f>
        <v>67.680000000000007</v>
      </c>
      <c r="BZ14" s="135">
        <f t="shared" ref="BZ14:BZ22" si="78">CJ14*CL14*CO14*CP14*CQ14*(1+CR14+CU14)*CV14/CC14/CD14</f>
        <v>33.92</v>
      </c>
      <c r="CA14" s="135">
        <f>BY14-BZ14</f>
        <v>33.76</v>
      </c>
      <c r="CB14" s="135">
        <f t="shared" ref="CB14:CB26" si="79">CJ14*CL14*CO14*CP14*CQ14*(1+CR14+CU14)*CV14*CZ14/CC14/CD14</f>
        <v>10.89</v>
      </c>
      <c r="CC14" s="124">
        <v>76.900000000000006</v>
      </c>
      <c r="CD14" s="132">
        <v>800</v>
      </c>
      <c r="CE14" s="133">
        <f t="shared" ref="CE14:CE26" si="80">CC14*CD14</f>
        <v>61520</v>
      </c>
      <c r="CF14" s="378">
        <f>'1.4. часы и места для МЗ и СЗ'!Z73</f>
        <v>16776</v>
      </c>
      <c r="CG14" s="378">
        <f>'1.4. часы и места для МЗ и СЗ'!AA73</f>
        <v>96</v>
      </c>
      <c r="CH14" s="378">
        <f>'1.4. часы и места для МЗ и СЗ'!AB73</f>
        <v>4</v>
      </c>
      <c r="CI14" s="378">
        <f>'1.4. часы и места для МЗ и СЗ'!AC73</f>
        <v>36</v>
      </c>
      <c r="CJ14" s="379">
        <f>'1.4. часы и места для МЗ и СЗ'!AD73</f>
        <v>1.21</v>
      </c>
      <c r="CK14" s="133">
        <f t="shared" ref="CK14:CK26" si="81">CF14/800</f>
        <v>21</v>
      </c>
      <c r="CL14" s="125">
        <v>12</v>
      </c>
      <c r="CM14" s="382">
        <f t="shared" si="15"/>
        <v>13855</v>
      </c>
      <c r="CN14" s="383">
        <f t="shared" si="16"/>
        <v>1.01</v>
      </c>
      <c r="CO14" s="269">
        <f t="shared" ref="CO14:CO26" si="82">CM14*CN14</f>
        <v>13994</v>
      </c>
      <c r="CP14" s="127">
        <v>1.302</v>
      </c>
      <c r="CQ14" s="128">
        <f t="shared" si="17"/>
        <v>1.34843</v>
      </c>
      <c r="CR14" s="129">
        <v>0</v>
      </c>
      <c r="CS14" s="128">
        <f t="shared" si="18"/>
        <v>0.33637</v>
      </c>
      <c r="CT14" s="128">
        <f t="shared" si="18"/>
        <v>0.65883000000000003</v>
      </c>
      <c r="CU14" s="129">
        <v>0</v>
      </c>
      <c r="CV14" s="128">
        <f t="shared" ref="CV14:CV26" si="83">ROUND(CW14*CX14*CY14,2)</f>
        <v>5.85</v>
      </c>
      <c r="CW14" s="128">
        <f t="shared" si="19"/>
        <v>1.4220999999999999</v>
      </c>
      <c r="CX14" s="128">
        <f t="shared" si="19"/>
        <v>1.1232899999999999</v>
      </c>
      <c r="CY14" s="128">
        <f t="shared" ref="CY14:CY26" si="84">IF(CK14=0,0,CC14/CK14)</f>
        <v>3.6619000000000002</v>
      </c>
      <c r="CZ14" s="130">
        <f t="shared" si="20"/>
        <v>0.32107000000000002</v>
      </c>
      <c r="DA14" s="131">
        <f>BY14*CF14+CB14*CF14</f>
        <v>1318090</v>
      </c>
      <c r="DB14" s="387">
        <f t="shared" si="21"/>
        <v>41718.199999999997</v>
      </c>
      <c r="DC14" s="138">
        <f t="shared" si="22"/>
        <v>22848.27</v>
      </c>
      <c r="DD14" s="142">
        <f t="shared" si="23"/>
        <v>1.9495849999999999</v>
      </c>
      <c r="DE14" s="131">
        <f t="shared" ref="DE14:DE26" si="85">DC14*DD14*1.302*12</f>
        <v>695966</v>
      </c>
      <c r="DF14" s="153">
        <f t="shared" ref="DF14:DF26" si="86">IF(CF14=0,0,DE14/CF14)</f>
        <v>41</v>
      </c>
      <c r="DG14" s="140">
        <f t="shared" ref="DG14:DG26" si="87">IF(BZ14=0,0,(DF14+BZ14)/BZ14)</f>
        <v>2.2087300000000001</v>
      </c>
      <c r="DI14" s="135">
        <f t="shared" ref="DI14:DI22" si="88">DJ14+EQ14</f>
        <v>45.07</v>
      </c>
      <c r="DJ14" s="135">
        <f t="shared" ref="DJ14:DJ22" si="89">DU14*DW14*DZ14*EA14*EB14*(1+EC14+ED14+EE14+EF14)*EG14/DN14/DO14</f>
        <v>22.07</v>
      </c>
      <c r="DK14" s="135">
        <f t="shared" ref="DK14:DK22" si="90">DU14*DW14*DZ14*EA14*EB14*(1+EC14+EF14)*EG14/DN14/DO14</f>
        <v>11.29</v>
      </c>
      <c r="DL14" s="135">
        <f>DJ14-DK14</f>
        <v>10.78</v>
      </c>
      <c r="DM14" s="135">
        <f t="shared" ref="DM14:DM26" si="91">DU14*DW14*DZ14*EA14*EB14*(1+EC14+EF14)*EG14*EK14/DN14/DO14</f>
        <v>1.95</v>
      </c>
      <c r="DN14" s="124">
        <v>76.900000000000006</v>
      </c>
      <c r="DO14" s="132">
        <v>800</v>
      </c>
      <c r="DP14" s="133">
        <f t="shared" ref="DP14:DP26" si="92">DN14*DO14</f>
        <v>61520</v>
      </c>
      <c r="DQ14" s="378">
        <f>'1.4. часы и места для МЗ и СЗ'!Z34</f>
        <v>147528</v>
      </c>
      <c r="DR14" s="378">
        <f>'1.4. часы и места для МЗ и СЗ'!AA34</f>
        <v>1175</v>
      </c>
      <c r="DS14" s="378">
        <f>'1.4. часы и места для МЗ и СЗ'!AB34</f>
        <v>23</v>
      </c>
      <c r="DT14" s="378">
        <f>'1.4. часы и места для МЗ и СЗ'!AC34</f>
        <v>36</v>
      </c>
      <c r="DU14" s="379">
        <f>'1.4. часы и места для МЗ и СЗ'!AD34</f>
        <v>4.18</v>
      </c>
      <c r="DV14" s="133">
        <f t="shared" ref="DV14:DV26" si="93">DQ14/800</f>
        <v>184</v>
      </c>
      <c r="DW14" s="125">
        <v>12</v>
      </c>
      <c r="DX14" s="382">
        <f t="shared" si="24"/>
        <v>13855</v>
      </c>
      <c r="DY14" s="383">
        <f t="shared" si="25"/>
        <v>1.01</v>
      </c>
      <c r="DZ14" s="269">
        <f t="shared" ref="DZ14:DZ26" si="94">DX14*DY14</f>
        <v>13994</v>
      </c>
      <c r="EA14" s="127">
        <v>1.302</v>
      </c>
      <c r="EB14" s="128">
        <f t="shared" si="26"/>
        <v>1.35737</v>
      </c>
      <c r="EC14" s="129">
        <v>0</v>
      </c>
      <c r="ED14" s="128">
        <f t="shared" si="27"/>
        <v>0.22051999999999999</v>
      </c>
      <c r="EE14" s="128">
        <f t="shared" si="27"/>
        <v>0.73350000000000004</v>
      </c>
      <c r="EF14" s="129">
        <v>0</v>
      </c>
      <c r="EG14" s="128">
        <f t="shared" ref="EG14:EG26" si="95">ROUND(EH14*EI14*EJ14,2)</f>
        <v>0.56000000000000005</v>
      </c>
      <c r="EH14" s="128">
        <f t="shared" si="28"/>
        <v>1.2033499999999999</v>
      </c>
      <c r="EI14" s="128">
        <f t="shared" si="28"/>
        <v>1.1232899999999999</v>
      </c>
      <c r="EJ14" s="128">
        <f t="shared" ref="EJ14:EJ26" si="96">IF(DV14=0,0,DN14/DV14)</f>
        <v>0.41793000000000002</v>
      </c>
      <c r="EK14" s="130">
        <f t="shared" si="29"/>
        <v>0.17288999999999999</v>
      </c>
      <c r="EL14" s="131">
        <f>DJ14*DQ14+DM14*DQ14</f>
        <v>3543623</v>
      </c>
      <c r="EM14" s="387">
        <f t="shared" si="30"/>
        <v>41718.199999999997</v>
      </c>
      <c r="EN14" s="138">
        <f t="shared" si="31"/>
        <v>22723.16</v>
      </c>
      <c r="EO14" s="142">
        <f t="shared" si="32"/>
        <v>9.4</v>
      </c>
      <c r="EP14" s="131">
        <f t="shared" ref="EP14:EP26" si="97">EN14*EO14*1.302*12</f>
        <v>3337251</v>
      </c>
      <c r="EQ14" s="153">
        <f t="shared" ref="EQ14:EQ26" si="98">IF(DQ14=0,0,EP14/DQ14)</f>
        <v>23</v>
      </c>
      <c r="ER14" s="140">
        <f t="shared" ref="ER14:ER26" si="99">IF(DK14=0,0,(EQ14+DK14)/DK14)</f>
        <v>3.0371999999999999</v>
      </c>
      <c r="ET14" s="135">
        <f t="shared" ref="ET14:ET22" si="100">EU14+GB14</f>
        <v>0</v>
      </c>
      <c r="EU14" s="135">
        <f t="shared" ref="EU14:EU22" si="101">FF14*FH14*FK14*FL14*FM14*(1+FN14+FO14+FP14+FQ14)*FR14/EY14/EZ14</f>
        <v>0</v>
      </c>
      <c r="EV14" s="135">
        <f t="shared" ref="EV14:EV22" si="102">FF14*FH14*FK14*FL14*FM14*(1+FN14+FQ14)*FR14/EY14/EZ14</f>
        <v>0</v>
      </c>
      <c r="EW14" s="135">
        <f>EU14-EV14</f>
        <v>0</v>
      </c>
      <c r="EX14" s="135">
        <f t="shared" ref="EX14:EX26" si="103">FF14*FH14*FK14*FL14*FM14*(1+FN14+FQ14)*FR14*FV14/EY14/EZ14</f>
        <v>0</v>
      </c>
      <c r="EY14" s="124">
        <v>76.900000000000006</v>
      </c>
      <c r="EZ14" s="132">
        <v>800</v>
      </c>
      <c r="FA14" s="133">
        <f t="shared" ref="FA14:FA26" si="104">EY14*EZ14</f>
        <v>61520</v>
      </c>
      <c r="FB14" s="378">
        <f>'1.4. часы и места для МЗ и СЗ'!Z47</f>
        <v>0</v>
      </c>
      <c r="FC14" s="378">
        <f>'1.4. часы и места для МЗ и СЗ'!AA47</f>
        <v>0</v>
      </c>
      <c r="FD14" s="378">
        <f>'1.4. часы и места для МЗ и СЗ'!AB47</f>
        <v>0</v>
      </c>
      <c r="FE14" s="378">
        <f>'1.4. часы и места для МЗ и СЗ'!AC47</f>
        <v>0</v>
      </c>
      <c r="FF14" s="379">
        <f>'1.4. часы и места для МЗ и СЗ'!AD47</f>
        <v>0</v>
      </c>
      <c r="FG14" s="133">
        <f t="shared" ref="FG14:FG26" si="105">FB14/800</f>
        <v>0</v>
      </c>
      <c r="FH14" s="125">
        <v>12</v>
      </c>
      <c r="FI14" s="382">
        <f t="shared" si="33"/>
        <v>13855</v>
      </c>
      <c r="FJ14" s="383">
        <f t="shared" si="34"/>
        <v>1.01</v>
      </c>
      <c r="FK14" s="269">
        <f t="shared" ref="FK14:FK26" si="106">FI14*FJ14</f>
        <v>13994</v>
      </c>
      <c r="FL14" s="127">
        <v>1.302</v>
      </c>
      <c r="FM14" s="128">
        <f t="shared" si="35"/>
        <v>1.32193</v>
      </c>
      <c r="FN14" s="129">
        <v>0</v>
      </c>
      <c r="FO14" s="128">
        <f t="shared" si="36"/>
        <v>0.21695999999999999</v>
      </c>
      <c r="FP14" s="128">
        <f t="shared" si="36"/>
        <v>0.97809999999999997</v>
      </c>
      <c r="FQ14" s="129">
        <v>0</v>
      </c>
      <c r="FR14" s="128">
        <f t="shared" ref="FR14:FR26" si="107">ROUND(FS14*FT14*FU14,2)</f>
        <v>0</v>
      </c>
      <c r="FS14" s="128">
        <f t="shared" si="37"/>
        <v>1.0935600000000001</v>
      </c>
      <c r="FT14" s="128">
        <f t="shared" si="37"/>
        <v>1.1232899999999999</v>
      </c>
      <c r="FU14" s="128">
        <f t="shared" ref="FU14:FU26" si="108">IF(FG14=0,0,EY14/FG14)</f>
        <v>0</v>
      </c>
      <c r="FV14" s="130">
        <f t="shared" si="38"/>
        <v>0</v>
      </c>
      <c r="FW14" s="131">
        <f>EU14*FB14+EX14*FB14</f>
        <v>0</v>
      </c>
      <c r="FX14" s="387">
        <f t="shared" si="39"/>
        <v>41718.199999999997</v>
      </c>
      <c r="FY14" s="138">
        <f t="shared" si="40"/>
        <v>23219.11</v>
      </c>
      <c r="FZ14" s="142">
        <f t="shared" si="41"/>
        <v>0</v>
      </c>
      <c r="GA14" s="131">
        <f t="shared" ref="GA14:GA26" si="109">FY14*FZ14*1.302*12</f>
        <v>0</v>
      </c>
      <c r="GB14" s="153">
        <f t="shared" ref="GB14:GB26" si="110">IF(FB14=0,0,GA14/FB14)</f>
        <v>0</v>
      </c>
      <c r="GC14" s="140">
        <f t="shared" ref="GC14:GC26" si="111">IF(EV14=0,0,(GB14+EV14)/EV14)</f>
        <v>0</v>
      </c>
      <c r="GE14" s="135">
        <f t="shared" ref="GE14:GE22" si="112">GF14+HM14</f>
        <v>74.63</v>
      </c>
      <c r="GF14" s="135">
        <f t="shared" ref="GF14:GF22" si="113">GQ14*GS14*GV14*GW14*GX14*(1+GY14+GZ14+HA14+HB14)*HC14/GJ14/GK14</f>
        <v>36.630000000000003</v>
      </c>
      <c r="GG14" s="135">
        <f t="shared" ref="GG14:GG22" si="114">GQ14*GS14*GV14*GW14*GX14*(1+GY14+HB14)*HC14/GJ14/GK14</f>
        <v>19.010000000000002</v>
      </c>
      <c r="GH14" s="135">
        <f>GF14-GG14</f>
        <v>17.62</v>
      </c>
      <c r="GI14" s="135">
        <f t="shared" ref="GI14:GI26" si="115">GQ14*GS14*GV14*GW14*GX14*(1+GY14+HB14)*HC14*HG14/GJ14/GK14</f>
        <v>2.62</v>
      </c>
      <c r="GJ14" s="124">
        <v>76.900000000000006</v>
      </c>
      <c r="GK14" s="132">
        <v>800</v>
      </c>
      <c r="GL14" s="133">
        <f t="shared" ref="GL14:GL26" si="116">GJ14*GK14</f>
        <v>61520</v>
      </c>
      <c r="GM14" s="227">
        <f t="shared" si="42"/>
        <v>184176</v>
      </c>
      <c r="GN14" s="227">
        <f t="shared" si="42"/>
        <v>1478</v>
      </c>
      <c r="GO14" s="227">
        <f t="shared" si="42"/>
        <v>44</v>
      </c>
      <c r="GP14" s="158" t="s">
        <v>471</v>
      </c>
      <c r="GQ14" s="229">
        <f>N14+AY14+CJ14+DU14+FF14</f>
        <v>8.09</v>
      </c>
      <c r="GR14" s="133">
        <f t="shared" ref="GR14:GR26" si="117">GM14/800</f>
        <v>230</v>
      </c>
      <c r="GS14" s="125">
        <v>12</v>
      </c>
      <c r="GT14" s="382">
        <f t="shared" si="43"/>
        <v>13855</v>
      </c>
      <c r="GU14" s="383">
        <f t="shared" si="44"/>
        <v>1.01</v>
      </c>
      <c r="GV14" s="269">
        <f t="shared" ref="GV14:GV26" si="118">GT14*GU14</f>
        <v>13994</v>
      </c>
      <c r="GW14" s="127">
        <v>1.302</v>
      </c>
      <c r="GX14" s="128">
        <f t="shared" si="45"/>
        <v>1.4064300000000001</v>
      </c>
      <c r="GY14" s="129">
        <v>0</v>
      </c>
      <c r="GZ14" s="128">
        <f t="shared" si="46"/>
        <v>0.32916000000000001</v>
      </c>
      <c r="HA14" s="128">
        <f t="shared" si="46"/>
        <v>0.59841999999999995</v>
      </c>
      <c r="HB14" s="129">
        <v>0</v>
      </c>
      <c r="HC14" s="128">
        <f t="shared" ref="HC14:HC26" si="119">ROUND(HD14*HE14*HF14,2)</f>
        <v>0.47</v>
      </c>
      <c r="HD14" s="128">
        <f t="shared" si="47"/>
        <v>1.24295</v>
      </c>
      <c r="HE14" s="128">
        <f t="shared" si="47"/>
        <v>1.1232899999999999</v>
      </c>
      <c r="HF14" s="128">
        <f t="shared" ref="HF14:HF26" si="120">IF(GR14=0,0,GJ14/GR14)</f>
        <v>0.33434999999999998</v>
      </c>
      <c r="HG14" s="130">
        <f t="shared" si="48"/>
        <v>0.13783999999999999</v>
      </c>
      <c r="HH14" s="131">
        <f>GF14*GM14+GI14*GM14</f>
        <v>7228908</v>
      </c>
      <c r="HI14" s="387">
        <f t="shared" si="49"/>
        <v>41718.199999999997</v>
      </c>
      <c r="HJ14" s="138">
        <f t="shared" si="50"/>
        <v>22036.62</v>
      </c>
      <c r="HK14" s="142">
        <f t="shared" si="51"/>
        <v>20.587160999999998</v>
      </c>
      <c r="HL14" s="131">
        <f t="shared" ref="HL14:HL26" si="121">HJ14*HK14*1.302*12</f>
        <v>7088163</v>
      </c>
      <c r="HM14" s="153">
        <f t="shared" ref="HM14:HM26" si="122">IF(GM14=0,0,HL14/GM14)</f>
        <v>38</v>
      </c>
      <c r="HN14" s="140">
        <f t="shared" ref="HN14:HN26" si="123">IF(GG14=0,0,(HM14+GG14)/GG14)</f>
        <v>2.9989499999999998</v>
      </c>
      <c r="HP14" s="151">
        <f t="shared" ref="HP14:HP22" si="124">GQ14*18</f>
        <v>145.62</v>
      </c>
      <c r="HS14" s="163">
        <f t="shared" ref="HS14:HS22" si="125">J14</f>
        <v>19872</v>
      </c>
      <c r="HT14" s="163">
        <f t="shared" ref="HT14:HT22" si="126">AU14</f>
        <v>0</v>
      </c>
      <c r="HU14" s="163">
        <f t="shared" ref="HU14:HU22" si="127">CF14</f>
        <v>16776</v>
      </c>
      <c r="HV14" s="163">
        <f t="shared" ref="HV14:HV22" si="128">DQ14</f>
        <v>147528</v>
      </c>
      <c r="HW14" s="163">
        <f t="shared" ref="HW14:HW22" si="129">FB14</f>
        <v>0</v>
      </c>
      <c r="HX14" s="162">
        <f t="shared" ref="HX14:HX22" si="130">SUM(HS14:HW14)</f>
        <v>184176</v>
      </c>
      <c r="HY14" s="163">
        <f t="shared" ref="HY14:HY22" si="131">HS14*B14</f>
        <v>2840901.12</v>
      </c>
      <c r="HZ14" s="163">
        <f t="shared" ref="HZ14:HZ22" si="132">HT14*AM14</f>
        <v>0</v>
      </c>
      <c r="IA14" s="163">
        <f t="shared" ref="IA14:IA22" si="133">HU14*BX14</f>
        <v>1823215.68</v>
      </c>
      <c r="IB14" s="163">
        <f t="shared" ref="IB14:IB22" si="134">HV14*DI14</f>
        <v>6649086.96</v>
      </c>
      <c r="IC14" s="163">
        <f t="shared" ref="IC14:IC22" si="135">HW14*ET14</f>
        <v>0</v>
      </c>
      <c r="ID14" s="162">
        <f t="shared" ref="ID14:ID22" si="136">SUM(HY14:IC14)</f>
        <v>11313203.76</v>
      </c>
    </row>
    <row r="15" spans="1:238" s="113" customFormat="1" ht="24" x14ac:dyDescent="0.25">
      <c r="A15" s="120" t="s">
        <v>408</v>
      </c>
      <c r="B15" s="135">
        <f t="shared" si="52"/>
        <v>152.78</v>
      </c>
      <c r="C15" s="135">
        <f t="shared" si="53"/>
        <v>110.78</v>
      </c>
      <c r="D15" s="135">
        <f t="shared" si="54"/>
        <v>63.26</v>
      </c>
      <c r="E15" s="135">
        <f>C15-D15</f>
        <v>47.52</v>
      </c>
      <c r="F15" s="135">
        <f t="shared" si="55"/>
        <v>5.17</v>
      </c>
      <c r="G15" s="124">
        <v>76.900000000000006</v>
      </c>
      <c r="H15" s="132">
        <v>800</v>
      </c>
      <c r="I15" s="133">
        <f t="shared" si="56"/>
        <v>61520</v>
      </c>
      <c r="J15" s="133">
        <f>J16+J17+J18</f>
        <v>35352</v>
      </c>
      <c r="K15" s="133">
        <f>K16+K17+K18</f>
        <v>289</v>
      </c>
      <c r="L15" s="133">
        <f>L16+L17+L18</f>
        <v>22</v>
      </c>
      <c r="M15" s="132"/>
      <c r="N15" s="126">
        <f>N16+N17+N18</f>
        <v>5.22</v>
      </c>
      <c r="O15" s="133">
        <f t="shared" si="57"/>
        <v>44</v>
      </c>
      <c r="P15" s="125">
        <v>12</v>
      </c>
      <c r="Q15" s="160">
        <v>13855</v>
      </c>
      <c r="R15" s="272">
        <v>1.01</v>
      </c>
      <c r="S15" s="269">
        <f t="shared" si="58"/>
        <v>13994</v>
      </c>
      <c r="T15" s="127">
        <v>1.302</v>
      </c>
      <c r="U15" s="128">
        <f t="shared" si="0"/>
        <v>1.47617</v>
      </c>
      <c r="V15" s="129">
        <v>0</v>
      </c>
      <c r="W15" s="128">
        <f t="shared" si="1"/>
        <v>0.29274</v>
      </c>
      <c r="X15" s="128">
        <f t="shared" si="1"/>
        <v>0.45841999999999999</v>
      </c>
      <c r="Y15" s="129">
        <v>0</v>
      </c>
      <c r="Z15" s="128">
        <f t="shared" si="59"/>
        <v>2.31</v>
      </c>
      <c r="AA15" s="128">
        <f t="shared" si="2"/>
        <v>1.1776</v>
      </c>
      <c r="AB15" s="128">
        <f t="shared" si="2"/>
        <v>1.1232899999999999</v>
      </c>
      <c r="AC15" s="128">
        <f t="shared" si="60"/>
        <v>1.74773</v>
      </c>
      <c r="AD15" s="130">
        <f t="shared" si="3"/>
        <v>8.1689999999999999E-2</v>
      </c>
      <c r="AE15" s="131">
        <f>C15*J15+F15*J15</f>
        <v>4099064</v>
      </c>
      <c r="AF15" s="162">
        <v>41718.199999999997</v>
      </c>
      <c r="AG15" s="138">
        <f t="shared" si="4"/>
        <v>21060.68</v>
      </c>
      <c r="AH15" s="142">
        <f t="shared" si="5"/>
        <v>4.5435290000000004</v>
      </c>
      <c r="AI15" s="131">
        <f t="shared" si="61"/>
        <v>1495058</v>
      </c>
      <c r="AJ15" s="153">
        <f t="shared" si="62"/>
        <v>42</v>
      </c>
      <c r="AK15" s="140">
        <f t="shared" si="63"/>
        <v>1.6639299999999999</v>
      </c>
      <c r="AM15" s="135">
        <f t="shared" si="64"/>
        <v>83.08</v>
      </c>
      <c r="AN15" s="135">
        <f t="shared" si="65"/>
        <v>39.08</v>
      </c>
      <c r="AO15" s="135">
        <f t="shared" si="66"/>
        <v>18.68</v>
      </c>
      <c r="AP15" s="135">
        <f>AN15-AO15</f>
        <v>20.399999999999999</v>
      </c>
      <c r="AQ15" s="135">
        <f t="shared" si="67"/>
        <v>1.93</v>
      </c>
      <c r="AR15" s="124">
        <v>76.900000000000006</v>
      </c>
      <c r="AS15" s="132">
        <v>800</v>
      </c>
      <c r="AT15" s="133">
        <f t="shared" si="68"/>
        <v>61520</v>
      </c>
      <c r="AU15" s="133">
        <f>AU16+AU17+AU18</f>
        <v>73608</v>
      </c>
      <c r="AV15" s="133">
        <f>AV16+AV17+AV18</f>
        <v>784</v>
      </c>
      <c r="AW15" s="133">
        <f>AW16+AW17+AW18</f>
        <v>23</v>
      </c>
      <c r="AX15" s="132"/>
      <c r="AY15" s="126">
        <f>AY16+AY17+AY18</f>
        <v>3.31</v>
      </c>
      <c r="AZ15" s="133">
        <f t="shared" si="69"/>
        <v>92</v>
      </c>
      <c r="BA15" s="125">
        <v>12</v>
      </c>
      <c r="BB15" s="382">
        <f t="shared" si="6"/>
        <v>13855</v>
      </c>
      <c r="BC15" s="383">
        <f t="shared" si="7"/>
        <v>1.01</v>
      </c>
      <c r="BD15" s="269">
        <f t="shared" si="70"/>
        <v>13994</v>
      </c>
      <c r="BE15" s="127">
        <v>1.302</v>
      </c>
      <c r="BF15" s="128">
        <f t="shared" si="8"/>
        <v>1.38046</v>
      </c>
      <c r="BG15" s="129">
        <v>0</v>
      </c>
      <c r="BH15" s="128">
        <f t="shared" si="9"/>
        <v>0.43123</v>
      </c>
      <c r="BI15" s="128">
        <f t="shared" si="9"/>
        <v>0.66134000000000004</v>
      </c>
      <c r="BJ15" s="129">
        <v>0</v>
      </c>
      <c r="BK15" s="128">
        <f t="shared" si="71"/>
        <v>1.1499999999999999</v>
      </c>
      <c r="BL15" s="128">
        <f t="shared" si="10"/>
        <v>1.2245299999999999</v>
      </c>
      <c r="BM15" s="128">
        <f t="shared" si="10"/>
        <v>1.1232899999999999</v>
      </c>
      <c r="BN15" s="128">
        <f t="shared" si="72"/>
        <v>0.83587</v>
      </c>
      <c r="BO15" s="130">
        <f t="shared" si="11"/>
        <v>0.10316</v>
      </c>
      <c r="BP15" s="131">
        <f>AN15*AU15+AQ15*AU15</f>
        <v>3018664</v>
      </c>
      <c r="BQ15" s="387">
        <f t="shared" si="12"/>
        <v>41718.199999999997</v>
      </c>
      <c r="BR15" s="138">
        <f t="shared" si="13"/>
        <v>22400.04</v>
      </c>
      <c r="BS15" s="142">
        <f t="shared" si="14"/>
        <v>9.2893889999999999</v>
      </c>
      <c r="BT15" s="131">
        <f t="shared" si="73"/>
        <v>3251084</v>
      </c>
      <c r="BU15" s="153">
        <f t="shared" si="74"/>
        <v>44</v>
      </c>
      <c r="BV15" s="140">
        <f t="shared" si="75"/>
        <v>3.3554599999999999</v>
      </c>
      <c r="BX15" s="135">
        <f t="shared" si="76"/>
        <v>100.23</v>
      </c>
      <c r="BY15" s="135">
        <f t="shared" si="77"/>
        <v>59.23</v>
      </c>
      <c r="BZ15" s="135">
        <f t="shared" si="78"/>
        <v>29.69</v>
      </c>
      <c r="CA15" s="135">
        <f>BY15-BZ15</f>
        <v>29.54</v>
      </c>
      <c r="CB15" s="135">
        <f t="shared" si="79"/>
        <v>9.5299999999999994</v>
      </c>
      <c r="CC15" s="124">
        <v>76.900000000000006</v>
      </c>
      <c r="CD15" s="132">
        <v>800</v>
      </c>
      <c r="CE15" s="133">
        <f t="shared" si="80"/>
        <v>61520</v>
      </c>
      <c r="CF15" s="133">
        <f>CF16+CF17+CF18</f>
        <v>18360</v>
      </c>
      <c r="CG15" s="133">
        <f>CG16+CG17+CG18</f>
        <v>123</v>
      </c>
      <c r="CH15" s="133">
        <f>CH16+CH17+CH18</f>
        <v>5</v>
      </c>
      <c r="CI15" s="132"/>
      <c r="CJ15" s="126">
        <f>CJ16+CJ17+CJ18</f>
        <v>1.1599999999999999</v>
      </c>
      <c r="CK15" s="133">
        <f t="shared" si="81"/>
        <v>23</v>
      </c>
      <c r="CL15" s="125">
        <v>12</v>
      </c>
      <c r="CM15" s="382">
        <f t="shared" si="15"/>
        <v>13855</v>
      </c>
      <c r="CN15" s="383">
        <f t="shared" si="16"/>
        <v>1.01</v>
      </c>
      <c r="CO15" s="269">
        <f t="shared" si="82"/>
        <v>13994</v>
      </c>
      <c r="CP15" s="127">
        <v>1.302</v>
      </c>
      <c r="CQ15" s="128">
        <f t="shared" si="17"/>
        <v>1.34843</v>
      </c>
      <c r="CR15" s="129">
        <v>0</v>
      </c>
      <c r="CS15" s="128">
        <f t="shared" si="18"/>
        <v>0.33637</v>
      </c>
      <c r="CT15" s="128">
        <f t="shared" si="18"/>
        <v>0.65883000000000003</v>
      </c>
      <c r="CU15" s="129">
        <v>0</v>
      </c>
      <c r="CV15" s="128">
        <f t="shared" si="83"/>
        <v>5.34</v>
      </c>
      <c r="CW15" s="128">
        <f t="shared" si="19"/>
        <v>1.4220999999999999</v>
      </c>
      <c r="CX15" s="128">
        <f t="shared" si="19"/>
        <v>1.1232899999999999</v>
      </c>
      <c r="CY15" s="128">
        <f t="shared" si="84"/>
        <v>3.34348</v>
      </c>
      <c r="CZ15" s="130">
        <f t="shared" si="20"/>
        <v>0.32107000000000002</v>
      </c>
      <c r="DA15" s="131">
        <f>BY15*CF15+CB15*CF15</f>
        <v>1262434</v>
      </c>
      <c r="DB15" s="387">
        <f t="shared" si="21"/>
        <v>41718.199999999997</v>
      </c>
      <c r="DC15" s="138">
        <f t="shared" si="22"/>
        <v>22848.27</v>
      </c>
      <c r="DD15" s="142">
        <f t="shared" si="23"/>
        <v>2.1336659999999998</v>
      </c>
      <c r="DE15" s="131">
        <f t="shared" si="85"/>
        <v>761679</v>
      </c>
      <c r="DF15" s="153">
        <f t="shared" si="86"/>
        <v>41</v>
      </c>
      <c r="DG15" s="140">
        <f t="shared" si="87"/>
        <v>2.3809399999999998</v>
      </c>
      <c r="DI15" s="135">
        <f t="shared" si="88"/>
        <v>0</v>
      </c>
      <c r="DJ15" s="135">
        <f t="shared" si="89"/>
        <v>0</v>
      </c>
      <c r="DK15" s="135">
        <f t="shared" si="90"/>
        <v>0</v>
      </c>
      <c r="DL15" s="135">
        <f>DJ15-DK15</f>
        <v>0</v>
      </c>
      <c r="DM15" s="135">
        <f t="shared" si="91"/>
        <v>0</v>
      </c>
      <c r="DN15" s="124">
        <v>76.900000000000006</v>
      </c>
      <c r="DO15" s="132">
        <v>800</v>
      </c>
      <c r="DP15" s="133">
        <f t="shared" si="92"/>
        <v>61520</v>
      </c>
      <c r="DQ15" s="133">
        <f>DQ16+DQ17+DQ18</f>
        <v>0</v>
      </c>
      <c r="DR15" s="133">
        <f>DR16+DR17+DR18</f>
        <v>0</v>
      </c>
      <c r="DS15" s="133">
        <f>DS16+DS17+DS18</f>
        <v>0</v>
      </c>
      <c r="DT15" s="132"/>
      <c r="DU15" s="126">
        <f>DU16+DU17+DU18</f>
        <v>0</v>
      </c>
      <c r="DV15" s="133">
        <f t="shared" si="93"/>
        <v>0</v>
      </c>
      <c r="DW15" s="125">
        <v>12</v>
      </c>
      <c r="DX15" s="382">
        <f t="shared" si="24"/>
        <v>13855</v>
      </c>
      <c r="DY15" s="383">
        <f t="shared" si="25"/>
        <v>1.01</v>
      </c>
      <c r="DZ15" s="269">
        <f t="shared" si="94"/>
        <v>13994</v>
      </c>
      <c r="EA15" s="127">
        <v>1.302</v>
      </c>
      <c r="EB15" s="128">
        <f t="shared" si="26"/>
        <v>1.35737</v>
      </c>
      <c r="EC15" s="129">
        <v>0</v>
      </c>
      <c r="ED15" s="128">
        <f t="shared" si="27"/>
        <v>0.22051999999999999</v>
      </c>
      <c r="EE15" s="128">
        <f t="shared" si="27"/>
        <v>0.73350000000000004</v>
      </c>
      <c r="EF15" s="129">
        <v>0</v>
      </c>
      <c r="EG15" s="128">
        <f t="shared" si="95"/>
        <v>0</v>
      </c>
      <c r="EH15" s="128">
        <f t="shared" si="28"/>
        <v>1.2033499999999999</v>
      </c>
      <c r="EI15" s="128">
        <f t="shared" si="28"/>
        <v>1.1232899999999999</v>
      </c>
      <c r="EJ15" s="128">
        <f t="shared" si="96"/>
        <v>0</v>
      </c>
      <c r="EK15" s="130">
        <f t="shared" si="29"/>
        <v>0.17288999999999999</v>
      </c>
      <c r="EL15" s="131">
        <f>DJ15*DQ15+DM15*DQ15</f>
        <v>0</v>
      </c>
      <c r="EM15" s="387">
        <f t="shared" si="30"/>
        <v>41718.199999999997</v>
      </c>
      <c r="EN15" s="138">
        <f t="shared" si="31"/>
        <v>22723.16</v>
      </c>
      <c r="EO15" s="142">
        <f t="shared" si="32"/>
        <v>0</v>
      </c>
      <c r="EP15" s="131">
        <f t="shared" si="97"/>
        <v>0</v>
      </c>
      <c r="EQ15" s="153">
        <f t="shared" si="98"/>
        <v>0</v>
      </c>
      <c r="ER15" s="140">
        <f t="shared" si="99"/>
        <v>0</v>
      </c>
      <c r="ET15" s="135">
        <f t="shared" si="100"/>
        <v>0</v>
      </c>
      <c r="EU15" s="135">
        <f t="shared" si="101"/>
        <v>0</v>
      </c>
      <c r="EV15" s="135">
        <f t="shared" si="102"/>
        <v>0</v>
      </c>
      <c r="EW15" s="135">
        <f>EU15-EV15</f>
        <v>0</v>
      </c>
      <c r="EX15" s="135">
        <f t="shared" si="103"/>
        <v>0</v>
      </c>
      <c r="EY15" s="124">
        <v>76.900000000000006</v>
      </c>
      <c r="EZ15" s="132">
        <v>800</v>
      </c>
      <c r="FA15" s="133">
        <f t="shared" si="104"/>
        <v>61520</v>
      </c>
      <c r="FB15" s="133">
        <f>FB16+FB17+FB18</f>
        <v>0</v>
      </c>
      <c r="FC15" s="133">
        <f>FC16+FC17+FC18</f>
        <v>0</v>
      </c>
      <c r="FD15" s="133">
        <f>FD16+FD17+FD18</f>
        <v>0</v>
      </c>
      <c r="FE15" s="132"/>
      <c r="FF15" s="126">
        <f>FF16+FF17+FF18</f>
        <v>0</v>
      </c>
      <c r="FG15" s="133">
        <f t="shared" si="105"/>
        <v>0</v>
      </c>
      <c r="FH15" s="125">
        <v>12</v>
      </c>
      <c r="FI15" s="382">
        <f t="shared" si="33"/>
        <v>13855</v>
      </c>
      <c r="FJ15" s="383">
        <f t="shared" si="34"/>
        <v>1.01</v>
      </c>
      <c r="FK15" s="269">
        <f t="shared" si="106"/>
        <v>13994</v>
      </c>
      <c r="FL15" s="127">
        <v>1.302</v>
      </c>
      <c r="FM15" s="128">
        <f t="shared" si="35"/>
        <v>1.32193</v>
      </c>
      <c r="FN15" s="129">
        <v>0</v>
      </c>
      <c r="FO15" s="128">
        <f t="shared" si="36"/>
        <v>0.21695999999999999</v>
      </c>
      <c r="FP15" s="128">
        <f t="shared" si="36"/>
        <v>0.97809999999999997</v>
      </c>
      <c r="FQ15" s="129">
        <v>0</v>
      </c>
      <c r="FR15" s="128">
        <f t="shared" si="107"/>
        <v>0</v>
      </c>
      <c r="FS15" s="128">
        <f t="shared" si="37"/>
        <v>1.0935600000000001</v>
      </c>
      <c r="FT15" s="128">
        <f t="shared" si="37"/>
        <v>1.1232899999999999</v>
      </c>
      <c r="FU15" s="128">
        <f t="shared" si="108"/>
        <v>0</v>
      </c>
      <c r="FV15" s="130">
        <f t="shared" si="38"/>
        <v>0</v>
      </c>
      <c r="FW15" s="131">
        <f>EU15*FB15+EX15*FB15</f>
        <v>0</v>
      </c>
      <c r="FX15" s="387">
        <f t="shared" si="39"/>
        <v>41718.199999999997</v>
      </c>
      <c r="FY15" s="138">
        <f t="shared" si="40"/>
        <v>23219.11</v>
      </c>
      <c r="FZ15" s="142">
        <f t="shared" si="41"/>
        <v>0</v>
      </c>
      <c r="GA15" s="131">
        <f t="shared" si="109"/>
        <v>0</v>
      </c>
      <c r="GB15" s="153">
        <f t="shared" si="110"/>
        <v>0</v>
      </c>
      <c r="GC15" s="140">
        <f t="shared" si="111"/>
        <v>0</v>
      </c>
      <c r="GE15" s="135">
        <f t="shared" si="112"/>
        <v>101.49</v>
      </c>
      <c r="GF15" s="135">
        <f t="shared" si="113"/>
        <v>63.49</v>
      </c>
      <c r="GG15" s="135">
        <f t="shared" si="114"/>
        <v>32.94</v>
      </c>
      <c r="GH15" s="135">
        <f>GF15-GG15</f>
        <v>30.55</v>
      </c>
      <c r="GI15" s="135">
        <f t="shared" si="115"/>
        <v>4.54</v>
      </c>
      <c r="GJ15" s="124">
        <v>76.900000000000006</v>
      </c>
      <c r="GK15" s="132">
        <v>800</v>
      </c>
      <c r="GL15" s="133">
        <f t="shared" si="116"/>
        <v>61520</v>
      </c>
      <c r="GM15" s="133">
        <f>GM16+GM17+GM18</f>
        <v>127320</v>
      </c>
      <c r="GN15" s="133">
        <f>GN16+GN17+GN18</f>
        <v>1196</v>
      </c>
      <c r="GO15" s="133">
        <f>GO16+GO17+GO18</f>
        <v>50</v>
      </c>
      <c r="GP15" s="132" t="s">
        <v>471</v>
      </c>
      <c r="GQ15" s="126">
        <f>GQ16+GQ17+GQ18</f>
        <v>9.69</v>
      </c>
      <c r="GR15" s="133">
        <f t="shared" si="117"/>
        <v>159</v>
      </c>
      <c r="GS15" s="125">
        <v>12</v>
      </c>
      <c r="GT15" s="382">
        <f t="shared" si="43"/>
        <v>13855</v>
      </c>
      <c r="GU15" s="383">
        <f t="shared" si="44"/>
        <v>1.01</v>
      </c>
      <c r="GV15" s="269">
        <f t="shared" si="118"/>
        <v>13994</v>
      </c>
      <c r="GW15" s="127">
        <v>1.302</v>
      </c>
      <c r="GX15" s="128">
        <f t="shared" si="45"/>
        <v>1.4064300000000001</v>
      </c>
      <c r="GY15" s="129">
        <v>0</v>
      </c>
      <c r="GZ15" s="128">
        <f t="shared" si="46"/>
        <v>0.32916000000000001</v>
      </c>
      <c r="HA15" s="128">
        <f t="shared" si="46"/>
        <v>0.59841999999999995</v>
      </c>
      <c r="HB15" s="129">
        <v>0</v>
      </c>
      <c r="HC15" s="128">
        <f t="shared" si="119"/>
        <v>0.68</v>
      </c>
      <c r="HD15" s="128">
        <f t="shared" si="47"/>
        <v>1.24295</v>
      </c>
      <c r="HE15" s="128">
        <f t="shared" si="47"/>
        <v>1.1232899999999999</v>
      </c>
      <c r="HF15" s="128">
        <f t="shared" si="120"/>
        <v>0.48365000000000002</v>
      </c>
      <c r="HG15" s="130">
        <f t="shared" si="48"/>
        <v>0.13783999999999999</v>
      </c>
      <c r="HH15" s="131">
        <f>GF15*GM15+GI15*GM15</f>
        <v>8661580</v>
      </c>
      <c r="HI15" s="387">
        <f t="shared" si="49"/>
        <v>41718.199999999997</v>
      </c>
      <c r="HJ15" s="138">
        <f t="shared" si="50"/>
        <v>22036.62</v>
      </c>
      <c r="HK15" s="142">
        <f t="shared" si="51"/>
        <v>14.231807</v>
      </c>
      <c r="HL15" s="131">
        <f t="shared" si="121"/>
        <v>4900013</v>
      </c>
      <c r="HM15" s="153">
        <f t="shared" si="122"/>
        <v>38</v>
      </c>
      <c r="HN15" s="140">
        <f t="shared" si="123"/>
        <v>2.15361</v>
      </c>
      <c r="HP15" s="151">
        <f t="shared" si="124"/>
        <v>174.42</v>
      </c>
      <c r="HS15" s="163">
        <f t="shared" si="125"/>
        <v>35352</v>
      </c>
      <c r="HT15" s="163">
        <f t="shared" si="126"/>
        <v>73608</v>
      </c>
      <c r="HU15" s="163">
        <f t="shared" si="127"/>
        <v>18360</v>
      </c>
      <c r="HV15" s="163">
        <f t="shared" si="128"/>
        <v>0</v>
      </c>
      <c r="HW15" s="163">
        <f t="shared" si="129"/>
        <v>0</v>
      </c>
      <c r="HX15" s="162">
        <f t="shared" si="130"/>
        <v>127320</v>
      </c>
      <c r="HY15" s="163">
        <f t="shared" si="131"/>
        <v>5401078.5599999996</v>
      </c>
      <c r="HZ15" s="163">
        <f t="shared" si="132"/>
        <v>6115352.6399999997</v>
      </c>
      <c r="IA15" s="163">
        <f t="shared" si="133"/>
        <v>1840222.8</v>
      </c>
      <c r="IB15" s="163">
        <f t="shared" si="134"/>
        <v>0</v>
      </c>
      <c r="IC15" s="163">
        <f t="shared" si="135"/>
        <v>0</v>
      </c>
      <c r="ID15" s="162">
        <f t="shared" si="136"/>
        <v>13356654</v>
      </c>
    </row>
    <row r="16" spans="1:238" ht="24" x14ac:dyDescent="0.25">
      <c r="A16" s="12" t="s">
        <v>409</v>
      </c>
      <c r="B16" s="136">
        <f t="shared" si="52"/>
        <v>152.78</v>
      </c>
      <c r="C16" s="136">
        <f t="shared" si="53"/>
        <v>110.78</v>
      </c>
      <c r="D16" s="136">
        <f t="shared" si="54"/>
        <v>63.26</v>
      </c>
      <c r="E16" s="136">
        <f t="shared" ref="E16:E26" si="137">C16-D16</f>
        <v>47.52</v>
      </c>
      <c r="F16" s="136">
        <f t="shared" si="55"/>
        <v>5.17</v>
      </c>
      <c r="G16" s="69">
        <v>76.900000000000006</v>
      </c>
      <c r="H16" s="67">
        <v>800</v>
      </c>
      <c r="I16" s="68">
        <f t="shared" si="56"/>
        <v>61520</v>
      </c>
      <c r="J16" s="380">
        <f>'1.4. часы и места для МЗ и СЗ'!Z25</f>
        <v>35352</v>
      </c>
      <c r="K16" s="380">
        <f>'1.4. часы и места для МЗ и СЗ'!AA25</f>
        <v>289</v>
      </c>
      <c r="L16" s="380">
        <f>'1.4. часы и места для МЗ и СЗ'!AB25</f>
        <v>22</v>
      </c>
      <c r="M16" s="380">
        <f>'1.4. часы и места для МЗ и СЗ'!AC25</f>
        <v>36</v>
      </c>
      <c r="N16" s="381">
        <f>'1.4. часы и места для МЗ и СЗ'!AD25</f>
        <v>5.22</v>
      </c>
      <c r="O16" s="68">
        <f t="shared" si="57"/>
        <v>44</v>
      </c>
      <c r="P16" s="10">
        <v>12</v>
      </c>
      <c r="Q16" s="160">
        <v>13855</v>
      </c>
      <c r="R16" s="272">
        <v>1.01</v>
      </c>
      <c r="S16" s="275">
        <f t="shared" si="58"/>
        <v>13994</v>
      </c>
      <c r="T16" s="117">
        <v>1.302</v>
      </c>
      <c r="U16" s="119">
        <f t="shared" si="0"/>
        <v>1.47617</v>
      </c>
      <c r="V16" s="118">
        <v>0</v>
      </c>
      <c r="W16" s="119">
        <f t="shared" si="1"/>
        <v>0.29274</v>
      </c>
      <c r="X16" s="119">
        <f t="shared" si="1"/>
        <v>0.45841999999999999</v>
      </c>
      <c r="Y16" s="118">
        <v>0</v>
      </c>
      <c r="Z16" s="119">
        <f t="shared" si="59"/>
        <v>2.31</v>
      </c>
      <c r="AA16" s="119">
        <f t="shared" si="2"/>
        <v>1.1776</v>
      </c>
      <c r="AB16" s="119">
        <f t="shared" si="2"/>
        <v>1.1232899999999999</v>
      </c>
      <c r="AC16" s="119">
        <f t="shared" si="60"/>
        <v>1.74773</v>
      </c>
      <c r="AD16" s="122">
        <f t="shared" si="3"/>
        <v>8.1689999999999999E-2</v>
      </c>
      <c r="AE16" s="123">
        <f t="shared" ref="AE16:AE22" si="138">C16*J16+F16*J16</f>
        <v>4099064</v>
      </c>
      <c r="AF16" s="162">
        <v>41718.199999999997</v>
      </c>
      <c r="AG16" s="139">
        <f t="shared" si="4"/>
        <v>21060.68</v>
      </c>
      <c r="AH16" s="143">
        <f t="shared" si="5"/>
        <v>4.5435290000000004</v>
      </c>
      <c r="AI16" s="123">
        <f t="shared" si="61"/>
        <v>1495058</v>
      </c>
      <c r="AJ16" s="154">
        <f t="shared" si="62"/>
        <v>42</v>
      </c>
      <c r="AK16" s="141">
        <f t="shared" si="63"/>
        <v>1.6639299999999999</v>
      </c>
      <c r="AM16" s="136">
        <f t="shared" si="64"/>
        <v>83.63</v>
      </c>
      <c r="AN16" s="136">
        <f t="shared" si="65"/>
        <v>39.630000000000003</v>
      </c>
      <c r="AO16" s="136">
        <f t="shared" si="66"/>
        <v>18.940000000000001</v>
      </c>
      <c r="AP16" s="136">
        <f t="shared" ref="AP16:AP26" si="139">AN16-AO16</f>
        <v>20.69</v>
      </c>
      <c r="AQ16" s="136">
        <f t="shared" si="67"/>
        <v>1.95</v>
      </c>
      <c r="AR16" s="69">
        <v>76.900000000000006</v>
      </c>
      <c r="AS16" s="67">
        <v>800</v>
      </c>
      <c r="AT16" s="68">
        <f t="shared" si="68"/>
        <v>61520</v>
      </c>
      <c r="AU16" s="380">
        <f>'1.4. часы и места для МЗ и СЗ'!Z64</f>
        <v>42192</v>
      </c>
      <c r="AV16" s="380">
        <f>'1.4. часы и места для МЗ и СЗ'!AA64</f>
        <v>546</v>
      </c>
      <c r="AW16" s="380">
        <f>'1.4. часы и места для МЗ и СЗ'!AB64</f>
        <v>15</v>
      </c>
      <c r="AX16" s="380">
        <f>'1.4. часы и места для МЗ и СЗ'!AC64</f>
        <v>36</v>
      </c>
      <c r="AY16" s="381">
        <f>'1.4. часы и места для МЗ и СЗ'!AD64</f>
        <v>1.93</v>
      </c>
      <c r="AZ16" s="68">
        <f t="shared" si="69"/>
        <v>53</v>
      </c>
      <c r="BA16" s="10">
        <v>12</v>
      </c>
      <c r="BB16" s="384">
        <f t="shared" si="6"/>
        <v>13855</v>
      </c>
      <c r="BC16" s="383">
        <f t="shared" si="7"/>
        <v>1.01</v>
      </c>
      <c r="BD16" s="275">
        <f t="shared" si="70"/>
        <v>13994</v>
      </c>
      <c r="BE16" s="117">
        <v>1.302</v>
      </c>
      <c r="BF16" s="119">
        <f t="shared" si="8"/>
        <v>1.38046</v>
      </c>
      <c r="BG16" s="118">
        <v>0</v>
      </c>
      <c r="BH16" s="119">
        <f t="shared" si="9"/>
        <v>0.43123</v>
      </c>
      <c r="BI16" s="119">
        <f t="shared" si="9"/>
        <v>0.66134000000000004</v>
      </c>
      <c r="BJ16" s="118">
        <v>0</v>
      </c>
      <c r="BK16" s="119">
        <f t="shared" si="71"/>
        <v>2</v>
      </c>
      <c r="BL16" s="119">
        <f t="shared" si="10"/>
        <v>1.2245299999999999</v>
      </c>
      <c r="BM16" s="119">
        <f t="shared" si="10"/>
        <v>1.1232899999999999</v>
      </c>
      <c r="BN16" s="119">
        <f t="shared" si="72"/>
        <v>1.4509399999999999</v>
      </c>
      <c r="BO16" s="122">
        <f t="shared" si="11"/>
        <v>0.10316</v>
      </c>
      <c r="BP16" s="123">
        <f t="shared" ref="BP16:BP22" si="140">AN16*AU16+AQ16*AU16</f>
        <v>1754343</v>
      </c>
      <c r="BQ16" s="387">
        <f t="shared" si="12"/>
        <v>41718.199999999997</v>
      </c>
      <c r="BR16" s="139">
        <f t="shared" si="13"/>
        <v>22400.04</v>
      </c>
      <c r="BS16" s="143">
        <f t="shared" si="14"/>
        <v>5.3246640000000003</v>
      </c>
      <c r="BT16" s="123">
        <f t="shared" si="73"/>
        <v>1863516</v>
      </c>
      <c r="BU16" s="154">
        <f t="shared" si="74"/>
        <v>44</v>
      </c>
      <c r="BV16" s="141">
        <f t="shared" si="75"/>
        <v>3.3231299999999999</v>
      </c>
      <c r="BX16" s="136">
        <f t="shared" si="76"/>
        <v>100.23</v>
      </c>
      <c r="BY16" s="136">
        <f t="shared" si="77"/>
        <v>59.23</v>
      </c>
      <c r="BZ16" s="136">
        <f t="shared" si="78"/>
        <v>29.69</v>
      </c>
      <c r="CA16" s="136">
        <f t="shared" ref="CA16:CA26" si="141">BY16-BZ16</f>
        <v>29.54</v>
      </c>
      <c r="CB16" s="136">
        <f t="shared" si="79"/>
        <v>9.5299999999999994</v>
      </c>
      <c r="CC16" s="69">
        <v>76.900000000000006</v>
      </c>
      <c r="CD16" s="67">
        <v>800</v>
      </c>
      <c r="CE16" s="68">
        <f t="shared" si="80"/>
        <v>61520</v>
      </c>
      <c r="CF16" s="380">
        <f>'1.4. часы и места для МЗ и СЗ'!Z77</f>
        <v>18360</v>
      </c>
      <c r="CG16" s="380">
        <f>'1.4. часы и места для МЗ и СЗ'!AA77</f>
        <v>123</v>
      </c>
      <c r="CH16" s="380">
        <f>'1.4. часы и места для МЗ и СЗ'!AB77</f>
        <v>5</v>
      </c>
      <c r="CI16" s="380">
        <f>'1.4. часы и места для МЗ и СЗ'!AC77</f>
        <v>36</v>
      </c>
      <c r="CJ16" s="381">
        <f>'1.4. часы и места для МЗ и СЗ'!AD77</f>
        <v>1.1599999999999999</v>
      </c>
      <c r="CK16" s="68">
        <f t="shared" si="81"/>
        <v>23</v>
      </c>
      <c r="CL16" s="10">
        <v>12</v>
      </c>
      <c r="CM16" s="384">
        <f t="shared" si="15"/>
        <v>13855</v>
      </c>
      <c r="CN16" s="383">
        <f t="shared" si="16"/>
        <v>1.01</v>
      </c>
      <c r="CO16" s="275">
        <f t="shared" si="82"/>
        <v>13994</v>
      </c>
      <c r="CP16" s="117">
        <v>1.302</v>
      </c>
      <c r="CQ16" s="119">
        <f t="shared" si="17"/>
        <v>1.34843</v>
      </c>
      <c r="CR16" s="118">
        <v>0</v>
      </c>
      <c r="CS16" s="119">
        <f t="shared" si="18"/>
        <v>0.33637</v>
      </c>
      <c r="CT16" s="119">
        <f t="shared" si="18"/>
        <v>0.65883000000000003</v>
      </c>
      <c r="CU16" s="118">
        <v>0</v>
      </c>
      <c r="CV16" s="119">
        <f t="shared" si="83"/>
        <v>5.34</v>
      </c>
      <c r="CW16" s="119">
        <f t="shared" si="19"/>
        <v>1.4220999999999999</v>
      </c>
      <c r="CX16" s="119">
        <f t="shared" si="19"/>
        <v>1.1232899999999999</v>
      </c>
      <c r="CY16" s="119">
        <f t="shared" si="84"/>
        <v>3.34348</v>
      </c>
      <c r="CZ16" s="122">
        <f t="shared" si="20"/>
        <v>0.32107000000000002</v>
      </c>
      <c r="DA16" s="123">
        <f t="shared" ref="DA16:DA22" si="142">BY16*CF16+CB16*CF16</f>
        <v>1262434</v>
      </c>
      <c r="DB16" s="387">
        <f t="shared" si="21"/>
        <v>41718.199999999997</v>
      </c>
      <c r="DC16" s="139">
        <f t="shared" si="22"/>
        <v>22848.27</v>
      </c>
      <c r="DD16" s="143">
        <f t="shared" si="23"/>
        <v>2.1336659999999998</v>
      </c>
      <c r="DE16" s="123">
        <f t="shared" si="85"/>
        <v>761679</v>
      </c>
      <c r="DF16" s="154">
        <f t="shared" si="86"/>
        <v>41</v>
      </c>
      <c r="DG16" s="141">
        <f t="shared" si="87"/>
        <v>2.3809399999999998</v>
      </c>
      <c r="DI16" s="136">
        <f t="shared" si="88"/>
        <v>0</v>
      </c>
      <c r="DJ16" s="136">
        <f t="shared" si="89"/>
        <v>0</v>
      </c>
      <c r="DK16" s="136">
        <f t="shared" si="90"/>
        <v>0</v>
      </c>
      <c r="DL16" s="136">
        <f t="shared" ref="DL16:DL26" si="143">DJ16-DK16</f>
        <v>0</v>
      </c>
      <c r="DM16" s="136">
        <f t="shared" si="91"/>
        <v>0</v>
      </c>
      <c r="DN16" s="69">
        <v>76.900000000000006</v>
      </c>
      <c r="DO16" s="67">
        <v>800</v>
      </c>
      <c r="DP16" s="68">
        <f t="shared" si="92"/>
        <v>61520</v>
      </c>
      <c r="DQ16" s="380">
        <f>'1.4. часы и места для МЗ и СЗ'!Z38</f>
        <v>0</v>
      </c>
      <c r="DR16" s="380">
        <f>'1.4. часы и места для МЗ и СЗ'!AA38</f>
        <v>0</v>
      </c>
      <c r="DS16" s="380">
        <f>'1.4. часы и места для МЗ и СЗ'!AB38</f>
        <v>0</v>
      </c>
      <c r="DT16" s="380">
        <f>'1.4. часы и места для МЗ и СЗ'!AC38</f>
        <v>36</v>
      </c>
      <c r="DU16" s="381">
        <f>'1.4. часы и места для МЗ и СЗ'!AD38</f>
        <v>0</v>
      </c>
      <c r="DV16" s="68">
        <f t="shared" si="93"/>
        <v>0</v>
      </c>
      <c r="DW16" s="10">
        <v>12</v>
      </c>
      <c r="DX16" s="384">
        <f t="shared" si="24"/>
        <v>13855</v>
      </c>
      <c r="DY16" s="383">
        <f t="shared" si="25"/>
        <v>1.01</v>
      </c>
      <c r="DZ16" s="275">
        <f t="shared" si="94"/>
        <v>13994</v>
      </c>
      <c r="EA16" s="117">
        <v>1.302</v>
      </c>
      <c r="EB16" s="119">
        <f t="shared" si="26"/>
        <v>1.35737</v>
      </c>
      <c r="EC16" s="118">
        <v>0</v>
      </c>
      <c r="ED16" s="119">
        <f t="shared" si="27"/>
        <v>0.22051999999999999</v>
      </c>
      <c r="EE16" s="119">
        <f t="shared" si="27"/>
        <v>0.73350000000000004</v>
      </c>
      <c r="EF16" s="118">
        <v>0</v>
      </c>
      <c r="EG16" s="119">
        <f t="shared" si="95"/>
        <v>0</v>
      </c>
      <c r="EH16" s="119">
        <f t="shared" si="28"/>
        <v>1.2033499999999999</v>
      </c>
      <c r="EI16" s="119">
        <f t="shared" si="28"/>
        <v>1.1232899999999999</v>
      </c>
      <c r="EJ16" s="119">
        <f t="shared" si="96"/>
        <v>0</v>
      </c>
      <c r="EK16" s="122">
        <f t="shared" si="29"/>
        <v>0.17288999999999999</v>
      </c>
      <c r="EL16" s="123">
        <f t="shared" ref="EL16:EL22" si="144">DJ16*DQ16+DM16*DQ16</f>
        <v>0</v>
      </c>
      <c r="EM16" s="387">
        <f t="shared" si="30"/>
        <v>41718.199999999997</v>
      </c>
      <c r="EN16" s="139">
        <f t="shared" si="31"/>
        <v>22723.16</v>
      </c>
      <c r="EO16" s="143">
        <f t="shared" si="32"/>
        <v>0</v>
      </c>
      <c r="EP16" s="123">
        <f t="shared" si="97"/>
        <v>0</v>
      </c>
      <c r="EQ16" s="154">
        <f t="shared" si="98"/>
        <v>0</v>
      </c>
      <c r="ER16" s="141">
        <f t="shared" si="99"/>
        <v>0</v>
      </c>
      <c r="ET16" s="136">
        <f t="shared" si="100"/>
        <v>0</v>
      </c>
      <c r="EU16" s="136">
        <f t="shared" si="101"/>
        <v>0</v>
      </c>
      <c r="EV16" s="136">
        <f t="shared" si="102"/>
        <v>0</v>
      </c>
      <c r="EW16" s="136">
        <f t="shared" ref="EW16:EW26" si="145">EU16-EV16</f>
        <v>0</v>
      </c>
      <c r="EX16" s="136">
        <f t="shared" si="103"/>
        <v>0</v>
      </c>
      <c r="EY16" s="69">
        <v>76.900000000000006</v>
      </c>
      <c r="EZ16" s="67">
        <v>800</v>
      </c>
      <c r="FA16" s="68">
        <f t="shared" si="104"/>
        <v>61520</v>
      </c>
      <c r="FB16" s="380">
        <f>'1.4. часы и места для МЗ и СЗ'!Z51</f>
        <v>0</v>
      </c>
      <c r="FC16" s="380">
        <f>'1.4. часы и места для МЗ и СЗ'!AA51</f>
        <v>0</v>
      </c>
      <c r="FD16" s="380">
        <f>'1.4. часы и места для МЗ и СЗ'!AB51</f>
        <v>0</v>
      </c>
      <c r="FE16" s="380">
        <f>'1.4. часы и места для МЗ и СЗ'!AC51</f>
        <v>36</v>
      </c>
      <c r="FF16" s="381">
        <f>'1.4. часы и места для МЗ и СЗ'!AD51</f>
        <v>0</v>
      </c>
      <c r="FG16" s="68">
        <f t="shared" si="105"/>
        <v>0</v>
      </c>
      <c r="FH16" s="10">
        <v>12</v>
      </c>
      <c r="FI16" s="384">
        <f t="shared" si="33"/>
        <v>13855</v>
      </c>
      <c r="FJ16" s="383">
        <f t="shared" si="34"/>
        <v>1.01</v>
      </c>
      <c r="FK16" s="275">
        <f t="shared" si="106"/>
        <v>13994</v>
      </c>
      <c r="FL16" s="117">
        <v>1.302</v>
      </c>
      <c r="FM16" s="119">
        <f t="shared" si="35"/>
        <v>1.32193</v>
      </c>
      <c r="FN16" s="118">
        <v>0</v>
      </c>
      <c r="FO16" s="119">
        <f t="shared" si="36"/>
        <v>0.21695999999999999</v>
      </c>
      <c r="FP16" s="119">
        <f t="shared" si="36"/>
        <v>0.97809999999999997</v>
      </c>
      <c r="FQ16" s="118">
        <v>0</v>
      </c>
      <c r="FR16" s="119">
        <f t="shared" si="107"/>
        <v>0</v>
      </c>
      <c r="FS16" s="119">
        <f t="shared" si="37"/>
        <v>1.0935600000000001</v>
      </c>
      <c r="FT16" s="119">
        <f t="shared" si="37"/>
        <v>1.1232899999999999</v>
      </c>
      <c r="FU16" s="119">
        <f t="shared" si="108"/>
        <v>0</v>
      </c>
      <c r="FV16" s="122">
        <f t="shared" si="38"/>
        <v>0</v>
      </c>
      <c r="FW16" s="123">
        <f t="shared" ref="FW16:FW22" si="146">EU16*FB16+EX16*FB16</f>
        <v>0</v>
      </c>
      <c r="FX16" s="387">
        <f t="shared" si="39"/>
        <v>41718.199999999997</v>
      </c>
      <c r="FY16" s="139">
        <f t="shared" si="40"/>
        <v>23219.11</v>
      </c>
      <c r="FZ16" s="143">
        <f t="shared" si="41"/>
        <v>0</v>
      </c>
      <c r="GA16" s="123">
        <f t="shared" si="109"/>
        <v>0</v>
      </c>
      <c r="GB16" s="154">
        <f t="shared" si="110"/>
        <v>0</v>
      </c>
      <c r="GC16" s="141">
        <f t="shared" si="111"/>
        <v>0</v>
      </c>
      <c r="GE16" s="136">
        <f t="shared" si="112"/>
        <v>109.26</v>
      </c>
      <c r="GF16" s="136">
        <f t="shared" si="113"/>
        <v>71.260000000000005</v>
      </c>
      <c r="GG16" s="136">
        <f t="shared" si="114"/>
        <v>36.97</v>
      </c>
      <c r="GH16" s="136">
        <f t="shared" ref="GH16:GH26" si="147">GF16-GG16</f>
        <v>34.29</v>
      </c>
      <c r="GI16" s="136">
        <f t="shared" si="115"/>
        <v>5.0999999999999996</v>
      </c>
      <c r="GJ16" s="69">
        <v>76.900000000000006</v>
      </c>
      <c r="GK16" s="67">
        <v>800</v>
      </c>
      <c r="GL16" s="68">
        <f t="shared" si="116"/>
        <v>61520</v>
      </c>
      <c r="GM16" s="228">
        <f t="shared" ref="GM16:GM22" si="148">J16+AU16+CF16+DQ16+FB16</f>
        <v>95904</v>
      </c>
      <c r="GN16" s="228">
        <f t="shared" ref="GN16:GN22" si="149">K16+AV16+CG16+DR16+FC16</f>
        <v>958</v>
      </c>
      <c r="GO16" s="228">
        <f t="shared" ref="GO16:GO22" si="150">L16+AW16+CH16+DS16+FD16</f>
        <v>42</v>
      </c>
      <c r="GP16" s="159" t="s">
        <v>471</v>
      </c>
      <c r="GQ16" s="230">
        <f t="shared" ref="GQ16:GQ22" si="151">N16+AY16+CJ16+DU16+FF16</f>
        <v>8.31</v>
      </c>
      <c r="GR16" s="68">
        <f t="shared" si="117"/>
        <v>120</v>
      </c>
      <c r="GS16" s="10">
        <v>12</v>
      </c>
      <c r="GT16" s="384">
        <f t="shared" si="43"/>
        <v>13855</v>
      </c>
      <c r="GU16" s="383">
        <f t="shared" si="44"/>
        <v>1.01</v>
      </c>
      <c r="GV16" s="275">
        <f t="shared" si="118"/>
        <v>13994</v>
      </c>
      <c r="GW16" s="117">
        <v>1.302</v>
      </c>
      <c r="GX16" s="119">
        <f t="shared" si="45"/>
        <v>1.4064300000000001</v>
      </c>
      <c r="GY16" s="118">
        <v>0</v>
      </c>
      <c r="GZ16" s="119">
        <f t="shared" si="46"/>
        <v>0.32916000000000001</v>
      </c>
      <c r="HA16" s="119">
        <f t="shared" si="46"/>
        <v>0.59841999999999995</v>
      </c>
      <c r="HB16" s="118">
        <v>0</v>
      </c>
      <c r="HC16" s="119">
        <f t="shared" si="119"/>
        <v>0.89</v>
      </c>
      <c r="HD16" s="119">
        <f t="shared" si="47"/>
        <v>1.24295</v>
      </c>
      <c r="HE16" s="119">
        <f t="shared" si="47"/>
        <v>1.1232899999999999</v>
      </c>
      <c r="HF16" s="119">
        <f t="shared" si="120"/>
        <v>0.64083000000000001</v>
      </c>
      <c r="HG16" s="122">
        <f t="shared" si="48"/>
        <v>0.13783999999999999</v>
      </c>
      <c r="HH16" s="123">
        <f t="shared" ref="HH16:HH22" si="152">GF16*GM16+GI16*GM16</f>
        <v>7323229</v>
      </c>
      <c r="HI16" s="387">
        <f t="shared" si="49"/>
        <v>41718.199999999997</v>
      </c>
      <c r="HJ16" s="139">
        <f t="shared" si="50"/>
        <v>22036.62</v>
      </c>
      <c r="HK16" s="143">
        <f t="shared" si="51"/>
        <v>10.720132</v>
      </c>
      <c r="HL16" s="123">
        <f t="shared" si="121"/>
        <v>3690943</v>
      </c>
      <c r="HM16" s="154">
        <f t="shared" si="122"/>
        <v>38</v>
      </c>
      <c r="HN16" s="141">
        <f t="shared" si="123"/>
        <v>2.02786</v>
      </c>
      <c r="HP16" s="152">
        <f t="shared" si="124"/>
        <v>149.58000000000001</v>
      </c>
      <c r="HS16" s="163">
        <f t="shared" si="125"/>
        <v>35352</v>
      </c>
      <c r="HT16" s="163">
        <f t="shared" si="126"/>
        <v>42192</v>
      </c>
      <c r="HU16" s="163">
        <f t="shared" si="127"/>
        <v>18360</v>
      </c>
      <c r="HV16" s="163">
        <f t="shared" si="128"/>
        <v>0</v>
      </c>
      <c r="HW16" s="163">
        <f t="shared" si="129"/>
        <v>0</v>
      </c>
      <c r="HX16" s="162">
        <f t="shared" si="130"/>
        <v>95904</v>
      </c>
      <c r="HY16" s="163">
        <f t="shared" si="131"/>
        <v>5401078.5599999996</v>
      </c>
      <c r="HZ16" s="163">
        <f t="shared" si="132"/>
        <v>3528516.96</v>
      </c>
      <c r="IA16" s="163">
        <f t="shared" si="133"/>
        <v>1840222.8</v>
      </c>
      <c r="IB16" s="163">
        <f t="shared" si="134"/>
        <v>0</v>
      </c>
      <c r="IC16" s="163">
        <f t="shared" si="135"/>
        <v>0</v>
      </c>
      <c r="ID16" s="162">
        <f t="shared" si="136"/>
        <v>10769818.32</v>
      </c>
    </row>
    <row r="17" spans="1:238" ht="24" x14ac:dyDescent="0.25">
      <c r="A17" s="12" t="s">
        <v>410</v>
      </c>
      <c r="B17" s="136">
        <f t="shared" si="52"/>
        <v>0</v>
      </c>
      <c r="C17" s="136">
        <f t="shared" si="53"/>
        <v>0</v>
      </c>
      <c r="D17" s="136">
        <f t="shared" si="54"/>
        <v>0</v>
      </c>
      <c r="E17" s="136">
        <f t="shared" si="137"/>
        <v>0</v>
      </c>
      <c r="F17" s="136">
        <f t="shared" si="55"/>
        <v>0</v>
      </c>
      <c r="G17" s="69">
        <v>76.900000000000006</v>
      </c>
      <c r="H17" s="67">
        <v>800</v>
      </c>
      <c r="I17" s="68">
        <f t="shared" si="56"/>
        <v>61520</v>
      </c>
      <c r="J17" s="380"/>
      <c r="K17" s="380"/>
      <c r="L17" s="380"/>
      <c r="M17" s="380"/>
      <c r="N17" s="381"/>
      <c r="O17" s="68">
        <f t="shared" si="57"/>
        <v>0</v>
      </c>
      <c r="P17" s="10">
        <v>12</v>
      </c>
      <c r="Q17" s="160">
        <v>13855</v>
      </c>
      <c r="R17" s="272">
        <v>1.01</v>
      </c>
      <c r="S17" s="275">
        <f t="shared" si="58"/>
        <v>13994</v>
      </c>
      <c r="T17" s="117">
        <v>1.302</v>
      </c>
      <c r="U17" s="119">
        <f t="shared" si="0"/>
        <v>1.47617</v>
      </c>
      <c r="V17" s="118">
        <v>0</v>
      </c>
      <c r="W17" s="119">
        <f t="shared" si="1"/>
        <v>0.29274</v>
      </c>
      <c r="X17" s="119">
        <f t="shared" si="1"/>
        <v>0.45841999999999999</v>
      </c>
      <c r="Y17" s="118">
        <v>0</v>
      </c>
      <c r="Z17" s="119">
        <f t="shared" si="59"/>
        <v>0</v>
      </c>
      <c r="AA17" s="119">
        <f t="shared" si="2"/>
        <v>1.1776</v>
      </c>
      <c r="AB17" s="119">
        <f t="shared" si="2"/>
        <v>1.1232899999999999</v>
      </c>
      <c r="AC17" s="119">
        <f t="shared" si="60"/>
        <v>0</v>
      </c>
      <c r="AD17" s="122">
        <f t="shared" si="3"/>
        <v>8.1689999999999999E-2</v>
      </c>
      <c r="AE17" s="123">
        <f t="shared" si="138"/>
        <v>0</v>
      </c>
      <c r="AF17" s="162">
        <v>41718.199999999997</v>
      </c>
      <c r="AG17" s="139">
        <f t="shared" si="4"/>
        <v>21060.68</v>
      </c>
      <c r="AH17" s="143">
        <f t="shared" si="5"/>
        <v>0</v>
      </c>
      <c r="AI17" s="123">
        <f t="shared" si="61"/>
        <v>0</v>
      </c>
      <c r="AJ17" s="154">
        <f t="shared" si="62"/>
        <v>0</v>
      </c>
      <c r="AK17" s="141">
        <f t="shared" si="63"/>
        <v>0</v>
      </c>
      <c r="AM17" s="136">
        <f t="shared" si="64"/>
        <v>0</v>
      </c>
      <c r="AN17" s="136">
        <f t="shared" si="65"/>
        <v>0</v>
      </c>
      <c r="AO17" s="136">
        <f t="shared" si="66"/>
        <v>0</v>
      </c>
      <c r="AP17" s="136">
        <f t="shared" si="139"/>
        <v>0</v>
      </c>
      <c r="AQ17" s="136">
        <f t="shared" si="67"/>
        <v>0</v>
      </c>
      <c r="AR17" s="69">
        <v>76.900000000000006</v>
      </c>
      <c r="AS17" s="67">
        <v>800</v>
      </c>
      <c r="AT17" s="68">
        <f t="shared" si="68"/>
        <v>61520</v>
      </c>
      <c r="AU17" s="380"/>
      <c r="AV17" s="380"/>
      <c r="AW17" s="380"/>
      <c r="AX17" s="380"/>
      <c r="AY17" s="381"/>
      <c r="AZ17" s="68">
        <f t="shared" si="69"/>
        <v>0</v>
      </c>
      <c r="BA17" s="10">
        <v>12</v>
      </c>
      <c r="BB17" s="384">
        <f t="shared" si="6"/>
        <v>13855</v>
      </c>
      <c r="BC17" s="383">
        <f t="shared" si="7"/>
        <v>1.01</v>
      </c>
      <c r="BD17" s="275">
        <f t="shared" si="70"/>
        <v>13994</v>
      </c>
      <c r="BE17" s="117">
        <v>1.302</v>
      </c>
      <c r="BF17" s="119">
        <f t="shared" si="8"/>
        <v>1.38046</v>
      </c>
      <c r="BG17" s="118">
        <v>0</v>
      </c>
      <c r="BH17" s="119">
        <f t="shared" si="9"/>
        <v>0.43123</v>
      </c>
      <c r="BI17" s="119">
        <f t="shared" si="9"/>
        <v>0.66134000000000004</v>
      </c>
      <c r="BJ17" s="118">
        <v>0</v>
      </c>
      <c r="BK17" s="119">
        <f t="shared" si="71"/>
        <v>0</v>
      </c>
      <c r="BL17" s="119">
        <f t="shared" si="10"/>
        <v>1.2245299999999999</v>
      </c>
      <c r="BM17" s="119">
        <f t="shared" si="10"/>
        <v>1.1232899999999999</v>
      </c>
      <c r="BN17" s="119">
        <f t="shared" si="72"/>
        <v>0</v>
      </c>
      <c r="BO17" s="122">
        <f t="shared" si="11"/>
        <v>0.10316</v>
      </c>
      <c r="BP17" s="123">
        <f t="shared" si="140"/>
        <v>0</v>
      </c>
      <c r="BQ17" s="387">
        <f t="shared" si="12"/>
        <v>41718.199999999997</v>
      </c>
      <c r="BR17" s="139">
        <f t="shared" si="13"/>
        <v>22400.04</v>
      </c>
      <c r="BS17" s="143">
        <f t="shared" si="14"/>
        <v>0</v>
      </c>
      <c r="BT17" s="123">
        <f t="shared" si="73"/>
        <v>0</v>
      </c>
      <c r="BU17" s="154">
        <f t="shared" si="74"/>
        <v>0</v>
      </c>
      <c r="BV17" s="141">
        <f t="shared" si="75"/>
        <v>0</v>
      </c>
      <c r="BX17" s="136">
        <f t="shared" si="76"/>
        <v>0</v>
      </c>
      <c r="BY17" s="136">
        <f t="shared" si="77"/>
        <v>0</v>
      </c>
      <c r="BZ17" s="136">
        <f t="shared" si="78"/>
        <v>0</v>
      </c>
      <c r="CA17" s="136">
        <f t="shared" si="141"/>
        <v>0</v>
      </c>
      <c r="CB17" s="136">
        <f t="shared" si="79"/>
        <v>0</v>
      </c>
      <c r="CC17" s="69">
        <v>76.900000000000006</v>
      </c>
      <c r="CD17" s="67">
        <v>800</v>
      </c>
      <c r="CE17" s="68">
        <f t="shared" si="80"/>
        <v>61520</v>
      </c>
      <c r="CF17" s="380"/>
      <c r="CG17" s="380"/>
      <c r="CH17" s="380"/>
      <c r="CI17" s="380"/>
      <c r="CJ17" s="381"/>
      <c r="CK17" s="68">
        <f t="shared" si="81"/>
        <v>0</v>
      </c>
      <c r="CL17" s="10">
        <v>12</v>
      </c>
      <c r="CM17" s="384">
        <f t="shared" si="15"/>
        <v>13855</v>
      </c>
      <c r="CN17" s="383">
        <f t="shared" si="16"/>
        <v>1.01</v>
      </c>
      <c r="CO17" s="275">
        <f t="shared" si="82"/>
        <v>13994</v>
      </c>
      <c r="CP17" s="117">
        <v>1.302</v>
      </c>
      <c r="CQ17" s="119">
        <f t="shared" si="17"/>
        <v>1.34843</v>
      </c>
      <c r="CR17" s="118">
        <v>0</v>
      </c>
      <c r="CS17" s="119">
        <f t="shared" si="18"/>
        <v>0.33637</v>
      </c>
      <c r="CT17" s="119">
        <f t="shared" si="18"/>
        <v>0.65883000000000003</v>
      </c>
      <c r="CU17" s="118">
        <v>0</v>
      </c>
      <c r="CV17" s="119">
        <f t="shared" si="83"/>
        <v>0</v>
      </c>
      <c r="CW17" s="119">
        <f t="shared" si="19"/>
        <v>1.4220999999999999</v>
      </c>
      <c r="CX17" s="119">
        <f t="shared" si="19"/>
        <v>1.1232899999999999</v>
      </c>
      <c r="CY17" s="119">
        <f t="shared" si="84"/>
        <v>0</v>
      </c>
      <c r="CZ17" s="122">
        <f t="shared" si="20"/>
        <v>0.32107000000000002</v>
      </c>
      <c r="DA17" s="123">
        <f t="shared" si="142"/>
        <v>0</v>
      </c>
      <c r="DB17" s="387">
        <f t="shared" si="21"/>
        <v>41718.199999999997</v>
      </c>
      <c r="DC17" s="139">
        <f t="shared" si="22"/>
        <v>22848.27</v>
      </c>
      <c r="DD17" s="143">
        <f t="shared" si="23"/>
        <v>0</v>
      </c>
      <c r="DE17" s="123">
        <f t="shared" si="85"/>
        <v>0</v>
      </c>
      <c r="DF17" s="154">
        <f t="shared" si="86"/>
        <v>0</v>
      </c>
      <c r="DG17" s="141">
        <f t="shared" si="87"/>
        <v>0</v>
      </c>
      <c r="DI17" s="136">
        <f t="shared" si="88"/>
        <v>0</v>
      </c>
      <c r="DJ17" s="136">
        <f t="shared" si="89"/>
        <v>0</v>
      </c>
      <c r="DK17" s="136">
        <f t="shared" si="90"/>
        <v>0</v>
      </c>
      <c r="DL17" s="136">
        <f t="shared" si="143"/>
        <v>0</v>
      </c>
      <c r="DM17" s="136">
        <f t="shared" si="91"/>
        <v>0</v>
      </c>
      <c r="DN17" s="69">
        <v>76.900000000000006</v>
      </c>
      <c r="DO17" s="67">
        <v>800</v>
      </c>
      <c r="DP17" s="68">
        <f t="shared" si="92"/>
        <v>61520</v>
      </c>
      <c r="DQ17" s="380"/>
      <c r="DR17" s="380"/>
      <c r="DS17" s="380"/>
      <c r="DT17" s="380"/>
      <c r="DU17" s="381"/>
      <c r="DV17" s="68">
        <f t="shared" si="93"/>
        <v>0</v>
      </c>
      <c r="DW17" s="10">
        <v>12</v>
      </c>
      <c r="DX17" s="384">
        <f t="shared" si="24"/>
        <v>13855</v>
      </c>
      <c r="DY17" s="383">
        <f t="shared" si="25"/>
        <v>1.01</v>
      </c>
      <c r="DZ17" s="275">
        <f t="shared" si="94"/>
        <v>13994</v>
      </c>
      <c r="EA17" s="117">
        <v>1.302</v>
      </c>
      <c r="EB17" s="119">
        <f t="shared" si="26"/>
        <v>1.35737</v>
      </c>
      <c r="EC17" s="118">
        <v>0</v>
      </c>
      <c r="ED17" s="119">
        <f t="shared" si="27"/>
        <v>0.22051999999999999</v>
      </c>
      <c r="EE17" s="119">
        <f t="shared" si="27"/>
        <v>0.73350000000000004</v>
      </c>
      <c r="EF17" s="118">
        <v>0</v>
      </c>
      <c r="EG17" s="119">
        <f t="shared" si="95"/>
        <v>0</v>
      </c>
      <c r="EH17" s="119">
        <f t="shared" si="28"/>
        <v>1.2033499999999999</v>
      </c>
      <c r="EI17" s="119">
        <f t="shared" si="28"/>
        <v>1.1232899999999999</v>
      </c>
      <c r="EJ17" s="119">
        <f t="shared" si="96"/>
        <v>0</v>
      </c>
      <c r="EK17" s="122">
        <f t="shared" si="29"/>
        <v>0.17288999999999999</v>
      </c>
      <c r="EL17" s="123">
        <f t="shared" si="144"/>
        <v>0</v>
      </c>
      <c r="EM17" s="387">
        <f t="shared" si="30"/>
        <v>41718.199999999997</v>
      </c>
      <c r="EN17" s="139">
        <f t="shared" si="31"/>
        <v>22723.16</v>
      </c>
      <c r="EO17" s="143">
        <f t="shared" si="32"/>
        <v>0</v>
      </c>
      <c r="EP17" s="123">
        <f t="shared" si="97"/>
        <v>0</v>
      </c>
      <c r="EQ17" s="154">
        <f t="shared" si="98"/>
        <v>0</v>
      </c>
      <c r="ER17" s="141">
        <f t="shared" si="99"/>
        <v>0</v>
      </c>
      <c r="ET17" s="136">
        <f t="shared" si="100"/>
        <v>0</v>
      </c>
      <c r="EU17" s="136">
        <f t="shared" si="101"/>
        <v>0</v>
      </c>
      <c r="EV17" s="136">
        <f t="shared" si="102"/>
        <v>0</v>
      </c>
      <c r="EW17" s="136">
        <f t="shared" si="145"/>
        <v>0</v>
      </c>
      <c r="EX17" s="136">
        <f t="shared" si="103"/>
        <v>0</v>
      </c>
      <c r="EY17" s="69">
        <v>76.900000000000006</v>
      </c>
      <c r="EZ17" s="67">
        <v>800</v>
      </c>
      <c r="FA17" s="68">
        <f t="shared" si="104"/>
        <v>61520</v>
      </c>
      <c r="FB17" s="380"/>
      <c r="FC17" s="380"/>
      <c r="FD17" s="380"/>
      <c r="FE17" s="380"/>
      <c r="FF17" s="381"/>
      <c r="FG17" s="68">
        <f t="shared" si="105"/>
        <v>0</v>
      </c>
      <c r="FH17" s="10">
        <v>12</v>
      </c>
      <c r="FI17" s="384">
        <f t="shared" si="33"/>
        <v>13855</v>
      </c>
      <c r="FJ17" s="383">
        <f t="shared" si="34"/>
        <v>1.01</v>
      </c>
      <c r="FK17" s="275">
        <f t="shared" si="106"/>
        <v>13994</v>
      </c>
      <c r="FL17" s="117">
        <v>1.302</v>
      </c>
      <c r="FM17" s="119">
        <f t="shared" si="35"/>
        <v>1.32193</v>
      </c>
      <c r="FN17" s="118">
        <v>0</v>
      </c>
      <c r="FO17" s="119">
        <f t="shared" si="36"/>
        <v>0.21695999999999999</v>
      </c>
      <c r="FP17" s="119">
        <f t="shared" si="36"/>
        <v>0.97809999999999997</v>
      </c>
      <c r="FQ17" s="118">
        <v>0</v>
      </c>
      <c r="FR17" s="119">
        <f t="shared" si="107"/>
        <v>0</v>
      </c>
      <c r="FS17" s="119">
        <f t="shared" si="37"/>
        <v>1.0935600000000001</v>
      </c>
      <c r="FT17" s="119">
        <f t="shared" si="37"/>
        <v>1.1232899999999999</v>
      </c>
      <c r="FU17" s="119">
        <f t="shared" si="108"/>
        <v>0</v>
      </c>
      <c r="FV17" s="122">
        <f t="shared" si="38"/>
        <v>0</v>
      </c>
      <c r="FW17" s="123">
        <f t="shared" si="146"/>
        <v>0</v>
      </c>
      <c r="FX17" s="387">
        <f t="shared" si="39"/>
        <v>41718.199999999997</v>
      </c>
      <c r="FY17" s="139">
        <f t="shared" si="40"/>
        <v>23219.11</v>
      </c>
      <c r="FZ17" s="143">
        <f t="shared" si="41"/>
        <v>0</v>
      </c>
      <c r="GA17" s="123">
        <f t="shared" si="109"/>
        <v>0</v>
      </c>
      <c r="GB17" s="154">
        <f t="shared" si="110"/>
        <v>0</v>
      </c>
      <c r="GC17" s="141">
        <f t="shared" si="111"/>
        <v>0</v>
      </c>
      <c r="GE17" s="136">
        <f t="shared" si="112"/>
        <v>0</v>
      </c>
      <c r="GF17" s="136">
        <f t="shared" si="113"/>
        <v>0</v>
      </c>
      <c r="GG17" s="136">
        <f t="shared" si="114"/>
        <v>0</v>
      </c>
      <c r="GH17" s="136">
        <f t="shared" si="147"/>
        <v>0</v>
      </c>
      <c r="GI17" s="136">
        <f t="shared" si="115"/>
        <v>0</v>
      </c>
      <c r="GJ17" s="69">
        <v>76.900000000000006</v>
      </c>
      <c r="GK17" s="67">
        <v>800</v>
      </c>
      <c r="GL17" s="68">
        <f t="shared" si="116"/>
        <v>61520</v>
      </c>
      <c r="GM17" s="228">
        <f t="shared" si="148"/>
        <v>0</v>
      </c>
      <c r="GN17" s="228">
        <f t="shared" si="149"/>
        <v>0</v>
      </c>
      <c r="GO17" s="228">
        <f t="shared" si="150"/>
        <v>0</v>
      </c>
      <c r="GP17" s="159" t="s">
        <v>471</v>
      </c>
      <c r="GQ17" s="230">
        <f t="shared" si="151"/>
        <v>0</v>
      </c>
      <c r="GR17" s="68">
        <f t="shared" si="117"/>
        <v>0</v>
      </c>
      <c r="GS17" s="10">
        <v>12</v>
      </c>
      <c r="GT17" s="384">
        <f t="shared" si="43"/>
        <v>13855</v>
      </c>
      <c r="GU17" s="383">
        <f t="shared" si="44"/>
        <v>1.01</v>
      </c>
      <c r="GV17" s="275">
        <f t="shared" si="118"/>
        <v>13994</v>
      </c>
      <c r="GW17" s="117">
        <v>1.302</v>
      </c>
      <c r="GX17" s="119">
        <f t="shared" si="45"/>
        <v>1.4064300000000001</v>
      </c>
      <c r="GY17" s="118">
        <v>0</v>
      </c>
      <c r="GZ17" s="119">
        <f t="shared" si="46"/>
        <v>0.32916000000000001</v>
      </c>
      <c r="HA17" s="119">
        <f t="shared" si="46"/>
        <v>0.59841999999999995</v>
      </c>
      <c r="HB17" s="118">
        <v>0</v>
      </c>
      <c r="HC17" s="119">
        <f t="shared" si="119"/>
        <v>0</v>
      </c>
      <c r="HD17" s="119">
        <f t="shared" si="47"/>
        <v>1.24295</v>
      </c>
      <c r="HE17" s="119">
        <f t="shared" si="47"/>
        <v>1.1232899999999999</v>
      </c>
      <c r="HF17" s="119">
        <f t="shared" si="120"/>
        <v>0</v>
      </c>
      <c r="HG17" s="122">
        <f t="shared" si="48"/>
        <v>0.13783999999999999</v>
      </c>
      <c r="HH17" s="123">
        <f t="shared" si="152"/>
        <v>0</v>
      </c>
      <c r="HI17" s="387">
        <f t="shared" si="49"/>
        <v>41718.199999999997</v>
      </c>
      <c r="HJ17" s="139">
        <f t="shared" si="50"/>
        <v>22036.62</v>
      </c>
      <c r="HK17" s="143">
        <f t="shared" si="51"/>
        <v>0</v>
      </c>
      <c r="HL17" s="123">
        <f t="shared" si="121"/>
        <v>0</v>
      </c>
      <c r="HM17" s="154">
        <f t="shared" si="122"/>
        <v>0</v>
      </c>
      <c r="HN17" s="141">
        <f t="shared" si="123"/>
        <v>0</v>
      </c>
      <c r="HP17" s="152">
        <f t="shared" si="124"/>
        <v>0</v>
      </c>
      <c r="HS17" s="163">
        <f t="shared" si="125"/>
        <v>0</v>
      </c>
      <c r="HT17" s="163">
        <f t="shared" si="126"/>
        <v>0</v>
      </c>
      <c r="HU17" s="163">
        <f t="shared" si="127"/>
        <v>0</v>
      </c>
      <c r="HV17" s="163">
        <f t="shared" si="128"/>
        <v>0</v>
      </c>
      <c r="HW17" s="163">
        <f t="shared" si="129"/>
        <v>0</v>
      </c>
      <c r="HX17" s="162">
        <f t="shared" si="130"/>
        <v>0</v>
      </c>
      <c r="HY17" s="163">
        <f t="shared" si="131"/>
        <v>0</v>
      </c>
      <c r="HZ17" s="163">
        <f t="shared" si="132"/>
        <v>0</v>
      </c>
      <c r="IA17" s="163">
        <f t="shared" si="133"/>
        <v>0</v>
      </c>
      <c r="IB17" s="163">
        <f t="shared" si="134"/>
        <v>0</v>
      </c>
      <c r="IC17" s="163">
        <f t="shared" si="135"/>
        <v>0</v>
      </c>
      <c r="ID17" s="162">
        <f t="shared" si="136"/>
        <v>0</v>
      </c>
    </row>
    <row r="18" spans="1:238" ht="24" x14ac:dyDescent="0.25">
      <c r="A18" s="12" t="s">
        <v>805</v>
      </c>
      <c r="B18" s="136">
        <f t="shared" si="52"/>
        <v>0</v>
      </c>
      <c r="C18" s="136">
        <f t="shared" si="53"/>
        <v>0</v>
      </c>
      <c r="D18" s="136">
        <f t="shared" si="54"/>
        <v>0</v>
      </c>
      <c r="E18" s="136">
        <f t="shared" si="137"/>
        <v>0</v>
      </c>
      <c r="F18" s="136">
        <f t="shared" si="55"/>
        <v>0</v>
      </c>
      <c r="G18" s="69">
        <v>76.900000000000006</v>
      </c>
      <c r="H18" s="67">
        <v>800</v>
      </c>
      <c r="I18" s="68">
        <f t="shared" si="56"/>
        <v>61520</v>
      </c>
      <c r="J18" s="380">
        <f>'1.4. часы и места для МЗ и СЗ'!Z26</f>
        <v>0</v>
      </c>
      <c r="K18" s="380">
        <f>'1.4. часы и места для МЗ и СЗ'!AA26</f>
        <v>0</v>
      </c>
      <c r="L18" s="380">
        <f>'1.4. часы и места для МЗ и СЗ'!AB26</f>
        <v>0</v>
      </c>
      <c r="M18" s="380">
        <f>'1.4. часы и места для МЗ и СЗ'!AC26</f>
        <v>44</v>
      </c>
      <c r="N18" s="381">
        <f>'1.4. часы и места для МЗ и СЗ'!AD26</f>
        <v>0</v>
      </c>
      <c r="O18" s="68">
        <f t="shared" si="57"/>
        <v>0</v>
      </c>
      <c r="P18" s="10">
        <v>12</v>
      </c>
      <c r="Q18" s="160">
        <v>13855</v>
      </c>
      <c r="R18" s="272">
        <v>1.01</v>
      </c>
      <c r="S18" s="275">
        <f t="shared" si="58"/>
        <v>13994</v>
      </c>
      <c r="T18" s="117">
        <v>1.302</v>
      </c>
      <c r="U18" s="119">
        <f t="shared" si="0"/>
        <v>1.47617</v>
      </c>
      <c r="V18" s="118">
        <v>0</v>
      </c>
      <c r="W18" s="119">
        <f t="shared" si="1"/>
        <v>0.29274</v>
      </c>
      <c r="X18" s="119">
        <f t="shared" si="1"/>
        <v>0.45841999999999999</v>
      </c>
      <c r="Y18" s="118">
        <v>0</v>
      </c>
      <c r="Z18" s="119">
        <f t="shared" si="59"/>
        <v>0</v>
      </c>
      <c r="AA18" s="119">
        <f t="shared" si="2"/>
        <v>1.1776</v>
      </c>
      <c r="AB18" s="119">
        <f t="shared" si="2"/>
        <v>1.1232899999999999</v>
      </c>
      <c r="AC18" s="119">
        <f t="shared" si="60"/>
        <v>0</v>
      </c>
      <c r="AD18" s="122">
        <f t="shared" si="3"/>
        <v>8.1689999999999999E-2</v>
      </c>
      <c r="AE18" s="123">
        <f t="shared" si="138"/>
        <v>0</v>
      </c>
      <c r="AF18" s="162">
        <v>41718.199999999997</v>
      </c>
      <c r="AG18" s="139">
        <f t="shared" si="4"/>
        <v>21060.68</v>
      </c>
      <c r="AH18" s="143">
        <f t="shared" si="5"/>
        <v>0</v>
      </c>
      <c r="AI18" s="123">
        <f t="shared" si="61"/>
        <v>0</v>
      </c>
      <c r="AJ18" s="154">
        <f t="shared" si="62"/>
        <v>0</v>
      </c>
      <c r="AK18" s="141">
        <f t="shared" si="63"/>
        <v>0</v>
      </c>
      <c r="AM18" s="136">
        <f t="shared" si="64"/>
        <v>82.39</v>
      </c>
      <c r="AN18" s="136">
        <f t="shared" si="65"/>
        <v>38.39</v>
      </c>
      <c r="AO18" s="136">
        <f t="shared" si="66"/>
        <v>18.350000000000001</v>
      </c>
      <c r="AP18" s="136">
        <f t="shared" si="139"/>
        <v>20.04</v>
      </c>
      <c r="AQ18" s="136">
        <f t="shared" si="67"/>
        <v>1.89</v>
      </c>
      <c r="AR18" s="69">
        <v>76.900000000000006</v>
      </c>
      <c r="AS18" s="67">
        <v>800</v>
      </c>
      <c r="AT18" s="68">
        <f t="shared" si="68"/>
        <v>61520</v>
      </c>
      <c r="AU18" s="380">
        <f>'1.4. часы и места для МЗ и СЗ'!Z65</f>
        <v>31416</v>
      </c>
      <c r="AV18" s="380">
        <f>'1.4. часы и места для МЗ и СЗ'!AA65</f>
        <v>238</v>
      </c>
      <c r="AW18" s="380">
        <f>'1.4. часы и места для МЗ и СЗ'!AB65</f>
        <v>8</v>
      </c>
      <c r="AX18" s="380">
        <f>'1.4. часы и места для МЗ и СЗ'!AC65</f>
        <v>44</v>
      </c>
      <c r="AY18" s="381">
        <f>'1.4. часы и места для МЗ и СЗ'!AD65</f>
        <v>1.38</v>
      </c>
      <c r="AZ18" s="68">
        <f t="shared" si="69"/>
        <v>39</v>
      </c>
      <c r="BA18" s="10">
        <v>12</v>
      </c>
      <c r="BB18" s="384">
        <f t="shared" si="6"/>
        <v>13855</v>
      </c>
      <c r="BC18" s="383">
        <f t="shared" si="7"/>
        <v>1.01</v>
      </c>
      <c r="BD18" s="275">
        <f t="shared" si="70"/>
        <v>13994</v>
      </c>
      <c r="BE18" s="117">
        <v>1.302</v>
      </c>
      <c r="BF18" s="119">
        <f t="shared" si="8"/>
        <v>1.38046</v>
      </c>
      <c r="BG18" s="118">
        <v>0</v>
      </c>
      <c r="BH18" s="119">
        <f t="shared" si="9"/>
        <v>0.43123</v>
      </c>
      <c r="BI18" s="119">
        <f t="shared" si="9"/>
        <v>0.66134000000000004</v>
      </c>
      <c r="BJ18" s="118">
        <v>0</v>
      </c>
      <c r="BK18" s="119">
        <f t="shared" si="71"/>
        <v>2.71</v>
      </c>
      <c r="BL18" s="119">
        <f t="shared" si="10"/>
        <v>1.2245299999999999</v>
      </c>
      <c r="BM18" s="119">
        <f t="shared" si="10"/>
        <v>1.1232899999999999</v>
      </c>
      <c r="BN18" s="119">
        <f t="shared" si="72"/>
        <v>1.9717899999999999</v>
      </c>
      <c r="BO18" s="122">
        <f t="shared" si="11"/>
        <v>0.10316</v>
      </c>
      <c r="BP18" s="123">
        <f t="shared" si="140"/>
        <v>1265436</v>
      </c>
      <c r="BQ18" s="387">
        <f t="shared" si="12"/>
        <v>41718.199999999997</v>
      </c>
      <c r="BR18" s="139">
        <f t="shared" si="13"/>
        <v>22400.04</v>
      </c>
      <c r="BS18" s="143">
        <f t="shared" si="14"/>
        <v>3.9647239999999999</v>
      </c>
      <c r="BT18" s="123">
        <f t="shared" si="73"/>
        <v>1387567</v>
      </c>
      <c r="BU18" s="154">
        <f t="shared" si="74"/>
        <v>44</v>
      </c>
      <c r="BV18" s="141">
        <f t="shared" si="75"/>
        <v>3.3978199999999998</v>
      </c>
      <c r="BX18" s="136">
        <f t="shared" si="76"/>
        <v>0</v>
      </c>
      <c r="BY18" s="136">
        <f t="shared" si="77"/>
        <v>0</v>
      </c>
      <c r="BZ18" s="136">
        <f t="shared" si="78"/>
        <v>0</v>
      </c>
      <c r="CA18" s="136">
        <f t="shared" si="141"/>
        <v>0</v>
      </c>
      <c r="CB18" s="136">
        <f t="shared" si="79"/>
        <v>0</v>
      </c>
      <c r="CC18" s="69">
        <v>76.900000000000006</v>
      </c>
      <c r="CD18" s="67">
        <v>800</v>
      </c>
      <c r="CE18" s="68">
        <f t="shared" si="80"/>
        <v>61520</v>
      </c>
      <c r="CF18" s="380">
        <f>'1.4. часы и места для МЗ и СЗ'!Z78</f>
        <v>0</v>
      </c>
      <c r="CG18" s="380">
        <f>'1.4. часы и места для МЗ и СЗ'!AA78</f>
        <v>0</v>
      </c>
      <c r="CH18" s="380">
        <f>'1.4. часы и места для МЗ и СЗ'!AB78</f>
        <v>0</v>
      </c>
      <c r="CI18" s="380">
        <f>'1.4. часы и места для МЗ и СЗ'!AC78</f>
        <v>44</v>
      </c>
      <c r="CJ18" s="381">
        <f>'1.4. часы и места для МЗ и СЗ'!AD78</f>
        <v>0</v>
      </c>
      <c r="CK18" s="68">
        <f t="shared" si="81"/>
        <v>0</v>
      </c>
      <c r="CL18" s="10">
        <v>12</v>
      </c>
      <c r="CM18" s="384">
        <f t="shared" si="15"/>
        <v>13855</v>
      </c>
      <c r="CN18" s="383">
        <f t="shared" si="16"/>
        <v>1.01</v>
      </c>
      <c r="CO18" s="275">
        <f t="shared" si="82"/>
        <v>13994</v>
      </c>
      <c r="CP18" s="117">
        <v>1.302</v>
      </c>
      <c r="CQ18" s="119">
        <f t="shared" si="17"/>
        <v>1.34843</v>
      </c>
      <c r="CR18" s="118">
        <v>0</v>
      </c>
      <c r="CS18" s="119">
        <f t="shared" si="18"/>
        <v>0.33637</v>
      </c>
      <c r="CT18" s="119">
        <f t="shared" si="18"/>
        <v>0.65883000000000003</v>
      </c>
      <c r="CU18" s="118">
        <v>0</v>
      </c>
      <c r="CV18" s="119">
        <f t="shared" si="83"/>
        <v>0</v>
      </c>
      <c r="CW18" s="119">
        <f t="shared" si="19"/>
        <v>1.4220999999999999</v>
      </c>
      <c r="CX18" s="119">
        <f t="shared" si="19"/>
        <v>1.1232899999999999</v>
      </c>
      <c r="CY18" s="119">
        <f t="shared" si="84"/>
        <v>0</v>
      </c>
      <c r="CZ18" s="122">
        <f t="shared" si="20"/>
        <v>0.32107000000000002</v>
      </c>
      <c r="DA18" s="123">
        <f t="shared" si="142"/>
        <v>0</v>
      </c>
      <c r="DB18" s="387">
        <f t="shared" si="21"/>
        <v>41718.199999999997</v>
      </c>
      <c r="DC18" s="139">
        <f t="shared" si="22"/>
        <v>22848.27</v>
      </c>
      <c r="DD18" s="143">
        <f t="shared" si="23"/>
        <v>0</v>
      </c>
      <c r="DE18" s="123">
        <f t="shared" si="85"/>
        <v>0</v>
      </c>
      <c r="DF18" s="154">
        <f t="shared" si="86"/>
        <v>0</v>
      </c>
      <c r="DG18" s="141">
        <f t="shared" si="87"/>
        <v>0</v>
      </c>
      <c r="DI18" s="136">
        <f t="shared" si="88"/>
        <v>0</v>
      </c>
      <c r="DJ18" s="136">
        <f t="shared" si="89"/>
        <v>0</v>
      </c>
      <c r="DK18" s="136">
        <f t="shared" si="90"/>
        <v>0</v>
      </c>
      <c r="DL18" s="136">
        <f t="shared" si="143"/>
        <v>0</v>
      </c>
      <c r="DM18" s="136">
        <f t="shared" si="91"/>
        <v>0</v>
      </c>
      <c r="DN18" s="69">
        <v>76.900000000000006</v>
      </c>
      <c r="DO18" s="67">
        <v>800</v>
      </c>
      <c r="DP18" s="68">
        <f t="shared" si="92"/>
        <v>61520</v>
      </c>
      <c r="DQ18" s="380">
        <f>'1.4. часы и места для МЗ и СЗ'!Z39</f>
        <v>0</v>
      </c>
      <c r="DR18" s="380">
        <f>'1.4. часы и места для МЗ и СЗ'!AA39</f>
        <v>0</v>
      </c>
      <c r="DS18" s="380">
        <f>'1.4. часы и места для МЗ и СЗ'!AB39</f>
        <v>0</v>
      </c>
      <c r="DT18" s="380">
        <f>'1.4. часы и места для МЗ и СЗ'!AC39</f>
        <v>44</v>
      </c>
      <c r="DU18" s="381">
        <f>'1.4. часы и места для МЗ и СЗ'!AD39</f>
        <v>0</v>
      </c>
      <c r="DV18" s="68">
        <f t="shared" si="93"/>
        <v>0</v>
      </c>
      <c r="DW18" s="10">
        <v>12</v>
      </c>
      <c r="DX18" s="384">
        <f t="shared" si="24"/>
        <v>13855</v>
      </c>
      <c r="DY18" s="383">
        <f t="shared" si="25"/>
        <v>1.01</v>
      </c>
      <c r="DZ18" s="275">
        <f t="shared" si="94"/>
        <v>13994</v>
      </c>
      <c r="EA18" s="117">
        <v>1.302</v>
      </c>
      <c r="EB18" s="119">
        <f t="shared" si="26"/>
        <v>1.35737</v>
      </c>
      <c r="EC18" s="118">
        <v>0</v>
      </c>
      <c r="ED18" s="119">
        <f t="shared" si="27"/>
        <v>0.22051999999999999</v>
      </c>
      <c r="EE18" s="119">
        <f t="shared" si="27"/>
        <v>0.73350000000000004</v>
      </c>
      <c r="EF18" s="118">
        <v>0</v>
      </c>
      <c r="EG18" s="119">
        <f t="shared" si="95"/>
        <v>0</v>
      </c>
      <c r="EH18" s="119">
        <f t="shared" si="28"/>
        <v>1.2033499999999999</v>
      </c>
      <c r="EI18" s="119">
        <f t="shared" si="28"/>
        <v>1.1232899999999999</v>
      </c>
      <c r="EJ18" s="119">
        <f t="shared" si="96"/>
        <v>0</v>
      </c>
      <c r="EK18" s="122">
        <f t="shared" si="29"/>
        <v>0.17288999999999999</v>
      </c>
      <c r="EL18" s="123">
        <f t="shared" si="144"/>
        <v>0</v>
      </c>
      <c r="EM18" s="387">
        <f t="shared" si="30"/>
        <v>41718.199999999997</v>
      </c>
      <c r="EN18" s="139">
        <f t="shared" si="31"/>
        <v>22723.16</v>
      </c>
      <c r="EO18" s="143">
        <f t="shared" si="32"/>
        <v>0</v>
      </c>
      <c r="EP18" s="123">
        <f t="shared" si="97"/>
        <v>0</v>
      </c>
      <c r="EQ18" s="154">
        <f t="shared" si="98"/>
        <v>0</v>
      </c>
      <c r="ER18" s="141">
        <f t="shared" si="99"/>
        <v>0</v>
      </c>
      <c r="ET18" s="136">
        <f t="shared" si="100"/>
        <v>0</v>
      </c>
      <c r="EU18" s="136">
        <f t="shared" si="101"/>
        <v>0</v>
      </c>
      <c r="EV18" s="136">
        <f t="shared" si="102"/>
        <v>0</v>
      </c>
      <c r="EW18" s="136">
        <f t="shared" si="145"/>
        <v>0</v>
      </c>
      <c r="EX18" s="136">
        <f t="shared" si="103"/>
        <v>0</v>
      </c>
      <c r="EY18" s="69">
        <v>76.900000000000006</v>
      </c>
      <c r="EZ18" s="67">
        <v>800</v>
      </c>
      <c r="FA18" s="68">
        <f t="shared" si="104"/>
        <v>61520</v>
      </c>
      <c r="FB18" s="380">
        <f>'1.4. часы и места для МЗ и СЗ'!Z52</f>
        <v>0</v>
      </c>
      <c r="FC18" s="380">
        <f>'1.4. часы и места для МЗ и СЗ'!AA52</f>
        <v>0</v>
      </c>
      <c r="FD18" s="380">
        <f>'1.4. часы и места для МЗ и СЗ'!AB52</f>
        <v>0</v>
      </c>
      <c r="FE18" s="380">
        <f>'1.4. часы и места для МЗ и СЗ'!AC52</f>
        <v>44</v>
      </c>
      <c r="FF18" s="381">
        <f>'1.4. часы и места для МЗ и СЗ'!AD52</f>
        <v>0</v>
      </c>
      <c r="FG18" s="68">
        <f t="shared" si="105"/>
        <v>0</v>
      </c>
      <c r="FH18" s="10">
        <v>12</v>
      </c>
      <c r="FI18" s="384">
        <f t="shared" si="33"/>
        <v>13855</v>
      </c>
      <c r="FJ18" s="383">
        <f t="shared" si="34"/>
        <v>1.01</v>
      </c>
      <c r="FK18" s="275">
        <f t="shared" si="106"/>
        <v>13994</v>
      </c>
      <c r="FL18" s="117">
        <v>1.302</v>
      </c>
      <c r="FM18" s="119">
        <f t="shared" si="35"/>
        <v>1.32193</v>
      </c>
      <c r="FN18" s="118">
        <v>0</v>
      </c>
      <c r="FO18" s="119">
        <f t="shared" si="36"/>
        <v>0.21695999999999999</v>
      </c>
      <c r="FP18" s="119">
        <f t="shared" si="36"/>
        <v>0.97809999999999997</v>
      </c>
      <c r="FQ18" s="118">
        <v>0</v>
      </c>
      <c r="FR18" s="119">
        <f t="shared" si="107"/>
        <v>0</v>
      </c>
      <c r="FS18" s="119">
        <f t="shared" si="37"/>
        <v>1.0935600000000001</v>
      </c>
      <c r="FT18" s="119">
        <f t="shared" si="37"/>
        <v>1.1232899999999999</v>
      </c>
      <c r="FU18" s="119">
        <f t="shared" si="108"/>
        <v>0</v>
      </c>
      <c r="FV18" s="122">
        <f t="shared" si="38"/>
        <v>0</v>
      </c>
      <c r="FW18" s="123">
        <f t="shared" si="146"/>
        <v>0</v>
      </c>
      <c r="FX18" s="387">
        <f t="shared" si="39"/>
        <v>41718.199999999997</v>
      </c>
      <c r="FY18" s="139">
        <f t="shared" si="40"/>
        <v>23219.11</v>
      </c>
      <c r="FZ18" s="143">
        <f t="shared" si="41"/>
        <v>0</v>
      </c>
      <c r="GA18" s="123">
        <f t="shared" si="109"/>
        <v>0</v>
      </c>
      <c r="GB18" s="154">
        <f t="shared" si="110"/>
        <v>0</v>
      </c>
      <c r="GC18" s="141">
        <f t="shared" si="111"/>
        <v>0</v>
      </c>
      <c r="GE18" s="136">
        <f t="shared" si="112"/>
        <v>74.56</v>
      </c>
      <c r="GF18" s="136">
        <f t="shared" si="113"/>
        <v>36.56</v>
      </c>
      <c r="GG18" s="136">
        <f t="shared" si="114"/>
        <v>18.97</v>
      </c>
      <c r="GH18" s="136">
        <f t="shared" si="147"/>
        <v>17.59</v>
      </c>
      <c r="GI18" s="136">
        <f t="shared" si="115"/>
        <v>2.61</v>
      </c>
      <c r="GJ18" s="69">
        <v>76.900000000000006</v>
      </c>
      <c r="GK18" s="67">
        <v>800</v>
      </c>
      <c r="GL18" s="68">
        <f t="shared" si="116"/>
        <v>61520</v>
      </c>
      <c r="GM18" s="228">
        <f t="shared" si="148"/>
        <v>31416</v>
      </c>
      <c r="GN18" s="228">
        <f t="shared" si="149"/>
        <v>238</v>
      </c>
      <c r="GO18" s="228">
        <f t="shared" si="150"/>
        <v>8</v>
      </c>
      <c r="GP18" s="159" t="s">
        <v>471</v>
      </c>
      <c r="GQ18" s="230">
        <f t="shared" si="151"/>
        <v>1.38</v>
      </c>
      <c r="GR18" s="68">
        <f t="shared" si="117"/>
        <v>39</v>
      </c>
      <c r="GS18" s="10">
        <v>12</v>
      </c>
      <c r="GT18" s="384">
        <f t="shared" si="43"/>
        <v>13855</v>
      </c>
      <c r="GU18" s="383">
        <f t="shared" si="44"/>
        <v>1.01</v>
      </c>
      <c r="GV18" s="275">
        <f t="shared" si="118"/>
        <v>13994</v>
      </c>
      <c r="GW18" s="117">
        <v>1.302</v>
      </c>
      <c r="GX18" s="119">
        <f t="shared" si="45"/>
        <v>1.4064300000000001</v>
      </c>
      <c r="GY18" s="118">
        <v>0</v>
      </c>
      <c r="GZ18" s="119">
        <f t="shared" si="46"/>
        <v>0.32916000000000001</v>
      </c>
      <c r="HA18" s="119">
        <f t="shared" si="46"/>
        <v>0.59841999999999995</v>
      </c>
      <c r="HB18" s="118">
        <v>0</v>
      </c>
      <c r="HC18" s="119">
        <f t="shared" si="119"/>
        <v>2.75</v>
      </c>
      <c r="HD18" s="119">
        <f t="shared" si="47"/>
        <v>1.24295</v>
      </c>
      <c r="HE18" s="119">
        <f t="shared" si="47"/>
        <v>1.1232899999999999</v>
      </c>
      <c r="HF18" s="119">
        <f t="shared" si="120"/>
        <v>1.9717899999999999</v>
      </c>
      <c r="HG18" s="122">
        <f t="shared" si="48"/>
        <v>0.13783999999999999</v>
      </c>
      <c r="HH18" s="123">
        <f t="shared" si="152"/>
        <v>1230565</v>
      </c>
      <c r="HI18" s="387">
        <f t="shared" si="49"/>
        <v>41718.199999999997</v>
      </c>
      <c r="HJ18" s="139">
        <f t="shared" si="50"/>
        <v>22036.62</v>
      </c>
      <c r="HK18" s="143">
        <f t="shared" si="51"/>
        <v>3.5116749999999999</v>
      </c>
      <c r="HL18" s="123">
        <f t="shared" si="121"/>
        <v>1209070</v>
      </c>
      <c r="HM18" s="154">
        <f t="shared" si="122"/>
        <v>38</v>
      </c>
      <c r="HN18" s="141">
        <f t="shared" si="123"/>
        <v>3.0031599999999998</v>
      </c>
      <c r="HP18" s="152">
        <f t="shared" si="124"/>
        <v>24.84</v>
      </c>
      <c r="HS18" s="163">
        <f t="shared" si="125"/>
        <v>0</v>
      </c>
      <c r="HT18" s="163">
        <f t="shared" si="126"/>
        <v>31416</v>
      </c>
      <c r="HU18" s="163">
        <f t="shared" si="127"/>
        <v>0</v>
      </c>
      <c r="HV18" s="163">
        <f t="shared" si="128"/>
        <v>0</v>
      </c>
      <c r="HW18" s="163">
        <f t="shared" si="129"/>
        <v>0</v>
      </c>
      <c r="HX18" s="162">
        <f t="shared" si="130"/>
        <v>31416</v>
      </c>
      <c r="HY18" s="163">
        <f t="shared" si="131"/>
        <v>0</v>
      </c>
      <c r="HZ18" s="163">
        <f t="shared" si="132"/>
        <v>2588364.2400000002</v>
      </c>
      <c r="IA18" s="163">
        <f t="shared" si="133"/>
        <v>0</v>
      </c>
      <c r="IB18" s="163">
        <f t="shared" si="134"/>
        <v>0</v>
      </c>
      <c r="IC18" s="163">
        <f t="shared" si="135"/>
        <v>0</v>
      </c>
      <c r="ID18" s="162">
        <f t="shared" si="136"/>
        <v>2588364.2400000002</v>
      </c>
    </row>
    <row r="19" spans="1:238" s="113" customFormat="1" ht="24" x14ac:dyDescent="0.25">
      <c r="A19" s="120" t="s">
        <v>54</v>
      </c>
      <c r="B19" s="135">
        <f t="shared" si="52"/>
        <v>145.82</v>
      </c>
      <c r="C19" s="135">
        <f t="shared" si="53"/>
        <v>103.82</v>
      </c>
      <c r="D19" s="135">
        <f t="shared" si="54"/>
        <v>59.29</v>
      </c>
      <c r="E19" s="135">
        <f t="shared" si="137"/>
        <v>44.53</v>
      </c>
      <c r="F19" s="135">
        <f t="shared" si="55"/>
        <v>4.84</v>
      </c>
      <c r="G19" s="124">
        <v>76.900000000000006</v>
      </c>
      <c r="H19" s="132">
        <v>800</v>
      </c>
      <c r="I19" s="133">
        <f t="shared" si="56"/>
        <v>61520</v>
      </c>
      <c r="J19" s="378">
        <f>'1.4. часы и места для МЗ и СЗ'!Z22</f>
        <v>272292</v>
      </c>
      <c r="K19" s="378">
        <f>'1.4. часы и места для МЗ и СЗ'!AA22</f>
        <v>2274</v>
      </c>
      <c r="L19" s="378">
        <f>'1.4. часы и места для МЗ и СЗ'!AB22</f>
        <v>167</v>
      </c>
      <c r="M19" s="378">
        <f>'1.4. часы и места для МЗ и СЗ'!AC22</f>
        <v>36</v>
      </c>
      <c r="N19" s="379">
        <f>'1.4. часы и места для МЗ и СЗ'!AD22</f>
        <v>37.67</v>
      </c>
      <c r="O19" s="133">
        <f t="shared" si="57"/>
        <v>340</v>
      </c>
      <c r="P19" s="125">
        <v>12</v>
      </c>
      <c r="Q19" s="160">
        <v>13855</v>
      </c>
      <c r="R19" s="272">
        <v>1.01</v>
      </c>
      <c r="S19" s="269">
        <f t="shared" si="58"/>
        <v>13994</v>
      </c>
      <c r="T19" s="127">
        <v>1.302</v>
      </c>
      <c r="U19" s="128">
        <f t="shared" si="0"/>
        <v>1.47617</v>
      </c>
      <c r="V19" s="129">
        <v>0</v>
      </c>
      <c r="W19" s="128">
        <f t="shared" si="1"/>
        <v>0.29274</v>
      </c>
      <c r="X19" s="128">
        <f t="shared" si="1"/>
        <v>0.45841999999999999</v>
      </c>
      <c r="Y19" s="129">
        <v>0</v>
      </c>
      <c r="Z19" s="128">
        <f t="shared" si="59"/>
        <v>0.3</v>
      </c>
      <c r="AA19" s="128">
        <f t="shared" si="2"/>
        <v>1.1776</v>
      </c>
      <c r="AB19" s="128">
        <f t="shared" si="2"/>
        <v>1.1232899999999999</v>
      </c>
      <c r="AC19" s="128">
        <f t="shared" si="60"/>
        <v>0.22617999999999999</v>
      </c>
      <c r="AD19" s="130">
        <f t="shared" si="3"/>
        <v>8.1689999999999999E-2</v>
      </c>
      <c r="AE19" s="131">
        <f t="shared" si="138"/>
        <v>29587249</v>
      </c>
      <c r="AF19" s="162">
        <v>41718.199999999997</v>
      </c>
      <c r="AG19" s="138">
        <f t="shared" si="4"/>
        <v>21060.68</v>
      </c>
      <c r="AH19" s="142">
        <f t="shared" si="5"/>
        <v>34.995662000000003</v>
      </c>
      <c r="AI19" s="131">
        <f t="shared" si="61"/>
        <v>11515395</v>
      </c>
      <c r="AJ19" s="153">
        <f t="shared" si="62"/>
        <v>42</v>
      </c>
      <c r="AK19" s="140">
        <f t="shared" si="63"/>
        <v>1.70838</v>
      </c>
      <c r="AM19" s="135">
        <f t="shared" si="64"/>
        <v>88.99</v>
      </c>
      <c r="AN19" s="135">
        <f t="shared" si="65"/>
        <v>44.99</v>
      </c>
      <c r="AO19" s="135">
        <f t="shared" si="66"/>
        <v>21.5</v>
      </c>
      <c r="AP19" s="135">
        <f t="shared" si="139"/>
        <v>23.49</v>
      </c>
      <c r="AQ19" s="135">
        <f t="shared" si="67"/>
        <v>2.2200000000000002</v>
      </c>
      <c r="AR19" s="124">
        <v>76.900000000000006</v>
      </c>
      <c r="AS19" s="132">
        <v>800</v>
      </c>
      <c r="AT19" s="133">
        <f t="shared" si="68"/>
        <v>61520</v>
      </c>
      <c r="AU19" s="378">
        <f>'1.4. часы и места для МЗ и СЗ'!Z61</f>
        <v>128520</v>
      </c>
      <c r="AV19" s="378">
        <f>'1.4. часы и места для МЗ и СЗ'!AA61</f>
        <v>953</v>
      </c>
      <c r="AW19" s="378">
        <f>'1.4. часы и места для МЗ и СЗ'!AB61</f>
        <v>33</v>
      </c>
      <c r="AX19" s="378">
        <f>'1.4. часы и места для МЗ и СЗ'!AC61</f>
        <v>36</v>
      </c>
      <c r="AY19" s="379">
        <f>'1.4. часы и места для МЗ и СЗ'!AD61</f>
        <v>6.64</v>
      </c>
      <c r="AZ19" s="133">
        <f t="shared" si="69"/>
        <v>161</v>
      </c>
      <c r="BA19" s="125">
        <v>12</v>
      </c>
      <c r="BB19" s="382">
        <f t="shared" si="6"/>
        <v>13855</v>
      </c>
      <c r="BC19" s="383">
        <f t="shared" si="7"/>
        <v>1.01</v>
      </c>
      <c r="BD19" s="269">
        <f t="shared" si="70"/>
        <v>13994</v>
      </c>
      <c r="BE19" s="127">
        <v>1.302</v>
      </c>
      <c r="BF19" s="128">
        <f t="shared" si="8"/>
        <v>1.38046</v>
      </c>
      <c r="BG19" s="129">
        <v>0</v>
      </c>
      <c r="BH19" s="128">
        <f t="shared" si="9"/>
        <v>0.43123</v>
      </c>
      <c r="BI19" s="128">
        <f t="shared" si="9"/>
        <v>0.66134000000000004</v>
      </c>
      <c r="BJ19" s="129">
        <v>0</v>
      </c>
      <c r="BK19" s="128">
        <f t="shared" si="71"/>
        <v>0.66</v>
      </c>
      <c r="BL19" s="128">
        <f t="shared" si="10"/>
        <v>1.2245299999999999</v>
      </c>
      <c r="BM19" s="128">
        <f t="shared" si="10"/>
        <v>1.1232899999999999</v>
      </c>
      <c r="BN19" s="128">
        <f t="shared" si="72"/>
        <v>0.47764000000000001</v>
      </c>
      <c r="BO19" s="130">
        <f t="shared" si="11"/>
        <v>0.10316</v>
      </c>
      <c r="BP19" s="131">
        <f t="shared" si="140"/>
        <v>6067429</v>
      </c>
      <c r="BQ19" s="387">
        <f t="shared" si="12"/>
        <v>41718.199999999997</v>
      </c>
      <c r="BR19" s="138">
        <f t="shared" si="13"/>
        <v>22400.04</v>
      </c>
      <c r="BS19" s="142">
        <f t="shared" si="14"/>
        <v>16.219327</v>
      </c>
      <c r="BT19" s="131">
        <f t="shared" si="73"/>
        <v>5676411</v>
      </c>
      <c r="BU19" s="153">
        <f t="shared" si="74"/>
        <v>44</v>
      </c>
      <c r="BV19" s="140">
        <f t="shared" si="75"/>
        <v>3.0465100000000001</v>
      </c>
      <c r="BX19" s="135">
        <f t="shared" si="76"/>
        <v>99.24</v>
      </c>
      <c r="BY19" s="135">
        <f t="shared" si="77"/>
        <v>58.24</v>
      </c>
      <c r="BZ19" s="135">
        <f t="shared" si="78"/>
        <v>29.19</v>
      </c>
      <c r="CA19" s="135">
        <f t="shared" si="141"/>
        <v>29.05</v>
      </c>
      <c r="CB19" s="135">
        <f t="shared" si="79"/>
        <v>9.3699999999999992</v>
      </c>
      <c r="CC19" s="124">
        <v>76.900000000000006</v>
      </c>
      <c r="CD19" s="132">
        <v>800</v>
      </c>
      <c r="CE19" s="133">
        <f t="shared" si="80"/>
        <v>61520</v>
      </c>
      <c r="CF19" s="378">
        <f>'1.4. часы и места для МЗ и СЗ'!Z74</f>
        <v>61020</v>
      </c>
      <c r="CG19" s="378">
        <f>'1.4. часы и места для МЗ и СЗ'!AA74</f>
        <v>401</v>
      </c>
      <c r="CH19" s="378">
        <f>'1.4. часы и места для МЗ и СЗ'!AB74</f>
        <v>16</v>
      </c>
      <c r="CI19" s="378">
        <f>'1.4. часы и места для МЗ и СЗ'!AC74</f>
        <v>36</v>
      </c>
      <c r="CJ19" s="379">
        <f>'1.4. часы и места для МЗ и СЗ'!AD74</f>
        <v>3.76</v>
      </c>
      <c r="CK19" s="133">
        <f t="shared" si="81"/>
        <v>76</v>
      </c>
      <c r="CL19" s="125">
        <v>12</v>
      </c>
      <c r="CM19" s="382">
        <f t="shared" si="15"/>
        <v>13855</v>
      </c>
      <c r="CN19" s="383">
        <f t="shared" si="16"/>
        <v>1.01</v>
      </c>
      <c r="CO19" s="269">
        <f t="shared" si="82"/>
        <v>13994</v>
      </c>
      <c r="CP19" s="127">
        <v>1.302</v>
      </c>
      <c r="CQ19" s="128">
        <f t="shared" si="17"/>
        <v>1.34843</v>
      </c>
      <c r="CR19" s="129">
        <v>0</v>
      </c>
      <c r="CS19" s="128">
        <f t="shared" si="18"/>
        <v>0.33637</v>
      </c>
      <c r="CT19" s="128">
        <f t="shared" si="18"/>
        <v>0.65883000000000003</v>
      </c>
      <c r="CU19" s="129">
        <v>0</v>
      </c>
      <c r="CV19" s="128">
        <f t="shared" si="83"/>
        <v>1.62</v>
      </c>
      <c r="CW19" s="128">
        <f t="shared" si="19"/>
        <v>1.4220999999999999</v>
      </c>
      <c r="CX19" s="128">
        <f t="shared" si="19"/>
        <v>1.1232899999999999</v>
      </c>
      <c r="CY19" s="128">
        <f t="shared" si="84"/>
        <v>1.0118400000000001</v>
      </c>
      <c r="CZ19" s="130">
        <f t="shared" si="20"/>
        <v>0.32107000000000002</v>
      </c>
      <c r="DA19" s="131">
        <f t="shared" si="142"/>
        <v>4125562</v>
      </c>
      <c r="DB19" s="387">
        <f t="shared" si="21"/>
        <v>41718.199999999997</v>
      </c>
      <c r="DC19" s="138">
        <f t="shared" si="22"/>
        <v>22848.27</v>
      </c>
      <c r="DD19" s="142">
        <f t="shared" si="23"/>
        <v>7.0913000000000004</v>
      </c>
      <c r="DE19" s="131">
        <f t="shared" si="85"/>
        <v>2531462</v>
      </c>
      <c r="DF19" s="153">
        <f t="shared" si="86"/>
        <v>41</v>
      </c>
      <c r="DG19" s="140">
        <f t="shared" si="87"/>
        <v>2.4045899999999998</v>
      </c>
      <c r="DI19" s="135">
        <f t="shared" si="88"/>
        <v>0</v>
      </c>
      <c r="DJ19" s="135">
        <f t="shared" si="89"/>
        <v>0</v>
      </c>
      <c r="DK19" s="135">
        <f t="shared" si="90"/>
        <v>0</v>
      </c>
      <c r="DL19" s="135">
        <f t="shared" si="143"/>
        <v>0</v>
      </c>
      <c r="DM19" s="135">
        <f t="shared" si="91"/>
        <v>0</v>
      </c>
      <c r="DN19" s="124">
        <v>76.900000000000006</v>
      </c>
      <c r="DO19" s="132">
        <v>800</v>
      </c>
      <c r="DP19" s="133">
        <f t="shared" si="92"/>
        <v>61520</v>
      </c>
      <c r="DQ19" s="378">
        <f>'1.4. часы и места для МЗ и СЗ'!Z35</f>
        <v>0</v>
      </c>
      <c r="DR19" s="378">
        <f>'1.4. часы и места для МЗ и СЗ'!AA35</f>
        <v>0</v>
      </c>
      <c r="DS19" s="378">
        <f>'1.4. часы и места для МЗ и СЗ'!AB35</f>
        <v>0</v>
      </c>
      <c r="DT19" s="378">
        <f>'1.4. часы и места для МЗ и СЗ'!AC35</f>
        <v>0</v>
      </c>
      <c r="DU19" s="379">
        <f>'1.4. часы и места для МЗ и СЗ'!AD35</f>
        <v>0</v>
      </c>
      <c r="DV19" s="133">
        <f t="shared" si="93"/>
        <v>0</v>
      </c>
      <c r="DW19" s="125">
        <v>12</v>
      </c>
      <c r="DX19" s="382">
        <f t="shared" si="24"/>
        <v>13855</v>
      </c>
      <c r="DY19" s="383">
        <f t="shared" si="25"/>
        <v>1.01</v>
      </c>
      <c r="DZ19" s="269">
        <f t="shared" si="94"/>
        <v>13994</v>
      </c>
      <c r="EA19" s="127">
        <v>1.302</v>
      </c>
      <c r="EB19" s="128">
        <f t="shared" si="26"/>
        <v>1.35737</v>
      </c>
      <c r="EC19" s="129">
        <v>0</v>
      </c>
      <c r="ED19" s="128">
        <f t="shared" si="27"/>
        <v>0.22051999999999999</v>
      </c>
      <c r="EE19" s="128">
        <f t="shared" si="27"/>
        <v>0.73350000000000004</v>
      </c>
      <c r="EF19" s="129">
        <v>0</v>
      </c>
      <c r="EG19" s="128">
        <f t="shared" si="95"/>
        <v>0</v>
      </c>
      <c r="EH19" s="128">
        <f t="shared" si="28"/>
        <v>1.2033499999999999</v>
      </c>
      <c r="EI19" s="128">
        <f t="shared" si="28"/>
        <v>1.1232899999999999</v>
      </c>
      <c r="EJ19" s="128">
        <f t="shared" si="96"/>
        <v>0</v>
      </c>
      <c r="EK19" s="130">
        <f t="shared" si="29"/>
        <v>0.17288999999999999</v>
      </c>
      <c r="EL19" s="131">
        <f t="shared" si="144"/>
        <v>0</v>
      </c>
      <c r="EM19" s="387">
        <f t="shared" si="30"/>
        <v>41718.199999999997</v>
      </c>
      <c r="EN19" s="138">
        <f t="shared" si="31"/>
        <v>22723.16</v>
      </c>
      <c r="EO19" s="142">
        <f t="shared" si="32"/>
        <v>0</v>
      </c>
      <c r="EP19" s="131">
        <f t="shared" si="97"/>
        <v>0</v>
      </c>
      <c r="EQ19" s="153">
        <f t="shared" si="98"/>
        <v>0</v>
      </c>
      <c r="ER19" s="140">
        <f t="shared" si="99"/>
        <v>0</v>
      </c>
      <c r="ET19" s="135">
        <f t="shared" si="100"/>
        <v>0</v>
      </c>
      <c r="EU19" s="135">
        <f t="shared" si="101"/>
        <v>0</v>
      </c>
      <c r="EV19" s="135">
        <f t="shared" si="102"/>
        <v>0</v>
      </c>
      <c r="EW19" s="135">
        <f t="shared" si="145"/>
        <v>0</v>
      </c>
      <c r="EX19" s="135">
        <f t="shared" si="103"/>
        <v>0</v>
      </c>
      <c r="EY19" s="124">
        <v>76.900000000000006</v>
      </c>
      <c r="EZ19" s="132">
        <v>800</v>
      </c>
      <c r="FA19" s="133">
        <f t="shared" si="104"/>
        <v>61520</v>
      </c>
      <c r="FB19" s="378">
        <f>'1.4. часы и места для МЗ и СЗ'!Z48</f>
        <v>0</v>
      </c>
      <c r="FC19" s="378">
        <f>'1.4. часы и места для МЗ и СЗ'!AA48</f>
        <v>0</v>
      </c>
      <c r="FD19" s="378">
        <f>'1.4. часы и места для МЗ и СЗ'!AB48</f>
        <v>0</v>
      </c>
      <c r="FE19" s="378">
        <f>'1.4. часы и места для МЗ и СЗ'!AC48</f>
        <v>0</v>
      </c>
      <c r="FF19" s="379">
        <f>'1.4. часы и места для МЗ и СЗ'!AD48</f>
        <v>0</v>
      </c>
      <c r="FG19" s="133">
        <f t="shared" si="105"/>
        <v>0</v>
      </c>
      <c r="FH19" s="125">
        <v>12</v>
      </c>
      <c r="FI19" s="382">
        <f t="shared" si="33"/>
        <v>13855</v>
      </c>
      <c r="FJ19" s="383">
        <f t="shared" si="34"/>
        <v>1.01</v>
      </c>
      <c r="FK19" s="269">
        <f t="shared" si="106"/>
        <v>13994</v>
      </c>
      <c r="FL19" s="127">
        <v>1.302</v>
      </c>
      <c r="FM19" s="128">
        <f t="shared" si="35"/>
        <v>1.32193</v>
      </c>
      <c r="FN19" s="129">
        <v>0</v>
      </c>
      <c r="FO19" s="128">
        <f t="shared" si="36"/>
        <v>0.21695999999999999</v>
      </c>
      <c r="FP19" s="128">
        <f t="shared" si="36"/>
        <v>0.97809999999999997</v>
      </c>
      <c r="FQ19" s="129">
        <v>0</v>
      </c>
      <c r="FR19" s="128">
        <f t="shared" si="107"/>
        <v>0</v>
      </c>
      <c r="FS19" s="128">
        <f t="shared" si="37"/>
        <v>1.0935600000000001</v>
      </c>
      <c r="FT19" s="128">
        <f t="shared" si="37"/>
        <v>1.1232899999999999</v>
      </c>
      <c r="FU19" s="128">
        <f t="shared" si="108"/>
        <v>0</v>
      </c>
      <c r="FV19" s="130">
        <f t="shared" si="38"/>
        <v>0</v>
      </c>
      <c r="FW19" s="131">
        <f t="shared" si="146"/>
        <v>0</v>
      </c>
      <c r="FX19" s="387">
        <f t="shared" si="39"/>
        <v>41718.199999999997</v>
      </c>
      <c r="FY19" s="138">
        <f t="shared" si="40"/>
        <v>23219.11</v>
      </c>
      <c r="FZ19" s="142">
        <f t="shared" si="41"/>
        <v>0</v>
      </c>
      <c r="GA19" s="131">
        <f t="shared" si="109"/>
        <v>0</v>
      </c>
      <c r="GB19" s="153">
        <f t="shared" si="110"/>
        <v>0</v>
      </c>
      <c r="GC19" s="140">
        <f t="shared" si="111"/>
        <v>0</v>
      </c>
      <c r="GE19" s="135">
        <f t="shared" si="112"/>
        <v>126</v>
      </c>
      <c r="GF19" s="135">
        <f t="shared" si="113"/>
        <v>88</v>
      </c>
      <c r="GG19" s="135">
        <f t="shared" si="114"/>
        <v>45.65</v>
      </c>
      <c r="GH19" s="135">
        <f t="shared" si="147"/>
        <v>42.35</v>
      </c>
      <c r="GI19" s="135">
        <f t="shared" si="115"/>
        <v>6.29</v>
      </c>
      <c r="GJ19" s="124">
        <v>76.900000000000006</v>
      </c>
      <c r="GK19" s="132">
        <v>800</v>
      </c>
      <c r="GL19" s="133">
        <f t="shared" si="116"/>
        <v>61520</v>
      </c>
      <c r="GM19" s="227">
        <f t="shared" si="148"/>
        <v>461832</v>
      </c>
      <c r="GN19" s="227">
        <f t="shared" si="149"/>
        <v>3628</v>
      </c>
      <c r="GO19" s="227">
        <f t="shared" si="150"/>
        <v>216</v>
      </c>
      <c r="GP19" s="158" t="s">
        <v>471</v>
      </c>
      <c r="GQ19" s="229">
        <f t="shared" si="151"/>
        <v>48.07</v>
      </c>
      <c r="GR19" s="133">
        <f t="shared" si="117"/>
        <v>577</v>
      </c>
      <c r="GS19" s="125">
        <v>12</v>
      </c>
      <c r="GT19" s="382">
        <f t="shared" si="43"/>
        <v>13855</v>
      </c>
      <c r="GU19" s="383">
        <f t="shared" si="44"/>
        <v>1.01</v>
      </c>
      <c r="GV19" s="269">
        <f t="shared" si="118"/>
        <v>13994</v>
      </c>
      <c r="GW19" s="127">
        <v>1.302</v>
      </c>
      <c r="GX19" s="128">
        <f t="shared" si="45"/>
        <v>1.4064300000000001</v>
      </c>
      <c r="GY19" s="129">
        <v>0</v>
      </c>
      <c r="GZ19" s="128">
        <f t="shared" si="46"/>
        <v>0.32916000000000001</v>
      </c>
      <c r="HA19" s="128">
        <f t="shared" si="46"/>
        <v>0.59841999999999995</v>
      </c>
      <c r="HB19" s="129">
        <v>0</v>
      </c>
      <c r="HC19" s="128">
        <f t="shared" si="119"/>
        <v>0.19</v>
      </c>
      <c r="HD19" s="128">
        <f t="shared" si="47"/>
        <v>1.24295</v>
      </c>
      <c r="HE19" s="128">
        <f t="shared" si="47"/>
        <v>1.1232899999999999</v>
      </c>
      <c r="HF19" s="128">
        <f t="shared" si="120"/>
        <v>0.13328000000000001</v>
      </c>
      <c r="HG19" s="130">
        <f t="shared" si="48"/>
        <v>0.13783999999999999</v>
      </c>
      <c r="HH19" s="131">
        <f t="shared" si="152"/>
        <v>43546139</v>
      </c>
      <c r="HI19" s="387">
        <f t="shared" si="49"/>
        <v>41718.199999999997</v>
      </c>
      <c r="HJ19" s="138">
        <f t="shared" si="50"/>
        <v>22036.62</v>
      </c>
      <c r="HK19" s="142">
        <f t="shared" si="51"/>
        <v>51.623500999999997</v>
      </c>
      <c r="HL19" s="131">
        <f t="shared" si="121"/>
        <v>17773979</v>
      </c>
      <c r="HM19" s="153">
        <f t="shared" si="122"/>
        <v>38</v>
      </c>
      <c r="HN19" s="140">
        <f t="shared" si="123"/>
        <v>1.8324199999999999</v>
      </c>
      <c r="HP19" s="151">
        <f t="shared" si="124"/>
        <v>865.26</v>
      </c>
      <c r="HS19" s="163">
        <f t="shared" si="125"/>
        <v>272292</v>
      </c>
      <c r="HT19" s="163">
        <f t="shared" si="126"/>
        <v>128520</v>
      </c>
      <c r="HU19" s="163">
        <f t="shared" si="127"/>
        <v>61020</v>
      </c>
      <c r="HV19" s="163">
        <f t="shared" si="128"/>
        <v>0</v>
      </c>
      <c r="HW19" s="163">
        <f t="shared" si="129"/>
        <v>0</v>
      </c>
      <c r="HX19" s="162">
        <f t="shared" si="130"/>
        <v>461832</v>
      </c>
      <c r="HY19" s="163">
        <f t="shared" si="131"/>
        <v>39705619.439999998</v>
      </c>
      <c r="HZ19" s="163">
        <f t="shared" si="132"/>
        <v>11436994.800000001</v>
      </c>
      <c r="IA19" s="163">
        <f t="shared" si="133"/>
        <v>6055624.7999999998</v>
      </c>
      <c r="IB19" s="163">
        <f t="shared" si="134"/>
        <v>0</v>
      </c>
      <c r="IC19" s="163">
        <f t="shared" si="135"/>
        <v>0</v>
      </c>
      <c r="ID19" s="162">
        <f t="shared" si="136"/>
        <v>57198239.039999999</v>
      </c>
    </row>
    <row r="20" spans="1:238" s="113" customFormat="1" ht="24" x14ac:dyDescent="0.25">
      <c r="A20" s="120" t="s">
        <v>55</v>
      </c>
      <c r="B20" s="135">
        <f t="shared" si="52"/>
        <v>129.31</v>
      </c>
      <c r="C20" s="135">
        <f t="shared" si="53"/>
        <v>87.31</v>
      </c>
      <c r="D20" s="135">
        <f t="shared" si="54"/>
        <v>49.86</v>
      </c>
      <c r="E20" s="135">
        <f t="shared" si="137"/>
        <v>37.450000000000003</v>
      </c>
      <c r="F20" s="135">
        <f t="shared" si="55"/>
        <v>4.07</v>
      </c>
      <c r="G20" s="124">
        <v>76.900000000000006</v>
      </c>
      <c r="H20" s="132">
        <v>800</v>
      </c>
      <c r="I20" s="133">
        <f t="shared" si="56"/>
        <v>61520</v>
      </c>
      <c r="J20" s="378">
        <f>'1.4. часы и места для МЗ и СЗ'!Z23</f>
        <v>18504</v>
      </c>
      <c r="K20" s="378">
        <f>'1.4. часы и места для МЗ и СЗ'!AA23</f>
        <v>149</v>
      </c>
      <c r="L20" s="378">
        <f>'1.4. часы и места для МЗ и СЗ'!AB23</f>
        <v>9</v>
      </c>
      <c r="M20" s="378">
        <f>'1.4. часы и места для МЗ и СЗ'!AC23</f>
        <v>36</v>
      </c>
      <c r="N20" s="379">
        <f>'1.4. часы и места для МЗ и СЗ'!AD23</f>
        <v>2.15</v>
      </c>
      <c r="O20" s="133">
        <f t="shared" si="57"/>
        <v>23</v>
      </c>
      <c r="P20" s="125">
        <v>12</v>
      </c>
      <c r="Q20" s="160">
        <v>13855</v>
      </c>
      <c r="R20" s="272">
        <v>1.01</v>
      </c>
      <c r="S20" s="269">
        <f t="shared" si="58"/>
        <v>13994</v>
      </c>
      <c r="T20" s="127">
        <v>1.302</v>
      </c>
      <c r="U20" s="128">
        <f t="shared" si="0"/>
        <v>1.47617</v>
      </c>
      <c r="V20" s="129">
        <v>0</v>
      </c>
      <c r="W20" s="128">
        <f t="shared" si="1"/>
        <v>0.29274</v>
      </c>
      <c r="X20" s="128">
        <f t="shared" si="1"/>
        <v>0.45841999999999999</v>
      </c>
      <c r="Y20" s="129">
        <v>0</v>
      </c>
      <c r="Z20" s="128">
        <f t="shared" si="59"/>
        <v>4.42</v>
      </c>
      <c r="AA20" s="128">
        <f t="shared" si="2"/>
        <v>1.1776</v>
      </c>
      <c r="AB20" s="128">
        <f t="shared" si="2"/>
        <v>1.1232899999999999</v>
      </c>
      <c r="AC20" s="128">
        <f t="shared" si="60"/>
        <v>3.34348</v>
      </c>
      <c r="AD20" s="130">
        <f t="shared" si="3"/>
        <v>8.1689999999999999E-2</v>
      </c>
      <c r="AE20" s="131">
        <f t="shared" si="138"/>
        <v>1690896</v>
      </c>
      <c r="AF20" s="162">
        <v>41718.199999999997</v>
      </c>
      <c r="AG20" s="138">
        <f t="shared" si="4"/>
        <v>21060.68</v>
      </c>
      <c r="AH20" s="142">
        <f t="shared" si="5"/>
        <v>2.3781810000000001</v>
      </c>
      <c r="AI20" s="131">
        <f t="shared" si="61"/>
        <v>782545</v>
      </c>
      <c r="AJ20" s="153">
        <f t="shared" si="62"/>
        <v>42</v>
      </c>
      <c r="AK20" s="140">
        <f t="shared" si="63"/>
        <v>1.84236</v>
      </c>
      <c r="AM20" s="135">
        <f t="shared" si="64"/>
        <v>58.93</v>
      </c>
      <c r="AN20" s="135">
        <f t="shared" si="65"/>
        <v>14.93</v>
      </c>
      <c r="AO20" s="135">
        <f t="shared" si="66"/>
        <v>7.13</v>
      </c>
      <c r="AP20" s="135">
        <f t="shared" si="139"/>
        <v>7.8</v>
      </c>
      <c r="AQ20" s="135">
        <f t="shared" si="67"/>
        <v>0.74</v>
      </c>
      <c r="AR20" s="124">
        <v>76.900000000000006</v>
      </c>
      <c r="AS20" s="132">
        <v>800</v>
      </c>
      <c r="AT20" s="133">
        <f t="shared" si="68"/>
        <v>61520</v>
      </c>
      <c r="AU20" s="378">
        <f>'1.4. часы и места для МЗ и СЗ'!Z62</f>
        <v>12816</v>
      </c>
      <c r="AV20" s="378">
        <f>'1.4. часы и места для МЗ и СЗ'!AA62</f>
        <v>89</v>
      </c>
      <c r="AW20" s="378">
        <f>'1.4. часы и места для МЗ и СЗ'!AB62</f>
        <v>1</v>
      </c>
      <c r="AX20" s="378">
        <f>'1.4. часы и места для МЗ и СЗ'!AC62</f>
        <v>36</v>
      </c>
      <c r="AY20" s="379">
        <f>'1.4. часы и места для МЗ и СЗ'!AD62</f>
        <v>0.22</v>
      </c>
      <c r="AZ20" s="133">
        <f t="shared" si="69"/>
        <v>16</v>
      </c>
      <c r="BA20" s="125">
        <v>12</v>
      </c>
      <c r="BB20" s="382">
        <f t="shared" si="6"/>
        <v>13855</v>
      </c>
      <c r="BC20" s="383">
        <f t="shared" si="7"/>
        <v>1.01</v>
      </c>
      <c r="BD20" s="269">
        <f t="shared" si="70"/>
        <v>13994</v>
      </c>
      <c r="BE20" s="127">
        <v>1.302</v>
      </c>
      <c r="BF20" s="128">
        <f t="shared" si="8"/>
        <v>1.38046</v>
      </c>
      <c r="BG20" s="129">
        <v>0</v>
      </c>
      <c r="BH20" s="128">
        <f t="shared" si="9"/>
        <v>0.43123</v>
      </c>
      <c r="BI20" s="128">
        <f t="shared" si="9"/>
        <v>0.66134000000000004</v>
      </c>
      <c r="BJ20" s="129">
        <v>0</v>
      </c>
      <c r="BK20" s="128">
        <f t="shared" si="71"/>
        <v>6.61</v>
      </c>
      <c r="BL20" s="128">
        <f t="shared" si="10"/>
        <v>1.2245299999999999</v>
      </c>
      <c r="BM20" s="128">
        <f t="shared" si="10"/>
        <v>1.1232899999999999</v>
      </c>
      <c r="BN20" s="128">
        <f t="shared" si="72"/>
        <v>4.8062500000000004</v>
      </c>
      <c r="BO20" s="130">
        <f t="shared" si="11"/>
        <v>0.10316</v>
      </c>
      <c r="BP20" s="131">
        <f t="shared" si="140"/>
        <v>200827</v>
      </c>
      <c r="BQ20" s="387">
        <f t="shared" si="12"/>
        <v>41718.199999999997</v>
      </c>
      <c r="BR20" s="138">
        <f t="shared" si="13"/>
        <v>22400.04</v>
      </c>
      <c r="BS20" s="142">
        <f t="shared" si="14"/>
        <v>1.617389</v>
      </c>
      <c r="BT20" s="131">
        <f t="shared" si="73"/>
        <v>566051</v>
      </c>
      <c r="BU20" s="153">
        <f t="shared" si="74"/>
        <v>44</v>
      </c>
      <c r="BV20" s="140">
        <f t="shared" si="75"/>
        <v>7.1711099999999997</v>
      </c>
      <c r="BX20" s="135">
        <f t="shared" si="76"/>
        <v>0</v>
      </c>
      <c r="BY20" s="135">
        <f t="shared" si="77"/>
        <v>0</v>
      </c>
      <c r="BZ20" s="135">
        <f t="shared" si="78"/>
        <v>0</v>
      </c>
      <c r="CA20" s="135">
        <f t="shared" si="141"/>
        <v>0</v>
      </c>
      <c r="CB20" s="135">
        <f t="shared" si="79"/>
        <v>0</v>
      </c>
      <c r="CC20" s="124">
        <v>76.900000000000006</v>
      </c>
      <c r="CD20" s="132">
        <v>800</v>
      </c>
      <c r="CE20" s="133">
        <f t="shared" si="80"/>
        <v>61520</v>
      </c>
      <c r="CF20" s="378">
        <f>'1.4. часы и места для МЗ и СЗ'!Z75</f>
        <v>0</v>
      </c>
      <c r="CG20" s="378">
        <f>'1.4. часы и места для МЗ и СЗ'!AA75</f>
        <v>0</v>
      </c>
      <c r="CH20" s="378">
        <f>'1.4. часы и места для МЗ и СЗ'!AB75</f>
        <v>0</v>
      </c>
      <c r="CI20" s="378">
        <f>'1.4. часы и места для МЗ и СЗ'!AC75</f>
        <v>0</v>
      </c>
      <c r="CJ20" s="379">
        <f>'1.4. часы и места для МЗ и СЗ'!AD75</f>
        <v>0</v>
      </c>
      <c r="CK20" s="133">
        <f t="shared" si="81"/>
        <v>0</v>
      </c>
      <c r="CL20" s="125">
        <v>12</v>
      </c>
      <c r="CM20" s="382">
        <f t="shared" si="15"/>
        <v>13855</v>
      </c>
      <c r="CN20" s="383">
        <f t="shared" si="16"/>
        <v>1.01</v>
      </c>
      <c r="CO20" s="269">
        <f t="shared" si="82"/>
        <v>13994</v>
      </c>
      <c r="CP20" s="127">
        <v>1.302</v>
      </c>
      <c r="CQ20" s="128">
        <f t="shared" si="17"/>
        <v>1.34843</v>
      </c>
      <c r="CR20" s="129">
        <v>0</v>
      </c>
      <c r="CS20" s="128">
        <f t="shared" si="18"/>
        <v>0.33637</v>
      </c>
      <c r="CT20" s="128">
        <f t="shared" si="18"/>
        <v>0.65883000000000003</v>
      </c>
      <c r="CU20" s="129">
        <v>0</v>
      </c>
      <c r="CV20" s="128">
        <f t="shared" si="83"/>
        <v>0</v>
      </c>
      <c r="CW20" s="128">
        <f t="shared" si="19"/>
        <v>1.4220999999999999</v>
      </c>
      <c r="CX20" s="128">
        <f t="shared" si="19"/>
        <v>1.1232899999999999</v>
      </c>
      <c r="CY20" s="128">
        <f t="shared" si="84"/>
        <v>0</v>
      </c>
      <c r="CZ20" s="130">
        <f t="shared" si="20"/>
        <v>0.32107000000000002</v>
      </c>
      <c r="DA20" s="131">
        <f t="shared" si="142"/>
        <v>0</v>
      </c>
      <c r="DB20" s="387">
        <f t="shared" si="21"/>
        <v>41718.199999999997</v>
      </c>
      <c r="DC20" s="138">
        <f t="shared" si="22"/>
        <v>22848.27</v>
      </c>
      <c r="DD20" s="142">
        <f t="shared" si="23"/>
        <v>0</v>
      </c>
      <c r="DE20" s="131">
        <f t="shared" si="85"/>
        <v>0</v>
      </c>
      <c r="DF20" s="153">
        <f t="shared" si="86"/>
        <v>0</v>
      </c>
      <c r="DG20" s="140">
        <f t="shared" si="87"/>
        <v>0</v>
      </c>
      <c r="DI20" s="135">
        <f t="shared" si="88"/>
        <v>0</v>
      </c>
      <c r="DJ20" s="135">
        <f t="shared" si="89"/>
        <v>0</v>
      </c>
      <c r="DK20" s="135">
        <f t="shared" si="90"/>
        <v>0</v>
      </c>
      <c r="DL20" s="135">
        <f t="shared" si="143"/>
        <v>0</v>
      </c>
      <c r="DM20" s="135">
        <f t="shared" si="91"/>
        <v>0</v>
      </c>
      <c r="DN20" s="124">
        <v>76.900000000000006</v>
      </c>
      <c r="DO20" s="132">
        <v>800</v>
      </c>
      <c r="DP20" s="133">
        <f t="shared" si="92"/>
        <v>61520</v>
      </c>
      <c r="DQ20" s="378">
        <f>'1.4. часы и места для МЗ и СЗ'!Z36</f>
        <v>0</v>
      </c>
      <c r="DR20" s="378">
        <f>'1.4. часы и места для МЗ и СЗ'!AA36</f>
        <v>0</v>
      </c>
      <c r="DS20" s="378">
        <f>'1.4. часы и места для МЗ и СЗ'!AB36</f>
        <v>0</v>
      </c>
      <c r="DT20" s="378">
        <f>'1.4. часы и места для МЗ и СЗ'!AC36</f>
        <v>0</v>
      </c>
      <c r="DU20" s="379">
        <f>'1.4. часы и места для МЗ и СЗ'!AD36</f>
        <v>0</v>
      </c>
      <c r="DV20" s="133">
        <f t="shared" si="93"/>
        <v>0</v>
      </c>
      <c r="DW20" s="125">
        <v>12</v>
      </c>
      <c r="DX20" s="382">
        <f t="shared" si="24"/>
        <v>13855</v>
      </c>
      <c r="DY20" s="383">
        <f t="shared" si="25"/>
        <v>1.01</v>
      </c>
      <c r="DZ20" s="269">
        <f t="shared" si="94"/>
        <v>13994</v>
      </c>
      <c r="EA20" s="127">
        <v>1.302</v>
      </c>
      <c r="EB20" s="128">
        <f t="shared" si="26"/>
        <v>1.35737</v>
      </c>
      <c r="EC20" s="129">
        <v>0</v>
      </c>
      <c r="ED20" s="128">
        <f t="shared" si="27"/>
        <v>0.22051999999999999</v>
      </c>
      <c r="EE20" s="128">
        <f t="shared" si="27"/>
        <v>0.73350000000000004</v>
      </c>
      <c r="EF20" s="129">
        <v>0</v>
      </c>
      <c r="EG20" s="128">
        <f t="shared" si="95"/>
        <v>0</v>
      </c>
      <c r="EH20" s="128">
        <f t="shared" si="28"/>
        <v>1.2033499999999999</v>
      </c>
      <c r="EI20" s="128">
        <f t="shared" si="28"/>
        <v>1.1232899999999999</v>
      </c>
      <c r="EJ20" s="128">
        <f t="shared" si="96"/>
        <v>0</v>
      </c>
      <c r="EK20" s="130">
        <f t="shared" si="29"/>
        <v>0.17288999999999999</v>
      </c>
      <c r="EL20" s="131">
        <f t="shared" si="144"/>
        <v>0</v>
      </c>
      <c r="EM20" s="387">
        <f t="shared" si="30"/>
        <v>41718.199999999997</v>
      </c>
      <c r="EN20" s="138">
        <f t="shared" si="31"/>
        <v>22723.16</v>
      </c>
      <c r="EO20" s="142">
        <f t="shared" si="32"/>
        <v>0</v>
      </c>
      <c r="EP20" s="131">
        <f t="shared" si="97"/>
        <v>0</v>
      </c>
      <c r="EQ20" s="153">
        <f t="shared" si="98"/>
        <v>0</v>
      </c>
      <c r="ER20" s="140">
        <f t="shared" si="99"/>
        <v>0</v>
      </c>
      <c r="ET20" s="135">
        <f t="shared" si="100"/>
        <v>123.76</v>
      </c>
      <c r="EU20" s="135">
        <f t="shared" si="101"/>
        <v>108.76</v>
      </c>
      <c r="EV20" s="135">
        <f t="shared" si="102"/>
        <v>49.55</v>
      </c>
      <c r="EW20" s="135">
        <f t="shared" si="145"/>
        <v>59.21</v>
      </c>
      <c r="EX20" s="135">
        <f t="shared" si="103"/>
        <v>0</v>
      </c>
      <c r="EY20" s="124">
        <v>76.900000000000006</v>
      </c>
      <c r="EZ20" s="132">
        <v>800</v>
      </c>
      <c r="FA20" s="133">
        <f t="shared" si="104"/>
        <v>61520</v>
      </c>
      <c r="FB20" s="378">
        <f>'1.4. часы и места для МЗ и СЗ'!Z49</f>
        <v>95760</v>
      </c>
      <c r="FC20" s="378">
        <f>'1.4. часы и места для МЗ и СЗ'!AA49</f>
        <v>604</v>
      </c>
      <c r="FD20" s="378">
        <f>'1.4. часы и места для МЗ и СЗ'!AB49</f>
        <v>54</v>
      </c>
      <c r="FE20" s="378">
        <f>'1.4. часы и места для МЗ и СЗ'!AC49</f>
        <v>36</v>
      </c>
      <c r="FF20" s="379">
        <f>'1.4. часы и места для МЗ и СЗ'!AD49</f>
        <v>13.35</v>
      </c>
      <c r="FG20" s="133">
        <f t="shared" si="105"/>
        <v>120</v>
      </c>
      <c r="FH20" s="125">
        <v>12</v>
      </c>
      <c r="FI20" s="382">
        <f t="shared" si="33"/>
        <v>13855</v>
      </c>
      <c r="FJ20" s="383">
        <f t="shared" si="34"/>
        <v>1.01</v>
      </c>
      <c r="FK20" s="269">
        <f t="shared" si="106"/>
        <v>13994</v>
      </c>
      <c r="FL20" s="127">
        <v>1.302</v>
      </c>
      <c r="FM20" s="128">
        <f t="shared" si="35"/>
        <v>1.32193</v>
      </c>
      <c r="FN20" s="129">
        <v>0</v>
      </c>
      <c r="FO20" s="128">
        <f t="shared" si="36"/>
        <v>0.21695999999999999</v>
      </c>
      <c r="FP20" s="128">
        <f t="shared" si="36"/>
        <v>0.97809999999999997</v>
      </c>
      <c r="FQ20" s="129">
        <v>0</v>
      </c>
      <c r="FR20" s="128">
        <f t="shared" si="107"/>
        <v>0.79</v>
      </c>
      <c r="FS20" s="128">
        <f t="shared" si="37"/>
        <v>1.0935600000000001</v>
      </c>
      <c r="FT20" s="128">
        <f t="shared" si="37"/>
        <v>1.1232899999999999</v>
      </c>
      <c r="FU20" s="128">
        <f t="shared" si="108"/>
        <v>0.64083000000000001</v>
      </c>
      <c r="FV20" s="130">
        <f t="shared" si="38"/>
        <v>0</v>
      </c>
      <c r="FW20" s="131">
        <f t="shared" si="146"/>
        <v>10414858</v>
      </c>
      <c r="FX20" s="387">
        <f t="shared" si="39"/>
        <v>41718.199999999997</v>
      </c>
      <c r="FY20" s="138">
        <f t="shared" si="40"/>
        <v>23219.11</v>
      </c>
      <c r="FZ20" s="142">
        <f t="shared" si="41"/>
        <v>4</v>
      </c>
      <c r="GA20" s="131">
        <f t="shared" si="109"/>
        <v>1451101</v>
      </c>
      <c r="GB20" s="153">
        <f t="shared" si="110"/>
        <v>15</v>
      </c>
      <c r="GC20" s="140">
        <f t="shared" si="111"/>
        <v>1.3027200000000001</v>
      </c>
      <c r="GE20" s="135">
        <f t="shared" si="112"/>
        <v>140.99</v>
      </c>
      <c r="GF20" s="135">
        <f t="shared" si="113"/>
        <v>102.99</v>
      </c>
      <c r="GG20" s="135">
        <f t="shared" si="114"/>
        <v>53.43</v>
      </c>
      <c r="GH20" s="135">
        <f t="shared" si="147"/>
        <v>49.56</v>
      </c>
      <c r="GI20" s="135">
        <f t="shared" si="115"/>
        <v>7.36</v>
      </c>
      <c r="GJ20" s="124">
        <v>76.900000000000006</v>
      </c>
      <c r="GK20" s="132">
        <v>800</v>
      </c>
      <c r="GL20" s="133">
        <f t="shared" si="116"/>
        <v>61520</v>
      </c>
      <c r="GM20" s="227">
        <f t="shared" si="148"/>
        <v>127080</v>
      </c>
      <c r="GN20" s="227">
        <f t="shared" si="149"/>
        <v>842</v>
      </c>
      <c r="GO20" s="227">
        <f t="shared" si="150"/>
        <v>64</v>
      </c>
      <c r="GP20" s="158" t="s">
        <v>471</v>
      </c>
      <c r="GQ20" s="229">
        <f t="shared" si="151"/>
        <v>15.72</v>
      </c>
      <c r="GR20" s="133">
        <f t="shared" si="117"/>
        <v>159</v>
      </c>
      <c r="GS20" s="125">
        <v>12</v>
      </c>
      <c r="GT20" s="382">
        <f t="shared" si="43"/>
        <v>13855</v>
      </c>
      <c r="GU20" s="383">
        <f t="shared" si="44"/>
        <v>1.01</v>
      </c>
      <c r="GV20" s="269">
        <f t="shared" si="118"/>
        <v>13994</v>
      </c>
      <c r="GW20" s="127">
        <v>1.302</v>
      </c>
      <c r="GX20" s="128">
        <f t="shared" si="45"/>
        <v>1.4064300000000001</v>
      </c>
      <c r="GY20" s="129">
        <v>0</v>
      </c>
      <c r="GZ20" s="128">
        <f t="shared" si="46"/>
        <v>0.32916000000000001</v>
      </c>
      <c r="HA20" s="128">
        <f t="shared" si="46"/>
        <v>0.59841999999999995</v>
      </c>
      <c r="HB20" s="129">
        <v>0</v>
      </c>
      <c r="HC20" s="128">
        <f t="shared" si="119"/>
        <v>0.68</v>
      </c>
      <c r="HD20" s="128">
        <f t="shared" si="47"/>
        <v>1.24295</v>
      </c>
      <c r="HE20" s="128">
        <f t="shared" si="47"/>
        <v>1.1232899999999999</v>
      </c>
      <c r="HF20" s="128">
        <f t="shared" si="120"/>
        <v>0.48365000000000002</v>
      </c>
      <c r="HG20" s="130">
        <f t="shared" si="48"/>
        <v>0.13783999999999999</v>
      </c>
      <c r="HH20" s="131">
        <f t="shared" si="152"/>
        <v>14023278</v>
      </c>
      <c r="HI20" s="387">
        <f t="shared" si="49"/>
        <v>41718.199999999997</v>
      </c>
      <c r="HJ20" s="138">
        <f t="shared" si="50"/>
        <v>22036.62</v>
      </c>
      <c r="HK20" s="142">
        <f t="shared" si="51"/>
        <v>14.204980000000001</v>
      </c>
      <c r="HL20" s="131">
        <f t="shared" si="121"/>
        <v>4890777</v>
      </c>
      <c r="HM20" s="153">
        <f t="shared" si="122"/>
        <v>38</v>
      </c>
      <c r="HN20" s="140">
        <f t="shared" si="123"/>
        <v>1.7112099999999999</v>
      </c>
      <c r="HP20" s="151">
        <f t="shared" si="124"/>
        <v>282.95999999999998</v>
      </c>
      <c r="HS20" s="163">
        <f t="shared" si="125"/>
        <v>18504</v>
      </c>
      <c r="HT20" s="163">
        <f t="shared" si="126"/>
        <v>12816</v>
      </c>
      <c r="HU20" s="163">
        <f t="shared" si="127"/>
        <v>0</v>
      </c>
      <c r="HV20" s="163">
        <f t="shared" si="128"/>
        <v>0</v>
      </c>
      <c r="HW20" s="163">
        <f t="shared" si="129"/>
        <v>95760</v>
      </c>
      <c r="HX20" s="162">
        <f t="shared" si="130"/>
        <v>127080</v>
      </c>
      <c r="HY20" s="163">
        <f t="shared" si="131"/>
        <v>2392752.2400000002</v>
      </c>
      <c r="HZ20" s="163">
        <f t="shared" si="132"/>
        <v>755246.88</v>
      </c>
      <c r="IA20" s="163">
        <f t="shared" si="133"/>
        <v>0</v>
      </c>
      <c r="IB20" s="163">
        <f t="shared" si="134"/>
        <v>0</v>
      </c>
      <c r="IC20" s="163">
        <f t="shared" si="135"/>
        <v>11851257.6</v>
      </c>
      <c r="ID20" s="162">
        <f t="shared" si="136"/>
        <v>14999256.720000001</v>
      </c>
    </row>
    <row r="21" spans="1:238" s="113" customFormat="1" ht="24" x14ac:dyDescent="0.25">
      <c r="A21" s="120" t="s">
        <v>56</v>
      </c>
      <c r="B21" s="135">
        <f t="shared" si="52"/>
        <v>119.54</v>
      </c>
      <c r="C21" s="135">
        <f t="shared" si="53"/>
        <v>77.540000000000006</v>
      </c>
      <c r="D21" s="135">
        <f t="shared" si="54"/>
        <v>44.28</v>
      </c>
      <c r="E21" s="135">
        <f t="shared" si="137"/>
        <v>33.26</v>
      </c>
      <c r="F21" s="135">
        <f t="shared" si="55"/>
        <v>3.62</v>
      </c>
      <c r="G21" s="124">
        <v>76.900000000000006</v>
      </c>
      <c r="H21" s="132">
        <v>800</v>
      </c>
      <c r="I21" s="133">
        <f t="shared" si="56"/>
        <v>61520</v>
      </c>
      <c r="J21" s="378">
        <f>'1.4. часы и места для МЗ и СЗ'!Z27</f>
        <v>100800</v>
      </c>
      <c r="K21" s="378">
        <f>'1.4. часы и места для МЗ и СЗ'!AA27</f>
        <v>1299</v>
      </c>
      <c r="L21" s="378">
        <f>'1.4. часы и места для МЗ и СЗ'!AB27</f>
        <v>83</v>
      </c>
      <c r="M21" s="378">
        <f>'1.4. часы и места для МЗ и СЗ'!AC27</f>
        <v>36</v>
      </c>
      <c r="N21" s="379">
        <f>'1.4. часы и места для МЗ и СЗ'!AD27</f>
        <v>10.42</v>
      </c>
      <c r="O21" s="133">
        <f t="shared" si="57"/>
        <v>126</v>
      </c>
      <c r="P21" s="125">
        <v>12</v>
      </c>
      <c r="Q21" s="160">
        <v>13855</v>
      </c>
      <c r="R21" s="272">
        <v>1.01</v>
      </c>
      <c r="S21" s="269">
        <f t="shared" si="58"/>
        <v>13994</v>
      </c>
      <c r="T21" s="127">
        <v>1.302</v>
      </c>
      <c r="U21" s="128">
        <f t="shared" si="0"/>
        <v>1.47617</v>
      </c>
      <c r="V21" s="129">
        <v>0</v>
      </c>
      <c r="W21" s="128">
        <f t="shared" si="1"/>
        <v>0.29274</v>
      </c>
      <c r="X21" s="128">
        <f t="shared" si="1"/>
        <v>0.45841999999999999</v>
      </c>
      <c r="Y21" s="129">
        <v>0</v>
      </c>
      <c r="Z21" s="128">
        <f t="shared" si="59"/>
        <v>0.81</v>
      </c>
      <c r="AA21" s="128">
        <f t="shared" si="2"/>
        <v>1.1776</v>
      </c>
      <c r="AB21" s="128">
        <f t="shared" si="2"/>
        <v>1.1232899999999999</v>
      </c>
      <c r="AC21" s="128">
        <f t="shared" si="60"/>
        <v>0.61031999999999997</v>
      </c>
      <c r="AD21" s="130">
        <f t="shared" si="3"/>
        <v>8.1689999999999999E-2</v>
      </c>
      <c r="AE21" s="131">
        <f t="shared" si="138"/>
        <v>8180928</v>
      </c>
      <c r="AF21" s="162">
        <v>41718.199999999997</v>
      </c>
      <c r="AG21" s="138">
        <f t="shared" si="4"/>
        <v>21060.68</v>
      </c>
      <c r="AH21" s="142">
        <f t="shared" si="5"/>
        <v>12.955073000000001</v>
      </c>
      <c r="AI21" s="131">
        <f t="shared" si="61"/>
        <v>4262894</v>
      </c>
      <c r="AJ21" s="153">
        <f t="shared" si="62"/>
        <v>42</v>
      </c>
      <c r="AK21" s="140">
        <f t="shared" si="63"/>
        <v>1.94851</v>
      </c>
      <c r="AM21" s="135">
        <f t="shared" si="64"/>
        <v>68.39</v>
      </c>
      <c r="AN21" s="135">
        <f t="shared" si="65"/>
        <v>24.39</v>
      </c>
      <c r="AO21" s="135">
        <f t="shared" si="66"/>
        <v>11.66</v>
      </c>
      <c r="AP21" s="135">
        <f t="shared" si="139"/>
        <v>12.73</v>
      </c>
      <c r="AQ21" s="135">
        <f t="shared" si="67"/>
        <v>1.2</v>
      </c>
      <c r="AR21" s="124">
        <v>76.900000000000006</v>
      </c>
      <c r="AS21" s="132">
        <v>800</v>
      </c>
      <c r="AT21" s="133">
        <f t="shared" si="68"/>
        <v>61520</v>
      </c>
      <c r="AU21" s="378">
        <f>'1.4. часы и места для МЗ и СЗ'!Z66</f>
        <v>117512</v>
      </c>
      <c r="AV21" s="378">
        <f>'1.4. часы и места для МЗ и СЗ'!AA66</f>
        <v>1491</v>
      </c>
      <c r="AW21" s="378">
        <f>'1.4. часы и места для МЗ и СЗ'!AB66</f>
        <v>18</v>
      </c>
      <c r="AX21" s="378">
        <f>'1.4. часы и места для МЗ и СЗ'!AC66</f>
        <v>36</v>
      </c>
      <c r="AY21" s="379">
        <f>'1.4. часы и места для МЗ и СЗ'!AD66</f>
        <v>3.3</v>
      </c>
      <c r="AZ21" s="133">
        <f t="shared" si="69"/>
        <v>147</v>
      </c>
      <c r="BA21" s="125">
        <v>12</v>
      </c>
      <c r="BB21" s="382">
        <f t="shared" si="6"/>
        <v>13855</v>
      </c>
      <c r="BC21" s="383">
        <f t="shared" si="7"/>
        <v>1.01</v>
      </c>
      <c r="BD21" s="269">
        <f t="shared" si="70"/>
        <v>13994</v>
      </c>
      <c r="BE21" s="127">
        <v>1.302</v>
      </c>
      <c r="BF21" s="128">
        <f t="shared" si="8"/>
        <v>1.38046</v>
      </c>
      <c r="BG21" s="129">
        <v>0</v>
      </c>
      <c r="BH21" s="128">
        <f t="shared" si="9"/>
        <v>0.43123</v>
      </c>
      <c r="BI21" s="128">
        <f t="shared" si="9"/>
        <v>0.66134000000000004</v>
      </c>
      <c r="BJ21" s="129">
        <v>0</v>
      </c>
      <c r="BK21" s="128">
        <f t="shared" si="71"/>
        <v>0.72</v>
      </c>
      <c r="BL21" s="128">
        <f t="shared" si="10"/>
        <v>1.2245299999999999</v>
      </c>
      <c r="BM21" s="128">
        <f t="shared" si="10"/>
        <v>1.1232899999999999</v>
      </c>
      <c r="BN21" s="128">
        <f t="shared" si="72"/>
        <v>0.52312999999999998</v>
      </c>
      <c r="BO21" s="130">
        <f t="shared" si="11"/>
        <v>0.10316</v>
      </c>
      <c r="BP21" s="131">
        <f t="shared" si="140"/>
        <v>3007132</v>
      </c>
      <c r="BQ21" s="387">
        <f t="shared" si="12"/>
        <v>41718.199999999997</v>
      </c>
      <c r="BR21" s="138">
        <f t="shared" si="13"/>
        <v>22400.04</v>
      </c>
      <c r="BS21" s="142">
        <f t="shared" si="14"/>
        <v>14.830109</v>
      </c>
      <c r="BT21" s="131">
        <f t="shared" si="73"/>
        <v>5190215</v>
      </c>
      <c r="BU21" s="153">
        <f t="shared" si="74"/>
        <v>44</v>
      </c>
      <c r="BV21" s="140">
        <f t="shared" si="75"/>
        <v>4.7735799999999999</v>
      </c>
      <c r="BX21" s="135">
        <f t="shared" si="76"/>
        <v>94.51</v>
      </c>
      <c r="BY21" s="135">
        <f t="shared" si="77"/>
        <v>53.51</v>
      </c>
      <c r="BZ21" s="135">
        <f t="shared" si="78"/>
        <v>26.82</v>
      </c>
      <c r="CA21" s="135">
        <f t="shared" si="141"/>
        <v>26.69</v>
      </c>
      <c r="CB21" s="135">
        <f t="shared" si="79"/>
        <v>8.61</v>
      </c>
      <c r="CC21" s="124">
        <v>76.900000000000006</v>
      </c>
      <c r="CD21" s="132">
        <v>800</v>
      </c>
      <c r="CE21" s="133">
        <f t="shared" si="80"/>
        <v>61520</v>
      </c>
      <c r="CF21" s="378">
        <f>'1.4. часы и места для МЗ и СЗ'!Z79</f>
        <v>22896</v>
      </c>
      <c r="CG21" s="378">
        <f>'1.4. часы и места для МЗ и СЗ'!AA79</f>
        <v>234</v>
      </c>
      <c r="CH21" s="378">
        <f>'1.4. часы и места для МЗ и СЗ'!AB79</f>
        <v>8</v>
      </c>
      <c r="CI21" s="378">
        <f>'1.4. часы и места для МЗ и СЗ'!AC79</f>
        <v>36</v>
      </c>
      <c r="CJ21" s="379">
        <f>'1.4. часы и места для МЗ и СЗ'!AD79</f>
        <v>1.32</v>
      </c>
      <c r="CK21" s="133">
        <f t="shared" si="81"/>
        <v>29</v>
      </c>
      <c r="CL21" s="125">
        <v>12</v>
      </c>
      <c r="CM21" s="382">
        <f t="shared" si="15"/>
        <v>13855</v>
      </c>
      <c r="CN21" s="383">
        <f t="shared" si="16"/>
        <v>1.01</v>
      </c>
      <c r="CO21" s="269">
        <f t="shared" si="82"/>
        <v>13994</v>
      </c>
      <c r="CP21" s="127">
        <v>1.302</v>
      </c>
      <c r="CQ21" s="128">
        <f t="shared" si="17"/>
        <v>1.34843</v>
      </c>
      <c r="CR21" s="129">
        <v>0</v>
      </c>
      <c r="CS21" s="128">
        <f t="shared" si="18"/>
        <v>0.33637</v>
      </c>
      <c r="CT21" s="128">
        <f t="shared" si="18"/>
        <v>0.65883000000000003</v>
      </c>
      <c r="CU21" s="129">
        <v>0</v>
      </c>
      <c r="CV21" s="128">
        <f t="shared" si="83"/>
        <v>4.24</v>
      </c>
      <c r="CW21" s="128">
        <f t="shared" si="19"/>
        <v>1.4220999999999999</v>
      </c>
      <c r="CX21" s="128">
        <f t="shared" si="19"/>
        <v>1.1232899999999999</v>
      </c>
      <c r="CY21" s="128">
        <f t="shared" si="84"/>
        <v>2.6517200000000001</v>
      </c>
      <c r="CZ21" s="130">
        <f t="shared" si="20"/>
        <v>0.32107000000000002</v>
      </c>
      <c r="DA21" s="131">
        <f t="shared" si="142"/>
        <v>1422300</v>
      </c>
      <c r="DB21" s="387">
        <f t="shared" si="21"/>
        <v>41718.199999999997</v>
      </c>
      <c r="DC21" s="138">
        <f t="shared" si="22"/>
        <v>22848.27</v>
      </c>
      <c r="DD21" s="142">
        <f t="shared" si="23"/>
        <v>2.6608070000000001</v>
      </c>
      <c r="DE21" s="131">
        <f t="shared" si="85"/>
        <v>949859</v>
      </c>
      <c r="DF21" s="153">
        <f t="shared" si="86"/>
        <v>41</v>
      </c>
      <c r="DG21" s="140">
        <f t="shared" si="87"/>
        <v>2.5287099999999998</v>
      </c>
      <c r="DI21" s="135">
        <f t="shared" si="88"/>
        <v>0</v>
      </c>
      <c r="DJ21" s="135">
        <f t="shared" si="89"/>
        <v>0</v>
      </c>
      <c r="DK21" s="135">
        <f t="shared" si="90"/>
        <v>0</v>
      </c>
      <c r="DL21" s="135">
        <f t="shared" si="143"/>
        <v>0</v>
      </c>
      <c r="DM21" s="135">
        <f t="shared" si="91"/>
        <v>0</v>
      </c>
      <c r="DN21" s="124">
        <v>76.900000000000006</v>
      </c>
      <c r="DO21" s="132">
        <v>800</v>
      </c>
      <c r="DP21" s="133">
        <f t="shared" si="92"/>
        <v>61520</v>
      </c>
      <c r="DQ21" s="378">
        <f>'1.4. часы и места для МЗ и СЗ'!Z40</f>
        <v>0</v>
      </c>
      <c r="DR21" s="378">
        <f>'1.4. часы и места для МЗ и СЗ'!AA40</f>
        <v>0</v>
      </c>
      <c r="DS21" s="378">
        <f>'1.4. часы и места для МЗ и СЗ'!AB40</f>
        <v>0</v>
      </c>
      <c r="DT21" s="378">
        <f>'1.4. часы и места для МЗ и СЗ'!AC40</f>
        <v>0</v>
      </c>
      <c r="DU21" s="379">
        <f>'1.4. часы и места для МЗ и СЗ'!AD40</f>
        <v>0</v>
      </c>
      <c r="DV21" s="133">
        <f t="shared" si="93"/>
        <v>0</v>
      </c>
      <c r="DW21" s="125">
        <v>12</v>
      </c>
      <c r="DX21" s="382">
        <f t="shared" si="24"/>
        <v>13855</v>
      </c>
      <c r="DY21" s="383">
        <f t="shared" si="25"/>
        <v>1.01</v>
      </c>
      <c r="DZ21" s="269">
        <f t="shared" si="94"/>
        <v>13994</v>
      </c>
      <c r="EA21" s="127">
        <v>1.302</v>
      </c>
      <c r="EB21" s="128">
        <f t="shared" si="26"/>
        <v>1.35737</v>
      </c>
      <c r="EC21" s="129">
        <v>0</v>
      </c>
      <c r="ED21" s="128">
        <f t="shared" si="27"/>
        <v>0.22051999999999999</v>
      </c>
      <c r="EE21" s="128">
        <f t="shared" si="27"/>
        <v>0.73350000000000004</v>
      </c>
      <c r="EF21" s="129">
        <v>0</v>
      </c>
      <c r="EG21" s="128">
        <f t="shared" si="95"/>
        <v>0</v>
      </c>
      <c r="EH21" s="128">
        <f t="shared" si="28"/>
        <v>1.2033499999999999</v>
      </c>
      <c r="EI21" s="128">
        <f t="shared" si="28"/>
        <v>1.1232899999999999</v>
      </c>
      <c r="EJ21" s="128">
        <f t="shared" si="96"/>
        <v>0</v>
      </c>
      <c r="EK21" s="130">
        <f t="shared" si="29"/>
        <v>0.17288999999999999</v>
      </c>
      <c r="EL21" s="131">
        <f>DJ21*DQ21+DM21*DQ21</f>
        <v>0</v>
      </c>
      <c r="EM21" s="387">
        <f t="shared" si="30"/>
        <v>41718.199999999997</v>
      </c>
      <c r="EN21" s="138">
        <f t="shared" si="31"/>
        <v>22723.16</v>
      </c>
      <c r="EO21" s="142">
        <f t="shared" si="32"/>
        <v>0</v>
      </c>
      <c r="EP21" s="131">
        <f t="shared" si="97"/>
        <v>0</v>
      </c>
      <c r="EQ21" s="153">
        <f t="shared" si="98"/>
        <v>0</v>
      </c>
      <c r="ER21" s="140">
        <f t="shared" si="99"/>
        <v>0</v>
      </c>
      <c r="ET21" s="135">
        <f t="shared" si="100"/>
        <v>0</v>
      </c>
      <c r="EU21" s="135">
        <f t="shared" si="101"/>
        <v>0</v>
      </c>
      <c r="EV21" s="135">
        <f t="shared" si="102"/>
        <v>0</v>
      </c>
      <c r="EW21" s="135">
        <f t="shared" si="145"/>
        <v>0</v>
      </c>
      <c r="EX21" s="135">
        <f t="shared" si="103"/>
        <v>0</v>
      </c>
      <c r="EY21" s="124">
        <v>76.900000000000006</v>
      </c>
      <c r="EZ21" s="132">
        <v>800</v>
      </c>
      <c r="FA21" s="133">
        <f t="shared" si="104"/>
        <v>61520</v>
      </c>
      <c r="FB21" s="378">
        <f>'1.4. часы и места для МЗ и СЗ'!Z53</f>
        <v>0</v>
      </c>
      <c r="FC21" s="378">
        <f>'1.4. часы и места для МЗ и СЗ'!AA53</f>
        <v>0</v>
      </c>
      <c r="FD21" s="378">
        <f>'1.4. часы и места для МЗ и СЗ'!AB53</f>
        <v>0</v>
      </c>
      <c r="FE21" s="378">
        <f>'1.4. часы и места для МЗ и СЗ'!AC53</f>
        <v>0</v>
      </c>
      <c r="FF21" s="379">
        <f>'1.4. часы и места для МЗ и СЗ'!AD53</f>
        <v>0</v>
      </c>
      <c r="FG21" s="133">
        <f t="shared" si="105"/>
        <v>0</v>
      </c>
      <c r="FH21" s="125">
        <v>12</v>
      </c>
      <c r="FI21" s="382">
        <f t="shared" si="33"/>
        <v>13855</v>
      </c>
      <c r="FJ21" s="383">
        <f t="shared" si="34"/>
        <v>1.01</v>
      </c>
      <c r="FK21" s="269">
        <f t="shared" si="106"/>
        <v>13994</v>
      </c>
      <c r="FL21" s="127">
        <v>1.302</v>
      </c>
      <c r="FM21" s="128">
        <f t="shared" si="35"/>
        <v>1.32193</v>
      </c>
      <c r="FN21" s="129">
        <v>0</v>
      </c>
      <c r="FO21" s="128">
        <f t="shared" si="36"/>
        <v>0.21695999999999999</v>
      </c>
      <c r="FP21" s="128">
        <f t="shared" si="36"/>
        <v>0.97809999999999997</v>
      </c>
      <c r="FQ21" s="129">
        <v>0</v>
      </c>
      <c r="FR21" s="128">
        <f t="shared" si="107"/>
        <v>0</v>
      </c>
      <c r="FS21" s="128">
        <f t="shared" si="37"/>
        <v>1.0935600000000001</v>
      </c>
      <c r="FT21" s="128">
        <f t="shared" si="37"/>
        <v>1.1232899999999999</v>
      </c>
      <c r="FU21" s="128">
        <f t="shared" si="108"/>
        <v>0</v>
      </c>
      <c r="FV21" s="130">
        <f t="shared" si="38"/>
        <v>0</v>
      </c>
      <c r="FW21" s="131">
        <f t="shared" si="146"/>
        <v>0</v>
      </c>
      <c r="FX21" s="387">
        <f t="shared" si="39"/>
        <v>41718.199999999997</v>
      </c>
      <c r="FY21" s="138">
        <f t="shared" si="40"/>
        <v>23219.11</v>
      </c>
      <c r="FZ21" s="142">
        <f t="shared" si="41"/>
        <v>0</v>
      </c>
      <c r="GA21" s="131">
        <f t="shared" si="109"/>
        <v>0</v>
      </c>
      <c r="GB21" s="153">
        <f t="shared" si="110"/>
        <v>0</v>
      </c>
      <c r="GC21" s="140">
        <f t="shared" si="111"/>
        <v>0</v>
      </c>
      <c r="GE21" s="135">
        <f t="shared" si="112"/>
        <v>90.17</v>
      </c>
      <c r="GF21" s="135">
        <f t="shared" si="113"/>
        <v>52.17</v>
      </c>
      <c r="GG21" s="135">
        <f t="shared" si="114"/>
        <v>27.06</v>
      </c>
      <c r="GH21" s="135">
        <f t="shared" si="147"/>
        <v>25.11</v>
      </c>
      <c r="GI21" s="135">
        <f t="shared" si="115"/>
        <v>3.73</v>
      </c>
      <c r="GJ21" s="124">
        <v>76.900000000000006</v>
      </c>
      <c r="GK21" s="132">
        <v>800</v>
      </c>
      <c r="GL21" s="133">
        <f t="shared" si="116"/>
        <v>61520</v>
      </c>
      <c r="GM21" s="227">
        <f t="shared" si="148"/>
        <v>241208</v>
      </c>
      <c r="GN21" s="227">
        <f t="shared" si="149"/>
        <v>3024</v>
      </c>
      <c r="GO21" s="227">
        <f t="shared" si="150"/>
        <v>109</v>
      </c>
      <c r="GP21" s="158" t="s">
        <v>471</v>
      </c>
      <c r="GQ21" s="229">
        <f t="shared" si="151"/>
        <v>15.04</v>
      </c>
      <c r="GR21" s="133">
        <f t="shared" si="117"/>
        <v>302</v>
      </c>
      <c r="GS21" s="125">
        <v>12</v>
      </c>
      <c r="GT21" s="382">
        <f t="shared" si="43"/>
        <v>13855</v>
      </c>
      <c r="GU21" s="383">
        <f t="shared" si="44"/>
        <v>1.01</v>
      </c>
      <c r="GV21" s="269">
        <f t="shared" si="118"/>
        <v>13994</v>
      </c>
      <c r="GW21" s="127">
        <v>1.302</v>
      </c>
      <c r="GX21" s="128">
        <f t="shared" si="45"/>
        <v>1.4064300000000001</v>
      </c>
      <c r="GY21" s="129">
        <v>0</v>
      </c>
      <c r="GZ21" s="128">
        <f t="shared" si="46"/>
        <v>0.32916000000000001</v>
      </c>
      <c r="HA21" s="128">
        <f t="shared" si="46"/>
        <v>0.59841999999999995</v>
      </c>
      <c r="HB21" s="129">
        <v>0</v>
      </c>
      <c r="HC21" s="128">
        <f t="shared" si="119"/>
        <v>0.36</v>
      </c>
      <c r="HD21" s="128">
        <f t="shared" si="47"/>
        <v>1.24295</v>
      </c>
      <c r="HE21" s="128">
        <f t="shared" si="47"/>
        <v>1.1232899999999999</v>
      </c>
      <c r="HF21" s="128">
        <f t="shared" si="120"/>
        <v>0.25463999999999998</v>
      </c>
      <c r="HG21" s="130">
        <f t="shared" si="48"/>
        <v>0.13783999999999999</v>
      </c>
      <c r="HH21" s="131">
        <f t="shared" si="152"/>
        <v>13483527</v>
      </c>
      <c r="HI21" s="387">
        <f t="shared" si="49"/>
        <v>41718.199999999997</v>
      </c>
      <c r="HJ21" s="138">
        <f t="shared" si="50"/>
        <v>22036.62</v>
      </c>
      <c r="HK21" s="142">
        <f t="shared" si="51"/>
        <v>26.962188000000001</v>
      </c>
      <c r="HL21" s="131">
        <f t="shared" si="121"/>
        <v>9283085</v>
      </c>
      <c r="HM21" s="153">
        <f t="shared" si="122"/>
        <v>38</v>
      </c>
      <c r="HN21" s="140">
        <f t="shared" si="123"/>
        <v>2.40429</v>
      </c>
      <c r="HP21" s="151">
        <f t="shared" si="124"/>
        <v>270.72000000000003</v>
      </c>
      <c r="HS21" s="163">
        <f t="shared" si="125"/>
        <v>100800</v>
      </c>
      <c r="HT21" s="163">
        <f t="shared" si="126"/>
        <v>117512</v>
      </c>
      <c r="HU21" s="163">
        <f t="shared" si="127"/>
        <v>22896</v>
      </c>
      <c r="HV21" s="163">
        <f t="shared" si="128"/>
        <v>0</v>
      </c>
      <c r="HW21" s="163">
        <f t="shared" si="129"/>
        <v>0</v>
      </c>
      <c r="HX21" s="162">
        <f t="shared" si="130"/>
        <v>241208</v>
      </c>
      <c r="HY21" s="163">
        <f t="shared" si="131"/>
        <v>12049632</v>
      </c>
      <c r="HZ21" s="163">
        <f t="shared" si="132"/>
        <v>8036645.6799999997</v>
      </c>
      <c r="IA21" s="163">
        <f t="shared" si="133"/>
        <v>2163900.96</v>
      </c>
      <c r="IB21" s="163">
        <f t="shared" si="134"/>
        <v>0</v>
      </c>
      <c r="IC21" s="163">
        <f t="shared" si="135"/>
        <v>0</v>
      </c>
      <c r="ID21" s="162">
        <f t="shared" si="136"/>
        <v>22250178.640000001</v>
      </c>
    </row>
    <row r="22" spans="1:238" s="113" customFormat="1" ht="36" x14ac:dyDescent="0.25">
      <c r="A22" s="121" t="s">
        <v>441</v>
      </c>
      <c r="B22" s="135">
        <f t="shared" si="52"/>
        <v>0</v>
      </c>
      <c r="C22" s="135">
        <f t="shared" si="53"/>
        <v>0</v>
      </c>
      <c r="D22" s="135">
        <f t="shared" si="54"/>
        <v>0</v>
      </c>
      <c r="E22" s="135">
        <f t="shared" si="137"/>
        <v>0</v>
      </c>
      <c r="F22" s="135">
        <f t="shared" si="55"/>
        <v>0</v>
      </c>
      <c r="G22" s="124">
        <v>76.900000000000006</v>
      </c>
      <c r="H22" s="132">
        <v>800</v>
      </c>
      <c r="I22" s="133">
        <f t="shared" si="56"/>
        <v>61520</v>
      </c>
      <c r="J22" s="378">
        <f>'1.4. часы и места для МЗ и СЗ'!Z29</f>
        <v>0</v>
      </c>
      <c r="K22" s="378">
        <f>'1.4. часы и места для МЗ и СЗ'!AA29</f>
        <v>0</v>
      </c>
      <c r="L22" s="378">
        <f>'1.4. часы и места для МЗ и СЗ'!AB29</f>
        <v>0</v>
      </c>
      <c r="M22" s="378">
        <f>'1.4. часы и места для МЗ и СЗ'!AC29</f>
        <v>0</v>
      </c>
      <c r="N22" s="379">
        <f>'1.4. часы и места для МЗ и СЗ'!AD29</f>
        <v>0</v>
      </c>
      <c r="O22" s="133">
        <f t="shared" si="57"/>
        <v>0</v>
      </c>
      <c r="P22" s="125">
        <v>12</v>
      </c>
      <c r="Q22" s="160">
        <v>13855</v>
      </c>
      <c r="R22" s="272">
        <v>1.01</v>
      </c>
      <c r="S22" s="269">
        <f t="shared" si="58"/>
        <v>13994</v>
      </c>
      <c r="T22" s="127">
        <v>1.302</v>
      </c>
      <c r="U22" s="128">
        <f>U$12</f>
        <v>1.48072</v>
      </c>
      <c r="V22" s="129">
        <v>0</v>
      </c>
      <c r="W22" s="128">
        <f t="shared" ref="W22:X24" si="153">W$12</f>
        <v>0.29183999999999999</v>
      </c>
      <c r="X22" s="128">
        <f t="shared" si="153"/>
        <v>0.46305000000000002</v>
      </c>
      <c r="Y22" s="129">
        <v>0</v>
      </c>
      <c r="Z22" s="128">
        <f t="shared" si="59"/>
        <v>0</v>
      </c>
      <c r="AA22" s="128">
        <f t="shared" si="2"/>
        <v>1.1776</v>
      </c>
      <c r="AB22" s="128">
        <f>AB$12</f>
        <v>1.16164</v>
      </c>
      <c r="AC22" s="128">
        <f t="shared" si="60"/>
        <v>0</v>
      </c>
      <c r="AD22" s="130">
        <f>AD$12</f>
        <v>8.1439999999999999E-2</v>
      </c>
      <c r="AE22" s="131">
        <f t="shared" si="138"/>
        <v>0</v>
      </c>
      <c r="AF22" s="162">
        <v>41718.199999999997</v>
      </c>
      <c r="AG22" s="138">
        <f t="shared" si="4"/>
        <v>20997</v>
      </c>
      <c r="AH22" s="142">
        <f t="shared" si="5"/>
        <v>0</v>
      </c>
      <c r="AI22" s="131">
        <f t="shared" si="61"/>
        <v>0</v>
      </c>
      <c r="AJ22" s="153">
        <f t="shared" si="62"/>
        <v>0</v>
      </c>
      <c r="AK22" s="140">
        <f t="shared" si="63"/>
        <v>0</v>
      </c>
      <c r="AM22" s="135">
        <f t="shared" si="64"/>
        <v>91.81</v>
      </c>
      <c r="AN22" s="135">
        <f t="shared" si="65"/>
        <v>47.81</v>
      </c>
      <c r="AO22" s="135">
        <f t="shared" si="66"/>
        <v>22.8</v>
      </c>
      <c r="AP22" s="135">
        <f t="shared" si="139"/>
        <v>25.01</v>
      </c>
      <c r="AQ22" s="135">
        <f t="shared" si="67"/>
        <v>2.34</v>
      </c>
      <c r="AR22" s="124">
        <v>76.900000000000006</v>
      </c>
      <c r="AS22" s="132">
        <v>800</v>
      </c>
      <c r="AT22" s="133">
        <f t="shared" si="68"/>
        <v>61520</v>
      </c>
      <c r="AU22" s="378">
        <f>'1.4. часы и места для МЗ и СЗ'!Z68</f>
        <v>10648</v>
      </c>
      <c r="AV22" s="378">
        <f>'1.4. часы и места для МЗ и СЗ'!AA68</f>
        <v>59</v>
      </c>
      <c r="AW22" s="378">
        <f>'1.4. часы и места для МЗ и СЗ'!AB68</f>
        <v>3</v>
      </c>
      <c r="AX22" s="378">
        <f>'1.4. часы и места для МЗ и СЗ'!AC68</f>
        <v>44</v>
      </c>
      <c r="AY22" s="379">
        <f>'1.4. часы и места для МЗ и СЗ'!AD68</f>
        <v>0.55000000000000004</v>
      </c>
      <c r="AZ22" s="133">
        <f t="shared" si="69"/>
        <v>13</v>
      </c>
      <c r="BA22" s="125">
        <v>12</v>
      </c>
      <c r="BB22" s="382">
        <f t="shared" si="6"/>
        <v>13855</v>
      </c>
      <c r="BC22" s="383">
        <f t="shared" si="7"/>
        <v>1.01</v>
      </c>
      <c r="BD22" s="269">
        <f t="shared" si="70"/>
        <v>13994</v>
      </c>
      <c r="BE22" s="127">
        <v>1.302</v>
      </c>
      <c r="BF22" s="128">
        <f>BF$12</f>
        <v>1.3871500000000001</v>
      </c>
      <c r="BG22" s="129">
        <v>0</v>
      </c>
      <c r="BH22" s="128">
        <f t="shared" ref="BH22:BI24" si="154">BH$12</f>
        <v>0.42914999999999998</v>
      </c>
      <c r="BI22" s="128">
        <f t="shared" si="154"/>
        <v>0.66744000000000003</v>
      </c>
      <c r="BJ22" s="129">
        <v>0</v>
      </c>
      <c r="BK22" s="128">
        <f t="shared" si="71"/>
        <v>8.41</v>
      </c>
      <c r="BL22" s="128">
        <f t="shared" si="10"/>
        <v>1.2245299999999999</v>
      </c>
      <c r="BM22" s="128">
        <f>BM$12</f>
        <v>1.16164</v>
      </c>
      <c r="BN22" s="128">
        <f t="shared" si="72"/>
        <v>5.9153799999999999</v>
      </c>
      <c r="BO22" s="130">
        <f>BO$12</f>
        <v>0.10267</v>
      </c>
      <c r="BP22" s="131">
        <f t="shared" si="140"/>
        <v>533997</v>
      </c>
      <c r="BQ22" s="387">
        <f t="shared" si="12"/>
        <v>41718.199999999997</v>
      </c>
      <c r="BR22" s="138">
        <f t="shared" si="13"/>
        <v>22306.42</v>
      </c>
      <c r="BS22" s="142">
        <f t="shared" si="14"/>
        <v>1.3437859999999999</v>
      </c>
      <c r="BT22" s="131">
        <f t="shared" si="73"/>
        <v>468330</v>
      </c>
      <c r="BU22" s="153">
        <f t="shared" si="74"/>
        <v>44</v>
      </c>
      <c r="BV22" s="140">
        <f t="shared" si="75"/>
        <v>2.9298199999999999</v>
      </c>
      <c r="BX22" s="135">
        <f t="shared" si="76"/>
        <v>0</v>
      </c>
      <c r="BY22" s="135">
        <f t="shared" si="77"/>
        <v>0</v>
      </c>
      <c r="BZ22" s="135">
        <f t="shared" si="78"/>
        <v>0</v>
      </c>
      <c r="CA22" s="135">
        <f t="shared" si="141"/>
        <v>0</v>
      </c>
      <c r="CB22" s="135">
        <f t="shared" si="79"/>
        <v>0</v>
      </c>
      <c r="CC22" s="124">
        <v>76.900000000000006</v>
      </c>
      <c r="CD22" s="132">
        <v>800</v>
      </c>
      <c r="CE22" s="133">
        <f t="shared" si="80"/>
        <v>61520</v>
      </c>
      <c r="CF22" s="378">
        <f>'1.4. часы и места для МЗ и СЗ'!Z81</f>
        <v>0</v>
      </c>
      <c r="CG22" s="378">
        <f>'1.4. часы и места для МЗ и СЗ'!AA81</f>
        <v>0</v>
      </c>
      <c r="CH22" s="378">
        <f>'1.4. часы и места для МЗ и СЗ'!AB81</f>
        <v>0</v>
      </c>
      <c r="CI22" s="378">
        <f>'1.4. часы и места для МЗ и СЗ'!AC81</f>
        <v>0</v>
      </c>
      <c r="CJ22" s="379">
        <f>'1.4. часы и места для МЗ и СЗ'!AD81</f>
        <v>0</v>
      </c>
      <c r="CK22" s="133">
        <f t="shared" si="81"/>
        <v>0</v>
      </c>
      <c r="CL22" s="125">
        <v>12</v>
      </c>
      <c r="CM22" s="382">
        <f t="shared" si="15"/>
        <v>13855</v>
      </c>
      <c r="CN22" s="383">
        <f t="shared" si="16"/>
        <v>1.01</v>
      </c>
      <c r="CO22" s="269">
        <f t="shared" si="82"/>
        <v>13994</v>
      </c>
      <c r="CP22" s="127">
        <v>1.302</v>
      </c>
      <c r="CQ22" s="128">
        <f>CQ$12</f>
        <v>1.3502099999999999</v>
      </c>
      <c r="CR22" s="129">
        <v>0</v>
      </c>
      <c r="CS22" s="128">
        <f t="shared" ref="CS22:CT24" si="155">CS$12</f>
        <v>0.33593000000000001</v>
      </c>
      <c r="CT22" s="128">
        <f t="shared" si="155"/>
        <v>0.67049999999999998</v>
      </c>
      <c r="CU22" s="129">
        <v>0</v>
      </c>
      <c r="CV22" s="128">
        <f t="shared" si="83"/>
        <v>0</v>
      </c>
      <c r="CW22" s="128">
        <f t="shared" si="19"/>
        <v>1.4220999999999999</v>
      </c>
      <c r="CX22" s="128">
        <f>CX$12</f>
        <v>1.16164</v>
      </c>
      <c r="CY22" s="128">
        <f t="shared" si="84"/>
        <v>0</v>
      </c>
      <c r="CZ22" s="130">
        <f>CZ$12</f>
        <v>0.32064999999999999</v>
      </c>
      <c r="DA22" s="131">
        <f t="shared" si="142"/>
        <v>0</v>
      </c>
      <c r="DB22" s="387">
        <f t="shared" si="21"/>
        <v>41718.199999999997</v>
      </c>
      <c r="DC22" s="138">
        <f t="shared" si="22"/>
        <v>22823.360000000001</v>
      </c>
      <c r="DD22" s="142">
        <f t="shared" si="23"/>
        <v>0</v>
      </c>
      <c r="DE22" s="131">
        <f t="shared" si="85"/>
        <v>0</v>
      </c>
      <c r="DF22" s="153">
        <f t="shared" si="86"/>
        <v>0</v>
      </c>
      <c r="DG22" s="140">
        <f t="shared" si="87"/>
        <v>0</v>
      </c>
      <c r="DI22" s="135">
        <f t="shared" si="88"/>
        <v>0</v>
      </c>
      <c r="DJ22" s="135">
        <f t="shared" si="89"/>
        <v>0</v>
      </c>
      <c r="DK22" s="135">
        <f t="shared" si="90"/>
        <v>0</v>
      </c>
      <c r="DL22" s="135">
        <f t="shared" si="143"/>
        <v>0</v>
      </c>
      <c r="DM22" s="135">
        <f t="shared" si="91"/>
        <v>0</v>
      </c>
      <c r="DN22" s="124">
        <v>76.900000000000006</v>
      </c>
      <c r="DO22" s="132">
        <v>800</v>
      </c>
      <c r="DP22" s="133">
        <f t="shared" si="92"/>
        <v>61520</v>
      </c>
      <c r="DQ22" s="378">
        <f>'1.4. часы и места для МЗ и СЗ'!Z42</f>
        <v>0</v>
      </c>
      <c r="DR22" s="378">
        <f>'1.4. часы и места для МЗ и СЗ'!AA42</f>
        <v>0</v>
      </c>
      <c r="DS22" s="378">
        <f>'1.4. часы и места для МЗ и СЗ'!AB42</f>
        <v>0</v>
      </c>
      <c r="DT22" s="378">
        <f>'1.4. часы и места для МЗ и СЗ'!AC42</f>
        <v>0</v>
      </c>
      <c r="DU22" s="379">
        <f>'1.4. часы и места для МЗ и СЗ'!AD42</f>
        <v>0</v>
      </c>
      <c r="DV22" s="133">
        <f t="shared" si="93"/>
        <v>0</v>
      </c>
      <c r="DW22" s="125">
        <v>12</v>
      </c>
      <c r="DX22" s="382">
        <f t="shared" si="24"/>
        <v>13855</v>
      </c>
      <c r="DY22" s="383">
        <f t="shared" si="25"/>
        <v>1.01</v>
      </c>
      <c r="DZ22" s="269">
        <f t="shared" si="94"/>
        <v>13994</v>
      </c>
      <c r="EA22" s="127">
        <v>1.302</v>
      </c>
      <c r="EB22" s="128">
        <f>EB$12</f>
        <v>1.35737</v>
      </c>
      <c r="EC22" s="129">
        <v>0</v>
      </c>
      <c r="ED22" s="128">
        <f t="shared" ref="ED22:EE24" si="156">ED$12</f>
        <v>0.22051999999999999</v>
      </c>
      <c r="EE22" s="128">
        <f t="shared" si="156"/>
        <v>0.73350000000000004</v>
      </c>
      <c r="EF22" s="129">
        <v>0</v>
      </c>
      <c r="EG22" s="128">
        <f t="shared" si="95"/>
        <v>0</v>
      </c>
      <c r="EH22" s="128">
        <f>EH$11</f>
        <v>1.2033499999999999</v>
      </c>
      <c r="EI22" s="128">
        <f>EI$12</f>
        <v>1.16164</v>
      </c>
      <c r="EJ22" s="128">
        <f t="shared" si="96"/>
        <v>0</v>
      </c>
      <c r="EK22" s="130">
        <f>EK$12</f>
        <v>0.17288999999999999</v>
      </c>
      <c r="EL22" s="131">
        <f t="shared" si="144"/>
        <v>0</v>
      </c>
      <c r="EM22" s="387">
        <f t="shared" si="30"/>
        <v>41718.199999999997</v>
      </c>
      <c r="EN22" s="138">
        <f t="shared" si="31"/>
        <v>22723.16</v>
      </c>
      <c r="EO22" s="142">
        <f t="shared" si="32"/>
        <v>0</v>
      </c>
      <c r="EP22" s="131">
        <f t="shared" si="97"/>
        <v>0</v>
      </c>
      <c r="EQ22" s="153">
        <f t="shared" si="98"/>
        <v>0</v>
      </c>
      <c r="ER22" s="140">
        <f t="shared" si="99"/>
        <v>0</v>
      </c>
      <c r="ET22" s="135">
        <f t="shared" si="100"/>
        <v>0</v>
      </c>
      <c r="EU22" s="135">
        <f t="shared" si="101"/>
        <v>0</v>
      </c>
      <c r="EV22" s="135">
        <f t="shared" si="102"/>
        <v>0</v>
      </c>
      <c r="EW22" s="135">
        <f t="shared" si="145"/>
        <v>0</v>
      </c>
      <c r="EX22" s="135">
        <f t="shared" si="103"/>
        <v>0</v>
      </c>
      <c r="EY22" s="124">
        <v>76.900000000000006</v>
      </c>
      <c r="EZ22" s="132">
        <v>800</v>
      </c>
      <c r="FA22" s="133">
        <f t="shared" si="104"/>
        <v>61520</v>
      </c>
      <c r="FB22" s="378">
        <f>'1.4. часы и места для МЗ и СЗ'!Z55</f>
        <v>0</v>
      </c>
      <c r="FC22" s="378">
        <f>'1.4. часы и места для МЗ и СЗ'!AA55</f>
        <v>0</v>
      </c>
      <c r="FD22" s="378">
        <f>'1.4. часы и места для МЗ и СЗ'!AB55</f>
        <v>0</v>
      </c>
      <c r="FE22" s="378">
        <f>'1.4. часы и места для МЗ и СЗ'!AC55</f>
        <v>0</v>
      </c>
      <c r="FF22" s="379">
        <f>'1.4. часы и места для МЗ и СЗ'!AD55</f>
        <v>0</v>
      </c>
      <c r="FG22" s="133">
        <f t="shared" si="105"/>
        <v>0</v>
      </c>
      <c r="FH22" s="125">
        <v>12</v>
      </c>
      <c r="FI22" s="382">
        <f t="shared" si="33"/>
        <v>13855</v>
      </c>
      <c r="FJ22" s="383">
        <f t="shared" si="34"/>
        <v>1.01</v>
      </c>
      <c r="FK22" s="269">
        <f t="shared" si="106"/>
        <v>13994</v>
      </c>
      <c r="FL22" s="127">
        <v>1.302</v>
      </c>
      <c r="FM22" s="128">
        <f>FM$12</f>
        <v>1.32193</v>
      </c>
      <c r="FN22" s="129">
        <v>0</v>
      </c>
      <c r="FO22" s="128">
        <f t="shared" ref="FO22:FP24" si="157">FO$12</f>
        <v>0.21695999999999999</v>
      </c>
      <c r="FP22" s="128">
        <f t="shared" si="157"/>
        <v>0.97809999999999997</v>
      </c>
      <c r="FQ22" s="129">
        <v>0</v>
      </c>
      <c r="FR22" s="128">
        <f t="shared" si="107"/>
        <v>0</v>
      </c>
      <c r="FS22" s="128">
        <f t="shared" si="37"/>
        <v>1.0935600000000001</v>
      </c>
      <c r="FT22" s="128">
        <f>FT$12</f>
        <v>1.16164</v>
      </c>
      <c r="FU22" s="128">
        <f t="shared" si="108"/>
        <v>0</v>
      </c>
      <c r="FV22" s="130">
        <f>FV$12</f>
        <v>0</v>
      </c>
      <c r="FW22" s="131">
        <f t="shared" si="146"/>
        <v>0</v>
      </c>
      <c r="FX22" s="387">
        <f t="shared" si="39"/>
        <v>41718.199999999997</v>
      </c>
      <c r="FY22" s="138">
        <f t="shared" si="40"/>
        <v>23219.11</v>
      </c>
      <c r="FZ22" s="142">
        <f t="shared" si="41"/>
        <v>0</v>
      </c>
      <c r="GA22" s="131">
        <f t="shared" si="109"/>
        <v>0</v>
      </c>
      <c r="GB22" s="153">
        <f t="shared" si="110"/>
        <v>0</v>
      </c>
      <c r="GC22" s="140">
        <f t="shared" si="111"/>
        <v>0</v>
      </c>
      <c r="GE22" s="135">
        <f t="shared" si="112"/>
        <v>83.5</v>
      </c>
      <c r="GF22" s="135">
        <f t="shared" si="113"/>
        <v>45.5</v>
      </c>
      <c r="GG22" s="135">
        <f t="shared" si="114"/>
        <v>23.54</v>
      </c>
      <c r="GH22" s="135">
        <f t="shared" si="147"/>
        <v>21.96</v>
      </c>
      <c r="GI22" s="135">
        <f t="shared" si="115"/>
        <v>3.24</v>
      </c>
      <c r="GJ22" s="124">
        <v>76.900000000000006</v>
      </c>
      <c r="GK22" s="132">
        <v>800</v>
      </c>
      <c r="GL22" s="133">
        <f t="shared" si="116"/>
        <v>61520</v>
      </c>
      <c r="GM22" s="227">
        <f t="shared" si="148"/>
        <v>10648</v>
      </c>
      <c r="GN22" s="227">
        <f t="shared" si="149"/>
        <v>59</v>
      </c>
      <c r="GO22" s="227">
        <f t="shared" si="150"/>
        <v>3</v>
      </c>
      <c r="GP22" s="158" t="s">
        <v>471</v>
      </c>
      <c r="GQ22" s="229">
        <f t="shared" si="151"/>
        <v>0.55000000000000004</v>
      </c>
      <c r="GR22" s="133">
        <f t="shared" si="117"/>
        <v>13</v>
      </c>
      <c r="GS22" s="125">
        <v>12</v>
      </c>
      <c r="GT22" s="382">
        <f t="shared" si="43"/>
        <v>13855</v>
      </c>
      <c r="GU22" s="383">
        <f t="shared" si="44"/>
        <v>1.01</v>
      </c>
      <c r="GV22" s="269">
        <f t="shared" si="118"/>
        <v>13994</v>
      </c>
      <c r="GW22" s="127">
        <v>1.302</v>
      </c>
      <c r="GX22" s="128">
        <f>GX$12</f>
        <v>1.41039</v>
      </c>
      <c r="GY22" s="129">
        <v>0</v>
      </c>
      <c r="GZ22" s="128">
        <f t="shared" ref="GZ22:HA24" si="158">GZ$12</f>
        <v>0.32823000000000002</v>
      </c>
      <c r="HA22" s="128">
        <f t="shared" si="158"/>
        <v>0.60419</v>
      </c>
      <c r="HB22" s="129">
        <v>0</v>
      </c>
      <c r="HC22" s="128">
        <f t="shared" si="119"/>
        <v>8.5399999999999991</v>
      </c>
      <c r="HD22" s="128">
        <f t="shared" si="47"/>
        <v>1.24295</v>
      </c>
      <c r="HE22" s="128">
        <f>HE$12</f>
        <v>1.16164</v>
      </c>
      <c r="HF22" s="128">
        <f t="shared" si="120"/>
        <v>5.9153799999999999</v>
      </c>
      <c r="HG22" s="130">
        <f>HG$12</f>
        <v>0.13744999999999999</v>
      </c>
      <c r="HH22" s="131">
        <f t="shared" si="152"/>
        <v>518984</v>
      </c>
      <c r="HI22" s="387">
        <f t="shared" si="49"/>
        <v>41718.199999999997</v>
      </c>
      <c r="HJ22" s="138">
        <f t="shared" si="50"/>
        <v>21981.200000000001</v>
      </c>
      <c r="HK22" s="142">
        <f t="shared" si="51"/>
        <v>1.190232</v>
      </c>
      <c r="HL22" s="131">
        <f t="shared" si="121"/>
        <v>408766</v>
      </c>
      <c r="HM22" s="153">
        <f t="shared" si="122"/>
        <v>38</v>
      </c>
      <c r="HN22" s="140">
        <f t="shared" si="123"/>
        <v>2.6142699999999999</v>
      </c>
      <c r="HP22" s="151">
        <f t="shared" si="124"/>
        <v>9.9</v>
      </c>
      <c r="HS22" s="163">
        <f t="shared" si="125"/>
        <v>0</v>
      </c>
      <c r="HT22" s="163">
        <f t="shared" si="126"/>
        <v>10648</v>
      </c>
      <c r="HU22" s="163">
        <f t="shared" si="127"/>
        <v>0</v>
      </c>
      <c r="HV22" s="163">
        <f t="shared" si="128"/>
        <v>0</v>
      </c>
      <c r="HW22" s="163">
        <f t="shared" si="129"/>
        <v>0</v>
      </c>
      <c r="HX22" s="162">
        <f t="shared" si="130"/>
        <v>10648</v>
      </c>
      <c r="HY22" s="163">
        <f t="shared" si="131"/>
        <v>0</v>
      </c>
      <c r="HZ22" s="163">
        <f t="shared" si="132"/>
        <v>977592.88</v>
      </c>
      <c r="IA22" s="163">
        <f t="shared" si="133"/>
        <v>0</v>
      </c>
      <c r="IB22" s="163">
        <f t="shared" si="134"/>
        <v>0</v>
      </c>
      <c r="IC22" s="163">
        <f t="shared" si="135"/>
        <v>0</v>
      </c>
      <c r="ID22" s="162">
        <f t="shared" si="136"/>
        <v>977592.88</v>
      </c>
    </row>
    <row r="23" spans="1:238" s="113" customFormat="1" ht="36" x14ac:dyDescent="0.25">
      <c r="A23" s="121" t="s">
        <v>827</v>
      </c>
      <c r="B23" s="135">
        <f t="shared" ref="B23:B24" si="159">C23+AJ23</f>
        <v>343.17</v>
      </c>
      <c r="C23" s="135">
        <f t="shared" ref="C23:C24" si="160">N23*P23*S23*T23*U23*(1+V23+W23+X23+Y23)*Z23/G23/H23</f>
        <v>301.17</v>
      </c>
      <c r="D23" s="135">
        <f t="shared" ref="D23:D24" si="161">N23*P23*S23*T23*U23*(1+V23+Y23)*Z23/G23/H23</f>
        <v>171.62</v>
      </c>
      <c r="E23" s="135">
        <f t="shared" ref="E23:E24" si="162">C23-D23</f>
        <v>129.55000000000001</v>
      </c>
      <c r="F23" s="135">
        <f t="shared" ref="F23:F24" si="163">N23*P23*S23*T23*U23*(1+V23+Y23)*Z23*AD23/G23/H23</f>
        <v>13.98</v>
      </c>
      <c r="G23" s="124">
        <v>76.900000000000006</v>
      </c>
      <c r="H23" s="132">
        <v>800</v>
      </c>
      <c r="I23" s="133">
        <f t="shared" ref="I23:I24" si="164">G23*H23</f>
        <v>61520</v>
      </c>
      <c r="J23" s="378">
        <f>'1.4. часы и места для МЗ и СЗ'!Z28</f>
        <v>3816</v>
      </c>
      <c r="K23" s="378">
        <f>'1.4. часы и места для МЗ и СЗ'!AA28</f>
        <v>49</v>
      </c>
      <c r="L23" s="378">
        <f>'1.4. часы и места для МЗ и СЗ'!AB28</f>
        <v>6</v>
      </c>
      <c r="M23" s="378">
        <f>'1.4. часы и места для МЗ и СЗ'!AC28</f>
        <v>36</v>
      </c>
      <c r="N23" s="379">
        <f>'1.4. часы и места для МЗ и СЗ'!AD28</f>
        <v>1.55</v>
      </c>
      <c r="O23" s="133">
        <f t="shared" ref="O23:O24" si="165">J23/800</f>
        <v>5</v>
      </c>
      <c r="P23" s="125">
        <v>12</v>
      </c>
      <c r="Q23" s="160">
        <v>13855</v>
      </c>
      <c r="R23" s="272">
        <v>1.01</v>
      </c>
      <c r="S23" s="269">
        <f t="shared" ref="S23:S24" si="166">Q23*R23</f>
        <v>13994</v>
      </c>
      <c r="T23" s="127">
        <v>1.302</v>
      </c>
      <c r="U23" s="128">
        <f t="shared" ref="U23:U24" si="167">U$12</f>
        <v>1.48072</v>
      </c>
      <c r="V23" s="129">
        <v>0</v>
      </c>
      <c r="W23" s="128">
        <f t="shared" si="153"/>
        <v>0.29183999999999999</v>
      </c>
      <c r="X23" s="128">
        <f t="shared" si="153"/>
        <v>0.46305000000000002</v>
      </c>
      <c r="Y23" s="129">
        <v>0</v>
      </c>
      <c r="Z23" s="128">
        <f t="shared" ref="Z23:Z24" si="168">ROUND(AA23*AB23*AC23,2)</f>
        <v>21.04</v>
      </c>
      <c r="AA23" s="128">
        <f t="shared" si="2"/>
        <v>1.1776</v>
      </c>
      <c r="AB23" s="128">
        <f t="shared" ref="AB23:AB24" si="169">AB$12</f>
        <v>1.16164</v>
      </c>
      <c r="AC23" s="128">
        <f t="shared" ref="AC23:AC24" si="170">IF(O23=0,0,G23/O23)</f>
        <v>15.38</v>
      </c>
      <c r="AD23" s="130">
        <f t="shared" ref="AD23:AD24" si="171">AD$12</f>
        <v>8.1439999999999999E-2</v>
      </c>
      <c r="AE23" s="131">
        <f t="shared" ref="AE23:AE24" si="172">C23*J23+F23*J23</f>
        <v>1202612</v>
      </c>
      <c r="AF23" s="162">
        <v>41718.199999999997</v>
      </c>
      <c r="AG23" s="138">
        <f t="shared" ref="AG23:AG24" si="173">AF23-S23*U23</f>
        <v>20997</v>
      </c>
      <c r="AH23" s="142">
        <f t="shared" ref="AH23:AH24" si="174">AH$10/J$26*J23</f>
        <v>0.49044199999999999</v>
      </c>
      <c r="AI23" s="131">
        <f t="shared" ref="AI23:AI24" si="175">AG23*AH23*1.302*12</f>
        <v>160893</v>
      </c>
      <c r="AJ23" s="153">
        <f t="shared" ref="AJ23:AJ24" si="176">IF(J23=0,0,AI23/J23)</f>
        <v>42</v>
      </c>
      <c r="AK23" s="140">
        <f t="shared" ref="AK23:AK24" si="177">IF(D23=0,0,(AJ23+D23)/D23)</f>
        <v>1.2447299999999999</v>
      </c>
      <c r="AM23" s="135">
        <f t="shared" ref="AM23:AM24" si="178">AN23+BU23</f>
        <v>0</v>
      </c>
      <c r="AN23" s="135">
        <f t="shared" ref="AN23:AN24" si="179">AY23*BA23*BD23*BE23*BF23*(1+BG23+BH23+BI23+BJ23)*BK23/AR23/AS23</f>
        <v>0</v>
      </c>
      <c r="AO23" s="135">
        <f t="shared" ref="AO23:AO24" si="180">AY23*BA23*BD23*BE23*BF23*(1+BG23+BJ23)*BK23/AR23/AS23</f>
        <v>0</v>
      </c>
      <c r="AP23" s="135">
        <f t="shared" ref="AP23:AP24" si="181">AN23-AO23</f>
        <v>0</v>
      </c>
      <c r="AQ23" s="135">
        <f t="shared" ref="AQ23:AQ24" si="182">AY23*BA23*BD23*BE23*BF23*(1+BG23+BJ23)*BK23*BO23/AR23/AS23</f>
        <v>0</v>
      </c>
      <c r="AR23" s="124">
        <v>76.900000000000006</v>
      </c>
      <c r="AS23" s="132">
        <v>800</v>
      </c>
      <c r="AT23" s="133">
        <f t="shared" ref="AT23:AT24" si="183">AR23*AS23</f>
        <v>61520</v>
      </c>
      <c r="AU23" s="378">
        <f>'1.4. часы и места для МЗ и СЗ'!Z67</f>
        <v>0</v>
      </c>
      <c r="AV23" s="378">
        <f>'1.4. часы и места для МЗ и СЗ'!AA67</f>
        <v>0</v>
      </c>
      <c r="AW23" s="378">
        <f>'1.4. часы и места для МЗ и СЗ'!AB67</f>
        <v>0</v>
      </c>
      <c r="AX23" s="378">
        <f>'1.4. часы и места для МЗ и СЗ'!AC67</f>
        <v>0</v>
      </c>
      <c r="AY23" s="379">
        <f>'1.4. часы и места для МЗ и СЗ'!AD67</f>
        <v>0</v>
      </c>
      <c r="AZ23" s="133">
        <f t="shared" ref="AZ23:AZ24" si="184">AU23/800</f>
        <v>0</v>
      </c>
      <c r="BA23" s="125">
        <v>12</v>
      </c>
      <c r="BB23" s="382">
        <f t="shared" ref="BB23:BB24" si="185">Q23</f>
        <v>13855</v>
      </c>
      <c r="BC23" s="383">
        <f t="shared" ref="BC23:BC24" si="186">R23</f>
        <v>1.01</v>
      </c>
      <c r="BD23" s="269">
        <f t="shared" ref="BD23:BD24" si="187">BB23*BC23</f>
        <v>13994</v>
      </c>
      <c r="BE23" s="127">
        <v>1.302</v>
      </c>
      <c r="BF23" s="128">
        <f t="shared" ref="BF23:BF24" si="188">BF$12</f>
        <v>1.3871500000000001</v>
      </c>
      <c r="BG23" s="129">
        <v>0</v>
      </c>
      <c r="BH23" s="128">
        <f t="shared" si="154"/>
        <v>0.42914999999999998</v>
      </c>
      <c r="BI23" s="128">
        <f t="shared" si="154"/>
        <v>0.66744000000000003</v>
      </c>
      <c r="BJ23" s="129">
        <v>0</v>
      </c>
      <c r="BK23" s="128">
        <f t="shared" ref="BK23:BK24" si="189">ROUND(BL23*BM23*BN23,2)</f>
        <v>0</v>
      </c>
      <c r="BL23" s="128">
        <f t="shared" si="10"/>
        <v>1.2245299999999999</v>
      </c>
      <c r="BM23" s="128">
        <f t="shared" ref="BM23:BM24" si="190">BM$12</f>
        <v>1.16164</v>
      </c>
      <c r="BN23" s="128">
        <f t="shared" ref="BN23:BN24" si="191">IF(AZ23=0,0,AR23/AZ23)</f>
        <v>0</v>
      </c>
      <c r="BO23" s="130">
        <f t="shared" ref="BO23:BO24" si="192">BO$12</f>
        <v>0.10267</v>
      </c>
      <c r="BP23" s="131">
        <f t="shared" ref="BP23:BP24" si="193">AN23*AU23+AQ23*AU23</f>
        <v>0</v>
      </c>
      <c r="BQ23" s="387">
        <f t="shared" ref="BQ23:BQ24" si="194">AF23</f>
        <v>41718.199999999997</v>
      </c>
      <c r="BR23" s="138">
        <f t="shared" ref="BR23:BR24" si="195">BQ23-BD23*BF23</f>
        <v>22306.42</v>
      </c>
      <c r="BS23" s="142">
        <f t="shared" ref="BS23:BS24" si="196">BS$10/AU$26*AU23</f>
        <v>0</v>
      </c>
      <c r="BT23" s="131">
        <f t="shared" ref="BT23:BT24" si="197">BR23*BS23*1.302*12</f>
        <v>0</v>
      </c>
      <c r="BU23" s="153">
        <f t="shared" ref="BU23:BU24" si="198">IF(AU23=0,0,BT23/AU23)</f>
        <v>0</v>
      </c>
      <c r="BV23" s="140">
        <f t="shared" ref="BV23:BV24" si="199">IF(AO23=0,0,(BU23+AO23)/AO23)</f>
        <v>0</v>
      </c>
      <c r="BX23" s="135">
        <f t="shared" ref="BX23:BX24" si="200">BY23+DF23</f>
        <v>0</v>
      </c>
      <c r="BY23" s="135">
        <f t="shared" ref="BY23:BY24" si="201">CJ23*CL23*CO23*CP23*CQ23*(1+CR23+CS23+CT23+CU23)*CV23/CC23/CD23</f>
        <v>0</v>
      </c>
      <c r="BZ23" s="135">
        <f t="shared" ref="BZ23:BZ24" si="202">CJ23*CL23*CO23*CP23*CQ23*(1+CR23+CU23)*CV23/CC23/CD23</f>
        <v>0</v>
      </c>
      <c r="CA23" s="135">
        <f t="shared" ref="CA23:CA24" si="203">BY23-BZ23</f>
        <v>0</v>
      </c>
      <c r="CB23" s="135">
        <f t="shared" ref="CB23:CB24" si="204">CJ23*CL23*CO23*CP23*CQ23*(1+CR23+CU23)*CV23*CZ23/CC23/CD23</f>
        <v>0</v>
      </c>
      <c r="CC23" s="124">
        <v>76.900000000000006</v>
      </c>
      <c r="CD23" s="132">
        <v>800</v>
      </c>
      <c r="CE23" s="133">
        <f t="shared" ref="CE23:CE24" si="205">CC23*CD23</f>
        <v>61520</v>
      </c>
      <c r="CF23" s="378">
        <f>'1.4. часы и места для МЗ и СЗ'!Z80</f>
        <v>0</v>
      </c>
      <c r="CG23" s="378">
        <f>'1.4. часы и места для МЗ и СЗ'!AA80</f>
        <v>0</v>
      </c>
      <c r="CH23" s="378">
        <f>'1.4. часы и места для МЗ и СЗ'!AB80</f>
        <v>0</v>
      </c>
      <c r="CI23" s="378">
        <f>'1.4. часы и места для МЗ и СЗ'!AC80</f>
        <v>0</v>
      </c>
      <c r="CJ23" s="379">
        <f>'1.4. часы и места для МЗ и СЗ'!AD80</f>
        <v>0</v>
      </c>
      <c r="CK23" s="133">
        <f t="shared" ref="CK23:CK24" si="206">CF23/800</f>
        <v>0</v>
      </c>
      <c r="CL23" s="125">
        <v>12</v>
      </c>
      <c r="CM23" s="382">
        <f t="shared" ref="CM23:CM24" si="207">Q23</f>
        <v>13855</v>
      </c>
      <c r="CN23" s="383">
        <f t="shared" ref="CN23:CN24" si="208">R23</f>
        <v>1.01</v>
      </c>
      <c r="CO23" s="269">
        <f t="shared" ref="CO23:CO24" si="209">CM23*CN23</f>
        <v>13994</v>
      </c>
      <c r="CP23" s="127">
        <v>1.302</v>
      </c>
      <c r="CQ23" s="128">
        <f t="shared" ref="CQ23:CQ24" si="210">CQ$12</f>
        <v>1.3502099999999999</v>
      </c>
      <c r="CR23" s="129">
        <v>0</v>
      </c>
      <c r="CS23" s="128">
        <f t="shared" si="155"/>
        <v>0.33593000000000001</v>
      </c>
      <c r="CT23" s="128">
        <f t="shared" si="155"/>
        <v>0.67049999999999998</v>
      </c>
      <c r="CU23" s="129">
        <v>0</v>
      </c>
      <c r="CV23" s="128">
        <f t="shared" ref="CV23:CV24" si="211">ROUND(CW23*CX23*CY23,2)</f>
        <v>0</v>
      </c>
      <c r="CW23" s="128">
        <f t="shared" si="19"/>
        <v>1.4220999999999999</v>
      </c>
      <c r="CX23" s="128">
        <f t="shared" ref="CX23:CX24" si="212">CX$12</f>
        <v>1.16164</v>
      </c>
      <c r="CY23" s="128">
        <f t="shared" ref="CY23:CY24" si="213">IF(CK23=0,0,CC23/CK23)</f>
        <v>0</v>
      </c>
      <c r="CZ23" s="130">
        <f t="shared" ref="CZ23:CZ24" si="214">CZ$12</f>
        <v>0.32064999999999999</v>
      </c>
      <c r="DA23" s="131">
        <f t="shared" ref="DA23:DA24" si="215">BY23*CF23+CB23*CF23</f>
        <v>0</v>
      </c>
      <c r="DB23" s="387">
        <f t="shared" ref="DB23:DB24" si="216">AF23</f>
        <v>41718.199999999997</v>
      </c>
      <c r="DC23" s="138">
        <f t="shared" ref="DC23:DC24" si="217">DB23-CO23*CQ23</f>
        <v>22823.360000000001</v>
      </c>
      <c r="DD23" s="142">
        <f t="shared" ref="DD23:DD24" si="218">DD$10/CF$26*CF23</f>
        <v>0</v>
      </c>
      <c r="DE23" s="131">
        <f t="shared" ref="DE23:DE24" si="219">DC23*DD23*1.302*12</f>
        <v>0</v>
      </c>
      <c r="DF23" s="153">
        <f t="shared" ref="DF23:DF24" si="220">IF(CF23=0,0,DE23/CF23)</f>
        <v>0</v>
      </c>
      <c r="DG23" s="140">
        <f t="shared" ref="DG23:DG24" si="221">IF(BZ23=0,0,(DF23+BZ23)/BZ23)</f>
        <v>0</v>
      </c>
      <c r="DI23" s="135">
        <f t="shared" ref="DI23:DI24" si="222">DJ23+EQ23</f>
        <v>0</v>
      </c>
      <c r="DJ23" s="135">
        <f t="shared" ref="DJ23:DJ24" si="223">DU23*DW23*DZ23*EA23*EB23*(1+EC23+ED23+EE23+EF23)*EG23/DN23/DO23</f>
        <v>0</v>
      </c>
      <c r="DK23" s="135">
        <f t="shared" ref="DK23:DK24" si="224">DU23*DW23*DZ23*EA23*EB23*(1+EC23+EF23)*EG23/DN23/DO23</f>
        <v>0</v>
      </c>
      <c r="DL23" s="135">
        <f t="shared" ref="DL23:DL24" si="225">DJ23-DK23</f>
        <v>0</v>
      </c>
      <c r="DM23" s="135">
        <f t="shared" ref="DM23:DM24" si="226">DU23*DW23*DZ23*EA23*EB23*(1+EC23+EF23)*EG23*EK23/DN23/DO23</f>
        <v>0</v>
      </c>
      <c r="DN23" s="124">
        <v>76.900000000000006</v>
      </c>
      <c r="DO23" s="132">
        <v>800</v>
      </c>
      <c r="DP23" s="133">
        <f t="shared" ref="DP23:DP24" si="227">DN23*DO23</f>
        <v>61520</v>
      </c>
      <c r="DQ23" s="378">
        <f>'1.4. часы и места для МЗ и СЗ'!Z41</f>
        <v>0</v>
      </c>
      <c r="DR23" s="378">
        <f>'1.4. часы и места для МЗ и СЗ'!AA41</f>
        <v>0</v>
      </c>
      <c r="DS23" s="378">
        <f>'1.4. часы и места для МЗ и СЗ'!AB41</f>
        <v>0</v>
      </c>
      <c r="DT23" s="378">
        <f>'1.4. часы и места для МЗ и СЗ'!AC41</f>
        <v>0</v>
      </c>
      <c r="DU23" s="379">
        <f>'1.4. часы и места для МЗ и СЗ'!AD41</f>
        <v>0</v>
      </c>
      <c r="DV23" s="133">
        <f t="shared" ref="DV23:DV24" si="228">DQ23/800</f>
        <v>0</v>
      </c>
      <c r="DW23" s="125">
        <v>12</v>
      </c>
      <c r="DX23" s="382">
        <f t="shared" ref="DX23:DX24" si="229">Q23</f>
        <v>13855</v>
      </c>
      <c r="DY23" s="383">
        <f t="shared" ref="DY23:DY24" si="230">R23</f>
        <v>1.01</v>
      </c>
      <c r="DZ23" s="269">
        <f t="shared" ref="DZ23:DZ24" si="231">DX23*DY23</f>
        <v>13994</v>
      </c>
      <c r="EA23" s="127">
        <v>1.302</v>
      </c>
      <c r="EB23" s="128">
        <f t="shared" ref="EB23:EB24" si="232">EB$12</f>
        <v>1.35737</v>
      </c>
      <c r="EC23" s="129">
        <v>0</v>
      </c>
      <c r="ED23" s="128">
        <f t="shared" si="156"/>
        <v>0.22051999999999999</v>
      </c>
      <c r="EE23" s="128">
        <f t="shared" si="156"/>
        <v>0.73350000000000004</v>
      </c>
      <c r="EF23" s="129">
        <v>0</v>
      </c>
      <c r="EG23" s="128">
        <f t="shared" ref="EG23:EG24" si="233">ROUND(EH23*EI23*EJ23,2)</f>
        <v>0</v>
      </c>
      <c r="EH23" s="128">
        <f t="shared" ref="EH23:EH24" si="234">EH$11</f>
        <v>1.2033499999999999</v>
      </c>
      <c r="EI23" s="128">
        <f t="shared" ref="EI23:EI24" si="235">EI$12</f>
        <v>1.16164</v>
      </c>
      <c r="EJ23" s="128">
        <f t="shared" ref="EJ23:EJ24" si="236">IF(DV23=0,0,DN23/DV23)</f>
        <v>0</v>
      </c>
      <c r="EK23" s="130">
        <f t="shared" ref="EK23:EK24" si="237">EK$12</f>
        <v>0.17288999999999999</v>
      </c>
      <c r="EL23" s="131">
        <f t="shared" ref="EL23:EL24" si="238">DJ23*DQ23+DM23*DQ23</f>
        <v>0</v>
      </c>
      <c r="EM23" s="387">
        <f t="shared" ref="EM23:EM24" si="239">AF23</f>
        <v>41718.199999999997</v>
      </c>
      <c r="EN23" s="138">
        <f t="shared" ref="EN23:EN24" si="240">EM23-DZ23*EB23</f>
        <v>22723.16</v>
      </c>
      <c r="EO23" s="142">
        <f t="shared" ref="EO23:EO24" si="241">EO$10/DQ$26*DQ23</f>
        <v>0</v>
      </c>
      <c r="EP23" s="131">
        <f t="shared" ref="EP23:EP24" si="242">EN23*EO23*1.302*12</f>
        <v>0</v>
      </c>
      <c r="EQ23" s="153">
        <f t="shared" ref="EQ23:EQ24" si="243">IF(DQ23=0,0,EP23/DQ23)</f>
        <v>0</v>
      </c>
      <c r="ER23" s="140">
        <f t="shared" ref="ER23:ER24" si="244">IF(DK23=0,0,(EQ23+DK23)/DK23)</f>
        <v>0</v>
      </c>
      <c r="ET23" s="135">
        <f t="shared" ref="ET23:ET24" si="245">EU23+GB23</f>
        <v>0</v>
      </c>
      <c r="EU23" s="135">
        <f t="shared" ref="EU23:EU24" si="246">FF23*FH23*FK23*FL23*FM23*(1+FN23+FO23+FP23+FQ23)*FR23/EY23/EZ23</f>
        <v>0</v>
      </c>
      <c r="EV23" s="135">
        <f t="shared" ref="EV23:EV24" si="247">FF23*FH23*FK23*FL23*FM23*(1+FN23+FQ23)*FR23/EY23/EZ23</f>
        <v>0</v>
      </c>
      <c r="EW23" s="135">
        <f t="shared" ref="EW23:EW24" si="248">EU23-EV23</f>
        <v>0</v>
      </c>
      <c r="EX23" s="135">
        <f t="shared" ref="EX23:EX24" si="249">FF23*FH23*FK23*FL23*FM23*(1+FN23+FQ23)*FR23*FV23/EY23/EZ23</f>
        <v>0</v>
      </c>
      <c r="EY23" s="124">
        <v>76.900000000000006</v>
      </c>
      <c r="EZ23" s="132">
        <v>800</v>
      </c>
      <c r="FA23" s="133">
        <f t="shared" ref="FA23:FA24" si="250">EY23*EZ23</f>
        <v>61520</v>
      </c>
      <c r="FB23" s="378">
        <f>'1.4. часы и места для МЗ и СЗ'!Z54</f>
        <v>0</v>
      </c>
      <c r="FC23" s="378">
        <f>'1.4. часы и места для МЗ и СЗ'!AA54</f>
        <v>0</v>
      </c>
      <c r="FD23" s="378">
        <f>'1.4. часы и места для МЗ и СЗ'!AB54</f>
        <v>0</v>
      </c>
      <c r="FE23" s="378">
        <f>'1.4. часы и места для МЗ и СЗ'!AC54</f>
        <v>0</v>
      </c>
      <c r="FF23" s="379">
        <f>'1.4. часы и места для МЗ и СЗ'!AD54</f>
        <v>0</v>
      </c>
      <c r="FG23" s="133">
        <f t="shared" ref="FG23:FG24" si="251">FB23/800</f>
        <v>0</v>
      </c>
      <c r="FH23" s="125">
        <v>12</v>
      </c>
      <c r="FI23" s="382">
        <f t="shared" ref="FI23:FI24" si="252">Q23</f>
        <v>13855</v>
      </c>
      <c r="FJ23" s="383">
        <f t="shared" ref="FJ23:FJ24" si="253">R23</f>
        <v>1.01</v>
      </c>
      <c r="FK23" s="269">
        <f t="shared" ref="FK23:FK24" si="254">FI23*FJ23</f>
        <v>13994</v>
      </c>
      <c r="FL23" s="127">
        <v>1.302</v>
      </c>
      <c r="FM23" s="128">
        <f t="shared" ref="FM23:FM24" si="255">FM$12</f>
        <v>1.32193</v>
      </c>
      <c r="FN23" s="129">
        <v>0</v>
      </c>
      <c r="FO23" s="128">
        <f t="shared" si="157"/>
        <v>0.21695999999999999</v>
      </c>
      <c r="FP23" s="128">
        <f t="shared" si="157"/>
        <v>0.97809999999999997</v>
      </c>
      <c r="FQ23" s="129">
        <v>0</v>
      </c>
      <c r="FR23" s="128">
        <f t="shared" ref="FR23:FR24" si="256">ROUND(FS23*FT23*FU23,2)</f>
        <v>0</v>
      </c>
      <c r="FS23" s="128">
        <f t="shared" si="37"/>
        <v>1.0935600000000001</v>
      </c>
      <c r="FT23" s="128">
        <f t="shared" ref="FT23:FT24" si="257">FT$12</f>
        <v>1.16164</v>
      </c>
      <c r="FU23" s="128">
        <f t="shared" ref="FU23:FU24" si="258">IF(FG23=0,0,EY23/FG23)</f>
        <v>0</v>
      </c>
      <c r="FV23" s="130">
        <f t="shared" ref="FV23:FV24" si="259">FV$12</f>
        <v>0</v>
      </c>
      <c r="FW23" s="131">
        <f t="shared" ref="FW23:FW24" si="260">EU23*FB23+EX23*FB23</f>
        <v>0</v>
      </c>
      <c r="FX23" s="387">
        <f t="shared" ref="FX23:FX24" si="261">AF23</f>
        <v>41718.199999999997</v>
      </c>
      <c r="FY23" s="138">
        <f t="shared" ref="FY23:FY24" si="262">FX23-FK23*FM23</f>
        <v>23219.11</v>
      </c>
      <c r="FZ23" s="142">
        <f t="shared" ref="FZ23:FZ24" si="263">FZ$10/FB$26*FB23</f>
        <v>0</v>
      </c>
      <c r="GA23" s="131">
        <f t="shared" ref="GA23:GA24" si="264">FY23*FZ23*1.302*12</f>
        <v>0</v>
      </c>
      <c r="GB23" s="153">
        <f t="shared" ref="GB23:GB24" si="265">IF(FB23=0,0,GA23/FB23)</f>
        <v>0</v>
      </c>
      <c r="GC23" s="140">
        <f t="shared" ref="GC23:GC24" si="266">IF(EV23=0,0,(GB23+EV23)/EV23)</f>
        <v>0</v>
      </c>
      <c r="GE23" s="135">
        <f t="shared" ref="GE23:GE24" si="267">GF23+HM23</f>
        <v>371.46</v>
      </c>
      <c r="GF23" s="135">
        <f t="shared" ref="GF23:GF24" si="268">GQ23*GS23*GV23*GW23*GX23*(1+GY23+GZ23+HA23+HB23)*HC23/GJ23/GK23</f>
        <v>333.46</v>
      </c>
      <c r="GG23" s="135">
        <f t="shared" ref="GG23:GG24" si="269">GQ23*GS23*GV23*GW23*GX23*(1+GY23+HB23)*HC23/GJ23/GK23</f>
        <v>172.56</v>
      </c>
      <c r="GH23" s="135">
        <f t="shared" ref="GH23:GH24" si="270">GF23-GG23</f>
        <v>160.9</v>
      </c>
      <c r="GI23" s="135">
        <f t="shared" ref="GI23:GI24" si="271">GQ23*GS23*GV23*GW23*GX23*(1+GY23+HB23)*HC23*HG23/GJ23/GK23</f>
        <v>23.72</v>
      </c>
      <c r="GJ23" s="124">
        <v>76.900000000000006</v>
      </c>
      <c r="GK23" s="132">
        <v>800</v>
      </c>
      <c r="GL23" s="133">
        <f t="shared" ref="GL23:GL24" si="272">GJ23*GK23</f>
        <v>61520</v>
      </c>
      <c r="GM23" s="227">
        <f t="shared" ref="GM23:GM24" si="273">J23+AU23+CF23+DQ23+FB23</f>
        <v>3816</v>
      </c>
      <c r="GN23" s="227">
        <f t="shared" ref="GN23:GN24" si="274">K23+AV23+CG23+DR23+FC23</f>
        <v>49</v>
      </c>
      <c r="GO23" s="227">
        <f t="shared" ref="GO23:GO24" si="275">L23+AW23+CH23+DS23+FD23</f>
        <v>6</v>
      </c>
      <c r="GP23" s="158" t="s">
        <v>471</v>
      </c>
      <c r="GQ23" s="229">
        <f t="shared" ref="GQ23:GQ24" si="276">N23+AY23+CJ23+DU23+FF23</f>
        <v>1.55</v>
      </c>
      <c r="GR23" s="133">
        <f t="shared" ref="GR23:GR24" si="277">GM23/800</f>
        <v>5</v>
      </c>
      <c r="GS23" s="125">
        <v>12</v>
      </c>
      <c r="GT23" s="382">
        <f t="shared" ref="GT23:GT24" si="278">Q23</f>
        <v>13855</v>
      </c>
      <c r="GU23" s="383">
        <f t="shared" ref="GU23:GU24" si="279">R23</f>
        <v>1.01</v>
      </c>
      <c r="GV23" s="269">
        <f t="shared" ref="GV23:GV24" si="280">GT23*GU23</f>
        <v>13994</v>
      </c>
      <c r="GW23" s="127">
        <v>1.302</v>
      </c>
      <c r="GX23" s="128">
        <f t="shared" ref="GX23:GX24" si="281">GX$12</f>
        <v>1.41039</v>
      </c>
      <c r="GY23" s="129">
        <v>0</v>
      </c>
      <c r="GZ23" s="128">
        <f t="shared" si="158"/>
        <v>0.32823000000000002</v>
      </c>
      <c r="HA23" s="128">
        <f t="shared" si="158"/>
        <v>0.60419</v>
      </c>
      <c r="HB23" s="129">
        <v>0</v>
      </c>
      <c r="HC23" s="128">
        <f t="shared" ref="HC23:HC24" si="282">ROUND(HD23*HE23*HF23,2)</f>
        <v>22.21</v>
      </c>
      <c r="HD23" s="128">
        <f t="shared" si="47"/>
        <v>1.24295</v>
      </c>
      <c r="HE23" s="128">
        <f t="shared" ref="HE23:HE24" si="283">HE$12</f>
        <v>1.16164</v>
      </c>
      <c r="HF23" s="128">
        <f t="shared" ref="HF23:HF24" si="284">IF(GR23=0,0,GJ23/GR23)</f>
        <v>15.38</v>
      </c>
      <c r="HG23" s="130">
        <f t="shared" ref="HG23:HG24" si="285">HG$12</f>
        <v>0.13744999999999999</v>
      </c>
      <c r="HH23" s="131">
        <f t="shared" ref="HH23:HH24" si="286">GF23*GM23+GI23*GM23</f>
        <v>1362999</v>
      </c>
      <c r="HI23" s="387">
        <f t="shared" ref="HI23:HI24" si="287">AF23</f>
        <v>41718.199999999997</v>
      </c>
      <c r="HJ23" s="138">
        <f t="shared" ref="HJ23:HJ24" si="288">HI23-GV23*GX23</f>
        <v>21981.200000000001</v>
      </c>
      <c r="HK23" s="142">
        <f t="shared" ref="HK23:HK24" si="289">HK$10/GM$26*GM23</f>
        <v>0.42655199999999999</v>
      </c>
      <c r="HL23" s="131">
        <f t="shared" ref="HL23:HL24" si="290">HJ23*HK23*1.302*12</f>
        <v>146493</v>
      </c>
      <c r="HM23" s="153">
        <f t="shared" ref="HM23:HM24" si="291">IF(GM23=0,0,HL23/GM23)</f>
        <v>38</v>
      </c>
      <c r="HN23" s="140">
        <f t="shared" ref="HN23:HN24" si="292">IF(GG23=0,0,(HM23+GG23)/GG23)</f>
        <v>1.22021</v>
      </c>
      <c r="HP23" s="151">
        <f t="shared" ref="HP23:HP24" si="293">GQ23*18</f>
        <v>27.9</v>
      </c>
      <c r="HS23" s="163">
        <f t="shared" ref="HS23:HS24" si="294">J23</f>
        <v>3816</v>
      </c>
      <c r="HT23" s="163">
        <f t="shared" ref="HT23:HT24" si="295">AU23</f>
        <v>0</v>
      </c>
      <c r="HU23" s="163">
        <f t="shared" ref="HU23:HU24" si="296">CF23</f>
        <v>0</v>
      </c>
      <c r="HV23" s="163">
        <f t="shared" ref="HV23:HV24" si="297">DQ23</f>
        <v>0</v>
      </c>
      <c r="HW23" s="163">
        <f t="shared" ref="HW23:HW24" si="298">FB23</f>
        <v>0</v>
      </c>
      <c r="HX23" s="162">
        <f t="shared" ref="HX23:HX24" si="299">SUM(HS23:HW23)</f>
        <v>3816</v>
      </c>
      <c r="HY23" s="163">
        <f t="shared" ref="HY23:HY24" si="300">HS23*B23</f>
        <v>1309536.72</v>
      </c>
      <c r="HZ23" s="163">
        <f t="shared" ref="HZ23:HZ24" si="301">HT23*AM23</f>
        <v>0</v>
      </c>
      <c r="IA23" s="163">
        <f t="shared" ref="IA23:IA24" si="302">HU23*BX23</f>
        <v>0</v>
      </c>
      <c r="IB23" s="163">
        <f t="shared" ref="IB23:IB24" si="303">HV23*DI23</f>
        <v>0</v>
      </c>
      <c r="IC23" s="163">
        <f t="shared" ref="IC23:IC24" si="304">HW23*ET23</f>
        <v>0</v>
      </c>
      <c r="ID23" s="162">
        <f t="shared" ref="ID23:ID24" si="305">SUM(HY23:IC23)</f>
        <v>1309536.72</v>
      </c>
    </row>
    <row r="24" spans="1:238" s="113" customFormat="1" ht="36" x14ac:dyDescent="0.25">
      <c r="A24" s="121" t="s">
        <v>1183</v>
      </c>
      <c r="B24" s="135">
        <f t="shared" si="159"/>
        <v>239.56</v>
      </c>
      <c r="C24" s="135">
        <f t="shared" si="160"/>
        <v>197.56</v>
      </c>
      <c r="D24" s="135">
        <f t="shared" si="161"/>
        <v>112.58</v>
      </c>
      <c r="E24" s="135">
        <f t="shared" si="162"/>
        <v>84.98</v>
      </c>
      <c r="F24" s="135">
        <f t="shared" si="163"/>
        <v>9.17</v>
      </c>
      <c r="G24" s="124">
        <v>76.900000000000006</v>
      </c>
      <c r="H24" s="132">
        <v>800</v>
      </c>
      <c r="I24" s="133">
        <f t="shared" si="164"/>
        <v>61520</v>
      </c>
      <c r="J24" s="378">
        <f>'1.4. часы и места для МЗ и СЗ'!Z30</f>
        <v>2268</v>
      </c>
      <c r="K24" s="378">
        <f>'1.4. часы и места для МЗ и СЗ'!AA30</f>
        <v>14</v>
      </c>
      <c r="L24" s="378">
        <f>'1.4. часы и места для МЗ и СЗ'!AB30</f>
        <v>2</v>
      </c>
      <c r="M24" s="378">
        <f>'1.4. часы и места для МЗ и СЗ'!AC30</f>
        <v>36</v>
      </c>
      <c r="N24" s="379">
        <f>'1.4. часы и места для МЗ и СЗ'!AD30</f>
        <v>0.61</v>
      </c>
      <c r="O24" s="133">
        <f t="shared" si="165"/>
        <v>3</v>
      </c>
      <c r="P24" s="125">
        <v>12</v>
      </c>
      <c r="Q24" s="160">
        <v>13855</v>
      </c>
      <c r="R24" s="272">
        <v>1.01</v>
      </c>
      <c r="S24" s="269">
        <f t="shared" si="166"/>
        <v>13994</v>
      </c>
      <c r="T24" s="127">
        <v>1.302</v>
      </c>
      <c r="U24" s="128">
        <f t="shared" si="167"/>
        <v>1.48072</v>
      </c>
      <c r="V24" s="129">
        <v>0</v>
      </c>
      <c r="W24" s="128">
        <f t="shared" si="153"/>
        <v>0.29183999999999999</v>
      </c>
      <c r="X24" s="128">
        <f t="shared" si="153"/>
        <v>0.46305000000000002</v>
      </c>
      <c r="Y24" s="129">
        <v>0</v>
      </c>
      <c r="Z24" s="128">
        <f t="shared" si="168"/>
        <v>35.07</v>
      </c>
      <c r="AA24" s="128">
        <f t="shared" si="2"/>
        <v>1.1776</v>
      </c>
      <c r="AB24" s="128">
        <f t="shared" si="169"/>
        <v>1.16164</v>
      </c>
      <c r="AC24" s="128">
        <f t="shared" si="170"/>
        <v>25.633330000000001</v>
      </c>
      <c r="AD24" s="130">
        <f t="shared" si="171"/>
        <v>8.1439999999999999E-2</v>
      </c>
      <c r="AE24" s="131">
        <f t="shared" si="172"/>
        <v>468864</v>
      </c>
      <c r="AF24" s="162">
        <v>41718.199999999997</v>
      </c>
      <c r="AG24" s="138">
        <f t="shared" si="173"/>
        <v>20997</v>
      </c>
      <c r="AH24" s="142">
        <f t="shared" si="174"/>
        <v>0.291489</v>
      </c>
      <c r="AI24" s="131">
        <f t="shared" si="175"/>
        <v>95625</v>
      </c>
      <c r="AJ24" s="153">
        <f t="shared" si="176"/>
        <v>42</v>
      </c>
      <c r="AK24" s="140">
        <f t="shared" si="177"/>
        <v>1.37307</v>
      </c>
      <c r="AM24" s="135">
        <f t="shared" si="178"/>
        <v>0</v>
      </c>
      <c r="AN24" s="135">
        <f t="shared" si="179"/>
        <v>0</v>
      </c>
      <c r="AO24" s="135">
        <f t="shared" si="180"/>
        <v>0</v>
      </c>
      <c r="AP24" s="135">
        <f t="shared" si="181"/>
        <v>0</v>
      </c>
      <c r="AQ24" s="135">
        <f t="shared" si="182"/>
        <v>0</v>
      </c>
      <c r="AR24" s="124">
        <v>76.900000000000006</v>
      </c>
      <c r="AS24" s="132">
        <v>800</v>
      </c>
      <c r="AT24" s="133">
        <f t="shared" si="183"/>
        <v>61520</v>
      </c>
      <c r="AU24" s="378">
        <f>'1.4. часы и места для МЗ и СЗ'!Z69</f>
        <v>0</v>
      </c>
      <c r="AV24" s="378">
        <f>'1.4. часы и места для МЗ и СЗ'!AA69</f>
        <v>0</v>
      </c>
      <c r="AW24" s="378">
        <f>'1.4. часы и места для МЗ и СЗ'!AB69</f>
        <v>0</v>
      </c>
      <c r="AX24" s="378">
        <f>'1.4. часы и места для МЗ и СЗ'!AC69</f>
        <v>0</v>
      </c>
      <c r="AY24" s="379">
        <f>'1.4. часы и места для МЗ и СЗ'!AD69</f>
        <v>0</v>
      </c>
      <c r="AZ24" s="133">
        <f t="shared" si="184"/>
        <v>0</v>
      </c>
      <c r="BA24" s="125">
        <v>12</v>
      </c>
      <c r="BB24" s="382">
        <f t="shared" si="185"/>
        <v>13855</v>
      </c>
      <c r="BC24" s="383">
        <f t="shared" si="186"/>
        <v>1.01</v>
      </c>
      <c r="BD24" s="269">
        <f t="shared" si="187"/>
        <v>13994</v>
      </c>
      <c r="BE24" s="127">
        <v>1.302</v>
      </c>
      <c r="BF24" s="128">
        <f t="shared" si="188"/>
        <v>1.3871500000000001</v>
      </c>
      <c r="BG24" s="129">
        <v>0</v>
      </c>
      <c r="BH24" s="128">
        <f t="shared" si="154"/>
        <v>0.42914999999999998</v>
      </c>
      <c r="BI24" s="128">
        <f t="shared" si="154"/>
        <v>0.66744000000000003</v>
      </c>
      <c r="BJ24" s="129">
        <v>0</v>
      </c>
      <c r="BK24" s="128">
        <f t="shared" si="189"/>
        <v>0</v>
      </c>
      <c r="BL24" s="128">
        <f t="shared" si="10"/>
        <v>1.2245299999999999</v>
      </c>
      <c r="BM24" s="128">
        <f t="shared" si="190"/>
        <v>1.16164</v>
      </c>
      <c r="BN24" s="128">
        <f t="shared" si="191"/>
        <v>0</v>
      </c>
      <c r="BO24" s="130">
        <f t="shared" si="192"/>
        <v>0.10267</v>
      </c>
      <c r="BP24" s="131">
        <f t="shared" si="193"/>
        <v>0</v>
      </c>
      <c r="BQ24" s="387">
        <f t="shared" si="194"/>
        <v>41718.199999999997</v>
      </c>
      <c r="BR24" s="138">
        <f t="shared" si="195"/>
        <v>22306.42</v>
      </c>
      <c r="BS24" s="142">
        <f t="shared" si="196"/>
        <v>0</v>
      </c>
      <c r="BT24" s="131">
        <f t="shared" si="197"/>
        <v>0</v>
      </c>
      <c r="BU24" s="153">
        <f t="shared" si="198"/>
        <v>0</v>
      </c>
      <c r="BV24" s="140">
        <f t="shared" si="199"/>
        <v>0</v>
      </c>
      <c r="BX24" s="135">
        <f t="shared" si="200"/>
        <v>119.64</v>
      </c>
      <c r="BY24" s="135">
        <f t="shared" si="201"/>
        <v>78.64</v>
      </c>
      <c r="BZ24" s="135">
        <f t="shared" si="202"/>
        <v>39.19</v>
      </c>
      <c r="CA24" s="135">
        <f t="shared" si="203"/>
        <v>39.450000000000003</v>
      </c>
      <c r="CB24" s="135">
        <f t="shared" si="204"/>
        <v>12.57</v>
      </c>
      <c r="CC24" s="124">
        <v>76.900000000000006</v>
      </c>
      <c r="CD24" s="132">
        <v>800</v>
      </c>
      <c r="CE24" s="133">
        <f t="shared" si="205"/>
        <v>61520</v>
      </c>
      <c r="CF24" s="378">
        <f>'1.4. часы и места для МЗ и СЗ'!Z82</f>
        <v>5976</v>
      </c>
      <c r="CG24" s="378">
        <f>'1.4. часы и места для МЗ и СЗ'!AA82</f>
        <v>38</v>
      </c>
      <c r="CH24" s="378">
        <f>'1.4. часы и места для МЗ и СЗ'!AB82</f>
        <v>2</v>
      </c>
      <c r="CI24" s="378">
        <f>'1.4. часы и места для МЗ и СЗ'!AC82</f>
        <v>36</v>
      </c>
      <c r="CJ24" s="379">
        <f>'1.4. часы и места для МЗ и СЗ'!AD82</f>
        <v>0.45</v>
      </c>
      <c r="CK24" s="133">
        <f t="shared" si="206"/>
        <v>7</v>
      </c>
      <c r="CL24" s="125">
        <v>12</v>
      </c>
      <c r="CM24" s="382">
        <f t="shared" si="207"/>
        <v>13855</v>
      </c>
      <c r="CN24" s="383">
        <f t="shared" si="208"/>
        <v>1.01</v>
      </c>
      <c r="CO24" s="269">
        <f t="shared" si="209"/>
        <v>13994</v>
      </c>
      <c r="CP24" s="127">
        <v>1.302</v>
      </c>
      <c r="CQ24" s="128">
        <f t="shared" si="210"/>
        <v>1.3502099999999999</v>
      </c>
      <c r="CR24" s="129">
        <v>0</v>
      </c>
      <c r="CS24" s="128">
        <f t="shared" si="155"/>
        <v>0.33593000000000001</v>
      </c>
      <c r="CT24" s="128">
        <f t="shared" si="155"/>
        <v>0.67049999999999998</v>
      </c>
      <c r="CU24" s="129">
        <v>0</v>
      </c>
      <c r="CV24" s="128">
        <f t="shared" si="211"/>
        <v>18.149999999999999</v>
      </c>
      <c r="CW24" s="128">
        <f t="shared" si="19"/>
        <v>1.4220999999999999</v>
      </c>
      <c r="CX24" s="128">
        <f t="shared" si="212"/>
        <v>1.16164</v>
      </c>
      <c r="CY24" s="128">
        <f t="shared" si="213"/>
        <v>10.985709999999999</v>
      </c>
      <c r="CZ24" s="130">
        <f t="shared" si="214"/>
        <v>0.32064999999999999</v>
      </c>
      <c r="DA24" s="131">
        <f t="shared" si="215"/>
        <v>545071</v>
      </c>
      <c r="DB24" s="387">
        <f t="shared" si="216"/>
        <v>41718.199999999997</v>
      </c>
      <c r="DC24" s="138">
        <f t="shared" si="217"/>
        <v>22823.360000000001</v>
      </c>
      <c r="DD24" s="142">
        <f t="shared" si="218"/>
        <v>0.69448699999999997</v>
      </c>
      <c r="DE24" s="131">
        <f t="shared" si="219"/>
        <v>247649</v>
      </c>
      <c r="DF24" s="153">
        <f t="shared" si="220"/>
        <v>41</v>
      </c>
      <c r="DG24" s="140">
        <f t="shared" si="221"/>
        <v>2.0461900000000002</v>
      </c>
      <c r="DI24" s="135">
        <f t="shared" si="222"/>
        <v>0</v>
      </c>
      <c r="DJ24" s="135">
        <f t="shared" si="223"/>
        <v>0</v>
      </c>
      <c r="DK24" s="135">
        <f t="shared" si="224"/>
        <v>0</v>
      </c>
      <c r="DL24" s="135">
        <f t="shared" si="225"/>
        <v>0</v>
      </c>
      <c r="DM24" s="135">
        <f t="shared" si="226"/>
        <v>0</v>
      </c>
      <c r="DN24" s="124">
        <v>76.900000000000006</v>
      </c>
      <c r="DO24" s="132">
        <v>800</v>
      </c>
      <c r="DP24" s="133">
        <f t="shared" si="227"/>
        <v>61520</v>
      </c>
      <c r="DQ24" s="378">
        <f>'1.4. часы и места для МЗ и СЗ'!Z43</f>
        <v>0</v>
      </c>
      <c r="DR24" s="378">
        <f>'1.4. часы и места для МЗ и СЗ'!AA43</f>
        <v>0</v>
      </c>
      <c r="DS24" s="378">
        <f>'1.4. часы и места для МЗ и СЗ'!AB43</f>
        <v>0</v>
      </c>
      <c r="DT24" s="378">
        <f>'1.4. часы и места для МЗ и СЗ'!AC43</f>
        <v>0</v>
      </c>
      <c r="DU24" s="379">
        <f>'1.4. часы и места для МЗ и СЗ'!AD43</f>
        <v>0</v>
      </c>
      <c r="DV24" s="133">
        <f t="shared" si="228"/>
        <v>0</v>
      </c>
      <c r="DW24" s="125">
        <v>12</v>
      </c>
      <c r="DX24" s="382">
        <f t="shared" si="229"/>
        <v>13855</v>
      </c>
      <c r="DY24" s="383">
        <f t="shared" si="230"/>
        <v>1.01</v>
      </c>
      <c r="DZ24" s="269">
        <f t="shared" si="231"/>
        <v>13994</v>
      </c>
      <c r="EA24" s="127">
        <v>1.302</v>
      </c>
      <c r="EB24" s="128">
        <f t="shared" si="232"/>
        <v>1.35737</v>
      </c>
      <c r="EC24" s="129">
        <v>0</v>
      </c>
      <c r="ED24" s="128">
        <f t="shared" si="156"/>
        <v>0.22051999999999999</v>
      </c>
      <c r="EE24" s="128">
        <f t="shared" si="156"/>
        <v>0.73350000000000004</v>
      </c>
      <c r="EF24" s="129">
        <v>0</v>
      </c>
      <c r="EG24" s="128">
        <f t="shared" si="233"/>
        <v>0</v>
      </c>
      <c r="EH24" s="128">
        <f t="shared" si="234"/>
        <v>1.2033499999999999</v>
      </c>
      <c r="EI24" s="128">
        <f t="shared" si="235"/>
        <v>1.16164</v>
      </c>
      <c r="EJ24" s="128">
        <f t="shared" si="236"/>
        <v>0</v>
      </c>
      <c r="EK24" s="130">
        <f t="shared" si="237"/>
        <v>0.17288999999999999</v>
      </c>
      <c r="EL24" s="131">
        <f t="shared" si="238"/>
        <v>0</v>
      </c>
      <c r="EM24" s="387">
        <f t="shared" si="239"/>
        <v>41718.199999999997</v>
      </c>
      <c r="EN24" s="138">
        <f t="shared" si="240"/>
        <v>22723.16</v>
      </c>
      <c r="EO24" s="142">
        <f t="shared" si="241"/>
        <v>0</v>
      </c>
      <c r="EP24" s="131">
        <f t="shared" si="242"/>
        <v>0</v>
      </c>
      <c r="EQ24" s="153">
        <f t="shared" si="243"/>
        <v>0</v>
      </c>
      <c r="ER24" s="140">
        <f t="shared" si="244"/>
        <v>0</v>
      </c>
      <c r="ET24" s="135">
        <f t="shared" si="245"/>
        <v>0</v>
      </c>
      <c r="EU24" s="135">
        <f t="shared" si="246"/>
        <v>0</v>
      </c>
      <c r="EV24" s="135">
        <f t="shared" si="247"/>
        <v>0</v>
      </c>
      <c r="EW24" s="135">
        <f t="shared" si="248"/>
        <v>0</v>
      </c>
      <c r="EX24" s="135">
        <f t="shared" si="249"/>
        <v>0</v>
      </c>
      <c r="EY24" s="124">
        <v>76.900000000000006</v>
      </c>
      <c r="EZ24" s="132">
        <v>800</v>
      </c>
      <c r="FA24" s="133">
        <f t="shared" si="250"/>
        <v>61520</v>
      </c>
      <c r="FB24" s="378">
        <f>'1.4. часы и места для МЗ и СЗ'!Z56</f>
        <v>0</v>
      </c>
      <c r="FC24" s="378">
        <f>'1.4. часы и места для МЗ и СЗ'!AA56</f>
        <v>0</v>
      </c>
      <c r="FD24" s="378">
        <f>'1.4. часы и места для МЗ и СЗ'!AB56</f>
        <v>0</v>
      </c>
      <c r="FE24" s="378">
        <f>'1.4. часы и места для МЗ и СЗ'!AC56</f>
        <v>0</v>
      </c>
      <c r="FF24" s="379">
        <f>'1.4. часы и места для МЗ и СЗ'!AD56</f>
        <v>0</v>
      </c>
      <c r="FG24" s="133">
        <f t="shared" si="251"/>
        <v>0</v>
      </c>
      <c r="FH24" s="125">
        <v>12</v>
      </c>
      <c r="FI24" s="382">
        <f t="shared" si="252"/>
        <v>13855</v>
      </c>
      <c r="FJ24" s="383">
        <f t="shared" si="253"/>
        <v>1.01</v>
      </c>
      <c r="FK24" s="269">
        <f t="shared" si="254"/>
        <v>13994</v>
      </c>
      <c r="FL24" s="127">
        <v>1.302</v>
      </c>
      <c r="FM24" s="128">
        <f t="shared" si="255"/>
        <v>1.32193</v>
      </c>
      <c r="FN24" s="129">
        <v>0</v>
      </c>
      <c r="FO24" s="128">
        <f t="shared" si="157"/>
        <v>0.21695999999999999</v>
      </c>
      <c r="FP24" s="128">
        <f t="shared" si="157"/>
        <v>0.97809999999999997</v>
      </c>
      <c r="FQ24" s="129">
        <v>0</v>
      </c>
      <c r="FR24" s="128">
        <f t="shared" si="256"/>
        <v>0</v>
      </c>
      <c r="FS24" s="128">
        <f t="shared" si="37"/>
        <v>1.0935600000000001</v>
      </c>
      <c r="FT24" s="128">
        <f t="shared" si="257"/>
        <v>1.16164</v>
      </c>
      <c r="FU24" s="128">
        <f t="shared" si="258"/>
        <v>0</v>
      </c>
      <c r="FV24" s="130">
        <f t="shared" si="259"/>
        <v>0</v>
      </c>
      <c r="FW24" s="131">
        <f t="shared" si="260"/>
        <v>0</v>
      </c>
      <c r="FX24" s="387">
        <f t="shared" si="261"/>
        <v>41718.199999999997</v>
      </c>
      <c r="FY24" s="138">
        <f t="shared" si="262"/>
        <v>23219.11</v>
      </c>
      <c r="FZ24" s="142">
        <f t="shared" si="263"/>
        <v>0</v>
      </c>
      <c r="GA24" s="131">
        <f t="shared" si="264"/>
        <v>0</v>
      </c>
      <c r="GB24" s="153">
        <f t="shared" si="265"/>
        <v>0</v>
      </c>
      <c r="GC24" s="140">
        <f t="shared" si="266"/>
        <v>0</v>
      </c>
      <c r="GE24" s="135">
        <f t="shared" si="267"/>
        <v>151.97</v>
      </c>
      <c r="GF24" s="135">
        <f t="shared" si="268"/>
        <v>113.97</v>
      </c>
      <c r="GG24" s="135">
        <f t="shared" si="269"/>
        <v>58.98</v>
      </c>
      <c r="GH24" s="135">
        <f t="shared" si="270"/>
        <v>54.99</v>
      </c>
      <c r="GI24" s="135">
        <f t="shared" si="271"/>
        <v>8.11</v>
      </c>
      <c r="GJ24" s="124">
        <v>76.900000000000006</v>
      </c>
      <c r="GK24" s="132">
        <v>800</v>
      </c>
      <c r="GL24" s="133">
        <f t="shared" si="272"/>
        <v>61520</v>
      </c>
      <c r="GM24" s="227">
        <f t="shared" si="273"/>
        <v>8244</v>
      </c>
      <c r="GN24" s="227">
        <f t="shared" si="274"/>
        <v>52</v>
      </c>
      <c r="GO24" s="227">
        <f t="shared" si="275"/>
        <v>4</v>
      </c>
      <c r="GP24" s="158" t="s">
        <v>471</v>
      </c>
      <c r="GQ24" s="229">
        <f t="shared" si="276"/>
        <v>1.06</v>
      </c>
      <c r="GR24" s="133">
        <f t="shared" si="277"/>
        <v>10</v>
      </c>
      <c r="GS24" s="125">
        <v>12</v>
      </c>
      <c r="GT24" s="382">
        <f t="shared" si="278"/>
        <v>13855</v>
      </c>
      <c r="GU24" s="383">
        <f t="shared" si="279"/>
        <v>1.01</v>
      </c>
      <c r="GV24" s="269">
        <f t="shared" si="280"/>
        <v>13994</v>
      </c>
      <c r="GW24" s="127">
        <v>1.302</v>
      </c>
      <c r="GX24" s="128">
        <f t="shared" si="281"/>
        <v>1.41039</v>
      </c>
      <c r="GY24" s="129">
        <v>0</v>
      </c>
      <c r="GZ24" s="128">
        <f t="shared" si="158"/>
        <v>0.32823000000000002</v>
      </c>
      <c r="HA24" s="128">
        <f t="shared" si="158"/>
        <v>0.60419</v>
      </c>
      <c r="HB24" s="129">
        <v>0</v>
      </c>
      <c r="HC24" s="128">
        <f t="shared" si="282"/>
        <v>11.1</v>
      </c>
      <c r="HD24" s="128">
        <f t="shared" si="47"/>
        <v>1.24295</v>
      </c>
      <c r="HE24" s="128">
        <f t="shared" si="283"/>
        <v>1.16164</v>
      </c>
      <c r="HF24" s="128">
        <f t="shared" si="284"/>
        <v>7.69</v>
      </c>
      <c r="HG24" s="130">
        <f t="shared" si="285"/>
        <v>0.13744999999999999</v>
      </c>
      <c r="HH24" s="131">
        <f t="shared" si="286"/>
        <v>1006428</v>
      </c>
      <c r="HI24" s="387">
        <f t="shared" si="287"/>
        <v>41718.199999999997</v>
      </c>
      <c r="HJ24" s="138">
        <f t="shared" si="288"/>
        <v>21981.200000000001</v>
      </c>
      <c r="HK24" s="142">
        <f t="shared" si="289"/>
        <v>0.92151300000000003</v>
      </c>
      <c r="HL24" s="131">
        <f t="shared" si="290"/>
        <v>316479</v>
      </c>
      <c r="HM24" s="153">
        <f t="shared" si="291"/>
        <v>38</v>
      </c>
      <c r="HN24" s="140">
        <f t="shared" si="292"/>
        <v>1.64429</v>
      </c>
      <c r="HP24" s="151">
        <f t="shared" si="293"/>
        <v>19.079999999999998</v>
      </c>
      <c r="HS24" s="163">
        <f t="shared" si="294"/>
        <v>2268</v>
      </c>
      <c r="HT24" s="163">
        <f t="shared" si="295"/>
        <v>0</v>
      </c>
      <c r="HU24" s="163">
        <f t="shared" si="296"/>
        <v>5976</v>
      </c>
      <c r="HV24" s="163">
        <f t="shared" si="297"/>
        <v>0</v>
      </c>
      <c r="HW24" s="163">
        <f t="shared" si="298"/>
        <v>0</v>
      </c>
      <c r="HX24" s="162">
        <f t="shared" si="299"/>
        <v>8244</v>
      </c>
      <c r="HY24" s="163">
        <f t="shared" si="300"/>
        <v>543322.07999999996</v>
      </c>
      <c r="HZ24" s="163">
        <f t="shared" si="301"/>
        <v>0</v>
      </c>
      <c r="IA24" s="163">
        <f t="shared" si="302"/>
        <v>714968.64</v>
      </c>
      <c r="IB24" s="163">
        <f t="shared" si="303"/>
        <v>0</v>
      </c>
      <c r="IC24" s="163">
        <f t="shared" si="304"/>
        <v>0</v>
      </c>
      <c r="ID24" s="162">
        <f t="shared" si="305"/>
        <v>1258290.72</v>
      </c>
    </row>
    <row r="25" spans="1:238" s="113" customFormat="1" x14ac:dyDescent="0.25">
      <c r="A25" s="842"/>
      <c r="B25" s="814"/>
      <c r="C25" s="814"/>
      <c r="D25" s="814"/>
      <c r="E25" s="814"/>
      <c r="F25" s="814"/>
      <c r="G25" s="815"/>
      <c r="H25" s="816"/>
      <c r="I25" s="817"/>
      <c r="J25" s="818"/>
      <c r="K25" s="818"/>
      <c r="L25" s="818"/>
      <c r="M25" s="818"/>
      <c r="N25" s="819"/>
      <c r="O25" s="817"/>
      <c r="P25" s="820"/>
      <c r="Q25" s="821"/>
      <c r="R25" s="822"/>
      <c r="S25" s="823"/>
      <c r="T25" s="824"/>
      <c r="U25" s="825"/>
      <c r="V25" s="826"/>
      <c r="W25" s="825"/>
      <c r="X25" s="825"/>
      <c r="Y25" s="826"/>
      <c r="Z25" s="825"/>
      <c r="AA25" s="825"/>
      <c r="AB25" s="825"/>
      <c r="AC25" s="825"/>
      <c r="AD25" s="827"/>
      <c r="AE25" s="828"/>
      <c r="AF25" s="829"/>
      <c r="AG25" s="830"/>
      <c r="AH25" s="831"/>
      <c r="AI25" s="828"/>
      <c r="AJ25" s="832"/>
      <c r="AK25" s="833"/>
      <c r="AM25" s="814"/>
      <c r="AN25" s="814"/>
      <c r="AO25" s="814"/>
      <c r="AP25" s="814"/>
      <c r="AQ25" s="814"/>
      <c r="AR25" s="815"/>
      <c r="AS25" s="816"/>
      <c r="AT25" s="817"/>
      <c r="AU25" s="818"/>
      <c r="AV25" s="818"/>
      <c r="AW25" s="818"/>
      <c r="AX25" s="818"/>
      <c r="AY25" s="819"/>
      <c r="AZ25" s="817"/>
      <c r="BA25" s="820"/>
      <c r="BB25" s="834"/>
      <c r="BC25" s="835"/>
      <c r="BD25" s="823"/>
      <c r="BE25" s="824"/>
      <c r="BF25" s="825"/>
      <c r="BG25" s="826"/>
      <c r="BH25" s="825"/>
      <c r="BI25" s="825"/>
      <c r="BJ25" s="826"/>
      <c r="BK25" s="825"/>
      <c r="BL25" s="825"/>
      <c r="BM25" s="825"/>
      <c r="BN25" s="825"/>
      <c r="BO25" s="827"/>
      <c r="BP25" s="828"/>
      <c r="BQ25" s="836"/>
      <c r="BR25" s="830"/>
      <c r="BS25" s="831"/>
      <c r="BT25" s="828"/>
      <c r="BU25" s="832"/>
      <c r="BV25" s="833"/>
      <c r="BX25" s="814"/>
      <c r="BY25" s="814"/>
      <c r="BZ25" s="814"/>
      <c r="CA25" s="814"/>
      <c r="CB25" s="814"/>
      <c r="CC25" s="815"/>
      <c r="CD25" s="816"/>
      <c r="CE25" s="817"/>
      <c r="CF25" s="818"/>
      <c r="CG25" s="818"/>
      <c r="CH25" s="818"/>
      <c r="CI25" s="818"/>
      <c r="CJ25" s="819"/>
      <c r="CK25" s="817"/>
      <c r="CL25" s="820"/>
      <c r="CM25" s="834"/>
      <c r="CN25" s="835"/>
      <c r="CO25" s="823"/>
      <c r="CP25" s="824"/>
      <c r="CQ25" s="825"/>
      <c r="CR25" s="826"/>
      <c r="CS25" s="825"/>
      <c r="CT25" s="825"/>
      <c r="CU25" s="826"/>
      <c r="CV25" s="825"/>
      <c r="CW25" s="825"/>
      <c r="CX25" s="825"/>
      <c r="CY25" s="825"/>
      <c r="CZ25" s="827"/>
      <c r="DA25" s="828"/>
      <c r="DB25" s="836"/>
      <c r="DC25" s="830"/>
      <c r="DD25" s="831"/>
      <c r="DE25" s="828"/>
      <c r="DF25" s="832"/>
      <c r="DG25" s="833"/>
      <c r="DI25" s="814"/>
      <c r="DJ25" s="814"/>
      <c r="DK25" s="814"/>
      <c r="DL25" s="814"/>
      <c r="DM25" s="814"/>
      <c r="DN25" s="815"/>
      <c r="DO25" s="816"/>
      <c r="DP25" s="817"/>
      <c r="DQ25" s="818"/>
      <c r="DR25" s="818"/>
      <c r="DS25" s="818"/>
      <c r="DT25" s="818"/>
      <c r="DU25" s="819"/>
      <c r="DV25" s="817"/>
      <c r="DW25" s="820"/>
      <c r="DX25" s="834"/>
      <c r="DY25" s="835"/>
      <c r="DZ25" s="823"/>
      <c r="EA25" s="824"/>
      <c r="EB25" s="825"/>
      <c r="EC25" s="826"/>
      <c r="ED25" s="825"/>
      <c r="EE25" s="825"/>
      <c r="EF25" s="826"/>
      <c r="EG25" s="825"/>
      <c r="EH25" s="825"/>
      <c r="EI25" s="825"/>
      <c r="EJ25" s="825"/>
      <c r="EK25" s="827"/>
      <c r="EL25" s="828"/>
      <c r="EM25" s="836"/>
      <c r="EN25" s="830"/>
      <c r="EO25" s="831"/>
      <c r="EP25" s="828"/>
      <c r="EQ25" s="832"/>
      <c r="ER25" s="833"/>
      <c r="ET25" s="814"/>
      <c r="EU25" s="814"/>
      <c r="EV25" s="814"/>
      <c r="EW25" s="814"/>
      <c r="EX25" s="814"/>
      <c r="EY25" s="815"/>
      <c r="EZ25" s="816"/>
      <c r="FA25" s="817"/>
      <c r="FB25" s="818"/>
      <c r="FC25" s="818"/>
      <c r="FD25" s="818"/>
      <c r="FE25" s="818"/>
      <c r="FF25" s="819"/>
      <c r="FG25" s="817"/>
      <c r="FH25" s="820"/>
      <c r="FI25" s="834"/>
      <c r="FJ25" s="835"/>
      <c r="FK25" s="823"/>
      <c r="FL25" s="824"/>
      <c r="FM25" s="825"/>
      <c r="FN25" s="826"/>
      <c r="FO25" s="825"/>
      <c r="FP25" s="825"/>
      <c r="FQ25" s="826"/>
      <c r="FR25" s="825"/>
      <c r="FS25" s="825"/>
      <c r="FT25" s="825"/>
      <c r="FU25" s="825"/>
      <c r="FV25" s="827"/>
      <c r="FW25" s="828"/>
      <c r="FX25" s="836"/>
      <c r="FY25" s="830"/>
      <c r="FZ25" s="831"/>
      <c r="GA25" s="828"/>
      <c r="GB25" s="832"/>
      <c r="GC25" s="833"/>
      <c r="GE25" s="814"/>
      <c r="GF25" s="814"/>
      <c r="GG25" s="814"/>
      <c r="GH25" s="814"/>
      <c r="GI25" s="814"/>
      <c r="GJ25" s="815"/>
      <c r="GK25" s="816"/>
      <c r="GL25" s="817"/>
      <c r="GM25" s="837"/>
      <c r="GN25" s="837"/>
      <c r="GO25" s="837"/>
      <c r="GP25" s="838"/>
      <c r="GQ25" s="839"/>
      <c r="GR25" s="817"/>
      <c r="GS25" s="820"/>
      <c r="GT25" s="834"/>
      <c r="GU25" s="835"/>
      <c r="GV25" s="823"/>
      <c r="GW25" s="824"/>
      <c r="GX25" s="825"/>
      <c r="GY25" s="826"/>
      <c r="GZ25" s="825"/>
      <c r="HA25" s="825"/>
      <c r="HB25" s="826"/>
      <c r="HC25" s="825"/>
      <c r="HD25" s="825"/>
      <c r="HE25" s="825"/>
      <c r="HF25" s="825"/>
      <c r="HG25" s="827"/>
      <c r="HH25" s="828"/>
      <c r="HI25" s="836"/>
      <c r="HJ25" s="830"/>
      <c r="HK25" s="831"/>
      <c r="HL25" s="828"/>
      <c r="HM25" s="832"/>
      <c r="HN25" s="833"/>
      <c r="HP25" s="840"/>
      <c r="HS25" s="841"/>
      <c r="HT25" s="841"/>
      <c r="HU25" s="841"/>
      <c r="HV25" s="841"/>
      <c r="HW25" s="841"/>
      <c r="HX25" s="829"/>
      <c r="HY25" s="841"/>
      <c r="HZ25" s="841"/>
      <c r="IA25" s="841"/>
      <c r="IB25" s="841"/>
      <c r="IC25" s="841"/>
      <c r="ID25" s="829"/>
    </row>
    <row r="26" spans="1:238" s="179" customFormat="1" x14ac:dyDescent="0.25">
      <c r="A26" s="843" t="s">
        <v>451</v>
      </c>
      <c r="B26" s="164">
        <f>C26+AJ26</f>
        <v>140.38999999999999</v>
      </c>
      <c r="C26" s="164">
        <f>N26*P26*S26*T26*U26*(1+V26+W26+X26+Y26)*Z26/G26/H26</f>
        <v>98.39</v>
      </c>
      <c r="D26" s="164">
        <f>N26*P26*S26*T26*U26*(1+V26+Y26)*Z26/G26/H26</f>
        <v>56.19</v>
      </c>
      <c r="E26" s="164">
        <f t="shared" si="137"/>
        <v>42.2</v>
      </c>
      <c r="F26" s="164">
        <f t="shared" si="55"/>
        <v>4.58</v>
      </c>
      <c r="G26" s="165">
        <v>76.900000000000006</v>
      </c>
      <c r="H26" s="166">
        <v>800</v>
      </c>
      <c r="I26" s="167">
        <f t="shared" si="56"/>
        <v>61520</v>
      </c>
      <c r="J26" s="847">
        <f>SUM(J13:J14,J16:J25)</f>
        <v>465288</v>
      </c>
      <c r="K26" s="847">
        <f t="shared" ref="K26:L26" si="306">SUM(K13:K14,K16:K25)</f>
        <v>4401</v>
      </c>
      <c r="L26" s="847">
        <f t="shared" si="306"/>
        <v>314</v>
      </c>
      <c r="M26" s="847"/>
      <c r="N26" s="847">
        <f>SUM(N13:N14,N16:N25)</f>
        <v>63</v>
      </c>
      <c r="O26" s="167">
        <f t="shared" si="57"/>
        <v>582</v>
      </c>
      <c r="P26" s="169">
        <v>12</v>
      </c>
      <c r="Q26" s="160">
        <v>13855</v>
      </c>
      <c r="R26" s="272">
        <v>1.01</v>
      </c>
      <c r="S26" s="274">
        <f t="shared" si="58"/>
        <v>13994</v>
      </c>
      <c r="T26" s="170">
        <v>1.302</v>
      </c>
      <c r="U26" s="171">
        <f>U$11</f>
        <v>1.47617</v>
      </c>
      <c r="V26" s="172">
        <v>0</v>
      </c>
      <c r="W26" s="171">
        <f>W$11</f>
        <v>0.29274</v>
      </c>
      <c r="X26" s="171">
        <f>X$11</f>
        <v>0.45841999999999999</v>
      </c>
      <c r="Y26" s="172">
        <v>0</v>
      </c>
      <c r="Z26" s="171">
        <f t="shared" si="59"/>
        <v>0.17</v>
      </c>
      <c r="AA26" s="171">
        <f t="shared" si="2"/>
        <v>1.1776</v>
      </c>
      <c r="AB26" s="171">
        <f t="shared" si="2"/>
        <v>1.1232899999999999</v>
      </c>
      <c r="AC26" s="171">
        <f t="shared" si="60"/>
        <v>0.13213</v>
      </c>
      <c r="AD26" s="173">
        <f>AD$12</f>
        <v>8.1439999999999999E-2</v>
      </c>
      <c r="AE26" s="847">
        <f>SUM(AE13:AE14,AE16:AE25)</f>
        <v>49259038</v>
      </c>
      <c r="AF26" s="162">
        <v>41718.199999999997</v>
      </c>
      <c r="AG26" s="844">
        <f t="shared" si="4"/>
        <v>21060.68</v>
      </c>
      <c r="AH26" s="845">
        <f>AH$10/J$26*J26</f>
        <v>59.8</v>
      </c>
      <c r="AI26" s="846">
        <f t="shared" si="61"/>
        <v>19677313</v>
      </c>
      <c r="AJ26" s="177">
        <f t="shared" si="62"/>
        <v>42</v>
      </c>
      <c r="AK26" s="178">
        <f t="shared" si="63"/>
        <v>1.74746</v>
      </c>
      <c r="AM26" s="164">
        <f>AN26+BU26</f>
        <v>79.930000000000007</v>
      </c>
      <c r="AN26" s="164">
        <f>AY26*BA26*BD26*BE26*BF26*(1+BG26+BH26+BI26+BJ26)*BK26/AR26/AS26</f>
        <v>35.93</v>
      </c>
      <c r="AO26" s="164">
        <f>AY26*BA26*BD26*BE26*BF26*(1+BG26+BJ26)*BK26/AR26/AS26</f>
        <v>17.170000000000002</v>
      </c>
      <c r="AP26" s="164">
        <f t="shared" si="139"/>
        <v>18.760000000000002</v>
      </c>
      <c r="AQ26" s="164">
        <f t="shared" si="67"/>
        <v>1.76</v>
      </c>
      <c r="AR26" s="165">
        <v>76.900000000000006</v>
      </c>
      <c r="AS26" s="166">
        <v>800</v>
      </c>
      <c r="AT26" s="167">
        <f t="shared" si="68"/>
        <v>61520</v>
      </c>
      <c r="AU26" s="847">
        <f>SUM(AU13:AU14,AU16:AU25)</f>
        <v>343104</v>
      </c>
      <c r="AV26" s="847">
        <f t="shared" ref="AV26" si="307">SUM(AV13:AV14,AV16:AV25)</f>
        <v>3376</v>
      </c>
      <c r="AW26" s="847">
        <f t="shared" ref="AW26" si="308">SUM(AW13:AW14,AW16:AW25)</f>
        <v>78</v>
      </c>
      <c r="AX26" s="847"/>
      <c r="AY26" s="847">
        <f>SUM(AY13:AY14,AY16:AY25)</f>
        <v>14</v>
      </c>
      <c r="AZ26" s="167">
        <f t="shared" si="69"/>
        <v>429</v>
      </c>
      <c r="BA26" s="169">
        <v>12</v>
      </c>
      <c r="BB26" s="385">
        <f t="shared" si="6"/>
        <v>13855</v>
      </c>
      <c r="BC26" s="386">
        <f t="shared" si="7"/>
        <v>1.01</v>
      </c>
      <c r="BD26" s="274">
        <f t="shared" si="70"/>
        <v>13994</v>
      </c>
      <c r="BE26" s="170">
        <v>1.302</v>
      </c>
      <c r="BF26" s="171">
        <f>BF$11</f>
        <v>1.38046</v>
      </c>
      <c r="BG26" s="172">
        <v>0</v>
      </c>
      <c r="BH26" s="171">
        <f>BH$11</f>
        <v>0.43123</v>
      </c>
      <c r="BI26" s="171">
        <f>BI$11</f>
        <v>0.66134000000000004</v>
      </c>
      <c r="BJ26" s="172">
        <v>0</v>
      </c>
      <c r="BK26" s="171">
        <f t="shared" si="71"/>
        <v>0.25</v>
      </c>
      <c r="BL26" s="171">
        <f t="shared" si="10"/>
        <v>1.2245299999999999</v>
      </c>
      <c r="BM26" s="171">
        <f t="shared" si="10"/>
        <v>1.1232899999999999</v>
      </c>
      <c r="BN26" s="171">
        <f t="shared" si="72"/>
        <v>0.17924999999999999</v>
      </c>
      <c r="BO26" s="173">
        <f>BO$12</f>
        <v>0.10267</v>
      </c>
      <c r="BP26" s="847">
        <f>SUM(BP13:BP14,BP16:BP25)</f>
        <v>12829164</v>
      </c>
      <c r="BQ26" s="387">
        <f t="shared" si="12"/>
        <v>41718.199999999997</v>
      </c>
      <c r="BR26" s="175">
        <f t="shared" si="13"/>
        <v>22400.04</v>
      </c>
      <c r="BS26" s="176">
        <f>BS$10/AU$26*AU26</f>
        <v>43.3</v>
      </c>
      <c r="BT26" s="177">
        <f t="shared" si="73"/>
        <v>15154057</v>
      </c>
      <c r="BU26" s="177">
        <f t="shared" si="74"/>
        <v>44</v>
      </c>
      <c r="BV26" s="178">
        <f t="shared" si="75"/>
        <v>3.5626099999999998</v>
      </c>
      <c r="BX26" s="164">
        <f>BY26+DF26</f>
        <v>99.8</v>
      </c>
      <c r="BY26" s="164">
        <f>CJ26*CL26*CO26*CP26*CQ26*(1+CR26+CS26+CT26+CU26)*CV26/CC26/CD26</f>
        <v>58.8</v>
      </c>
      <c r="BZ26" s="164">
        <f>CJ26*CL26*CO26*CP26*CQ26*(1+CR26+CU26)*CV26/CC26/CD26</f>
        <v>29.47</v>
      </c>
      <c r="CA26" s="164">
        <f t="shared" si="141"/>
        <v>29.33</v>
      </c>
      <c r="CB26" s="164">
        <f t="shared" si="79"/>
        <v>9.4499999999999993</v>
      </c>
      <c r="CC26" s="165">
        <v>76.900000000000006</v>
      </c>
      <c r="CD26" s="166">
        <v>800</v>
      </c>
      <c r="CE26" s="167">
        <f t="shared" si="80"/>
        <v>61520</v>
      </c>
      <c r="CF26" s="847">
        <f>SUM(CF13:CF14,CF16:CF25)</f>
        <v>238356</v>
      </c>
      <c r="CG26" s="847">
        <f t="shared" ref="CG26" si="309">SUM(CG13:CG14,CG16:CG25)</f>
        <v>1581</v>
      </c>
      <c r="CH26" s="847">
        <f t="shared" ref="CH26" si="310">SUM(CH13:CH14,CH16:CH25)</f>
        <v>58</v>
      </c>
      <c r="CI26" s="847"/>
      <c r="CJ26" s="847">
        <f>SUM(CJ13:CJ14,CJ16:CJ25)</f>
        <v>15</v>
      </c>
      <c r="CK26" s="167">
        <f t="shared" si="81"/>
        <v>298</v>
      </c>
      <c r="CL26" s="169">
        <v>12</v>
      </c>
      <c r="CM26" s="385">
        <f t="shared" si="15"/>
        <v>13855</v>
      </c>
      <c r="CN26" s="386">
        <f t="shared" si="16"/>
        <v>1.01</v>
      </c>
      <c r="CO26" s="274">
        <f t="shared" si="82"/>
        <v>13994</v>
      </c>
      <c r="CP26" s="170">
        <v>1.302</v>
      </c>
      <c r="CQ26" s="171">
        <f>CQ$11</f>
        <v>1.34843</v>
      </c>
      <c r="CR26" s="172">
        <v>0</v>
      </c>
      <c r="CS26" s="171">
        <f>CS$11</f>
        <v>0.33637</v>
      </c>
      <c r="CT26" s="171">
        <f>CT$11</f>
        <v>0.65883000000000003</v>
      </c>
      <c r="CU26" s="172">
        <v>0</v>
      </c>
      <c r="CV26" s="171">
        <f t="shared" si="83"/>
        <v>0.41</v>
      </c>
      <c r="CW26" s="171">
        <f t="shared" si="19"/>
        <v>1.4220999999999999</v>
      </c>
      <c r="CX26" s="171">
        <f t="shared" si="19"/>
        <v>1.1232899999999999</v>
      </c>
      <c r="CY26" s="171">
        <f t="shared" si="84"/>
        <v>0.25805</v>
      </c>
      <c r="CZ26" s="173">
        <f>CZ$12</f>
        <v>0.32064999999999999</v>
      </c>
      <c r="DA26" s="847">
        <f>SUM(DA13:DA14,DA16:DA25)</f>
        <v>16651748</v>
      </c>
      <c r="DB26" s="387">
        <f t="shared" si="21"/>
        <v>41718.199999999997</v>
      </c>
      <c r="DC26" s="175">
        <f t="shared" si="22"/>
        <v>22848.27</v>
      </c>
      <c r="DD26" s="176">
        <f>DD$10/CF$26*CF26</f>
        <v>27.7</v>
      </c>
      <c r="DE26" s="177">
        <f t="shared" si="85"/>
        <v>9888384</v>
      </c>
      <c r="DF26" s="177">
        <f t="shared" si="86"/>
        <v>41</v>
      </c>
      <c r="DG26" s="178">
        <f t="shared" si="87"/>
        <v>2.3912499999999999</v>
      </c>
      <c r="DI26" s="164">
        <f>DJ26+EQ26</f>
        <v>44.12</v>
      </c>
      <c r="DJ26" s="164">
        <f>DU26*DW26*DZ26*EA26*EB26*(1+EC26+ED26+EE26+EF26)*EG26/DN26/DO26</f>
        <v>21.12</v>
      </c>
      <c r="DK26" s="164">
        <f>DU26*DW26*DZ26*EA26*EB26*(1+EC26+EF26)*EG26/DN26/DO26</f>
        <v>10.81</v>
      </c>
      <c r="DL26" s="164">
        <f t="shared" si="143"/>
        <v>10.31</v>
      </c>
      <c r="DM26" s="164">
        <f t="shared" si="91"/>
        <v>1.87</v>
      </c>
      <c r="DN26" s="165">
        <v>76.900000000000006</v>
      </c>
      <c r="DO26" s="166">
        <v>800</v>
      </c>
      <c r="DP26" s="167">
        <f t="shared" si="92"/>
        <v>61520</v>
      </c>
      <c r="DQ26" s="847">
        <f>SUM(DQ13:DQ14,DQ16:DQ25)</f>
        <v>147528</v>
      </c>
      <c r="DR26" s="847">
        <f t="shared" ref="DR26" si="311">SUM(DR13:DR14,DR16:DR25)</f>
        <v>1175</v>
      </c>
      <c r="DS26" s="847">
        <f t="shared" ref="DS26" si="312">SUM(DS13:DS14,DS16:DS25)</f>
        <v>23</v>
      </c>
      <c r="DT26" s="847"/>
      <c r="DU26" s="847">
        <f>SUM(DU13:DU14,DU16:DU25)</f>
        <v>4</v>
      </c>
      <c r="DV26" s="167">
        <f t="shared" si="93"/>
        <v>184</v>
      </c>
      <c r="DW26" s="169">
        <v>12</v>
      </c>
      <c r="DX26" s="385">
        <f t="shared" si="24"/>
        <v>13855</v>
      </c>
      <c r="DY26" s="386">
        <f t="shared" si="25"/>
        <v>1.01</v>
      </c>
      <c r="DZ26" s="274">
        <f t="shared" si="94"/>
        <v>13994</v>
      </c>
      <c r="EA26" s="170">
        <v>1.302</v>
      </c>
      <c r="EB26" s="171">
        <f>EB$11</f>
        <v>1.35737</v>
      </c>
      <c r="EC26" s="172">
        <v>0</v>
      </c>
      <c r="ED26" s="171">
        <f>ED$11</f>
        <v>0.22051999999999999</v>
      </c>
      <c r="EE26" s="171">
        <f>EE$11</f>
        <v>0.73350000000000004</v>
      </c>
      <c r="EF26" s="172">
        <v>0</v>
      </c>
      <c r="EG26" s="171">
        <f t="shared" si="95"/>
        <v>0.56000000000000005</v>
      </c>
      <c r="EH26" s="171">
        <f>EH$11</f>
        <v>1.2033499999999999</v>
      </c>
      <c r="EI26" s="171">
        <f>EI$11</f>
        <v>1.1232899999999999</v>
      </c>
      <c r="EJ26" s="171">
        <f t="shared" si="96"/>
        <v>0.41793000000000002</v>
      </c>
      <c r="EK26" s="173">
        <f>EK$12</f>
        <v>0.17288999999999999</v>
      </c>
      <c r="EL26" s="847">
        <f>SUM(EL13:EL14,EL16:EL25)</f>
        <v>3543623</v>
      </c>
      <c r="EM26" s="387">
        <f t="shared" si="30"/>
        <v>41718.199999999997</v>
      </c>
      <c r="EN26" s="175">
        <f t="shared" si="31"/>
        <v>22723.16</v>
      </c>
      <c r="EO26" s="176">
        <f>EO$10/DQ$26*DQ26</f>
        <v>9.4</v>
      </c>
      <c r="EP26" s="177">
        <f t="shared" si="97"/>
        <v>3337251</v>
      </c>
      <c r="EQ26" s="177">
        <f t="shared" si="98"/>
        <v>23</v>
      </c>
      <c r="ER26" s="178">
        <f t="shared" si="99"/>
        <v>3.1276600000000001</v>
      </c>
      <c r="ET26" s="164">
        <f>EU26+GB26</f>
        <v>120.91</v>
      </c>
      <c r="EU26" s="164">
        <f>FF26*FH26*FK26*FL26*FM26*(1+FN26+FO26+FP26+FQ26)*FR26/EY26/EZ26</f>
        <v>105.91</v>
      </c>
      <c r="EV26" s="164">
        <f>FF26*FH26*FK26*FL26*FM26*(1+FN26+FQ26)*FR26/EY26/EZ26</f>
        <v>48.25</v>
      </c>
      <c r="EW26" s="164">
        <f t="shared" si="145"/>
        <v>57.66</v>
      </c>
      <c r="EX26" s="164">
        <f t="shared" si="103"/>
        <v>0</v>
      </c>
      <c r="EY26" s="165">
        <v>76.900000000000006</v>
      </c>
      <c r="EZ26" s="166">
        <v>800</v>
      </c>
      <c r="FA26" s="167">
        <f t="shared" si="104"/>
        <v>61520</v>
      </c>
      <c r="FB26" s="847">
        <f>SUM(FB13:FB14,FB16:FB25)</f>
        <v>95760</v>
      </c>
      <c r="FC26" s="847">
        <f t="shared" ref="FC26" si="313">SUM(FC13:FC14,FC16:FC25)</f>
        <v>604</v>
      </c>
      <c r="FD26" s="847">
        <f t="shared" ref="FD26" si="314">SUM(FD13:FD14,FD16:FD25)</f>
        <v>54</v>
      </c>
      <c r="FE26" s="847"/>
      <c r="FF26" s="847">
        <f>SUM(FF13:FF14,FF16:FF25)</f>
        <v>13</v>
      </c>
      <c r="FG26" s="167">
        <f t="shared" si="105"/>
        <v>120</v>
      </c>
      <c r="FH26" s="169">
        <v>12</v>
      </c>
      <c r="FI26" s="385">
        <f t="shared" si="33"/>
        <v>13855</v>
      </c>
      <c r="FJ26" s="386">
        <f t="shared" si="34"/>
        <v>1.01</v>
      </c>
      <c r="FK26" s="274">
        <f t="shared" si="106"/>
        <v>13994</v>
      </c>
      <c r="FL26" s="170">
        <v>1.302</v>
      </c>
      <c r="FM26" s="171">
        <f>FM$11</f>
        <v>1.32193</v>
      </c>
      <c r="FN26" s="172">
        <v>0</v>
      </c>
      <c r="FO26" s="171">
        <f>FO$11</f>
        <v>0.21695999999999999</v>
      </c>
      <c r="FP26" s="171">
        <f>FP$11</f>
        <v>0.97809999999999997</v>
      </c>
      <c r="FQ26" s="172">
        <v>0</v>
      </c>
      <c r="FR26" s="171">
        <f t="shared" si="107"/>
        <v>0.79</v>
      </c>
      <c r="FS26" s="171">
        <f t="shared" si="37"/>
        <v>1.0935600000000001</v>
      </c>
      <c r="FT26" s="171">
        <f t="shared" si="37"/>
        <v>1.1232899999999999</v>
      </c>
      <c r="FU26" s="171">
        <f t="shared" si="108"/>
        <v>0.64083000000000001</v>
      </c>
      <c r="FV26" s="173">
        <f>FV$12</f>
        <v>0</v>
      </c>
      <c r="FW26" s="847">
        <f>SUM(FW13:FW14,FW16:FW25)</f>
        <v>10414858</v>
      </c>
      <c r="FX26" s="387">
        <f t="shared" si="39"/>
        <v>41718.199999999997</v>
      </c>
      <c r="FY26" s="175">
        <f t="shared" si="40"/>
        <v>23219.11</v>
      </c>
      <c r="FZ26" s="176">
        <f>FZ$10/FB$26*FB26</f>
        <v>4</v>
      </c>
      <c r="GA26" s="177">
        <f t="shared" si="109"/>
        <v>1451101</v>
      </c>
      <c r="GB26" s="177">
        <f t="shared" si="110"/>
        <v>15</v>
      </c>
      <c r="GC26" s="178">
        <f t="shared" si="111"/>
        <v>1.31088</v>
      </c>
      <c r="GE26" s="164">
        <f>GF26+HM26</f>
        <v>111.51</v>
      </c>
      <c r="GF26" s="164">
        <f>GQ26*GS26*GV26*GW26*GX26*(1+GY26+GZ26+HA26+HB26)*HC26/GJ26/GK26</f>
        <v>73.510000000000005</v>
      </c>
      <c r="GG26" s="164">
        <f>GQ26*GS26*GV26*GW26*GX26*(1+GY26+HB26)*HC26/GJ26/GK26</f>
        <v>38.14</v>
      </c>
      <c r="GH26" s="164">
        <f t="shared" si="147"/>
        <v>35.369999999999997</v>
      </c>
      <c r="GI26" s="164">
        <f t="shared" si="115"/>
        <v>5.24</v>
      </c>
      <c r="GJ26" s="165">
        <v>76.900000000000006</v>
      </c>
      <c r="GK26" s="166">
        <v>800</v>
      </c>
      <c r="GL26" s="167">
        <f t="shared" si="116"/>
        <v>61520</v>
      </c>
      <c r="GM26" s="847">
        <f>SUM(GM13:GM14,GM16:GM25)</f>
        <v>1290036</v>
      </c>
      <c r="GN26" s="847">
        <f t="shared" ref="GN26" si="315">SUM(GN13:GN14,GN16:GN25)</f>
        <v>11137</v>
      </c>
      <c r="GO26" s="847">
        <f t="shared" ref="GO26" si="316">SUM(GO13:GO14,GO16:GO25)</f>
        <v>527</v>
      </c>
      <c r="GP26" s="847"/>
      <c r="GQ26" s="847">
        <f>SUM(GQ13:GQ14,GQ16:GQ25)</f>
        <v>109</v>
      </c>
      <c r="GR26" s="167">
        <f t="shared" si="117"/>
        <v>1613</v>
      </c>
      <c r="GS26" s="169">
        <v>12</v>
      </c>
      <c r="GT26" s="385">
        <f t="shared" si="43"/>
        <v>13855</v>
      </c>
      <c r="GU26" s="386">
        <f t="shared" si="44"/>
        <v>1.01</v>
      </c>
      <c r="GV26" s="274">
        <f t="shared" si="118"/>
        <v>13994</v>
      </c>
      <c r="GW26" s="170">
        <v>1.302</v>
      </c>
      <c r="GX26" s="171">
        <f>GX$11</f>
        <v>1.4064300000000001</v>
      </c>
      <c r="GY26" s="172">
        <v>0</v>
      </c>
      <c r="GZ26" s="171">
        <f>GZ$11</f>
        <v>0.32916000000000001</v>
      </c>
      <c r="HA26" s="171">
        <f>HA$11</f>
        <v>0.59841999999999995</v>
      </c>
      <c r="HB26" s="172">
        <v>0</v>
      </c>
      <c r="HC26" s="171">
        <f t="shared" si="119"/>
        <v>7.0000000000000007E-2</v>
      </c>
      <c r="HD26" s="171">
        <f t="shared" si="47"/>
        <v>1.24295</v>
      </c>
      <c r="HE26" s="171">
        <f t="shared" si="47"/>
        <v>1.1232899999999999</v>
      </c>
      <c r="HF26" s="171">
        <f t="shared" si="120"/>
        <v>4.768E-2</v>
      </c>
      <c r="HG26" s="173">
        <f>HG$12</f>
        <v>0.13744999999999999</v>
      </c>
      <c r="HH26" s="847">
        <f>SUM(HH13:HH14,HH16:HH25)</f>
        <v>98267445</v>
      </c>
      <c r="HI26" s="387">
        <f t="shared" si="49"/>
        <v>41718.199999999997</v>
      </c>
      <c r="HJ26" s="175">
        <f t="shared" si="50"/>
        <v>22036.62</v>
      </c>
      <c r="HK26" s="176">
        <f>HK$10/GM$26*GM26</f>
        <v>144.19999999999999</v>
      </c>
      <c r="HL26" s="177">
        <f t="shared" si="121"/>
        <v>49648082</v>
      </c>
      <c r="HM26" s="177">
        <f t="shared" si="122"/>
        <v>38</v>
      </c>
      <c r="HN26" s="178">
        <f t="shared" si="123"/>
        <v>1.9963299999999999</v>
      </c>
      <c r="HP26" s="168">
        <f>GQ26*18</f>
        <v>1962</v>
      </c>
      <c r="HS26" s="174">
        <f t="shared" ref="HS26:ID26" si="317">SUM(HS13:HS14,HS16:HS22)</f>
        <v>459204</v>
      </c>
      <c r="HT26" s="174">
        <f t="shared" si="317"/>
        <v>343104</v>
      </c>
      <c r="HU26" s="174">
        <f t="shared" si="317"/>
        <v>232380</v>
      </c>
      <c r="HV26" s="174">
        <f t="shared" si="317"/>
        <v>147528</v>
      </c>
      <c r="HW26" s="174">
        <f t="shared" si="317"/>
        <v>95760</v>
      </c>
      <c r="HX26" s="174">
        <f t="shared" si="317"/>
        <v>1277976</v>
      </c>
      <c r="HY26" s="174">
        <f t="shared" si="317"/>
        <v>64753717</v>
      </c>
      <c r="HZ26" s="174">
        <f t="shared" si="317"/>
        <v>27323361</v>
      </c>
      <c r="IA26" s="174">
        <f t="shared" si="317"/>
        <v>23401622</v>
      </c>
      <c r="IB26" s="174">
        <f t="shared" si="317"/>
        <v>6649087</v>
      </c>
      <c r="IC26" s="174">
        <f t="shared" si="317"/>
        <v>11851258</v>
      </c>
      <c r="ID26" s="174">
        <f t="shared" si="317"/>
        <v>133979046</v>
      </c>
    </row>
    <row r="27" spans="1:238" s="180" customFormat="1" ht="12" x14ac:dyDescent="0.25">
      <c r="A27" s="180" t="s">
        <v>452</v>
      </c>
      <c r="O27" s="180">
        <f>SUM(O13:O15,O19:O22)</f>
        <v>573</v>
      </c>
      <c r="AH27" s="180">
        <f>SUM(AH13:AH14,AH16:AH22)</f>
        <v>59</v>
      </c>
      <c r="AI27" s="180">
        <f>SUM(AI13:AI14,AI16:AI22)</f>
        <v>19420018</v>
      </c>
      <c r="AZ27" s="180">
        <f>SUM(AZ13:AZ15,AZ19:AZ22)</f>
        <v>429</v>
      </c>
      <c r="BP27" s="180" t="e">
        <f>#REF!</f>
        <v>#REF!</v>
      </c>
      <c r="BS27" s="180">
        <f>SUM(BS13:BS14,BS16:BS22)</f>
        <v>43</v>
      </c>
      <c r="BT27" s="180">
        <f>SUM(BT13:BT14,BT16:BT22)</f>
        <v>15152090</v>
      </c>
      <c r="CK27" s="180">
        <f>SUM(CK13:CK15,CK19:CK22)</f>
        <v>291</v>
      </c>
      <c r="DA27" s="180" t="e">
        <f>#REF!</f>
        <v>#REF!</v>
      </c>
      <c r="DD27" s="180">
        <f>SUM(DD13:DD14,DD16:DD22)</f>
        <v>27</v>
      </c>
      <c r="DE27" s="180">
        <f>SUM(DE13:DE14,DE16:DE22)</f>
        <v>9640466</v>
      </c>
      <c r="DV27" s="180">
        <f>SUM(DV13:DV15,DV19:DV22)</f>
        <v>184</v>
      </c>
      <c r="EL27" s="180" t="e">
        <f>#REF!</f>
        <v>#REF!</v>
      </c>
      <c r="EO27" s="180">
        <f>SUM(EO13:EO14,EO16:EO22)</f>
        <v>9</v>
      </c>
      <c r="EP27" s="180">
        <f>SUM(EP13:EP14,EP16:EP22)</f>
        <v>3337251</v>
      </c>
      <c r="FG27" s="180">
        <f>SUM(FG13:FG15,FG19:FG22)</f>
        <v>120</v>
      </c>
      <c r="FW27" s="180" t="e">
        <f>#REF!</f>
        <v>#REF!</v>
      </c>
      <c r="FZ27" s="180">
        <f>SUM(FZ13:FZ14,FZ16:FZ22)</f>
        <v>4</v>
      </c>
      <c r="GA27" s="180">
        <f>SUM(GA13:GA14,GA16:GA22)</f>
        <v>1451101</v>
      </c>
      <c r="GR27" s="180">
        <f>SUM(GR13:GR15,GR19:GR22)</f>
        <v>1597</v>
      </c>
      <c r="HH27" s="180" t="e">
        <f>AE27+BP27+DA27+EL27+FW27</f>
        <v>#REF!</v>
      </c>
      <c r="HK27" s="180">
        <f>SUM(HK13:HK14,HK16:HK22)</f>
        <v>143</v>
      </c>
      <c r="HL27" s="180">
        <f>SUM(HL13:HL14,HL16:HL22)</f>
        <v>49182911</v>
      </c>
    </row>
    <row r="28" spans="1:238" x14ac:dyDescent="0.25">
      <c r="H28" s="70"/>
      <c r="I28" s="70"/>
      <c r="AS28" s="70"/>
      <c r="AT28" s="70"/>
      <c r="CD28" s="70"/>
      <c r="CE28" s="70"/>
      <c r="DO28" s="70"/>
      <c r="DP28" s="70"/>
      <c r="EZ28" s="70"/>
      <c r="FA28" s="70"/>
      <c r="GK28" s="70"/>
      <c r="GL28" s="70"/>
    </row>
    <row r="29" spans="1:238" x14ac:dyDescent="0.25">
      <c r="H29" s="70"/>
      <c r="I29" s="70"/>
      <c r="AS29" s="70"/>
      <c r="AT29" s="70"/>
      <c r="CD29" s="70"/>
      <c r="CE29" s="70"/>
      <c r="DO29" s="70"/>
      <c r="DP29" s="70"/>
      <c r="EZ29" s="70"/>
      <c r="FA29" s="70"/>
      <c r="GK29" s="70"/>
      <c r="GL29" s="70"/>
    </row>
    <row r="30" spans="1:238" x14ac:dyDescent="0.25">
      <c r="G30" s="116"/>
      <c r="H30" s="70"/>
      <c r="I30" s="70"/>
      <c r="AR30" s="116"/>
      <c r="AS30" s="70"/>
      <c r="AT30" s="70"/>
      <c r="CC30" s="116"/>
      <c r="CD30" s="70"/>
      <c r="CE30" s="70"/>
      <c r="DN30" s="116"/>
      <c r="DO30" s="70"/>
      <c r="DP30" s="70"/>
      <c r="EY30" s="116"/>
      <c r="EZ30" s="70"/>
      <c r="FA30" s="70"/>
      <c r="GF30" s="66" t="s">
        <v>431</v>
      </c>
      <c r="GJ30" s="116"/>
      <c r="GK30" s="70"/>
      <c r="GL30" s="70"/>
      <c r="HE30" s="1052" t="s">
        <v>274</v>
      </c>
      <c r="HF30" s="1052"/>
      <c r="HG30" s="1052"/>
      <c r="HH30" s="1052"/>
      <c r="HI30" s="1052"/>
      <c r="HJ30" s="1052"/>
      <c r="HK30" s="1052"/>
      <c r="HL30" s="1052"/>
      <c r="HM30" s="1052"/>
      <c r="HN30" s="1052"/>
    </row>
    <row r="31" spans="1:238" x14ac:dyDescent="0.25">
      <c r="H31" s="70"/>
      <c r="I31" s="70"/>
      <c r="AS31" s="70"/>
      <c r="AT31" s="70"/>
      <c r="CD31" s="70"/>
      <c r="CE31" s="70"/>
      <c r="DO31" s="70"/>
      <c r="DP31" s="70"/>
      <c r="EZ31" s="70"/>
      <c r="FA31" s="70"/>
      <c r="GK31" s="70"/>
      <c r="GL31" s="70"/>
    </row>
    <row r="32" spans="1:238" x14ac:dyDescent="0.25">
      <c r="H32" s="70"/>
      <c r="I32" s="70"/>
      <c r="AS32" s="70"/>
      <c r="AT32" s="70"/>
      <c r="CD32" s="70"/>
      <c r="CE32" s="70"/>
      <c r="DO32" s="70"/>
      <c r="DP32" s="70"/>
      <c r="EZ32" s="70"/>
      <c r="FA32" s="70"/>
      <c r="GK32" s="70"/>
      <c r="GL32" s="70"/>
    </row>
  </sheetData>
  <mergeCells count="199">
    <mergeCell ref="HS8:HX8"/>
    <mergeCell ref="HS7:ID7"/>
    <mergeCell ref="HY8:ID8"/>
    <mergeCell ref="GT7:GT8"/>
    <mergeCell ref="GU7:GU8"/>
    <mergeCell ref="Q7:Q8"/>
    <mergeCell ref="R7:R8"/>
    <mergeCell ref="BB7:BB8"/>
    <mergeCell ref="BC7:BC8"/>
    <mergeCell ref="CM7:CM8"/>
    <mergeCell ref="CN7:CN8"/>
    <mergeCell ref="DX7:DX8"/>
    <mergeCell ref="DY7:DY8"/>
    <mergeCell ref="FI7:FI8"/>
    <mergeCell ref="GO7:GO8"/>
    <mergeCell ref="GP7:GP8"/>
    <mergeCell ref="GQ7:GQ8"/>
    <mergeCell ref="FX7:GC7"/>
    <mergeCell ref="GF7:GF8"/>
    <mergeCell ref="GK7:GK8"/>
    <mergeCell ref="GG7:GH7"/>
    <mergeCell ref="GI7:GI8"/>
    <mergeCell ref="GJ7:GJ8"/>
    <mergeCell ref="FO7:FO8"/>
    <mergeCell ref="HI7:HN7"/>
    <mergeCell ref="C2:AK2"/>
    <mergeCell ref="C3:AK3"/>
    <mergeCell ref="C4:AK4"/>
    <mergeCell ref="C5:AK5"/>
    <mergeCell ref="AN2:BV2"/>
    <mergeCell ref="AN3:BV3"/>
    <mergeCell ref="AN4:BV4"/>
    <mergeCell ref="AN5:BV5"/>
    <mergeCell ref="GZ7:GZ8"/>
    <mergeCell ref="HA7:HA8"/>
    <mergeCell ref="HB7:HB8"/>
    <mergeCell ref="HC7:HC8"/>
    <mergeCell ref="HD7:HF7"/>
    <mergeCell ref="HG7:HG8"/>
    <mergeCell ref="GR7:GR8"/>
    <mergeCell ref="GS7:GS8"/>
    <mergeCell ref="GV7:GV8"/>
    <mergeCell ref="GW7:GW8"/>
    <mergeCell ref="GX7:GX8"/>
    <mergeCell ref="GY7:GY8"/>
    <mergeCell ref="GL7:GL8"/>
    <mergeCell ref="GM7:GM8"/>
    <mergeCell ref="GN7:GN8"/>
    <mergeCell ref="FV7:FV8"/>
    <mergeCell ref="FQ7:FQ8"/>
    <mergeCell ref="FF7:FF8"/>
    <mergeCell ref="FG7:FG8"/>
    <mergeCell ref="FH7:FH8"/>
    <mergeCell ref="FN7:FN8"/>
    <mergeCell ref="FK7:FK8"/>
    <mergeCell ref="FL7:FL8"/>
    <mergeCell ref="FM7:FM8"/>
    <mergeCell ref="FJ7:FJ8"/>
    <mergeCell ref="FP7:FP8"/>
    <mergeCell ref="FR7:FR8"/>
    <mergeCell ref="FS7:FU7"/>
    <mergeCell ref="EZ7:EZ8"/>
    <mergeCell ref="FA7:FA8"/>
    <mergeCell ref="FB7:FB8"/>
    <mergeCell ref="FD7:FD8"/>
    <mergeCell ref="FE7:FE8"/>
    <mergeCell ref="FC7:FC8"/>
    <mergeCell ref="EM7:ER7"/>
    <mergeCell ref="EU7:EU8"/>
    <mergeCell ref="ET7:ET8"/>
    <mergeCell ref="EY7:EY8"/>
    <mergeCell ref="EV7:EW7"/>
    <mergeCell ref="EX7:EX8"/>
    <mergeCell ref="ED7:ED8"/>
    <mergeCell ref="EE7:EE8"/>
    <mergeCell ref="EH7:EJ7"/>
    <mergeCell ref="EK7:EK8"/>
    <mergeCell ref="EF7:EF8"/>
    <mergeCell ref="EG7:EG8"/>
    <mergeCell ref="DU7:DU8"/>
    <mergeCell ref="DV7:DV8"/>
    <mergeCell ref="DW7:DW8"/>
    <mergeCell ref="EB7:EB8"/>
    <mergeCell ref="EC7:EC8"/>
    <mergeCell ref="DZ7:DZ8"/>
    <mergeCell ref="EA7:EA8"/>
    <mergeCell ref="DO7:DO8"/>
    <mergeCell ref="DP7:DP8"/>
    <mergeCell ref="DQ7:DQ8"/>
    <mergeCell ref="DT7:DT8"/>
    <mergeCell ref="DR7:DR8"/>
    <mergeCell ref="DS7:DS8"/>
    <mergeCell ref="DB7:DG7"/>
    <mergeCell ref="DJ7:DJ8"/>
    <mergeCell ref="DI7:DI8"/>
    <mergeCell ref="DM7:DM8"/>
    <mergeCell ref="DN7:DN8"/>
    <mergeCell ref="DK7:DL7"/>
    <mergeCell ref="CS7:CS8"/>
    <mergeCell ref="CT7:CT8"/>
    <mergeCell ref="CZ7:CZ8"/>
    <mergeCell ref="CU7:CU8"/>
    <mergeCell ref="CV7:CV8"/>
    <mergeCell ref="CW7:CY7"/>
    <mergeCell ref="CJ7:CJ8"/>
    <mergeCell ref="CK7:CK8"/>
    <mergeCell ref="CL7:CL8"/>
    <mergeCell ref="CP7:CP8"/>
    <mergeCell ref="CQ7:CQ8"/>
    <mergeCell ref="CR7:CR8"/>
    <mergeCell ref="CO7:CO8"/>
    <mergeCell ref="BZ7:CA7"/>
    <mergeCell ref="CB7:CB8"/>
    <mergeCell ref="CC7:CC8"/>
    <mergeCell ref="CD7:CD8"/>
    <mergeCell ref="CE7:CE8"/>
    <mergeCell ref="CF7:CF8"/>
    <mergeCell ref="CG7:CG8"/>
    <mergeCell ref="CH7:CH8"/>
    <mergeCell ref="CI7:CI8"/>
    <mergeCell ref="BJ7:BJ8"/>
    <mergeCell ref="BK7:BK8"/>
    <mergeCell ref="BL7:BN7"/>
    <mergeCell ref="BO7:BO8"/>
    <mergeCell ref="BQ7:BV7"/>
    <mergeCell ref="BY7:BY8"/>
    <mergeCell ref="BX7:BX8"/>
    <mergeCell ref="BD7:BD8"/>
    <mergeCell ref="BE7:BE8"/>
    <mergeCell ref="BF7:BF8"/>
    <mergeCell ref="BG7:BG8"/>
    <mergeCell ref="BH7:BH8"/>
    <mergeCell ref="BI7:BI8"/>
    <mergeCell ref="AY7:AY8"/>
    <mergeCell ref="AZ7:AZ8"/>
    <mergeCell ref="BA7:BA8"/>
    <mergeCell ref="AO7:AP7"/>
    <mergeCell ref="AQ7:AQ8"/>
    <mergeCell ref="AR7:AR8"/>
    <mergeCell ref="AS7:AS8"/>
    <mergeCell ref="AT7:AT8"/>
    <mergeCell ref="AU7:AU8"/>
    <mergeCell ref="S7:S8"/>
    <mergeCell ref="T7:T8"/>
    <mergeCell ref="U7:U8"/>
    <mergeCell ref="V7:V8"/>
    <mergeCell ref="W7:W8"/>
    <mergeCell ref="X7:X8"/>
    <mergeCell ref="AV7:AV8"/>
    <mergeCell ref="AW7:AW8"/>
    <mergeCell ref="AX7:AX8"/>
    <mergeCell ref="A7:A8"/>
    <mergeCell ref="C7:C8"/>
    <mergeCell ref="BY2:DG2"/>
    <mergeCell ref="BY3:DG3"/>
    <mergeCell ref="BY4:DG4"/>
    <mergeCell ref="BY5:DG5"/>
    <mergeCell ref="DJ2:ER2"/>
    <mergeCell ref="DJ3:ER3"/>
    <mergeCell ref="DJ4:ER4"/>
    <mergeCell ref="DJ5:ER5"/>
    <mergeCell ref="B6:AK6"/>
    <mergeCell ref="AM6:BV6"/>
    <mergeCell ref="K7:K8"/>
    <mergeCell ref="L7:L8"/>
    <mergeCell ref="M7:M8"/>
    <mergeCell ref="N7:N8"/>
    <mergeCell ref="O7:O8"/>
    <mergeCell ref="P7:P8"/>
    <mergeCell ref="D7:E7"/>
    <mergeCell ref="F7:F8"/>
    <mergeCell ref="G7:G8"/>
    <mergeCell ref="H7:H8"/>
    <mergeCell ref="I7:I8"/>
    <mergeCell ref="J7:J8"/>
    <mergeCell ref="HE1:HN1"/>
    <mergeCell ref="HE30:HN30"/>
    <mergeCell ref="HP6:HP8"/>
    <mergeCell ref="B7:B8"/>
    <mergeCell ref="GE7:GE8"/>
    <mergeCell ref="GE6:HN6"/>
    <mergeCell ref="ET6:GC6"/>
    <mergeCell ref="DI6:ER6"/>
    <mergeCell ref="BX6:DG6"/>
    <mergeCell ref="EU2:GC2"/>
    <mergeCell ref="EU3:GC3"/>
    <mergeCell ref="EU4:GC4"/>
    <mergeCell ref="EU5:GC5"/>
    <mergeCell ref="GF2:HN2"/>
    <mergeCell ref="GF3:HN3"/>
    <mergeCell ref="GF4:HN4"/>
    <mergeCell ref="GF5:HN5"/>
    <mergeCell ref="Y7:Y8"/>
    <mergeCell ref="Z7:Z8"/>
    <mergeCell ref="AA7:AC7"/>
    <mergeCell ref="AD7:AD8"/>
    <mergeCell ref="AF7:AK7"/>
    <mergeCell ref="AN7:AN8"/>
    <mergeCell ref="AM7:AM8"/>
  </mergeCells>
  <pageMargins left="0" right="0" top="0" bottom="0" header="0.31496062992125984" footer="0.31496062992125984"/>
  <pageSetup paperSize="9" scale="1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HQ32"/>
  <sheetViews>
    <sheetView view="pageBreakPreview" zoomScale="75" zoomScaleNormal="75" zoomScaleSheetLayoutView="75" workbookViewId="0">
      <pane xSplit="1" ySplit="9" topLeftCell="GE10" activePane="bottomRight" state="frozen"/>
      <selection pane="topRight" activeCell="C1" sqref="C1"/>
      <selection pane="bottomLeft" activeCell="A11" sqref="A11"/>
      <selection pane="bottomRight" activeCell="GE7" sqref="GE7:GE8"/>
    </sheetView>
  </sheetViews>
  <sheetFormatPr defaultColWidth="11.5703125" defaultRowHeight="15.75" x14ac:dyDescent="0.25"/>
  <cols>
    <col min="1" max="1" width="25.28515625" style="66" customWidth="1"/>
    <col min="2" max="3" width="12.85546875" style="66" customWidth="1"/>
    <col min="4" max="5" width="10.5703125" style="66" customWidth="1"/>
    <col min="6" max="6" width="13.7109375" style="66" customWidth="1"/>
    <col min="7" max="7" width="13.28515625" style="66" customWidth="1"/>
    <col min="8" max="8" width="10.85546875" style="66" customWidth="1"/>
    <col min="9" max="9" width="10.140625" style="66" customWidth="1"/>
    <col min="10" max="10" width="10.42578125" style="66" bestFit="1" customWidth="1"/>
    <col min="11" max="14" width="9.140625" style="66" customWidth="1"/>
    <col min="15" max="15" width="9.28515625" style="66" customWidth="1"/>
    <col min="16" max="18" width="9.140625" style="66" customWidth="1"/>
    <col min="19" max="19" width="9.7109375" style="66" customWidth="1"/>
    <col min="20" max="21" width="9.140625" style="66" customWidth="1"/>
    <col min="22" max="22" width="9.140625" style="66" hidden="1" customWidth="1"/>
    <col min="23" max="24" width="9.140625" style="66" customWidth="1"/>
    <col min="25" max="25" width="9.140625" style="66" hidden="1" customWidth="1"/>
    <col min="26" max="26" width="9.85546875" style="66" bestFit="1" customWidth="1"/>
    <col min="27" max="27" width="9.140625" style="66" customWidth="1"/>
    <col min="28" max="28" width="13.140625" style="66" customWidth="1"/>
    <col min="29" max="29" width="9.85546875" style="66" customWidth="1"/>
    <col min="30" max="30" width="9.140625" style="66" customWidth="1"/>
    <col min="31" max="36" width="11.5703125" style="66" customWidth="1"/>
    <col min="37" max="37" width="11.5703125" style="66" hidden="1" customWidth="1"/>
    <col min="38" max="38" width="2.85546875" style="66" customWidth="1"/>
    <col min="39" max="40" width="12.85546875" style="66" customWidth="1"/>
    <col min="41" max="42" width="10.5703125" style="66" customWidth="1"/>
    <col min="43" max="43" width="13.7109375" style="66" customWidth="1"/>
    <col min="44" max="44" width="13.28515625" style="66" customWidth="1"/>
    <col min="45" max="45" width="10.85546875" style="66" customWidth="1"/>
    <col min="46" max="46" width="10.140625" style="66" customWidth="1"/>
    <col min="47" max="47" width="10.42578125" style="66" bestFit="1" customWidth="1"/>
    <col min="48" max="51" width="9.140625" style="66" customWidth="1"/>
    <col min="52" max="52" width="9.28515625" style="66" customWidth="1"/>
    <col min="53" max="55" width="9.140625" style="66" customWidth="1"/>
    <col min="56" max="56" width="9.7109375" style="66" customWidth="1"/>
    <col min="57" max="58" width="9.140625" style="66" customWidth="1"/>
    <col min="59" max="59" width="9.140625" style="66" hidden="1" customWidth="1"/>
    <col min="60" max="61" width="9.140625" style="66" customWidth="1"/>
    <col min="62" max="62" width="9.140625" style="66" hidden="1" customWidth="1"/>
    <col min="63" max="63" width="9.85546875" style="66" bestFit="1" customWidth="1"/>
    <col min="64" max="64" width="9.140625" style="66" customWidth="1"/>
    <col min="65" max="65" width="13.140625" style="66" customWidth="1"/>
    <col min="66" max="66" width="9.85546875" style="66" customWidth="1"/>
    <col min="67" max="67" width="9.140625" style="66" customWidth="1"/>
    <col min="68" max="73" width="11.5703125" style="66" customWidth="1"/>
    <col min="74" max="74" width="11.5703125" style="66" hidden="1" customWidth="1"/>
    <col min="75" max="75" width="2.85546875" style="66" customWidth="1"/>
    <col min="76" max="77" width="12.85546875" style="66" customWidth="1"/>
    <col min="78" max="79" width="10.5703125" style="66" customWidth="1"/>
    <col min="80" max="80" width="13.7109375" style="66" customWidth="1"/>
    <col min="81" max="81" width="13.28515625" style="66" customWidth="1"/>
    <col min="82" max="82" width="10.85546875" style="66" customWidth="1"/>
    <col min="83" max="83" width="10.140625" style="66" customWidth="1"/>
    <col min="84" max="84" width="10.42578125" style="66" bestFit="1" customWidth="1"/>
    <col min="85" max="88" width="9.140625" style="66" customWidth="1"/>
    <col min="89" max="89" width="9.28515625" style="66" customWidth="1"/>
    <col min="90" max="92" width="9.140625" style="66" customWidth="1"/>
    <col min="93" max="93" width="9.7109375" style="66" customWidth="1"/>
    <col min="94" max="95" width="9.140625" style="66" customWidth="1"/>
    <col min="96" max="96" width="9.140625" style="66" hidden="1" customWidth="1"/>
    <col min="97" max="98" width="9.140625" style="66" customWidth="1"/>
    <col min="99" max="99" width="9.140625" style="66" hidden="1" customWidth="1"/>
    <col min="100" max="100" width="9.85546875" style="66" bestFit="1" customWidth="1"/>
    <col min="101" max="101" width="9.140625" style="66" customWidth="1"/>
    <col min="102" max="102" width="13.140625" style="66" customWidth="1"/>
    <col min="103" max="103" width="9.85546875" style="66" customWidth="1"/>
    <col min="104" max="104" width="9.140625" style="66" customWidth="1"/>
    <col min="105" max="110" width="11.5703125" style="66" customWidth="1"/>
    <col min="111" max="111" width="11.5703125" style="66" hidden="1" customWidth="1"/>
    <col min="112" max="112" width="3" style="66" customWidth="1"/>
    <col min="113" max="114" width="12.85546875" style="66" customWidth="1"/>
    <col min="115" max="116" width="10.5703125" style="66" customWidth="1"/>
    <col min="117" max="117" width="13.7109375" style="66" customWidth="1"/>
    <col min="118" max="118" width="13.28515625" style="66" customWidth="1"/>
    <col min="119" max="119" width="10.85546875" style="66" customWidth="1"/>
    <col min="120" max="120" width="10.140625" style="66" customWidth="1"/>
    <col min="121" max="121" width="10.42578125" style="66" bestFit="1" customWidth="1"/>
    <col min="122" max="125" width="9.140625" style="66" customWidth="1"/>
    <col min="126" max="126" width="9.28515625" style="66" customWidth="1"/>
    <col min="127" max="129" width="9.140625" style="66" customWidth="1"/>
    <col min="130" max="130" width="9.7109375" style="66" customWidth="1"/>
    <col min="131" max="132" width="9.140625" style="66" customWidth="1"/>
    <col min="133" max="133" width="9.140625" style="66" hidden="1" customWidth="1"/>
    <col min="134" max="135" width="9.140625" style="66" customWidth="1"/>
    <col min="136" max="136" width="9.140625" style="66" hidden="1" customWidth="1"/>
    <col min="137" max="137" width="9.85546875" style="66" bestFit="1" customWidth="1"/>
    <col min="138" max="138" width="9.140625" style="66" customWidth="1"/>
    <col min="139" max="139" width="13.140625" style="66" customWidth="1"/>
    <col min="140" max="140" width="9.85546875" style="66" customWidth="1"/>
    <col min="141" max="141" width="9.140625" style="66" customWidth="1"/>
    <col min="142" max="147" width="11.5703125" style="66" customWidth="1"/>
    <col min="148" max="148" width="11.5703125" style="66" hidden="1" customWidth="1"/>
    <col min="149" max="149" width="3" style="66" customWidth="1"/>
    <col min="150" max="151" width="12.85546875" style="66" customWidth="1"/>
    <col min="152" max="153" width="10.5703125" style="66" customWidth="1"/>
    <col min="154" max="154" width="13.7109375" style="66" customWidth="1"/>
    <col min="155" max="155" width="13.28515625" style="66" customWidth="1"/>
    <col min="156" max="156" width="10.85546875" style="66" customWidth="1"/>
    <col min="157" max="157" width="10.140625" style="66" customWidth="1"/>
    <col min="158" max="158" width="10.42578125" style="66" bestFit="1" customWidth="1"/>
    <col min="159" max="162" width="9.140625" style="66" customWidth="1"/>
    <col min="163" max="163" width="9.28515625" style="66" customWidth="1"/>
    <col min="164" max="166" width="9.140625" style="66" customWidth="1"/>
    <col min="167" max="167" width="9.7109375" style="66" customWidth="1"/>
    <col min="168" max="169" width="9.140625" style="66" customWidth="1"/>
    <col min="170" max="170" width="9.140625" style="66" hidden="1" customWidth="1"/>
    <col min="171" max="172" width="9.140625" style="66" customWidth="1"/>
    <col min="173" max="173" width="9.140625" style="66" hidden="1" customWidth="1"/>
    <col min="174" max="174" width="9.85546875" style="66" bestFit="1" customWidth="1"/>
    <col min="175" max="175" width="9.140625" style="66" customWidth="1"/>
    <col min="176" max="176" width="13.140625" style="66" customWidth="1"/>
    <col min="177" max="177" width="9.85546875" style="66" customWidth="1"/>
    <col min="178" max="178" width="9.140625" style="66" customWidth="1"/>
    <col min="179" max="184" width="11.5703125" style="66" customWidth="1"/>
    <col min="185" max="185" width="11.5703125" style="66" hidden="1" customWidth="1"/>
    <col min="186" max="186" width="2.85546875" style="66" customWidth="1"/>
    <col min="187" max="188" width="12.85546875" style="66" customWidth="1"/>
    <col min="189" max="190" width="10.5703125" style="66" customWidth="1"/>
    <col min="191" max="191" width="13.7109375" style="66" customWidth="1"/>
    <col min="192" max="192" width="13.28515625" style="66" customWidth="1"/>
    <col min="193" max="193" width="10.85546875" style="66" customWidth="1"/>
    <col min="194" max="194" width="10.140625" style="66" customWidth="1"/>
    <col min="195" max="195" width="10.42578125" style="66" bestFit="1" customWidth="1"/>
    <col min="196" max="199" width="9.140625" style="66" customWidth="1"/>
    <col min="200" max="200" width="9.28515625" style="66" customWidth="1"/>
    <col min="201" max="203" width="9.140625" style="66" customWidth="1"/>
    <col min="204" max="204" width="9.7109375" style="66" customWidth="1"/>
    <col min="205" max="206" width="9.140625" style="66" customWidth="1"/>
    <col min="207" max="207" width="9.140625" style="66" hidden="1" customWidth="1"/>
    <col min="208" max="209" width="9.140625" style="66" customWidth="1"/>
    <col min="210" max="210" width="9.140625" style="66" hidden="1" customWidth="1"/>
    <col min="211" max="211" width="9.85546875" style="66" bestFit="1" customWidth="1"/>
    <col min="212" max="212" width="9.140625" style="66" customWidth="1"/>
    <col min="213" max="213" width="13.140625" style="66" customWidth="1"/>
    <col min="214" max="214" width="9.85546875" style="66" customWidth="1"/>
    <col min="215" max="215" width="9.140625" style="66" customWidth="1"/>
    <col min="216" max="218" width="11.5703125" style="66" customWidth="1"/>
    <col min="219" max="219" width="12.7109375" style="66" customWidth="1"/>
    <col min="220" max="221" width="11.5703125" style="66" customWidth="1"/>
    <col min="222" max="222" width="11.5703125" style="66" hidden="1" customWidth="1"/>
    <col min="223" max="223" width="2.28515625" style="66" customWidth="1"/>
    <col min="224" max="224" width="9.140625" style="66" customWidth="1"/>
    <col min="225" max="16384" width="11.5703125" style="66"/>
  </cols>
  <sheetData>
    <row r="1" spans="1:225" x14ac:dyDescent="0.25">
      <c r="A1" s="1"/>
      <c r="B1" s="1"/>
      <c r="C1" s="1"/>
      <c r="HE1" s="1051" t="s">
        <v>356</v>
      </c>
      <c r="HF1" s="1051"/>
      <c r="HG1" s="1051"/>
      <c r="HH1" s="1051"/>
      <c r="HI1" s="1051"/>
      <c r="HJ1" s="1051"/>
      <c r="HK1" s="1051"/>
      <c r="HL1" s="1051"/>
      <c r="HM1" s="1051"/>
      <c r="HN1" s="1051"/>
    </row>
    <row r="2" spans="1:225" x14ac:dyDescent="0.25">
      <c r="A2" s="278"/>
      <c r="B2" s="278"/>
      <c r="C2" s="1051" t="s">
        <v>354</v>
      </c>
      <c r="D2" s="1051"/>
      <c r="E2" s="1051"/>
      <c r="F2" s="1051"/>
      <c r="G2" s="1051"/>
      <c r="H2" s="1051"/>
      <c r="I2" s="1051"/>
      <c r="J2" s="1051"/>
      <c r="K2" s="1051"/>
      <c r="L2" s="1051"/>
      <c r="M2" s="1051"/>
      <c r="N2" s="1051"/>
      <c r="O2" s="1051"/>
      <c r="P2" s="1051"/>
      <c r="Q2" s="1051"/>
      <c r="R2" s="1051"/>
      <c r="S2" s="1051"/>
      <c r="T2" s="1051"/>
      <c r="U2" s="1051"/>
      <c r="V2" s="1051"/>
      <c r="W2" s="1051"/>
      <c r="X2" s="1051"/>
      <c r="Y2" s="1051"/>
      <c r="Z2" s="1051"/>
      <c r="AA2" s="1051"/>
      <c r="AB2" s="1051"/>
      <c r="AC2" s="1051"/>
      <c r="AD2" s="1051"/>
      <c r="AE2" s="1051"/>
      <c r="AF2" s="1051"/>
      <c r="AG2" s="1051"/>
      <c r="AH2" s="1051"/>
      <c r="AI2" s="1051"/>
      <c r="AJ2" s="1051"/>
      <c r="AK2" s="1051"/>
      <c r="AN2" s="1051" t="s">
        <v>354</v>
      </c>
      <c r="AO2" s="1051"/>
      <c r="AP2" s="1051"/>
      <c r="AQ2" s="1051"/>
      <c r="AR2" s="1051"/>
      <c r="AS2" s="1051"/>
      <c r="AT2" s="1051"/>
      <c r="AU2" s="1051"/>
      <c r="AV2" s="1051"/>
      <c r="AW2" s="1051"/>
      <c r="AX2" s="1051"/>
      <c r="AY2" s="1051"/>
      <c r="AZ2" s="1051"/>
      <c r="BA2" s="1051"/>
      <c r="BB2" s="1051"/>
      <c r="BC2" s="1051"/>
      <c r="BD2" s="1051"/>
      <c r="BE2" s="1051"/>
      <c r="BF2" s="1051"/>
      <c r="BG2" s="1051"/>
      <c r="BH2" s="1051"/>
      <c r="BI2" s="1051"/>
      <c r="BJ2" s="1051"/>
      <c r="BK2" s="1051"/>
      <c r="BL2" s="1051"/>
      <c r="BM2" s="1051"/>
      <c r="BN2" s="1051"/>
      <c r="BO2" s="1051"/>
      <c r="BP2" s="1051"/>
      <c r="BQ2" s="1051"/>
      <c r="BR2" s="1051"/>
      <c r="BS2" s="1051"/>
      <c r="BT2" s="1051"/>
      <c r="BU2" s="1051"/>
      <c r="BV2" s="1051"/>
      <c r="BY2" s="1051" t="s">
        <v>354</v>
      </c>
      <c r="BZ2" s="1051"/>
      <c r="CA2" s="1051"/>
      <c r="CB2" s="1051"/>
      <c r="CC2" s="1051"/>
      <c r="CD2" s="1051"/>
      <c r="CE2" s="1051"/>
      <c r="CF2" s="1051"/>
      <c r="CG2" s="1051"/>
      <c r="CH2" s="1051"/>
      <c r="CI2" s="1051"/>
      <c r="CJ2" s="1051"/>
      <c r="CK2" s="1051"/>
      <c r="CL2" s="1051"/>
      <c r="CM2" s="1051"/>
      <c r="CN2" s="1051"/>
      <c r="CO2" s="1051"/>
      <c r="CP2" s="1051"/>
      <c r="CQ2" s="1051"/>
      <c r="CR2" s="1051"/>
      <c r="CS2" s="1051"/>
      <c r="CT2" s="1051"/>
      <c r="CU2" s="1051"/>
      <c r="CV2" s="1051"/>
      <c r="CW2" s="1051"/>
      <c r="CX2" s="1051"/>
      <c r="CY2" s="1051"/>
      <c r="CZ2" s="1051"/>
      <c r="DA2" s="1051"/>
      <c r="DB2" s="1051"/>
      <c r="DC2" s="1051"/>
      <c r="DD2" s="1051"/>
      <c r="DE2" s="1051"/>
      <c r="DF2" s="1051"/>
      <c r="DG2" s="1051"/>
      <c r="DJ2" s="1051" t="s">
        <v>354</v>
      </c>
      <c r="DK2" s="1051"/>
      <c r="DL2" s="1051"/>
      <c r="DM2" s="1051"/>
      <c r="DN2" s="1051"/>
      <c r="DO2" s="1051"/>
      <c r="DP2" s="1051"/>
      <c r="DQ2" s="1051"/>
      <c r="DR2" s="1051"/>
      <c r="DS2" s="1051"/>
      <c r="DT2" s="1051"/>
      <c r="DU2" s="1051"/>
      <c r="DV2" s="1051"/>
      <c r="DW2" s="1051"/>
      <c r="DX2" s="1051"/>
      <c r="DY2" s="1051"/>
      <c r="DZ2" s="1051"/>
      <c r="EA2" s="1051"/>
      <c r="EB2" s="1051"/>
      <c r="EC2" s="1051"/>
      <c r="ED2" s="1051"/>
      <c r="EE2" s="1051"/>
      <c r="EF2" s="1051"/>
      <c r="EG2" s="1051"/>
      <c r="EH2" s="1051"/>
      <c r="EI2" s="1051"/>
      <c r="EJ2" s="1051"/>
      <c r="EK2" s="1051"/>
      <c r="EL2" s="1051"/>
      <c r="EM2" s="1051"/>
      <c r="EN2" s="1051"/>
      <c r="EO2" s="1051"/>
      <c r="EP2" s="1051"/>
      <c r="EQ2" s="1051"/>
      <c r="ER2" s="1051"/>
      <c r="EU2" s="1051" t="s">
        <v>354</v>
      </c>
      <c r="EV2" s="1051"/>
      <c r="EW2" s="1051"/>
      <c r="EX2" s="1051"/>
      <c r="EY2" s="1051"/>
      <c r="EZ2" s="1051"/>
      <c r="FA2" s="1051"/>
      <c r="FB2" s="1051"/>
      <c r="FC2" s="1051"/>
      <c r="FD2" s="1051"/>
      <c r="FE2" s="1051"/>
      <c r="FF2" s="1051"/>
      <c r="FG2" s="1051"/>
      <c r="FH2" s="1051"/>
      <c r="FI2" s="1051"/>
      <c r="FJ2" s="1051"/>
      <c r="FK2" s="1051"/>
      <c r="FL2" s="1051"/>
      <c r="FM2" s="1051"/>
      <c r="FN2" s="1051"/>
      <c r="FO2" s="1051"/>
      <c r="FP2" s="1051"/>
      <c r="FQ2" s="1051"/>
      <c r="FR2" s="1051"/>
      <c r="FS2" s="1051"/>
      <c r="FT2" s="1051"/>
      <c r="FU2" s="1051"/>
      <c r="FV2" s="1051"/>
      <c r="FW2" s="1051"/>
      <c r="FX2" s="1051"/>
      <c r="FY2" s="1051"/>
      <c r="FZ2" s="1051"/>
      <c r="GA2" s="1051"/>
      <c r="GB2" s="1051"/>
      <c r="GC2" s="1051"/>
      <c r="GF2" s="1051" t="s">
        <v>354</v>
      </c>
      <c r="GG2" s="1051"/>
      <c r="GH2" s="1051"/>
      <c r="GI2" s="1051"/>
      <c r="GJ2" s="1051"/>
      <c r="GK2" s="1051"/>
      <c r="GL2" s="1051"/>
      <c r="GM2" s="1051"/>
      <c r="GN2" s="1051"/>
      <c r="GO2" s="1051"/>
      <c r="GP2" s="1051"/>
      <c r="GQ2" s="1051"/>
      <c r="GR2" s="1051"/>
      <c r="GS2" s="1051"/>
      <c r="GT2" s="1051"/>
      <c r="GU2" s="1051"/>
      <c r="GV2" s="1051"/>
      <c r="GW2" s="1051"/>
      <c r="GX2" s="1051"/>
      <c r="GY2" s="1051"/>
      <c r="GZ2" s="1051"/>
      <c r="HA2" s="1051"/>
      <c r="HB2" s="1051"/>
      <c r="HC2" s="1051"/>
      <c r="HD2" s="1051"/>
      <c r="HE2" s="1051"/>
      <c r="HF2" s="1051"/>
      <c r="HG2" s="1051"/>
      <c r="HH2" s="1051"/>
      <c r="HI2" s="1051"/>
      <c r="HJ2" s="1051"/>
      <c r="HK2" s="1051"/>
      <c r="HL2" s="1051"/>
      <c r="HM2" s="1051"/>
      <c r="HN2" s="1051"/>
    </row>
    <row r="3" spans="1:225" ht="15.75" customHeight="1" x14ac:dyDescent="0.25">
      <c r="A3" s="277"/>
      <c r="B3" s="277"/>
      <c r="C3" s="1034" t="s">
        <v>355</v>
      </c>
      <c r="D3" s="1034"/>
      <c r="E3" s="1034"/>
      <c r="F3" s="1034"/>
      <c r="G3" s="1034"/>
      <c r="H3" s="1034"/>
      <c r="I3" s="1034"/>
      <c r="J3" s="1034"/>
      <c r="K3" s="1034"/>
      <c r="L3" s="1034"/>
      <c r="M3" s="1034"/>
      <c r="N3" s="1034"/>
      <c r="O3" s="1034"/>
      <c r="P3" s="1034"/>
      <c r="Q3" s="1034"/>
      <c r="R3" s="1034"/>
      <c r="S3" s="1034"/>
      <c r="T3" s="1034"/>
      <c r="U3" s="1034"/>
      <c r="V3" s="1034"/>
      <c r="W3" s="1034"/>
      <c r="X3" s="1034"/>
      <c r="Y3" s="1034"/>
      <c r="Z3" s="1034"/>
      <c r="AA3" s="1034"/>
      <c r="AB3" s="1034"/>
      <c r="AC3" s="1034"/>
      <c r="AD3" s="1034"/>
      <c r="AE3" s="1034"/>
      <c r="AF3" s="1034"/>
      <c r="AG3" s="1034"/>
      <c r="AH3" s="1034"/>
      <c r="AI3" s="1034"/>
      <c r="AJ3" s="1034"/>
      <c r="AK3" s="1034"/>
      <c r="AN3" s="1034" t="s">
        <v>355</v>
      </c>
      <c r="AO3" s="1034"/>
      <c r="AP3" s="1034"/>
      <c r="AQ3" s="1034"/>
      <c r="AR3" s="1034"/>
      <c r="AS3" s="1034"/>
      <c r="AT3" s="1034"/>
      <c r="AU3" s="1034"/>
      <c r="AV3" s="1034"/>
      <c r="AW3" s="1034"/>
      <c r="AX3" s="1034"/>
      <c r="AY3" s="1034"/>
      <c r="AZ3" s="1034"/>
      <c r="BA3" s="1034"/>
      <c r="BB3" s="1034"/>
      <c r="BC3" s="1034"/>
      <c r="BD3" s="1034"/>
      <c r="BE3" s="1034"/>
      <c r="BF3" s="1034"/>
      <c r="BG3" s="1034"/>
      <c r="BH3" s="1034"/>
      <c r="BI3" s="1034"/>
      <c r="BJ3" s="1034"/>
      <c r="BK3" s="1034"/>
      <c r="BL3" s="1034"/>
      <c r="BM3" s="1034"/>
      <c r="BN3" s="1034"/>
      <c r="BO3" s="1034"/>
      <c r="BP3" s="1034"/>
      <c r="BQ3" s="1034"/>
      <c r="BR3" s="1034"/>
      <c r="BS3" s="1034"/>
      <c r="BT3" s="1034"/>
      <c r="BU3" s="1034"/>
      <c r="BV3" s="1034"/>
      <c r="BY3" s="1034" t="s">
        <v>355</v>
      </c>
      <c r="BZ3" s="1034"/>
      <c r="CA3" s="1034"/>
      <c r="CB3" s="1034"/>
      <c r="CC3" s="1034"/>
      <c r="CD3" s="1034"/>
      <c r="CE3" s="1034"/>
      <c r="CF3" s="1034"/>
      <c r="CG3" s="1034"/>
      <c r="CH3" s="1034"/>
      <c r="CI3" s="1034"/>
      <c r="CJ3" s="1034"/>
      <c r="CK3" s="1034"/>
      <c r="CL3" s="1034"/>
      <c r="CM3" s="1034"/>
      <c r="CN3" s="1034"/>
      <c r="CO3" s="1034"/>
      <c r="CP3" s="1034"/>
      <c r="CQ3" s="1034"/>
      <c r="CR3" s="1034"/>
      <c r="CS3" s="1034"/>
      <c r="CT3" s="1034"/>
      <c r="CU3" s="1034"/>
      <c r="CV3" s="1034"/>
      <c r="CW3" s="1034"/>
      <c r="CX3" s="1034"/>
      <c r="CY3" s="1034"/>
      <c r="CZ3" s="1034"/>
      <c r="DA3" s="1034"/>
      <c r="DB3" s="1034"/>
      <c r="DC3" s="1034"/>
      <c r="DD3" s="1034"/>
      <c r="DE3" s="1034"/>
      <c r="DF3" s="1034"/>
      <c r="DG3" s="1034"/>
      <c r="DJ3" s="1034" t="s">
        <v>355</v>
      </c>
      <c r="DK3" s="1034"/>
      <c r="DL3" s="1034"/>
      <c r="DM3" s="1034"/>
      <c r="DN3" s="1034"/>
      <c r="DO3" s="1034"/>
      <c r="DP3" s="1034"/>
      <c r="DQ3" s="1034"/>
      <c r="DR3" s="1034"/>
      <c r="DS3" s="1034"/>
      <c r="DT3" s="1034"/>
      <c r="DU3" s="1034"/>
      <c r="DV3" s="1034"/>
      <c r="DW3" s="1034"/>
      <c r="DX3" s="1034"/>
      <c r="DY3" s="1034"/>
      <c r="DZ3" s="1034"/>
      <c r="EA3" s="1034"/>
      <c r="EB3" s="1034"/>
      <c r="EC3" s="1034"/>
      <c r="ED3" s="1034"/>
      <c r="EE3" s="1034"/>
      <c r="EF3" s="1034"/>
      <c r="EG3" s="1034"/>
      <c r="EH3" s="1034"/>
      <c r="EI3" s="1034"/>
      <c r="EJ3" s="1034"/>
      <c r="EK3" s="1034"/>
      <c r="EL3" s="1034"/>
      <c r="EM3" s="1034"/>
      <c r="EN3" s="1034"/>
      <c r="EO3" s="1034"/>
      <c r="EP3" s="1034"/>
      <c r="EQ3" s="1034"/>
      <c r="ER3" s="1034"/>
      <c r="EU3" s="1034" t="s">
        <v>355</v>
      </c>
      <c r="EV3" s="1034"/>
      <c r="EW3" s="1034"/>
      <c r="EX3" s="1034"/>
      <c r="EY3" s="1034"/>
      <c r="EZ3" s="1034"/>
      <c r="FA3" s="1034"/>
      <c r="FB3" s="1034"/>
      <c r="FC3" s="1034"/>
      <c r="FD3" s="1034"/>
      <c r="FE3" s="1034"/>
      <c r="FF3" s="1034"/>
      <c r="FG3" s="1034"/>
      <c r="FH3" s="1034"/>
      <c r="FI3" s="1034"/>
      <c r="FJ3" s="1034"/>
      <c r="FK3" s="1034"/>
      <c r="FL3" s="1034"/>
      <c r="FM3" s="1034"/>
      <c r="FN3" s="1034"/>
      <c r="FO3" s="1034"/>
      <c r="FP3" s="1034"/>
      <c r="FQ3" s="1034"/>
      <c r="FR3" s="1034"/>
      <c r="FS3" s="1034"/>
      <c r="FT3" s="1034"/>
      <c r="FU3" s="1034"/>
      <c r="FV3" s="1034"/>
      <c r="FW3" s="1034"/>
      <c r="FX3" s="1034"/>
      <c r="FY3" s="1034"/>
      <c r="FZ3" s="1034"/>
      <c r="GA3" s="1034"/>
      <c r="GB3" s="1034"/>
      <c r="GC3" s="1034"/>
      <c r="GF3" s="1034" t="s">
        <v>355</v>
      </c>
      <c r="GG3" s="1034"/>
      <c r="GH3" s="1034"/>
      <c r="GI3" s="1034"/>
      <c r="GJ3" s="1034"/>
      <c r="GK3" s="1034"/>
      <c r="GL3" s="1034"/>
      <c r="GM3" s="1034"/>
      <c r="GN3" s="1034"/>
      <c r="GO3" s="1034"/>
      <c r="GP3" s="1034"/>
      <c r="GQ3" s="1034"/>
      <c r="GR3" s="1034"/>
      <c r="GS3" s="1034"/>
      <c r="GT3" s="1034"/>
      <c r="GU3" s="1034"/>
      <c r="GV3" s="1034"/>
      <c r="GW3" s="1034"/>
      <c r="GX3" s="1034"/>
      <c r="GY3" s="1034"/>
      <c r="GZ3" s="1034"/>
      <c r="HA3" s="1034"/>
      <c r="HB3" s="1034"/>
      <c r="HC3" s="1034"/>
      <c r="HD3" s="1034"/>
      <c r="HE3" s="1034"/>
      <c r="HF3" s="1034"/>
      <c r="HG3" s="1034"/>
      <c r="HH3" s="1034"/>
      <c r="HI3" s="1034"/>
      <c r="HJ3" s="1034"/>
      <c r="HK3" s="1034"/>
      <c r="HL3" s="1034"/>
      <c r="HM3" s="1034"/>
      <c r="HN3" s="1034"/>
    </row>
    <row r="4" spans="1:225" x14ac:dyDescent="0.25">
      <c r="A4" s="279"/>
      <c r="B4" s="279"/>
      <c r="C4" s="1058" t="s">
        <v>238</v>
      </c>
      <c r="D4" s="1058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N4" s="1058" t="s">
        <v>238</v>
      </c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Y4" s="1058" t="s">
        <v>238</v>
      </c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J4" s="1058" t="s">
        <v>238</v>
      </c>
      <c r="DK4" s="1058"/>
      <c r="DL4" s="1058"/>
      <c r="DM4" s="1058"/>
      <c r="DN4" s="1058"/>
      <c r="DO4" s="1058"/>
      <c r="DP4" s="1058"/>
      <c r="DQ4" s="1058"/>
      <c r="DR4" s="1058"/>
      <c r="DS4" s="1058"/>
      <c r="DT4" s="1058"/>
      <c r="DU4" s="1058"/>
      <c r="DV4" s="1058"/>
      <c r="DW4" s="1058"/>
      <c r="DX4" s="1058"/>
      <c r="DY4" s="1058"/>
      <c r="DZ4" s="1058"/>
      <c r="EA4" s="1058"/>
      <c r="EB4" s="1058"/>
      <c r="EC4" s="1058"/>
      <c r="ED4" s="1058"/>
      <c r="EE4" s="1058"/>
      <c r="EF4" s="1058"/>
      <c r="EG4" s="1058"/>
      <c r="EH4" s="1058"/>
      <c r="EI4" s="1058"/>
      <c r="EJ4" s="1058"/>
      <c r="EK4" s="1058"/>
      <c r="EL4" s="1058"/>
      <c r="EM4" s="1058"/>
      <c r="EN4" s="1058"/>
      <c r="EO4" s="1058"/>
      <c r="EP4" s="1058"/>
      <c r="EQ4" s="1058"/>
      <c r="ER4" s="1058"/>
      <c r="EU4" s="1058" t="s">
        <v>238</v>
      </c>
      <c r="EV4" s="1058"/>
      <c r="EW4" s="1058"/>
      <c r="EX4" s="1058"/>
      <c r="EY4" s="1058"/>
      <c r="EZ4" s="1058"/>
      <c r="FA4" s="1058"/>
      <c r="FB4" s="1058"/>
      <c r="FC4" s="1058"/>
      <c r="FD4" s="1058"/>
      <c r="FE4" s="1058"/>
      <c r="FF4" s="1058"/>
      <c r="FG4" s="1058"/>
      <c r="FH4" s="1058"/>
      <c r="FI4" s="1058"/>
      <c r="FJ4" s="1058"/>
      <c r="FK4" s="1058"/>
      <c r="FL4" s="1058"/>
      <c r="FM4" s="1058"/>
      <c r="FN4" s="1058"/>
      <c r="FO4" s="1058"/>
      <c r="FP4" s="1058"/>
      <c r="FQ4" s="1058"/>
      <c r="FR4" s="1058"/>
      <c r="FS4" s="1058"/>
      <c r="FT4" s="1058"/>
      <c r="FU4" s="1058"/>
      <c r="FV4" s="1058"/>
      <c r="FW4" s="1058"/>
      <c r="FX4" s="1058"/>
      <c r="FY4" s="1058"/>
      <c r="FZ4" s="1058"/>
      <c r="GA4" s="1058"/>
      <c r="GB4" s="1058"/>
      <c r="GC4" s="1058"/>
      <c r="GF4" s="1058" t="s">
        <v>238</v>
      </c>
      <c r="GG4" s="1058"/>
      <c r="GH4" s="1058"/>
      <c r="GI4" s="1058"/>
      <c r="GJ4" s="1058"/>
      <c r="GK4" s="1058"/>
      <c r="GL4" s="1058"/>
      <c r="GM4" s="1058"/>
      <c r="GN4" s="1058"/>
      <c r="GO4" s="1058"/>
      <c r="GP4" s="1058"/>
      <c r="GQ4" s="1058"/>
      <c r="GR4" s="1058"/>
      <c r="GS4" s="1058"/>
      <c r="GT4" s="1058"/>
      <c r="GU4" s="1058"/>
      <c r="GV4" s="1058"/>
      <c r="GW4" s="1058"/>
      <c r="GX4" s="1058"/>
      <c r="GY4" s="1058"/>
      <c r="GZ4" s="1058"/>
      <c r="HA4" s="1058"/>
      <c r="HB4" s="1058"/>
      <c r="HC4" s="1058"/>
      <c r="HD4" s="1058"/>
      <c r="HE4" s="1058"/>
      <c r="HF4" s="1058"/>
      <c r="HG4" s="1058"/>
      <c r="HH4" s="1058"/>
      <c r="HI4" s="1058"/>
      <c r="HJ4" s="1058"/>
      <c r="HK4" s="1058"/>
      <c r="HL4" s="1058"/>
      <c r="HM4" s="1058"/>
      <c r="HN4" s="1058"/>
    </row>
    <row r="5" spans="1:225" ht="15.75" customHeight="1" x14ac:dyDescent="0.25">
      <c r="A5" s="280"/>
      <c r="B5" s="280"/>
      <c r="C5" s="1059" t="s">
        <v>265</v>
      </c>
      <c r="D5" s="1059"/>
      <c r="E5" s="1059"/>
      <c r="F5" s="1059"/>
      <c r="G5" s="1059"/>
      <c r="H5" s="1059"/>
      <c r="I5" s="1059"/>
      <c r="J5" s="1059"/>
      <c r="K5" s="1059"/>
      <c r="L5" s="1059"/>
      <c r="M5" s="1059"/>
      <c r="N5" s="1059"/>
      <c r="O5" s="1059"/>
      <c r="P5" s="1059"/>
      <c r="Q5" s="1059"/>
      <c r="R5" s="1059"/>
      <c r="S5" s="1059"/>
      <c r="T5" s="1059"/>
      <c r="U5" s="1059"/>
      <c r="V5" s="1059"/>
      <c r="W5" s="1059"/>
      <c r="X5" s="1059"/>
      <c r="Y5" s="1059"/>
      <c r="Z5" s="1059"/>
      <c r="AA5" s="1059"/>
      <c r="AB5" s="1059"/>
      <c r="AC5" s="1059"/>
      <c r="AD5" s="1059"/>
      <c r="AE5" s="1059"/>
      <c r="AF5" s="1059"/>
      <c r="AG5" s="1059"/>
      <c r="AH5" s="1059"/>
      <c r="AI5" s="1059"/>
      <c r="AJ5" s="1059"/>
      <c r="AK5" s="1059"/>
      <c r="AN5" s="1059" t="s">
        <v>265</v>
      </c>
      <c r="AO5" s="1059"/>
      <c r="AP5" s="1059"/>
      <c r="AQ5" s="1059"/>
      <c r="AR5" s="1059"/>
      <c r="AS5" s="1059"/>
      <c r="AT5" s="1059"/>
      <c r="AU5" s="1059"/>
      <c r="AV5" s="1059"/>
      <c r="AW5" s="1059"/>
      <c r="AX5" s="1059"/>
      <c r="AY5" s="1059"/>
      <c r="AZ5" s="1059"/>
      <c r="BA5" s="1059"/>
      <c r="BB5" s="1059"/>
      <c r="BC5" s="1059"/>
      <c r="BD5" s="1059"/>
      <c r="BE5" s="1059"/>
      <c r="BF5" s="1059"/>
      <c r="BG5" s="1059"/>
      <c r="BH5" s="1059"/>
      <c r="BI5" s="1059"/>
      <c r="BJ5" s="1059"/>
      <c r="BK5" s="1059"/>
      <c r="BL5" s="1059"/>
      <c r="BM5" s="1059"/>
      <c r="BN5" s="1059"/>
      <c r="BO5" s="1059"/>
      <c r="BP5" s="1059"/>
      <c r="BQ5" s="1059"/>
      <c r="BR5" s="1059"/>
      <c r="BS5" s="1059"/>
      <c r="BT5" s="1059"/>
      <c r="BU5" s="1059"/>
      <c r="BV5" s="1059"/>
      <c r="BY5" s="1059" t="s">
        <v>265</v>
      </c>
      <c r="BZ5" s="1059"/>
      <c r="CA5" s="1059"/>
      <c r="CB5" s="1059"/>
      <c r="CC5" s="1059"/>
      <c r="CD5" s="1059"/>
      <c r="CE5" s="1059"/>
      <c r="CF5" s="1059"/>
      <c r="CG5" s="1059"/>
      <c r="CH5" s="1059"/>
      <c r="CI5" s="1059"/>
      <c r="CJ5" s="1059"/>
      <c r="CK5" s="1059"/>
      <c r="CL5" s="1059"/>
      <c r="CM5" s="1059"/>
      <c r="CN5" s="1059"/>
      <c r="CO5" s="1059"/>
      <c r="CP5" s="1059"/>
      <c r="CQ5" s="1059"/>
      <c r="CR5" s="1059"/>
      <c r="CS5" s="1059"/>
      <c r="CT5" s="1059"/>
      <c r="CU5" s="1059"/>
      <c r="CV5" s="1059"/>
      <c r="CW5" s="1059"/>
      <c r="CX5" s="1059"/>
      <c r="CY5" s="1059"/>
      <c r="CZ5" s="1059"/>
      <c r="DA5" s="1059"/>
      <c r="DB5" s="1059"/>
      <c r="DC5" s="1059"/>
      <c r="DD5" s="1059"/>
      <c r="DE5" s="1059"/>
      <c r="DF5" s="1059"/>
      <c r="DG5" s="1059"/>
      <c r="DJ5" s="1059" t="s">
        <v>265</v>
      </c>
      <c r="DK5" s="1059"/>
      <c r="DL5" s="1059"/>
      <c r="DM5" s="1059"/>
      <c r="DN5" s="1059"/>
      <c r="DO5" s="1059"/>
      <c r="DP5" s="1059"/>
      <c r="DQ5" s="1059"/>
      <c r="DR5" s="1059"/>
      <c r="DS5" s="1059"/>
      <c r="DT5" s="1059"/>
      <c r="DU5" s="1059"/>
      <c r="DV5" s="1059"/>
      <c r="DW5" s="1059"/>
      <c r="DX5" s="1059"/>
      <c r="DY5" s="1059"/>
      <c r="DZ5" s="1059"/>
      <c r="EA5" s="1059"/>
      <c r="EB5" s="1059"/>
      <c r="EC5" s="1059"/>
      <c r="ED5" s="1059"/>
      <c r="EE5" s="1059"/>
      <c r="EF5" s="1059"/>
      <c r="EG5" s="1059"/>
      <c r="EH5" s="1059"/>
      <c r="EI5" s="1059"/>
      <c r="EJ5" s="1059"/>
      <c r="EK5" s="1059"/>
      <c r="EL5" s="1059"/>
      <c r="EM5" s="1059"/>
      <c r="EN5" s="1059"/>
      <c r="EO5" s="1059"/>
      <c r="EP5" s="1059"/>
      <c r="EQ5" s="1059"/>
      <c r="ER5" s="1059"/>
      <c r="EU5" s="1059" t="s">
        <v>265</v>
      </c>
      <c r="EV5" s="1059"/>
      <c r="EW5" s="1059"/>
      <c r="EX5" s="1059"/>
      <c r="EY5" s="1059"/>
      <c r="EZ5" s="1059"/>
      <c r="FA5" s="1059"/>
      <c r="FB5" s="1059"/>
      <c r="FC5" s="1059"/>
      <c r="FD5" s="1059"/>
      <c r="FE5" s="1059"/>
      <c r="FF5" s="1059"/>
      <c r="FG5" s="1059"/>
      <c r="FH5" s="1059"/>
      <c r="FI5" s="1059"/>
      <c r="FJ5" s="1059"/>
      <c r="FK5" s="1059"/>
      <c r="FL5" s="1059"/>
      <c r="FM5" s="1059"/>
      <c r="FN5" s="1059"/>
      <c r="FO5" s="1059"/>
      <c r="FP5" s="1059"/>
      <c r="FQ5" s="1059"/>
      <c r="FR5" s="1059"/>
      <c r="FS5" s="1059"/>
      <c r="FT5" s="1059"/>
      <c r="FU5" s="1059"/>
      <c r="FV5" s="1059"/>
      <c r="FW5" s="1059"/>
      <c r="FX5" s="1059"/>
      <c r="FY5" s="1059"/>
      <c r="FZ5" s="1059"/>
      <c r="GA5" s="1059"/>
      <c r="GB5" s="1059"/>
      <c r="GC5" s="1059"/>
      <c r="GF5" s="1059" t="s">
        <v>265</v>
      </c>
      <c r="GG5" s="1059"/>
      <c r="GH5" s="1059"/>
      <c r="GI5" s="1059"/>
      <c r="GJ5" s="1059"/>
      <c r="GK5" s="1059"/>
      <c r="GL5" s="1059"/>
      <c r="GM5" s="1059"/>
      <c r="GN5" s="1059"/>
      <c r="GO5" s="1059"/>
      <c r="GP5" s="1059"/>
      <c r="GQ5" s="1059"/>
      <c r="GR5" s="1059"/>
      <c r="GS5" s="1059"/>
      <c r="GT5" s="1059"/>
      <c r="GU5" s="1059"/>
      <c r="GV5" s="1059"/>
      <c r="GW5" s="1059"/>
      <c r="GX5" s="1059"/>
      <c r="GY5" s="1059"/>
      <c r="GZ5" s="1059"/>
      <c r="HA5" s="1059"/>
      <c r="HB5" s="1059"/>
      <c r="HC5" s="1059"/>
      <c r="HD5" s="1059"/>
      <c r="HE5" s="1059"/>
      <c r="HF5" s="1059"/>
      <c r="HG5" s="1059"/>
      <c r="HH5" s="1059"/>
      <c r="HI5" s="1059"/>
      <c r="HJ5" s="1059"/>
      <c r="HK5" s="1059"/>
      <c r="HL5" s="1059"/>
      <c r="HM5" s="1059"/>
      <c r="HN5" s="1059"/>
    </row>
    <row r="6" spans="1:225" s="113" customFormat="1" x14ac:dyDescent="0.25">
      <c r="B6" s="1057" t="s">
        <v>496</v>
      </c>
      <c r="C6" s="1057"/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  <c r="O6" s="1057"/>
      <c r="P6" s="1057"/>
      <c r="Q6" s="1057"/>
      <c r="R6" s="1057"/>
      <c r="S6" s="1057"/>
      <c r="T6" s="1057"/>
      <c r="U6" s="1057"/>
      <c r="V6" s="1057"/>
      <c r="W6" s="1057"/>
      <c r="X6" s="1057"/>
      <c r="Y6" s="1057"/>
      <c r="Z6" s="1057"/>
      <c r="AA6" s="1057"/>
      <c r="AB6" s="1057"/>
      <c r="AC6" s="1057"/>
      <c r="AD6" s="1057"/>
      <c r="AE6" s="1057"/>
      <c r="AF6" s="1057"/>
      <c r="AG6" s="1057"/>
      <c r="AH6" s="1057"/>
      <c r="AI6" s="1057"/>
      <c r="AJ6" s="1057"/>
      <c r="AK6" s="1057"/>
      <c r="AM6" s="1057" t="s">
        <v>490</v>
      </c>
      <c r="AN6" s="1057"/>
      <c r="AO6" s="1057"/>
      <c r="AP6" s="1057"/>
      <c r="AQ6" s="1057"/>
      <c r="AR6" s="1057"/>
      <c r="AS6" s="1057"/>
      <c r="AT6" s="1057"/>
      <c r="AU6" s="1057"/>
      <c r="AV6" s="1057"/>
      <c r="AW6" s="1057"/>
      <c r="AX6" s="1057"/>
      <c r="AY6" s="1057"/>
      <c r="AZ6" s="1057"/>
      <c r="BA6" s="1057"/>
      <c r="BB6" s="1057"/>
      <c r="BC6" s="1057"/>
      <c r="BD6" s="1057"/>
      <c r="BE6" s="1057"/>
      <c r="BF6" s="1057"/>
      <c r="BG6" s="1057"/>
      <c r="BH6" s="1057"/>
      <c r="BI6" s="1057"/>
      <c r="BJ6" s="1057"/>
      <c r="BK6" s="1057"/>
      <c r="BL6" s="1057"/>
      <c r="BM6" s="1057"/>
      <c r="BN6" s="1057"/>
      <c r="BO6" s="1057"/>
      <c r="BP6" s="1057"/>
      <c r="BQ6" s="1057"/>
      <c r="BR6" s="1057"/>
      <c r="BS6" s="1057"/>
      <c r="BT6" s="1057"/>
      <c r="BU6" s="1057"/>
      <c r="BV6" s="1057"/>
      <c r="BX6" s="1057" t="s">
        <v>450</v>
      </c>
      <c r="BY6" s="1057"/>
      <c r="BZ6" s="1057"/>
      <c r="CA6" s="1057"/>
      <c r="CB6" s="1057"/>
      <c r="CC6" s="1057"/>
      <c r="CD6" s="1057"/>
      <c r="CE6" s="1057"/>
      <c r="CF6" s="1057"/>
      <c r="CG6" s="1057"/>
      <c r="CH6" s="1057"/>
      <c r="CI6" s="1057"/>
      <c r="CJ6" s="1057"/>
      <c r="CK6" s="1057"/>
      <c r="CL6" s="1057"/>
      <c r="CM6" s="1057"/>
      <c r="CN6" s="1057"/>
      <c r="CO6" s="1057"/>
      <c r="CP6" s="1057"/>
      <c r="CQ6" s="1057"/>
      <c r="CR6" s="1057"/>
      <c r="CS6" s="1057"/>
      <c r="CT6" s="1057"/>
      <c r="CU6" s="1057"/>
      <c r="CV6" s="1057"/>
      <c r="CW6" s="1057"/>
      <c r="CX6" s="1057"/>
      <c r="CY6" s="1057"/>
      <c r="CZ6" s="1057"/>
      <c r="DA6" s="1057"/>
      <c r="DB6" s="1057"/>
      <c r="DC6" s="1057"/>
      <c r="DD6" s="1057"/>
      <c r="DE6" s="1057"/>
      <c r="DF6" s="1057"/>
      <c r="DG6" s="1057"/>
      <c r="DI6" s="1057" t="s">
        <v>449</v>
      </c>
      <c r="DJ6" s="1057"/>
      <c r="DK6" s="1057"/>
      <c r="DL6" s="1057"/>
      <c r="DM6" s="1057"/>
      <c r="DN6" s="1057"/>
      <c r="DO6" s="1057"/>
      <c r="DP6" s="1057"/>
      <c r="DQ6" s="1057"/>
      <c r="DR6" s="1057"/>
      <c r="DS6" s="1057"/>
      <c r="DT6" s="1057"/>
      <c r="DU6" s="1057"/>
      <c r="DV6" s="1057"/>
      <c r="DW6" s="1057"/>
      <c r="DX6" s="1057"/>
      <c r="DY6" s="1057"/>
      <c r="DZ6" s="1057"/>
      <c r="EA6" s="1057"/>
      <c r="EB6" s="1057"/>
      <c r="EC6" s="1057"/>
      <c r="ED6" s="1057"/>
      <c r="EE6" s="1057"/>
      <c r="EF6" s="1057"/>
      <c r="EG6" s="1057"/>
      <c r="EH6" s="1057"/>
      <c r="EI6" s="1057"/>
      <c r="EJ6" s="1057"/>
      <c r="EK6" s="1057"/>
      <c r="EL6" s="1057"/>
      <c r="EM6" s="1057"/>
      <c r="EN6" s="1057"/>
      <c r="EO6" s="1057"/>
      <c r="EP6" s="1057"/>
      <c r="EQ6" s="1057"/>
      <c r="ER6" s="1057"/>
      <c r="ET6" s="1057" t="s">
        <v>461</v>
      </c>
      <c r="EU6" s="1057"/>
      <c r="EV6" s="1057"/>
      <c r="EW6" s="1057"/>
      <c r="EX6" s="1057"/>
      <c r="EY6" s="1057"/>
      <c r="EZ6" s="1057"/>
      <c r="FA6" s="1057"/>
      <c r="FB6" s="1057"/>
      <c r="FC6" s="1057"/>
      <c r="FD6" s="1057"/>
      <c r="FE6" s="1057"/>
      <c r="FF6" s="1057"/>
      <c r="FG6" s="1057"/>
      <c r="FH6" s="1057"/>
      <c r="FI6" s="1057"/>
      <c r="FJ6" s="1057"/>
      <c r="FK6" s="1057"/>
      <c r="FL6" s="1057"/>
      <c r="FM6" s="1057"/>
      <c r="FN6" s="1057"/>
      <c r="FO6" s="1057"/>
      <c r="FP6" s="1057"/>
      <c r="FQ6" s="1057"/>
      <c r="FR6" s="1057"/>
      <c r="FS6" s="1057"/>
      <c r="FT6" s="1057"/>
      <c r="FU6" s="1057"/>
      <c r="FV6" s="1057"/>
      <c r="FW6" s="1057"/>
      <c r="FX6" s="1057"/>
      <c r="FY6" s="1057"/>
      <c r="FZ6" s="1057"/>
      <c r="GA6" s="1057"/>
      <c r="GB6" s="1057"/>
      <c r="GC6" s="1057"/>
      <c r="GE6" s="1056" t="s">
        <v>1426</v>
      </c>
      <c r="GF6" s="1056"/>
      <c r="GG6" s="1056"/>
      <c r="GH6" s="1056"/>
      <c r="GI6" s="1056"/>
      <c r="GJ6" s="1056"/>
      <c r="GK6" s="1056"/>
      <c r="GL6" s="1056"/>
      <c r="GM6" s="1056"/>
      <c r="GN6" s="1056"/>
      <c r="GO6" s="1056"/>
      <c r="GP6" s="1056"/>
      <c r="GQ6" s="1056"/>
      <c r="GR6" s="1056"/>
      <c r="GS6" s="1056"/>
      <c r="GT6" s="1056"/>
      <c r="GU6" s="1056"/>
      <c r="GV6" s="1056"/>
      <c r="GW6" s="1056"/>
      <c r="GX6" s="1056"/>
      <c r="GY6" s="1056"/>
      <c r="GZ6" s="1056"/>
      <c r="HA6" s="1056"/>
      <c r="HB6" s="1056"/>
      <c r="HC6" s="1056"/>
      <c r="HD6" s="1056"/>
      <c r="HE6" s="1056"/>
      <c r="HF6" s="1056"/>
      <c r="HG6" s="1056"/>
      <c r="HH6" s="1056"/>
      <c r="HI6" s="1056"/>
      <c r="HJ6" s="1056"/>
      <c r="HK6" s="1056"/>
      <c r="HL6" s="1056"/>
      <c r="HM6" s="1056"/>
      <c r="HN6" s="1056"/>
      <c r="HP6" s="1053" t="s">
        <v>465</v>
      </c>
    </row>
    <row r="7" spans="1:225" ht="15.75" customHeight="1" x14ac:dyDescent="0.25">
      <c r="A7" s="1064" t="s">
        <v>400</v>
      </c>
      <c r="B7" s="1054" t="s">
        <v>470</v>
      </c>
      <c r="C7" s="1054" t="s">
        <v>351</v>
      </c>
      <c r="D7" s="1068" t="s">
        <v>29</v>
      </c>
      <c r="E7" s="1068"/>
      <c r="F7" s="1054" t="s">
        <v>352</v>
      </c>
      <c r="G7" s="1065" t="s">
        <v>416</v>
      </c>
      <c r="H7" s="1065" t="s">
        <v>349</v>
      </c>
      <c r="I7" s="1065" t="s">
        <v>414</v>
      </c>
      <c r="J7" s="1065" t="s">
        <v>401</v>
      </c>
      <c r="K7" s="1065" t="s">
        <v>402</v>
      </c>
      <c r="L7" s="1065" t="s">
        <v>407</v>
      </c>
      <c r="M7" s="1065" t="s">
        <v>411</v>
      </c>
      <c r="N7" s="1065" t="s">
        <v>463</v>
      </c>
      <c r="O7" s="1065" t="s">
        <v>415</v>
      </c>
      <c r="P7" s="1066" t="s">
        <v>342</v>
      </c>
      <c r="Q7" s="1069" t="s">
        <v>808</v>
      </c>
      <c r="R7" s="1069" t="s">
        <v>809</v>
      </c>
      <c r="S7" s="1069" t="s">
        <v>652</v>
      </c>
      <c r="T7" s="1066" t="s">
        <v>340</v>
      </c>
      <c r="U7" s="1060" t="s">
        <v>497</v>
      </c>
      <c r="V7" s="1060" t="s">
        <v>341</v>
      </c>
      <c r="W7" s="1060" t="s">
        <v>344</v>
      </c>
      <c r="X7" s="1060" t="s">
        <v>343</v>
      </c>
      <c r="Y7" s="1060" t="s">
        <v>345</v>
      </c>
      <c r="Z7" s="1060" t="s">
        <v>346</v>
      </c>
      <c r="AA7" s="1062" t="s">
        <v>29</v>
      </c>
      <c r="AB7" s="1062"/>
      <c r="AC7" s="1062"/>
      <c r="AD7" s="1060" t="s">
        <v>412</v>
      </c>
      <c r="AE7" s="137" t="s">
        <v>434</v>
      </c>
      <c r="AF7" s="1063" t="s">
        <v>435</v>
      </c>
      <c r="AG7" s="1063"/>
      <c r="AH7" s="1063"/>
      <c r="AI7" s="1063"/>
      <c r="AJ7" s="1063"/>
      <c r="AK7" s="1063"/>
      <c r="AM7" s="1054" t="s">
        <v>470</v>
      </c>
      <c r="AN7" s="1054" t="s">
        <v>351</v>
      </c>
      <c r="AO7" s="1068" t="s">
        <v>29</v>
      </c>
      <c r="AP7" s="1068"/>
      <c r="AQ7" s="1054" t="s">
        <v>352</v>
      </c>
      <c r="AR7" s="1065" t="s">
        <v>416</v>
      </c>
      <c r="AS7" s="1065" t="s">
        <v>349</v>
      </c>
      <c r="AT7" s="1065" t="s">
        <v>414</v>
      </c>
      <c r="AU7" s="1065" t="s">
        <v>401</v>
      </c>
      <c r="AV7" s="1065" t="s">
        <v>402</v>
      </c>
      <c r="AW7" s="1065" t="s">
        <v>407</v>
      </c>
      <c r="AX7" s="1065" t="s">
        <v>411</v>
      </c>
      <c r="AY7" s="1065" t="s">
        <v>463</v>
      </c>
      <c r="AZ7" s="1065" t="s">
        <v>415</v>
      </c>
      <c r="BA7" s="1066" t="s">
        <v>342</v>
      </c>
      <c r="BB7" s="1069" t="s">
        <v>808</v>
      </c>
      <c r="BC7" s="1069" t="s">
        <v>809</v>
      </c>
      <c r="BD7" s="1069" t="s">
        <v>652</v>
      </c>
      <c r="BE7" s="1066" t="s">
        <v>340</v>
      </c>
      <c r="BF7" s="1060" t="s">
        <v>497</v>
      </c>
      <c r="BG7" s="1060" t="s">
        <v>341</v>
      </c>
      <c r="BH7" s="1060" t="s">
        <v>344</v>
      </c>
      <c r="BI7" s="1060" t="s">
        <v>343</v>
      </c>
      <c r="BJ7" s="1060" t="s">
        <v>345</v>
      </c>
      <c r="BK7" s="1060" t="s">
        <v>346</v>
      </c>
      <c r="BL7" s="1062" t="s">
        <v>29</v>
      </c>
      <c r="BM7" s="1062"/>
      <c r="BN7" s="1062"/>
      <c r="BO7" s="1060" t="s">
        <v>412</v>
      </c>
      <c r="BP7" s="137" t="s">
        <v>434</v>
      </c>
      <c r="BQ7" s="1063" t="s">
        <v>435</v>
      </c>
      <c r="BR7" s="1063"/>
      <c r="BS7" s="1063"/>
      <c r="BT7" s="1063"/>
      <c r="BU7" s="1063"/>
      <c r="BV7" s="1063"/>
      <c r="BX7" s="1054" t="s">
        <v>470</v>
      </c>
      <c r="BY7" s="1054" t="s">
        <v>351</v>
      </c>
      <c r="BZ7" s="1068" t="s">
        <v>29</v>
      </c>
      <c r="CA7" s="1068"/>
      <c r="CB7" s="1054" t="s">
        <v>352</v>
      </c>
      <c r="CC7" s="1065" t="s">
        <v>416</v>
      </c>
      <c r="CD7" s="1065" t="s">
        <v>349</v>
      </c>
      <c r="CE7" s="1065" t="s">
        <v>414</v>
      </c>
      <c r="CF7" s="1065" t="s">
        <v>401</v>
      </c>
      <c r="CG7" s="1065" t="s">
        <v>402</v>
      </c>
      <c r="CH7" s="1065" t="s">
        <v>407</v>
      </c>
      <c r="CI7" s="1065" t="s">
        <v>411</v>
      </c>
      <c r="CJ7" s="1065" t="s">
        <v>463</v>
      </c>
      <c r="CK7" s="1065" t="s">
        <v>415</v>
      </c>
      <c r="CL7" s="1066" t="s">
        <v>342</v>
      </c>
      <c r="CM7" s="1069" t="s">
        <v>808</v>
      </c>
      <c r="CN7" s="1069" t="s">
        <v>809</v>
      </c>
      <c r="CO7" s="1069" t="s">
        <v>652</v>
      </c>
      <c r="CP7" s="1066" t="s">
        <v>340</v>
      </c>
      <c r="CQ7" s="1060" t="s">
        <v>497</v>
      </c>
      <c r="CR7" s="1060" t="s">
        <v>341</v>
      </c>
      <c r="CS7" s="1060" t="s">
        <v>344</v>
      </c>
      <c r="CT7" s="1060" t="s">
        <v>343</v>
      </c>
      <c r="CU7" s="1060" t="s">
        <v>345</v>
      </c>
      <c r="CV7" s="1060" t="s">
        <v>346</v>
      </c>
      <c r="CW7" s="1062" t="s">
        <v>29</v>
      </c>
      <c r="CX7" s="1062"/>
      <c r="CY7" s="1062"/>
      <c r="CZ7" s="1060" t="s">
        <v>412</v>
      </c>
      <c r="DA7" s="137" t="s">
        <v>434</v>
      </c>
      <c r="DB7" s="1063" t="s">
        <v>435</v>
      </c>
      <c r="DC7" s="1063"/>
      <c r="DD7" s="1063"/>
      <c r="DE7" s="1063"/>
      <c r="DF7" s="1063"/>
      <c r="DG7" s="1063"/>
      <c r="DI7" s="1054" t="s">
        <v>470</v>
      </c>
      <c r="DJ7" s="1054" t="s">
        <v>351</v>
      </c>
      <c r="DK7" s="1068" t="s">
        <v>29</v>
      </c>
      <c r="DL7" s="1068"/>
      <c r="DM7" s="1054" t="s">
        <v>352</v>
      </c>
      <c r="DN7" s="1065" t="s">
        <v>416</v>
      </c>
      <c r="DO7" s="1065" t="s">
        <v>349</v>
      </c>
      <c r="DP7" s="1065" t="s">
        <v>414</v>
      </c>
      <c r="DQ7" s="1065" t="s">
        <v>401</v>
      </c>
      <c r="DR7" s="1065" t="s">
        <v>402</v>
      </c>
      <c r="DS7" s="1065" t="s">
        <v>407</v>
      </c>
      <c r="DT7" s="1065" t="s">
        <v>411</v>
      </c>
      <c r="DU7" s="1065" t="s">
        <v>463</v>
      </c>
      <c r="DV7" s="1065" t="s">
        <v>415</v>
      </c>
      <c r="DW7" s="1066" t="s">
        <v>342</v>
      </c>
      <c r="DX7" s="1069" t="s">
        <v>808</v>
      </c>
      <c r="DY7" s="1069" t="s">
        <v>809</v>
      </c>
      <c r="DZ7" s="1069" t="s">
        <v>652</v>
      </c>
      <c r="EA7" s="1066" t="s">
        <v>340</v>
      </c>
      <c r="EB7" s="1060" t="s">
        <v>497</v>
      </c>
      <c r="EC7" s="1060" t="s">
        <v>341</v>
      </c>
      <c r="ED7" s="1060" t="s">
        <v>344</v>
      </c>
      <c r="EE7" s="1060" t="s">
        <v>343</v>
      </c>
      <c r="EF7" s="1060" t="s">
        <v>345</v>
      </c>
      <c r="EG7" s="1060" t="s">
        <v>346</v>
      </c>
      <c r="EH7" s="1062" t="s">
        <v>29</v>
      </c>
      <c r="EI7" s="1062"/>
      <c r="EJ7" s="1062"/>
      <c r="EK7" s="1060" t="s">
        <v>412</v>
      </c>
      <c r="EL7" s="137" t="s">
        <v>434</v>
      </c>
      <c r="EM7" s="1063" t="s">
        <v>435</v>
      </c>
      <c r="EN7" s="1063"/>
      <c r="EO7" s="1063"/>
      <c r="EP7" s="1063"/>
      <c r="EQ7" s="1063"/>
      <c r="ER7" s="1063"/>
      <c r="ET7" s="1054" t="s">
        <v>470</v>
      </c>
      <c r="EU7" s="1054" t="s">
        <v>351</v>
      </c>
      <c r="EV7" s="1068" t="s">
        <v>29</v>
      </c>
      <c r="EW7" s="1068"/>
      <c r="EX7" s="1054" t="s">
        <v>352</v>
      </c>
      <c r="EY7" s="1065" t="s">
        <v>416</v>
      </c>
      <c r="EZ7" s="1065" t="s">
        <v>349</v>
      </c>
      <c r="FA7" s="1065" t="s">
        <v>414</v>
      </c>
      <c r="FB7" s="1065" t="s">
        <v>401</v>
      </c>
      <c r="FC7" s="1065" t="s">
        <v>402</v>
      </c>
      <c r="FD7" s="1065" t="s">
        <v>407</v>
      </c>
      <c r="FE7" s="1065" t="s">
        <v>411</v>
      </c>
      <c r="FF7" s="1065" t="s">
        <v>463</v>
      </c>
      <c r="FG7" s="1065" t="s">
        <v>415</v>
      </c>
      <c r="FH7" s="1066" t="s">
        <v>342</v>
      </c>
      <c r="FI7" s="1069" t="s">
        <v>808</v>
      </c>
      <c r="FJ7" s="1069" t="s">
        <v>809</v>
      </c>
      <c r="FK7" s="1069" t="s">
        <v>652</v>
      </c>
      <c r="FL7" s="1066" t="s">
        <v>340</v>
      </c>
      <c r="FM7" s="1060" t="s">
        <v>497</v>
      </c>
      <c r="FN7" s="1060" t="s">
        <v>341</v>
      </c>
      <c r="FO7" s="1060" t="s">
        <v>344</v>
      </c>
      <c r="FP7" s="1060" t="s">
        <v>343</v>
      </c>
      <c r="FQ7" s="1060" t="s">
        <v>345</v>
      </c>
      <c r="FR7" s="1060" t="s">
        <v>346</v>
      </c>
      <c r="FS7" s="1062" t="s">
        <v>29</v>
      </c>
      <c r="FT7" s="1062"/>
      <c r="FU7" s="1062"/>
      <c r="FV7" s="1060" t="s">
        <v>412</v>
      </c>
      <c r="FW7" s="137" t="s">
        <v>434</v>
      </c>
      <c r="FX7" s="1063" t="s">
        <v>435</v>
      </c>
      <c r="FY7" s="1063"/>
      <c r="FZ7" s="1063"/>
      <c r="GA7" s="1063"/>
      <c r="GB7" s="1063"/>
      <c r="GC7" s="1063"/>
      <c r="GE7" s="1054" t="s">
        <v>470</v>
      </c>
      <c r="GF7" s="1054" t="s">
        <v>351</v>
      </c>
      <c r="GG7" s="1068" t="s">
        <v>29</v>
      </c>
      <c r="GH7" s="1068"/>
      <c r="GI7" s="1054" t="s">
        <v>352</v>
      </c>
      <c r="GJ7" s="1065" t="s">
        <v>416</v>
      </c>
      <c r="GK7" s="1065" t="s">
        <v>349</v>
      </c>
      <c r="GL7" s="1065" t="s">
        <v>414</v>
      </c>
      <c r="GM7" s="1065" t="s">
        <v>401</v>
      </c>
      <c r="GN7" s="1065" t="s">
        <v>402</v>
      </c>
      <c r="GO7" s="1065" t="s">
        <v>407</v>
      </c>
      <c r="GP7" s="1065" t="s">
        <v>411</v>
      </c>
      <c r="GQ7" s="1065" t="s">
        <v>463</v>
      </c>
      <c r="GR7" s="1065" t="s">
        <v>415</v>
      </c>
      <c r="GS7" s="1066" t="s">
        <v>342</v>
      </c>
      <c r="GT7" s="1069" t="s">
        <v>808</v>
      </c>
      <c r="GU7" s="1069" t="s">
        <v>809</v>
      </c>
      <c r="GV7" s="1069" t="s">
        <v>652</v>
      </c>
      <c r="GW7" s="1066" t="s">
        <v>340</v>
      </c>
      <c r="GX7" s="1060" t="s">
        <v>497</v>
      </c>
      <c r="GY7" s="1060" t="s">
        <v>341</v>
      </c>
      <c r="GZ7" s="1060" t="s">
        <v>344</v>
      </c>
      <c r="HA7" s="1060" t="s">
        <v>343</v>
      </c>
      <c r="HB7" s="1060" t="s">
        <v>345</v>
      </c>
      <c r="HC7" s="1060" t="s">
        <v>346</v>
      </c>
      <c r="HD7" s="1062" t="s">
        <v>29</v>
      </c>
      <c r="HE7" s="1062"/>
      <c r="HF7" s="1062"/>
      <c r="HG7" s="1060" t="s">
        <v>412</v>
      </c>
      <c r="HH7" s="137" t="s">
        <v>434</v>
      </c>
      <c r="HI7" s="1063" t="s">
        <v>435</v>
      </c>
      <c r="HJ7" s="1063"/>
      <c r="HK7" s="1063"/>
      <c r="HL7" s="1063"/>
      <c r="HM7" s="1063"/>
      <c r="HN7" s="1063"/>
      <c r="HP7" s="1053"/>
    </row>
    <row r="8" spans="1:225" ht="231.75" customHeight="1" x14ac:dyDescent="0.25">
      <c r="A8" s="1064"/>
      <c r="B8" s="1055"/>
      <c r="C8" s="1055"/>
      <c r="D8" s="281" t="s">
        <v>347</v>
      </c>
      <c r="E8" s="281" t="s">
        <v>348</v>
      </c>
      <c r="F8" s="1055"/>
      <c r="G8" s="1053"/>
      <c r="H8" s="1053"/>
      <c r="I8" s="1053"/>
      <c r="J8" s="1053"/>
      <c r="K8" s="1053"/>
      <c r="L8" s="1053"/>
      <c r="M8" s="1053"/>
      <c r="N8" s="1053"/>
      <c r="O8" s="1053"/>
      <c r="P8" s="1067"/>
      <c r="Q8" s="1070"/>
      <c r="R8" s="1070"/>
      <c r="S8" s="1070"/>
      <c r="T8" s="1067"/>
      <c r="U8" s="1061"/>
      <c r="V8" s="1061"/>
      <c r="W8" s="1061"/>
      <c r="X8" s="1061"/>
      <c r="Y8" s="1061"/>
      <c r="Z8" s="1061"/>
      <c r="AA8" s="225" t="s">
        <v>1194</v>
      </c>
      <c r="AB8" s="334" t="s">
        <v>413</v>
      </c>
      <c r="AC8" s="334" t="s">
        <v>417</v>
      </c>
      <c r="AD8" s="1061"/>
      <c r="AE8" s="144" t="s">
        <v>418</v>
      </c>
      <c r="AF8" s="271" t="s">
        <v>810</v>
      </c>
      <c r="AG8" s="271" t="s">
        <v>813</v>
      </c>
      <c r="AH8" s="271" t="s">
        <v>1208</v>
      </c>
      <c r="AI8" s="271" t="s">
        <v>436</v>
      </c>
      <c r="AJ8" s="333" t="s">
        <v>453</v>
      </c>
      <c r="AK8" s="144" t="s">
        <v>439</v>
      </c>
      <c r="AM8" s="1055"/>
      <c r="AN8" s="1055"/>
      <c r="AO8" s="281" t="s">
        <v>347</v>
      </c>
      <c r="AP8" s="281" t="s">
        <v>348</v>
      </c>
      <c r="AQ8" s="1055"/>
      <c r="AR8" s="1053"/>
      <c r="AS8" s="1053"/>
      <c r="AT8" s="1053"/>
      <c r="AU8" s="1053"/>
      <c r="AV8" s="1053"/>
      <c r="AW8" s="1053"/>
      <c r="AX8" s="1053"/>
      <c r="AY8" s="1053"/>
      <c r="AZ8" s="1053"/>
      <c r="BA8" s="1067"/>
      <c r="BB8" s="1070"/>
      <c r="BC8" s="1070"/>
      <c r="BD8" s="1070"/>
      <c r="BE8" s="1067"/>
      <c r="BF8" s="1061"/>
      <c r="BG8" s="1061"/>
      <c r="BH8" s="1061"/>
      <c r="BI8" s="1061"/>
      <c r="BJ8" s="1061"/>
      <c r="BK8" s="1061"/>
      <c r="BL8" s="225" t="s">
        <v>1194</v>
      </c>
      <c r="BM8" s="854" t="s">
        <v>413</v>
      </c>
      <c r="BN8" s="854" t="s">
        <v>417</v>
      </c>
      <c r="BO8" s="1061"/>
      <c r="BP8" s="144" t="s">
        <v>418</v>
      </c>
      <c r="BQ8" s="271" t="s">
        <v>810</v>
      </c>
      <c r="BR8" s="271" t="s">
        <v>813</v>
      </c>
      <c r="BS8" s="271" t="s">
        <v>1208</v>
      </c>
      <c r="BT8" s="271" t="s">
        <v>436</v>
      </c>
      <c r="BU8" s="853" t="s">
        <v>453</v>
      </c>
      <c r="BV8" s="144" t="s">
        <v>439</v>
      </c>
      <c r="BX8" s="1055"/>
      <c r="BY8" s="1055"/>
      <c r="BZ8" s="281" t="s">
        <v>347</v>
      </c>
      <c r="CA8" s="281" t="s">
        <v>348</v>
      </c>
      <c r="CB8" s="1055"/>
      <c r="CC8" s="1053"/>
      <c r="CD8" s="1053"/>
      <c r="CE8" s="1053"/>
      <c r="CF8" s="1053"/>
      <c r="CG8" s="1053"/>
      <c r="CH8" s="1053"/>
      <c r="CI8" s="1053"/>
      <c r="CJ8" s="1053"/>
      <c r="CK8" s="1053"/>
      <c r="CL8" s="1067"/>
      <c r="CM8" s="1070"/>
      <c r="CN8" s="1070"/>
      <c r="CO8" s="1070"/>
      <c r="CP8" s="1067"/>
      <c r="CQ8" s="1061"/>
      <c r="CR8" s="1061"/>
      <c r="CS8" s="1061"/>
      <c r="CT8" s="1061"/>
      <c r="CU8" s="1061"/>
      <c r="CV8" s="1061"/>
      <c r="CW8" s="225" t="s">
        <v>1194</v>
      </c>
      <c r="CX8" s="854" t="s">
        <v>413</v>
      </c>
      <c r="CY8" s="854" t="s">
        <v>417</v>
      </c>
      <c r="CZ8" s="1061"/>
      <c r="DA8" s="144" t="s">
        <v>418</v>
      </c>
      <c r="DB8" s="271" t="s">
        <v>810</v>
      </c>
      <c r="DC8" s="271" t="s">
        <v>813</v>
      </c>
      <c r="DD8" s="271" t="s">
        <v>1208</v>
      </c>
      <c r="DE8" s="271" t="s">
        <v>436</v>
      </c>
      <c r="DF8" s="853" t="s">
        <v>453</v>
      </c>
      <c r="DG8" s="144" t="s">
        <v>439</v>
      </c>
      <c r="DI8" s="1055"/>
      <c r="DJ8" s="1055"/>
      <c r="DK8" s="281" t="s">
        <v>347</v>
      </c>
      <c r="DL8" s="281" t="s">
        <v>348</v>
      </c>
      <c r="DM8" s="1055"/>
      <c r="DN8" s="1053"/>
      <c r="DO8" s="1053"/>
      <c r="DP8" s="1053"/>
      <c r="DQ8" s="1053"/>
      <c r="DR8" s="1053"/>
      <c r="DS8" s="1053"/>
      <c r="DT8" s="1053"/>
      <c r="DU8" s="1053"/>
      <c r="DV8" s="1053"/>
      <c r="DW8" s="1067"/>
      <c r="DX8" s="1070"/>
      <c r="DY8" s="1070"/>
      <c r="DZ8" s="1070"/>
      <c r="EA8" s="1067"/>
      <c r="EB8" s="1061"/>
      <c r="EC8" s="1061"/>
      <c r="ED8" s="1061"/>
      <c r="EE8" s="1061"/>
      <c r="EF8" s="1061"/>
      <c r="EG8" s="1061"/>
      <c r="EH8" s="225" t="s">
        <v>1194</v>
      </c>
      <c r="EI8" s="854" t="s">
        <v>413</v>
      </c>
      <c r="EJ8" s="854" t="s">
        <v>417</v>
      </c>
      <c r="EK8" s="1061"/>
      <c r="EL8" s="144" t="s">
        <v>418</v>
      </c>
      <c r="EM8" s="271" t="s">
        <v>810</v>
      </c>
      <c r="EN8" s="271" t="s">
        <v>813</v>
      </c>
      <c r="EO8" s="271" t="s">
        <v>1208</v>
      </c>
      <c r="EP8" s="271" t="s">
        <v>436</v>
      </c>
      <c r="EQ8" s="853" t="s">
        <v>453</v>
      </c>
      <c r="ER8" s="144" t="s">
        <v>439</v>
      </c>
      <c r="ET8" s="1055"/>
      <c r="EU8" s="1055"/>
      <c r="EV8" s="281" t="s">
        <v>347</v>
      </c>
      <c r="EW8" s="281" t="s">
        <v>348</v>
      </c>
      <c r="EX8" s="1055"/>
      <c r="EY8" s="1053"/>
      <c r="EZ8" s="1053"/>
      <c r="FA8" s="1053"/>
      <c r="FB8" s="1053"/>
      <c r="FC8" s="1053"/>
      <c r="FD8" s="1053"/>
      <c r="FE8" s="1053"/>
      <c r="FF8" s="1053"/>
      <c r="FG8" s="1053"/>
      <c r="FH8" s="1067"/>
      <c r="FI8" s="1070"/>
      <c r="FJ8" s="1070"/>
      <c r="FK8" s="1070"/>
      <c r="FL8" s="1067"/>
      <c r="FM8" s="1061"/>
      <c r="FN8" s="1061"/>
      <c r="FO8" s="1061"/>
      <c r="FP8" s="1061"/>
      <c r="FQ8" s="1061"/>
      <c r="FR8" s="1061"/>
      <c r="FS8" s="225" t="s">
        <v>1194</v>
      </c>
      <c r="FT8" s="854" t="s">
        <v>413</v>
      </c>
      <c r="FU8" s="854" t="s">
        <v>417</v>
      </c>
      <c r="FV8" s="1061"/>
      <c r="FW8" s="144" t="s">
        <v>418</v>
      </c>
      <c r="FX8" s="271" t="s">
        <v>810</v>
      </c>
      <c r="FY8" s="271" t="s">
        <v>813</v>
      </c>
      <c r="FZ8" s="271" t="s">
        <v>1208</v>
      </c>
      <c r="GA8" s="271" t="s">
        <v>436</v>
      </c>
      <c r="GB8" s="853" t="s">
        <v>453</v>
      </c>
      <c r="GC8" s="144" t="s">
        <v>439</v>
      </c>
      <c r="GE8" s="1055"/>
      <c r="GF8" s="1055"/>
      <c r="GG8" s="281" t="s">
        <v>347</v>
      </c>
      <c r="GH8" s="281" t="s">
        <v>348</v>
      </c>
      <c r="GI8" s="1055"/>
      <c r="GJ8" s="1053"/>
      <c r="GK8" s="1053"/>
      <c r="GL8" s="1053"/>
      <c r="GM8" s="1053"/>
      <c r="GN8" s="1053"/>
      <c r="GO8" s="1053"/>
      <c r="GP8" s="1053"/>
      <c r="GQ8" s="1053"/>
      <c r="GR8" s="1053"/>
      <c r="GS8" s="1067"/>
      <c r="GT8" s="1070"/>
      <c r="GU8" s="1070"/>
      <c r="GV8" s="1070"/>
      <c r="GW8" s="1067"/>
      <c r="GX8" s="1061"/>
      <c r="GY8" s="1061"/>
      <c r="GZ8" s="1061"/>
      <c r="HA8" s="1061"/>
      <c r="HB8" s="1061"/>
      <c r="HC8" s="1061"/>
      <c r="HD8" s="225" t="s">
        <v>1194</v>
      </c>
      <c r="HE8" s="854" t="s">
        <v>413</v>
      </c>
      <c r="HF8" s="854" t="s">
        <v>417</v>
      </c>
      <c r="HG8" s="1061"/>
      <c r="HH8" s="144" t="s">
        <v>418</v>
      </c>
      <c r="HI8" s="271" t="s">
        <v>810</v>
      </c>
      <c r="HJ8" s="271" t="s">
        <v>813</v>
      </c>
      <c r="HK8" s="271" t="s">
        <v>1208</v>
      </c>
      <c r="HL8" s="271" t="s">
        <v>436</v>
      </c>
      <c r="HM8" s="853" t="s">
        <v>453</v>
      </c>
      <c r="HN8" s="144" t="s">
        <v>439</v>
      </c>
      <c r="HP8" s="1053"/>
    </row>
    <row r="9" spans="1:225" s="114" customFormat="1" ht="67.5" customHeight="1" x14ac:dyDescent="0.25">
      <c r="A9" s="115"/>
      <c r="B9" s="134" t="s">
        <v>578</v>
      </c>
      <c r="C9" s="134" t="s">
        <v>579</v>
      </c>
      <c r="D9" s="134" t="s">
        <v>580</v>
      </c>
      <c r="E9" s="134" t="s">
        <v>581</v>
      </c>
      <c r="F9" s="134" t="s">
        <v>582</v>
      </c>
      <c r="G9" s="134">
        <v>5</v>
      </c>
      <c r="H9" s="134">
        <v>6</v>
      </c>
      <c r="I9" s="134" t="s">
        <v>419</v>
      </c>
      <c r="J9" s="134" t="s">
        <v>442</v>
      </c>
      <c r="K9" s="134" t="s">
        <v>443</v>
      </c>
      <c r="L9" s="134" t="s">
        <v>444</v>
      </c>
      <c r="M9" s="134" t="s">
        <v>445</v>
      </c>
      <c r="N9" s="134" t="s">
        <v>446</v>
      </c>
      <c r="O9" s="134" t="s">
        <v>420</v>
      </c>
      <c r="P9" s="134">
        <v>14</v>
      </c>
      <c r="Q9" s="134" t="s">
        <v>649</v>
      </c>
      <c r="R9" s="134" t="s">
        <v>650</v>
      </c>
      <c r="S9" s="134" t="s">
        <v>651</v>
      </c>
      <c r="T9" s="134">
        <v>16</v>
      </c>
      <c r="U9" s="134" t="s">
        <v>421</v>
      </c>
      <c r="V9" s="134"/>
      <c r="W9" s="134" t="s">
        <v>422</v>
      </c>
      <c r="X9" s="134" t="s">
        <v>423</v>
      </c>
      <c r="Y9" s="134"/>
      <c r="Z9" s="134" t="s">
        <v>424</v>
      </c>
      <c r="AA9" s="134" t="s">
        <v>425</v>
      </c>
      <c r="AB9" s="134" t="s">
        <v>426</v>
      </c>
      <c r="AC9" s="134" t="s">
        <v>427</v>
      </c>
      <c r="AD9" s="134" t="s">
        <v>428</v>
      </c>
      <c r="AE9" s="134" t="s">
        <v>429</v>
      </c>
      <c r="AF9" s="134" t="s">
        <v>1207</v>
      </c>
      <c r="AG9" s="134" t="s">
        <v>433</v>
      </c>
      <c r="AH9" s="134" t="s">
        <v>432</v>
      </c>
      <c r="AI9" s="134" t="s">
        <v>437</v>
      </c>
      <c r="AJ9" s="134" t="s">
        <v>438</v>
      </c>
      <c r="AK9" s="134" t="s">
        <v>440</v>
      </c>
      <c r="AM9" s="134" t="s">
        <v>578</v>
      </c>
      <c r="AN9" s="134" t="s">
        <v>579</v>
      </c>
      <c r="AO9" s="134" t="s">
        <v>580</v>
      </c>
      <c r="AP9" s="134" t="s">
        <v>581</v>
      </c>
      <c r="AQ9" s="134" t="s">
        <v>582</v>
      </c>
      <c r="AR9" s="134">
        <v>5</v>
      </c>
      <c r="AS9" s="134">
        <v>6</v>
      </c>
      <c r="AT9" s="134" t="s">
        <v>419</v>
      </c>
      <c r="AU9" s="134" t="s">
        <v>442</v>
      </c>
      <c r="AV9" s="134" t="s">
        <v>443</v>
      </c>
      <c r="AW9" s="134" t="s">
        <v>444</v>
      </c>
      <c r="AX9" s="134" t="s">
        <v>445</v>
      </c>
      <c r="AY9" s="134" t="s">
        <v>446</v>
      </c>
      <c r="AZ9" s="134" t="s">
        <v>420</v>
      </c>
      <c r="BA9" s="134">
        <v>14</v>
      </c>
      <c r="BB9" s="134" t="s">
        <v>649</v>
      </c>
      <c r="BC9" s="134" t="s">
        <v>650</v>
      </c>
      <c r="BD9" s="134" t="s">
        <v>651</v>
      </c>
      <c r="BE9" s="134">
        <v>16</v>
      </c>
      <c r="BF9" s="134" t="s">
        <v>421</v>
      </c>
      <c r="BG9" s="134"/>
      <c r="BH9" s="134" t="s">
        <v>422</v>
      </c>
      <c r="BI9" s="134" t="s">
        <v>423</v>
      </c>
      <c r="BJ9" s="134"/>
      <c r="BK9" s="134" t="s">
        <v>424</v>
      </c>
      <c r="BL9" s="134" t="s">
        <v>425</v>
      </c>
      <c r="BM9" s="134" t="s">
        <v>426</v>
      </c>
      <c r="BN9" s="134" t="s">
        <v>427</v>
      </c>
      <c r="BO9" s="134" t="s">
        <v>428</v>
      </c>
      <c r="BP9" s="134" t="s">
        <v>429</v>
      </c>
      <c r="BQ9" s="134" t="s">
        <v>1207</v>
      </c>
      <c r="BR9" s="134" t="s">
        <v>433</v>
      </c>
      <c r="BS9" s="134" t="s">
        <v>432</v>
      </c>
      <c r="BT9" s="134" t="s">
        <v>437</v>
      </c>
      <c r="BU9" s="134" t="s">
        <v>438</v>
      </c>
      <c r="BV9" s="134" t="s">
        <v>440</v>
      </c>
      <c r="BX9" s="134" t="s">
        <v>578</v>
      </c>
      <c r="BY9" s="134" t="s">
        <v>579</v>
      </c>
      <c r="BZ9" s="134" t="s">
        <v>580</v>
      </c>
      <c r="CA9" s="134" t="s">
        <v>581</v>
      </c>
      <c r="CB9" s="134" t="s">
        <v>582</v>
      </c>
      <c r="CC9" s="134">
        <v>5</v>
      </c>
      <c r="CD9" s="134">
        <v>6</v>
      </c>
      <c r="CE9" s="134" t="s">
        <v>419</v>
      </c>
      <c r="CF9" s="134" t="s">
        <v>442</v>
      </c>
      <c r="CG9" s="134" t="s">
        <v>443</v>
      </c>
      <c r="CH9" s="134" t="s">
        <v>444</v>
      </c>
      <c r="CI9" s="134" t="s">
        <v>445</v>
      </c>
      <c r="CJ9" s="134" t="s">
        <v>446</v>
      </c>
      <c r="CK9" s="134" t="s">
        <v>420</v>
      </c>
      <c r="CL9" s="134">
        <v>14</v>
      </c>
      <c r="CM9" s="134" t="s">
        <v>649</v>
      </c>
      <c r="CN9" s="134" t="s">
        <v>650</v>
      </c>
      <c r="CO9" s="134" t="s">
        <v>651</v>
      </c>
      <c r="CP9" s="134">
        <v>16</v>
      </c>
      <c r="CQ9" s="134" t="s">
        <v>421</v>
      </c>
      <c r="CR9" s="134"/>
      <c r="CS9" s="134" t="s">
        <v>422</v>
      </c>
      <c r="CT9" s="134" t="s">
        <v>423</v>
      </c>
      <c r="CU9" s="134"/>
      <c r="CV9" s="134" t="s">
        <v>424</v>
      </c>
      <c r="CW9" s="134" t="s">
        <v>425</v>
      </c>
      <c r="CX9" s="134" t="s">
        <v>426</v>
      </c>
      <c r="CY9" s="134" t="s">
        <v>427</v>
      </c>
      <c r="CZ9" s="134" t="s">
        <v>428</v>
      </c>
      <c r="DA9" s="134" t="s">
        <v>429</v>
      </c>
      <c r="DB9" s="134" t="s">
        <v>1207</v>
      </c>
      <c r="DC9" s="134" t="s">
        <v>433</v>
      </c>
      <c r="DD9" s="134" t="s">
        <v>432</v>
      </c>
      <c r="DE9" s="134" t="s">
        <v>437</v>
      </c>
      <c r="DF9" s="134" t="s">
        <v>438</v>
      </c>
      <c r="DG9" s="134" t="s">
        <v>440</v>
      </c>
      <c r="DI9" s="134" t="s">
        <v>578</v>
      </c>
      <c r="DJ9" s="134" t="s">
        <v>579</v>
      </c>
      <c r="DK9" s="134" t="s">
        <v>580</v>
      </c>
      <c r="DL9" s="134" t="s">
        <v>581</v>
      </c>
      <c r="DM9" s="134" t="s">
        <v>582</v>
      </c>
      <c r="DN9" s="134">
        <v>5</v>
      </c>
      <c r="DO9" s="134">
        <v>6</v>
      </c>
      <c r="DP9" s="134" t="s">
        <v>419</v>
      </c>
      <c r="DQ9" s="134" t="s">
        <v>442</v>
      </c>
      <c r="DR9" s="134" t="s">
        <v>443</v>
      </c>
      <c r="DS9" s="134" t="s">
        <v>444</v>
      </c>
      <c r="DT9" s="134" t="s">
        <v>445</v>
      </c>
      <c r="DU9" s="134" t="s">
        <v>446</v>
      </c>
      <c r="DV9" s="134" t="s">
        <v>420</v>
      </c>
      <c r="DW9" s="134">
        <v>14</v>
      </c>
      <c r="DX9" s="134" t="s">
        <v>649</v>
      </c>
      <c r="DY9" s="134" t="s">
        <v>650</v>
      </c>
      <c r="DZ9" s="134" t="s">
        <v>651</v>
      </c>
      <c r="EA9" s="134">
        <v>16</v>
      </c>
      <c r="EB9" s="134" t="s">
        <v>421</v>
      </c>
      <c r="EC9" s="134"/>
      <c r="ED9" s="134" t="s">
        <v>422</v>
      </c>
      <c r="EE9" s="134" t="s">
        <v>423</v>
      </c>
      <c r="EF9" s="134"/>
      <c r="EG9" s="134" t="s">
        <v>424</v>
      </c>
      <c r="EH9" s="134" t="s">
        <v>425</v>
      </c>
      <c r="EI9" s="134" t="s">
        <v>426</v>
      </c>
      <c r="EJ9" s="134" t="s">
        <v>427</v>
      </c>
      <c r="EK9" s="134" t="s">
        <v>428</v>
      </c>
      <c r="EL9" s="134" t="s">
        <v>429</v>
      </c>
      <c r="EM9" s="134" t="s">
        <v>1207</v>
      </c>
      <c r="EN9" s="134" t="s">
        <v>433</v>
      </c>
      <c r="EO9" s="134" t="s">
        <v>432</v>
      </c>
      <c r="EP9" s="134" t="s">
        <v>437</v>
      </c>
      <c r="EQ9" s="134" t="s">
        <v>438</v>
      </c>
      <c r="ER9" s="134" t="s">
        <v>440</v>
      </c>
      <c r="ET9" s="134" t="s">
        <v>578</v>
      </c>
      <c r="EU9" s="134" t="s">
        <v>579</v>
      </c>
      <c r="EV9" s="134" t="s">
        <v>580</v>
      </c>
      <c r="EW9" s="134" t="s">
        <v>581</v>
      </c>
      <c r="EX9" s="134" t="s">
        <v>582</v>
      </c>
      <c r="EY9" s="134">
        <v>5</v>
      </c>
      <c r="EZ9" s="134">
        <v>6</v>
      </c>
      <c r="FA9" s="134" t="s">
        <v>419</v>
      </c>
      <c r="FB9" s="134" t="s">
        <v>442</v>
      </c>
      <c r="FC9" s="134" t="s">
        <v>443</v>
      </c>
      <c r="FD9" s="134" t="s">
        <v>444</v>
      </c>
      <c r="FE9" s="134" t="s">
        <v>445</v>
      </c>
      <c r="FF9" s="134" t="s">
        <v>446</v>
      </c>
      <c r="FG9" s="134" t="s">
        <v>420</v>
      </c>
      <c r="FH9" s="134">
        <v>14</v>
      </c>
      <c r="FI9" s="134" t="s">
        <v>649</v>
      </c>
      <c r="FJ9" s="134" t="s">
        <v>650</v>
      </c>
      <c r="FK9" s="134" t="s">
        <v>651</v>
      </c>
      <c r="FL9" s="134">
        <v>16</v>
      </c>
      <c r="FM9" s="134" t="s">
        <v>421</v>
      </c>
      <c r="FN9" s="134"/>
      <c r="FO9" s="134" t="s">
        <v>422</v>
      </c>
      <c r="FP9" s="134" t="s">
        <v>423</v>
      </c>
      <c r="FQ9" s="134"/>
      <c r="FR9" s="134" t="s">
        <v>424</v>
      </c>
      <c r="FS9" s="134" t="s">
        <v>425</v>
      </c>
      <c r="FT9" s="134" t="s">
        <v>426</v>
      </c>
      <c r="FU9" s="134" t="s">
        <v>427</v>
      </c>
      <c r="FV9" s="134" t="s">
        <v>428</v>
      </c>
      <c r="FW9" s="134" t="s">
        <v>429</v>
      </c>
      <c r="FX9" s="134" t="s">
        <v>1207</v>
      </c>
      <c r="FY9" s="134" t="s">
        <v>433</v>
      </c>
      <c r="FZ9" s="134" t="s">
        <v>432</v>
      </c>
      <c r="GA9" s="134" t="s">
        <v>437</v>
      </c>
      <c r="GB9" s="134" t="s">
        <v>438</v>
      </c>
      <c r="GC9" s="134" t="s">
        <v>440</v>
      </c>
      <c r="GE9" s="134" t="s">
        <v>578</v>
      </c>
      <c r="GF9" s="134" t="s">
        <v>579</v>
      </c>
      <c r="GG9" s="134" t="s">
        <v>580</v>
      </c>
      <c r="GH9" s="134" t="s">
        <v>581</v>
      </c>
      <c r="GI9" s="134" t="s">
        <v>582</v>
      </c>
      <c r="GJ9" s="134">
        <v>5</v>
      </c>
      <c r="GK9" s="134">
        <v>6</v>
      </c>
      <c r="GL9" s="134" t="s">
        <v>419</v>
      </c>
      <c r="GM9" s="134" t="s">
        <v>442</v>
      </c>
      <c r="GN9" s="134" t="s">
        <v>443</v>
      </c>
      <c r="GO9" s="134" t="s">
        <v>444</v>
      </c>
      <c r="GP9" s="134" t="s">
        <v>445</v>
      </c>
      <c r="GQ9" s="134" t="s">
        <v>446</v>
      </c>
      <c r="GR9" s="134" t="s">
        <v>420</v>
      </c>
      <c r="GS9" s="134">
        <v>14</v>
      </c>
      <c r="GT9" s="134" t="s">
        <v>649</v>
      </c>
      <c r="GU9" s="134" t="s">
        <v>650</v>
      </c>
      <c r="GV9" s="134" t="s">
        <v>651</v>
      </c>
      <c r="GW9" s="134">
        <v>16</v>
      </c>
      <c r="GX9" s="134" t="s">
        <v>421</v>
      </c>
      <c r="GY9" s="134"/>
      <c r="GZ9" s="134" t="s">
        <v>422</v>
      </c>
      <c r="HA9" s="134" t="s">
        <v>423</v>
      </c>
      <c r="HB9" s="134"/>
      <c r="HC9" s="134" t="s">
        <v>424</v>
      </c>
      <c r="HD9" s="134" t="s">
        <v>425</v>
      </c>
      <c r="HE9" s="134" t="s">
        <v>426</v>
      </c>
      <c r="HF9" s="134" t="s">
        <v>427</v>
      </c>
      <c r="HG9" s="134" t="s">
        <v>428</v>
      </c>
      <c r="HH9" s="134" t="s">
        <v>429</v>
      </c>
      <c r="HI9" s="134" t="s">
        <v>1207</v>
      </c>
      <c r="HJ9" s="134" t="s">
        <v>433</v>
      </c>
      <c r="HK9" s="134" t="s">
        <v>432</v>
      </c>
      <c r="HL9" s="134" t="s">
        <v>437</v>
      </c>
      <c r="HM9" s="134" t="s">
        <v>438</v>
      </c>
      <c r="HN9" s="134" t="s">
        <v>440</v>
      </c>
      <c r="HP9" s="134" t="s">
        <v>464</v>
      </c>
      <c r="HQ9" s="134" t="s">
        <v>583</v>
      </c>
    </row>
    <row r="10" spans="1:225" s="113" customFormat="1" ht="18.75" customHeight="1" x14ac:dyDescent="0.25">
      <c r="A10" s="282"/>
      <c r="B10" s="283"/>
      <c r="C10" s="283"/>
      <c r="D10" s="283"/>
      <c r="E10" s="283"/>
      <c r="F10" s="283"/>
      <c r="G10" s="284"/>
      <c r="H10" s="284"/>
      <c r="I10" s="285"/>
      <c r="J10" s="284"/>
      <c r="K10" s="284"/>
      <c r="L10" s="284"/>
      <c r="M10" s="284"/>
      <c r="N10" s="284"/>
      <c r="O10" s="285"/>
      <c r="P10" s="284"/>
      <c r="Q10" s="284"/>
      <c r="R10" s="284"/>
      <c r="S10" s="284"/>
      <c r="T10" s="286"/>
      <c r="U10" s="287"/>
      <c r="V10" s="287"/>
      <c r="W10" s="287"/>
      <c r="X10" s="287"/>
      <c r="Y10" s="287"/>
      <c r="Z10" s="287"/>
      <c r="AA10" s="287"/>
      <c r="AB10" s="287"/>
      <c r="AC10" s="287"/>
      <c r="AD10" s="288"/>
      <c r="AE10" s="289"/>
      <c r="AF10" s="290"/>
      <c r="AG10" s="291"/>
      <c r="AH10" s="292">
        <v>59.8</v>
      </c>
      <c r="AI10" s="293"/>
      <c r="AJ10" s="294"/>
      <c r="AK10" s="293"/>
      <c r="AM10" s="283"/>
      <c r="AN10" s="283"/>
      <c r="AO10" s="283"/>
      <c r="AP10" s="283"/>
      <c r="AQ10" s="283"/>
      <c r="AR10" s="284"/>
      <c r="AS10" s="284"/>
      <c r="AT10" s="285"/>
      <c r="AU10" s="284"/>
      <c r="AV10" s="284"/>
      <c r="AW10" s="284"/>
      <c r="AX10" s="284"/>
      <c r="AY10" s="284"/>
      <c r="AZ10" s="285"/>
      <c r="BA10" s="284"/>
      <c r="BB10" s="284"/>
      <c r="BC10" s="284"/>
      <c r="BD10" s="284"/>
      <c r="BE10" s="286"/>
      <c r="BF10" s="287"/>
      <c r="BG10" s="287"/>
      <c r="BH10" s="287"/>
      <c r="BI10" s="287"/>
      <c r="BJ10" s="287"/>
      <c r="BK10" s="287"/>
      <c r="BL10" s="287"/>
      <c r="BM10" s="287"/>
      <c r="BN10" s="287"/>
      <c r="BO10" s="288"/>
      <c r="BP10" s="289"/>
      <c r="BQ10" s="290"/>
      <c r="BR10" s="291"/>
      <c r="BS10" s="292">
        <v>43.3</v>
      </c>
      <c r="BT10" s="293"/>
      <c r="BU10" s="294"/>
      <c r="BV10" s="293"/>
      <c r="BX10" s="283"/>
      <c r="BY10" s="283"/>
      <c r="BZ10" s="283"/>
      <c r="CA10" s="283"/>
      <c r="CB10" s="283"/>
      <c r="CC10" s="284"/>
      <c r="CD10" s="284"/>
      <c r="CE10" s="285"/>
      <c r="CF10" s="284"/>
      <c r="CG10" s="284"/>
      <c r="CH10" s="284"/>
      <c r="CI10" s="284"/>
      <c r="CJ10" s="284"/>
      <c r="CK10" s="285"/>
      <c r="CL10" s="284"/>
      <c r="CM10" s="284"/>
      <c r="CN10" s="284"/>
      <c r="CO10" s="284"/>
      <c r="CP10" s="286"/>
      <c r="CQ10" s="287"/>
      <c r="CR10" s="287"/>
      <c r="CS10" s="287"/>
      <c r="CT10" s="287"/>
      <c r="CU10" s="287"/>
      <c r="CV10" s="287"/>
      <c r="CW10" s="287"/>
      <c r="CX10" s="287"/>
      <c r="CY10" s="287"/>
      <c r="CZ10" s="288"/>
      <c r="DA10" s="289"/>
      <c r="DB10" s="290"/>
      <c r="DC10" s="291"/>
      <c r="DD10" s="292">
        <v>27.7</v>
      </c>
      <c r="DE10" s="293"/>
      <c r="DF10" s="294"/>
      <c r="DG10" s="293"/>
      <c r="DI10" s="283"/>
      <c r="DJ10" s="283"/>
      <c r="DK10" s="283"/>
      <c r="DL10" s="283"/>
      <c r="DM10" s="283"/>
      <c r="DN10" s="284"/>
      <c r="DO10" s="284"/>
      <c r="DP10" s="285"/>
      <c r="DQ10" s="284"/>
      <c r="DR10" s="284"/>
      <c r="DS10" s="284"/>
      <c r="DT10" s="284"/>
      <c r="DU10" s="284"/>
      <c r="DV10" s="285"/>
      <c r="DW10" s="284"/>
      <c r="DX10" s="284"/>
      <c r="DY10" s="284"/>
      <c r="DZ10" s="284"/>
      <c r="EA10" s="286"/>
      <c r="EB10" s="287"/>
      <c r="EC10" s="287"/>
      <c r="ED10" s="287"/>
      <c r="EE10" s="287"/>
      <c r="EF10" s="287"/>
      <c r="EG10" s="287"/>
      <c r="EH10" s="287"/>
      <c r="EI10" s="287"/>
      <c r="EJ10" s="287"/>
      <c r="EK10" s="288"/>
      <c r="EL10" s="289"/>
      <c r="EM10" s="290"/>
      <c r="EN10" s="291"/>
      <c r="EO10" s="292">
        <v>9.4</v>
      </c>
      <c r="EP10" s="293"/>
      <c r="EQ10" s="294"/>
      <c r="ER10" s="293"/>
      <c r="ET10" s="283"/>
      <c r="EU10" s="283"/>
      <c r="EV10" s="283"/>
      <c r="EW10" s="283"/>
      <c r="EX10" s="283"/>
      <c r="EY10" s="284"/>
      <c r="EZ10" s="284"/>
      <c r="FA10" s="285"/>
      <c r="FB10" s="284"/>
      <c r="FC10" s="284"/>
      <c r="FD10" s="284"/>
      <c r="FE10" s="284"/>
      <c r="FF10" s="284"/>
      <c r="FG10" s="285"/>
      <c r="FH10" s="284"/>
      <c r="FI10" s="284"/>
      <c r="FJ10" s="284"/>
      <c r="FK10" s="284"/>
      <c r="FL10" s="286"/>
      <c r="FM10" s="287"/>
      <c r="FN10" s="287"/>
      <c r="FO10" s="287"/>
      <c r="FP10" s="287"/>
      <c r="FQ10" s="287"/>
      <c r="FR10" s="287"/>
      <c r="FS10" s="287"/>
      <c r="FT10" s="287"/>
      <c r="FU10" s="287"/>
      <c r="FV10" s="288"/>
      <c r="FW10" s="289"/>
      <c r="FX10" s="290"/>
      <c r="FY10" s="291"/>
      <c r="FZ10" s="292">
        <v>4</v>
      </c>
      <c r="GA10" s="293"/>
      <c r="GB10" s="294"/>
      <c r="GC10" s="293"/>
      <c r="GE10" s="283"/>
      <c r="GF10" s="283"/>
      <c r="GG10" s="283"/>
      <c r="GH10" s="283"/>
      <c r="GI10" s="283"/>
      <c r="GJ10" s="284"/>
      <c r="GK10" s="284"/>
      <c r="GL10" s="285"/>
      <c r="GM10" s="284"/>
      <c r="GN10" s="284"/>
      <c r="GO10" s="284"/>
      <c r="GP10" s="284"/>
      <c r="GQ10" s="284"/>
      <c r="GR10" s="285"/>
      <c r="GS10" s="284"/>
      <c r="GT10" s="284"/>
      <c r="GU10" s="284"/>
      <c r="GV10" s="284"/>
      <c r="GW10" s="286"/>
      <c r="GX10" s="287"/>
      <c r="GY10" s="287"/>
      <c r="GZ10" s="287"/>
      <c r="HA10" s="287"/>
      <c r="HB10" s="287"/>
      <c r="HC10" s="287"/>
      <c r="HD10" s="287"/>
      <c r="HE10" s="287"/>
      <c r="HF10" s="287"/>
      <c r="HG10" s="288"/>
      <c r="HH10" s="289"/>
      <c r="HI10" s="290"/>
      <c r="HJ10" s="291"/>
      <c r="HK10" s="295">
        <f>AH10+BS10+DD10+EO10+FZ10</f>
        <v>144.19999999999999</v>
      </c>
      <c r="HL10" s="293"/>
      <c r="HM10" s="294"/>
      <c r="HN10" s="293"/>
      <c r="HP10" s="284"/>
    </row>
    <row r="11" spans="1:225" s="113" customFormat="1" ht="18.75" customHeight="1" x14ac:dyDescent="0.25">
      <c r="A11" s="349" t="s">
        <v>447</v>
      </c>
      <c r="B11" s="350"/>
      <c r="C11" s="350"/>
      <c r="D11" s="350"/>
      <c r="E11" s="350"/>
      <c r="F11" s="350"/>
      <c r="G11" s="351"/>
      <c r="H11" s="351"/>
      <c r="I11" s="352"/>
      <c r="J11" s="351"/>
      <c r="K11" s="351"/>
      <c r="L11" s="351"/>
      <c r="M11" s="351"/>
      <c r="N11" s="351"/>
      <c r="O11" s="352"/>
      <c r="P11" s="351"/>
      <c r="Q11" s="351"/>
      <c r="R11" s="351"/>
      <c r="S11" s="351"/>
      <c r="T11" s="353"/>
      <c r="U11" s="340">
        <f>'211,213 допы 2024 (без овз)'!$AW$60</f>
        <v>1.47617</v>
      </c>
      <c r="V11" s="341"/>
      <c r="W11" s="342">
        <f>'211,213 допы 2024 (без овз)'!$AW$62</f>
        <v>0.29274</v>
      </c>
      <c r="X11" s="343">
        <f>'211,213 допы 2024 (без овз)'!$AW$63</f>
        <v>0.45841999999999999</v>
      </c>
      <c r="Y11" s="344"/>
      <c r="Z11" s="344"/>
      <c r="AA11" s="345">
        <f>'211,213 допы 2024 (без овз)'!$AW$65</f>
        <v>1.1776</v>
      </c>
      <c r="AB11" s="346">
        <f>1+(42+3)/365</f>
        <v>1.1232899999999999</v>
      </c>
      <c r="AC11" s="347"/>
      <c r="AD11" s="348">
        <f>'211,213 допы 2024 (без овз)'!$AW$64</f>
        <v>8.1689999999999999E-2</v>
      </c>
      <c r="AE11" s="354"/>
      <c r="AF11" s="354"/>
      <c r="AG11" s="355"/>
      <c r="AH11" s="356"/>
      <c r="AI11" s="354"/>
      <c r="AJ11" s="357"/>
      <c r="AK11" s="354"/>
      <c r="AM11" s="350"/>
      <c r="AN11" s="350"/>
      <c r="AO11" s="350"/>
      <c r="AP11" s="350"/>
      <c r="AQ11" s="350"/>
      <c r="AR11" s="351"/>
      <c r="AS11" s="351"/>
      <c r="AT11" s="352"/>
      <c r="AU11" s="351"/>
      <c r="AV11" s="351"/>
      <c r="AW11" s="351"/>
      <c r="AX11" s="351"/>
      <c r="AY11" s="351"/>
      <c r="AZ11" s="352"/>
      <c r="BA11" s="351"/>
      <c r="BB11" s="351"/>
      <c r="BC11" s="351"/>
      <c r="BD11" s="351"/>
      <c r="BE11" s="353"/>
      <c r="BF11" s="340">
        <f>'211,213 допы 2024 (без овз)'!$AW$146</f>
        <v>1.38046</v>
      </c>
      <c r="BG11" s="341"/>
      <c r="BH11" s="342">
        <f>'211,213 допы 2024 (без овз)'!$AW$148</f>
        <v>0.43123</v>
      </c>
      <c r="BI11" s="343">
        <f>'211,213 допы 2024 (без овз)'!$AW$149</f>
        <v>0.66134000000000004</v>
      </c>
      <c r="BJ11" s="341"/>
      <c r="BK11" s="341"/>
      <c r="BL11" s="345">
        <f>'211,213 допы 2024 (без овз)'!$AW$151</f>
        <v>1.2245299999999999</v>
      </c>
      <c r="BM11" s="346">
        <f>1+(42+3)/365</f>
        <v>1.1232899999999999</v>
      </c>
      <c r="BN11" s="347"/>
      <c r="BO11" s="348">
        <f>'211,213 допы 2024 (без овз)'!$AW$150</f>
        <v>0.10316</v>
      </c>
      <c r="BP11" s="354"/>
      <c r="BQ11" s="354"/>
      <c r="BR11" s="355"/>
      <c r="BS11" s="356"/>
      <c r="BT11" s="354"/>
      <c r="BU11" s="357"/>
      <c r="BV11" s="354"/>
      <c r="BX11" s="350"/>
      <c r="BY11" s="350"/>
      <c r="BZ11" s="350"/>
      <c r="CA11" s="350"/>
      <c r="CB11" s="350"/>
      <c r="CC11" s="351"/>
      <c r="CD11" s="351"/>
      <c r="CE11" s="352"/>
      <c r="CF11" s="351"/>
      <c r="CG11" s="351"/>
      <c r="CH11" s="351"/>
      <c r="CI11" s="351"/>
      <c r="CJ11" s="351"/>
      <c r="CK11" s="352"/>
      <c r="CL11" s="351"/>
      <c r="CM11" s="351"/>
      <c r="CN11" s="351"/>
      <c r="CO11" s="351"/>
      <c r="CP11" s="353"/>
      <c r="CQ11" s="340">
        <f>'211,213 допы 2024 (без овз)'!$AW$196</f>
        <v>1.34843</v>
      </c>
      <c r="CR11" s="341"/>
      <c r="CS11" s="342">
        <f>'211,213 допы 2024 (без овз)'!$AW$198</f>
        <v>0.33637</v>
      </c>
      <c r="CT11" s="343">
        <f>'211,213 допы 2024 (без овз)'!$AW$199</f>
        <v>0.65883000000000003</v>
      </c>
      <c r="CU11" s="341"/>
      <c r="CV11" s="341"/>
      <c r="CW11" s="345">
        <f>'211,213 допы 2024 (без овз)'!$AW$201</f>
        <v>1.4220999999999999</v>
      </c>
      <c r="CX11" s="346">
        <f>1+(42+3)/365</f>
        <v>1.1232899999999999</v>
      </c>
      <c r="CY11" s="347"/>
      <c r="CZ11" s="348">
        <f>'211,213 допы 2024 (без овз)'!$AW$200</f>
        <v>0.32107000000000002</v>
      </c>
      <c r="DA11" s="354"/>
      <c r="DB11" s="354"/>
      <c r="DC11" s="355"/>
      <c r="DD11" s="356"/>
      <c r="DE11" s="354"/>
      <c r="DF11" s="357"/>
      <c r="DG11" s="354"/>
      <c r="DI11" s="350"/>
      <c r="DJ11" s="350"/>
      <c r="DK11" s="350"/>
      <c r="DL11" s="350"/>
      <c r="DM11" s="350"/>
      <c r="DN11" s="351"/>
      <c r="DO11" s="351"/>
      <c r="DP11" s="352"/>
      <c r="DQ11" s="351"/>
      <c r="DR11" s="351"/>
      <c r="DS11" s="351"/>
      <c r="DT11" s="351"/>
      <c r="DU11" s="351"/>
      <c r="DV11" s="352"/>
      <c r="DW11" s="351"/>
      <c r="DX11" s="351"/>
      <c r="DY11" s="351"/>
      <c r="DZ11" s="351"/>
      <c r="EA11" s="353"/>
      <c r="EB11" s="340">
        <f>'211,213 допы 2024 (без овз)'!$AW$232</f>
        <v>1.35737</v>
      </c>
      <c r="EC11" s="341"/>
      <c r="ED11" s="342">
        <f>'211,213 допы 2024 (без овз)'!$AW$234</f>
        <v>0.22051999999999999</v>
      </c>
      <c r="EE11" s="343">
        <f>'211,213 допы 2024 (без овз)'!$AW$235</f>
        <v>0.73350000000000004</v>
      </c>
      <c r="EF11" s="341"/>
      <c r="EG11" s="341"/>
      <c r="EH11" s="345">
        <f>'211,213 допы 2024 (без овз)'!$AW$237</f>
        <v>1.2033499999999999</v>
      </c>
      <c r="EI11" s="346">
        <f>1+(42+3)/365</f>
        <v>1.1232899999999999</v>
      </c>
      <c r="EJ11" s="347"/>
      <c r="EK11" s="348">
        <f>'211,213 допы 2024 (без овз)'!$AW$236</f>
        <v>0.17288999999999999</v>
      </c>
      <c r="EL11" s="354"/>
      <c r="EM11" s="354"/>
      <c r="EN11" s="355"/>
      <c r="EO11" s="356"/>
      <c r="EP11" s="354"/>
      <c r="EQ11" s="357"/>
      <c r="ER11" s="354"/>
      <c r="ET11" s="350"/>
      <c r="EU11" s="350"/>
      <c r="EV11" s="350"/>
      <c r="EW11" s="350"/>
      <c r="EX11" s="350"/>
      <c r="EY11" s="351"/>
      <c r="EZ11" s="351"/>
      <c r="FA11" s="352"/>
      <c r="FB11" s="351"/>
      <c r="FC11" s="351"/>
      <c r="FD11" s="351"/>
      <c r="FE11" s="351"/>
      <c r="FF11" s="351"/>
      <c r="FG11" s="352"/>
      <c r="FH11" s="351"/>
      <c r="FI11" s="351"/>
      <c r="FJ11" s="351"/>
      <c r="FK11" s="351"/>
      <c r="FL11" s="353"/>
      <c r="FM11" s="340">
        <f>'211,213 допы 2024 (без овз)'!$AW$91</f>
        <v>1.32193</v>
      </c>
      <c r="FN11" s="341"/>
      <c r="FO11" s="342">
        <f>'211,213 допы 2024 (без овз)'!$AW$93</f>
        <v>0.21695999999999999</v>
      </c>
      <c r="FP11" s="343">
        <f>'211,213 допы 2024 (без овз)'!$AW$94</f>
        <v>0.97809999999999997</v>
      </c>
      <c r="FQ11" s="341"/>
      <c r="FR11" s="341"/>
      <c r="FS11" s="345">
        <f>'211,213 допы 2024 (без овз)'!$AW$96</f>
        <v>1.0935600000000001</v>
      </c>
      <c r="FT11" s="346">
        <f>1+(42+3)/365</f>
        <v>1.1232899999999999</v>
      </c>
      <c r="FU11" s="347"/>
      <c r="FV11" s="348">
        <f>'211,213 допы 2024 (без овз)'!$AW$95</f>
        <v>0</v>
      </c>
      <c r="FW11" s="354"/>
      <c r="FX11" s="354"/>
      <c r="FY11" s="355"/>
      <c r="FZ11" s="356"/>
      <c r="GA11" s="354"/>
      <c r="GB11" s="357"/>
      <c r="GC11" s="354"/>
      <c r="GE11" s="350"/>
      <c r="GF11" s="350"/>
      <c r="GG11" s="350"/>
      <c r="GH11" s="350"/>
      <c r="GI11" s="350"/>
      <c r="GJ11" s="351"/>
      <c r="GK11" s="351"/>
      <c r="GL11" s="352"/>
      <c r="GM11" s="351"/>
      <c r="GN11" s="351"/>
      <c r="GO11" s="351"/>
      <c r="GP11" s="351"/>
      <c r="GQ11" s="351"/>
      <c r="GR11" s="352"/>
      <c r="GS11" s="351"/>
      <c r="GT11" s="351"/>
      <c r="GU11" s="351"/>
      <c r="GV11" s="351"/>
      <c r="GW11" s="353"/>
      <c r="GX11" s="340">
        <f>'211,213 допы 2024 (без овз)'!$AW$251</f>
        <v>1.4064300000000001</v>
      </c>
      <c r="GY11" s="341"/>
      <c r="GZ11" s="342">
        <f>'211,213 допы 2024 (без овз)'!$AW$253</f>
        <v>0.32916000000000001</v>
      </c>
      <c r="HA11" s="343">
        <f>'211,213 допы 2024 (без овз)'!$AW$254</f>
        <v>0.59841999999999995</v>
      </c>
      <c r="HB11" s="341"/>
      <c r="HC11" s="341"/>
      <c r="HD11" s="345">
        <f>'211,213 допы 2024 (без овз)'!$AW$256</f>
        <v>1.24295</v>
      </c>
      <c r="HE11" s="346">
        <f>1+(42+3)/365</f>
        <v>1.1232899999999999</v>
      </c>
      <c r="HF11" s="347"/>
      <c r="HG11" s="348">
        <f>'211,213 допы 2024 (без овз)'!$AW$255</f>
        <v>0.13783999999999999</v>
      </c>
      <c r="HH11" s="354"/>
      <c r="HI11" s="354"/>
      <c r="HJ11" s="355"/>
      <c r="HK11" s="356"/>
      <c r="HL11" s="354"/>
      <c r="HM11" s="357"/>
      <c r="HN11" s="354"/>
      <c r="HP11" s="351"/>
    </row>
    <row r="12" spans="1:225" s="113" customFormat="1" ht="18.75" customHeight="1" x14ac:dyDescent="0.25">
      <c r="A12" s="349" t="s">
        <v>448</v>
      </c>
      <c r="B12" s="350"/>
      <c r="C12" s="350"/>
      <c r="D12" s="350"/>
      <c r="E12" s="350"/>
      <c r="F12" s="350"/>
      <c r="G12" s="351"/>
      <c r="H12" s="351"/>
      <c r="I12" s="352"/>
      <c r="J12" s="351"/>
      <c r="K12" s="351"/>
      <c r="L12" s="351"/>
      <c r="M12" s="351"/>
      <c r="N12" s="351"/>
      <c r="O12" s="352"/>
      <c r="P12" s="351"/>
      <c r="Q12" s="351"/>
      <c r="R12" s="351"/>
      <c r="S12" s="351"/>
      <c r="T12" s="353"/>
      <c r="U12" s="340">
        <f>'211,213 допы 2024 (с овз)'!$AW$60</f>
        <v>1.48072</v>
      </c>
      <c r="V12" s="341"/>
      <c r="W12" s="342">
        <f>'211,213 допы 2024 (с овз)'!$AW$62</f>
        <v>0.29183999999999999</v>
      </c>
      <c r="X12" s="343">
        <f>'211,213 допы 2024 (с овз)'!$AW$63</f>
        <v>0.46305000000000002</v>
      </c>
      <c r="Y12" s="344"/>
      <c r="Z12" s="344"/>
      <c r="AA12" s="345">
        <f>'211,213 допы 2024 (с овз)'!$AW$65</f>
        <v>1.17672</v>
      </c>
      <c r="AB12" s="346">
        <f>1+(56+3)/365</f>
        <v>1.16164</v>
      </c>
      <c r="AC12" s="347"/>
      <c r="AD12" s="348">
        <f>'211,213 допы 2024 (с овз)'!$AW$64</f>
        <v>8.1439999999999999E-2</v>
      </c>
      <c r="AE12" s="354"/>
      <c r="AF12" s="354"/>
      <c r="AG12" s="355"/>
      <c r="AH12" s="356"/>
      <c r="AI12" s="354"/>
      <c r="AJ12" s="357"/>
      <c r="AK12" s="354"/>
      <c r="AM12" s="350"/>
      <c r="AN12" s="350"/>
      <c r="AO12" s="350"/>
      <c r="AP12" s="350"/>
      <c r="AQ12" s="350"/>
      <c r="AR12" s="351"/>
      <c r="AS12" s="351"/>
      <c r="AT12" s="352"/>
      <c r="AU12" s="351"/>
      <c r="AV12" s="351"/>
      <c r="AW12" s="351"/>
      <c r="AX12" s="351"/>
      <c r="AY12" s="351"/>
      <c r="AZ12" s="352"/>
      <c r="BA12" s="351"/>
      <c r="BB12" s="351"/>
      <c r="BC12" s="351"/>
      <c r="BD12" s="351"/>
      <c r="BE12" s="353"/>
      <c r="BF12" s="340">
        <f>'211,213 допы 2024 (с овз)'!$AW$146</f>
        <v>1.3871500000000001</v>
      </c>
      <c r="BG12" s="341"/>
      <c r="BH12" s="342">
        <f>'211,213 допы 2024 (с овз)'!$AW$148</f>
        <v>0.42914999999999998</v>
      </c>
      <c r="BI12" s="343">
        <f>'211,213 допы 2024 (с овз)'!$AW$149</f>
        <v>0.66744000000000003</v>
      </c>
      <c r="BJ12" s="341"/>
      <c r="BK12" s="341"/>
      <c r="BL12" s="345">
        <f>'211,213 допы 2024 (с овз)'!$AW$151</f>
        <v>1.22112</v>
      </c>
      <c r="BM12" s="346">
        <f>1+(56+3)/365</f>
        <v>1.16164</v>
      </c>
      <c r="BN12" s="347"/>
      <c r="BO12" s="348">
        <f>'211,213 допы 2024 (с овз)'!$AW$150</f>
        <v>0.10267</v>
      </c>
      <c r="BP12" s="354"/>
      <c r="BQ12" s="354"/>
      <c r="BR12" s="355"/>
      <c r="BS12" s="356"/>
      <c r="BT12" s="354"/>
      <c r="BU12" s="357"/>
      <c r="BV12" s="354"/>
      <c r="BX12" s="350"/>
      <c r="BY12" s="350"/>
      <c r="BZ12" s="350"/>
      <c r="CA12" s="350"/>
      <c r="CB12" s="350"/>
      <c r="CC12" s="351"/>
      <c r="CD12" s="351"/>
      <c r="CE12" s="352"/>
      <c r="CF12" s="351"/>
      <c r="CG12" s="351"/>
      <c r="CH12" s="351"/>
      <c r="CI12" s="351"/>
      <c r="CJ12" s="351"/>
      <c r="CK12" s="352"/>
      <c r="CL12" s="351"/>
      <c r="CM12" s="351"/>
      <c r="CN12" s="351"/>
      <c r="CO12" s="351"/>
      <c r="CP12" s="353"/>
      <c r="CQ12" s="340">
        <f>'211,213 допы 2024 (с овз)'!$AW$196</f>
        <v>1.3502099999999999</v>
      </c>
      <c r="CR12" s="341"/>
      <c r="CS12" s="342">
        <f>'211,213 допы 2024 (с овз)'!$AW$198</f>
        <v>0.33593000000000001</v>
      </c>
      <c r="CT12" s="343">
        <f>'211,213 допы 2024 (с овз)'!$AW$199</f>
        <v>0.67049999999999998</v>
      </c>
      <c r="CU12" s="341"/>
      <c r="CV12" s="341"/>
      <c r="CW12" s="345">
        <f>'211,213 допы 2024 (с овз)'!$AW$201</f>
        <v>1.4190199999999999</v>
      </c>
      <c r="CX12" s="346">
        <f>1+(56+3)/365</f>
        <v>1.16164</v>
      </c>
      <c r="CY12" s="347"/>
      <c r="CZ12" s="348">
        <f>'211,213 допы 2024 (с овз)'!$AW$200</f>
        <v>0.32064999999999999</v>
      </c>
      <c r="DA12" s="354"/>
      <c r="DB12" s="354"/>
      <c r="DC12" s="355"/>
      <c r="DD12" s="356"/>
      <c r="DE12" s="354"/>
      <c r="DF12" s="357"/>
      <c r="DG12" s="354"/>
      <c r="DI12" s="350"/>
      <c r="DJ12" s="350"/>
      <c r="DK12" s="350"/>
      <c r="DL12" s="350"/>
      <c r="DM12" s="350"/>
      <c r="DN12" s="351"/>
      <c r="DO12" s="351"/>
      <c r="DP12" s="352"/>
      <c r="DQ12" s="351"/>
      <c r="DR12" s="351"/>
      <c r="DS12" s="351"/>
      <c r="DT12" s="351"/>
      <c r="DU12" s="351"/>
      <c r="DV12" s="352"/>
      <c r="DW12" s="351"/>
      <c r="DX12" s="351"/>
      <c r="DY12" s="351"/>
      <c r="DZ12" s="351"/>
      <c r="EA12" s="353"/>
      <c r="EB12" s="340">
        <f>'211,213 допы 2024 (с овз)'!$AW$232</f>
        <v>1.35737</v>
      </c>
      <c r="EC12" s="341"/>
      <c r="ED12" s="342">
        <f>'211,213 допы 2024 (с овз)'!$AW$234</f>
        <v>0.22051999999999999</v>
      </c>
      <c r="EE12" s="343">
        <f>'211,213 допы 2024 (с овз)'!$AW$235</f>
        <v>0.73350000000000004</v>
      </c>
      <c r="EF12" s="341"/>
      <c r="EG12" s="341"/>
      <c r="EH12" s="345">
        <f>'211,213 допы 2024 (с овз)'!$AW$237</f>
        <v>1.2033499999999999</v>
      </c>
      <c r="EI12" s="346">
        <f>1+(56+3)/365</f>
        <v>1.16164</v>
      </c>
      <c r="EJ12" s="347"/>
      <c r="EK12" s="348">
        <f>'211,213 допы 2024 (с овз)'!$AW$236</f>
        <v>0.17288999999999999</v>
      </c>
      <c r="EL12" s="354"/>
      <c r="EM12" s="354"/>
      <c r="EN12" s="355"/>
      <c r="EO12" s="356"/>
      <c r="EP12" s="354"/>
      <c r="EQ12" s="357"/>
      <c r="ER12" s="354"/>
      <c r="ET12" s="350"/>
      <c r="EU12" s="350"/>
      <c r="EV12" s="350"/>
      <c r="EW12" s="350"/>
      <c r="EX12" s="350"/>
      <c r="EY12" s="351"/>
      <c r="EZ12" s="351"/>
      <c r="FA12" s="352"/>
      <c r="FB12" s="351"/>
      <c r="FC12" s="351"/>
      <c r="FD12" s="351"/>
      <c r="FE12" s="351"/>
      <c r="FF12" s="351"/>
      <c r="FG12" s="352"/>
      <c r="FH12" s="351"/>
      <c r="FI12" s="351"/>
      <c r="FJ12" s="351"/>
      <c r="FK12" s="351"/>
      <c r="FL12" s="353"/>
      <c r="FM12" s="340">
        <f>'211,213 допы 2024 (с овз)'!$AW$91</f>
        <v>1.32193</v>
      </c>
      <c r="FN12" s="341"/>
      <c r="FO12" s="342">
        <f>'211,213 допы 2024 (с овз)'!$AW$93</f>
        <v>0.21695999999999999</v>
      </c>
      <c r="FP12" s="343">
        <f>'211,213 допы 2024 (с овз)'!$AW$94</f>
        <v>0.97809999999999997</v>
      </c>
      <c r="FQ12" s="341"/>
      <c r="FR12" s="341"/>
      <c r="FS12" s="345">
        <f>'211,213 допы 2024 (с овз)'!$AW$96</f>
        <v>1.0935600000000001</v>
      </c>
      <c r="FT12" s="346">
        <f>1+(56+3)/365</f>
        <v>1.16164</v>
      </c>
      <c r="FU12" s="347"/>
      <c r="FV12" s="348">
        <f>'211,213 допы 2024 (с овз)'!$AW$95</f>
        <v>0</v>
      </c>
      <c r="FW12" s="354"/>
      <c r="FX12" s="354"/>
      <c r="FY12" s="355"/>
      <c r="FZ12" s="356"/>
      <c r="GA12" s="354"/>
      <c r="GB12" s="357"/>
      <c r="GC12" s="354"/>
      <c r="GE12" s="350"/>
      <c r="GF12" s="350"/>
      <c r="GG12" s="350"/>
      <c r="GH12" s="350"/>
      <c r="GI12" s="350"/>
      <c r="GJ12" s="351"/>
      <c r="GK12" s="351"/>
      <c r="GL12" s="352"/>
      <c r="GM12" s="351"/>
      <c r="GN12" s="351"/>
      <c r="GO12" s="351"/>
      <c r="GP12" s="351"/>
      <c r="GQ12" s="351"/>
      <c r="GR12" s="352"/>
      <c r="GS12" s="351"/>
      <c r="GT12" s="351"/>
      <c r="GU12" s="351"/>
      <c r="GV12" s="351"/>
      <c r="GW12" s="353"/>
      <c r="GX12" s="340">
        <f>'211,213 допы 2024 (с овз)'!$AW$251</f>
        <v>1.41039</v>
      </c>
      <c r="GY12" s="341"/>
      <c r="GZ12" s="342">
        <f>'211,213 допы 2024 (с овз)'!$AW$253</f>
        <v>0.32823000000000002</v>
      </c>
      <c r="HA12" s="343">
        <f>'211,213 допы 2024 (с овз)'!$AW$254</f>
        <v>0.60419</v>
      </c>
      <c r="HB12" s="341"/>
      <c r="HC12" s="341"/>
      <c r="HD12" s="345">
        <f>'211,213 допы 2024 (с овз)'!$AW$256</f>
        <v>1.2410600000000001</v>
      </c>
      <c r="HE12" s="346">
        <f>1+(56+3)/365</f>
        <v>1.16164</v>
      </c>
      <c r="HF12" s="347"/>
      <c r="HG12" s="348">
        <f>'211,213 допы 2024 (с овз)'!$AW$255</f>
        <v>0.13744999999999999</v>
      </c>
      <c r="HH12" s="354"/>
      <c r="HI12" s="354"/>
      <c r="HJ12" s="355"/>
      <c r="HK12" s="356"/>
      <c r="HL12" s="354"/>
      <c r="HM12" s="357"/>
      <c r="HN12" s="354"/>
      <c r="HP12" s="351"/>
    </row>
    <row r="13" spans="1:225" s="113" customFormat="1" x14ac:dyDescent="0.25">
      <c r="A13" s="120" t="s">
        <v>52</v>
      </c>
      <c r="B13" s="135">
        <f>C13+AJ13</f>
        <v>200.83</v>
      </c>
      <c r="C13" s="135">
        <f>N13*P13*S13*T13*U13*(1+V13+W13+X13+Y13)*Z13/G13/H13</f>
        <v>154.83000000000001</v>
      </c>
      <c r="D13" s="135">
        <f>N13*P13*S13*T13*U13*(1+V13+Y13)*Z13/G13/H13</f>
        <v>88.41</v>
      </c>
      <c r="E13" s="135">
        <f>C13-D13</f>
        <v>66.42</v>
      </c>
      <c r="F13" s="135">
        <f>N13*P13*S13*T13*U13*(1+V13+Y13)*Z13*AD13/G13/H13</f>
        <v>7.22</v>
      </c>
      <c r="G13" s="124">
        <v>76.900000000000006</v>
      </c>
      <c r="H13" s="132">
        <v>800</v>
      </c>
      <c r="I13" s="133">
        <f>G13*H13</f>
        <v>61520</v>
      </c>
      <c r="J13" s="378">
        <f>'1.4. часы и места для МЗ и СЗ'!Z20</f>
        <v>12384</v>
      </c>
      <c r="K13" s="378">
        <f>'1.4. часы и места для МЗ и СЗ'!AA20</f>
        <v>120</v>
      </c>
      <c r="L13" s="378">
        <f>'1.4. часы и места для МЗ и СЗ'!AB20</f>
        <v>8</v>
      </c>
      <c r="M13" s="378">
        <f>'1.4. часы и места для МЗ и СЗ'!AC20</f>
        <v>36</v>
      </c>
      <c r="N13" s="379">
        <f>'1.4. часы и места для МЗ и СЗ'!AD20</f>
        <v>2.39</v>
      </c>
      <c r="O13" s="133">
        <f>J13/800</f>
        <v>15</v>
      </c>
      <c r="P13" s="125">
        <v>12</v>
      </c>
      <c r="Q13" s="160">
        <v>14410</v>
      </c>
      <c r="R13" s="272">
        <v>1.01</v>
      </c>
      <c r="S13" s="269">
        <f>Q13*R13</f>
        <v>14554</v>
      </c>
      <c r="T13" s="127">
        <v>1.302</v>
      </c>
      <c r="U13" s="128">
        <f t="shared" ref="U13:U21" si="0">U$11</f>
        <v>1.47617</v>
      </c>
      <c r="V13" s="129">
        <v>0</v>
      </c>
      <c r="W13" s="128">
        <f t="shared" ref="W13:X21" si="1">W$11</f>
        <v>0.29274</v>
      </c>
      <c r="X13" s="128">
        <f t="shared" si="1"/>
        <v>0.45841999999999999</v>
      </c>
      <c r="Y13" s="129">
        <v>0</v>
      </c>
      <c r="Z13" s="128">
        <f>ROUND(AA13*AB13*AC13,2)</f>
        <v>6.78</v>
      </c>
      <c r="AA13" s="128">
        <f t="shared" ref="AA13:AB26" si="2">AA$11</f>
        <v>1.1776</v>
      </c>
      <c r="AB13" s="128">
        <f t="shared" si="2"/>
        <v>1.1232899999999999</v>
      </c>
      <c r="AC13" s="128">
        <f>IF(O13=0,0,G13/O13)</f>
        <v>5.1266699999999998</v>
      </c>
      <c r="AD13" s="130">
        <f t="shared" ref="AD13:AD21" si="3">AD$11</f>
        <v>8.1689999999999999E-2</v>
      </c>
      <c r="AE13" s="131">
        <f>C13*J13+F13*J13</f>
        <v>2006827</v>
      </c>
      <c r="AF13" s="162">
        <v>44638.5</v>
      </c>
      <c r="AG13" s="138">
        <f t="shared" ref="AG13:AG26" si="4">AF13-S13*U13</f>
        <v>23154.32</v>
      </c>
      <c r="AH13" s="142">
        <f t="shared" ref="AH13:AH26" si="5">AH$10/J$26*J13</f>
        <v>1.591623</v>
      </c>
      <c r="AI13" s="131">
        <f>AG13*AH13*1.302*12</f>
        <v>575790</v>
      </c>
      <c r="AJ13" s="153">
        <f>IF(J13=0,0,AI13/J13)</f>
        <v>46</v>
      </c>
      <c r="AK13" s="140">
        <f>IF(D13=0,0,(AJ13+D13)/D13)</f>
        <v>1.5203</v>
      </c>
      <c r="AM13" s="135">
        <f>AN13+BU13</f>
        <v>0</v>
      </c>
      <c r="AN13" s="135">
        <f>AY13*BA13*BD13*BE13*BF13*(1+BG13+BH13+BI13+BJ13)*BK13/AR13/AS13</f>
        <v>0</v>
      </c>
      <c r="AO13" s="135">
        <f>AY13*BA13*BD13*BE13*BF13*(1+BG13+BJ13)*BK13/AR13/AS13</f>
        <v>0</v>
      </c>
      <c r="AP13" s="135">
        <f>AN13-AO13</f>
        <v>0</v>
      </c>
      <c r="AQ13" s="135">
        <f>AY13*BA13*BD13*BE13*BF13*(1+BG13+BJ13)*BK13*BO13/AR13/AS13</f>
        <v>0</v>
      </c>
      <c r="AR13" s="124">
        <v>76.900000000000006</v>
      </c>
      <c r="AS13" s="132">
        <v>800</v>
      </c>
      <c r="AT13" s="133">
        <f>AR13*AS13</f>
        <v>61520</v>
      </c>
      <c r="AU13" s="378">
        <f>'1.4. часы и места для МЗ и СЗ'!Z59</f>
        <v>0</v>
      </c>
      <c r="AV13" s="378">
        <f>'1.4. часы и места для МЗ и СЗ'!AA59</f>
        <v>0</v>
      </c>
      <c r="AW13" s="378">
        <f>'1.4. часы и места для МЗ и СЗ'!AB59</f>
        <v>0</v>
      </c>
      <c r="AX13" s="378">
        <f>'1.4. часы и места для МЗ и СЗ'!AC59</f>
        <v>0</v>
      </c>
      <c r="AY13" s="379">
        <f>'1.4. часы и места для МЗ и СЗ'!AD59</f>
        <v>0</v>
      </c>
      <c r="AZ13" s="133">
        <f>AU13/800</f>
        <v>0</v>
      </c>
      <c r="BA13" s="125">
        <v>12</v>
      </c>
      <c r="BB13" s="382">
        <f t="shared" ref="BB13:BB26" si="6">Q13</f>
        <v>14410</v>
      </c>
      <c r="BC13" s="383">
        <f t="shared" ref="BC13:BC26" si="7">R13</f>
        <v>1.01</v>
      </c>
      <c r="BD13" s="269">
        <f>BB13*BC13</f>
        <v>14554</v>
      </c>
      <c r="BE13" s="127">
        <v>1.302</v>
      </c>
      <c r="BF13" s="128">
        <f t="shared" ref="BF13:BF21" si="8">BF$11</f>
        <v>1.38046</v>
      </c>
      <c r="BG13" s="129">
        <v>0</v>
      </c>
      <c r="BH13" s="128">
        <f t="shared" ref="BH13:BI21" si="9">BH$11</f>
        <v>0.43123</v>
      </c>
      <c r="BI13" s="128">
        <f t="shared" si="9"/>
        <v>0.66134000000000004</v>
      </c>
      <c r="BJ13" s="129">
        <v>0</v>
      </c>
      <c r="BK13" s="128">
        <f>ROUND(BL13*BM13*BN13,2)</f>
        <v>0</v>
      </c>
      <c r="BL13" s="128">
        <f t="shared" ref="BL13:BM26" si="10">BL$11</f>
        <v>1.2245299999999999</v>
      </c>
      <c r="BM13" s="128">
        <f t="shared" si="10"/>
        <v>1.1232899999999999</v>
      </c>
      <c r="BN13" s="128">
        <f>IF(AZ13=0,0,AR13/AZ13)</f>
        <v>0</v>
      </c>
      <c r="BO13" s="130">
        <f t="shared" ref="BO13:BO21" si="11">BO$11</f>
        <v>0.10316</v>
      </c>
      <c r="BP13" s="131">
        <f>AN13*AU13+AQ13*AU13</f>
        <v>0</v>
      </c>
      <c r="BQ13" s="387">
        <f t="shared" ref="BQ13:BQ26" si="12">AF13</f>
        <v>44638.5</v>
      </c>
      <c r="BR13" s="138">
        <f t="shared" ref="BR13:BR26" si="13">BQ13-BD13*BF13</f>
        <v>24547.29</v>
      </c>
      <c r="BS13" s="142">
        <f t="shared" ref="BS13:BS26" si="14">BS$10/AU$26*AU13</f>
        <v>0</v>
      </c>
      <c r="BT13" s="131">
        <f>BR13*BS13*1.302*12</f>
        <v>0</v>
      </c>
      <c r="BU13" s="153">
        <f>IF(AU13=0,0,BT13/AU13)</f>
        <v>0</v>
      </c>
      <c r="BV13" s="140">
        <f>IF(AO13=0,0,(BU13+AO13)/AO13)</f>
        <v>0</v>
      </c>
      <c r="BX13" s="135">
        <f>BY13+DF13</f>
        <v>108.07</v>
      </c>
      <c r="BY13" s="135">
        <f>CJ13*CL13*CO13*CP13*CQ13*(1+CR13+CS13+CT13+CU13)*CV13/CC13/CD13</f>
        <v>63.07</v>
      </c>
      <c r="BZ13" s="135">
        <f>CJ13*CL13*CO13*CP13*CQ13*(1+CR13+CU13)*CV13/CC13/CD13</f>
        <v>31.61</v>
      </c>
      <c r="CA13" s="135">
        <f>BY13-BZ13</f>
        <v>31.46</v>
      </c>
      <c r="CB13" s="135">
        <f>CJ13*CL13*CO13*CP13*CQ13*(1+CR13+CU13)*CV13*CZ13/CC13/CD13</f>
        <v>10.15</v>
      </c>
      <c r="CC13" s="124">
        <v>76.900000000000006</v>
      </c>
      <c r="CD13" s="132">
        <v>800</v>
      </c>
      <c r="CE13" s="133">
        <f>CC13*CD13</f>
        <v>61520</v>
      </c>
      <c r="CF13" s="378">
        <f>'1.4. часы и места для МЗ и СЗ'!Z72</f>
        <v>113328</v>
      </c>
      <c r="CG13" s="378">
        <f>'1.4. часы и места для МЗ и СЗ'!AA72</f>
        <v>689</v>
      </c>
      <c r="CH13" s="378">
        <f>'1.4. часы и места для МЗ и СЗ'!AB72</f>
        <v>23</v>
      </c>
      <c r="CI13" s="378">
        <f>'1.4. часы и места для МЗ и СЗ'!AC72</f>
        <v>36</v>
      </c>
      <c r="CJ13" s="379">
        <f>'1.4. часы и места для МЗ и СЗ'!AD72</f>
        <v>7.29</v>
      </c>
      <c r="CK13" s="133">
        <f>CF13/800</f>
        <v>142</v>
      </c>
      <c r="CL13" s="125">
        <v>12</v>
      </c>
      <c r="CM13" s="382">
        <f t="shared" ref="CM13:CM26" si="15">Q13</f>
        <v>14410</v>
      </c>
      <c r="CN13" s="383">
        <f t="shared" ref="CN13:CN26" si="16">R13</f>
        <v>1.01</v>
      </c>
      <c r="CO13" s="269">
        <f>CM13*CN13</f>
        <v>14554</v>
      </c>
      <c r="CP13" s="127">
        <v>1.302</v>
      </c>
      <c r="CQ13" s="128">
        <f t="shared" ref="CQ13:CQ21" si="17">CQ$11</f>
        <v>1.34843</v>
      </c>
      <c r="CR13" s="129">
        <v>0</v>
      </c>
      <c r="CS13" s="128">
        <f t="shared" ref="CS13:CT21" si="18">CS$11</f>
        <v>0.33637</v>
      </c>
      <c r="CT13" s="128">
        <f t="shared" si="18"/>
        <v>0.65883000000000003</v>
      </c>
      <c r="CU13" s="129">
        <v>0</v>
      </c>
      <c r="CV13" s="128">
        <f>ROUND(CW13*CX13*CY13,2)</f>
        <v>0.87</v>
      </c>
      <c r="CW13" s="128">
        <f t="shared" ref="CW13:CX26" si="19">CW$11</f>
        <v>1.4220999999999999</v>
      </c>
      <c r="CX13" s="128">
        <f t="shared" si="19"/>
        <v>1.1232899999999999</v>
      </c>
      <c r="CY13" s="128">
        <f>IF(CK13=0,0,CC13/CK13)</f>
        <v>0.54154999999999998</v>
      </c>
      <c r="CZ13" s="130">
        <f t="shared" ref="CZ13:CZ21" si="20">CZ$11</f>
        <v>0.32107000000000002</v>
      </c>
      <c r="DA13" s="131">
        <f>BY13*CF13+CB13*CF13</f>
        <v>8297876</v>
      </c>
      <c r="DB13" s="387">
        <f t="shared" ref="DB13:DB26" si="21">AF13</f>
        <v>44638.5</v>
      </c>
      <c r="DC13" s="138">
        <f t="shared" ref="DC13:DC26" si="22">DB13-CO13*CQ13</f>
        <v>25013.45</v>
      </c>
      <c r="DD13" s="142">
        <f t="shared" ref="DD13:DD26" si="23">DD$10/CF$26*CF13</f>
        <v>13.170156</v>
      </c>
      <c r="DE13" s="131">
        <f>DC13*DD13*1.302*12</f>
        <v>5147031</v>
      </c>
      <c r="DF13" s="153">
        <f>IF(CF13=0,0,DE13/CF13)</f>
        <v>45</v>
      </c>
      <c r="DG13" s="140">
        <f>IF(BZ13=0,0,(DF13+BZ13)/BZ13)</f>
        <v>2.4236</v>
      </c>
      <c r="DI13" s="135">
        <f>DJ13+EQ13</f>
        <v>0</v>
      </c>
      <c r="DJ13" s="135">
        <f>DU13*DW13*DZ13*EA13*EB13*(1+EC13+ED13+EE13+EF13)*EG13/DN13/DO13</f>
        <v>0</v>
      </c>
      <c r="DK13" s="135">
        <f>DU13*DW13*DZ13*EA13*EB13*(1+EC13+EF13)*EG13/DN13/DO13</f>
        <v>0</v>
      </c>
      <c r="DL13" s="135">
        <f>DJ13-DK13</f>
        <v>0</v>
      </c>
      <c r="DM13" s="135">
        <f>DU13*DW13*DZ13*EA13*EB13*(1+EC13+EF13)*EG13*EK13/DN13/DO13</f>
        <v>0</v>
      </c>
      <c r="DN13" s="124">
        <v>76.900000000000006</v>
      </c>
      <c r="DO13" s="132">
        <v>800</v>
      </c>
      <c r="DP13" s="133">
        <f>DN13*DO13</f>
        <v>61520</v>
      </c>
      <c r="DQ13" s="378">
        <f>'1.4. часы и места для МЗ и СЗ'!Z33</f>
        <v>0</v>
      </c>
      <c r="DR13" s="378">
        <f>'1.4. часы и места для МЗ и СЗ'!AA33</f>
        <v>0</v>
      </c>
      <c r="DS13" s="378">
        <f>'1.4. часы и места для МЗ и СЗ'!AB33</f>
        <v>0</v>
      </c>
      <c r="DT13" s="378">
        <f>'1.4. часы и места для МЗ и СЗ'!AC33</f>
        <v>0</v>
      </c>
      <c r="DU13" s="379">
        <f>'1.4. часы и места для МЗ и СЗ'!AD33</f>
        <v>0</v>
      </c>
      <c r="DV13" s="133">
        <f>DQ13/800</f>
        <v>0</v>
      </c>
      <c r="DW13" s="125">
        <v>12</v>
      </c>
      <c r="DX13" s="382">
        <f t="shared" ref="DX13:DX26" si="24">Q13</f>
        <v>14410</v>
      </c>
      <c r="DY13" s="383">
        <f t="shared" ref="DY13:DY26" si="25">R13</f>
        <v>1.01</v>
      </c>
      <c r="DZ13" s="269">
        <f>DX13*DY13</f>
        <v>14554</v>
      </c>
      <c r="EA13" s="127">
        <v>1.302</v>
      </c>
      <c r="EB13" s="128">
        <f t="shared" ref="EB13:EB21" si="26">EB$11</f>
        <v>1.35737</v>
      </c>
      <c r="EC13" s="129">
        <v>0</v>
      </c>
      <c r="ED13" s="128">
        <f t="shared" ref="ED13:EE21" si="27">ED$11</f>
        <v>0.22051999999999999</v>
      </c>
      <c r="EE13" s="128">
        <f t="shared" si="27"/>
        <v>0.73350000000000004</v>
      </c>
      <c r="EF13" s="129">
        <v>0</v>
      </c>
      <c r="EG13" s="128">
        <f>ROUND(EH13*EI13*EJ13,2)</f>
        <v>0</v>
      </c>
      <c r="EH13" s="128">
        <f t="shared" ref="EH13:EI21" si="28">EH$11</f>
        <v>1.2033499999999999</v>
      </c>
      <c r="EI13" s="128">
        <f t="shared" si="28"/>
        <v>1.1232899999999999</v>
      </c>
      <c r="EJ13" s="128">
        <f>IF(DV13=0,0,DN13/DV13)</f>
        <v>0</v>
      </c>
      <c r="EK13" s="130">
        <f t="shared" ref="EK13:EK21" si="29">EK$11</f>
        <v>0.17288999999999999</v>
      </c>
      <c r="EL13" s="131">
        <f>DJ13*DQ13+DM13*DQ13</f>
        <v>0</v>
      </c>
      <c r="EM13" s="387">
        <f t="shared" ref="EM13:EM26" si="30">AF13</f>
        <v>44638.5</v>
      </c>
      <c r="EN13" s="138">
        <f t="shared" ref="EN13:EN26" si="31">EM13-DZ13*EB13</f>
        <v>24883.34</v>
      </c>
      <c r="EO13" s="142">
        <f t="shared" ref="EO13:EO26" si="32">EO$10/DQ$26*DQ13</f>
        <v>0</v>
      </c>
      <c r="EP13" s="131">
        <f>EN13*EO13*1.302*12</f>
        <v>0</v>
      </c>
      <c r="EQ13" s="153">
        <f>IF(DQ13=0,0,EP13/DQ13)</f>
        <v>0</v>
      </c>
      <c r="ER13" s="140">
        <f>IF(DK13=0,0,(EQ13+DK13)/DK13)</f>
        <v>0</v>
      </c>
      <c r="ET13" s="135">
        <f>EU13+GB13</f>
        <v>0</v>
      </c>
      <c r="EU13" s="135">
        <f>FF13*FH13*FK13*FL13*FM13*(1+FN13+FO13+FP13+FQ13)*FR13/EY13/EZ13</f>
        <v>0</v>
      </c>
      <c r="EV13" s="135">
        <f>FF13*FH13*FK13*FL13*FM13*(1+FN13+FQ13)*FR13/EY13/EZ13</f>
        <v>0</v>
      </c>
      <c r="EW13" s="135">
        <f>EU13-EV13</f>
        <v>0</v>
      </c>
      <c r="EX13" s="135">
        <f>FF13*FH13*FK13*FL13*FM13*(1+FN13+FQ13)*FR13*FV13/EY13/EZ13</f>
        <v>0</v>
      </c>
      <c r="EY13" s="124">
        <v>76.900000000000006</v>
      </c>
      <c r="EZ13" s="132">
        <v>800</v>
      </c>
      <c r="FA13" s="133">
        <f>EY13*EZ13</f>
        <v>61520</v>
      </c>
      <c r="FB13" s="378">
        <f>'1.4. часы и места для МЗ и СЗ'!Z46</f>
        <v>0</v>
      </c>
      <c r="FC13" s="378">
        <f>'1.4. часы и места для МЗ и СЗ'!AA46</f>
        <v>0</v>
      </c>
      <c r="FD13" s="378">
        <f>'1.4. часы и места для МЗ и СЗ'!AB46</f>
        <v>0</v>
      </c>
      <c r="FE13" s="378">
        <f>'1.4. часы и места для МЗ и СЗ'!AC46</f>
        <v>0</v>
      </c>
      <c r="FF13" s="379">
        <f>'1.4. часы и места для МЗ и СЗ'!AD46</f>
        <v>0</v>
      </c>
      <c r="FG13" s="133">
        <f>FB13/800</f>
        <v>0</v>
      </c>
      <c r="FH13" s="125">
        <v>12</v>
      </c>
      <c r="FI13" s="382">
        <f t="shared" ref="FI13:FI26" si="33">Q13</f>
        <v>14410</v>
      </c>
      <c r="FJ13" s="383">
        <f t="shared" ref="FJ13:FJ26" si="34">R13</f>
        <v>1.01</v>
      </c>
      <c r="FK13" s="269">
        <f>FI13*FJ13</f>
        <v>14554</v>
      </c>
      <c r="FL13" s="127">
        <v>1.302</v>
      </c>
      <c r="FM13" s="128">
        <f t="shared" ref="FM13:FM21" si="35">FM$11</f>
        <v>1.32193</v>
      </c>
      <c r="FN13" s="129">
        <v>0</v>
      </c>
      <c r="FO13" s="128">
        <f t="shared" ref="FO13:FP21" si="36">FO$11</f>
        <v>0.21695999999999999</v>
      </c>
      <c r="FP13" s="128">
        <f t="shared" si="36"/>
        <v>0.97809999999999997</v>
      </c>
      <c r="FQ13" s="129">
        <v>0</v>
      </c>
      <c r="FR13" s="128">
        <f>ROUND(FS13*FT13*FU13,2)</f>
        <v>0</v>
      </c>
      <c r="FS13" s="128">
        <f t="shared" ref="FS13:FT26" si="37">FS$11</f>
        <v>1.0935600000000001</v>
      </c>
      <c r="FT13" s="128">
        <f t="shared" si="37"/>
        <v>1.1232899999999999</v>
      </c>
      <c r="FU13" s="128">
        <f>IF(FG13=0,0,EY13/FG13)</f>
        <v>0</v>
      </c>
      <c r="FV13" s="130">
        <f t="shared" ref="FV13:FV21" si="38">FV$11</f>
        <v>0</v>
      </c>
      <c r="FW13" s="131">
        <f>EU13*FB13+EX13*FB13</f>
        <v>0</v>
      </c>
      <c r="FX13" s="387">
        <f t="shared" ref="FX13:FX26" si="39">AF13</f>
        <v>44638.5</v>
      </c>
      <c r="FY13" s="138">
        <f t="shared" ref="FY13:FY26" si="40">FX13-FK13*FM13</f>
        <v>25399.13</v>
      </c>
      <c r="FZ13" s="142">
        <f t="shared" ref="FZ13:FZ26" si="41">FZ$10/FB$26*FB13</f>
        <v>0</v>
      </c>
      <c r="GA13" s="131">
        <f>FY13*FZ13*1.302*12</f>
        <v>0</v>
      </c>
      <c r="GB13" s="153">
        <f>IF(FB13=0,0,GA13/FB13)</f>
        <v>0</v>
      </c>
      <c r="GC13" s="140">
        <f>IF(EV13=0,0,(GB13+EV13)/EV13)</f>
        <v>0</v>
      </c>
      <c r="GE13" s="135">
        <f>GF13+HM13</f>
        <v>107.96</v>
      </c>
      <c r="GF13" s="135">
        <f>GQ13*GS13*GV13*GW13*GX13*(1+GY13+GZ13+HA13+HB13)*HC13/GJ13/GK13</f>
        <v>65.959999999999994</v>
      </c>
      <c r="GG13" s="135">
        <f>GQ13*GS13*GV13*GW13*GX13*(1+GY13+HB13)*HC13/GJ13/GK13</f>
        <v>34.22</v>
      </c>
      <c r="GH13" s="135">
        <f>GF13-GG13</f>
        <v>31.74</v>
      </c>
      <c r="GI13" s="135">
        <f>GQ13*GS13*GV13*GW13*GX13*(1+GY13+HB13)*HC13*HG13/GJ13/GK13</f>
        <v>4.72</v>
      </c>
      <c r="GJ13" s="124">
        <v>76.900000000000006</v>
      </c>
      <c r="GK13" s="132">
        <v>800</v>
      </c>
      <c r="GL13" s="133">
        <f>GJ13*GK13</f>
        <v>61520</v>
      </c>
      <c r="GM13" s="227">
        <f t="shared" ref="GM13:GO14" si="42">J13+AU13+CF13+DQ13+FB13</f>
        <v>125712</v>
      </c>
      <c r="GN13" s="227">
        <f t="shared" si="42"/>
        <v>809</v>
      </c>
      <c r="GO13" s="227">
        <f t="shared" si="42"/>
        <v>31</v>
      </c>
      <c r="GP13" s="158" t="s">
        <v>471</v>
      </c>
      <c r="GQ13" s="229">
        <f>N13+AY13+CJ13+DU13+FF13</f>
        <v>9.68</v>
      </c>
      <c r="GR13" s="133">
        <f>GM13/800</f>
        <v>157</v>
      </c>
      <c r="GS13" s="125">
        <v>12</v>
      </c>
      <c r="GT13" s="382">
        <f t="shared" ref="GT13:GT26" si="43">Q13</f>
        <v>14410</v>
      </c>
      <c r="GU13" s="383">
        <f t="shared" ref="GU13:GU26" si="44">R13</f>
        <v>1.01</v>
      </c>
      <c r="GV13" s="269">
        <f>GT13*GU13</f>
        <v>14554</v>
      </c>
      <c r="GW13" s="127">
        <v>1.302</v>
      </c>
      <c r="GX13" s="128">
        <f t="shared" ref="GX13:GX21" si="45">GX$11</f>
        <v>1.4064300000000001</v>
      </c>
      <c r="GY13" s="129">
        <v>0</v>
      </c>
      <c r="GZ13" s="128">
        <f t="shared" ref="GZ13:HA21" si="46">GZ$11</f>
        <v>0.32916000000000001</v>
      </c>
      <c r="HA13" s="128">
        <f t="shared" si="46"/>
        <v>0.59841999999999995</v>
      </c>
      <c r="HB13" s="129">
        <v>0</v>
      </c>
      <c r="HC13" s="128">
        <f>ROUND(HD13*HE13*HF13,2)</f>
        <v>0.68</v>
      </c>
      <c r="HD13" s="128">
        <f t="shared" ref="HD13:HE26" si="47">HD$11</f>
        <v>1.24295</v>
      </c>
      <c r="HE13" s="128">
        <f t="shared" si="47"/>
        <v>1.1232899999999999</v>
      </c>
      <c r="HF13" s="128">
        <f>IF(GR13=0,0,GJ13/GR13)</f>
        <v>0.48981000000000002</v>
      </c>
      <c r="HG13" s="130">
        <f t="shared" ref="HG13:HG21" si="48">HG$11</f>
        <v>0.13783999999999999</v>
      </c>
      <c r="HH13" s="131">
        <f>GF13*GM13+GI13*GM13</f>
        <v>8885324</v>
      </c>
      <c r="HI13" s="387">
        <f t="shared" ref="HI13:HI26" si="49">AF13</f>
        <v>44638.5</v>
      </c>
      <c r="HJ13" s="138">
        <f t="shared" ref="HJ13:HJ26" si="50">HI13-GV13*GX13</f>
        <v>24169.32</v>
      </c>
      <c r="HK13" s="142">
        <f t="shared" ref="HK13:HK26" si="51">HK$10/GM$26*GM13</f>
        <v>14.052066</v>
      </c>
      <c r="HL13" s="131">
        <f>HJ13*HK13*1.302*12</f>
        <v>5306362</v>
      </c>
      <c r="HM13" s="153">
        <f>IF(GM13=0,0,HL13/GM13)</f>
        <v>42</v>
      </c>
      <c r="HN13" s="140">
        <f>IF(GG13=0,0,(HM13+GG13)/GG13)</f>
        <v>2.2273499999999999</v>
      </c>
      <c r="HP13" s="151">
        <f>GQ13*18</f>
        <v>174.24</v>
      </c>
    </row>
    <row r="14" spans="1:225" s="113" customFormat="1" ht="24" x14ac:dyDescent="0.25">
      <c r="A14" s="120" t="s">
        <v>53</v>
      </c>
      <c r="B14" s="135">
        <f t="shared" ref="B14:B22" si="52">C14+AJ14</f>
        <v>151</v>
      </c>
      <c r="C14" s="135">
        <f t="shared" ref="C14:C22" si="53">N14*P14*S14*T14*U14*(1+V14+W14+X14+Y14)*Z14/G14/H14</f>
        <v>105</v>
      </c>
      <c r="D14" s="135">
        <f t="shared" ref="D14:D22" si="54">N14*P14*S14*T14*U14*(1+V14+Y14)*Z14/G14/H14</f>
        <v>59.96</v>
      </c>
      <c r="E14" s="135">
        <f>C14-D14</f>
        <v>45.04</v>
      </c>
      <c r="F14" s="135">
        <f t="shared" ref="F14:F26" si="55">N14*P14*S14*T14*U14*(1+V14+Y14)*Z14*AD14/G14/H14</f>
        <v>4.9000000000000004</v>
      </c>
      <c r="G14" s="124">
        <v>76.900000000000006</v>
      </c>
      <c r="H14" s="132">
        <v>800</v>
      </c>
      <c r="I14" s="133">
        <f t="shared" ref="I14:I26" si="56">G14*H14</f>
        <v>61520</v>
      </c>
      <c r="J14" s="378">
        <f>'1.4. часы и места для МЗ и СЗ'!Z21</f>
        <v>19872</v>
      </c>
      <c r="K14" s="378">
        <f>'1.4. часы и места для МЗ и СЗ'!AA21</f>
        <v>207</v>
      </c>
      <c r="L14" s="378">
        <f>'1.4. часы и места для МЗ и СЗ'!AB21</f>
        <v>17</v>
      </c>
      <c r="M14" s="378">
        <f>'1.4. часы и места для МЗ и СЗ'!AC21</f>
        <v>36</v>
      </c>
      <c r="N14" s="379">
        <f>'1.4. часы и места для МЗ и СЗ'!AD21</f>
        <v>2.7</v>
      </c>
      <c r="O14" s="133">
        <f t="shared" ref="O14:O26" si="57">J14/800</f>
        <v>25</v>
      </c>
      <c r="P14" s="125">
        <v>12</v>
      </c>
      <c r="Q14" s="160">
        <v>14410</v>
      </c>
      <c r="R14" s="272">
        <v>1.01</v>
      </c>
      <c r="S14" s="269">
        <f t="shared" ref="S14:S26" si="58">Q14*R14</f>
        <v>14554</v>
      </c>
      <c r="T14" s="127">
        <v>1.302</v>
      </c>
      <c r="U14" s="128">
        <f t="shared" si="0"/>
        <v>1.47617</v>
      </c>
      <c r="V14" s="129">
        <v>0</v>
      </c>
      <c r="W14" s="128">
        <f t="shared" si="1"/>
        <v>0.29274</v>
      </c>
      <c r="X14" s="128">
        <f t="shared" si="1"/>
        <v>0.45841999999999999</v>
      </c>
      <c r="Y14" s="129">
        <v>0</v>
      </c>
      <c r="Z14" s="128">
        <f t="shared" ref="Z14:Z26" si="59">ROUND(AA14*AB14*AC14,2)</f>
        <v>4.07</v>
      </c>
      <c r="AA14" s="128">
        <f t="shared" si="2"/>
        <v>1.1776</v>
      </c>
      <c r="AB14" s="128">
        <f t="shared" si="2"/>
        <v>1.1232899999999999</v>
      </c>
      <c r="AC14" s="128">
        <f t="shared" ref="AC14:AC26" si="60">IF(O14=0,0,G14/O14)</f>
        <v>3.0760000000000001</v>
      </c>
      <c r="AD14" s="130">
        <f t="shared" si="3"/>
        <v>8.1689999999999999E-2</v>
      </c>
      <c r="AE14" s="131">
        <f>C14*J14+F14*J14</f>
        <v>2183933</v>
      </c>
      <c r="AF14" s="162">
        <v>44638.5</v>
      </c>
      <c r="AG14" s="138">
        <f t="shared" si="4"/>
        <v>23154.32</v>
      </c>
      <c r="AH14" s="142">
        <f t="shared" si="5"/>
        <v>2.5539999999999998</v>
      </c>
      <c r="AI14" s="131">
        <f t="shared" ref="AI14:AI26" si="61">AG14*AH14*1.302*12</f>
        <v>923943</v>
      </c>
      <c r="AJ14" s="153">
        <f t="shared" ref="AJ14:AJ26" si="62">IF(J14=0,0,AI14/J14)</f>
        <v>46</v>
      </c>
      <c r="AK14" s="140">
        <f t="shared" ref="AK14:AK26" si="63">IF(D14=0,0,(AJ14+D14)/D14)</f>
        <v>1.76718</v>
      </c>
      <c r="AM14" s="135">
        <f t="shared" ref="AM14:AM22" si="64">AN14+BU14</f>
        <v>0</v>
      </c>
      <c r="AN14" s="135">
        <f t="shared" ref="AN14:AN22" si="65">AY14*BA14*BD14*BE14*BF14*(1+BG14+BH14+BI14+BJ14)*BK14/AR14/AS14</f>
        <v>0</v>
      </c>
      <c r="AO14" s="135">
        <f t="shared" ref="AO14:AO22" si="66">AY14*BA14*BD14*BE14*BF14*(1+BG14+BJ14)*BK14/AR14/AS14</f>
        <v>0</v>
      </c>
      <c r="AP14" s="135">
        <f>AN14-AO14</f>
        <v>0</v>
      </c>
      <c r="AQ14" s="135">
        <f t="shared" ref="AQ14:AQ26" si="67">AY14*BA14*BD14*BE14*BF14*(1+BG14+BJ14)*BK14*BO14/AR14/AS14</f>
        <v>0</v>
      </c>
      <c r="AR14" s="124">
        <v>76.900000000000006</v>
      </c>
      <c r="AS14" s="132">
        <v>800</v>
      </c>
      <c r="AT14" s="133">
        <f t="shared" ref="AT14:AT26" si="68">AR14*AS14</f>
        <v>61520</v>
      </c>
      <c r="AU14" s="378">
        <f>'1.4. часы и места для МЗ и СЗ'!Z60</f>
        <v>0</v>
      </c>
      <c r="AV14" s="378">
        <f>'1.4. часы и места для МЗ и СЗ'!AA60</f>
        <v>0</v>
      </c>
      <c r="AW14" s="378">
        <f>'1.4. часы и места для МЗ и СЗ'!AB60</f>
        <v>0</v>
      </c>
      <c r="AX14" s="378">
        <f>'1.4. часы и места для МЗ и СЗ'!AC60</f>
        <v>0</v>
      </c>
      <c r="AY14" s="379">
        <f>'1.4. часы и места для МЗ и СЗ'!AD60</f>
        <v>0</v>
      </c>
      <c r="AZ14" s="133">
        <f t="shared" ref="AZ14:AZ26" si="69">AU14/800</f>
        <v>0</v>
      </c>
      <c r="BA14" s="125">
        <v>12</v>
      </c>
      <c r="BB14" s="382">
        <f t="shared" si="6"/>
        <v>14410</v>
      </c>
      <c r="BC14" s="383">
        <f t="shared" si="7"/>
        <v>1.01</v>
      </c>
      <c r="BD14" s="269">
        <f t="shared" ref="BD14:BD26" si="70">BB14*BC14</f>
        <v>14554</v>
      </c>
      <c r="BE14" s="127">
        <v>1.302</v>
      </c>
      <c r="BF14" s="128">
        <f t="shared" si="8"/>
        <v>1.38046</v>
      </c>
      <c r="BG14" s="129">
        <v>0</v>
      </c>
      <c r="BH14" s="128">
        <f t="shared" si="9"/>
        <v>0.43123</v>
      </c>
      <c r="BI14" s="128">
        <f t="shared" si="9"/>
        <v>0.66134000000000004</v>
      </c>
      <c r="BJ14" s="129">
        <v>0</v>
      </c>
      <c r="BK14" s="128">
        <f t="shared" ref="BK14:BK26" si="71">ROUND(BL14*BM14*BN14,2)</f>
        <v>0</v>
      </c>
      <c r="BL14" s="128">
        <f t="shared" si="10"/>
        <v>1.2245299999999999</v>
      </c>
      <c r="BM14" s="128">
        <f t="shared" si="10"/>
        <v>1.1232899999999999</v>
      </c>
      <c r="BN14" s="128">
        <f t="shared" ref="BN14:BN26" si="72">IF(AZ14=0,0,AR14/AZ14)</f>
        <v>0</v>
      </c>
      <c r="BO14" s="130">
        <f t="shared" si="11"/>
        <v>0.10316</v>
      </c>
      <c r="BP14" s="131">
        <f>AN14*AU14+AQ14*AU14</f>
        <v>0</v>
      </c>
      <c r="BQ14" s="387">
        <f t="shared" si="12"/>
        <v>44638.5</v>
      </c>
      <c r="BR14" s="138">
        <f t="shared" si="13"/>
        <v>24547.29</v>
      </c>
      <c r="BS14" s="142">
        <f t="shared" si="14"/>
        <v>0</v>
      </c>
      <c r="BT14" s="131">
        <f t="shared" ref="BT14:BT26" si="73">BR14*BS14*1.302*12</f>
        <v>0</v>
      </c>
      <c r="BU14" s="153">
        <f t="shared" ref="BU14:BU26" si="74">IF(AU14=0,0,BT14/AU14)</f>
        <v>0</v>
      </c>
      <c r="BV14" s="140">
        <f t="shared" ref="BV14:BV26" si="75">IF(AO14=0,0,(BU14+AO14)/AO14)</f>
        <v>0</v>
      </c>
      <c r="BX14" s="135">
        <f t="shared" ref="BX14:BX22" si="76">BY14+DF14</f>
        <v>115.39</v>
      </c>
      <c r="BY14" s="135">
        <f t="shared" ref="BY14:BY22" si="77">CJ14*CL14*CO14*CP14*CQ14*(1+CR14+CS14+CT14+CU14)*CV14/CC14/CD14</f>
        <v>70.39</v>
      </c>
      <c r="BZ14" s="135">
        <f t="shared" ref="BZ14:BZ22" si="78">CJ14*CL14*CO14*CP14*CQ14*(1+CR14+CU14)*CV14/CC14/CD14</f>
        <v>35.28</v>
      </c>
      <c r="CA14" s="135">
        <f>BY14-BZ14</f>
        <v>35.11</v>
      </c>
      <c r="CB14" s="135">
        <f t="shared" ref="CB14:CB26" si="79">CJ14*CL14*CO14*CP14*CQ14*(1+CR14+CU14)*CV14*CZ14/CC14/CD14</f>
        <v>11.33</v>
      </c>
      <c r="CC14" s="124">
        <v>76.900000000000006</v>
      </c>
      <c r="CD14" s="132">
        <v>800</v>
      </c>
      <c r="CE14" s="133">
        <f t="shared" ref="CE14:CE26" si="80">CC14*CD14</f>
        <v>61520</v>
      </c>
      <c r="CF14" s="378">
        <f>'1.4. часы и места для МЗ и СЗ'!Z73</f>
        <v>16776</v>
      </c>
      <c r="CG14" s="378">
        <f>'1.4. часы и места для МЗ и СЗ'!AA73</f>
        <v>96</v>
      </c>
      <c r="CH14" s="378">
        <f>'1.4. часы и места для МЗ и СЗ'!AB73</f>
        <v>4</v>
      </c>
      <c r="CI14" s="378">
        <f>'1.4. часы и места для МЗ и СЗ'!AC73</f>
        <v>36</v>
      </c>
      <c r="CJ14" s="379">
        <f>'1.4. часы и места для МЗ и СЗ'!AD73</f>
        <v>1.21</v>
      </c>
      <c r="CK14" s="133">
        <f t="shared" ref="CK14:CK26" si="81">CF14/800</f>
        <v>21</v>
      </c>
      <c r="CL14" s="125">
        <v>12</v>
      </c>
      <c r="CM14" s="382">
        <f t="shared" si="15"/>
        <v>14410</v>
      </c>
      <c r="CN14" s="383">
        <f t="shared" si="16"/>
        <v>1.01</v>
      </c>
      <c r="CO14" s="269">
        <f t="shared" ref="CO14:CO26" si="82">CM14*CN14</f>
        <v>14554</v>
      </c>
      <c r="CP14" s="127">
        <v>1.302</v>
      </c>
      <c r="CQ14" s="128">
        <f t="shared" si="17"/>
        <v>1.34843</v>
      </c>
      <c r="CR14" s="129">
        <v>0</v>
      </c>
      <c r="CS14" s="128">
        <f t="shared" si="18"/>
        <v>0.33637</v>
      </c>
      <c r="CT14" s="128">
        <f t="shared" si="18"/>
        <v>0.65883000000000003</v>
      </c>
      <c r="CU14" s="129">
        <v>0</v>
      </c>
      <c r="CV14" s="128">
        <f t="shared" ref="CV14:CV26" si="83">ROUND(CW14*CX14*CY14,2)</f>
        <v>5.85</v>
      </c>
      <c r="CW14" s="128">
        <f t="shared" si="19"/>
        <v>1.4220999999999999</v>
      </c>
      <c r="CX14" s="128">
        <f t="shared" si="19"/>
        <v>1.1232899999999999</v>
      </c>
      <c r="CY14" s="128">
        <f t="shared" ref="CY14:CY26" si="84">IF(CK14=0,0,CC14/CK14)</f>
        <v>3.6619000000000002</v>
      </c>
      <c r="CZ14" s="130">
        <f t="shared" si="20"/>
        <v>0.32107000000000002</v>
      </c>
      <c r="DA14" s="131">
        <f>BY14*CF14+CB14*CF14</f>
        <v>1370935</v>
      </c>
      <c r="DB14" s="387">
        <f t="shared" si="21"/>
        <v>44638.5</v>
      </c>
      <c r="DC14" s="138">
        <f t="shared" si="22"/>
        <v>25013.45</v>
      </c>
      <c r="DD14" s="142">
        <f t="shared" si="23"/>
        <v>1.9495849999999999</v>
      </c>
      <c r="DE14" s="131">
        <f t="shared" ref="DE14:DE26" si="85">DC14*DD14*1.302*12</f>
        <v>761918</v>
      </c>
      <c r="DF14" s="153">
        <f t="shared" ref="DF14:DF26" si="86">IF(CF14=0,0,DE14/CF14)</f>
        <v>45</v>
      </c>
      <c r="DG14" s="140">
        <f t="shared" ref="DG14:DG26" si="87">IF(BZ14=0,0,(DF14+BZ14)/BZ14)</f>
        <v>2.2755100000000001</v>
      </c>
      <c r="DI14" s="135">
        <f t="shared" ref="DI14:DI22" si="88">DJ14+EQ14</f>
        <v>47.95</v>
      </c>
      <c r="DJ14" s="135">
        <f t="shared" ref="DJ14:DJ22" si="89">DU14*DW14*DZ14*EA14*EB14*(1+EC14+ED14+EE14+EF14)*EG14/DN14/DO14</f>
        <v>22.95</v>
      </c>
      <c r="DK14" s="135">
        <f t="shared" ref="DK14:DK22" si="90">DU14*DW14*DZ14*EA14*EB14*(1+EC14+EF14)*EG14/DN14/DO14</f>
        <v>11.74</v>
      </c>
      <c r="DL14" s="135">
        <f>DJ14-DK14</f>
        <v>11.21</v>
      </c>
      <c r="DM14" s="135">
        <f t="shared" ref="DM14:DM26" si="91">DU14*DW14*DZ14*EA14*EB14*(1+EC14+EF14)*EG14*EK14/DN14/DO14</f>
        <v>2.0299999999999998</v>
      </c>
      <c r="DN14" s="124">
        <v>76.900000000000006</v>
      </c>
      <c r="DO14" s="132">
        <v>800</v>
      </c>
      <c r="DP14" s="133">
        <f t="shared" ref="DP14:DP26" si="92">DN14*DO14</f>
        <v>61520</v>
      </c>
      <c r="DQ14" s="378">
        <f>'1.4. часы и места для МЗ и СЗ'!Z34</f>
        <v>147528</v>
      </c>
      <c r="DR14" s="378">
        <f>'1.4. часы и места для МЗ и СЗ'!AA34</f>
        <v>1175</v>
      </c>
      <c r="DS14" s="378">
        <f>'1.4. часы и места для МЗ и СЗ'!AB34</f>
        <v>23</v>
      </c>
      <c r="DT14" s="378">
        <f>'1.4. часы и места для МЗ и СЗ'!AC34</f>
        <v>36</v>
      </c>
      <c r="DU14" s="379">
        <f>'1.4. часы и места для МЗ и СЗ'!AD34</f>
        <v>4.18</v>
      </c>
      <c r="DV14" s="133">
        <f t="shared" ref="DV14:DV26" si="93">DQ14/800</f>
        <v>184</v>
      </c>
      <c r="DW14" s="125">
        <v>12</v>
      </c>
      <c r="DX14" s="382">
        <f t="shared" si="24"/>
        <v>14410</v>
      </c>
      <c r="DY14" s="383">
        <f t="shared" si="25"/>
        <v>1.01</v>
      </c>
      <c r="DZ14" s="269">
        <f t="shared" ref="DZ14:DZ26" si="94">DX14*DY14</f>
        <v>14554</v>
      </c>
      <c r="EA14" s="127">
        <v>1.302</v>
      </c>
      <c r="EB14" s="128">
        <f t="shared" si="26"/>
        <v>1.35737</v>
      </c>
      <c r="EC14" s="129">
        <v>0</v>
      </c>
      <c r="ED14" s="128">
        <f t="shared" si="27"/>
        <v>0.22051999999999999</v>
      </c>
      <c r="EE14" s="128">
        <f t="shared" si="27"/>
        <v>0.73350000000000004</v>
      </c>
      <c r="EF14" s="129">
        <v>0</v>
      </c>
      <c r="EG14" s="128">
        <f t="shared" ref="EG14:EG26" si="95">ROUND(EH14*EI14*EJ14,2)</f>
        <v>0.56000000000000005</v>
      </c>
      <c r="EH14" s="128">
        <f t="shared" si="28"/>
        <v>1.2033499999999999</v>
      </c>
      <c r="EI14" s="128">
        <f t="shared" si="28"/>
        <v>1.1232899999999999</v>
      </c>
      <c r="EJ14" s="128">
        <f t="shared" ref="EJ14:EJ26" si="96">IF(DV14=0,0,DN14/DV14)</f>
        <v>0.41793000000000002</v>
      </c>
      <c r="EK14" s="130">
        <f t="shared" si="29"/>
        <v>0.17288999999999999</v>
      </c>
      <c r="EL14" s="131">
        <f>DJ14*DQ14+DM14*DQ14</f>
        <v>3685249</v>
      </c>
      <c r="EM14" s="387">
        <f t="shared" si="30"/>
        <v>44638.5</v>
      </c>
      <c r="EN14" s="138">
        <f t="shared" si="31"/>
        <v>24883.34</v>
      </c>
      <c r="EO14" s="142">
        <f t="shared" si="32"/>
        <v>9.4</v>
      </c>
      <c r="EP14" s="131">
        <f t="shared" ref="EP14:EP26" si="97">EN14*EO14*1.302*12</f>
        <v>3654507</v>
      </c>
      <c r="EQ14" s="153">
        <f t="shared" ref="EQ14:EQ26" si="98">IF(DQ14=0,0,EP14/DQ14)</f>
        <v>25</v>
      </c>
      <c r="ER14" s="140">
        <f t="shared" ref="ER14:ER26" si="99">IF(DK14=0,0,(EQ14+DK14)/DK14)</f>
        <v>3.12947</v>
      </c>
      <c r="ET14" s="135">
        <f t="shared" ref="ET14:ET22" si="100">EU14+GB14</f>
        <v>0</v>
      </c>
      <c r="EU14" s="135">
        <f t="shared" ref="EU14:EU22" si="101">FF14*FH14*FK14*FL14*FM14*(1+FN14+FO14+FP14+FQ14)*FR14/EY14/EZ14</f>
        <v>0</v>
      </c>
      <c r="EV14" s="135">
        <f t="shared" ref="EV14:EV22" si="102">FF14*FH14*FK14*FL14*FM14*(1+FN14+FQ14)*FR14/EY14/EZ14</f>
        <v>0</v>
      </c>
      <c r="EW14" s="135">
        <f>EU14-EV14</f>
        <v>0</v>
      </c>
      <c r="EX14" s="135">
        <f t="shared" ref="EX14:EX26" si="103">FF14*FH14*FK14*FL14*FM14*(1+FN14+FQ14)*FR14*FV14/EY14/EZ14</f>
        <v>0</v>
      </c>
      <c r="EY14" s="124">
        <v>76.900000000000006</v>
      </c>
      <c r="EZ14" s="132">
        <v>800</v>
      </c>
      <c r="FA14" s="133">
        <f t="shared" ref="FA14:FA26" si="104">EY14*EZ14</f>
        <v>61520</v>
      </c>
      <c r="FB14" s="378">
        <f>'1.4. часы и места для МЗ и СЗ'!Z47</f>
        <v>0</v>
      </c>
      <c r="FC14" s="378">
        <f>'1.4. часы и места для МЗ и СЗ'!AA47</f>
        <v>0</v>
      </c>
      <c r="FD14" s="378">
        <f>'1.4. часы и места для МЗ и СЗ'!AB47</f>
        <v>0</v>
      </c>
      <c r="FE14" s="378">
        <f>'1.4. часы и места для МЗ и СЗ'!AC47</f>
        <v>0</v>
      </c>
      <c r="FF14" s="379">
        <f>'1.4. часы и места для МЗ и СЗ'!AD47</f>
        <v>0</v>
      </c>
      <c r="FG14" s="133">
        <f t="shared" ref="FG14:FG26" si="105">FB14/800</f>
        <v>0</v>
      </c>
      <c r="FH14" s="125">
        <v>12</v>
      </c>
      <c r="FI14" s="382">
        <f t="shared" si="33"/>
        <v>14410</v>
      </c>
      <c r="FJ14" s="383">
        <f t="shared" si="34"/>
        <v>1.01</v>
      </c>
      <c r="FK14" s="269">
        <f t="shared" ref="FK14:FK26" si="106">FI14*FJ14</f>
        <v>14554</v>
      </c>
      <c r="FL14" s="127">
        <v>1.302</v>
      </c>
      <c r="FM14" s="128">
        <f t="shared" si="35"/>
        <v>1.32193</v>
      </c>
      <c r="FN14" s="129">
        <v>0</v>
      </c>
      <c r="FO14" s="128">
        <f t="shared" si="36"/>
        <v>0.21695999999999999</v>
      </c>
      <c r="FP14" s="128">
        <f t="shared" si="36"/>
        <v>0.97809999999999997</v>
      </c>
      <c r="FQ14" s="129">
        <v>0</v>
      </c>
      <c r="FR14" s="128">
        <f t="shared" ref="FR14:FR26" si="107">ROUND(FS14*FT14*FU14,2)</f>
        <v>0</v>
      </c>
      <c r="FS14" s="128">
        <f t="shared" si="37"/>
        <v>1.0935600000000001</v>
      </c>
      <c r="FT14" s="128">
        <f t="shared" si="37"/>
        <v>1.1232899999999999</v>
      </c>
      <c r="FU14" s="128">
        <f t="shared" ref="FU14:FU26" si="108">IF(FG14=0,0,EY14/FG14)</f>
        <v>0</v>
      </c>
      <c r="FV14" s="130">
        <f t="shared" si="38"/>
        <v>0</v>
      </c>
      <c r="FW14" s="131">
        <f>EU14*FB14+EX14*FB14</f>
        <v>0</v>
      </c>
      <c r="FX14" s="387">
        <f t="shared" si="39"/>
        <v>44638.5</v>
      </c>
      <c r="FY14" s="138">
        <f t="shared" si="40"/>
        <v>25399.13</v>
      </c>
      <c r="FZ14" s="142">
        <f t="shared" si="41"/>
        <v>0</v>
      </c>
      <c r="GA14" s="131">
        <f t="shared" ref="GA14:GA26" si="109">FY14*FZ14*1.302*12</f>
        <v>0</v>
      </c>
      <c r="GB14" s="153">
        <f t="shared" ref="GB14:GB26" si="110">IF(FB14=0,0,GA14/FB14)</f>
        <v>0</v>
      </c>
      <c r="GC14" s="140">
        <f t="shared" ref="GC14:GC26" si="111">IF(EV14=0,0,(GB14+EV14)/EV14)</f>
        <v>0</v>
      </c>
      <c r="GE14" s="135">
        <f t="shared" ref="GE14:GE22" si="112">GF14+HM14</f>
        <v>80.099999999999994</v>
      </c>
      <c r="GF14" s="135">
        <f t="shared" ref="GF14:GF22" si="113">GQ14*GS14*GV14*GW14*GX14*(1+GY14+GZ14+HA14+HB14)*HC14/GJ14/GK14</f>
        <v>38.1</v>
      </c>
      <c r="GG14" s="135">
        <f t="shared" ref="GG14:GG22" si="114">GQ14*GS14*GV14*GW14*GX14*(1+GY14+HB14)*HC14/GJ14/GK14</f>
        <v>19.77</v>
      </c>
      <c r="GH14" s="135">
        <f>GF14-GG14</f>
        <v>18.329999999999998</v>
      </c>
      <c r="GI14" s="135">
        <f t="shared" ref="GI14:GI26" si="115">GQ14*GS14*GV14*GW14*GX14*(1+GY14+HB14)*HC14*HG14/GJ14/GK14</f>
        <v>2.72</v>
      </c>
      <c r="GJ14" s="124">
        <v>76.900000000000006</v>
      </c>
      <c r="GK14" s="132">
        <v>800</v>
      </c>
      <c r="GL14" s="133">
        <f t="shared" ref="GL14:GL26" si="116">GJ14*GK14</f>
        <v>61520</v>
      </c>
      <c r="GM14" s="227">
        <f t="shared" si="42"/>
        <v>184176</v>
      </c>
      <c r="GN14" s="227">
        <f t="shared" si="42"/>
        <v>1478</v>
      </c>
      <c r="GO14" s="227">
        <f t="shared" si="42"/>
        <v>44</v>
      </c>
      <c r="GP14" s="158" t="s">
        <v>471</v>
      </c>
      <c r="GQ14" s="229">
        <f>N14+AY14+CJ14+DU14+FF14</f>
        <v>8.09</v>
      </c>
      <c r="GR14" s="133">
        <f t="shared" ref="GR14:GR26" si="117">GM14/800</f>
        <v>230</v>
      </c>
      <c r="GS14" s="125">
        <v>12</v>
      </c>
      <c r="GT14" s="382">
        <f t="shared" si="43"/>
        <v>14410</v>
      </c>
      <c r="GU14" s="383">
        <f t="shared" si="44"/>
        <v>1.01</v>
      </c>
      <c r="GV14" s="269">
        <f t="shared" ref="GV14:GV26" si="118">GT14*GU14</f>
        <v>14554</v>
      </c>
      <c r="GW14" s="127">
        <v>1.302</v>
      </c>
      <c r="GX14" s="128">
        <f t="shared" si="45"/>
        <v>1.4064300000000001</v>
      </c>
      <c r="GY14" s="129">
        <v>0</v>
      </c>
      <c r="GZ14" s="128">
        <f t="shared" si="46"/>
        <v>0.32916000000000001</v>
      </c>
      <c r="HA14" s="128">
        <f t="shared" si="46"/>
        <v>0.59841999999999995</v>
      </c>
      <c r="HB14" s="129">
        <v>0</v>
      </c>
      <c r="HC14" s="128">
        <f t="shared" ref="HC14:HC26" si="119">ROUND(HD14*HE14*HF14,2)</f>
        <v>0.47</v>
      </c>
      <c r="HD14" s="128">
        <f t="shared" si="47"/>
        <v>1.24295</v>
      </c>
      <c r="HE14" s="128">
        <f t="shared" si="47"/>
        <v>1.1232899999999999</v>
      </c>
      <c r="HF14" s="128">
        <f t="shared" ref="HF14:HF26" si="120">IF(GR14=0,0,GJ14/GR14)</f>
        <v>0.33434999999999998</v>
      </c>
      <c r="HG14" s="130">
        <f t="shared" si="48"/>
        <v>0.13783999999999999</v>
      </c>
      <c r="HH14" s="131">
        <f>GF14*GM14+GI14*GM14</f>
        <v>7518064</v>
      </c>
      <c r="HI14" s="387">
        <f t="shared" si="49"/>
        <v>44638.5</v>
      </c>
      <c r="HJ14" s="138">
        <f t="shared" si="50"/>
        <v>24169.32</v>
      </c>
      <c r="HK14" s="142">
        <f t="shared" si="51"/>
        <v>20.587160999999998</v>
      </c>
      <c r="HL14" s="131">
        <f t="shared" ref="HL14:HL26" si="121">HJ14*HK14*1.302*12</f>
        <v>7774154</v>
      </c>
      <c r="HM14" s="153">
        <f t="shared" ref="HM14:HM26" si="122">IF(GM14=0,0,HL14/GM14)</f>
        <v>42</v>
      </c>
      <c r="HN14" s="140">
        <f t="shared" ref="HN14:HN26" si="123">IF(GG14=0,0,(HM14+GG14)/GG14)</f>
        <v>3.1244299999999998</v>
      </c>
      <c r="HP14" s="151">
        <f t="shared" ref="HP14:HP22" si="124">GQ14*18</f>
        <v>145.62</v>
      </c>
    </row>
    <row r="15" spans="1:225" s="113" customFormat="1" ht="24" x14ac:dyDescent="0.25">
      <c r="A15" s="120" t="s">
        <v>408</v>
      </c>
      <c r="B15" s="135">
        <f t="shared" si="52"/>
        <v>161.21</v>
      </c>
      <c r="C15" s="135">
        <f t="shared" si="53"/>
        <v>115.21</v>
      </c>
      <c r="D15" s="135">
        <f t="shared" si="54"/>
        <v>65.790000000000006</v>
      </c>
      <c r="E15" s="135">
        <f>C15-D15</f>
        <v>49.42</v>
      </c>
      <c r="F15" s="135">
        <f t="shared" si="55"/>
        <v>5.37</v>
      </c>
      <c r="G15" s="124">
        <v>76.900000000000006</v>
      </c>
      <c r="H15" s="132">
        <v>800</v>
      </c>
      <c r="I15" s="133">
        <f t="shared" si="56"/>
        <v>61520</v>
      </c>
      <c r="J15" s="133">
        <f>J16+J17+J18</f>
        <v>35352</v>
      </c>
      <c r="K15" s="133">
        <f>K16+K17+K18</f>
        <v>289</v>
      </c>
      <c r="L15" s="133">
        <f>L16+L17+L18</f>
        <v>22</v>
      </c>
      <c r="M15" s="132"/>
      <c r="N15" s="126">
        <f>N16+N17+N18</f>
        <v>5.22</v>
      </c>
      <c r="O15" s="133">
        <f t="shared" si="57"/>
        <v>44</v>
      </c>
      <c r="P15" s="125">
        <v>12</v>
      </c>
      <c r="Q15" s="160">
        <v>14410</v>
      </c>
      <c r="R15" s="272">
        <v>1.01</v>
      </c>
      <c r="S15" s="269">
        <f t="shared" si="58"/>
        <v>14554</v>
      </c>
      <c r="T15" s="127">
        <v>1.302</v>
      </c>
      <c r="U15" s="128">
        <f t="shared" si="0"/>
        <v>1.47617</v>
      </c>
      <c r="V15" s="129">
        <v>0</v>
      </c>
      <c r="W15" s="128">
        <f t="shared" si="1"/>
        <v>0.29274</v>
      </c>
      <c r="X15" s="128">
        <f t="shared" si="1"/>
        <v>0.45841999999999999</v>
      </c>
      <c r="Y15" s="129">
        <v>0</v>
      </c>
      <c r="Z15" s="128">
        <f t="shared" si="59"/>
        <v>2.31</v>
      </c>
      <c r="AA15" s="128">
        <f t="shared" si="2"/>
        <v>1.1776</v>
      </c>
      <c r="AB15" s="128">
        <f t="shared" si="2"/>
        <v>1.1232899999999999</v>
      </c>
      <c r="AC15" s="128">
        <f t="shared" si="60"/>
        <v>1.74773</v>
      </c>
      <c r="AD15" s="130">
        <f t="shared" si="3"/>
        <v>8.1689999999999999E-2</v>
      </c>
      <c r="AE15" s="131">
        <f>C15*J15+F15*J15</f>
        <v>4262744</v>
      </c>
      <c r="AF15" s="162">
        <v>44638.5</v>
      </c>
      <c r="AG15" s="138">
        <f t="shared" si="4"/>
        <v>23154.32</v>
      </c>
      <c r="AH15" s="142">
        <f t="shared" si="5"/>
        <v>4.5435290000000004</v>
      </c>
      <c r="AI15" s="131">
        <f t="shared" si="61"/>
        <v>1643681</v>
      </c>
      <c r="AJ15" s="153">
        <f t="shared" si="62"/>
        <v>46</v>
      </c>
      <c r="AK15" s="140">
        <f t="shared" si="63"/>
        <v>1.69919</v>
      </c>
      <c r="AM15" s="135">
        <f t="shared" si="64"/>
        <v>88.64</v>
      </c>
      <c r="AN15" s="135">
        <f t="shared" si="65"/>
        <v>40.64</v>
      </c>
      <c r="AO15" s="135">
        <f t="shared" si="66"/>
        <v>19.420000000000002</v>
      </c>
      <c r="AP15" s="135">
        <f>AN15-AO15</f>
        <v>21.22</v>
      </c>
      <c r="AQ15" s="135">
        <f t="shared" si="67"/>
        <v>2</v>
      </c>
      <c r="AR15" s="124">
        <v>76.900000000000006</v>
      </c>
      <c r="AS15" s="132">
        <v>800</v>
      </c>
      <c r="AT15" s="133">
        <f t="shared" si="68"/>
        <v>61520</v>
      </c>
      <c r="AU15" s="133">
        <f>AU16+AU17+AU18</f>
        <v>73608</v>
      </c>
      <c r="AV15" s="133">
        <f>AV16+AV17+AV18</f>
        <v>784</v>
      </c>
      <c r="AW15" s="133">
        <f>AW16+AW17+AW18</f>
        <v>23</v>
      </c>
      <c r="AX15" s="132"/>
      <c r="AY15" s="126">
        <f>AY16+AY17+AY18</f>
        <v>3.31</v>
      </c>
      <c r="AZ15" s="133">
        <f t="shared" si="69"/>
        <v>92</v>
      </c>
      <c r="BA15" s="125">
        <v>12</v>
      </c>
      <c r="BB15" s="382">
        <f t="shared" si="6"/>
        <v>14410</v>
      </c>
      <c r="BC15" s="383">
        <f t="shared" si="7"/>
        <v>1.01</v>
      </c>
      <c r="BD15" s="269">
        <f t="shared" si="70"/>
        <v>14554</v>
      </c>
      <c r="BE15" s="127">
        <v>1.302</v>
      </c>
      <c r="BF15" s="128">
        <f t="shared" si="8"/>
        <v>1.38046</v>
      </c>
      <c r="BG15" s="129">
        <v>0</v>
      </c>
      <c r="BH15" s="128">
        <f t="shared" si="9"/>
        <v>0.43123</v>
      </c>
      <c r="BI15" s="128">
        <f t="shared" si="9"/>
        <v>0.66134000000000004</v>
      </c>
      <c r="BJ15" s="129">
        <v>0</v>
      </c>
      <c r="BK15" s="128">
        <f t="shared" si="71"/>
        <v>1.1499999999999999</v>
      </c>
      <c r="BL15" s="128">
        <f t="shared" si="10"/>
        <v>1.2245299999999999</v>
      </c>
      <c r="BM15" s="128">
        <f t="shared" si="10"/>
        <v>1.1232899999999999</v>
      </c>
      <c r="BN15" s="128">
        <f t="shared" si="72"/>
        <v>0.83587</v>
      </c>
      <c r="BO15" s="130">
        <f t="shared" si="11"/>
        <v>0.10316</v>
      </c>
      <c r="BP15" s="131">
        <f>AN15*AU15+AQ15*AU15</f>
        <v>3138645</v>
      </c>
      <c r="BQ15" s="387">
        <f t="shared" si="12"/>
        <v>44638.5</v>
      </c>
      <c r="BR15" s="138">
        <f t="shared" si="13"/>
        <v>24547.29</v>
      </c>
      <c r="BS15" s="142">
        <f t="shared" si="14"/>
        <v>9.2893889999999999</v>
      </c>
      <c r="BT15" s="131">
        <f t="shared" si="73"/>
        <v>3562730</v>
      </c>
      <c r="BU15" s="153">
        <f t="shared" si="74"/>
        <v>48</v>
      </c>
      <c r="BV15" s="140">
        <f t="shared" si="75"/>
        <v>3.4716800000000001</v>
      </c>
      <c r="BX15" s="135">
        <f t="shared" si="76"/>
        <v>106.6</v>
      </c>
      <c r="BY15" s="135">
        <f t="shared" si="77"/>
        <v>61.6</v>
      </c>
      <c r="BZ15" s="135">
        <f t="shared" si="78"/>
        <v>30.87</v>
      </c>
      <c r="CA15" s="135">
        <f>BY15-BZ15</f>
        <v>30.73</v>
      </c>
      <c r="CB15" s="135">
        <f t="shared" si="79"/>
        <v>9.91</v>
      </c>
      <c r="CC15" s="124">
        <v>76.900000000000006</v>
      </c>
      <c r="CD15" s="132">
        <v>800</v>
      </c>
      <c r="CE15" s="133">
        <f t="shared" si="80"/>
        <v>61520</v>
      </c>
      <c r="CF15" s="133">
        <f>CF16+CF17+CF18</f>
        <v>18360</v>
      </c>
      <c r="CG15" s="133">
        <f>CG16+CG17+CG18</f>
        <v>123</v>
      </c>
      <c r="CH15" s="133">
        <f>CH16+CH17+CH18</f>
        <v>5</v>
      </c>
      <c r="CI15" s="132"/>
      <c r="CJ15" s="126">
        <f>CJ16+CJ17+CJ18</f>
        <v>1.1599999999999999</v>
      </c>
      <c r="CK15" s="133">
        <f t="shared" si="81"/>
        <v>23</v>
      </c>
      <c r="CL15" s="125">
        <v>12</v>
      </c>
      <c r="CM15" s="382">
        <f t="shared" si="15"/>
        <v>14410</v>
      </c>
      <c r="CN15" s="383">
        <f t="shared" si="16"/>
        <v>1.01</v>
      </c>
      <c r="CO15" s="269">
        <f t="shared" si="82"/>
        <v>14554</v>
      </c>
      <c r="CP15" s="127">
        <v>1.302</v>
      </c>
      <c r="CQ15" s="128">
        <f t="shared" si="17"/>
        <v>1.34843</v>
      </c>
      <c r="CR15" s="129">
        <v>0</v>
      </c>
      <c r="CS15" s="128">
        <f t="shared" si="18"/>
        <v>0.33637</v>
      </c>
      <c r="CT15" s="128">
        <f t="shared" si="18"/>
        <v>0.65883000000000003</v>
      </c>
      <c r="CU15" s="129">
        <v>0</v>
      </c>
      <c r="CV15" s="128">
        <f t="shared" si="83"/>
        <v>5.34</v>
      </c>
      <c r="CW15" s="128">
        <f t="shared" si="19"/>
        <v>1.4220999999999999</v>
      </c>
      <c r="CX15" s="128">
        <f t="shared" si="19"/>
        <v>1.1232899999999999</v>
      </c>
      <c r="CY15" s="128">
        <f t="shared" si="84"/>
        <v>3.34348</v>
      </c>
      <c r="CZ15" s="130">
        <f t="shared" si="20"/>
        <v>0.32107000000000002</v>
      </c>
      <c r="DA15" s="131">
        <f>BY15*CF15+CB15*CF15</f>
        <v>1312924</v>
      </c>
      <c r="DB15" s="387">
        <f t="shared" si="21"/>
        <v>44638.5</v>
      </c>
      <c r="DC15" s="138">
        <f t="shared" si="22"/>
        <v>25013.45</v>
      </c>
      <c r="DD15" s="142">
        <f t="shared" si="23"/>
        <v>2.1336659999999998</v>
      </c>
      <c r="DE15" s="131">
        <f t="shared" si="85"/>
        <v>833858</v>
      </c>
      <c r="DF15" s="153">
        <f t="shared" si="86"/>
        <v>45</v>
      </c>
      <c r="DG15" s="140">
        <f t="shared" si="87"/>
        <v>2.4577300000000002</v>
      </c>
      <c r="DI15" s="135">
        <f t="shared" si="88"/>
        <v>0</v>
      </c>
      <c r="DJ15" s="135">
        <f t="shared" si="89"/>
        <v>0</v>
      </c>
      <c r="DK15" s="135">
        <f t="shared" si="90"/>
        <v>0</v>
      </c>
      <c r="DL15" s="135">
        <f>DJ15-DK15</f>
        <v>0</v>
      </c>
      <c r="DM15" s="135">
        <f t="shared" si="91"/>
        <v>0</v>
      </c>
      <c r="DN15" s="124">
        <v>76.900000000000006</v>
      </c>
      <c r="DO15" s="132">
        <v>800</v>
      </c>
      <c r="DP15" s="133">
        <f t="shared" si="92"/>
        <v>61520</v>
      </c>
      <c r="DQ15" s="133">
        <f>DQ16+DQ17+DQ18</f>
        <v>0</v>
      </c>
      <c r="DR15" s="133">
        <f>DR16+DR17+DR18</f>
        <v>0</v>
      </c>
      <c r="DS15" s="133">
        <f>DS16+DS17+DS18</f>
        <v>0</v>
      </c>
      <c r="DT15" s="132"/>
      <c r="DU15" s="126">
        <f>DU16+DU17+DU18</f>
        <v>0</v>
      </c>
      <c r="DV15" s="133">
        <f t="shared" si="93"/>
        <v>0</v>
      </c>
      <c r="DW15" s="125">
        <v>12</v>
      </c>
      <c r="DX15" s="382">
        <f t="shared" si="24"/>
        <v>14410</v>
      </c>
      <c r="DY15" s="383">
        <f t="shared" si="25"/>
        <v>1.01</v>
      </c>
      <c r="DZ15" s="269">
        <f t="shared" si="94"/>
        <v>14554</v>
      </c>
      <c r="EA15" s="127">
        <v>1.302</v>
      </c>
      <c r="EB15" s="128">
        <f t="shared" si="26"/>
        <v>1.35737</v>
      </c>
      <c r="EC15" s="129">
        <v>0</v>
      </c>
      <c r="ED15" s="128">
        <f t="shared" si="27"/>
        <v>0.22051999999999999</v>
      </c>
      <c r="EE15" s="128">
        <f t="shared" si="27"/>
        <v>0.73350000000000004</v>
      </c>
      <c r="EF15" s="129">
        <v>0</v>
      </c>
      <c r="EG15" s="128">
        <f t="shared" si="95"/>
        <v>0</v>
      </c>
      <c r="EH15" s="128">
        <f t="shared" si="28"/>
        <v>1.2033499999999999</v>
      </c>
      <c r="EI15" s="128">
        <f t="shared" si="28"/>
        <v>1.1232899999999999</v>
      </c>
      <c r="EJ15" s="128">
        <f t="shared" si="96"/>
        <v>0</v>
      </c>
      <c r="EK15" s="130">
        <f t="shared" si="29"/>
        <v>0.17288999999999999</v>
      </c>
      <c r="EL15" s="131">
        <f>DJ15*DQ15+DM15*DQ15</f>
        <v>0</v>
      </c>
      <c r="EM15" s="387">
        <f t="shared" si="30"/>
        <v>44638.5</v>
      </c>
      <c r="EN15" s="138">
        <f t="shared" si="31"/>
        <v>24883.34</v>
      </c>
      <c r="EO15" s="142">
        <f t="shared" si="32"/>
        <v>0</v>
      </c>
      <c r="EP15" s="131">
        <f t="shared" si="97"/>
        <v>0</v>
      </c>
      <c r="EQ15" s="153">
        <f t="shared" si="98"/>
        <v>0</v>
      </c>
      <c r="ER15" s="140">
        <f t="shared" si="99"/>
        <v>0</v>
      </c>
      <c r="ET15" s="135">
        <f t="shared" si="100"/>
        <v>0</v>
      </c>
      <c r="EU15" s="135">
        <f t="shared" si="101"/>
        <v>0</v>
      </c>
      <c r="EV15" s="135">
        <f t="shared" si="102"/>
        <v>0</v>
      </c>
      <c r="EW15" s="135">
        <f>EU15-EV15</f>
        <v>0</v>
      </c>
      <c r="EX15" s="135">
        <f t="shared" si="103"/>
        <v>0</v>
      </c>
      <c r="EY15" s="124">
        <v>76.900000000000006</v>
      </c>
      <c r="EZ15" s="132">
        <v>800</v>
      </c>
      <c r="FA15" s="133">
        <f t="shared" si="104"/>
        <v>61520</v>
      </c>
      <c r="FB15" s="133">
        <f>FB16+FB17+FB18</f>
        <v>0</v>
      </c>
      <c r="FC15" s="133">
        <f>FC16+FC17+FC18</f>
        <v>0</v>
      </c>
      <c r="FD15" s="133">
        <f>FD16+FD17+FD18</f>
        <v>0</v>
      </c>
      <c r="FE15" s="132"/>
      <c r="FF15" s="126">
        <f>FF16+FF17+FF18</f>
        <v>0</v>
      </c>
      <c r="FG15" s="133">
        <f t="shared" si="105"/>
        <v>0</v>
      </c>
      <c r="FH15" s="125">
        <v>12</v>
      </c>
      <c r="FI15" s="382">
        <f t="shared" si="33"/>
        <v>14410</v>
      </c>
      <c r="FJ15" s="383">
        <f t="shared" si="34"/>
        <v>1.01</v>
      </c>
      <c r="FK15" s="269">
        <f t="shared" si="106"/>
        <v>14554</v>
      </c>
      <c r="FL15" s="127">
        <v>1.302</v>
      </c>
      <c r="FM15" s="128">
        <f t="shared" si="35"/>
        <v>1.32193</v>
      </c>
      <c r="FN15" s="129">
        <v>0</v>
      </c>
      <c r="FO15" s="128">
        <f t="shared" si="36"/>
        <v>0.21695999999999999</v>
      </c>
      <c r="FP15" s="128">
        <f t="shared" si="36"/>
        <v>0.97809999999999997</v>
      </c>
      <c r="FQ15" s="129">
        <v>0</v>
      </c>
      <c r="FR15" s="128">
        <f t="shared" si="107"/>
        <v>0</v>
      </c>
      <c r="FS15" s="128">
        <f t="shared" si="37"/>
        <v>1.0935600000000001</v>
      </c>
      <c r="FT15" s="128">
        <f t="shared" si="37"/>
        <v>1.1232899999999999</v>
      </c>
      <c r="FU15" s="128">
        <f t="shared" si="108"/>
        <v>0</v>
      </c>
      <c r="FV15" s="130">
        <f t="shared" si="38"/>
        <v>0</v>
      </c>
      <c r="FW15" s="131">
        <f>EU15*FB15+EX15*FB15</f>
        <v>0</v>
      </c>
      <c r="FX15" s="387">
        <f t="shared" si="39"/>
        <v>44638.5</v>
      </c>
      <c r="FY15" s="138">
        <f t="shared" si="40"/>
        <v>25399.13</v>
      </c>
      <c r="FZ15" s="142">
        <f t="shared" si="41"/>
        <v>0</v>
      </c>
      <c r="GA15" s="131">
        <f t="shared" si="109"/>
        <v>0</v>
      </c>
      <c r="GB15" s="153">
        <f t="shared" si="110"/>
        <v>0</v>
      </c>
      <c r="GC15" s="140">
        <f t="shared" si="111"/>
        <v>0</v>
      </c>
      <c r="GE15" s="135">
        <f t="shared" si="112"/>
        <v>108.03</v>
      </c>
      <c r="GF15" s="135">
        <f t="shared" si="113"/>
        <v>66.03</v>
      </c>
      <c r="GG15" s="135">
        <f t="shared" si="114"/>
        <v>34.25</v>
      </c>
      <c r="GH15" s="135">
        <f>GF15-GG15</f>
        <v>31.78</v>
      </c>
      <c r="GI15" s="135">
        <f t="shared" si="115"/>
        <v>4.72</v>
      </c>
      <c r="GJ15" s="124">
        <v>76.900000000000006</v>
      </c>
      <c r="GK15" s="132">
        <v>800</v>
      </c>
      <c r="GL15" s="133">
        <f t="shared" si="116"/>
        <v>61520</v>
      </c>
      <c r="GM15" s="133">
        <f>GM16+GM17+GM18</f>
        <v>127320</v>
      </c>
      <c r="GN15" s="133">
        <f>GN16+GN17+GN18</f>
        <v>1196</v>
      </c>
      <c r="GO15" s="133">
        <f>GO16+GO17+GO18</f>
        <v>50</v>
      </c>
      <c r="GP15" s="132" t="s">
        <v>471</v>
      </c>
      <c r="GQ15" s="126">
        <f>GQ16+GQ17+GQ18</f>
        <v>9.69</v>
      </c>
      <c r="GR15" s="133">
        <f t="shared" si="117"/>
        <v>159</v>
      </c>
      <c r="GS15" s="125">
        <v>12</v>
      </c>
      <c r="GT15" s="382">
        <f t="shared" si="43"/>
        <v>14410</v>
      </c>
      <c r="GU15" s="383">
        <f t="shared" si="44"/>
        <v>1.01</v>
      </c>
      <c r="GV15" s="269">
        <f t="shared" si="118"/>
        <v>14554</v>
      </c>
      <c r="GW15" s="127">
        <v>1.302</v>
      </c>
      <c r="GX15" s="128">
        <f t="shared" si="45"/>
        <v>1.4064300000000001</v>
      </c>
      <c r="GY15" s="129">
        <v>0</v>
      </c>
      <c r="GZ15" s="128">
        <f t="shared" si="46"/>
        <v>0.32916000000000001</v>
      </c>
      <c r="HA15" s="128">
        <f t="shared" si="46"/>
        <v>0.59841999999999995</v>
      </c>
      <c r="HB15" s="129">
        <v>0</v>
      </c>
      <c r="HC15" s="128">
        <f t="shared" si="119"/>
        <v>0.68</v>
      </c>
      <c r="HD15" s="128">
        <f t="shared" si="47"/>
        <v>1.24295</v>
      </c>
      <c r="HE15" s="128">
        <f t="shared" si="47"/>
        <v>1.1232899999999999</v>
      </c>
      <c r="HF15" s="128">
        <f t="shared" si="120"/>
        <v>0.48365000000000002</v>
      </c>
      <c r="HG15" s="130">
        <f t="shared" si="48"/>
        <v>0.13783999999999999</v>
      </c>
      <c r="HH15" s="131">
        <f>GF15*GM15+GI15*GM15</f>
        <v>9007890</v>
      </c>
      <c r="HI15" s="387">
        <f t="shared" si="49"/>
        <v>44638.5</v>
      </c>
      <c r="HJ15" s="138">
        <f t="shared" si="50"/>
        <v>24169.32</v>
      </c>
      <c r="HK15" s="142">
        <f t="shared" si="51"/>
        <v>14.231807</v>
      </c>
      <c r="HL15" s="131">
        <f t="shared" si="121"/>
        <v>5374236</v>
      </c>
      <c r="HM15" s="153">
        <f t="shared" si="122"/>
        <v>42</v>
      </c>
      <c r="HN15" s="140">
        <f t="shared" si="123"/>
        <v>2.22628</v>
      </c>
      <c r="HP15" s="151">
        <f t="shared" si="124"/>
        <v>174.42</v>
      </c>
    </row>
    <row r="16" spans="1:225" ht="24" x14ac:dyDescent="0.25">
      <c r="A16" s="12" t="s">
        <v>409</v>
      </c>
      <c r="B16" s="136">
        <f t="shared" si="52"/>
        <v>161.21</v>
      </c>
      <c r="C16" s="136">
        <f t="shared" si="53"/>
        <v>115.21</v>
      </c>
      <c r="D16" s="136">
        <f t="shared" si="54"/>
        <v>65.790000000000006</v>
      </c>
      <c r="E16" s="136">
        <f t="shared" ref="E16:E26" si="125">C16-D16</f>
        <v>49.42</v>
      </c>
      <c r="F16" s="136">
        <f t="shared" si="55"/>
        <v>5.37</v>
      </c>
      <c r="G16" s="69">
        <v>76.900000000000006</v>
      </c>
      <c r="H16" s="67">
        <v>800</v>
      </c>
      <c r="I16" s="68">
        <f t="shared" si="56"/>
        <v>61520</v>
      </c>
      <c r="J16" s="380">
        <f>'1.4. часы и места для МЗ и СЗ'!Z25</f>
        <v>35352</v>
      </c>
      <c r="K16" s="380">
        <f>'1.4. часы и места для МЗ и СЗ'!AA25</f>
        <v>289</v>
      </c>
      <c r="L16" s="380">
        <f>'1.4. часы и места для МЗ и СЗ'!AB25</f>
        <v>22</v>
      </c>
      <c r="M16" s="380">
        <f>'1.4. часы и места для МЗ и СЗ'!AC25</f>
        <v>36</v>
      </c>
      <c r="N16" s="381">
        <f>'1.4. часы и места для МЗ и СЗ'!AD25</f>
        <v>5.22</v>
      </c>
      <c r="O16" s="68">
        <f t="shared" si="57"/>
        <v>44</v>
      </c>
      <c r="P16" s="10">
        <v>12</v>
      </c>
      <c r="Q16" s="161">
        <v>14410</v>
      </c>
      <c r="R16" s="273">
        <v>1.01</v>
      </c>
      <c r="S16" s="275">
        <f t="shared" si="58"/>
        <v>14554</v>
      </c>
      <c r="T16" s="117">
        <v>1.302</v>
      </c>
      <c r="U16" s="119">
        <f t="shared" si="0"/>
        <v>1.47617</v>
      </c>
      <c r="V16" s="118">
        <v>0</v>
      </c>
      <c r="W16" s="119">
        <f t="shared" si="1"/>
        <v>0.29274</v>
      </c>
      <c r="X16" s="119">
        <f t="shared" si="1"/>
        <v>0.45841999999999999</v>
      </c>
      <c r="Y16" s="118">
        <v>0</v>
      </c>
      <c r="Z16" s="119">
        <f t="shared" si="59"/>
        <v>2.31</v>
      </c>
      <c r="AA16" s="119">
        <f t="shared" si="2"/>
        <v>1.1776</v>
      </c>
      <c r="AB16" s="119">
        <f t="shared" si="2"/>
        <v>1.1232899999999999</v>
      </c>
      <c r="AC16" s="119">
        <f t="shared" si="60"/>
        <v>1.74773</v>
      </c>
      <c r="AD16" s="122">
        <f t="shared" si="3"/>
        <v>8.1689999999999999E-2</v>
      </c>
      <c r="AE16" s="123">
        <f t="shared" ref="AE16:AE22" si="126">C16*J16+F16*J16</f>
        <v>4262744</v>
      </c>
      <c r="AF16" s="162">
        <v>44638.5</v>
      </c>
      <c r="AG16" s="139">
        <f t="shared" si="4"/>
        <v>23154.32</v>
      </c>
      <c r="AH16" s="143">
        <f t="shared" si="5"/>
        <v>4.5435290000000004</v>
      </c>
      <c r="AI16" s="123">
        <f t="shared" si="61"/>
        <v>1643681</v>
      </c>
      <c r="AJ16" s="154">
        <f t="shared" si="62"/>
        <v>46</v>
      </c>
      <c r="AK16" s="141">
        <f t="shared" si="63"/>
        <v>1.69919</v>
      </c>
      <c r="AM16" s="136">
        <f t="shared" si="64"/>
        <v>89.21</v>
      </c>
      <c r="AN16" s="136">
        <f t="shared" si="65"/>
        <v>41.21</v>
      </c>
      <c r="AO16" s="136">
        <f t="shared" si="66"/>
        <v>19.7</v>
      </c>
      <c r="AP16" s="136">
        <f t="shared" ref="AP16:AP26" si="127">AN16-AO16</f>
        <v>21.51</v>
      </c>
      <c r="AQ16" s="136">
        <f t="shared" si="67"/>
        <v>2.0299999999999998</v>
      </c>
      <c r="AR16" s="69">
        <v>76.900000000000006</v>
      </c>
      <c r="AS16" s="67">
        <v>800</v>
      </c>
      <c r="AT16" s="68">
        <f t="shared" si="68"/>
        <v>61520</v>
      </c>
      <c r="AU16" s="380">
        <f>'1.4. часы и места для МЗ и СЗ'!Z64</f>
        <v>42192</v>
      </c>
      <c r="AV16" s="380">
        <f>'1.4. часы и места для МЗ и СЗ'!AA64</f>
        <v>546</v>
      </c>
      <c r="AW16" s="380">
        <f>'1.4. часы и места для МЗ и СЗ'!AB64</f>
        <v>15</v>
      </c>
      <c r="AX16" s="380">
        <f>'1.4. часы и места для МЗ и СЗ'!AC64</f>
        <v>36</v>
      </c>
      <c r="AY16" s="381">
        <f>'1.4. часы и места для МЗ и СЗ'!AD64</f>
        <v>1.93</v>
      </c>
      <c r="AZ16" s="68">
        <f t="shared" si="69"/>
        <v>53</v>
      </c>
      <c r="BA16" s="10">
        <v>12</v>
      </c>
      <c r="BB16" s="384">
        <f t="shared" si="6"/>
        <v>14410</v>
      </c>
      <c r="BC16" s="388">
        <f t="shared" si="7"/>
        <v>1.01</v>
      </c>
      <c r="BD16" s="275">
        <f t="shared" si="70"/>
        <v>14554</v>
      </c>
      <c r="BE16" s="117">
        <v>1.302</v>
      </c>
      <c r="BF16" s="119">
        <f t="shared" si="8"/>
        <v>1.38046</v>
      </c>
      <c r="BG16" s="118">
        <v>0</v>
      </c>
      <c r="BH16" s="119">
        <f t="shared" si="9"/>
        <v>0.43123</v>
      </c>
      <c r="BI16" s="119">
        <f t="shared" si="9"/>
        <v>0.66134000000000004</v>
      </c>
      <c r="BJ16" s="118">
        <v>0</v>
      </c>
      <c r="BK16" s="119">
        <f t="shared" si="71"/>
        <v>2</v>
      </c>
      <c r="BL16" s="119">
        <f t="shared" si="10"/>
        <v>1.2245299999999999</v>
      </c>
      <c r="BM16" s="119">
        <f t="shared" si="10"/>
        <v>1.1232899999999999</v>
      </c>
      <c r="BN16" s="119">
        <f t="shared" si="72"/>
        <v>1.4509399999999999</v>
      </c>
      <c r="BO16" s="122">
        <f t="shared" si="11"/>
        <v>0.10316</v>
      </c>
      <c r="BP16" s="123">
        <f t="shared" ref="BP16:BP22" si="128">AN16*AU16+AQ16*AU16</f>
        <v>1824382</v>
      </c>
      <c r="BQ16" s="387">
        <f t="shared" si="12"/>
        <v>44638.5</v>
      </c>
      <c r="BR16" s="139">
        <f t="shared" si="13"/>
        <v>24547.29</v>
      </c>
      <c r="BS16" s="143">
        <f t="shared" si="14"/>
        <v>5.3246640000000003</v>
      </c>
      <c r="BT16" s="123">
        <f t="shared" si="73"/>
        <v>2042152</v>
      </c>
      <c r="BU16" s="154">
        <f t="shared" si="74"/>
        <v>48</v>
      </c>
      <c r="BV16" s="141">
        <f t="shared" si="75"/>
        <v>3.43655</v>
      </c>
      <c r="BX16" s="136">
        <f t="shared" si="76"/>
        <v>106.6</v>
      </c>
      <c r="BY16" s="136">
        <f t="shared" si="77"/>
        <v>61.6</v>
      </c>
      <c r="BZ16" s="136">
        <f t="shared" si="78"/>
        <v>30.87</v>
      </c>
      <c r="CA16" s="136">
        <f t="shared" ref="CA16:CA26" si="129">BY16-BZ16</f>
        <v>30.73</v>
      </c>
      <c r="CB16" s="136">
        <f t="shared" si="79"/>
        <v>9.91</v>
      </c>
      <c r="CC16" s="69">
        <v>76.900000000000006</v>
      </c>
      <c r="CD16" s="67">
        <v>800</v>
      </c>
      <c r="CE16" s="68">
        <f t="shared" si="80"/>
        <v>61520</v>
      </c>
      <c r="CF16" s="380">
        <f>'1.4. часы и места для МЗ и СЗ'!Z77</f>
        <v>18360</v>
      </c>
      <c r="CG16" s="380">
        <f>'1.4. часы и места для МЗ и СЗ'!AA77</f>
        <v>123</v>
      </c>
      <c r="CH16" s="380">
        <f>'1.4. часы и места для МЗ и СЗ'!AB77</f>
        <v>5</v>
      </c>
      <c r="CI16" s="380">
        <f>'1.4. часы и места для МЗ и СЗ'!AC77</f>
        <v>36</v>
      </c>
      <c r="CJ16" s="381">
        <f>'1.4. часы и места для МЗ и СЗ'!AD77</f>
        <v>1.1599999999999999</v>
      </c>
      <c r="CK16" s="68">
        <f t="shared" si="81"/>
        <v>23</v>
      </c>
      <c r="CL16" s="10">
        <v>12</v>
      </c>
      <c r="CM16" s="384">
        <f t="shared" si="15"/>
        <v>14410</v>
      </c>
      <c r="CN16" s="388">
        <f t="shared" si="16"/>
        <v>1.01</v>
      </c>
      <c r="CO16" s="275">
        <f t="shared" si="82"/>
        <v>14554</v>
      </c>
      <c r="CP16" s="117">
        <v>1.302</v>
      </c>
      <c r="CQ16" s="119">
        <f t="shared" si="17"/>
        <v>1.34843</v>
      </c>
      <c r="CR16" s="118">
        <v>0</v>
      </c>
      <c r="CS16" s="119">
        <f t="shared" si="18"/>
        <v>0.33637</v>
      </c>
      <c r="CT16" s="119">
        <f t="shared" si="18"/>
        <v>0.65883000000000003</v>
      </c>
      <c r="CU16" s="118">
        <v>0</v>
      </c>
      <c r="CV16" s="119">
        <f t="shared" si="83"/>
        <v>5.34</v>
      </c>
      <c r="CW16" s="119">
        <f t="shared" si="19"/>
        <v>1.4220999999999999</v>
      </c>
      <c r="CX16" s="119">
        <f t="shared" si="19"/>
        <v>1.1232899999999999</v>
      </c>
      <c r="CY16" s="119">
        <f t="shared" si="84"/>
        <v>3.34348</v>
      </c>
      <c r="CZ16" s="122">
        <f t="shared" si="20"/>
        <v>0.32107000000000002</v>
      </c>
      <c r="DA16" s="123">
        <f t="shared" ref="DA16:DA22" si="130">BY16*CF16+CB16*CF16</f>
        <v>1312924</v>
      </c>
      <c r="DB16" s="387">
        <f t="shared" si="21"/>
        <v>44638.5</v>
      </c>
      <c r="DC16" s="139">
        <f t="shared" si="22"/>
        <v>25013.45</v>
      </c>
      <c r="DD16" s="143">
        <f t="shared" si="23"/>
        <v>2.1336659999999998</v>
      </c>
      <c r="DE16" s="123">
        <f t="shared" si="85"/>
        <v>833858</v>
      </c>
      <c r="DF16" s="154">
        <f t="shared" si="86"/>
        <v>45</v>
      </c>
      <c r="DG16" s="141">
        <f t="shared" si="87"/>
        <v>2.4577300000000002</v>
      </c>
      <c r="DI16" s="136">
        <f t="shared" si="88"/>
        <v>0</v>
      </c>
      <c r="DJ16" s="136">
        <f t="shared" si="89"/>
        <v>0</v>
      </c>
      <c r="DK16" s="136">
        <f t="shared" si="90"/>
        <v>0</v>
      </c>
      <c r="DL16" s="136">
        <f t="shared" ref="DL16:DL26" si="131">DJ16-DK16</f>
        <v>0</v>
      </c>
      <c r="DM16" s="136">
        <f t="shared" si="91"/>
        <v>0</v>
      </c>
      <c r="DN16" s="69">
        <v>76.900000000000006</v>
      </c>
      <c r="DO16" s="67">
        <v>800</v>
      </c>
      <c r="DP16" s="68">
        <f t="shared" si="92"/>
        <v>61520</v>
      </c>
      <c r="DQ16" s="380">
        <f>'1.4. часы и места для МЗ и СЗ'!Z38</f>
        <v>0</v>
      </c>
      <c r="DR16" s="380">
        <f>'1.4. часы и места для МЗ и СЗ'!AA38</f>
        <v>0</v>
      </c>
      <c r="DS16" s="380">
        <f>'1.4. часы и места для МЗ и СЗ'!AB38</f>
        <v>0</v>
      </c>
      <c r="DT16" s="380">
        <f>'1.4. часы и места для МЗ и СЗ'!AC38</f>
        <v>36</v>
      </c>
      <c r="DU16" s="381">
        <f>'1.4. часы и места для МЗ и СЗ'!AD38</f>
        <v>0</v>
      </c>
      <c r="DV16" s="68">
        <f t="shared" si="93"/>
        <v>0</v>
      </c>
      <c r="DW16" s="10">
        <v>12</v>
      </c>
      <c r="DX16" s="384">
        <f t="shared" si="24"/>
        <v>14410</v>
      </c>
      <c r="DY16" s="388">
        <f t="shared" si="25"/>
        <v>1.01</v>
      </c>
      <c r="DZ16" s="275">
        <f t="shared" si="94"/>
        <v>14554</v>
      </c>
      <c r="EA16" s="117">
        <v>1.302</v>
      </c>
      <c r="EB16" s="119">
        <f t="shared" si="26"/>
        <v>1.35737</v>
      </c>
      <c r="EC16" s="118">
        <v>0</v>
      </c>
      <c r="ED16" s="119">
        <f t="shared" si="27"/>
        <v>0.22051999999999999</v>
      </c>
      <c r="EE16" s="119">
        <f t="shared" si="27"/>
        <v>0.73350000000000004</v>
      </c>
      <c r="EF16" s="118">
        <v>0</v>
      </c>
      <c r="EG16" s="119">
        <f t="shared" si="95"/>
        <v>0</v>
      </c>
      <c r="EH16" s="119">
        <f t="shared" si="28"/>
        <v>1.2033499999999999</v>
      </c>
      <c r="EI16" s="119">
        <f t="shared" si="28"/>
        <v>1.1232899999999999</v>
      </c>
      <c r="EJ16" s="119">
        <f t="shared" si="96"/>
        <v>0</v>
      </c>
      <c r="EK16" s="122">
        <f t="shared" si="29"/>
        <v>0.17288999999999999</v>
      </c>
      <c r="EL16" s="123">
        <f t="shared" ref="EL16:EL22" si="132">DJ16*DQ16+DM16*DQ16</f>
        <v>0</v>
      </c>
      <c r="EM16" s="387">
        <f t="shared" si="30"/>
        <v>44638.5</v>
      </c>
      <c r="EN16" s="139">
        <f t="shared" si="31"/>
        <v>24883.34</v>
      </c>
      <c r="EO16" s="143">
        <f t="shared" si="32"/>
        <v>0</v>
      </c>
      <c r="EP16" s="123">
        <f t="shared" si="97"/>
        <v>0</v>
      </c>
      <c r="EQ16" s="154">
        <f t="shared" si="98"/>
        <v>0</v>
      </c>
      <c r="ER16" s="141">
        <f t="shared" si="99"/>
        <v>0</v>
      </c>
      <c r="ET16" s="136">
        <f t="shared" si="100"/>
        <v>0</v>
      </c>
      <c r="EU16" s="136">
        <f t="shared" si="101"/>
        <v>0</v>
      </c>
      <c r="EV16" s="136">
        <f t="shared" si="102"/>
        <v>0</v>
      </c>
      <c r="EW16" s="136">
        <f t="shared" ref="EW16:EW26" si="133">EU16-EV16</f>
        <v>0</v>
      </c>
      <c r="EX16" s="136">
        <f t="shared" si="103"/>
        <v>0</v>
      </c>
      <c r="EY16" s="69">
        <v>76.900000000000006</v>
      </c>
      <c r="EZ16" s="67">
        <v>800</v>
      </c>
      <c r="FA16" s="68">
        <f t="shared" si="104"/>
        <v>61520</v>
      </c>
      <c r="FB16" s="380">
        <f>'1.4. часы и места для МЗ и СЗ'!Z51</f>
        <v>0</v>
      </c>
      <c r="FC16" s="380">
        <f>'1.4. часы и места для МЗ и СЗ'!AA51</f>
        <v>0</v>
      </c>
      <c r="FD16" s="380">
        <f>'1.4. часы и места для МЗ и СЗ'!AB51</f>
        <v>0</v>
      </c>
      <c r="FE16" s="380">
        <f>'1.4. часы и места для МЗ и СЗ'!AC51</f>
        <v>36</v>
      </c>
      <c r="FF16" s="381">
        <f>'1.4. часы и места для МЗ и СЗ'!AD51</f>
        <v>0</v>
      </c>
      <c r="FG16" s="68">
        <f t="shared" si="105"/>
        <v>0</v>
      </c>
      <c r="FH16" s="10">
        <v>12</v>
      </c>
      <c r="FI16" s="384">
        <f t="shared" si="33"/>
        <v>14410</v>
      </c>
      <c r="FJ16" s="388">
        <f t="shared" si="34"/>
        <v>1.01</v>
      </c>
      <c r="FK16" s="275">
        <f t="shared" si="106"/>
        <v>14554</v>
      </c>
      <c r="FL16" s="117">
        <v>1.302</v>
      </c>
      <c r="FM16" s="119">
        <f t="shared" si="35"/>
        <v>1.32193</v>
      </c>
      <c r="FN16" s="118">
        <v>0</v>
      </c>
      <c r="FO16" s="119">
        <f t="shared" si="36"/>
        <v>0.21695999999999999</v>
      </c>
      <c r="FP16" s="119">
        <f t="shared" si="36"/>
        <v>0.97809999999999997</v>
      </c>
      <c r="FQ16" s="118">
        <v>0</v>
      </c>
      <c r="FR16" s="119">
        <f t="shared" si="107"/>
        <v>0</v>
      </c>
      <c r="FS16" s="119">
        <f t="shared" si="37"/>
        <v>1.0935600000000001</v>
      </c>
      <c r="FT16" s="119">
        <f t="shared" si="37"/>
        <v>1.1232899999999999</v>
      </c>
      <c r="FU16" s="119">
        <f t="shared" si="108"/>
        <v>0</v>
      </c>
      <c r="FV16" s="122">
        <f t="shared" si="38"/>
        <v>0</v>
      </c>
      <c r="FW16" s="123">
        <f t="shared" ref="FW16:FW22" si="134">EU16*FB16+EX16*FB16</f>
        <v>0</v>
      </c>
      <c r="FX16" s="387">
        <f t="shared" si="39"/>
        <v>44638.5</v>
      </c>
      <c r="FY16" s="139">
        <f t="shared" si="40"/>
        <v>25399.13</v>
      </c>
      <c r="FZ16" s="143">
        <f t="shared" si="41"/>
        <v>0</v>
      </c>
      <c r="GA16" s="123">
        <f t="shared" si="109"/>
        <v>0</v>
      </c>
      <c r="GB16" s="154">
        <f t="shared" si="110"/>
        <v>0</v>
      </c>
      <c r="GC16" s="141">
        <f t="shared" si="111"/>
        <v>0</v>
      </c>
      <c r="GE16" s="136">
        <f t="shared" si="112"/>
        <v>116.11</v>
      </c>
      <c r="GF16" s="136">
        <f t="shared" si="113"/>
        <v>74.11</v>
      </c>
      <c r="GG16" s="136">
        <f t="shared" si="114"/>
        <v>38.450000000000003</v>
      </c>
      <c r="GH16" s="136">
        <f t="shared" ref="GH16:GH26" si="135">GF16-GG16</f>
        <v>35.659999999999997</v>
      </c>
      <c r="GI16" s="136">
        <f t="shared" si="115"/>
        <v>5.3</v>
      </c>
      <c r="GJ16" s="69">
        <v>76.900000000000006</v>
      </c>
      <c r="GK16" s="67">
        <v>800</v>
      </c>
      <c r="GL16" s="68">
        <f t="shared" si="116"/>
        <v>61520</v>
      </c>
      <c r="GM16" s="228">
        <f t="shared" ref="GM16:GO22" si="136">J16+AU16+CF16+DQ16+FB16</f>
        <v>95904</v>
      </c>
      <c r="GN16" s="228">
        <f t="shared" si="136"/>
        <v>958</v>
      </c>
      <c r="GO16" s="228">
        <f t="shared" si="136"/>
        <v>42</v>
      </c>
      <c r="GP16" s="159" t="s">
        <v>471</v>
      </c>
      <c r="GQ16" s="230">
        <f t="shared" ref="GQ16:GQ22" si="137">N16+AY16+CJ16+DU16+FF16</f>
        <v>8.31</v>
      </c>
      <c r="GR16" s="68">
        <f t="shared" si="117"/>
        <v>120</v>
      </c>
      <c r="GS16" s="10">
        <v>12</v>
      </c>
      <c r="GT16" s="384">
        <f t="shared" si="43"/>
        <v>14410</v>
      </c>
      <c r="GU16" s="388">
        <f t="shared" si="44"/>
        <v>1.01</v>
      </c>
      <c r="GV16" s="275">
        <f t="shared" si="118"/>
        <v>14554</v>
      </c>
      <c r="GW16" s="117">
        <v>1.302</v>
      </c>
      <c r="GX16" s="119">
        <f t="shared" si="45"/>
        <v>1.4064300000000001</v>
      </c>
      <c r="GY16" s="118">
        <v>0</v>
      </c>
      <c r="GZ16" s="119">
        <f t="shared" si="46"/>
        <v>0.32916000000000001</v>
      </c>
      <c r="HA16" s="119">
        <f t="shared" si="46"/>
        <v>0.59841999999999995</v>
      </c>
      <c r="HB16" s="118">
        <v>0</v>
      </c>
      <c r="HC16" s="119">
        <f t="shared" si="119"/>
        <v>0.89</v>
      </c>
      <c r="HD16" s="119">
        <f t="shared" si="47"/>
        <v>1.24295</v>
      </c>
      <c r="HE16" s="119">
        <f t="shared" si="47"/>
        <v>1.1232899999999999</v>
      </c>
      <c r="HF16" s="119">
        <f t="shared" si="120"/>
        <v>0.64083000000000001</v>
      </c>
      <c r="HG16" s="122">
        <f t="shared" si="48"/>
        <v>0.13783999999999999</v>
      </c>
      <c r="HH16" s="123">
        <f t="shared" ref="HH16:HH22" si="138">GF16*GM16+GI16*GM16</f>
        <v>7615737</v>
      </c>
      <c r="HI16" s="387">
        <f t="shared" si="49"/>
        <v>44638.5</v>
      </c>
      <c r="HJ16" s="139">
        <f t="shared" si="50"/>
        <v>24169.32</v>
      </c>
      <c r="HK16" s="143">
        <f t="shared" si="51"/>
        <v>10.720132</v>
      </c>
      <c r="HL16" s="123">
        <f t="shared" si="121"/>
        <v>4048152</v>
      </c>
      <c r="HM16" s="154">
        <f t="shared" si="122"/>
        <v>42</v>
      </c>
      <c r="HN16" s="141">
        <f t="shared" si="123"/>
        <v>2.09233</v>
      </c>
      <c r="HP16" s="152">
        <f t="shared" si="124"/>
        <v>149.58000000000001</v>
      </c>
    </row>
    <row r="17" spans="1:224" ht="24" x14ac:dyDescent="0.25">
      <c r="A17" s="12" t="s">
        <v>410</v>
      </c>
      <c r="B17" s="136">
        <f t="shared" si="52"/>
        <v>0</v>
      </c>
      <c r="C17" s="136">
        <f t="shared" si="53"/>
        <v>0</v>
      </c>
      <c r="D17" s="136">
        <f t="shared" si="54"/>
        <v>0</v>
      </c>
      <c r="E17" s="136">
        <f t="shared" si="125"/>
        <v>0</v>
      </c>
      <c r="F17" s="136">
        <f t="shared" si="55"/>
        <v>0</v>
      </c>
      <c r="G17" s="69">
        <v>76.900000000000006</v>
      </c>
      <c r="H17" s="67">
        <v>800</v>
      </c>
      <c r="I17" s="68">
        <f t="shared" si="56"/>
        <v>61520</v>
      </c>
      <c r="J17" s="380"/>
      <c r="K17" s="380"/>
      <c r="L17" s="380"/>
      <c r="M17" s="380"/>
      <c r="N17" s="381"/>
      <c r="O17" s="68">
        <f t="shared" si="57"/>
        <v>0</v>
      </c>
      <c r="P17" s="10">
        <v>12</v>
      </c>
      <c r="Q17" s="161">
        <v>14410</v>
      </c>
      <c r="R17" s="273">
        <v>1.01</v>
      </c>
      <c r="S17" s="275">
        <f t="shared" si="58"/>
        <v>14554</v>
      </c>
      <c r="T17" s="117">
        <v>1.302</v>
      </c>
      <c r="U17" s="119">
        <f t="shared" si="0"/>
        <v>1.47617</v>
      </c>
      <c r="V17" s="118">
        <v>0</v>
      </c>
      <c r="W17" s="119">
        <f t="shared" si="1"/>
        <v>0.29274</v>
      </c>
      <c r="X17" s="119">
        <f t="shared" si="1"/>
        <v>0.45841999999999999</v>
      </c>
      <c r="Y17" s="118">
        <v>0</v>
      </c>
      <c r="Z17" s="119">
        <f t="shared" si="59"/>
        <v>0</v>
      </c>
      <c r="AA17" s="119">
        <f t="shared" si="2"/>
        <v>1.1776</v>
      </c>
      <c r="AB17" s="119">
        <f t="shared" si="2"/>
        <v>1.1232899999999999</v>
      </c>
      <c r="AC17" s="119">
        <f t="shared" si="60"/>
        <v>0</v>
      </c>
      <c r="AD17" s="122">
        <f t="shared" si="3"/>
        <v>8.1689999999999999E-2</v>
      </c>
      <c r="AE17" s="123">
        <f t="shared" si="126"/>
        <v>0</v>
      </c>
      <c r="AF17" s="162">
        <v>44638.5</v>
      </c>
      <c r="AG17" s="139">
        <f t="shared" si="4"/>
        <v>23154.32</v>
      </c>
      <c r="AH17" s="143">
        <f t="shared" si="5"/>
        <v>0</v>
      </c>
      <c r="AI17" s="123">
        <f t="shared" si="61"/>
        <v>0</v>
      </c>
      <c r="AJ17" s="154">
        <f t="shared" si="62"/>
        <v>0</v>
      </c>
      <c r="AK17" s="141">
        <f t="shared" si="63"/>
        <v>0</v>
      </c>
      <c r="AM17" s="136">
        <f t="shared" si="64"/>
        <v>0</v>
      </c>
      <c r="AN17" s="136">
        <f t="shared" si="65"/>
        <v>0</v>
      </c>
      <c r="AO17" s="136">
        <f t="shared" si="66"/>
        <v>0</v>
      </c>
      <c r="AP17" s="136">
        <f t="shared" si="127"/>
        <v>0</v>
      </c>
      <c r="AQ17" s="136">
        <f t="shared" si="67"/>
        <v>0</v>
      </c>
      <c r="AR17" s="69">
        <v>76.900000000000006</v>
      </c>
      <c r="AS17" s="67">
        <v>800</v>
      </c>
      <c r="AT17" s="68">
        <f t="shared" si="68"/>
        <v>61520</v>
      </c>
      <c r="AU17" s="380"/>
      <c r="AV17" s="380"/>
      <c r="AW17" s="380"/>
      <c r="AX17" s="380"/>
      <c r="AY17" s="381"/>
      <c r="AZ17" s="68">
        <f t="shared" si="69"/>
        <v>0</v>
      </c>
      <c r="BA17" s="10">
        <v>12</v>
      </c>
      <c r="BB17" s="384">
        <f t="shared" si="6"/>
        <v>14410</v>
      </c>
      <c r="BC17" s="388">
        <f t="shared" si="7"/>
        <v>1.01</v>
      </c>
      <c r="BD17" s="275">
        <f t="shared" si="70"/>
        <v>14554</v>
      </c>
      <c r="BE17" s="117">
        <v>1.302</v>
      </c>
      <c r="BF17" s="119">
        <f t="shared" si="8"/>
        <v>1.38046</v>
      </c>
      <c r="BG17" s="118">
        <v>0</v>
      </c>
      <c r="BH17" s="119">
        <f t="shared" si="9"/>
        <v>0.43123</v>
      </c>
      <c r="BI17" s="119">
        <f t="shared" si="9"/>
        <v>0.66134000000000004</v>
      </c>
      <c r="BJ17" s="118">
        <v>0</v>
      </c>
      <c r="BK17" s="119">
        <f t="shared" si="71"/>
        <v>0</v>
      </c>
      <c r="BL17" s="119">
        <f t="shared" si="10"/>
        <v>1.2245299999999999</v>
      </c>
      <c r="BM17" s="119">
        <f t="shared" si="10"/>
        <v>1.1232899999999999</v>
      </c>
      <c r="BN17" s="119">
        <f t="shared" si="72"/>
        <v>0</v>
      </c>
      <c r="BO17" s="122">
        <f t="shared" si="11"/>
        <v>0.10316</v>
      </c>
      <c r="BP17" s="123">
        <f t="shared" si="128"/>
        <v>0</v>
      </c>
      <c r="BQ17" s="387">
        <f t="shared" si="12"/>
        <v>44638.5</v>
      </c>
      <c r="BR17" s="139">
        <f t="shared" si="13"/>
        <v>24547.29</v>
      </c>
      <c r="BS17" s="143">
        <f t="shared" si="14"/>
        <v>0</v>
      </c>
      <c r="BT17" s="123">
        <f t="shared" si="73"/>
        <v>0</v>
      </c>
      <c r="BU17" s="154">
        <f t="shared" si="74"/>
        <v>0</v>
      </c>
      <c r="BV17" s="141">
        <f t="shared" si="75"/>
        <v>0</v>
      </c>
      <c r="BX17" s="136">
        <f t="shared" si="76"/>
        <v>0</v>
      </c>
      <c r="BY17" s="136">
        <f t="shared" si="77"/>
        <v>0</v>
      </c>
      <c r="BZ17" s="136">
        <f t="shared" si="78"/>
        <v>0</v>
      </c>
      <c r="CA17" s="136">
        <f t="shared" si="129"/>
        <v>0</v>
      </c>
      <c r="CB17" s="136">
        <f t="shared" si="79"/>
        <v>0</v>
      </c>
      <c r="CC17" s="69">
        <v>76.900000000000006</v>
      </c>
      <c r="CD17" s="67">
        <v>800</v>
      </c>
      <c r="CE17" s="68">
        <f t="shared" si="80"/>
        <v>61520</v>
      </c>
      <c r="CF17" s="380"/>
      <c r="CG17" s="380"/>
      <c r="CH17" s="380"/>
      <c r="CI17" s="380"/>
      <c r="CJ17" s="381"/>
      <c r="CK17" s="68">
        <f t="shared" si="81"/>
        <v>0</v>
      </c>
      <c r="CL17" s="10">
        <v>12</v>
      </c>
      <c r="CM17" s="384">
        <f t="shared" si="15"/>
        <v>14410</v>
      </c>
      <c r="CN17" s="388">
        <f t="shared" si="16"/>
        <v>1.01</v>
      </c>
      <c r="CO17" s="275">
        <f t="shared" si="82"/>
        <v>14554</v>
      </c>
      <c r="CP17" s="117">
        <v>1.302</v>
      </c>
      <c r="CQ17" s="119">
        <f t="shared" si="17"/>
        <v>1.34843</v>
      </c>
      <c r="CR17" s="118">
        <v>0</v>
      </c>
      <c r="CS17" s="119">
        <f t="shared" si="18"/>
        <v>0.33637</v>
      </c>
      <c r="CT17" s="119">
        <f t="shared" si="18"/>
        <v>0.65883000000000003</v>
      </c>
      <c r="CU17" s="118">
        <v>0</v>
      </c>
      <c r="CV17" s="119">
        <f t="shared" si="83"/>
        <v>0</v>
      </c>
      <c r="CW17" s="119">
        <f t="shared" si="19"/>
        <v>1.4220999999999999</v>
      </c>
      <c r="CX17" s="119">
        <f t="shared" si="19"/>
        <v>1.1232899999999999</v>
      </c>
      <c r="CY17" s="119">
        <f t="shared" si="84"/>
        <v>0</v>
      </c>
      <c r="CZ17" s="122">
        <f t="shared" si="20"/>
        <v>0.32107000000000002</v>
      </c>
      <c r="DA17" s="123">
        <f t="shared" si="130"/>
        <v>0</v>
      </c>
      <c r="DB17" s="387">
        <f t="shared" si="21"/>
        <v>44638.5</v>
      </c>
      <c r="DC17" s="139">
        <f t="shared" si="22"/>
        <v>25013.45</v>
      </c>
      <c r="DD17" s="143">
        <f t="shared" si="23"/>
        <v>0</v>
      </c>
      <c r="DE17" s="123">
        <f t="shared" si="85"/>
        <v>0</v>
      </c>
      <c r="DF17" s="154">
        <f t="shared" si="86"/>
        <v>0</v>
      </c>
      <c r="DG17" s="141">
        <f t="shared" si="87"/>
        <v>0</v>
      </c>
      <c r="DI17" s="136">
        <f t="shared" si="88"/>
        <v>0</v>
      </c>
      <c r="DJ17" s="136">
        <f t="shared" si="89"/>
        <v>0</v>
      </c>
      <c r="DK17" s="136">
        <f t="shared" si="90"/>
        <v>0</v>
      </c>
      <c r="DL17" s="136">
        <f t="shared" si="131"/>
        <v>0</v>
      </c>
      <c r="DM17" s="136">
        <f t="shared" si="91"/>
        <v>0</v>
      </c>
      <c r="DN17" s="69">
        <v>76.900000000000006</v>
      </c>
      <c r="DO17" s="67">
        <v>800</v>
      </c>
      <c r="DP17" s="68">
        <f t="shared" si="92"/>
        <v>61520</v>
      </c>
      <c r="DQ17" s="380"/>
      <c r="DR17" s="380"/>
      <c r="DS17" s="380"/>
      <c r="DT17" s="380"/>
      <c r="DU17" s="381"/>
      <c r="DV17" s="68">
        <f t="shared" si="93"/>
        <v>0</v>
      </c>
      <c r="DW17" s="10">
        <v>12</v>
      </c>
      <c r="DX17" s="384">
        <f t="shared" si="24"/>
        <v>14410</v>
      </c>
      <c r="DY17" s="388">
        <f t="shared" si="25"/>
        <v>1.01</v>
      </c>
      <c r="DZ17" s="275">
        <f t="shared" si="94"/>
        <v>14554</v>
      </c>
      <c r="EA17" s="117">
        <v>1.302</v>
      </c>
      <c r="EB17" s="119">
        <f t="shared" si="26"/>
        <v>1.35737</v>
      </c>
      <c r="EC17" s="118">
        <v>0</v>
      </c>
      <c r="ED17" s="119">
        <f t="shared" si="27"/>
        <v>0.22051999999999999</v>
      </c>
      <c r="EE17" s="119">
        <f t="shared" si="27"/>
        <v>0.73350000000000004</v>
      </c>
      <c r="EF17" s="118">
        <v>0</v>
      </c>
      <c r="EG17" s="119">
        <f t="shared" si="95"/>
        <v>0</v>
      </c>
      <c r="EH17" s="119">
        <f t="shared" si="28"/>
        <v>1.2033499999999999</v>
      </c>
      <c r="EI17" s="119">
        <f t="shared" si="28"/>
        <v>1.1232899999999999</v>
      </c>
      <c r="EJ17" s="119">
        <f t="shared" si="96"/>
        <v>0</v>
      </c>
      <c r="EK17" s="122">
        <f t="shared" si="29"/>
        <v>0.17288999999999999</v>
      </c>
      <c r="EL17" s="123">
        <f t="shared" si="132"/>
        <v>0</v>
      </c>
      <c r="EM17" s="387">
        <f t="shared" si="30"/>
        <v>44638.5</v>
      </c>
      <c r="EN17" s="139">
        <f t="shared" si="31"/>
        <v>24883.34</v>
      </c>
      <c r="EO17" s="143">
        <f t="shared" si="32"/>
        <v>0</v>
      </c>
      <c r="EP17" s="123">
        <f t="shared" si="97"/>
        <v>0</v>
      </c>
      <c r="EQ17" s="154">
        <f t="shared" si="98"/>
        <v>0</v>
      </c>
      <c r="ER17" s="141">
        <f t="shared" si="99"/>
        <v>0</v>
      </c>
      <c r="ET17" s="136">
        <f t="shared" si="100"/>
        <v>0</v>
      </c>
      <c r="EU17" s="136">
        <f t="shared" si="101"/>
        <v>0</v>
      </c>
      <c r="EV17" s="136">
        <f t="shared" si="102"/>
        <v>0</v>
      </c>
      <c r="EW17" s="136">
        <f t="shared" si="133"/>
        <v>0</v>
      </c>
      <c r="EX17" s="136">
        <f t="shared" si="103"/>
        <v>0</v>
      </c>
      <c r="EY17" s="69">
        <v>76.900000000000006</v>
      </c>
      <c r="EZ17" s="67">
        <v>800</v>
      </c>
      <c r="FA17" s="68">
        <f t="shared" si="104"/>
        <v>61520</v>
      </c>
      <c r="FB17" s="380"/>
      <c r="FC17" s="380"/>
      <c r="FD17" s="380"/>
      <c r="FE17" s="380"/>
      <c r="FF17" s="381"/>
      <c r="FG17" s="68">
        <f t="shared" si="105"/>
        <v>0</v>
      </c>
      <c r="FH17" s="10">
        <v>12</v>
      </c>
      <c r="FI17" s="384">
        <f t="shared" si="33"/>
        <v>14410</v>
      </c>
      <c r="FJ17" s="388">
        <f t="shared" si="34"/>
        <v>1.01</v>
      </c>
      <c r="FK17" s="275">
        <f t="shared" si="106"/>
        <v>14554</v>
      </c>
      <c r="FL17" s="117">
        <v>1.302</v>
      </c>
      <c r="FM17" s="119">
        <f t="shared" si="35"/>
        <v>1.32193</v>
      </c>
      <c r="FN17" s="118">
        <v>0</v>
      </c>
      <c r="FO17" s="119">
        <f t="shared" si="36"/>
        <v>0.21695999999999999</v>
      </c>
      <c r="FP17" s="119">
        <f t="shared" si="36"/>
        <v>0.97809999999999997</v>
      </c>
      <c r="FQ17" s="118">
        <v>0</v>
      </c>
      <c r="FR17" s="119">
        <f t="shared" si="107"/>
        <v>0</v>
      </c>
      <c r="FS17" s="119">
        <f t="shared" si="37"/>
        <v>1.0935600000000001</v>
      </c>
      <c r="FT17" s="119">
        <f t="shared" si="37"/>
        <v>1.1232899999999999</v>
      </c>
      <c r="FU17" s="119">
        <f t="shared" si="108"/>
        <v>0</v>
      </c>
      <c r="FV17" s="122">
        <f t="shared" si="38"/>
        <v>0</v>
      </c>
      <c r="FW17" s="123">
        <f t="shared" si="134"/>
        <v>0</v>
      </c>
      <c r="FX17" s="387">
        <f t="shared" si="39"/>
        <v>44638.5</v>
      </c>
      <c r="FY17" s="139">
        <f t="shared" si="40"/>
        <v>25399.13</v>
      </c>
      <c r="FZ17" s="143">
        <f t="shared" si="41"/>
        <v>0</v>
      </c>
      <c r="GA17" s="123">
        <f t="shared" si="109"/>
        <v>0</v>
      </c>
      <c r="GB17" s="154">
        <f t="shared" si="110"/>
        <v>0</v>
      </c>
      <c r="GC17" s="141">
        <f t="shared" si="111"/>
        <v>0</v>
      </c>
      <c r="GE17" s="136">
        <f t="shared" si="112"/>
        <v>0</v>
      </c>
      <c r="GF17" s="136">
        <f t="shared" si="113"/>
        <v>0</v>
      </c>
      <c r="GG17" s="136">
        <f t="shared" si="114"/>
        <v>0</v>
      </c>
      <c r="GH17" s="136">
        <f t="shared" si="135"/>
        <v>0</v>
      </c>
      <c r="GI17" s="136">
        <f t="shared" si="115"/>
        <v>0</v>
      </c>
      <c r="GJ17" s="69">
        <v>76.900000000000006</v>
      </c>
      <c r="GK17" s="67">
        <v>800</v>
      </c>
      <c r="GL17" s="68">
        <f t="shared" si="116"/>
        <v>61520</v>
      </c>
      <c r="GM17" s="228">
        <f t="shared" si="136"/>
        <v>0</v>
      </c>
      <c r="GN17" s="228">
        <f t="shared" si="136"/>
        <v>0</v>
      </c>
      <c r="GO17" s="228">
        <f t="shared" si="136"/>
        <v>0</v>
      </c>
      <c r="GP17" s="159" t="s">
        <v>471</v>
      </c>
      <c r="GQ17" s="230">
        <f t="shared" si="137"/>
        <v>0</v>
      </c>
      <c r="GR17" s="68">
        <f t="shared" si="117"/>
        <v>0</v>
      </c>
      <c r="GS17" s="10">
        <v>12</v>
      </c>
      <c r="GT17" s="384">
        <f t="shared" si="43"/>
        <v>14410</v>
      </c>
      <c r="GU17" s="388">
        <f t="shared" si="44"/>
        <v>1.01</v>
      </c>
      <c r="GV17" s="275">
        <f t="shared" si="118"/>
        <v>14554</v>
      </c>
      <c r="GW17" s="117">
        <v>1.302</v>
      </c>
      <c r="GX17" s="119">
        <f t="shared" si="45"/>
        <v>1.4064300000000001</v>
      </c>
      <c r="GY17" s="118">
        <v>0</v>
      </c>
      <c r="GZ17" s="119">
        <f t="shared" si="46"/>
        <v>0.32916000000000001</v>
      </c>
      <c r="HA17" s="119">
        <f t="shared" si="46"/>
        <v>0.59841999999999995</v>
      </c>
      <c r="HB17" s="118">
        <v>0</v>
      </c>
      <c r="HC17" s="119">
        <f t="shared" si="119"/>
        <v>0</v>
      </c>
      <c r="HD17" s="119">
        <f t="shared" si="47"/>
        <v>1.24295</v>
      </c>
      <c r="HE17" s="119">
        <f t="shared" si="47"/>
        <v>1.1232899999999999</v>
      </c>
      <c r="HF17" s="119">
        <f t="shared" si="120"/>
        <v>0</v>
      </c>
      <c r="HG17" s="122">
        <f t="shared" si="48"/>
        <v>0.13783999999999999</v>
      </c>
      <c r="HH17" s="123">
        <f t="shared" si="138"/>
        <v>0</v>
      </c>
      <c r="HI17" s="387">
        <f t="shared" si="49"/>
        <v>44638.5</v>
      </c>
      <c r="HJ17" s="139">
        <f t="shared" si="50"/>
        <v>24169.32</v>
      </c>
      <c r="HK17" s="143">
        <f t="shared" si="51"/>
        <v>0</v>
      </c>
      <c r="HL17" s="123">
        <f t="shared" si="121"/>
        <v>0</v>
      </c>
      <c r="HM17" s="154">
        <f t="shared" si="122"/>
        <v>0</v>
      </c>
      <c r="HN17" s="141">
        <f t="shared" si="123"/>
        <v>0</v>
      </c>
      <c r="HP17" s="152">
        <f t="shared" si="124"/>
        <v>0</v>
      </c>
    </row>
    <row r="18" spans="1:224" ht="24" x14ac:dyDescent="0.25">
      <c r="A18" s="12" t="s">
        <v>805</v>
      </c>
      <c r="B18" s="136">
        <f t="shared" si="52"/>
        <v>0</v>
      </c>
      <c r="C18" s="136">
        <f t="shared" si="53"/>
        <v>0</v>
      </c>
      <c r="D18" s="136">
        <f t="shared" si="54"/>
        <v>0</v>
      </c>
      <c r="E18" s="136">
        <f t="shared" si="125"/>
        <v>0</v>
      </c>
      <c r="F18" s="136">
        <f t="shared" si="55"/>
        <v>0</v>
      </c>
      <c r="G18" s="69">
        <v>76.900000000000006</v>
      </c>
      <c r="H18" s="67">
        <v>800</v>
      </c>
      <c r="I18" s="68">
        <f t="shared" si="56"/>
        <v>61520</v>
      </c>
      <c r="J18" s="380">
        <f>'1.4. часы и места для МЗ и СЗ'!Z26</f>
        <v>0</v>
      </c>
      <c r="K18" s="380">
        <f>'1.4. часы и места для МЗ и СЗ'!AA26</f>
        <v>0</v>
      </c>
      <c r="L18" s="380">
        <f>'1.4. часы и места для МЗ и СЗ'!AB26</f>
        <v>0</v>
      </c>
      <c r="M18" s="380">
        <f>'1.4. часы и места для МЗ и СЗ'!AC26</f>
        <v>44</v>
      </c>
      <c r="N18" s="381">
        <f>'1.4. часы и места для МЗ и СЗ'!AD26</f>
        <v>0</v>
      </c>
      <c r="O18" s="68">
        <f t="shared" si="57"/>
        <v>0</v>
      </c>
      <c r="P18" s="10">
        <v>12</v>
      </c>
      <c r="Q18" s="161">
        <v>14410</v>
      </c>
      <c r="R18" s="273">
        <v>1.01</v>
      </c>
      <c r="S18" s="275">
        <f t="shared" si="58"/>
        <v>14554</v>
      </c>
      <c r="T18" s="117">
        <v>1.302</v>
      </c>
      <c r="U18" s="119">
        <f t="shared" si="0"/>
        <v>1.47617</v>
      </c>
      <c r="V18" s="118">
        <v>0</v>
      </c>
      <c r="W18" s="119">
        <f t="shared" si="1"/>
        <v>0.29274</v>
      </c>
      <c r="X18" s="119">
        <f t="shared" si="1"/>
        <v>0.45841999999999999</v>
      </c>
      <c r="Y18" s="118">
        <v>0</v>
      </c>
      <c r="Z18" s="119">
        <f t="shared" si="59"/>
        <v>0</v>
      </c>
      <c r="AA18" s="119">
        <f t="shared" si="2"/>
        <v>1.1776</v>
      </c>
      <c r="AB18" s="119">
        <f t="shared" si="2"/>
        <v>1.1232899999999999</v>
      </c>
      <c r="AC18" s="119">
        <f t="shared" si="60"/>
        <v>0</v>
      </c>
      <c r="AD18" s="122">
        <f t="shared" si="3"/>
        <v>8.1689999999999999E-2</v>
      </c>
      <c r="AE18" s="123">
        <f t="shared" si="126"/>
        <v>0</v>
      </c>
      <c r="AF18" s="162">
        <v>44638.5</v>
      </c>
      <c r="AG18" s="139">
        <f t="shared" si="4"/>
        <v>23154.32</v>
      </c>
      <c r="AH18" s="143">
        <f t="shared" si="5"/>
        <v>0</v>
      </c>
      <c r="AI18" s="123">
        <f t="shared" si="61"/>
        <v>0</v>
      </c>
      <c r="AJ18" s="154">
        <f t="shared" si="62"/>
        <v>0</v>
      </c>
      <c r="AK18" s="141">
        <f t="shared" si="63"/>
        <v>0</v>
      </c>
      <c r="AM18" s="136">
        <f t="shared" si="64"/>
        <v>87.93</v>
      </c>
      <c r="AN18" s="136">
        <f t="shared" si="65"/>
        <v>39.93</v>
      </c>
      <c r="AO18" s="136">
        <f t="shared" si="66"/>
        <v>19.079999999999998</v>
      </c>
      <c r="AP18" s="136">
        <f t="shared" si="127"/>
        <v>20.85</v>
      </c>
      <c r="AQ18" s="136">
        <f t="shared" si="67"/>
        <v>1.97</v>
      </c>
      <c r="AR18" s="69">
        <v>76.900000000000006</v>
      </c>
      <c r="AS18" s="67">
        <v>800</v>
      </c>
      <c r="AT18" s="68">
        <f t="shared" si="68"/>
        <v>61520</v>
      </c>
      <c r="AU18" s="380">
        <f>'1.4. часы и места для МЗ и СЗ'!Z65</f>
        <v>31416</v>
      </c>
      <c r="AV18" s="380">
        <f>'1.4. часы и места для МЗ и СЗ'!AA65</f>
        <v>238</v>
      </c>
      <c r="AW18" s="380">
        <f>'1.4. часы и места для МЗ и СЗ'!AB65</f>
        <v>8</v>
      </c>
      <c r="AX18" s="380">
        <f>'1.4. часы и места для МЗ и СЗ'!AC65</f>
        <v>44</v>
      </c>
      <c r="AY18" s="381">
        <f>'1.4. часы и места для МЗ и СЗ'!AD65</f>
        <v>1.38</v>
      </c>
      <c r="AZ18" s="68">
        <f t="shared" si="69"/>
        <v>39</v>
      </c>
      <c r="BA18" s="10">
        <v>12</v>
      </c>
      <c r="BB18" s="384">
        <f t="shared" si="6"/>
        <v>14410</v>
      </c>
      <c r="BC18" s="388">
        <f t="shared" si="7"/>
        <v>1.01</v>
      </c>
      <c r="BD18" s="275">
        <f t="shared" si="70"/>
        <v>14554</v>
      </c>
      <c r="BE18" s="117">
        <v>1.302</v>
      </c>
      <c r="BF18" s="119">
        <f t="shared" si="8"/>
        <v>1.38046</v>
      </c>
      <c r="BG18" s="118">
        <v>0</v>
      </c>
      <c r="BH18" s="119">
        <f t="shared" si="9"/>
        <v>0.43123</v>
      </c>
      <c r="BI18" s="119">
        <f t="shared" si="9"/>
        <v>0.66134000000000004</v>
      </c>
      <c r="BJ18" s="118">
        <v>0</v>
      </c>
      <c r="BK18" s="119">
        <f t="shared" si="71"/>
        <v>2.71</v>
      </c>
      <c r="BL18" s="119">
        <f t="shared" si="10"/>
        <v>1.2245299999999999</v>
      </c>
      <c r="BM18" s="119">
        <f t="shared" si="10"/>
        <v>1.1232899999999999</v>
      </c>
      <c r="BN18" s="119">
        <f t="shared" si="72"/>
        <v>1.9717899999999999</v>
      </c>
      <c r="BO18" s="122">
        <f t="shared" si="11"/>
        <v>0.10316</v>
      </c>
      <c r="BP18" s="123">
        <f t="shared" si="128"/>
        <v>1316330</v>
      </c>
      <c r="BQ18" s="387">
        <f t="shared" si="12"/>
        <v>44638.5</v>
      </c>
      <c r="BR18" s="139">
        <f t="shared" si="13"/>
        <v>24547.29</v>
      </c>
      <c r="BS18" s="143">
        <f t="shared" si="14"/>
        <v>3.9647239999999999</v>
      </c>
      <c r="BT18" s="123">
        <f t="shared" si="73"/>
        <v>1520578</v>
      </c>
      <c r="BU18" s="154">
        <f t="shared" si="74"/>
        <v>48</v>
      </c>
      <c r="BV18" s="141">
        <f t="shared" si="75"/>
        <v>3.51572</v>
      </c>
      <c r="BX18" s="136">
        <f t="shared" si="76"/>
        <v>0</v>
      </c>
      <c r="BY18" s="136">
        <f t="shared" si="77"/>
        <v>0</v>
      </c>
      <c r="BZ18" s="136">
        <f t="shared" si="78"/>
        <v>0</v>
      </c>
      <c r="CA18" s="136">
        <f t="shared" si="129"/>
        <v>0</v>
      </c>
      <c r="CB18" s="136">
        <f t="shared" si="79"/>
        <v>0</v>
      </c>
      <c r="CC18" s="69">
        <v>76.900000000000006</v>
      </c>
      <c r="CD18" s="67">
        <v>800</v>
      </c>
      <c r="CE18" s="68">
        <f t="shared" si="80"/>
        <v>61520</v>
      </c>
      <c r="CF18" s="380">
        <f>'1.4. часы и места для МЗ и СЗ'!Z78</f>
        <v>0</v>
      </c>
      <c r="CG18" s="380">
        <f>'1.4. часы и места для МЗ и СЗ'!AA78</f>
        <v>0</v>
      </c>
      <c r="CH18" s="380">
        <f>'1.4. часы и места для МЗ и СЗ'!AB78</f>
        <v>0</v>
      </c>
      <c r="CI18" s="380">
        <f>'1.4. часы и места для МЗ и СЗ'!AC78</f>
        <v>44</v>
      </c>
      <c r="CJ18" s="381">
        <f>'1.4. часы и места для МЗ и СЗ'!AD78</f>
        <v>0</v>
      </c>
      <c r="CK18" s="68">
        <f t="shared" si="81"/>
        <v>0</v>
      </c>
      <c r="CL18" s="10">
        <v>12</v>
      </c>
      <c r="CM18" s="384">
        <f t="shared" si="15"/>
        <v>14410</v>
      </c>
      <c r="CN18" s="388">
        <f t="shared" si="16"/>
        <v>1.01</v>
      </c>
      <c r="CO18" s="275">
        <f t="shared" si="82"/>
        <v>14554</v>
      </c>
      <c r="CP18" s="117">
        <v>1.302</v>
      </c>
      <c r="CQ18" s="119">
        <f t="shared" si="17"/>
        <v>1.34843</v>
      </c>
      <c r="CR18" s="118">
        <v>0</v>
      </c>
      <c r="CS18" s="119">
        <f t="shared" si="18"/>
        <v>0.33637</v>
      </c>
      <c r="CT18" s="119">
        <f t="shared" si="18"/>
        <v>0.65883000000000003</v>
      </c>
      <c r="CU18" s="118">
        <v>0</v>
      </c>
      <c r="CV18" s="119">
        <f t="shared" si="83"/>
        <v>0</v>
      </c>
      <c r="CW18" s="119">
        <f t="shared" si="19"/>
        <v>1.4220999999999999</v>
      </c>
      <c r="CX18" s="119">
        <f t="shared" si="19"/>
        <v>1.1232899999999999</v>
      </c>
      <c r="CY18" s="119">
        <f t="shared" si="84"/>
        <v>0</v>
      </c>
      <c r="CZ18" s="122">
        <f t="shared" si="20"/>
        <v>0.32107000000000002</v>
      </c>
      <c r="DA18" s="123">
        <f t="shared" si="130"/>
        <v>0</v>
      </c>
      <c r="DB18" s="387">
        <f t="shared" si="21"/>
        <v>44638.5</v>
      </c>
      <c r="DC18" s="139">
        <f t="shared" si="22"/>
        <v>25013.45</v>
      </c>
      <c r="DD18" s="143">
        <f t="shared" si="23"/>
        <v>0</v>
      </c>
      <c r="DE18" s="123">
        <f t="shared" si="85"/>
        <v>0</v>
      </c>
      <c r="DF18" s="154">
        <f t="shared" si="86"/>
        <v>0</v>
      </c>
      <c r="DG18" s="141">
        <f t="shared" si="87"/>
        <v>0</v>
      </c>
      <c r="DI18" s="136">
        <f t="shared" si="88"/>
        <v>0</v>
      </c>
      <c r="DJ18" s="136">
        <f t="shared" si="89"/>
        <v>0</v>
      </c>
      <c r="DK18" s="136">
        <f t="shared" si="90"/>
        <v>0</v>
      </c>
      <c r="DL18" s="136">
        <f t="shared" si="131"/>
        <v>0</v>
      </c>
      <c r="DM18" s="136">
        <f t="shared" si="91"/>
        <v>0</v>
      </c>
      <c r="DN18" s="69">
        <v>76.900000000000006</v>
      </c>
      <c r="DO18" s="67">
        <v>800</v>
      </c>
      <c r="DP18" s="68">
        <f t="shared" si="92"/>
        <v>61520</v>
      </c>
      <c r="DQ18" s="380">
        <f>'1.4. часы и места для МЗ и СЗ'!Z39</f>
        <v>0</v>
      </c>
      <c r="DR18" s="380">
        <f>'1.4. часы и места для МЗ и СЗ'!AA39</f>
        <v>0</v>
      </c>
      <c r="DS18" s="380">
        <f>'1.4. часы и места для МЗ и СЗ'!AB39</f>
        <v>0</v>
      </c>
      <c r="DT18" s="380">
        <f>'1.4. часы и места для МЗ и СЗ'!AC39</f>
        <v>44</v>
      </c>
      <c r="DU18" s="381">
        <f>'1.4. часы и места для МЗ и СЗ'!AD39</f>
        <v>0</v>
      </c>
      <c r="DV18" s="68">
        <f t="shared" si="93"/>
        <v>0</v>
      </c>
      <c r="DW18" s="10">
        <v>12</v>
      </c>
      <c r="DX18" s="384">
        <f t="shared" si="24"/>
        <v>14410</v>
      </c>
      <c r="DY18" s="388">
        <f t="shared" si="25"/>
        <v>1.01</v>
      </c>
      <c r="DZ18" s="275">
        <f t="shared" si="94"/>
        <v>14554</v>
      </c>
      <c r="EA18" s="117">
        <v>1.302</v>
      </c>
      <c r="EB18" s="119">
        <f t="shared" si="26"/>
        <v>1.35737</v>
      </c>
      <c r="EC18" s="118">
        <v>0</v>
      </c>
      <c r="ED18" s="119">
        <f t="shared" si="27"/>
        <v>0.22051999999999999</v>
      </c>
      <c r="EE18" s="119">
        <f t="shared" si="27"/>
        <v>0.73350000000000004</v>
      </c>
      <c r="EF18" s="118">
        <v>0</v>
      </c>
      <c r="EG18" s="119">
        <f t="shared" si="95"/>
        <v>0</v>
      </c>
      <c r="EH18" s="119">
        <f t="shared" si="28"/>
        <v>1.2033499999999999</v>
      </c>
      <c r="EI18" s="119">
        <f t="shared" si="28"/>
        <v>1.1232899999999999</v>
      </c>
      <c r="EJ18" s="119">
        <f t="shared" si="96"/>
        <v>0</v>
      </c>
      <c r="EK18" s="122">
        <f t="shared" si="29"/>
        <v>0.17288999999999999</v>
      </c>
      <c r="EL18" s="123">
        <f t="shared" si="132"/>
        <v>0</v>
      </c>
      <c r="EM18" s="387">
        <f t="shared" si="30"/>
        <v>44638.5</v>
      </c>
      <c r="EN18" s="139">
        <f t="shared" si="31"/>
        <v>24883.34</v>
      </c>
      <c r="EO18" s="143">
        <f t="shared" si="32"/>
        <v>0</v>
      </c>
      <c r="EP18" s="123">
        <f t="shared" si="97"/>
        <v>0</v>
      </c>
      <c r="EQ18" s="154">
        <f t="shared" si="98"/>
        <v>0</v>
      </c>
      <c r="ER18" s="141">
        <f t="shared" si="99"/>
        <v>0</v>
      </c>
      <c r="ET18" s="136">
        <f t="shared" si="100"/>
        <v>0</v>
      </c>
      <c r="EU18" s="136">
        <f t="shared" si="101"/>
        <v>0</v>
      </c>
      <c r="EV18" s="136">
        <f t="shared" si="102"/>
        <v>0</v>
      </c>
      <c r="EW18" s="136">
        <f t="shared" si="133"/>
        <v>0</v>
      </c>
      <c r="EX18" s="136">
        <f t="shared" si="103"/>
        <v>0</v>
      </c>
      <c r="EY18" s="69">
        <v>76.900000000000006</v>
      </c>
      <c r="EZ18" s="67">
        <v>800</v>
      </c>
      <c r="FA18" s="68">
        <f t="shared" si="104"/>
        <v>61520</v>
      </c>
      <c r="FB18" s="380">
        <f>'1.4. часы и места для МЗ и СЗ'!Z52</f>
        <v>0</v>
      </c>
      <c r="FC18" s="380">
        <f>'1.4. часы и места для МЗ и СЗ'!AA52</f>
        <v>0</v>
      </c>
      <c r="FD18" s="380">
        <f>'1.4. часы и места для МЗ и СЗ'!AB52</f>
        <v>0</v>
      </c>
      <c r="FE18" s="380">
        <f>'1.4. часы и места для МЗ и СЗ'!AC52</f>
        <v>44</v>
      </c>
      <c r="FF18" s="381">
        <f>'1.4. часы и места для МЗ и СЗ'!AD52</f>
        <v>0</v>
      </c>
      <c r="FG18" s="68">
        <f t="shared" si="105"/>
        <v>0</v>
      </c>
      <c r="FH18" s="10">
        <v>12</v>
      </c>
      <c r="FI18" s="384">
        <f t="shared" si="33"/>
        <v>14410</v>
      </c>
      <c r="FJ18" s="388">
        <f t="shared" si="34"/>
        <v>1.01</v>
      </c>
      <c r="FK18" s="275">
        <f t="shared" si="106"/>
        <v>14554</v>
      </c>
      <c r="FL18" s="117">
        <v>1.302</v>
      </c>
      <c r="FM18" s="119">
        <f t="shared" si="35"/>
        <v>1.32193</v>
      </c>
      <c r="FN18" s="118">
        <v>0</v>
      </c>
      <c r="FO18" s="119">
        <f t="shared" si="36"/>
        <v>0.21695999999999999</v>
      </c>
      <c r="FP18" s="119">
        <f t="shared" si="36"/>
        <v>0.97809999999999997</v>
      </c>
      <c r="FQ18" s="118">
        <v>0</v>
      </c>
      <c r="FR18" s="119">
        <f t="shared" si="107"/>
        <v>0</v>
      </c>
      <c r="FS18" s="119">
        <f t="shared" si="37"/>
        <v>1.0935600000000001</v>
      </c>
      <c r="FT18" s="119">
        <f t="shared" si="37"/>
        <v>1.1232899999999999</v>
      </c>
      <c r="FU18" s="119">
        <f t="shared" si="108"/>
        <v>0</v>
      </c>
      <c r="FV18" s="122">
        <f t="shared" si="38"/>
        <v>0</v>
      </c>
      <c r="FW18" s="123">
        <f t="shared" si="134"/>
        <v>0</v>
      </c>
      <c r="FX18" s="387">
        <f t="shared" si="39"/>
        <v>44638.5</v>
      </c>
      <c r="FY18" s="139">
        <f t="shared" si="40"/>
        <v>25399.13</v>
      </c>
      <c r="FZ18" s="143">
        <f t="shared" si="41"/>
        <v>0</v>
      </c>
      <c r="GA18" s="123">
        <f t="shared" si="109"/>
        <v>0</v>
      </c>
      <c r="GB18" s="154">
        <f t="shared" si="110"/>
        <v>0</v>
      </c>
      <c r="GC18" s="141">
        <f t="shared" si="111"/>
        <v>0</v>
      </c>
      <c r="GE18" s="136">
        <f t="shared" si="112"/>
        <v>80.03</v>
      </c>
      <c r="GF18" s="136">
        <f t="shared" si="113"/>
        <v>38.03</v>
      </c>
      <c r="GG18" s="136">
        <f t="shared" si="114"/>
        <v>19.73</v>
      </c>
      <c r="GH18" s="136">
        <f t="shared" si="135"/>
        <v>18.3</v>
      </c>
      <c r="GI18" s="136">
        <f t="shared" si="115"/>
        <v>2.72</v>
      </c>
      <c r="GJ18" s="69">
        <v>76.900000000000006</v>
      </c>
      <c r="GK18" s="67">
        <v>800</v>
      </c>
      <c r="GL18" s="68">
        <f t="shared" si="116"/>
        <v>61520</v>
      </c>
      <c r="GM18" s="228">
        <f t="shared" si="136"/>
        <v>31416</v>
      </c>
      <c r="GN18" s="228">
        <f t="shared" si="136"/>
        <v>238</v>
      </c>
      <c r="GO18" s="228">
        <f t="shared" si="136"/>
        <v>8</v>
      </c>
      <c r="GP18" s="159" t="s">
        <v>471</v>
      </c>
      <c r="GQ18" s="230">
        <f t="shared" si="137"/>
        <v>1.38</v>
      </c>
      <c r="GR18" s="68">
        <f t="shared" si="117"/>
        <v>39</v>
      </c>
      <c r="GS18" s="10">
        <v>12</v>
      </c>
      <c r="GT18" s="384">
        <f t="shared" si="43"/>
        <v>14410</v>
      </c>
      <c r="GU18" s="388">
        <f t="shared" si="44"/>
        <v>1.01</v>
      </c>
      <c r="GV18" s="275">
        <f t="shared" si="118"/>
        <v>14554</v>
      </c>
      <c r="GW18" s="117">
        <v>1.302</v>
      </c>
      <c r="GX18" s="119">
        <f t="shared" si="45"/>
        <v>1.4064300000000001</v>
      </c>
      <c r="GY18" s="118">
        <v>0</v>
      </c>
      <c r="GZ18" s="119">
        <f t="shared" si="46"/>
        <v>0.32916000000000001</v>
      </c>
      <c r="HA18" s="119">
        <f t="shared" si="46"/>
        <v>0.59841999999999995</v>
      </c>
      <c r="HB18" s="118">
        <v>0</v>
      </c>
      <c r="HC18" s="119">
        <f t="shared" si="119"/>
        <v>2.75</v>
      </c>
      <c r="HD18" s="119">
        <f t="shared" si="47"/>
        <v>1.24295</v>
      </c>
      <c r="HE18" s="119">
        <f t="shared" si="47"/>
        <v>1.1232899999999999</v>
      </c>
      <c r="HF18" s="119">
        <f t="shared" si="120"/>
        <v>1.9717899999999999</v>
      </c>
      <c r="HG18" s="122">
        <f t="shared" si="48"/>
        <v>0.13783999999999999</v>
      </c>
      <c r="HH18" s="123">
        <f t="shared" si="138"/>
        <v>1280202</v>
      </c>
      <c r="HI18" s="387">
        <f t="shared" si="49"/>
        <v>44638.5</v>
      </c>
      <c r="HJ18" s="139">
        <f t="shared" si="50"/>
        <v>24169.32</v>
      </c>
      <c r="HK18" s="143">
        <f t="shared" si="51"/>
        <v>3.5116749999999999</v>
      </c>
      <c r="HL18" s="123">
        <f t="shared" si="121"/>
        <v>1326084</v>
      </c>
      <c r="HM18" s="154">
        <f t="shared" si="122"/>
        <v>42</v>
      </c>
      <c r="HN18" s="141">
        <f t="shared" si="123"/>
        <v>3.1287400000000001</v>
      </c>
      <c r="HP18" s="152">
        <f t="shared" si="124"/>
        <v>24.84</v>
      </c>
    </row>
    <row r="19" spans="1:224" s="113" customFormat="1" ht="24" x14ac:dyDescent="0.25">
      <c r="A19" s="120" t="s">
        <v>54</v>
      </c>
      <c r="B19" s="135">
        <f t="shared" si="52"/>
        <v>153.97999999999999</v>
      </c>
      <c r="C19" s="135">
        <f t="shared" si="53"/>
        <v>107.98</v>
      </c>
      <c r="D19" s="135">
        <f t="shared" si="54"/>
        <v>61.66</v>
      </c>
      <c r="E19" s="135">
        <f t="shared" si="125"/>
        <v>46.32</v>
      </c>
      <c r="F19" s="135">
        <f t="shared" si="55"/>
        <v>5.04</v>
      </c>
      <c r="G19" s="124">
        <v>76.900000000000006</v>
      </c>
      <c r="H19" s="132">
        <v>800</v>
      </c>
      <c r="I19" s="133">
        <f t="shared" si="56"/>
        <v>61520</v>
      </c>
      <c r="J19" s="378">
        <f>'1.4. часы и места для МЗ и СЗ'!Z22</f>
        <v>272292</v>
      </c>
      <c r="K19" s="378">
        <f>'1.4. часы и места для МЗ и СЗ'!AA22</f>
        <v>2274</v>
      </c>
      <c r="L19" s="378">
        <f>'1.4. часы и места для МЗ и СЗ'!AB22</f>
        <v>167</v>
      </c>
      <c r="M19" s="378">
        <f>'1.4. часы и места для МЗ и СЗ'!AC22</f>
        <v>36</v>
      </c>
      <c r="N19" s="379">
        <f>'1.4. часы и места для МЗ и СЗ'!AD22</f>
        <v>37.67</v>
      </c>
      <c r="O19" s="133">
        <f t="shared" si="57"/>
        <v>340</v>
      </c>
      <c r="P19" s="125">
        <v>12</v>
      </c>
      <c r="Q19" s="160">
        <v>14410</v>
      </c>
      <c r="R19" s="272">
        <v>1.01</v>
      </c>
      <c r="S19" s="269">
        <f t="shared" si="58"/>
        <v>14554</v>
      </c>
      <c r="T19" s="127">
        <v>1.302</v>
      </c>
      <c r="U19" s="128">
        <f t="shared" si="0"/>
        <v>1.47617</v>
      </c>
      <c r="V19" s="129">
        <v>0</v>
      </c>
      <c r="W19" s="128">
        <f t="shared" si="1"/>
        <v>0.29274</v>
      </c>
      <c r="X19" s="128">
        <f t="shared" si="1"/>
        <v>0.45841999999999999</v>
      </c>
      <c r="Y19" s="129">
        <v>0</v>
      </c>
      <c r="Z19" s="128">
        <f t="shared" si="59"/>
        <v>0.3</v>
      </c>
      <c r="AA19" s="128">
        <f t="shared" si="2"/>
        <v>1.1776</v>
      </c>
      <c r="AB19" s="128">
        <f t="shared" si="2"/>
        <v>1.1232899999999999</v>
      </c>
      <c r="AC19" s="128">
        <f t="shared" si="60"/>
        <v>0.22617999999999999</v>
      </c>
      <c r="AD19" s="130">
        <f t="shared" si="3"/>
        <v>8.1689999999999999E-2</v>
      </c>
      <c r="AE19" s="131">
        <f t="shared" si="126"/>
        <v>30774442</v>
      </c>
      <c r="AF19" s="162">
        <v>44638.5</v>
      </c>
      <c r="AG19" s="138">
        <f t="shared" si="4"/>
        <v>23154.32</v>
      </c>
      <c r="AH19" s="142">
        <f t="shared" si="5"/>
        <v>34.995662000000003</v>
      </c>
      <c r="AI19" s="131">
        <f t="shared" si="61"/>
        <v>12660139</v>
      </c>
      <c r="AJ19" s="153">
        <f t="shared" si="62"/>
        <v>46</v>
      </c>
      <c r="AK19" s="140">
        <f t="shared" si="63"/>
        <v>1.74603</v>
      </c>
      <c r="AM19" s="135">
        <f t="shared" si="64"/>
        <v>94.79</v>
      </c>
      <c r="AN19" s="135">
        <f t="shared" si="65"/>
        <v>46.79</v>
      </c>
      <c r="AO19" s="135">
        <f t="shared" si="66"/>
        <v>22.36</v>
      </c>
      <c r="AP19" s="135">
        <f t="shared" si="127"/>
        <v>24.43</v>
      </c>
      <c r="AQ19" s="135">
        <f t="shared" si="67"/>
        <v>2.31</v>
      </c>
      <c r="AR19" s="124">
        <v>76.900000000000006</v>
      </c>
      <c r="AS19" s="132">
        <v>800</v>
      </c>
      <c r="AT19" s="133">
        <f t="shared" si="68"/>
        <v>61520</v>
      </c>
      <c r="AU19" s="378">
        <f>'1.4. часы и места для МЗ и СЗ'!Z61</f>
        <v>128520</v>
      </c>
      <c r="AV19" s="378">
        <f>'1.4. часы и места для МЗ и СЗ'!AA61</f>
        <v>953</v>
      </c>
      <c r="AW19" s="378">
        <f>'1.4. часы и места для МЗ и СЗ'!AB61</f>
        <v>33</v>
      </c>
      <c r="AX19" s="378">
        <f>'1.4. часы и места для МЗ и СЗ'!AC61</f>
        <v>36</v>
      </c>
      <c r="AY19" s="379">
        <f>'1.4. часы и места для МЗ и СЗ'!AD61</f>
        <v>6.64</v>
      </c>
      <c r="AZ19" s="133">
        <f t="shared" si="69"/>
        <v>161</v>
      </c>
      <c r="BA19" s="125">
        <v>12</v>
      </c>
      <c r="BB19" s="382">
        <f t="shared" si="6"/>
        <v>14410</v>
      </c>
      <c r="BC19" s="383">
        <f t="shared" si="7"/>
        <v>1.01</v>
      </c>
      <c r="BD19" s="269">
        <f t="shared" si="70"/>
        <v>14554</v>
      </c>
      <c r="BE19" s="127">
        <v>1.302</v>
      </c>
      <c r="BF19" s="128">
        <f t="shared" si="8"/>
        <v>1.38046</v>
      </c>
      <c r="BG19" s="129">
        <v>0</v>
      </c>
      <c r="BH19" s="128">
        <f t="shared" si="9"/>
        <v>0.43123</v>
      </c>
      <c r="BI19" s="128">
        <f t="shared" si="9"/>
        <v>0.66134000000000004</v>
      </c>
      <c r="BJ19" s="129">
        <v>0</v>
      </c>
      <c r="BK19" s="128">
        <f t="shared" si="71"/>
        <v>0.66</v>
      </c>
      <c r="BL19" s="128">
        <f t="shared" si="10"/>
        <v>1.2245299999999999</v>
      </c>
      <c r="BM19" s="128">
        <f t="shared" si="10"/>
        <v>1.1232899999999999</v>
      </c>
      <c r="BN19" s="128">
        <f t="shared" si="72"/>
        <v>0.47764000000000001</v>
      </c>
      <c r="BO19" s="130">
        <f t="shared" si="11"/>
        <v>0.10316</v>
      </c>
      <c r="BP19" s="131">
        <f t="shared" si="128"/>
        <v>6310332</v>
      </c>
      <c r="BQ19" s="387">
        <f t="shared" si="12"/>
        <v>44638.5</v>
      </c>
      <c r="BR19" s="138">
        <f t="shared" si="13"/>
        <v>24547.29</v>
      </c>
      <c r="BS19" s="142">
        <f t="shared" si="14"/>
        <v>16.219327</v>
      </c>
      <c r="BT19" s="131">
        <f t="shared" si="73"/>
        <v>6220548</v>
      </c>
      <c r="BU19" s="153">
        <f t="shared" si="74"/>
        <v>48</v>
      </c>
      <c r="BV19" s="140">
        <f t="shared" si="75"/>
        <v>3.14669</v>
      </c>
      <c r="BX19" s="135">
        <f t="shared" si="76"/>
        <v>105.57</v>
      </c>
      <c r="BY19" s="135">
        <f t="shared" si="77"/>
        <v>60.57</v>
      </c>
      <c r="BZ19" s="135">
        <f t="shared" si="78"/>
        <v>30.36</v>
      </c>
      <c r="CA19" s="135">
        <f t="shared" si="129"/>
        <v>30.21</v>
      </c>
      <c r="CB19" s="135">
        <f t="shared" si="79"/>
        <v>9.75</v>
      </c>
      <c r="CC19" s="124">
        <v>76.900000000000006</v>
      </c>
      <c r="CD19" s="132">
        <v>800</v>
      </c>
      <c r="CE19" s="133">
        <f t="shared" si="80"/>
        <v>61520</v>
      </c>
      <c r="CF19" s="378">
        <f>'1.4. часы и места для МЗ и СЗ'!Z74</f>
        <v>61020</v>
      </c>
      <c r="CG19" s="378">
        <f>'1.4. часы и места для МЗ и СЗ'!AA74</f>
        <v>401</v>
      </c>
      <c r="CH19" s="378">
        <f>'1.4. часы и места для МЗ и СЗ'!AB74</f>
        <v>16</v>
      </c>
      <c r="CI19" s="378">
        <f>'1.4. часы и места для МЗ и СЗ'!AC74</f>
        <v>36</v>
      </c>
      <c r="CJ19" s="379">
        <f>'1.4. часы и места для МЗ и СЗ'!AD74</f>
        <v>3.76</v>
      </c>
      <c r="CK19" s="133">
        <f t="shared" si="81"/>
        <v>76</v>
      </c>
      <c r="CL19" s="125">
        <v>12</v>
      </c>
      <c r="CM19" s="382">
        <f t="shared" si="15"/>
        <v>14410</v>
      </c>
      <c r="CN19" s="383">
        <f t="shared" si="16"/>
        <v>1.01</v>
      </c>
      <c r="CO19" s="269">
        <f t="shared" si="82"/>
        <v>14554</v>
      </c>
      <c r="CP19" s="127">
        <v>1.302</v>
      </c>
      <c r="CQ19" s="128">
        <f t="shared" si="17"/>
        <v>1.34843</v>
      </c>
      <c r="CR19" s="129">
        <v>0</v>
      </c>
      <c r="CS19" s="128">
        <f t="shared" si="18"/>
        <v>0.33637</v>
      </c>
      <c r="CT19" s="128">
        <f t="shared" si="18"/>
        <v>0.65883000000000003</v>
      </c>
      <c r="CU19" s="129">
        <v>0</v>
      </c>
      <c r="CV19" s="128">
        <f t="shared" si="83"/>
        <v>1.62</v>
      </c>
      <c r="CW19" s="128">
        <f t="shared" si="19"/>
        <v>1.4220999999999999</v>
      </c>
      <c r="CX19" s="128">
        <f t="shared" si="19"/>
        <v>1.1232899999999999</v>
      </c>
      <c r="CY19" s="128">
        <f t="shared" si="84"/>
        <v>1.0118400000000001</v>
      </c>
      <c r="CZ19" s="130">
        <f t="shared" si="20"/>
        <v>0.32107000000000002</v>
      </c>
      <c r="DA19" s="131">
        <f t="shared" si="130"/>
        <v>4290926</v>
      </c>
      <c r="DB19" s="387">
        <f t="shared" si="21"/>
        <v>44638.5</v>
      </c>
      <c r="DC19" s="138">
        <f t="shared" si="22"/>
        <v>25013.45</v>
      </c>
      <c r="DD19" s="142">
        <f t="shared" si="23"/>
        <v>7.0913000000000004</v>
      </c>
      <c r="DE19" s="131">
        <f t="shared" si="85"/>
        <v>2771352</v>
      </c>
      <c r="DF19" s="153">
        <f t="shared" si="86"/>
        <v>45</v>
      </c>
      <c r="DG19" s="140">
        <f t="shared" si="87"/>
        <v>2.4822099999999998</v>
      </c>
      <c r="DI19" s="135">
        <f t="shared" si="88"/>
        <v>0</v>
      </c>
      <c r="DJ19" s="135">
        <f t="shared" si="89"/>
        <v>0</v>
      </c>
      <c r="DK19" s="135">
        <f t="shared" si="90"/>
        <v>0</v>
      </c>
      <c r="DL19" s="135">
        <f t="shared" si="131"/>
        <v>0</v>
      </c>
      <c r="DM19" s="135">
        <f t="shared" si="91"/>
        <v>0</v>
      </c>
      <c r="DN19" s="124">
        <v>76.900000000000006</v>
      </c>
      <c r="DO19" s="132">
        <v>800</v>
      </c>
      <c r="DP19" s="133">
        <f t="shared" si="92"/>
        <v>61520</v>
      </c>
      <c r="DQ19" s="378">
        <f>'1.4. часы и места для МЗ и СЗ'!Z35</f>
        <v>0</v>
      </c>
      <c r="DR19" s="378">
        <f>'1.4. часы и места для МЗ и СЗ'!AA35</f>
        <v>0</v>
      </c>
      <c r="DS19" s="378">
        <f>'1.4. часы и места для МЗ и СЗ'!AB35</f>
        <v>0</v>
      </c>
      <c r="DT19" s="378">
        <f>'1.4. часы и места для МЗ и СЗ'!AC35</f>
        <v>0</v>
      </c>
      <c r="DU19" s="379">
        <f>'1.4. часы и места для МЗ и СЗ'!AD35</f>
        <v>0</v>
      </c>
      <c r="DV19" s="133">
        <f t="shared" si="93"/>
        <v>0</v>
      </c>
      <c r="DW19" s="125">
        <v>12</v>
      </c>
      <c r="DX19" s="382">
        <f t="shared" si="24"/>
        <v>14410</v>
      </c>
      <c r="DY19" s="383">
        <f t="shared" si="25"/>
        <v>1.01</v>
      </c>
      <c r="DZ19" s="269">
        <f t="shared" si="94"/>
        <v>14554</v>
      </c>
      <c r="EA19" s="127">
        <v>1.302</v>
      </c>
      <c r="EB19" s="128">
        <f t="shared" si="26"/>
        <v>1.35737</v>
      </c>
      <c r="EC19" s="129">
        <v>0</v>
      </c>
      <c r="ED19" s="128">
        <f t="shared" si="27"/>
        <v>0.22051999999999999</v>
      </c>
      <c r="EE19" s="128">
        <f t="shared" si="27"/>
        <v>0.73350000000000004</v>
      </c>
      <c r="EF19" s="129">
        <v>0</v>
      </c>
      <c r="EG19" s="128">
        <f t="shared" si="95"/>
        <v>0</v>
      </c>
      <c r="EH19" s="128">
        <f t="shared" si="28"/>
        <v>1.2033499999999999</v>
      </c>
      <c r="EI19" s="128">
        <f t="shared" si="28"/>
        <v>1.1232899999999999</v>
      </c>
      <c r="EJ19" s="128">
        <f t="shared" si="96"/>
        <v>0</v>
      </c>
      <c r="EK19" s="130">
        <f t="shared" si="29"/>
        <v>0.17288999999999999</v>
      </c>
      <c r="EL19" s="131">
        <f t="shared" si="132"/>
        <v>0</v>
      </c>
      <c r="EM19" s="387">
        <f t="shared" si="30"/>
        <v>44638.5</v>
      </c>
      <c r="EN19" s="138">
        <f t="shared" si="31"/>
        <v>24883.34</v>
      </c>
      <c r="EO19" s="142">
        <f t="shared" si="32"/>
        <v>0</v>
      </c>
      <c r="EP19" s="131">
        <f t="shared" si="97"/>
        <v>0</v>
      </c>
      <c r="EQ19" s="153">
        <f t="shared" si="98"/>
        <v>0</v>
      </c>
      <c r="ER19" s="140">
        <f t="shared" si="99"/>
        <v>0</v>
      </c>
      <c r="ET19" s="135">
        <f t="shared" si="100"/>
        <v>0</v>
      </c>
      <c r="EU19" s="135">
        <f t="shared" si="101"/>
        <v>0</v>
      </c>
      <c r="EV19" s="135">
        <f t="shared" si="102"/>
        <v>0</v>
      </c>
      <c r="EW19" s="135">
        <f t="shared" si="133"/>
        <v>0</v>
      </c>
      <c r="EX19" s="135">
        <f t="shared" si="103"/>
        <v>0</v>
      </c>
      <c r="EY19" s="124">
        <v>76.900000000000006</v>
      </c>
      <c r="EZ19" s="132">
        <v>800</v>
      </c>
      <c r="FA19" s="133">
        <f t="shared" si="104"/>
        <v>61520</v>
      </c>
      <c r="FB19" s="378">
        <f>'1.4. часы и места для МЗ и СЗ'!Z48</f>
        <v>0</v>
      </c>
      <c r="FC19" s="378">
        <f>'1.4. часы и места для МЗ и СЗ'!AA48</f>
        <v>0</v>
      </c>
      <c r="FD19" s="378">
        <f>'1.4. часы и места для МЗ и СЗ'!AB48</f>
        <v>0</v>
      </c>
      <c r="FE19" s="378">
        <f>'1.4. часы и места для МЗ и СЗ'!AC48</f>
        <v>0</v>
      </c>
      <c r="FF19" s="379">
        <f>'1.4. часы и места для МЗ и СЗ'!AD48</f>
        <v>0</v>
      </c>
      <c r="FG19" s="133">
        <f t="shared" si="105"/>
        <v>0</v>
      </c>
      <c r="FH19" s="125">
        <v>12</v>
      </c>
      <c r="FI19" s="382">
        <f t="shared" si="33"/>
        <v>14410</v>
      </c>
      <c r="FJ19" s="383">
        <f t="shared" si="34"/>
        <v>1.01</v>
      </c>
      <c r="FK19" s="269">
        <f t="shared" si="106"/>
        <v>14554</v>
      </c>
      <c r="FL19" s="127">
        <v>1.302</v>
      </c>
      <c r="FM19" s="128">
        <f t="shared" si="35"/>
        <v>1.32193</v>
      </c>
      <c r="FN19" s="129">
        <v>0</v>
      </c>
      <c r="FO19" s="128">
        <f t="shared" si="36"/>
        <v>0.21695999999999999</v>
      </c>
      <c r="FP19" s="128">
        <f t="shared" si="36"/>
        <v>0.97809999999999997</v>
      </c>
      <c r="FQ19" s="129">
        <v>0</v>
      </c>
      <c r="FR19" s="128">
        <f t="shared" si="107"/>
        <v>0</v>
      </c>
      <c r="FS19" s="128">
        <f t="shared" si="37"/>
        <v>1.0935600000000001</v>
      </c>
      <c r="FT19" s="128">
        <f t="shared" si="37"/>
        <v>1.1232899999999999</v>
      </c>
      <c r="FU19" s="128">
        <f t="shared" si="108"/>
        <v>0</v>
      </c>
      <c r="FV19" s="130">
        <f t="shared" si="38"/>
        <v>0</v>
      </c>
      <c r="FW19" s="131">
        <f t="shared" si="134"/>
        <v>0</v>
      </c>
      <c r="FX19" s="387">
        <f t="shared" si="39"/>
        <v>44638.5</v>
      </c>
      <c r="FY19" s="138">
        <f t="shared" si="40"/>
        <v>25399.13</v>
      </c>
      <c r="FZ19" s="142">
        <f t="shared" si="41"/>
        <v>0</v>
      </c>
      <c r="GA19" s="131">
        <f t="shared" si="109"/>
        <v>0</v>
      </c>
      <c r="GB19" s="153">
        <f t="shared" si="110"/>
        <v>0</v>
      </c>
      <c r="GC19" s="140">
        <f t="shared" si="111"/>
        <v>0</v>
      </c>
      <c r="GE19" s="135">
        <f t="shared" si="112"/>
        <v>133.52000000000001</v>
      </c>
      <c r="GF19" s="135">
        <f t="shared" si="113"/>
        <v>91.52</v>
      </c>
      <c r="GG19" s="135">
        <f t="shared" si="114"/>
        <v>47.48</v>
      </c>
      <c r="GH19" s="135">
        <f t="shared" si="135"/>
        <v>44.04</v>
      </c>
      <c r="GI19" s="135">
        <f t="shared" si="115"/>
        <v>6.54</v>
      </c>
      <c r="GJ19" s="124">
        <v>76.900000000000006</v>
      </c>
      <c r="GK19" s="132">
        <v>800</v>
      </c>
      <c r="GL19" s="133">
        <f t="shared" si="116"/>
        <v>61520</v>
      </c>
      <c r="GM19" s="227">
        <f t="shared" si="136"/>
        <v>461832</v>
      </c>
      <c r="GN19" s="227">
        <f t="shared" si="136"/>
        <v>3628</v>
      </c>
      <c r="GO19" s="227">
        <f t="shared" si="136"/>
        <v>216</v>
      </c>
      <c r="GP19" s="158" t="s">
        <v>471</v>
      </c>
      <c r="GQ19" s="229">
        <f t="shared" si="137"/>
        <v>48.07</v>
      </c>
      <c r="GR19" s="133">
        <f t="shared" si="117"/>
        <v>577</v>
      </c>
      <c r="GS19" s="125">
        <v>12</v>
      </c>
      <c r="GT19" s="382">
        <f t="shared" si="43"/>
        <v>14410</v>
      </c>
      <c r="GU19" s="383">
        <f t="shared" si="44"/>
        <v>1.01</v>
      </c>
      <c r="GV19" s="269">
        <f t="shared" si="118"/>
        <v>14554</v>
      </c>
      <c r="GW19" s="127">
        <v>1.302</v>
      </c>
      <c r="GX19" s="128">
        <f t="shared" si="45"/>
        <v>1.4064300000000001</v>
      </c>
      <c r="GY19" s="129">
        <v>0</v>
      </c>
      <c r="GZ19" s="128">
        <f t="shared" si="46"/>
        <v>0.32916000000000001</v>
      </c>
      <c r="HA19" s="128">
        <f t="shared" si="46"/>
        <v>0.59841999999999995</v>
      </c>
      <c r="HB19" s="129">
        <v>0</v>
      </c>
      <c r="HC19" s="128">
        <f t="shared" si="119"/>
        <v>0.19</v>
      </c>
      <c r="HD19" s="128">
        <f t="shared" si="47"/>
        <v>1.24295</v>
      </c>
      <c r="HE19" s="128">
        <f t="shared" si="47"/>
        <v>1.1232899999999999</v>
      </c>
      <c r="HF19" s="128">
        <f t="shared" si="120"/>
        <v>0.13328000000000001</v>
      </c>
      <c r="HG19" s="130">
        <f t="shared" si="48"/>
        <v>0.13783999999999999</v>
      </c>
      <c r="HH19" s="131">
        <f t="shared" si="138"/>
        <v>45287246</v>
      </c>
      <c r="HI19" s="387">
        <f t="shared" si="49"/>
        <v>44638.5</v>
      </c>
      <c r="HJ19" s="138">
        <f t="shared" si="50"/>
        <v>24169.32</v>
      </c>
      <c r="HK19" s="142">
        <f t="shared" si="51"/>
        <v>51.623500999999997</v>
      </c>
      <c r="HL19" s="131">
        <f t="shared" si="121"/>
        <v>19494142</v>
      </c>
      <c r="HM19" s="153">
        <f t="shared" si="122"/>
        <v>42</v>
      </c>
      <c r="HN19" s="140">
        <f t="shared" si="123"/>
        <v>1.8845799999999999</v>
      </c>
      <c r="HP19" s="151">
        <f t="shared" si="124"/>
        <v>865.26</v>
      </c>
    </row>
    <row r="20" spans="1:224" s="113" customFormat="1" ht="24" x14ac:dyDescent="0.25">
      <c r="A20" s="120" t="s">
        <v>55</v>
      </c>
      <c r="B20" s="135">
        <f t="shared" si="52"/>
        <v>136.80000000000001</v>
      </c>
      <c r="C20" s="135">
        <f t="shared" si="53"/>
        <v>90.8</v>
      </c>
      <c r="D20" s="135">
        <f t="shared" si="54"/>
        <v>51.85</v>
      </c>
      <c r="E20" s="135">
        <f t="shared" si="125"/>
        <v>38.950000000000003</v>
      </c>
      <c r="F20" s="135">
        <f t="shared" si="55"/>
        <v>4.24</v>
      </c>
      <c r="G20" s="124">
        <v>76.900000000000006</v>
      </c>
      <c r="H20" s="132">
        <v>800</v>
      </c>
      <c r="I20" s="133">
        <f t="shared" si="56"/>
        <v>61520</v>
      </c>
      <c r="J20" s="378">
        <f>'1.4. часы и места для МЗ и СЗ'!Z23</f>
        <v>18504</v>
      </c>
      <c r="K20" s="378">
        <f>'1.4. часы и места для МЗ и СЗ'!AA23</f>
        <v>149</v>
      </c>
      <c r="L20" s="378">
        <f>'1.4. часы и места для МЗ и СЗ'!AB23</f>
        <v>9</v>
      </c>
      <c r="M20" s="378">
        <f>'1.4. часы и места для МЗ и СЗ'!AC23</f>
        <v>36</v>
      </c>
      <c r="N20" s="379">
        <f>'1.4. часы и места для МЗ и СЗ'!AD23</f>
        <v>2.15</v>
      </c>
      <c r="O20" s="133">
        <f t="shared" si="57"/>
        <v>23</v>
      </c>
      <c r="P20" s="125">
        <v>12</v>
      </c>
      <c r="Q20" s="160">
        <v>14410</v>
      </c>
      <c r="R20" s="272">
        <v>1.01</v>
      </c>
      <c r="S20" s="269">
        <f t="shared" si="58"/>
        <v>14554</v>
      </c>
      <c r="T20" s="127">
        <v>1.302</v>
      </c>
      <c r="U20" s="128">
        <f t="shared" si="0"/>
        <v>1.47617</v>
      </c>
      <c r="V20" s="129">
        <v>0</v>
      </c>
      <c r="W20" s="128">
        <f t="shared" si="1"/>
        <v>0.29274</v>
      </c>
      <c r="X20" s="128">
        <f t="shared" si="1"/>
        <v>0.45841999999999999</v>
      </c>
      <c r="Y20" s="129">
        <v>0</v>
      </c>
      <c r="Z20" s="128">
        <f t="shared" si="59"/>
        <v>4.42</v>
      </c>
      <c r="AA20" s="128">
        <f t="shared" si="2"/>
        <v>1.1776</v>
      </c>
      <c r="AB20" s="128">
        <f t="shared" si="2"/>
        <v>1.1232899999999999</v>
      </c>
      <c r="AC20" s="128">
        <f t="shared" si="60"/>
        <v>3.34348</v>
      </c>
      <c r="AD20" s="130">
        <f t="shared" si="3"/>
        <v>8.1689999999999999E-2</v>
      </c>
      <c r="AE20" s="131">
        <f t="shared" si="126"/>
        <v>1758620</v>
      </c>
      <c r="AF20" s="162">
        <v>44638.5</v>
      </c>
      <c r="AG20" s="138">
        <f t="shared" si="4"/>
        <v>23154.32</v>
      </c>
      <c r="AH20" s="142">
        <f t="shared" si="5"/>
        <v>2.3781810000000001</v>
      </c>
      <c r="AI20" s="131">
        <f t="shared" si="61"/>
        <v>860338</v>
      </c>
      <c r="AJ20" s="153">
        <f t="shared" si="62"/>
        <v>46</v>
      </c>
      <c r="AK20" s="140">
        <f t="shared" si="63"/>
        <v>1.88717</v>
      </c>
      <c r="AM20" s="135">
        <f t="shared" si="64"/>
        <v>63.53</v>
      </c>
      <c r="AN20" s="135">
        <f t="shared" si="65"/>
        <v>15.53</v>
      </c>
      <c r="AO20" s="135">
        <f t="shared" si="66"/>
        <v>7.42</v>
      </c>
      <c r="AP20" s="135">
        <f t="shared" si="127"/>
        <v>8.11</v>
      </c>
      <c r="AQ20" s="135">
        <f t="shared" si="67"/>
        <v>0.77</v>
      </c>
      <c r="AR20" s="124">
        <v>76.900000000000006</v>
      </c>
      <c r="AS20" s="132">
        <v>800</v>
      </c>
      <c r="AT20" s="133">
        <f t="shared" si="68"/>
        <v>61520</v>
      </c>
      <c r="AU20" s="378">
        <f>'1.4. часы и места для МЗ и СЗ'!Z62</f>
        <v>12816</v>
      </c>
      <c r="AV20" s="378">
        <f>'1.4. часы и места для МЗ и СЗ'!AA62</f>
        <v>89</v>
      </c>
      <c r="AW20" s="378">
        <f>'1.4. часы и места для МЗ и СЗ'!AB62</f>
        <v>1</v>
      </c>
      <c r="AX20" s="378">
        <f>'1.4. часы и места для МЗ и СЗ'!AC62</f>
        <v>36</v>
      </c>
      <c r="AY20" s="379">
        <f>'1.4. часы и места для МЗ и СЗ'!AD62</f>
        <v>0.22</v>
      </c>
      <c r="AZ20" s="133">
        <f t="shared" si="69"/>
        <v>16</v>
      </c>
      <c r="BA20" s="125">
        <v>12</v>
      </c>
      <c r="BB20" s="382">
        <f t="shared" si="6"/>
        <v>14410</v>
      </c>
      <c r="BC20" s="383">
        <f t="shared" si="7"/>
        <v>1.01</v>
      </c>
      <c r="BD20" s="269">
        <f t="shared" si="70"/>
        <v>14554</v>
      </c>
      <c r="BE20" s="127">
        <v>1.302</v>
      </c>
      <c r="BF20" s="128">
        <f t="shared" si="8"/>
        <v>1.38046</v>
      </c>
      <c r="BG20" s="129">
        <v>0</v>
      </c>
      <c r="BH20" s="128">
        <f t="shared" si="9"/>
        <v>0.43123</v>
      </c>
      <c r="BI20" s="128">
        <f t="shared" si="9"/>
        <v>0.66134000000000004</v>
      </c>
      <c r="BJ20" s="129">
        <v>0</v>
      </c>
      <c r="BK20" s="128">
        <f t="shared" si="71"/>
        <v>6.61</v>
      </c>
      <c r="BL20" s="128">
        <f t="shared" si="10"/>
        <v>1.2245299999999999</v>
      </c>
      <c r="BM20" s="128">
        <f t="shared" si="10"/>
        <v>1.1232899999999999</v>
      </c>
      <c r="BN20" s="128">
        <f t="shared" si="72"/>
        <v>4.8062500000000004</v>
      </c>
      <c r="BO20" s="130">
        <f t="shared" si="11"/>
        <v>0.10316</v>
      </c>
      <c r="BP20" s="131">
        <f t="shared" si="128"/>
        <v>208901</v>
      </c>
      <c r="BQ20" s="387">
        <f t="shared" si="12"/>
        <v>44638.5</v>
      </c>
      <c r="BR20" s="138">
        <f t="shared" si="13"/>
        <v>24547.29</v>
      </c>
      <c r="BS20" s="142">
        <f t="shared" si="14"/>
        <v>1.617389</v>
      </c>
      <c r="BT20" s="131">
        <f t="shared" si="73"/>
        <v>620312</v>
      </c>
      <c r="BU20" s="153">
        <f t="shared" si="74"/>
        <v>48</v>
      </c>
      <c r="BV20" s="140">
        <f t="shared" si="75"/>
        <v>7.4690000000000003</v>
      </c>
      <c r="BX20" s="135">
        <f t="shared" si="76"/>
        <v>0</v>
      </c>
      <c r="BY20" s="135">
        <f t="shared" si="77"/>
        <v>0</v>
      </c>
      <c r="BZ20" s="135">
        <f t="shared" si="78"/>
        <v>0</v>
      </c>
      <c r="CA20" s="135">
        <f t="shared" si="129"/>
        <v>0</v>
      </c>
      <c r="CB20" s="135">
        <f t="shared" si="79"/>
        <v>0</v>
      </c>
      <c r="CC20" s="124">
        <v>76.900000000000006</v>
      </c>
      <c r="CD20" s="132">
        <v>800</v>
      </c>
      <c r="CE20" s="133">
        <f t="shared" si="80"/>
        <v>61520</v>
      </c>
      <c r="CF20" s="378">
        <f>'1.4. часы и места для МЗ и СЗ'!Z75</f>
        <v>0</v>
      </c>
      <c r="CG20" s="378">
        <f>'1.4. часы и места для МЗ и СЗ'!AA75</f>
        <v>0</v>
      </c>
      <c r="CH20" s="378">
        <f>'1.4. часы и места для МЗ и СЗ'!AB75</f>
        <v>0</v>
      </c>
      <c r="CI20" s="378">
        <f>'1.4. часы и места для МЗ и СЗ'!AC75</f>
        <v>0</v>
      </c>
      <c r="CJ20" s="379">
        <f>'1.4. часы и места для МЗ и СЗ'!AD75</f>
        <v>0</v>
      </c>
      <c r="CK20" s="133">
        <f t="shared" si="81"/>
        <v>0</v>
      </c>
      <c r="CL20" s="125">
        <v>12</v>
      </c>
      <c r="CM20" s="382">
        <f t="shared" si="15"/>
        <v>14410</v>
      </c>
      <c r="CN20" s="383">
        <f t="shared" si="16"/>
        <v>1.01</v>
      </c>
      <c r="CO20" s="269">
        <f t="shared" si="82"/>
        <v>14554</v>
      </c>
      <c r="CP20" s="127">
        <v>1.302</v>
      </c>
      <c r="CQ20" s="128">
        <f t="shared" si="17"/>
        <v>1.34843</v>
      </c>
      <c r="CR20" s="129">
        <v>0</v>
      </c>
      <c r="CS20" s="128">
        <f t="shared" si="18"/>
        <v>0.33637</v>
      </c>
      <c r="CT20" s="128">
        <f t="shared" si="18"/>
        <v>0.65883000000000003</v>
      </c>
      <c r="CU20" s="129">
        <v>0</v>
      </c>
      <c r="CV20" s="128">
        <f t="shared" si="83"/>
        <v>0</v>
      </c>
      <c r="CW20" s="128">
        <f t="shared" si="19"/>
        <v>1.4220999999999999</v>
      </c>
      <c r="CX20" s="128">
        <f t="shared" si="19"/>
        <v>1.1232899999999999</v>
      </c>
      <c r="CY20" s="128">
        <f t="shared" si="84"/>
        <v>0</v>
      </c>
      <c r="CZ20" s="130">
        <f t="shared" si="20"/>
        <v>0.32107000000000002</v>
      </c>
      <c r="DA20" s="131">
        <f t="shared" si="130"/>
        <v>0</v>
      </c>
      <c r="DB20" s="387">
        <f t="shared" si="21"/>
        <v>44638.5</v>
      </c>
      <c r="DC20" s="138">
        <f t="shared" si="22"/>
        <v>25013.45</v>
      </c>
      <c r="DD20" s="142">
        <f t="shared" si="23"/>
        <v>0</v>
      </c>
      <c r="DE20" s="131">
        <f t="shared" si="85"/>
        <v>0</v>
      </c>
      <c r="DF20" s="153">
        <f t="shared" si="86"/>
        <v>0</v>
      </c>
      <c r="DG20" s="140">
        <f t="shared" si="87"/>
        <v>0</v>
      </c>
      <c r="DI20" s="135">
        <f t="shared" si="88"/>
        <v>0</v>
      </c>
      <c r="DJ20" s="135">
        <f t="shared" si="89"/>
        <v>0</v>
      </c>
      <c r="DK20" s="135">
        <f t="shared" si="90"/>
        <v>0</v>
      </c>
      <c r="DL20" s="135">
        <f t="shared" si="131"/>
        <v>0</v>
      </c>
      <c r="DM20" s="135">
        <f t="shared" si="91"/>
        <v>0</v>
      </c>
      <c r="DN20" s="124">
        <v>76.900000000000006</v>
      </c>
      <c r="DO20" s="132">
        <v>800</v>
      </c>
      <c r="DP20" s="133">
        <f t="shared" si="92"/>
        <v>61520</v>
      </c>
      <c r="DQ20" s="378">
        <f>'1.4. часы и места для МЗ и СЗ'!Z36</f>
        <v>0</v>
      </c>
      <c r="DR20" s="378">
        <f>'1.4. часы и места для МЗ и СЗ'!AA36</f>
        <v>0</v>
      </c>
      <c r="DS20" s="378">
        <f>'1.4. часы и места для МЗ и СЗ'!AB36</f>
        <v>0</v>
      </c>
      <c r="DT20" s="378">
        <f>'1.4. часы и места для МЗ и СЗ'!AC36</f>
        <v>0</v>
      </c>
      <c r="DU20" s="379">
        <f>'1.4. часы и места для МЗ и СЗ'!AD36</f>
        <v>0</v>
      </c>
      <c r="DV20" s="133">
        <f t="shared" si="93"/>
        <v>0</v>
      </c>
      <c r="DW20" s="125">
        <v>12</v>
      </c>
      <c r="DX20" s="382">
        <f t="shared" si="24"/>
        <v>14410</v>
      </c>
      <c r="DY20" s="383">
        <f t="shared" si="25"/>
        <v>1.01</v>
      </c>
      <c r="DZ20" s="269">
        <f t="shared" si="94"/>
        <v>14554</v>
      </c>
      <c r="EA20" s="127">
        <v>1.302</v>
      </c>
      <c r="EB20" s="128">
        <f t="shared" si="26"/>
        <v>1.35737</v>
      </c>
      <c r="EC20" s="129">
        <v>0</v>
      </c>
      <c r="ED20" s="128">
        <f t="shared" si="27"/>
        <v>0.22051999999999999</v>
      </c>
      <c r="EE20" s="128">
        <f t="shared" si="27"/>
        <v>0.73350000000000004</v>
      </c>
      <c r="EF20" s="129">
        <v>0</v>
      </c>
      <c r="EG20" s="128">
        <f t="shared" si="95"/>
        <v>0</v>
      </c>
      <c r="EH20" s="128">
        <f t="shared" si="28"/>
        <v>1.2033499999999999</v>
      </c>
      <c r="EI20" s="128">
        <f t="shared" si="28"/>
        <v>1.1232899999999999</v>
      </c>
      <c r="EJ20" s="128">
        <f t="shared" si="96"/>
        <v>0</v>
      </c>
      <c r="EK20" s="130">
        <f t="shared" si="29"/>
        <v>0.17288999999999999</v>
      </c>
      <c r="EL20" s="131">
        <f t="shared" si="132"/>
        <v>0</v>
      </c>
      <c r="EM20" s="387">
        <f t="shared" si="30"/>
        <v>44638.5</v>
      </c>
      <c r="EN20" s="138">
        <f t="shared" si="31"/>
        <v>24883.34</v>
      </c>
      <c r="EO20" s="142">
        <f t="shared" si="32"/>
        <v>0</v>
      </c>
      <c r="EP20" s="131">
        <f t="shared" si="97"/>
        <v>0</v>
      </c>
      <c r="EQ20" s="153">
        <f t="shared" si="98"/>
        <v>0</v>
      </c>
      <c r="ER20" s="140">
        <f t="shared" si="99"/>
        <v>0</v>
      </c>
      <c r="ET20" s="135">
        <f t="shared" si="100"/>
        <v>130.12</v>
      </c>
      <c r="EU20" s="135">
        <f t="shared" si="101"/>
        <v>113.12</v>
      </c>
      <c r="EV20" s="135">
        <f t="shared" si="102"/>
        <v>51.53</v>
      </c>
      <c r="EW20" s="135">
        <f t="shared" si="133"/>
        <v>61.59</v>
      </c>
      <c r="EX20" s="135">
        <f t="shared" si="103"/>
        <v>0</v>
      </c>
      <c r="EY20" s="124">
        <v>76.900000000000006</v>
      </c>
      <c r="EZ20" s="132">
        <v>800</v>
      </c>
      <c r="FA20" s="133">
        <f t="shared" si="104"/>
        <v>61520</v>
      </c>
      <c r="FB20" s="378">
        <f>'1.4. часы и места для МЗ и СЗ'!Z49</f>
        <v>95760</v>
      </c>
      <c r="FC20" s="378">
        <f>'1.4. часы и места для МЗ и СЗ'!AA49</f>
        <v>604</v>
      </c>
      <c r="FD20" s="378">
        <f>'1.4. часы и места для МЗ и СЗ'!AB49</f>
        <v>54</v>
      </c>
      <c r="FE20" s="378">
        <f>'1.4. часы и места для МЗ и СЗ'!AC49</f>
        <v>36</v>
      </c>
      <c r="FF20" s="379">
        <f>'1.4. часы и места для МЗ и СЗ'!AD49</f>
        <v>13.35</v>
      </c>
      <c r="FG20" s="133">
        <f t="shared" si="105"/>
        <v>120</v>
      </c>
      <c r="FH20" s="125">
        <v>12</v>
      </c>
      <c r="FI20" s="382">
        <f t="shared" si="33"/>
        <v>14410</v>
      </c>
      <c r="FJ20" s="383">
        <f t="shared" si="34"/>
        <v>1.01</v>
      </c>
      <c r="FK20" s="269">
        <f t="shared" si="106"/>
        <v>14554</v>
      </c>
      <c r="FL20" s="127">
        <v>1.302</v>
      </c>
      <c r="FM20" s="128">
        <f t="shared" si="35"/>
        <v>1.32193</v>
      </c>
      <c r="FN20" s="129">
        <v>0</v>
      </c>
      <c r="FO20" s="128">
        <f t="shared" si="36"/>
        <v>0.21695999999999999</v>
      </c>
      <c r="FP20" s="128">
        <f t="shared" si="36"/>
        <v>0.97809999999999997</v>
      </c>
      <c r="FQ20" s="129">
        <v>0</v>
      </c>
      <c r="FR20" s="128">
        <f t="shared" si="107"/>
        <v>0.79</v>
      </c>
      <c r="FS20" s="128">
        <f t="shared" si="37"/>
        <v>1.0935600000000001</v>
      </c>
      <c r="FT20" s="128">
        <f t="shared" si="37"/>
        <v>1.1232899999999999</v>
      </c>
      <c r="FU20" s="128">
        <f t="shared" si="108"/>
        <v>0.64083000000000001</v>
      </c>
      <c r="FV20" s="130">
        <f t="shared" si="38"/>
        <v>0</v>
      </c>
      <c r="FW20" s="131">
        <f t="shared" si="134"/>
        <v>10832371</v>
      </c>
      <c r="FX20" s="387">
        <f t="shared" si="39"/>
        <v>44638.5</v>
      </c>
      <c r="FY20" s="138">
        <f t="shared" si="40"/>
        <v>25399.13</v>
      </c>
      <c r="FZ20" s="142">
        <f t="shared" si="41"/>
        <v>4</v>
      </c>
      <c r="GA20" s="131">
        <f t="shared" si="109"/>
        <v>1587344</v>
      </c>
      <c r="GB20" s="153">
        <f t="shared" si="110"/>
        <v>17</v>
      </c>
      <c r="GC20" s="140">
        <f t="shared" si="111"/>
        <v>1.3299000000000001</v>
      </c>
      <c r="GE20" s="135">
        <f t="shared" si="112"/>
        <v>149.11000000000001</v>
      </c>
      <c r="GF20" s="135">
        <f t="shared" si="113"/>
        <v>107.11</v>
      </c>
      <c r="GG20" s="135">
        <f t="shared" si="114"/>
        <v>55.57</v>
      </c>
      <c r="GH20" s="135">
        <f t="shared" si="135"/>
        <v>51.54</v>
      </c>
      <c r="GI20" s="135">
        <f t="shared" si="115"/>
        <v>7.66</v>
      </c>
      <c r="GJ20" s="124">
        <v>76.900000000000006</v>
      </c>
      <c r="GK20" s="132">
        <v>800</v>
      </c>
      <c r="GL20" s="133">
        <f t="shared" si="116"/>
        <v>61520</v>
      </c>
      <c r="GM20" s="227">
        <f t="shared" si="136"/>
        <v>127080</v>
      </c>
      <c r="GN20" s="227">
        <f t="shared" si="136"/>
        <v>842</v>
      </c>
      <c r="GO20" s="227">
        <f t="shared" si="136"/>
        <v>64</v>
      </c>
      <c r="GP20" s="158" t="s">
        <v>471</v>
      </c>
      <c r="GQ20" s="229">
        <f t="shared" si="137"/>
        <v>15.72</v>
      </c>
      <c r="GR20" s="133">
        <f t="shared" si="117"/>
        <v>159</v>
      </c>
      <c r="GS20" s="125">
        <v>12</v>
      </c>
      <c r="GT20" s="382">
        <f t="shared" si="43"/>
        <v>14410</v>
      </c>
      <c r="GU20" s="383">
        <f t="shared" si="44"/>
        <v>1.01</v>
      </c>
      <c r="GV20" s="269">
        <f t="shared" si="118"/>
        <v>14554</v>
      </c>
      <c r="GW20" s="127">
        <v>1.302</v>
      </c>
      <c r="GX20" s="128">
        <f t="shared" si="45"/>
        <v>1.4064300000000001</v>
      </c>
      <c r="GY20" s="129">
        <v>0</v>
      </c>
      <c r="GZ20" s="128">
        <f t="shared" si="46"/>
        <v>0.32916000000000001</v>
      </c>
      <c r="HA20" s="128">
        <f t="shared" si="46"/>
        <v>0.59841999999999995</v>
      </c>
      <c r="HB20" s="129">
        <v>0</v>
      </c>
      <c r="HC20" s="128">
        <f t="shared" si="119"/>
        <v>0.68</v>
      </c>
      <c r="HD20" s="128">
        <f t="shared" si="47"/>
        <v>1.24295</v>
      </c>
      <c r="HE20" s="128">
        <f t="shared" si="47"/>
        <v>1.1232899999999999</v>
      </c>
      <c r="HF20" s="128">
        <f t="shared" si="120"/>
        <v>0.48365000000000002</v>
      </c>
      <c r="HG20" s="130">
        <f t="shared" si="48"/>
        <v>0.13783999999999999</v>
      </c>
      <c r="HH20" s="131">
        <f t="shared" si="138"/>
        <v>14584972</v>
      </c>
      <c r="HI20" s="387">
        <f t="shared" si="49"/>
        <v>44638.5</v>
      </c>
      <c r="HJ20" s="138">
        <f t="shared" si="50"/>
        <v>24169.32</v>
      </c>
      <c r="HK20" s="142">
        <f t="shared" si="51"/>
        <v>14.204980000000001</v>
      </c>
      <c r="HL20" s="131">
        <f t="shared" si="121"/>
        <v>5364105</v>
      </c>
      <c r="HM20" s="153">
        <f t="shared" si="122"/>
        <v>42</v>
      </c>
      <c r="HN20" s="140">
        <f t="shared" si="123"/>
        <v>1.7558</v>
      </c>
      <c r="HP20" s="151">
        <f t="shared" si="124"/>
        <v>282.95999999999998</v>
      </c>
    </row>
    <row r="21" spans="1:224" s="113" customFormat="1" ht="24" x14ac:dyDescent="0.25">
      <c r="A21" s="120" t="s">
        <v>56</v>
      </c>
      <c r="B21" s="135">
        <f t="shared" si="52"/>
        <v>126.64</v>
      </c>
      <c r="C21" s="135">
        <f t="shared" si="53"/>
        <v>80.64</v>
      </c>
      <c r="D21" s="135">
        <f t="shared" si="54"/>
        <v>46.05</v>
      </c>
      <c r="E21" s="135">
        <f t="shared" si="125"/>
        <v>34.590000000000003</v>
      </c>
      <c r="F21" s="135">
        <f t="shared" si="55"/>
        <v>3.76</v>
      </c>
      <c r="G21" s="124">
        <v>76.900000000000006</v>
      </c>
      <c r="H21" s="132">
        <v>800</v>
      </c>
      <c r="I21" s="133">
        <f t="shared" si="56"/>
        <v>61520</v>
      </c>
      <c r="J21" s="378">
        <f>'1.4. часы и места для МЗ и СЗ'!Z27</f>
        <v>100800</v>
      </c>
      <c r="K21" s="378">
        <f>'1.4. часы и места для МЗ и СЗ'!AA27</f>
        <v>1299</v>
      </c>
      <c r="L21" s="378">
        <f>'1.4. часы и места для МЗ и СЗ'!AB27</f>
        <v>83</v>
      </c>
      <c r="M21" s="378">
        <f>'1.4. часы и места для МЗ и СЗ'!AC27</f>
        <v>36</v>
      </c>
      <c r="N21" s="379">
        <f>'1.4. часы и места для МЗ и СЗ'!AD27</f>
        <v>10.42</v>
      </c>
      <c r="O21" s="133">
        <f t="shared" si="57"/>
        <v>126</v>
      </c>
      <c r="P21" s="125">
        <v>12</v>
      </c>
      <c r="Q21" s="160">
        <v>14410</v>
      </c>
      <c r="R21" s="272">
        <v>1.01</v>
      </c>
      <c r="S21" s="269">
        <f t="shared" si="58"/>
        <v>14554</v>
      </c>
      <c r="T21" s="127">
        <v>1.302</v>
      </c>
      <c r="U21" s="128">
        <f t="shared" si="0"/>
        <v>1.47617</v>
      </c>
      <c r="V21" s="129">
        <v>0</v>
      </c>
      <c r="W21" s="128">
        <f t="shared" si="1"/>
        <v>0.29274</v>
      </c>
      <c r="X21" s="128">
        <f t="shared" si="1"/>
        <v>0.45841999999999999</v>
      </c>
      <c r="Y21" s="129">
        <v>0</v>
      </c>
      <c r="Z21" s="128">
        <f t="shared" si="59"/>
        <v>0.81</v>
      </c>
      <c r="AA21" s="128">
        <f t="shared" si="2"/>
        <v>1.1776</v>
      </c>
      <c r="AB21" s="128">
        <f t="shared" si="2"/>
        <v>1.1232899999999999</v>
      </c>
      <c r="AC21" s="128">
        <f t="shared" si="60"/>
        <v>0.61031999999999997</v>
      </c>
      <c r="AD21" s="130">
        <f t="shared" si="3"/>
        <v>8.1689999999999999E-2</v>
      </c>
      <c r="AE21" s="131">
        <f t="shared" si="126"/>
        <v>8507520</v>
      </c>
      <c r="AF21" s="162">
        <v>44638.5</v>
      </c>
      <c r="AG21" s="138">
        <f t="shared" si="4"/>
        <v>23154.32</v>
      </c>
      <c r="AH21" s="142">
        <f t="shared" si="5"/>
        <v>12.955073000000001</v>
      </c>
      <c r="AI21" s="131">
        <f t="shared" si="61"/>
        <v>4686667</v>
      </c>
      <c r="AJ21" s="153">
        <f t="shared" si="62"/>
        <v>46</v>
      </c>
      <c r="AK21" s="140">
        <f t="shared" si="63"/>
        <v>1.99891</v>
      </c>
      <c r="AM21" s="135">
        <f t="shared" si="64"/>
        <v>73.37</v>
      </c>
      <c r="AN21" s="135">
        <f t="shared" si="65"/>
        <v>25.37</v>
      </c>
      <c r="AO21" s="135">
        <f t="shared" si="66"/>
        <v>12.12</v>
      </c>
      <c r="AP21" s="135">
        <f t="shared" si="127"/>
        <v>13.25</v>
      </c>
      <c r="AQ21" s="135">
        <f t="shared" si="67"/>
        <v>1.25</v>
      </c>
      <c r="AR21" s="124">
        <v>76.900000000000006</v>
      </c>
      <c r="AS21" s="132">
        <v>800</v>
      </c>
      <c r="AT21" s="133">
        <f t="shared" si="68"/>
        <v>61520</v>
      </c>
      <c r="AU21" s="378">
        <f>'1.4. часы и места для МЗ и СЗ'!Z66</f>
        <v>117512</v>
      </c>
      <c r="AV21" s="378">
        <f>'1.4. часы и места для МЗ и СЗ'!AA66</f>
        <v>1491</v>
      </c>
      <c r="AW21" s="378">
        <f>'1.4. часы и места для МЗ и СЗ'!AB66</f>
        <v>18</v>
      </c>
      <c r="AX21" s="378">
        <f>'1.4. часы и места для МЗ и СЗ'!AC66</f>
        <v>36</v>
      </c>
      <c r="AY21" s="379">
        <f>'1.4. часы и места для МЗ и СЗ'!AD66</f>
        <v>3.3</v>
      </c>
      <c r="AZ21" s="133">
        <f t="shared" si="69"/>
        <v>147</v>
      </c>
      <c r="BA21" s="125">
        <v>12</v>
      </c>
      <c r="BB21" s="382">
        <f t="shared" si="6"/>
        <v>14410</v>
      </c>
      <c r="BC21" s="383">
        <f t="shared" si="7"/>
        <v>1.01</v>
      </c>
      <c r="BD21" s="269">
        <f t="shared" si="70"/>
        <v>14554</v>
      </c>
      <c r="BE21" s="127">
        <v>1.302</v>
      </c>
      <c r="BF21" s="128">
        <f t="shared" si="8"/>
        <v>1.38046</v>
      </c>
      <c r="BG21" s="129">
        <v>0</v>
      </c>
      <c r="BH21" s="128">
        <f t="shared" si="9"/>
        <v>0.43123</v>
      </c>
      <c r="BI21" s="128">
        <f t="shared" si="9"/>
        <v>0.66134000000000004</v>
      </c>
      <c r="BJ21" s="129">
        <v>0</v>
      </c>
      <c r="BK21" s="128">
        <f t="shared" si="71"/>
        <v>0.72</v>
      </c>
      <c r="BL21" s="128">
        <f t="shared" si="10"/>
        <v>1.2245299999999999</v>
      </c>
      <c r="BM21" s="128">
        <f t="shared" si="10"/>
        <v>1.1232899999999999</v>
      </c>
      <c r="BN21" s="128">
        <f t="shared" si="72"/>
        <v>0.52312999999999998</v>
      </c>
      <c r="BO21" s="130">
        <f t="shared" si="11"/>
        <v>0.10316</v>
      </c>
      <c r="BP21" s="131">
        <f t="shared" si="128"/>
        <v>3128169</v>
      </c>
      <c r="BQ21" s="387">
        <f t="shared" si="12"/>
        <v>44638.5</v>
      </c>
      <c r="BR21" s="138">
        <f t="shared" si="13"/>
        <v>24547.29</v>
      </c>
      <c r="BS21" s="142">
        <f t="shared" si="14"/>
        <v>14.830109</v>
      </c>
      <c r="BT21" s="131">
        <f t="shared" si="73"/>
        <v>5687745</v>
      </c>
      <c r="BU21" s="153">
        <f t="shared" si="74"/>
        <v>48</v>
      </c>
      <c r="BV21" s="140">
        <f t="shared" si="75"/>
        <v>4.9603999999999999</v>
      </c>
      <c r="BX21" s="135">
        <f t="shared" si="76"/>
        <v>100.66</v>
      </c>
      <c r="BY21" s="135">
        <f t="shared" si="77"/>
        <v>55.66</v>
      </c>
      <c r="BZ21" s="135">
        <f t="shared" si="78"/>
        <v>27.9</v>
      </c>
      <c r="CA21" s="135">
        <f t="shared" si="129"/>
        <v>27.76</v>
      </c>
      <c r="CB21" s="135">
        <f t="shared" si="79"/>
        <v>8.9600000000000009</v>
      </c>
      <c r="CC21" s="124">
        <v>76.900000000000006</v>
      </c>
      <c r="CD21" s="132">
        <v>800</v>
      </c>
      <c r="CE21" s="133">
        <f t="shared" si="80"/>
        <v>61520</v>
      </c>
      <c r="CF21" s="378">
        <f>'1.4. часы и места для МЗ и СЗ'!Z79</f>
        <v>22896</v>
      </c>
      <c r="CG21" s="378">
        <f>'1.4. часы и места для МЗ и СЗ'!AA79</f>
        <v>234</v>
      </c>
      <c r="CH21" s="378">
        <f>'1.4. часы и места для МЗ и СЗ'!AB79</f>
        <v>8</v>
      </c>
      <c r="CI21" s="378">
        <f>'1.4. часы и места для МЗ и СЗ'!AC79</f>
        <v>36</v>
      </c>
      <c r="CJ21" s="379">
        <f>'1.4. часы и места для МЗ и СЗ'!AD79</f>
        <v>1.32</v>
      </c>
      <c r="CK21" s="133">
        <f t="shared" si="81"/>
        <v>29</v>
      </c>
      <c r="CL21" s="125">
        <v>12</v>
      </c>
      <c r="CM21" s="382">
        <f t="shared" si="15"/>
        <v>14410</v>
      </c>
      <c r="CN21" s="383">
        <f t="shared" si="16"/>
        <v>1.01</v>
      </c>
      <c r="CO21" s="269">
        <f t="shared" si="82"/>
        <v>14554</v>
      </c>
      <c r="CP21" s="127">
        <v>1.302</v>
      </c>
      <c r="CQ21" s="128">
        <f t="shared" si="17"/>
        <v>1.34843</v>
      </c>
      <c r="CR21" s="129">
        <v>0</v>
      </c>
      <c r="CS21" s="128">
        <f t="shared" si="18"/>
        <v>0.33637</v>
      </c>
      <c r="CT21" s="128">
        <f t="shared" si="18"/>
        <v>0.65883000000000003</v>
      </c>
      <c r="CU21" s="129">
        <v>0</v>
      </c>
      <c r="CV21" s="128">
        <f t="shared" si="83"/>
        <v>4.24</v>
      </c>
      <c r="CW21" s="128">
        <f t="shared" si="19"/>
        <v>1.4220999999999999</v>
      </c>
      <c r="CX21" s="128">
        <f t="shared" si="19"/>
        <v>1.1232899999999999</v>
      </c>
      <c r="CY21" s="128">
        <f t="shared" si="84"/>
        <v>2.6517200000000001</v>
      </c>
      <c r="CZ21" s="130">
        <f t="shared" si="20"/>
        <v>0.32107000000000002</v>
      </c>
      <c r="DA21" s="131">
        <f t="shared" si="130"/>
        <v>1479540</v>
      </c>
      <c r="DB21" s="387">
        <f t="shared" si="21"/>
        <v>44638.5</v>
      </c>
      <c r="DC21" s="138">
        <f t="shared" si="22"/>
        <v>25013.45</v>
      </c>
      <c r="DD21" s="142">
        <f t="shared" si="23"/>
        <v>2.6608070000000001</v>
      </c>
      <c r="DE21" s="131">
        <f t="shared" si="85"/>
        <v>1039870</v>
      </c>
      <c r="DF21" s="153">
        <f t="shared" si="86"/>
        <v>45</v>
      </c>
      <c r="DG21" s="140">
        <f t="shared" si="87"/>
        <v>2.6128999999999998</v>
      </c>
      <c r="DI21" s="135">
        <f t="shared" si="88"/>
        <v>0</v>
      </c>
      <c r="DJ21" s="135">
        <f t="shared" si="89"/>
        <v>0</v>
      </c>
      <c r="DK21" s="135">
        <f t="shared" si="90"/>
        <v>0</v>
      </c>
      <c r="DL21" s="135">
        <f t="shared" si="131"/>
        <v>0</v>
      </c>
      <c r="DM21" s="135">
        <f t="shared" si="91"/>
        <v>0</v>
      </c>
      <c r="DN21" s="124">
        <v>76.900000000000006</v>
      </c>
      <c r="DO21" s="132">
        <v>800</v>
      </c>
      <c r="DP21" s="133">
        <f t="shared" si="92"/>
        <v>61520</v>
      </c>
      <c r="DQ21" s="378">
        <f>'1.4. часы и места для МЗ и СЗ'!Z40</f>
        <v>0</v>
      </c>
      <c r="DR21" s="378">
        <f>'1.4. часы и места для МЗ и СЗ'!AA40</f>
        <v>0</v>
      </c>
      <c r="DS21" s="378">
        <f>'1.4. часы и места для МЗ и СЗ'!AB40</f>
        <v>0</v>
      </c>
      <c r="DT21" s="378">
        <f>'1.4. часы и места для МЗ и СЗ'!AC40</f>
        <v>0</v>
      </c>
      <c r="DU21" s="379">
        <f>'1.4. часы и места для МЗ и СЗ'!AD40</f>
        <v>0</v>
      </c>
      <c r="DV21" s="133">
        <f t="shared" si="93"/>
        <v>0</v>
      </c>
      <c r="DW21" s="125">
        <v>12</v>
      </c>
      <c r="DX21" s="382">
        <f t="shared" si="24"/>
        <v>14410</v>
      </c>
      <c r="DY21" s="383">
        <f t="shared" si="25"/>
        <v>1.01</v>
      </c>
      <c r="DZ21" s="269">
        <f t="shared" si="94"/>
        <v>14554</v>
      </c>
      <c r="EA21" s="127">
        <v>1.302</v>
      </c>
      <c r="EB21" s="128">
        <f t="shared" si="26"/>
        <v>1.35737</v>
      </c>
      <c r="EC21" s="129">
        <v>0</v>
      </c>
      <c r="ED21" s="128">
        <f t="shared" si="27"/>
        <v>0.22051999999999999</v>
      </c>
      <c r="EE21" s="128">
        <f t="shared" si="27"/>
        <v>0.73350000000000004</v>
      </c>
      <c r="EF21" s="129">
        <v>0</v>
      </c>
      <c r="EG21" s="128">
        <f t="shared" si="95"/>
        <v>0</v>
      </c>
      <c r="EH21" s="128">
        <f t="shared" si="28"/>
        <v>1.2033499999999999</v>
      </c>
      <c r="EI21" s="128">
        <f t="shared" si="28"/>
        <v>1.1232899999999999</v>
      </c>
      <c r="EJ21" s="128">
        <f t="shared" si="96"/>
        <v>0</v>
      </c>
      <c r="EK21" s="130">
        <f t="shared" si="29"/>
        <v>0.17288999999999999</v>
      </c>
      <c r="EL21" s="131">
        <f>DJ21*DQ21+DM21*DQ21</f>
        <v>0</v>
      </c>
      <c r="EM21" s="387">
        <f t="shared" si="30"/>
        <v>44638.5</v>
      </c>
      <c r="EN21" s="138">
        <f t="shared" si="31"/>
        <v>24883.34</v>
      </c>
      <c r="EO21" s="142">
        <f t="shared" si="32"/>
        <v>0</v>
      </c>
      <c r="EP21" s="131">
        <f t="shared" si="97"/>
        <v>0</v>
      </c>
      <c r="EQ21" s="153">
        <f t="shared" si="98"/>
        <v>0</v>
      </c>
      <c r="ER21" s="140">
        <f t="shared" si="99"/>
        <v>0</v>
      </c>
      <c r="ET21" s="135">
        <f t="shared" si="100"/>
        <v>0</v>
      </c>
      <c r="EU21" s="135">
        <f t="shared" si="101"/>
        <v>0</v>
      </c>
      <c r="EV21" s="135">
        <f t="shared" si="102"/>
        <v>0</v>
      </c>
      <c r="EW21" s="135">
        <f t="shared" si="133"/>
        <v>0</v>
      </c>
      <c r="EX21" s="135">
        <f t="shared" si="103"/>
        <v>0</v>
      </c>
      <c r="EY21" s="124">
        <v>76.900000000000006</v>
      </c>
      <c r="EZ21" s="132">
        <v>800</v>
      </c>
      <c r="FA21" s="133">
        <f t="shared" si="104"/>
        <v>61520</v>
      </c>
      <c r="FB21" s="378">
        <f>'1.4. часы и места для МЗ и СЗ'!Z53</f>
        <v>0</v>
      </c>
      <c r="FC21" s="378">
        <f>'1.4. часы и места для МЗ и СЗ'!AA53</f>
        <v>0</v>
      </c>
      <c r="FD21" s="378">
        <f>'1.4. часы и места для МЗ и СЗ'!AB53</f>
        <v>0</v>
      </c>
      <c r="FE21" s="378">
        <f>'1.4. часы и места для МЗ и СЗ'!AC53</f>
        <v>0</v>
      </c>
      <c r="FF21" s="379">
        <f>'1.4. часы и места для МЗ и СЗ'!AD53</f>
        <v>0</v>
      </c>
      <c r="FG21" s="133">
        <f t="shared" si="105"/>
        <v>0</v>
      </c>
      <c r="FH21" s="125">
        <v>12</v>
      </c>
      <c r="FI21" s="382">
        <f t="shared" si="33"/>
        <v>14410</v>
      </c>
      <c r="FJ21" s="383">
        <f t="shared" si="34"/>
        <v>1.01</v>
      </c>
      <c r="FK21" s="269">
        <f t="shared" si="106"/>
        <v>14554</v>
      </c>
      <c r="FL21" s="127">
        <v>1.302</v>
      </c>
      <c r="FM21" s="128">
        <f t="shared" si="35"/>
        <v>1.32193</v>
      </c>
      <c r="FN21" s="129">
        <v>0</v>
      </c>
      <c r="FO21" s="128">
        <f t="shared" si="36"/>
        <v>0.21695999999999999</v>
      </c>
      <c r="FP21" s="128">
        <f t="shared" si="36"/>
        <v>0.97809999999999997</v>
      </c>
      <c r="FQ21" s="129">
        <v>0</v>
      </c>
      <c r="FR21" s="128">
        <f t="shared" si="107"/>
        <v>0</v>
      </c>
      <c r="FS21" s="128">
        <f t="shared" si="37"/>
        <v>1.0935600000000001</v>
      </c>
      <c r="FT21" s="128">
        <f t="shared" si="37"/>
        <v>1.1232899999999999</v>
      </c>
      <c r="FU21" s="128">
        <f t="shared" si="108"/>
        <v>0</v>
      </c>
      <c r="FV21" s="130">
        <f t="shared" si="38"/>
        <v>0</v>
      </c>
      <c r="FW21" s="131">
        <f t="shared" si="134"/>
        <v>0</v>
      </c>
      <c r="FX21" s="387">
        <f t="shared" si="39"/>
        <v>44638.5</v>
      </c>
      <c r="FY21" s="138">
        <f t="shared" si="40"/>
        <v>25399.13</v>
      </c>
      <c r="FZ21" s="142">
        <f t="shared" si="41"/>
        <v>0</v>
      </c>
      <c r="GA21" s="131">
        <f t="shared" si="109"/>
        <v>0</v>
      </c>
      <c r="GB21" s="153">
        <f t="shared" si="110"/>
        <v>0</v>
      </c>
      <c r="GC21" s="140">
        <f t="shared" si="111"/>
        <v>0</v>
      </c>
      <c r="GE21" s="135">
        <f t="shared" si="112"/>
        <v>96.25</v>
      </c>
      <c r="GF21" s="135">
        <f t="shared" si="113"/>
        <v>54.25</v>
      </c>
      <c r="GG21" s="135">
        <f t="shared" si="114"/>
        <v>28.15</v>
      </c>
      <c r="GH21" s="135">
        <f t="shared" si="135"/>
        <v>26.1</v>
      </c>
      <c r="GI21" s="135">
        <f t="shared" si="115"/>
        <v>3.88</v>
      </c>
      <c r="GJ21" s="124">
        <v>76.900000000000006</v>
      </c>
      <c r="GK21" s="132">
        <v>800</v>
      </c>
      <c r="GL21" s="133">
        <f t="shared" si="116"/>
        <v>61520</v>
      </c>
      <c r="GM21" s="227">
        <f t="shared" si="136"/>
        <v>241208</v>
      </c>
      <c r="GN21" s="227">
        <f t="shared" si="136"/>
        <v>3024</v>
      </c>
      <c r="GO21" s="227">
        <f t="shared" si="136"/>
        <v>109</v>
      </c>
      <c r="GP21" s="158" t="s">
        <v>471</v>
      </c>
      <c r="GQ21" s="229">
        <f t="shared" si="137"/>
        <v>15.04</v>
      </c>
      <c r="GR21" s="133">
        <f t="shared" si="117"/>
        <v>302</v>
      </c>
      <c r="GS21" s="125">
        <v>12</v>
      </c>
      <c r="GT21" s="382">
        <f t="shared" si="43"/>
        <v>14410</v>
      </c>
      <c r="GU21" s="383">
        <f t="shared" si="44"/>
        <v>1.01</v>
      </c>
      <c r="GV21" s="269">
        <f t="shared" si="118"/>
        <v>14554</v>
      </c>
      <c r="GW21" s="127">
        <v>1.302</v>
      </c>
      <c r="GX21" s="128">
        <f t="shared" si="45"/>
        <v>1.4064300000000001</v>
      </c>
      <c r="GY21" s="129">
        <v>0</v>
      </c>
      <c r="GZ21" s="128">
        <f t="shared" si="46"/>
        <v>0.32916000000000001</v>
      </c>
      <c r="HA21" s="128">
        <f t="shared" si="46"/>
        <v>0.59841999999999995</v>
      </c>
      <c r="HB21" s="129">
        <v>0</v>
      </c>
      <c r="HC21" s="128">
        <f t="shared" si="119"/>
        <v>0.36</v>
      </c>
      <c r="HD21" s="128">
        <f t="shared" si="47"/>
        <v>1.24295</v>
      </c>
      <c r="HE21" s="128">
        <f t="shared" si="47"/>
        <v>1.1232899999999999</v>
      </c>
      <c r="HF21" s="128">
        <f t="shared" si="120"/>
        <v>0.25463999999999998</v>
      </c>
      <c r="HG21" s="130">
        <f t="shared" si="48"/>
        <v>0.13783999999999999</v>
      </c>
      <c r="HH21" s="131">
        <f t="shared" si="138"/>
        <v>14021421</v>
      </c>
      <c r="HI21" s="387">
        <f t="shared" si="49"/>
        <v>44638.5</v>
      </c>
      <c r="HJ21" s="138">
        <f t="shared" si="50"/>
        <v>24169.32</v>
      </c>
      <c r="HK21" s="142">
        <f t="shared" si="51"/>
        <v>26.962188000000001</v>
      </c>
      <c r="HL21" s="131">
        <f t="shared" si="121"/>
        <v>10181501</v>
      </c>
      <c r="HM21" s="153">
        <f t="shared" si="122"/>
        <v>42</v>
      </c>
      <c r="HN21" s="140">
        <f t="shared" si="123"/>
        <v>2.4920100000000001</v>
      </c>
      <c r="HP21" s="151">
        <f t="shared" si="124"/>
        <v>270.72000000000003</v>
      </c>
    </row>
    <row r="22" spans="1:224" s="113" customFormat="1" ht="36" x14ac:dyDescent="0.25">
      <c r="A22" s="121" t="s">
        <v>441</v>
      </c>
      <c r="B22" s="135">
        <f t="shared" si="52"/>
        <v>0</v>
      </c>
      <c r="C22" s="135">
        <f t="shared" si="53"/>
        <v>0</v>
      </c>
      <c r="D22" s="135">
        <f t="shared" si="54"/>
        <v>0</v>
      </c>
      <c r="E22" s="135">
        <f t="shared" si="125"/>
        <v>0</v>
      </c>
      <c r="F22" s="135">
        <f t="shared" si="55"/>
        <v>0</v>
      </c>
      <c r="G22" s="124">
        <v>76.900000000000006</v>
      </c>
      <c r="H22" s="132">
        <v>800</v>
      </c>
      <c r="I22" s="133">
        <f t="shared" si="56"/>
        <v>61520</v>
      </c>
      <c r="J22" s="378">
        <f>'1.4. часы и места для МЗ и СЗ'!Z29</f>
        <v>0</v>
      </c>
      <c r="K22" s="378">
        <f>'1.4. часы и места для МЗ и СЗ'!AA29</f>
        <v>0</v>
      </c>
      <c r="L22" s="378">
        <f>'1.4. часы и места для МЗ и СЗ'!AB29</f>
        <v>0</v>
      </c>
      <c r="M22" s="378">
        <f>'1.4. часы и места для МЗ и СЗ'!AC29</f>
        <v>0</v>
      </c>
      <c r="N22" s="379">
        <f>'1.4. часы и места для МЗ и СЗ'!AD29</f>
        <v>0</v>
      </c>
      <c r="O22" s="133">
        <f t="shared" si="57"/>
        <v>0</v>
      </c>
      <c r="P22" s="125">
        <v>12</v>
      </c>
      <c r="Q22" s="160">
        <v>14410</v>
      </c>
      <c r="R22" s="272">
        <v>1.01</v>
      </c>
      <c r="S22" s="269">
        <f t="shared" si="58"/>
        <v>14554</v>
      </c>
      <c r="T22" s="127">
        <v>1.302</v>
      </c>
      <c r="U22" s="128">
        <f>U$12</f>
        <v>1.48072</v>
      </c>
      <c r="V22" s="129">
        <v>0</v>
      </c>
      <c r="W22" s="128">
        <f>W$12</f>
        <v>0.29183999999999999</v>
      </c>
      <c r="X22" s="128">
        <f>X$12</f>
        <v>0.46305000000000002</v>
      </c>
      <c r="Y22" s="129">
        <v>0</v>
      </c>
      <c r="Z22" s="128">
        <f t="shared" si="59"/>
        <v>0</v>
      </c>
      <c r="AA22" s="128">
        <f t="shared" si="2"/>
        <v>1.1776</v>
      </c>
      <c r="AB22" s="128">
        <f>AB$12</f>
        <v>1.16164</v>
      </c>
      <c r="AC22" s="128">
        <f t="shared" si="60"/>
        <v>0</v>
      </c>
      <c r="AD22" s="130">
        <f>AD$12</f>
        <v>8.1439999999999999E-2</v>
      </c>
      <c r="AE22" s="131">
        <f t="shared" si="126"/>
        <v>0</v>
      </c>
      <c r="AF22" s="162">
        <v>44638.5</v>
      </c>
      <c r="AG22" s="138">
        <f t="shared" si="4"/>
        <v>23088.1</v>
      </c>
      <c r="AH22" s="142">
        <f t="shared" si="5"/>
        <v>0</v>
      </c>
      <c r="AI22" s="131">
        <f t="shared" si="61"/>
        <v>0</v>
      </c>
      <c r="AJ22" s="153">
        <f t="shared" si="62"/>
        <v>0</v>
      </c>
      <c r="AK22" s="140">
        <f t="shared" si="63"/>
        <v>0</v>
      </c>
      <c r="AM22" s="135">
        <f t="shared" si="64"/>
        <v>97.72</v>
      </c>
      <c r="AN22" s="135">
        <f t="shared" si="65"/>
        <v>49.72</v>
      </c>
      <c r="AO22" s="135">
        <f t="shared" si="66"/>
        <v>23.72</v>
      </c>
      <c r="AP22" s="135">
        <f t="shared" si="127"/>
        <v>26</v>
      </c>
      <c r="AQ22" s="135">
        <f t="shared" si="67"/>
        <v>2.4300000000000002</v>
      </c>
      <c r="AR22" s="124">
        <v>76.900000000000006</v>
      </c>
      <c r="AS22" s="132">
        <v>800</v>
      </c>
      <c r="AT22" s="133">
        <f t="shared" si="68"/>
        <v>61520</v>
      </c>
      <c r="AU22" s="378">
        <f>'1.4. часы и места для МЗ и СЗ'!Z68</f>
        <v>10648</v>
      </c>
      <c r="AV22" s="378">
        <f>'1.4. часы и места для МЗ и СЗ'!AA68</f>
        <v>59</v>
      </c>
      <c r="AW22" s="378">
        <f>'1.4. часы и места для МЗ и СЗ'!AB68</f>
        <v>3</v>
      </c>
      <c r="AX22" s="378">
        <f>'1.4. часы и места для МЗ и СЗ'!AC68</f>
        <v>44</v>
      </c>
      <c r="AY22" s="379">
        <f>'1.4. часы и места для МЗ и СЗ'!AD68</f>
        <v>0.55000000000000004</v>
      </c>
      <c r="AZ22" s="133">
        <f t="shared" si="69"/>
        <v>13</v>
      </c>
      <c r="BA22" s="125">
        <v>12</v>
      </c>
      <c r="BB22" s="382">
        <f t="shared" si="6"/>
        <v>14410</v>
      </c>
      <c r="BC22" s="383">
        <f t="shared" si="7"/>
        <v>1.01</v>
      </c>
      <c r="BD22" s="269">
        <f t="shared" si="70"/>
        <v>14554</v>
      </c>
      <c r="BE22" s="127">
        <v>1.302</v>
      </c>
      <c r="BF22" s="128">
        <f>BF$12</f>
        <v>1.3871500000000001</v>
      </c>
      <c r="BG22" s="129">
        <v>0</v>
      </c>
      <c r="BH22" s="128">
        <f>BH$12</f>
        <v>0.42914999999999998</v>
      </c>
      <c r="BI22" s="128">
        <f>BI$12</f>
        <v>0.66744000000000003</v>
      </c>
      <c r="BJ22" s="129">
        <v>0</v>
      </c>
      <c r="BK22" s="128">
        <f t="shared" si="71"/>
        <v>8.41</v>
      </c>
      <c r="BL22" s="128">
        <f t="shared" si="10"/>
        <v>1.2245299999999999</v>
      </c>
      <c r="BM22" s="128">
        <f>BM$12</f>
        <v>1.16164</v>
      </c>
      <c r="BN22" s="128">
        <f t="shared" si="72"/>
        <v>5.9153799999999999</v>
      </c>
      <c r="BO22" s="130">
        <f>BO$12</f>
        <v>0.10267</v>
      </c>
      <c r="BP22" s="131">
        <f t="shared" si="128"/>
        <v>555293</v>
      </c>
      <c r="BQ22" s="387">
        <f t="shared" si="12"/>
        <v>44638.5</v>
      </c>
      <c r="BR22" s="138">
        <f t="shared" si="13"/>
        <v>24449.919999999998</v>
      </c>
      <c r="BS22" s="142">
        <f t="shared" si="14"/>
        <v>1.3437859999999999</v>
      </c>
      <c r="BT22" s="131">
        <f t="shared" si="73"/>
        <v>513334</v>
      </c>
      <c r="BU22" s="153">
        <f t="shared" si="74"/>
        <v>48</v>
      </c>
      <c r="BV22" s="140">
        <f t="shared" si="75"/>
        <v>3.0236100000000001</v>
      </c>
      <c r="BX22" s="135">
        <f t="shared" si="76"/>
        <v>0</v>
      </c>
      <c r="BY22" s="135">
        <f t="shared" si="77"/>
        <v>0</v>
      </c>
      <c r="BZ22" s="135">
        <f t="shared" si="78"/>
        <v>0</v>
      </c>
      <c r="CA22" s="135">
        <f t="shared" si="129"/>
        <v>0</v>
      </c>
      <c r="CB22" s="135">
        <f t="shared" si="79"/>
        <v>0</v>
      </c>
      <c r="CC22" s="124">
        <v>76.900000000000006</v>
      </c>
      <c r="CD22" s="132">
        <v>800</v>
      </c>
      <c r="CE22" s="133">
        <f t="shared" si="80"/>
        <v>61520</v>
      </c>
      <c r="CF22" s="378">
        <f>'1.4. часы и места для МЗ и СЗ'!Z81</f>
        <v>0</v>
      </c>
      <c r="CG22" s="378">
        <f>'1.4. часы и места для МЗ и СЗ'!AA81</f>
        <v>0</v>
      </c>
      <c r="CH22" s="378">
        <f>'1.4. часы и места для МЗ и СЗ'!AB81</f>
        <v>0</v>
      </c>
      <c r="CI22" s="378">
        <f>'1.4. часы и места для МЗ и СЗ'!AC81</f>
        <v>0</v>
      </c>
      <c r="CJ22" s="379">
        <f>'1.4. часы и места для МЗ и СЗ'!AD81</f>
        <v>0</v>
      </c>
      <c r="CK22" s="133">
        <f t="shared" si="81"/>
        <v>0</v>
      </c>
      <c r="CL22" s="125">
        <v>12</v>
      </c>
      <c r="CM22" s="382">
        <f t="shared" si="15"/>
        <v>14410</v>
      </c>
      <c r="CN22" s="383">
        <f t="shared" si="16"/>
        <v>1.01</v>
      </c>
      <c r="CO22" s="269">
        <f t="shared" si="82"/>
        <v>14554</v>
      </c>
      <c r="CP22" s="127">
        <v>1.302</v>
      </c>
      <c r="CQ22" s="128">
        <f>CQ$12</f>
        <v>1.3502099999999999</v>
      </c>
      <c r="CR22" s="129">
        <v>0</v>
      </c>
      <c r="CS22" s="128">
        <f>CS$12</f>
        <v>0.33593000000000001</v>
      </c>
      <c r="CT22" s="128">
        <f>CT$12</f>
        <v>0.67049999999999998</v>
      </c>
      <c r="CU22" s="129">
        <v>0</v>
      </c>
      <c r="CV22" s="128">
        <f t="shared" si="83"/>
        <v>0</v>
      </c>
      <c r="CW22" s="128">
        <f t="shared" si="19"/>
        <v>1.4220999999999999</v>
      </c>
      <c r="CX22" s="128">
        <f>CX$12</f>
        <v>1.16164</v>
      </c>
      <c r="CY22" s="128">
        <f t="shared" si="84"/>
        <v>0</v>
      </c>
      <c r="CZ22" s="130">
        <f>CZ$12</f>
        <v>0.32064999999999999</v>
      </c>
      <c r="DA22" s="131">
        <f t="shared" si="130"/>
        <v>0</v>
      </c>
      <c r="DB22" s="387">
        <f t="shared" si="21"/>
        <v>44638.5</v>
      </c>
      <c r="DC22" s="138">
        <f t="shared" si="22"/>
        <v>24987.54</v>
      </c>
      <c r="DD22" s="142">
        <f t="shared" si="23"/>
        <v>0</v>
      </c>
      <c r="DE22" s="131">
        <f t="shared" si="85"/>
        <v>0</v>
      </c>
      <c r="DF22" s="153">
        <f t="shared" si="86"/>
        <v>0</v>
      </c>
      <c r="DG22" s="140">
        <f t="shared" si="87"/>
        <v>0</v>
      </c>
      <c r="DI22" s="135">
        <f t="shared" si="88"/>
        <v>0</v>
      </c>
      <c r="DJ22" s="135">
        <f t="shared" si="89"/>
        <v>0</v>
      </c>
      <c r="DK22" s="135">
        <f t="shared" si="90"/>
        <v>0</v>
      </c>
      <c r="DL22" s="135">
        <f t="shared" si="131"/>
        <v>0</v>
      </c>
      <c r="DM22" s="135">
        <f t="shared" si="91"/>
        <v>0</v>
      </c>
      <c r="DN22" s="124">
        <v>76.900000000000006</v>
      </c>
      <c r="DO22" s="132">
        <v>800</v>
      </c>
      <c r="DP22" s="133">
        <f t="shared" si="92"/>
        <v>61520</v>
      </c>
      <c r="DQ22" s="378">
        <f>'1.4. часы и места для МЗ и СЗ'!Z42</f>
        <v>0</v>
      </c>
      <c r="DR22" s="378">
        <f>'1.4. часы и места для МЗ и СЗ'!AA42</f>
        <v>0</v>
      </c>
      <c r="DS22" s="378">
        <f>'1.4. часы и места для МЗ и СЗ'!AB42</f>
        <v>0</v>
      </c>
      <c r="DT22" s="378">
        <f>'1.4. часы и места для МЗ и СЗ'!AC42</f>
        <v>0</v>
      </c>
      <c r="DU22" s="379">
        <f>'1.4. часы и места для МЗ и СЗ'!AD42</f>
        <v>0</v>
      </c>
      <c r="DV22" s="133">
        <f t="shared" si="93"/>
        <v>0</v>
      </c>
      <c r="DW22" s="125">
        <v>12</v>
      </c>
      <c r="DX22" s="382">
        <f t="shared" si="24"/>
        <v>14410</v>
      </c>
      <c r="DY22" s="383">
        <f t="shared" si="25"/>
        <v>1.01</v>
      </c>
      <c r="DZ22" s="269">
        <f t="shared" si="94"/>
        <v>14554</v>
      </c>
      <c r="EA22" s="127">
        <v>1.302</v>
      </c>
      <c r="EB22" s="128">
        <f>EB$12</f>
        <v>1.35737</v>
      </c>
      <c r="EC22" s="129">
        <v>0</v>
      </c>
      <c r="ED22" s="128">
        <f>ED$12</f>
        <v>0.22051999999999999</v>
      </c>
      <c r="EE22" s="128">
        <f>EE$12</f>
        <v>0.73350000000000004</v>
      </c>
      <c r="EF22" s="129">
        <v>0</v>
      </c>
      <c r="EG22" s="128">
        <f t="shared" si="95"/>
        <v>0</v>
      </c>
      <c r="EH22" s="128">
        <f>EH$11</f>
        <v>1.2033499999999999</v>
      </c>
      <c r="EI22" s="128">
        <f>EI$12</f>
        <v>1.16164</v>
      </c>
      <c r="EJ22" s="128">
        <f t="shared" si="96"/>
        <v>0</v>
      </c>
      <c r="EK22" s="130">
        <f>EK$12</f>
        <v>0.17288999999999999</v>
      </c>
      <c r="EL22" s="131">
        <f t="shared" si="132"/>
        <v>0</v>
      </c>
      <c r="EM22" s="387">
        <f t="shared" si="30"/>
        <v>44638.5</v>
      </c>
      <c r="EN22" s="138">
        <f t="shared" si="31"/>
        <v>24883.34</v>
      </c>
      <c r="EO22" s="142">
        <f t="shared" si="32"/>
        <v>0</v>
      </c>
      <c r="EP22" s="131">
        <f t="shared" si="97"/>
        <v>0</v>
      </c>
      <c r="EQ22" s="153">
        <f t="shared" si="98"/>
        <v>0</v>
      </c>
      <c r="ER22" s="140">
        <f t="shared" si="99"/>
        <v>0</v>
      </c>
      <c r="ET22" s="135">
        <f t="shared" si="100"/>
        <v>0</v>
      </c>
      <c r="EU22" s="135">
        <f t="shared" si="101"/>
        <v>0</v>
      </c>
      <c r="EV22" s="135">
        <f t="shared" si="102"/>
        <v>0</v>
      </c>
      <c r="EW22" s="135">
        <f t="shared" si="133"/>
        <v>0</v>
      </c>
      <c r="EX22" s="135">
        <f t="shared" si="103"/>
        <v>0</v>
      </c>
      <c r="EY22" s="124">
        <v>76.900000000000006</v>
      </c>
      <c r="EZ22" s="132">
        <v>800</v>
      </c>
      <c r="FA22" s="133">
        <f t="shared" si="104"/>
        <v>61520</v>
      </c>
      <c r="FB22" s="378">
        <f>'1.4. часы и места для МЗ и СЗ'!Z55</f>
        <v>0</v>
      </c>
      <c r="FC22" s="378">
        <f>'1.4. часы и места для МЗ и СЗ'!AA55</f>
        <v>0</v>
      </c>
      <c r="FD22" s="378">
        <f>'1.4. часы и места для МЗ и СЗ'!AB55</f>
        <v>0</v>
      </c>
      <c r="FE22" s="378">
        <f>'1.4. часы и места для МЗ и СЗ'!AC55</f>
        <v>0</v>
      </c>
      <c r="FF22" s="379">
        <f>'1.4. часы и места для МЗ и СЗ'!AD55</f>
        <v>0</v>
      </c>
      <c r="FG22" s="133">
        <f t="shared" si="105"/>
        <v>0</v>
      </c>
      <c r="FH22" s="125">
        <v>12</v>
      </c>
      <c r="FI22" s="382">
        <f t="shared" si="33"/>
        <v>14410</v>
      </c>
      <c r="FJ22" s="383">
        <f t="shared" si="34"/>
        <v>1.01</v>
      </c>
      <c r="FK22" s="269">
        <f t="shared" si="106"/>
        <v>14554</v>
      </c>
      <c r="FL22" s="127">
        <v>1.302</v>
      </c>
      <c r="FM22" s="128">
        <f>FM$12</f>
        <v>1.32193</v>
      </c>
      <c r="FN22" s="129">
        <v>0</v>
      </c>
      <c r="FO22" s="128">
        <f>FO$12</f>
        <v>0.21695999999999999</v>
      </c>
      <c r="FP22" s="128">
        <f>FP$12</f>
        <v>0.97809999999999997</v>
      </c>
      <c r="FQ22" s="129">
        <v>0</v>
      </c>
      <c r="FR22" s="128">
        <f t="shared" si="107"/>
        <v>0</v>
      </c>
      <c r="FS22" s="128">
        <f t="shared" si="37"/>
        <v>1.0935600000000001</v>
      </c>
      <c r="FT22" s="128">
        <f>FT$12</f>
        <v>1.16164</v>
      </c>
      <c r="FU22" s="128">
        <f t="shared" si="108"/>
        <v>0</v>
      </c>
      <c r="FV22" s="130">
        <f>FV$12</f>
        <v>0</v>
      </c>
      <c r="FW22" s="131">
        <f t="shared" si="134"/>
        <v>0</v>
      </c>
      <c r="FX22" s="387">
        <f t="shared" si="39"/>
        <v>44638.5</v>
      </c>
      <c r="FY22" s="138">
        <f t="shared" si="40"/>
        <v>25399.13</v>
      </c>
      <c r="FZ22" s="142">
        <f t="shared" si="41"/>
        <v>0</v>
      </c>
      <c r="GA22" s="131">
        <f t="shared" si="109"/>
        <v>0</v>
      </c>
      <c r="GB22" s="153">
        <f t="shared" si="110"/>
        <v>0</v>
      </c>
      <c r="GC22" s="140">
        <f t="shared" si="111"/>
        <v>0</v>
      </c>
      <c r="GE22" s="135">
        <f t="shared" si="112"/>
        <v>89.32</v>
      </c>
      <c r="GF22" s="135">
        <f t="shared" si="113"/>
        <v>47.32</v>
      </c>
      <c r="GG22" s="135">
        <f t="shared" si="114"/>
        <v>24.49</v>
      </c>
      <c r="GH22" s="135">
        <f t="shared" si="135"/>
        <v>22.83</v>
      </c>
      <c r="GI22" s="135">
        <f t="shared" si="115"/>
        <v>3.37</v>
      </c>
      <c r="GJ22" s="124">
        <v>76.900000000000006</v>
      </c>
      <c r="GK22" s="132">
        <v>800</v>
      </c>
      <c r="GL22" s="133">
        <f t="shared" si="116"/>
        <v>61520</v>
      </c>
      <c r="GM22" s="227">
        <f t="shared" si="136"/>
        <v>10648</v>
      </c>
      <c r="GN22" s="227">
        <f t="shared" si="136"/>
        <v>59</v>
      </c>
      <c r="GO22" s="227">
        <f t="shared" si="136"/>
        <v>3</v>
      </c>
      <c r="GP22" s="158" t="s">
        <v>471</v>
      </c>
      <c r="GQ22" s="229">
        <f t="shared" si="137"/>
        <v>0.55000000000000004</v>
      </c>
      <c r="GR22" s="133">
        <f t="shared" si="117"/>
        <v>13</v>
      </c>
      <c r="GS22" s="125">
        <v>12</v>
      </c>
      <c r="GT22" s="382">
        <f t="shared" si="43"/>
        <v>14410</v>
      </c>
      <c r="GU22" s="383">
        <f t="shared" si="44"/>
        <v>1.01</v>
      </c>
      <c r="GV22" s="269">
        <f t="shared" si="118"/>
        <v>14554</v>
      </c>
      <c r="GW22" s="127">
        <v>1.302</v>
      </c>
      <c r="GX22" s="128">
        <f>GX$12</f>
        <v>1.41039</v>
      </c>
      <c r="GY22" s="129">
        <v>0</v>
      </c>
      <c r="GZ22" s="128">
        <f>GZ$12</f>
        <v>0.32823000000000002</v>
      </c>
      <c r="HA22" s="128">
        <f>HA$12</f>
        <v>0.60419</v>
      </c>
      <c r="HB22" s="129">
        <v>0</v>
      </c>
      <c r="HC22" s="128">
        <f t="shared" si="119"/>
        <v>8.5399999999999991</v>
      </c>
      <c r="HD22" s="128">
        <f t="shared" si="47"/>
        <v>1.24295</v>
      </c>
      <c r="HE22" s="128">
        <f>HE$12</f>
        <v>1.16164</v>
      </c>
      <c r="HF22" s="128">
        <f t="shared" si="120"/>
        <v>5.9153799999999999</v>
      </c>
      <c r="HG22" s="130">
        <f>HG$12</f>
        <v>0.13744999999999999</v>
      </c>
      <c r="HH22" s="131">
        <f t="shared" si="138"/>
        <v>539747</v>
      </c>
      <c r="HI22" s="387">
        <f t="shared" si="49"/>
        <v>44638.5</v>
      </c>
      <c r="HJ22" s="138">
        <f t="shared" si="50"/>
        <v>24111.68</v>
      </c>
      <c r="HK22" s="142">
        <f t="shared" si="51"/>
        <v>1.190232</v>
      </c>
      <c r="HL22" s="131">
        <f t="shared" si="121"/>
        <v>448385</v>
      </c>
      <c r="HM22" s="153">
        <f t="shared" si="122"/>
        <v>42</v>
      </c>
      <c r="HN22" s="140">
        <f t="shared" si="123"/>
        <v>2.7149899999999998</v>
      </c>
      <c r="HP22" s="151">
        <f t="shared" si="124"/>
        <v>9.9</v>
      </c>
    </row>
    <row r="23" spans="1:224" s="113" customFormat="1" ht="36" x14ac:dyDescent="0.25">
      <c r="A23" s="121" t="s">
        <v>827</v>
      </c>
      <c r="B23" s="135">
        <f t="shared" ref="B23:B24" si="139">C23+AJ23</f>
        <v>359.23</v>
      </c>
      <c r="C23" s="135">
        <f t="shared" ref="C23:C24" si="140">N23*P23*S23*T23*U23*(1+V23+W23+X23+Y23)*Z23/G23/H23</f>
        <v>313.23</v>
      </c>
      <c r="D23" s="135">
        <f t="shared" ref="D23:D24" si="141">N23*P23*S23*T23*U23*(1+V23+Y23)*Z23/G23/H23</f>
        <v>178.49</v>
      </c>
      <c r="E23" s="135">
        <f t="shared" ref="E23:E24" si="142">C23-D23</f>
        <v>134.74</v>
      </c>
      <c r="F23" s="135">
        <f t="shared" ref="F23:F24" si="143">N23*P23*S23*T23*U23*(1+V23+Y23)*Z23*AD23/G23/H23</f>
        <v>14.54</v>
      </c>
      <c r="G23" s="124">
        <v>76.900000000000006</v>
      </c>
      <c r="H23" s="132">
        <v>800</v>
      </c>
      <c r="I23" s="133">
        <f t="shared" ref="I23:I24" si="144">G23*H23</f>
        <v>61520</v>
      </c>
      <c r="J23" s="378">
        <f>'1.4. часы и места для МЗ и СЗ'!Z28</f>
        <v>3816</v>
      </c>
      <c r="K23" s="378">
        <f>'1.4. часы и места для МЗ и СЗ'!AA28</f>
        <v>49</v>
      </c>
      <c r="L23" s="378">
        <f>'1.4. часы и места для МЗ и СЗ'!AB28</f>
        <v>6</v>
      </c>
      <c r="M23" s="378">
        <f>'1.4. часы и места для МЗ и СЗ'!AC28</f>
        <v>36</v>
      </c>
      <c r="N23" s="379">
        <f>'1.4. часы и места для МЗ и СЗ'!AD28</f>
        <v>1.55</v>
      </c>
      <c r="O23" s="133">
        <f t="shared" ref="O23:O24" si="145">J23/800</f>
        <v>5</v>
      </c>
      <c r="P23" s="125">
        <v>12</v>
      </c>
      <c r="Q23" s="160">
        <v>14410</v>
      </c>
      <c r="R23" s="272">
        <v>1.01</v>
      </c>
      <c r="S23" s="269">
        <f t="shared" ref="S23:S24" si="146">Q23*R23</f>
        <v>14554</v>
      </c>
      <c r="T23" s="127">
        <v>1.302</v>
      </c>
      <c r="U23" s="128">
        <f t="shared" ref="U23:U24" si="147">U$12</f>
        <v>1.48072</v>
      </c>
      <c r="V23" s="129">
        <v>0</v>
      </c>
      <c r="W23" s="128">
        <f t="shared" ref="W23:X24" si="148">W$12</f>
        <v>0.29183999999999999</v>
      </c>
      <c r="X23" s="128">
        <f t="shared" si="148"/>
        <v>0.46305000000000002</v>
      </c>
      <c r="Y23" s="129">
        <v>0</v>
      </c>
      <c r="Z23" s="128">
        <f t="shared" ref="Z23:Z24" si="149">ROUND(AA23*AB23*AC23,2)</f>
        <v>21.04</v>
      </c>
      <c r="AA23" s="128">
        <f t="shared" si="2"/>
        <v>1.1776</v>
      </c>
      <c r="AB23" s="128">
        <f t="shared" ref="AB23:AB24" si="150">AB$12</f>
        <v>1.16164</v>
      </c>
      <c r="AC23" s="128">
        <f t="shared" ref="AC23:AC24" si="151">IF(O23=0,0,G23/O23)</f>
        <v>15.38</v>
      </c>
      <c r="AD23" s="130">
        <f t="shared" ref="AD23:AD24" si="152">AD$12</f>
        <v>8.1439999999999999E-2</v>
      </c>
      <c r="AE23" s="131">
        <f t="shared" ref="AE23:AE24" si="153">C23*J23+F23*J23</f>
        <v>1250770</v>
      </c>
      <c r="AF23" s="162">
        <v>44638.5</v>
      </c>
      <c r="AG23" s="138">
        <f t="shared" ref="AG23:AG24" si="154">AF23-S23*U23</f>
        <v>23088.1</v>
      </c>
      <c r="AH23" s="142">
        <f t="shared" ref="AH23:AH24" si="155">AH$10/J$26*J23</f>
        <v>0.49044199999999999</v>
      </c>
      <c r="AI23" s="131">
        <f t="shared" ref="AI23:AI24" si="156">AG23*AH23*1.302*12</f>
        <v>176916</v>
      </c>
      <c r="AJ23" s="153">
        <f t="shared" ref="AJ23:AJ24" si="157">IF(J23=0,0,AI23/J23)</f>
        <v>46</v>
      </c>
      <c r="AK23" s="140">
        <f t="shared" ref="AK23:AK24" si="158">IF(D23=0,0,(AJ23+D23)/D23)</f>
        <v>1.2577199999999999</v>
      </c>
      <c r="AM23" s="135">
        <f t="shared" ref="AM23:AM24" si="159">AN23+BU23</f>
        <v>0</v>
      </c>
      <c r="AN23" s="135">
        <f t="shared" ref="AN23:AN24" si="160">AY23*BA23*BD23*BE23*BF23*(1+BG23+BH23+BI23+BJ23)*BK23/AR23/AS23</f>
        <v>0</v>
      </c>
      <c r="AO23" s="135">
        <f t="shared" ref="AO23:AO24" si="161">AY23*BA23*BD23*BE23*BF23*(1+BG23+BJ23)*BK23/AR23/AS23</f>
        <v>0</v>
      </c>
      <c r="AP23" s="135">
        <f t="shared" ref="AP23:AP24" si="162">AN23-AO23</f>
        <v>0</v>
      </c>
      <c r="AQ23" s="135">
        <f t="shared" ref="AQ23:AQ24" si="163">AY23*BA23*BD23*BE23*BF23*(1+BG23+BJ23)*BK23*BO23/AR23/AS23</f>
        <v>0</v>
      </c>
      <c r="AR23" s="124">
        <v>76.900000000000006</v>
      </c>
      <c r="AS23" s="132">
        <v>800</v>
      </c>
      <c r="AT23" s="133">
        <f t="shared" ref="AT23:AT24" si="164">AR23*AS23</f>
        <v>61520</v>
      </c>
      <c r="AU23" s="378">
        <f>'1.4. часы и места для МЗ и СЗ'!Z67</f>
        <v>0</v>
      </c>
      <c r="AV23" s="378">
        <f>'1.4. часы и места для МЗ и СЗ'!AA67</f>
        <v>0</v>
      </c>
      <c r="AW23" s="378">
        <f>'1.4. часы и места для МЗ и СЗ'!AB67</f>
        <v>0</v>
      </c>
      <c r="AX23" s="378">
        <f>'1.4. часы и места для МЗ и СЗ'!AC67</f>
        <v>0</v>
      </c>
      <c r="AY23" s="379">
        <f>'1.4. часы и места для МЗ и СЗ'!AD67</f>
        <v>0</v>
      </c>
      <c r="AZ23" s="133">
        <f t="shared" ref="AZ23:AZ24" si="165">AU23/800</f>
        <v>0</v>
      </c>
      <c r="BA23" s="125">
        <v>12</v>
      </c>
      <c r="BB23" s="382">
        <f t="shared" ref="BB23:BB24" si="166">Q23</f>
        <v>14410</v>
      </c>
      <c r="BC23" s="383">
        <f t="shared" ref="BC23:BC24" si="167">R23</f>
        <v>1.01</v>
      </c>
      <c r="BD23" s="269">
        <f t="shared" ref="BD23:BD24" si="168">BB23*BC23</f>
        <v>14554</v>
      </c>
      <c r="BE23" s="127">
        <v>1.302</v>
      </c>
      <c r="BF23" s="128">
        <f t="shared" ref="BF23:BF24" si="169">BF$12</f>
        <v>1.3871500000000001</v>
      </c>
      <c r="BG23" s="129">
        <v>0</v>
      </c>
      <c r="BH23" s="128">
        <f t="shared" ref="BH23:BI24" si="170">BH$12</f>
        <v>0.42914999999999998</v>
      </c>
      <c r="BI23" s="128">
        <f t="shared" si="170"/>
        <v>0.66744000000000003</v>
      </c>
      <c r="BJ23" s="129">
        <v>0</v>
      </c>
      <c r="BK23" s="128">
        <f t="shared" ref="BK23:BK24" si="171">ROUND(BL23*BM23*BN23,2)</f>
        <v>0</v>
      </c>
      <c r="BL23" s="128">
        <f t="shared" si="10"/>
        <v>1.2245299999999999</v>
      </c>
      <c r="BM23" s="128">
        <f t="shared" ref="BM23:BM24" si="172">BM$12</f>
        <v>1.16164</v>
      </c>
      <c r="BN23" s="128">
        <f t="shared" ref="BN23:BN24" si="173">IF(AZ23=0,0,AR23/AZ23)</f>
        <v>0</v>
      </c>
      <c r="BO23" s="130">
        <f t="shared" ref="BO23:BO24" si="174">BO$12</f>
        <v>0.10267</v>
      </c>
      <c r="BP23" s="131">
        <f t="shared" ref="BP23:BP24" si="175">AN23*AU23+AQ23*AU23</f>
        <v>0</v>
      </c>
      <c r="BQ23" s="387">
        <f t="shared" ref="BQ23:BQ24" si="176">AF23</f>
        <v>44638.5</v>
      </c>
      <c r="BR23" s="138">
        <f t="shared" ref="BR23:BR24" si="177">BQ23-BD23*BF23</f>
        <v>24449.919999999998</v>
      </c>
      <c r="BS23" s="142">
        <f t="shared" ref="BS23:BS24" si="178">BS$10/AU$26*AU23</f>
        <v>0</v>
      </c>
      <c r="BT23" s="131">
        <f t="shared" ref="BT23:BT24" si="179">BR23*BS23*1.302*12</f>
        <v>0</v>
      </c>
      <c r="BU23" s="153">
        <f t="shared" ref="BU23:BU24" si="180">IF(AU23=0,0,BT23/AU23)</f>
        <v>0</v>
      </c>
      <c r="BV23" s="140">
        <f t="shared" ref="BV23:BV24" si="181">IF(AO23=0,0,(BU23+AO23)/AO23)</f>
        <v>0</v>
      </c>
      <c r="BX23" s="135">
        <f t="shared" ref="BX23:BX24" si="182">BY23+DF23</f>
        <v>0</v>
      </c>
      <c r="BY23" s="135">
        <f t="shared" ref="BY23:BY24" si="183">CJ23*CL23*CO23*CP23*CQ23*(1+CR23+CS23+CT23+CU23)*CV23/CC23/CD23</f>
        <v>0</v>
      </c>
      <c r="BZ23" s="135">
        <f t="shared" ref="BZ23:BZ24" si="184">CJ23*CL23*CO23*CP23*CQ23*(1+CR23+CU23)*CV23/CC23/CD23</f>
        <v>0</v>
      </c>
      <c r="CA23" s="135">
        <f t="shared" ref="CA23:CA24" si="185">BY23-BZ23</f>
        <v>0</v>
      </c>
      <c r="CB23" s="135">
        <f t="shared" ref="CB23:CB24" si="186">CJ23*CL23*CO23*CP23*CQ23*(1+CR23+CU23)*CV23*CZ23/CC23/CD23</f>
        <v>0</v>
      </c>
      <c r="CC23" s="124">
        <v>76.900000000000006</v>
      </c>
      <c r="CD23" s="132">
        <v>800</v>
      </c>
      <c r="CE23" s="133">
        <f t="shared" ref="CE23:CE24" si="187">CC23*CD23</f>
        <v>61520</v>
      </c>
      <c r="CF23" s="378">
        <f>'1.4. часы и места для МЗ и СЗ'!Z80</f>
        <v>0</v>
      </c>
      <c r="CG23" s="378">
        <f>'1.4. часы и места для МЗ и СЗ'!AA80</f>
        <v>0</v>
      </c>
      <c r="CH23" s="378">
        <f>'1.4. часы и места для МЗ и СЗ'!AB80</f>
        <v>0</v>
      </c>
      <c r="CI23" s="378">
        <f>'1.4. часы и места для МЗ и СЗ'!AC80</f>
        <v>0</v>
      </c>
      <c r="CJ23" s="379">
        <f>'1.4. часы и места для МЗ и СЗ'!AD80</f>
        <v>0</v>
      </c>
      <c r="CK23" s="133">
        <f t="shared" ref="CK23:CK24" si="188">CF23/800</f>
        <v>0</v>
      </c>
      <c r="CL23" s="125">
        <v>12</v>
      </c>
      <c r="CM23" s="382">
        <f t="shared" ref="CM23:CM24" si="189">Q23</f>
        <v>14410</v>
      </c>
      <c r="CN23" s="383">
        <f t="shared" ref="CN23:CN24" si="190">R23</f>
        <v>1.01</v>
      </c>
      <c r="CO23" s="269">
        <f t="shared" ref="CO23:CO24" si="191">CM23*CN23</f>
        <v>14554</v>
      </c>
      <c r="CP23" s="127">
        <v>1.302</v>
      </c>
      <c r="CQ23" s="128">
        <f t="shared" ref="CQ23:CQ24" si="192">CQ$12</f>
        <v>1.3502099999999999</v>
      </c>
      <c r="CR23" s="129">
        <v>0</v>
      </c>
      <c r="CS23" s="128">
        <f t="shared" ref="CS23:CT24" si="193">CS$12</f>
        <v>0.33593000000000001</v>
      </c>
      <c r="CT23" s="128">
        <f t="shared" si="193"/>
        <v>0.67049999999999998</v>
      </c>
      <c r="CU23" s="129">
        <v>0</v>
      </c>
      <c r="CV23" s="128">
        <f t="shared" ref="CV23:CV24" si="194">ROUND(CW23*CX23*CY23,2)</f>
        <v>0</v>
      </c>
      <c r="CW23" s="128">
        <f t="shared" si="19"/>
        <v>1.4220999999999999</v>
      </c>
      <c r="CX23" s="128">
        <f t="shared" ref="CX23:CX24" si="195">CX$12</f>
        <v>1.16164</v>
      </c>
      <c r="CY23" s="128">
        <f t="shared" ref="CY23:CY24" si="196">IF(CK23=0,0,CC23/CK23)</f>
        <v>0</v>
      </c>
      <c r="CZ23" s="130">
        <f t="shared" ref="CZ23:CZ24" si="197">CZ$12</f>
        <v>0.32064999999999999</v>
      </c>
      <c r="DA23" s="131">
        <f t="shared" ref="DA23:DA24" si="198">BY23*CF23+CB23*CF23</f>
        <v>0</v>
      </c>
      <c r="DB23" s="387">
        <f t="shared" ref="DB23:DB24" si="199">AF23</f>
        <v>44638.5</v>
      </c>
      <c r="DC23" s="138">
        <f t="shared" ref="DC23:DC24" si="200">DB23-CO23*CQ23</f>
        <v>24987.54</v>
      </c>
      <c r="DD23" s="142">
        <f t="shared" ref="DD23:DD24" si="201">DD$10/CF$26*CF23</f>
        <v>0</v>
      </c>
      <c r="DE23" s="131">
        <f t="shared" ref="DE23:DE24" si="202">DC23*DD23*1.302*12</f>
        <v>0</v>
      </c>
      <c r="DF23" s="153">
        <f t="shared" ref="DF23:DF24" si="203">IF(CF23=0,0,DE23/CF23)</f>
        <v>0</v>
      </c>
      <c r="DG23" s="140">
        <f t="shared" ref="DG23:DG24" si="204">IF(BZ23=0,0,(DF23+BZ23)/BZ23)</f>
        <v>0</v>
      </c>
      <c r="DI23" s="135">
        <f t="shared" ref="DI23:DI24" si="205">DJ23+EQ23</f>
        <v>0</v>
      </c>
      <c r="DJ23" s="135">
        <f t="shared" ref="DJ23:DJ24" si="206">DU23*DW23*DZ23*EA23*EB23*(1+EC23+ED23+EE23+EF23)*EG23/DN23/DO23</f>
        <v>0</v>
      </c>
      <c r="DK23" s="135">
        <f t="shared" ref="DK23:DK24" si="207">DU23*DW23*DZ23*EA23*EB23*(1+EC23+EF23)*EG23/DN23/DO23</f>
        <v>0</v>
      </c>
      <c r="DL23" s="135">
        <f t="shared" ref="DL23:DL24" si="208">DJ23-DK23</f>
        <v>0</v>
      </c>
      <c r="DM23" s="135">
        <f t="shared" ref="DM23:DM24" si="209">DU23*DW23*DZ23*EA23*EB23*(1+EC23+EF23)*EG23*EK23/DN23/DO23</f>
        <v>0</v>
      </c>
      <c r="DN23" s="124">
        <v>76.900000000000006</v>
      </c>
      <c r="DO23" s="132">
        <v>800</v>
      </c>
      <c r="DP23" s="133">
        <f t="shared" ref="DP23:DP24" si="210">DN23*DO23</f>
        <v>61520</v>
      </c>
      <c r="DQ23" s="378">
        <f>'1.4. часы и места для МЗ и СЗ'!Z41</f>
        <v>0</v>
      </c>
      <c r="DR23" s="378">
        <f>'1.4. часы и места для МЗ и СЗ'!AA41</f>
        <v>0</v>
      </c>
      <c r="DS23" s="378">
        <f>'1.4. часы и места для МЗ и СЗ'!AB41</f>
        <v>0</v>
      </c>
      <c r="DT23" s="378">
        <f>'1.4. часы и места для МЗ и СЗ'!AC41</f>
        <v>0</v>
      </c>
      <c r="DU23" s="379">
        <f>'1.4. часы и места для МЗ и СЗ'!AD41</f>
        <v>0</v>
      </c>
      <c r="DV23" s="133">
        <f t="shared" ref="DV23:DV24" si="211">DQ23/800</f>
        <v>0</v>
      </c>
      <c r="DW23" s="125">
        <v>12</v>
      </c>
      <c r="DX23" s="382">
        <f t="shared" ref="DX23:DX24" si="212">Q23</f>
        <v>14410</v>
      </c>
      <c r="DY23" s="383">
        <f t="shared" ref="DY23:DY24" si="213">R23</f>
        <v>1.01</v>
      </c>
      <c r="DZ23" s="269">
        <f t="shared" ref="DZ23:DZ24" si="214">DX23*DY23</f>
        <v>14554</v>
      </c>
      <c r="EA23" s="127">
        <v>1.302</v>
      </c>
      <c r="EB23" s="128">
        <f t="shared" ref="EB23:EB24" si="215">EB$12</f>
        <v>1.35737</v>
      </c>
      <c r="EC23" s="129">
        <v>0</v>
      </c>
      <c r="ED23" s="128">
        <f t="shared" ref="ED23:EE24" si="216">ED$12</f>
        <v>0.22051999999999999</v>
      </c>
      <c r="EE23" s="128">
        <f t="shared" si="216"/>
        <v>0.73350000000000004</v>
      </c>
      <c r="EF23" s="129">
        <v>0</v>
      </c>
      <c r="EG23" s="128">
        <f t="shared" ref="EG23:EG24" si="217">ROUND(EH23*EI23*EJ23,2)</f>
        <v>0</v>
      </c>
      <c r="EH23" s="128">
        <f t="shared" ref="EH23:EH24" si="218">EH$11</f>
        <v>1.2033499999999999</v>
      </c>
      <c r="EI23" s="128">
        <f t="shared" ref="EI23:EI24" si="219">EI$12</f>
        <v>1.16164</v>
      </c>
      <c r="EJ23" s="128">
        <f t="shared" ref="EJ23:EJ24" si="220">IF(DV23=0,0,DN23/DV23)</f>
        <v>0</v>
      </c>
      <c r="EK23" s="130">
        <f t="shared" ref="EK23:EK24" si="221">EK$12</f>
        <v>0.17288999999999999</v>
      </c>
      <c r="EL23" s="131">
        <f t="shared" ref="EL23:EL24" si="222">DJ23*DQ23+DM23*DQ23</f>
        <v>0</v>
      </c>
      <c r="EM23" s="387">
        <f t="shared" ref="EM23:EM24" si="223">AF23</f>
        <v>44638.5</v>
      </c>
      <c r="EN23" s="138">
        <f t="shared" ref="EN23:EN24" si="224">EM23-DZ23*EB23</f>
        <v>24883.34</v>
      </c>
      <c r="EO23" s="142">
        <f t="shared" ref="EO23:EO24" si="225">EO$10/DQ$26*DQ23</f>
        <v>0</v>
      </c>
      <c r="EP23" s="131">
        <f t="shared" ref="EP23:EP24" si="226">EN23*EO23*1.302*12</f>
        <v>0</v>
      </c>
      <c r="EQ23" s="153">
        <f t="shared" ref="EQ23:EQ24" si="227">IF(DQ23=0,0,EP23/DQ23)</f>
        <v>0</v>
      </c>
      <c r="ER23" s="140">
        <f t="shared" ref="ER23:ER24" si="228">IF(DK23=0,0,(EQ23+DK23)/DK23)</f>
        <v>0</v>
      </c>
      <c r="ET23" s="135">
        <f t="shared" ref="ET23:ET24" si="229">EU23+GB23</f>
        <v>0</v>
      </c>
      <c r="EU23" s="135">
        <f t="shared" ref="EU23:EU24" si="230">FF23*FH23*FK23*FL23*FM23*(1+FN23+FO23+FP23+FQ23)*FR23/EY23/EZ23</f>
        <v>0</v>
      </c>
      <c r="EV23" s="135">
        <f t="shared" ref="EV23:EV24" si="231">FF23*FH23*FK23*FL23*FM23*(1+FN23+FQ23)*FR23/EY23/EZ23</f>
        <v>0</v>
      </c>
      <c r="EW23" s="135">
        <f t="shared" ref="EW23:EW24" si="232">EU23-EV23</f>
        <v>0</v>
      </c>
      <c r="EX23" s="135">
        <f t="shared" ref="EX23:EX24" si="233">FF23*FH23*FK23*FL23*FM23*(1+FN23+FQ23)*FR23*FV23/EY23/EZ23</f>
        <v>0</v>
      </c>
      <c r="EY23" s="124">
        <v>76.900000000000006</v>
      </c>
      <c r="EZ23" s="132">
        <v>800</v>
      </c>
      <c r="FA23" s="133">
        <f t="shared" ref="FA23:FA24" si="234">EY23*EZ23</f>
        <v>61520</v>
      </c>
      <c r="FB23" s="378">
        <f>'1.4. часы и места для МЗ и СЗ'!Z54</f>
        <v>0</v>
      </c>
      <c r="FC23" s="378">
        <f>'1.4. часы и места для МЗ и СЗ'!AA54</f>
        <v>0</v>
      </c>
      <c r="FD23" s="378">
        <f>'1.4. часы и места для МЗ и СЗ'!AB54</f>
        <v>0</v>
      </c>
      <c r="FE23" s="378">
        <f>'1.4. часы и места для МЗ и СЗ'!AC54</f>
        <v>0</v>
      </c>
      <c r="FF23" s="379">
        <f>'1.4. часы и места для МЗ и СЗ'!AD54</f>
        <v>0</v>
      </c>
      <c r="FG23" s="133">
        <f t="shared" ref="FG23:FG24" si="235">FB23/800</f>
        <v>0</v>
      </c>
      <c r="FH23" s="125">
        <v>12</v>
      </c>
      <c r="FI23" s="382">
        <f t="shared" ref="FI23:FI24" si="236">Q23</f>
        <v>14410</v>
      </c>
      <c r="FJ23" s="383">
        <f t="shared" ref="FJ23:FJ24" si="237">R23</f>
        <v>1.01</v>
      </c>
      <c r="FK23" s="269">
        <f t="shared" ref="FK23:FK24" si="238">FI23*FJ23</f>
        <v>14554</v>
      </c>
      <c r="FL23" s="127">
        <v>1.302</v>
      </c>
      <c r="FM23" s="128">
        <f t="shared" ref="FM23:FM24" si="239">FM$12</f>
        <v>1.32193</v>
      </c>
      <c r="FN23" s="129">
        <v>0</v>
      </c>
      <c r="FO23" s="128">
        <f t="shared" ref="FO23:FP24" si="240">FO$12</f>
        <v>0.21695999999999999</v>
      </c>
      <c r="FP23" s="128">
        <f t="shared" si="240"/>
        <v>0.97809999999999997</v>
      </c>
      <c r="FQ23" s="129">
        <v>0</v>
      </c>
      <c r="FR23" s="128">
        <f t="shared" ref="FR23:FR24" si="241">ROUND(FS23*FT23*FU23,2)</f>
        <v>0</v>
      </c>
      <c r="FS23" s="128">
        <f t="shared" si="37"/>
        <v>1.0935600000000001</v>
      </c>
      <c r="FT23" s="128">
        <f t="shared" ref="FT23:FT24" si="242">FT$12</f>
        <v>1.16164</v>
      </c>
      <c r="FU23" s="128">
        <f t="shared" ref="FU23:FU24" si="243">IF(FG23=0,0,EY23/FG23)</f>
        <v>0</v>
      </c>
      <c r="FV23" s="130">
        <f t="shared" ref="FV23:FV24" si="244">FV$12</f>
        <v>0</v>
      </c>
      <c r="FW23" s="131">
        <f t="shared" ref="FW23:FW24" si="245">EU23*FB23+EX23*FB23</f>
        <v>0</v>
      </c>
      <c r="FX23" s="387">
        <f t="shared" ref="FX23:FX24" si="246">AF23</f>
        <v>44638.5</v>
      </c>
      <c r="FY23" s="138">
        <f t="shared" ref="FY23:FY24" si="247">FX23-FK23*FM23</f>
        <v>25399.13</v>
      </c>
      <c r="FZ23" s="142">
        <f t="shared" ref="FZ23:FZ24" si="248">FZ$10/FB$26*FB23</f>
        <v>0</v>
      </c>
      <c r="GA23" s="131">
        <f t="shared" ref="GA23:GA24" si="249">FY23*FZ23*1.302*12</f>
        <v>0</v>
      </c>
      <c r="GB23" s="153">
        <f t="shared" ref="GB23:GB24" si="250">IF(FB23=0,0,GA23/FB23)</f>
        <v>0</v>
      </c>
      <c r="GC23" s="140">
        <f t="shared" ref="GC23:GC24" si="251">IF(EV23=0,0,(GB23+EV23)/EV23)</f>
        <v>0</v>
      </c>
      <c r="GE23" s="135">
        <f t="shared" ref="GE23:GE24" si="252">GF23+HM23</f>
        <v>388.8</v>
      </c>
      <c r="GF23" s="135">
        <f t="shared" ref="GF23:GF24" si="253">GQ23*GS23*GV23*GW23*GX23*(1+GY23+GZ23+HA23+HB23)*HC23/GJ23/GK23</f>
        <v>346.8</v>
      </c>
      <c r="GG23" s="135">
        <f t="shared" ref="GG23:GG24" si="254">GQ23*GS23*GV23*GW23*GX23*(1+GY23+HB23)*HC23/GJ23/GK23</f>
        <v>179.46</v>
      </c>
      <c r="GH23" s="135">
        <f t="shared" ref="GH23:GH24" si="255">GF23-GG23</f>
        <v>167.34</v>
      </c>
      <c r="GI23" s="135">
        <f t="shared" ref="GI23:GI24" si="256">GQ23*GS23*GV23*GW23*GX23*(1+GY23+HB23)*HC23*HG23/GJ23/GK23</f>
        <v>24.67</v>
      </c>
      <c r="GJ23" s="124">
        <v>76.900000000000006</v>
      </c>
      <c r="GK23" s="132">
        <v>800</v>
      </c>
      <c r="GL23" s="133">
        <f t="shared" ref="GL23:GL24" si="257">GJ23*GK23</f>
        <v>61520</v>
      </c>
      <c r="GM23" s="227">
        <f t="shared" ref="GM23:GM24" si="258">J23+AU23+CF23+DQ23+FB23</f>
        <v>3816</v>
      </c>
      <c r="GN23" s="227">
        <f t="shared" ref="GN23:GN24" si="259">K23+AV23+CG23+DR23+FC23</f>
        <v>49</v>
      </c>
      <c r="GO23" s="227">
        <f t="shared" ref="GO23:GO24" si="260">L23+AW23+CH23+DS23+FD23</f>
        <v>6</v>
      </c>
      <c r="GP23" s="158" t="s">
        <v>471</v>
      </c>
      <c r="GQ23" s="229">
        <f t="shared" ref="GQ23:GQ24" si="261">N23+AY23+CJ23+DU23+FF23</f>
        <v>1.55</v>
      </c>
      <c r="GR23" s="133">
        <f t="shared" ref="GR23:GR24" si="262">GM23/800</f>
        <v>5</v>
      </c>
      <c r="GS23" s="125">
        <v>12</v>
      </c>
      <c r="GT23" s="382">
        <f t="shared" ref="GT23:GT24" si="263">Q23</f>
        <v>14410</v>
      </c>
      <c r="GU23" s="383">
        <f t="shared" ref="GU23:GU24" si="264">R23</f>
        <v>1.01</v>
      </c>
      <c r="GV23" s="269">
        <f t="shared" ref="GV23:GV24" si="265">GT23*GU23</f>
        <v>14554</v>
      </c>
      <c r="GW23" s="127">
        <v>1.302</v>
      </c>
      <c r="GX23" s="128">
        <f t="shared" ref="GX23:GX24" si="266">GX$12</f>
        <v>1.41039</v>
      </c>
      <c r="GY23" s="129">
        <v>0</v>
      </c>
      <c r="GZ23" s="128">
        <f t="shared" ref="GZ23:HA24" si="267">GZ$12</f>
        <v>0.32823000000000002</v>
      </c>
      <c r="HA23" s="128">
        <f t="shared" si="267"/>
        <v>0.60419</v>
      </c>
      <c r="HB23" s="129">
        <v>0</v>
      </c>
      <c r="HC23" s="128">
        <f t="shared" ref="HC23:HC24" si="268">ROUND(HD23*HE23*HF23,2)</f>
        <v>22.21</v>
      </c>
      <c r="HD23" s="128">
        <f t="shared" si="47"/>
        <v>1.24295</v>
      </c>
      <c r="HE23" s="128">
        <f t="shared" ref="HE23:HE24" si="269">HE$12</f>
        <v>1.16164</v>
      </c>
      <c r="HF23" s="128">
        <f t="shared" ref="HF23:HF24" si="270">IF(GR23=0,0,GJ23/GR23)</f>
        <v>15.38</v>
      </c>
      <c r="HG23" s="130">
        <f t="shared" ref="HG23:HG24" si="271">HG$12</f>
        <v>0.13744999999999999</v>
      </c>
      <c r="HH23" s="131">
        <f t="shared" ref="HH23:HH24" si="272">GF23*GM23+GI23*GM23</f>
        <v>1417530</v>
      </c>
      <c r="HI23" s="387">
        <f t="shared" ref="HI23:HI24" si="273">AF23</f>
        <v>44638.5</v>
      </c>
      <c r="HJ23" s="138">
        <f t="shared" ref="HJ23:HJ24" si="274">HI23-GV23*GX23</f>
        <v>24111.68</v>
      </c>
      <c r="HK23" s="142">
        <f t="shared" ref="HK23:HK24" si="275">HK$10/GM$26*GM23</f>
        <v>0.42655199999999999</v>
      </c>
      <c r="HL23" s="131">
        <f t="shared" ref="HL23:HL24" si="276">HJ23*HK23*1.302*12</f>
        <v>160691</v>
      </c>
      <c r="HM23" s="153">
        <f t="shared" ref="HM23:HM24" si="277">IF(GM23=0,0,HL23/GM23)</f>
        <v>42</v>
      </c>
      <c r="HN23" s="140">
        <f t="shared" ref="HN23:HN24" si="278">IF(GG23=0,0,(HM23+GG23)/GG23)</f>
        <v>1.23404</v>
      </c>
      <c r="HP23" s="151">
        <f t="shared" ref="HP23:HP24" si="279">GQ23*18</f>
        <v>27.9</v>
      </c>
    </row>
    <row r="24" spans="1:224" s="113" customFormat="1" ht="36" x14ac:dyDescent="0.25">
      <c r="A24" s="121" t="s">
        <v>1183</v>
      </c>
      <c r="B24" s="135">
        <f t="shared" si="139"/>
        <v>251.47</v>
      </c>
      <c r="C24" s="135">
        <f t="shared" si="140"/>
        <v>205.47</v>
      </c>
      <c r="D24" s="135">
        <f t="shared" si="141"/>
        <v>117.08</v>
      </c>
      <c r="E24" s="135">
        <f t="shared" si="142"/>
        <v>88.39</v>
      </c>
      <c r="F24" s="135">
        <f t="shared" si="143"/>
        <v>9.5399999999999991</v>
      </c>
      <c r="G24" s="124">
        <v>76.900000000000006</v>
      </c>
      <c r="H24" s="132">
        <v>800</v>
      </c>
      <c r="I24" s="133">
        <f t="shared" si="144"/>
        <v>61520</v>
      </c>
      <c r="J24" s="378">
        <f>'1.4. часы и места для МЗ и СЗ'!Z30</f>
        <v>2268</v>
      </c>
      <c r="K24" s="378">
        <f>'1.4. часы и места для МЗ и СЗ'!AA30</f>
        <v>14</v>
      </c>
      <c r="L24" s="378">
        <f>'1.4. часы и места для МЗ и СЗ'!AB30</f>
        <v>2</v>
      </c>
      <c r="M24" s="378">
        <f>'1.4. часы и места для МЗ и СЗ'!AC30</f>
        <v>36</v>
      </c>
      <c r="N24" s="379">
        <f>'1.4. часы и места для МЗ и СЗ'!AD30</f>
        <v>0.61</v>
      </c>
      <c r="O24" s="133">
        <f t="shared" si="145"/>
        <v>3</v>
      </c>
      <c r="P24" s="125">
        <v>12</v>
      </c>
      <c r="Q24" s="160">
        <v>14410</v>
      </c>
      <c r="R24" s="272">
        <v>1.01</v>
      </c>
      <c r="S24" s="269">
        <f t="shared" si="146"/>
        <v>14554</v>
      </c>
      <c r="T24" s="127">
        <v>1.302</v>
      </c>
      <c r="U24" s="128">
        <f t="shared" si="147"/>
        <v>1.48072</v>
      </c>
      <c r="V24" s="129">
        <v>0</v>
      </c>
      <c r="W24" s="128">
        <f t="shared" si="148"/>
        <v>0.29183999999999999</v>
      </c>
      <c r="X24" s="128">
        <f t="shared" si="148"/>
        <v>0.46305000000000002</v>
      </c>
      <c r="Y24" s="129">
        <v>0</v>
      </c>
      <c r="Z24" s="128">
        <f t="shared" si="149"/>
        <v>35.07</v>
      </c>
      <c r="AA24" s="128">
        <f t="shared" si="2"/>
        <v>1.1776</v>
      </c>
      <c r="AB24" s="128">
        <f t="shared" si="150"/>
        <v>1.16164</v>
      </c>
      <c r="AC24" s="128">
        <f t="shared" si="151"/>
        <v>25.633330000000001</v>
      </c>
      <c r="AD24" s="130">
        <f t="shared" si="152"/>
        <v>8.1439999999999999E-2</v>
      </c>
      <c r="AE24" s="131">
        <f t="shared" si="153"/>
        <v>487643</v>
      </c>
      <c r="AF24" s="162">
        <v>44638.5</v>
      </c>
      <c r="AG24" s="138">
        <f t="shared" si="154"/>
        <v>23088.1</v>
      </c>
      <c r="AH24" s="142">
        <f t="shared" si="155"/>
        <v>0.291489</v>
      </c>
      <c r="AI24" s="131">
        <f t="shared" si="156"/>
        <v>105148</v>
      </c>
      <c r="AJ24" s="153">
        <f t="shared" si="157"/>
        <v>46</v>
      </c>
      <c r="AK24" s="140">
        <f t="shared" si="158"/>
        <v>1.39289</v>
      </c>
      <c r="AM24" s="135">
        <f t="shared" si="159"/>
        <v>0</v>
      </c>
      <c r="AN24" s="135">
        <f t="shared" si="160"/>
        <v>0</v>
      </c>
      <c r="AO24" s="135">
        <f t="shared" si="161"/>
        <v>0</v>
      </c>
      <c r="AP24" s="135">
        <f t="shared" si="162"/>
        <v>0</v>
      </c>
      <c r="AQ24" s="135">
        <f t="shared" si="163"/>
        <v>0</v>
      </c>
      <c r="AR24" s="124">
        <v>76.900000000000006</v>
      </c>
      <c r="AS24" s="132">
        <v>800</v>
      </c>
      <c r="AT24" s="133">
        <f t="shared" si="164"/>
        <v>61520</v>
      </c>
      <c r="AU24" s="378">
        <f>'1.4. часы и места для МЗ и СЗ'!Z69</f>
        <v>0</v>
      </c>
      <c r="AV24" s="378">
        <f>'1.4. часы и места для МЗ и СЗ'!AA69</f>
        <v>0</v>
      </c>
      <c r="AW24" s="378">
        <f>'1.4. часы и места для МЗ и СЗ'!AB69</f>
        <v>0</v>
      </c>
      <c r="AX24" s="378">
        <f>'1.4. часы и места для МЗ и СЗ'!AC69</f>
        <v>0</v>
      </c>
      <c r="AY24" s="379">
        <f>'1.4. часы и места для МЗ и СЗ'!AD69</f>
        <v>0</v>
      </c>
      <c r="AZ24" s="133">
        <f t="shared" si="165"/>
        <v>0</v>
      </c>
      <c r="BA24" s="125">
        <v>12</v>
      </c>
      <c r="BB24" s="382">
        <f t="shared" si="166"/>
        <v>14410</v>
      </c>
      <c r="BC24" s="383">
        <f t="shared" si="167"/>
        <v>1.01</v>
      </c>
      <c r="BD24" s="269">
        <f t="shared" si="168"/>
        <v>14554</v>
      </c>
      <c r="BE24" s="127">
        <v>1.302</v>
      </c>
      <c r="BF24" s="128">
        <f t="shared" si="169"/>
        <v>1.3871500000000001</v>
      </c>
      <c r="BG24" s="129">
        <v>0</v>
      </c>
      <c r="BH24" s="128">
        <f t="shared" si="170"/>
        <v>0.42914999999999998</v>
      </c>
      <c r="BI24" s="128">
        <f t="shared" si="170"/>
        <v>0.66744000000000003</v>
      </c>
      <c r="BJ24" s="129">
        <v>0</v>
      </c>
      <c r="BK24" s="128">
        <f t="shared" si="171"/>
        <v>0</v>
      </c>
      <c r="BL24" s="128">
        <f t="shared" si="10"/>
        <v>1.2245299999999999</v>
      </c>
      <c r="BM24" s="128">
        <f t="shared" si="172"/>
        <v>1.16164</v>
      </c>
      <c r="BN24" s="128">
        <f t="shared" si="173"/>
        <v>0</v>
      </c>
      <c r="BO24" s="130">
        <f t="shared" si="174"/>
        <v>0.10267</v>
      </c>
      <c r="BP24" s="131">
        <f t="shared" si="175"/>
        <v>0</v>
      </c>
      <c r="BQ24" s="387">
        <f t="shared" si="176"/>
        <v>44638.5</v>
      </c>
      <c r="BR24" s="138">
        <f t="shared" si="177"/>
        <v>24449.919999999998</v>
      </c>
      <c r="BS24" s="142">
        <f t="shared" si="178"/>
        <v>0</v>
      </c>
      <c r="BT24" s="131">
        <f t="shared" si="179"/>
        <v>0</v>
      </c>
      <c r="BU24" s="153">
        <f t="shared" si="180"/>
        <v>0</v>
      </c>
      <c r="BV24" s="140">
        <f t="shared" si="181"/>
        <v>0</v>
      </c>
      <c r="BX24" s="135">
        <f t="shared" si="182"/>
        <v>126.78</v>
      </c>
      <c r="BY24" s="135">
        <f t="shared" si="183"/>
        <v>81.78</v>
      </c>
      <c r="BZ24" s="135">
        <f t="shared" si="184"/>
        <v>40.76</v>
      </c>
      <c r="CA24" s="135">
        <f t="shared" si="185"/>
        <v>41.02</v>
      </c>
      <c r="CB24" s="135">
        <f t="shared" si="186"/>
        <v>13.07</v>
      </c>
      <c r="CC24" s="124">
        <v>76.900000000000006</v>
      </c>
      <c r="CD24" s="132">
        <v>800</v>
      </c>
      <c r="CE24" s="133">
        <f t="shared" si="187"/>
        <v>61520</v>
      </c>
      <c r="CF24" s="378">
        <f>'1.4. часы и места для МЗ и СЗ'!Z82</f>
        <v>5976</v>
      </c>
      <c r="CG24" s="378">
        <f>'1.4. часы и места для МЗ и СЗ'!AA82</f>
        <v>38</v>
      </c>
      <c r="CH24" s="378">
        <f>'1.4. часы и места для МЗ и СЗ'!AB82</f>
        <v>2</v>
      </c>
      <c r="CI24" s="378">
        <f>'1.4. часы и места для МЗ и СЗ'!AC82</f>
        <v>36</v>
      </c>
      <c r="CJ24" s="379">
        <f>'1.4. часы и места для МЗ и СЗ'!AD82</f>
        <v>0.45</v>
      </c>
      <c r="CK24" s="133">
        <f t="shared" si="188"/>
        <v>7</v>
      </c>
      <c r="CL24" s="125">
        <v>12</v>
      </c>
      <c r="CM24" s="382">
        <f t="shared" si="189"/>
        <v>14410</v>
      </c>
      <c r="CN24" s="383">
        <f t="shared" si="190"/>
        <v>1.01</v>
      </c>
      <c r="CO24" s="269">
        <f t="shared" si="191"/>
        <v>14554</v>
      </c>
      <c r="CP24" s="127">
        <v>1.302</v>
      </c>
      <c r="CQ24" s="128">
        <f t="shared" si="192"/>
        <v>1.3502099999999999</v>
      </c>
      <c r="CR24" s="129">
        <v>0</v>
      </c>
      <c r="CS24" s="128">
        <f t="shared" si="193"/>
        <v>0.33593000000000001</v>
      </c>
      <c r="CT24" s="128">
        <f t="shared" si="193"/>
        <v>0.67049999999999998</v>
      </c>
      <c r="CU24" s="129">
        <v>0</v>
      </c>
      <c r="CV24" s="128">
        <f t="shared" si="194"/>
        <v>18.149999999999999</v>
      </c>
      <c r="CW24" s="128">
        <f t="shared" si="19"/>
        <v>1.4220999999999999</v>
      </c>
      <c r="CX24" s="128">
        <f t="shared" si="195"/>
        <v>1.16164</v>
      </c>
      <c r="CY24" s="128">
        <f t="shared" si="196"/>
        <v>10.985709999999999</v>
      </c>
      <c r="CZ24" s="130">
        <f t="shared" si="197"/>
        <v>0.32064999999999999</v>
      </c>
      <c r="DA24" s="131">
        <f t="shared" si="198"/>
        <v>566824</v>
      </c>
      <c r="DB24" s="387">
        <f t="shared" si="199"/>
        <v>44638.5</v>
      </c>
      <c r="DC24" s="138">
        <f t="shared" si="200"/>
        <v>24987.54</v>
      </c>
      <c r="DD24" s="142">
        <f t="shared" si="201"/>
        <v>0.69448699999999997</v>
      </c>
      <c r="DE24" s="131">
        <f t="shared" si="202"/>
        <v>271131</v>
      </c>
      <c r="DF24" s="153">
        <f t="shared" si="203"/>
        <v>45</v>
      </c>
      <c r="DG24" s="140">
        <f t="shared" si="204"/>
        <v>2.1040199999999998</v>
      </c>
      <c r="DI24" s="135">
        <f t="shared" si="205"/>
        <v>0</v>
      </c>
      <c r="DJ24" s="135">
        <f t="shared" si="206"/>
        <v>0</v>
      </c>
      <c r="DK24" s="135">
        <f t="shared" si="207"/>
        <v>0</v>
      </c>
      <c r="DL24" s="135">
        <f t="shared" si="208"/>
        <v>0</v>
      </c>
      <c r="DM24" s="135">
        <f t="shared" si="209"/>
        <v>0</v>
      </c>
      <c r="DN24" s="124">
        <v>76.900000000000006</v>
      </c>
      <c r="DO24" s="132">
        <v>800</v>
      </c>
      <c r="DP24" s="133">
        <f t="shared" si="210"/>
        <v>61520</v>
      </c>
      <c r="DQ24" s="378">
        <f>'1.4. часы и места для МЗ и СЗ'!Z43</f>
        <v>0</v>
      </c>
      <c r="DR24" s="378">
        <f>'1.4. часы и места для МЗ и СЗ'!AA43</f>
        <v>0</v>
      </c>
      <c r="DS24" s="378">
        <f>'1.4. часы и места для МЗ и СЗ'!AB43</f>
        <v>0</v>
      </c>
      <c r="DT24" s="378">
        <f>'1.4. часы и места для МЗ и СЗ'!AC43</f>
        <v>0</v>
      </c>
      <c r="DU24" s="379">
        <f>'1.4. часы и места для МЗ и СЗ'!AD43</f>
        <v>0</v>
      </c>
      <c r="DV24" s="133">
        <f t="shared" si="211"/>
        <v>0</v>
      </c>
      <c r="DW24" s="125">
        <v>12</v>
      </c>
      <c r="DX24" s="382">
        <f t="shared" si="212"/>
        <v>14410</v>
      </c>
      <c r="DY24" s="383">
        <f t="shared" si="213"/>
        <v>1.01</v>
      </c>
      <c r="DZ24" s="269">
        <f t="shared" si="214"/>
        <v>14554</v>
      </c>
      <c r="EA24" s="127">
        <v>1.302</v>
      </c>
      <c r="EB24" s="128">
        <f t="shared" si="215"/>
        <v>1.35737</v>
      </c>
      <c r="EC24" s="129">
        <v>0</v>
      </c>
      <c r="ED24" s="128">
        <f t="shared" si="216"/>
        <v>0.22051999999999999</v>
      </c>
      <c r="EE24" s="128">
        <f t="shared" si="216"/>
        <v>0.73350000000000004</v>
      </c>
      <c r="EF24" s="129">
        <v>0</v>
      </c>
      <c r="EG24" s="128">
        <f t="shared" si="217"/>
        <v>0</v>
      </c>
      <c r="EH24" s="128">
        <f t="shared" si="218"/>
        <v>1.2033499999999999</v>
      </c>
      <c r="EI24" s="128">
        <f t="shared" si="219"/>
        <v>1.16164</v>
      </c>
      <c r="EJ24" s="128">
        <f t="shared" si="220"/>
        <v>0</v>
      </c>
      <c r="EK24" s="130">
        <f t="shared" si="221"/>
        <v>0.17288999999999999</v>
      </c>
      <c r="EL24" s="131">
        <f t="shared" si="222"/>
        <v>0</v>
      </c>
      <c r="EM24" s="387">
        <f t="shared" si="223"/>
        <v>44638.5</v>
      </c>
      <c r="EN24" s="138">
        <f t="shared" si="224"/>
        <v>24883.34</v>
      </c>
      <c r="EO24" s="142">
        <f t="shared" si="225"/>
        <v>0</v>
      </c>
      <c r="EP24" s="131">
        <f t="shared" si="226"/>
        <v>0</v>
      </c>
      <c r="EQ24" s="153">
        <f t="shared" si="227"/>
        <v>0</v>
      </c>
      <c r="ER24" s="140">
        <f t="shared" si="228"/>
        <v>0</v>
      </c>
      <c r="ET24" s="135">
        <f t="shared" si="229"/>
        <v>0</v>
      </c>
      <c r="EU24" s="135">
        <f t="shared" si="230"/>
        <v>0</v>
      </c>
      <c r="EV24" s="135">
        <f t="shared" si="231"/>
        <v>0</v>
      </c>
      <c r="EW24" s="135">
        <f t="shared" si="232"/>
        <v>0</v>
      </c>
      <c r="EX24" s="135">
        <f t="shared" si="233"/>
        <v>0</v>
      </c>
      <c r="EY24" s="124">
        <v>76.900000000000006</v>
      </c>
      <c r="EZ24" s="132">
        <v>800</v>
      </c>
      <c r="FA24" s="133">
        <f t="shared" si="234"/>
        <v>61520</v>
      </c>
      <c r="FB24" s="378">
        <f>'1.4. часы и места для МЗ и СЗ'!Z56</f>
        <v>0</v>
      </c>
      <c r="FC24" s="378">
        <f>'1.4. часы и места для МЗ и СЗ'!AA56</f>
        <v>0</v>
      </c>
      <c r="FD24" s="378">
        <f>'1.4. часы и места для МЗ и СЗ'!AB56</f>
        <v>0</v>
      </c>
      <c r="FE24" s="378">
        <f>'1.4. часы и места для МЗ и СЗ'!AC56</f>
        <v>0</v>
      </c>
      <c r="FF24" s="379">
        <f>'1.4. часы и места для МЗ и СЗ'!AD56</f>
        <v>0</v>
      </c>
      <c r="FG24" s="133">
        <f t="shared" si="235"/>
        <v>0</v>
      </c>
      <c r="FH24" s="125">
        <v>12</v>
      </c>
      <c r="FI24" s="382">
        <f t="shared" si="236"/>
        <v>14410</v>
      </c>
      <c r="FJ24" s="383">
        <f t="shared" si="237"/>
        <v>1.01</v>
      </c>
      <c r="FK24" s="269">
        <f t="shared" si="238"/>
        <v>14554</v>
      </c>
      <c r="FL24" s="127">
        <v>1.302</v>
      </c>
      <c r="FM24" s="128">
        <f t="shared" si="239"/>
        <v>1.32193</v>
      </c>
      <c r="FN24" s="129">
        <v>0</v>
      </c>
      <c r="FO24" s="128">
        <f t="shared" si="240"/>
        <v>0.21695999999999999</v>
      </c>
      <c r="FP24" s="128">
        <f t="shared" si="240"/>
        <v>0.97809999999999997</v>
      </c>
      <c r="FQ24" s="129">
        <v>0</v>
      </c>
      <c r="FR24" s="128">
        <f t="shared" si="241"/>
        <v>0</v>
      </c>
      <c r="FS24" s="128">
        <f t="shared" si="37"/>
        <v>1.0935600000000001</v>
      </c>
      <c r="FT24" s="128">
        <f t="shared" si="242"/>
        <v>1.16164</v>
      </c>
      <c r="FU24" s="128">
        <f t="shared" si="243"/>
        <v>0</v>
      </c>
      <c r="FV24" s="130">
        <f t="shared" si="244"/>
        <v>0</v>
      </c>
      <c r="FW24" s="131">
        <f t="shared" si="245"/>
        <v>0</v>
      </c>
      <c r="FX24" s="387">
        <f t="shared" si="246"/>
        <v>44638.5</v>
      </c>
      <c r="FY24" s="138">
        <f t="shared" si="247"/>
        <v>25399.13</v>
      </c>
      <c r="FZ24" s="142">
        <f t="shared" si="248"/>
        <v>0</v>
      </c>
      <c r="GA24" s="131">
        <f t="shared" si="249"/>
        <v>0</v>
      </c>
      <c r="GB24" s="153">
        <f t="shared" si="250"/>
        <v>0</v>
      </c>
      <c r="GC24" s="140">
        <f t="shared" si="251"/>
        <v>0</v>
      </c>
      <c r="GE24" s="135">
        <f t="shared" si="252"/>
        <v>160.53</v>
      </c>
      <c r="GF24" s="135">
        <f t="shared" si="253"/>
        <v>118.53</v>
      </c>
      <c r="GG24" s="135">
        <f t="shared" si="254"/>
        <v>61.34</v>
      </c>
      <c r="GH24" s="135">
        <f t="shared" si="255"/>
        <v>57.19</v>
      </c>
      <c r="GI24" s="135">
        <f t="shared" si="256"/>
        <v>8.43</v>
      </c>
      <c r="GJ24" s="124">
        <v>76.900000000000006</v>
      </c>
      <c r="GK24" s="132">
        <v>800</v>
      </c>
      <c r="GL24" s="133">
        <f t="shared" si="257"/>
        <v>61520</v>
      </c>
      <c r="GM24" s="227">
        <f t="shared" si="258"/>
        <v>8244</v>
      </c>
      <c r="GN24" s="227">
        <f t="shared" si="259"/>
        <v>52</v>
      </c>
      <c r="GO24" s="227">
        <f t="shared" si="260"/>
        <v>4</v>
      </c>
      <c r="GP24" s="158" t="s">
        <v>471</v>
      </c>
      <c r="GQ24" s="229">
        <f t="shared" si="261"/>
        <v>1.06</v>
      </c>
      <c r="GR24" s="133">
        <f t="shared" si="262"/>
        <v>10</v>
      </c>
      <c r="GS24" s="125">
        <v>12</v>
      </c>
      <c r="GT24" s="382">
        <f t="shared" si="263"/>
        <v>14410</v>
      </c>
      <c r="GU24" s="383">
        <f t="shared" si="264"/>
        <v>1.01</v>
      </c>
      <c r="GV24" s="269">
        <f t="shared" si="265"/>
        <v>14554</v>
      </c>
      <c r="GW24" s="127">
        <v>1.302</v>
      </c>
      <c r="GX24" s="128">
        <f t="shared" si="266"/>
        <v>1.41039</v>
      </c>
      <c r="GY24" s="129">
        <v>0</v>
      </c>
      <c r="GZ24" s="128">
        <f t="shared" si="267"/>
        <v>0.32823000000000002</v>
      </c>
      <c r="HA24" s="128">
        <f t="shared" si="267"/>
        <v>0.60419</v>
      </c>
      <c r="HB24" s="129">
        <v>0</v>
      </c>
      <c r="HC24" s="128">
        <f t="shared" si="268"/>
        <v>11.1</v>
      </c>
      <c r="HD24" s="128">
        <f t="shared" si="47"/>
        <v>1.24295</v>
      </c>
      <c r="HE24" s="128">
        <f t="shared" si="269"/>
        <v>1.16164</v>
      </c>
      <c r="HF24" s="128">
        <f t="shared" si="270"/>
        <v>7.69</v>
      </c>
      <c r="HG24" s="130">
        <f t="shared" si="271"/>
        <v>0.13744999999999999</v>
      </c>
      <c r="HH24" s="131">
        <f t="shared" si="272"/>
        <v>1046658</v>
      </c>
      <c r="HI24" s="387">
        <f t="shared" si="273"/>
        <v>44638.5</v>
      </c>
      <c r="HJ24" s="138">
        <f t="shared" si="274"/>
        <v>24111.68</v>
      </c>
      <c r="HK24" s="142">
        <f t="shared" si="275"/>
        <v>0.92151300000000003</v>
      </c>
      <c r="HL24" s="131">
        <f t="shared" si="276"/>
        <v>347153</v>
      </c>
      <c r="HM24" s="153">
        <f t="shared" si="277"/>
        <v>42</v>
      </c>
      <c r="HN24" s="140">
        <f t="shared" si="278"/>
        <v>1.6847099999999999</v>
      </c>
      <c r="HP24" s="151">
        <f t="shared" si="279"/>
        <v>19.079999999999998</v>
      </c>
    </row>
    <row r="25" spans="1:224" s="113" customFormat="1" x14ac:dyDescent="0.25">
      <c r="A25" s="842"/>
      <c r="B25" s="814"/>
      <c r="C25" s="814"/>
      <c r="D25" s="814"/>
      <c r="E25" s="814"/>
      <c r="F25" s="814"/>
      <c r="G25" s="815"/>
      <c r="H25" s="816"/>
      <c r="I25" s="817"/>
      <c r="J25" s="818"/>
      <c r="K25" s="818"/>
      <c r="L25" s="818"/>
      <c r="M25" s="818"/>
      <c r="N25" s="819"/>
      <c r="O25" s="817"/>
      <c r="P25" s="820"/>
      <c r="Q25" s="821"/>
      <c r="R25" s="822"/>
      <c r="S25" s="823"/>
      <c r="T25" s="824"/>
      <c r="U25" s="825"/>
      <c r="V25" s="826"/>
      <c r="W25" s="825"/>
      <c r="X25" s="825"/>
      <c r="Y25" s="826"/>
      <c r="Z25" s="825"/>
      <c r="AA25" s="825"/>
      <c r="AB25" s="825"/>
      <c r="AC25" s="825"/>
      <c r="AD25" s="827"/>
      <c r="AE25" s="828"/>
      <c r="AF25" s="829"/>
      <c r="AG25" s="830"/>
      <c r="AH25" s="831"/>
      <c r="AI25" s="828"/>
      <c r="AJ25" s="832"/>
      <c r="AK25" s="833"/>
      <c r="AM25" s="814"/>
      <c r="AN25" s="814"/>
      <c r="AO25" s="814"/>
      <c r="AP25" s="814"/>
      <c r="AQ25" s="814"/>
      <c r="AR25" s="815"/>
      <c r="AS25" s="816"/>
      <c r="AT25" s="817"/>
      <c r="AU25" s="818"/>
      <c r="AV25" s="818"/>
      <c r="AW25" s="818"/>
      <c r="AX25" s="818"/>
      <c r="AY25" s="819"/>
      <c r="AZ25" s="817"/>
      <c r="BA25" s="820"/>
      <c r="BB25" s="834"/>
      <c r="BC25" s="835"/>
      <c r="BD25" s="823"/>
      <c r="BE25" s="824"/>
      <c r="BF25" s="825"/>
      <c r="BG25" s="826"/>
      <c r="BH25" s="825"/>
      <c r="BI25" s="825"/>
      <c r="BJ25" s="826"/>
      <c r="BK25" s="825"/>
      <c r="BL25" s="825"/>
      <c r="BM25" s="825"/>
      <c r="BN25" s="825"/>
      <c r="BO25" s="827"/>
      <c r="BP25" s="828"/>
      <c r="BQ25" s="836"/>
      <c r="BR25" s="830"/>
      <c r="BS25" s="831"/>
      <c r="BT25" s="828"/>
      <c r="BU25" s="832"/>
      <c r="BV25" s="833"/>
      <c r="BX25" s="814"/>
      <c r="BY25" s="814"/>
      <c r="BZ25" s="814"/>
      <c r="CA25" s="814"/>
      <c r="CB25" s="814"/>
      <c r="CC25" s="815"/>
      <c r="CD25" s="816"/>
      <c r="CE25" s="817"/>
      <c r="CF25" s="818"/>
      <c r="CG25" s="818"/>
      <c r="CH25" s="818"/>
      <c r="CI25" s="818"/>
      <c r="CJ25" s="819"/>
      <c r="CK25" s="817"/>
      <c r="CL25" s="820"/>
      <c r="CM25" s="834"/>
      <c r="CN25" s="835"/>
      <c r="CO25" s="823"/>
      <c r="CP25" s="824"/>
      <c r="CQ25" s="825"/>
      <c r="CR25" s="826"/>
      <c r="CS25" s="825"/>
      <c r="CT25" s="825"/>
      <c r="CU25" s="826"/>
      <c r="CV25" s="825"/>
      <c r="CW25" s="825"/>
      <c r="CX25" s="825"/>
      <c r="CY25" s="825"/>
      <c r="CZ25" s="827"/>
      <c r="DA25" s="828"/>
      <c r="DB25" s="836"/>
      <c r="DC25" s="830"/>
      <c r="DD25" s="831"/>
      <c r="DE25" s="828"/>
      <c r="DF25" s="832"/>
      <c r="DG25" s="833"/>
      <c r="DI25" s="814"/>
      <c r="DJ25" s="814"/>
      <c r="DK25" s="814"/>
      <c r="DL25" s="814"/>
      <c r="DM25" s="814"/>
      <c r="DN25" s="815"/>
      <c r="DO25" s="816"/>
      <c r="DP25" s="817"/>
      <c r="DQ25" s="818"/>
      <c r="DR25" s="818"/>
      <c r="DS25" s="818"/>
      <c r="DT25" s="818"/>
      <c r="DU25" s="819"/>
      <c r="DV25" s="817"/>
      <c r="DW25" s="820"/>
      <c r="DX25" s="834"/>
      <c r="DY25" s="835"/>
      <c r="DZ25" s="823"/>
      <c r="EA25" s="824"/>
      <c r="EB25" s="825"/>
      <c r="EC25" s="826"/>
      <c r="ED25" s="825"/>
      <c r="EE25" s="825"/>
      <c r="EF25" s="826"/>
      <c r="EG25" s="825"/>
      <c r="EH25" s="825"/>
      <c r="EI25" s="825"/>
      <c r="EJ25" s="825"/>
      <c r="EK25" s="827"/>
      <c r="EL25" s="828"/>
      <c r="EM25" s="836"/>
      <c r="EN25" s="830"/>
      <c r="EO25" s="831"/>
      <c r="EP25" s="828"/>
      <c r="EQ25" s="832"/>
      <c r="ER25" s="833"/>
      <c r="ET25" s="814"/>
      <c r="EU25" s="814"/>
      <c r="EV25" s="814"/>
      <c r="EW25" s="814"/>
      <c r="EX25" s="814"/>
      <c r="EY25" s="815"/>
      <c r="EZ25" s="816"/>
      <c r="FA25" s="817"/>
      <c r="FB25" s="818"/>
      <c r="FC25" s="818"/>
      <c r="FD25" s="818"/>
      <c r="FE25" s="818"/>
      <c r="FF25" s="819"/>
      <c r="FG25" s="817"/>
      <c r="FH25" s="820"/>
      <c r="FI25" s="834"/>
      <c r="FJ25" s="835"/>
      <c r="FK25" s="823"/>
      <c r="FL25" s="824"/>
      <c r="FM25" s="825"/>
      <c r="FN25" s="826"/>
      <c r="FO25" s="825"/>
      <c r="FP25" s="825"/>
      <c r="FQ25" s="826"/>
      <c r="FR25" s="825"/>
      <c r="FS25" s="825"/>
      <c r="FT25" s="825"/>
      <c r="FU25" s="825"/>
      <c r="FV25" s="827"/>
      <c r="FW25" s="828"/>
      <c r="FX25" s="836"/>
      <c r="FY25" s="830"/>
      <c r="FZ25" s="831"/>
      <c r="GA25" s="828"/>
      <c r="GB25" s="832"/>
      <c r="GC25" s="833"/>
      <c r="GE25" s="814"/>
      <c r="GF25" s="814"/>
      <c r="GG25" s="814"/>
      <c r="GH25" s="814"/>
      <c r="GI25" s="814"/>
      <c r="GJ25" s="815"/>
      <c r="GK25" s="816"/>
      <c r="GL25" s="817"/>
      <c r="GM25" s="837"/>
      <c r="GN25" s="837"/>
      <c r="GO25" s="837"/>
      <c r="GP25" s="838"/>
      <c r="GQ25" s="839"/>
      <c r="GR25" s="817"/>
      <c r="GS25" s="820"/>
      <c r="GT25" s="834"/>
      <c r="GU25" s="835"/>
      <c r="GV25" s="823"/>
      <c r="GW25" s="824"/>
      <c r="GX25" s="825"/>
      <c r="GY25" s="826"/>
      <c r="GZ25" s="825"/>
      <c r="HA25" s="825"/>
      <c r="HB25" s="826"/>
      <c r="HC25" s="825"/>
      <c r="HD25" s="825"/>
      <c r="HE25" s="825"/>
      <c r="HF25" s="825"/>
      <c r="HG25" s="827"/>
      <c r="HH25" s="828"/>
      <c r="HI25" s="836"/>
      <c r="HJ25" s="830"/>
      <c r="HK25" s="831"/>
      <c r="HL25" s="828"/>
      <c r="HM25" s="832"/>
      <c r="HN25" s="833"/>
      <c r="HP25" s="840"/>
    </row>
    <row r="26" spans="1:224" s="179" customFormat="1" x14ac:dyDescent="0.25">
      <c r="A26" s="843" t="s">
        <v>451</v>
      </c>
      <c r="B26" s="164">
        <f>C26+AJ26</f>
        <v>148.33000000000001</v>
      </c>
      <c r="C26" s="164">
        <f>N26*P26*S26*T26*U26*(1+V26+W26+X26+Y26)*Z26/G26/H26</f>
        <v>102.33</v>
      </c>
      <c r="D26" s="164">
        <f>N26*P26*S26*T26*U26*(1+V26+Y26)*Z26/G26/H26</f>
        <v>58.44</v>
      </c>
      <c r="E26" s="164">
        <f t="shared" si="125"/>
        <v>43.89</v>
      </c>
      <c r="F26" s="164">
        <f t="shared" si="55"/>
        <v>4.76</v>
      </c>
      <c r="G26" s="165">
        <v>76.900000000000006</v>
      </c>
      <c r="H26" s="166">
        <v>800</v>
      </c>
      <c r="I26" s="167">
        <f t="shared" si="56"/>
        <v>61520</v>
      </c>
      <c r="J26" s="847">
        <f>SUM(J13:J14,J16:J25)</f>
        <v>465288</v>
      </c>
      <c r="K26" s="847">
        <f t="shared" ref="K26:L26" si="280">SUM(K13:K14,K16:K25)</f>
        <v>4401</v>
      </c>
      <c r="L26" s="847">
        <f t="shared" si="280"/>
        <v>314</v>
      </c>
      <c r="M26" s="847"/>
      <c r="N26" s="847">
        <f>SUM(N13:N14,N16:N25)</f>
        <v>63</v>
      </c>
      <c r="O26" s="167">
        <f t="shared" si="57"/>
        <v>582</v>
      </c>
      <c r="P26" s="169">
        <v>12</v>
      </c>
      <c r="Q26" s="160">
        <v>14410</v>
      </c>
      <c r="R26" s="272">
        <v>1.01</v>
      </c>
      <c r="S26" s="274">
        <f t="shared" si="58"/>
        <v>14554</v>
      </c>
      <c r="T26" s="170">
        <v>1.302</v>
      </c>
      <c r="U26" s="171">
        <f>U$11</f>
        <v>1.47617</v>
      </c>
      <c r="V26" s="172">
        <v>0</v>
      </c>
      <c r="W26" s="171">
        <f>W$11</f>
        <v>0.29274</v>
      </c>
      <c r="X26" s="171">
        <f>X$11</f>
        <v>0.45841999999999999</v>
      </c>
      <c r="Y26" s="172">
        <v>0</v>
      </c>
      <c r="Z26" s="171">
        <f t="shared" si="59"/>
        <v>0.17</v>
      </c>
      <c r="AA26" s="171">
        <f t="shared" si="2"/>
        <v>1.1776</v>
      </c>
      <c r="AB26" s="171">
        <f t="shared" si="2"/>
        <v>1.1232899999999999</v>
      </c>
      <c r="AC26" s="171">
        <f t="shared" si="60"/>
        <v>0.13213</v>
      </c>
      <c r="AD26" s="173">
        <f>AD$12</f>
        <v>8.1439999999999999E-2</v>
      </c>
      <c r="AE26" s="847">
        <f>SUM(AE13:AE14,AE16:AE25)</f>
        <v>51232499</v>
      </c>
      <c r="AF26" s="162">
        <v>44638.5</v>
      </c>
      <c r="AG26" s="175">
        <f t="shared" si="4"/>
        <v>23154.32</v>
      </c>
      <c r="AH26" s="176">
        <f t="shared" si="5"/>
        <v>59.8</v>
      </c>
      <c r="AI26" s="177">
        <f t="shared" si="61"/>
        <v>21633433</v>
      </c>
      <c r="AJ26" s="177">
        <f t="shared" si="62"/>
        <v>46</v>
      </c>
      <c r="AK26" s="178">
        <f t="shared" si="63"/>
        <v>1.7871300000000001</v>
      </c>
      <c r="AM26" s="164">
        <f>AN26+BU26</f>
        <v>85.37</v>
      </c>
      <c r="AN26" s="164">
        <f>AY26*BA26*BD26*BE26*BF26*(1+BG26+BH26+BI26+BJ26)*BK26/AR26/AS26</f>
        <v>37.369999999999997</v>
      </c>
      <c r="AO26" s="164">
        <f>AY26*BA26*BD26*BE26*BF26*(1+BG26+BJ26)*BK26/AR26/AS26</f>
        <v>17.86</v>
      </c>
      <c r="AP26" s="164">
        <f t="shared" si="127"/>
        <v>19.510000000000002</v>
      </c>
      <c r="AQ26" s="164">
        <f t="shared" si="67"/>
        <v>1.83</v>
      </c>
      <c r="AR26" s="165">
        <v>76.900000000000006</v>
      </c>
      <c r="AS26" s="166">
        <v>800</v>
      </c>
      <c r="AT26" s="167">
        <f t="shared" si="68"/>
        <v>61520</v>
      </c>
      <c r="AU26" s="847">
        <f>SUM(AU13:AU14,AU16:AU25)</f>
        <v>343104</v>
      </c>
      <c r="AV26" s="847">
        <f t="shared" ref="AV26:AW26" si="281">SUM(AV13:AV14,AV16:AV25)</f>
        <v>3376</v>
      </c>
      <c r="AW26" s="847">
        <f t="shared" si="281"/>
        <v>78</v>
      </c>
      <c r="AX26" s="847"/>
      <c r="AY26" s="847">
        <f>SUM(AY13:AY14,AY16:AY25)</f>
        <v>14</v>
      </c>
      <c r="AZ26" s="167">
        <f t="shared" si="69"/>
        <v>429</v>
      </c>
      <c r="BA26" s="169">
        <v>12</v>
      </c>
      <c r="BB26" s="385">
        <f t="shared" si="6"/>
        <v>14410</v>
      </c>
      <c r="BC26" s="386">
        <f t="shared" si="7"/>
        <v>1.01</v>
      </c>
      <c r="BD26" s="274">
        <f t="shared" si="70"/>
        <v>14554</v>
      </c>
      <c r="BE26" s="170">
        <v>1.302</v>
      </c>
      <c r="BF26" s="171">
        <f>BF$11</f>
        <v>1.38046</v>
      </c>
      <c r="BG26" s="172">
        <v>0</v>
      </c>
      <c r="BH26" s="171">
        <f>BH$11</f>
        <v>0.43123</v>
      </c>
      <c r="BI26" s="171">
        <f>BI$11</f>
        <v>0.66134000000000004</v>
      </c>
      <c r="BJ26" s="172">
        <v>0</v>
      </c>
      <c r="BK26" s="171">
        <f t="shared" si="71"/>
        <v>0.25</v>
      </c>
      <c r="BL26" s="171">
        <f t="shared" si="10"/>
        <v>1.2245299999999999</v>
      </c>
      <c r="BM26" s="171">
        <f t="shared" si="10"/>
        <v>1.1232899999999999</v>
      </c>
      <c r="BN26" s="171">
        <f t="shared" si="72"/>
        <v>0.17924999999999999</v>
      </c>
      <c r="BO26" s="173">
        <f>BO$12</f>
        <v>0.10267</v>
      </c>
      <c r="BP26" s="847">
        <f>SUM(BP13:BP14,BP16:BP25)</f>
        <v>13343407</v>
      </c>
      <c r="BQ26" s="387">
        <f t="shared" si="12"/>
        <v>44638.5</v>
      </c>
      <c r="BR26" s="175">
        <f t="shared" si="13"/>
        <v>24547.29</v>
      </c>
      <c r="BS26" s="176">
        <f t="shared" si="14"/>
        <v>43.3</v>
      </c>
      <c r="BT26" s="177">
        <f t="shared" si="73"/>
        <v>16606713</v>
      </c>
      <c r="BU26" s="177">
        <f t="shared" si="74"/>
        <v>48</v>
      </c>
      <c r="BV26" s="178">
        <f t="shared" si="75"/>
        <v>3.68757</v>
      </c>
      <c r="BX26" s="164">
        <f>BY26+DF26</f>
        <v>106.16</v>
      </c>
      <c r="BY26" s="164">
        <f>CJ26*CL26*CO26*CP26*CQ26*(1+CR26+CS26+CT26+CU26)*CV26/CC26/CD26</f>
        <v>61.16</v>
      </c>
      <c r="BZ26" s="164">
        <f>CJ26*CL26*CO26*CP26*CQ26*(1+CR26+CU26)*CV26/CC26/CD26</f>
        <v>30.65</v>
      </c>
      <c r="CA26" s="164">
        <f t="shared" si="129"/>
        <v>30.51</v>
      </c>
      <c r="CB26" s="164">
        <f t="shared" si="79"/>
        <v>9.83</v>
      </c>
      <c r="CC26" s="165">
        <v>76.900000000000006</v>
      </c>
      <c r="CD26" s="166">
        <v>800</v>
      </c>
      <c r="CE26" s="167">
        <f t="shared" si="80"/>
        <v>61520</v>
      </c>
      <c r="CF26" s="847">
        <f>SUM(CF13:CF14,CF16:CF25)</f>
        <v>238356</v>
      </c>
      <c r="CG26" s="847">
        <f t="shared" ref="CG26:CH26" si="282">SUM(CG13:CG14,CG16:CG25)</f>
        <v>1581</v>
      </c>
      <c r="CH26" s="847">
        <f t="shared" si="282"/>
        <v>58</v>
      </c>
      <c r="CI26" s="847"/>
      <c r="CJ26" s="847">
        <f>SUM(CJ13:CJ14,CJ16:CJ25)</f>
        <v>15</v>
      </c>
      <c r="CK26" s="167">
        <f t="shared" si="81"/>
        <v>298</v>
      </c>
      <c r="CL26" s="169">
        <v>12</v>
      </c>
      <c r="CM26" s="385">
        <f t="shared" si="15"/>
        <v>14410</v>
      </c>
      <c r="CN26" s="386">
        <f t="shared" si="16"/>
        <v>1.01</v>
      </c>
      <c r="CO26" s="274">
        <f t="shared" si="82"/>
        <v>14554</v>
      </c>
      <c r="CP26" s="170">
        <v>1.302</v>
      </c>
      <c r="CQ26" s="171">
        <f>CQ$11</f>
        <v>1.34843</v>
      </c>
      <c r="CR26" s="172">
        <v>0</v>
      </c>
      <c r="CS26" s="171">
        <f>CS$11</f>
        <v>0.33637</v>
      </c>
      <c r="CT26" s="171">
        <f>CT$11</f>
        <v>0.65883000000000003</v>
      </c>
      <c r="CU26" s="172">
        <v>0</v>
      </c>
      <c r="CV26" s="171">
        <f t="shared" si="83"/>
        <v>0.41</v>
      </c>
      <c r="CW26" s="171">
        <f t="shared" si="19"/>
        <v>1.4220999999999999</v>
      </c>
      <c r="CX26" s="171">
        <f t="shared" si="19"/>
        <v>1.1232899999999999</v>
      </c>
      <c r="CY26" s="171">
        <f t="shared" si="84"/>
        <v>0.25805</v>
      </c>
      <c r="CZ26" s="173">
        <f>CZ$12</f>
        <v>0.32064999999999999</v>
      </c>
      <c r="DA26" s="847">
        <f>SUM(DA13:DA14,DA16:DA25)</f>
        <v>17319025</v>
      </c>
      <c r="DB26" s="387">
        <f t="shared" si="21"/>
        <v>44638.5</v>
      </c>
      <c r="DC26" s="175">
        <f t="shared" si="22"/>
        <v>25013.45</v>
      </c>
      <c r="DD26" s="176">
        <f t="shared" si="23"/>
        <v>27.7</v>
      </c>
      <c r="DE26" s="177">
        <f t="shared" si="85"/>
        <v>10825441</v>
      </c>
      <c r="DF26" s="177">
        <f t="shared" si="86"/>
        <v>45</v>
      </c>
      <c r="DG26" s="178">
        <f t="shared" si="87"/>
        <v>2.4681899999999999</v>
      </c>
      <c r="DI26" s="164">
        <f>DJ26+EQ26</f>
        <v>46.96</v>
      </c>
      <c r="DJ26" s="164">
        <f>DU26*DW26*DZ26*EA26*EB26*(1+EC26+ED26+EE26+EF26)*EG26/DN26/DO26</f>
        <v>21.96</v>
      </c>
      <c r="DK26" s="164">
        <f>DU26*DW26*DZ26*EA26*EB26*(1+EC26+EF26)*EG26/DN26/DO26</f>
        <v>11.24</v>
      </c>
      <c r="DL26" s="164">
        <f t="shared" si="131"/>
        <v>10.72</v>
      </c>
      <c r="DM26" s="164">
        <f t="shared" si="91"/>
        <v>1.94</v>
      </c>
      <c r="DN26" s="165">
        <v>76.900000000000006</v>
      </c>
      <c r="DO26" s="166">
        <v>800</v>
      </c>
      <c r="DP26" s="167">
        <f t="shared" si="92"/>
        <v>61520</v>
      </c>
      <c r="DQ26" s="847">
        <f>SUM(DQ13:DQ14,DQ16:DQ25)</f>
        <v>147528</v>
      </c>
      <c r="DR26" s="847">
        <f t="shared" ref="DR26:DS26" si="283">SUM(DR13:DR14,DR16:DR25)</f>
        <v>1175</v>
      </c>
      <c r="DS26" s="847">
        <f t="shared" si="283"/>
        <v>23</v>
      </c>
      <c r="DT26" s="847"/>
      <c r="DU26" s="847">
        <f>SUM(DU13:DU14,DU16:DU25)</f>
        <v>4</v>
      </c>
      <c r="DV26" s="167">
        <f t="shared" si="93"/>
        <v>184</v>
      </c>
      <c r="DW26" s="169">
        <v>12</v>
      </c>
      <c r="DX26" s="385">
        <f t="shared" si="24"/>
        <v>14410</v>
      </c>
      <c r="DY26" s="386">
        <f t="shared" si="25"/>
        <v>1.01</v>
      </c>
      <c r="DZ26" s="274">
        <f t="shared" si="94"/>
        <v>14554</v>
      </c>
      <c r="EA26" s="170">
        <v>1.302</v>
      </c>
      <c r="EB26" s="171">
        <f>EB$11</f>
        <v>1.35737</v>
      </c>
      <c r="EC26" s="172">
        <v>0</v>
      </c>
      <c r="ED26" s="171">
        <f>ED$11</f>
        <v>0.22051999999999999</v>
      </c>
      <c r="EE26" s="171">
        <f>EE$11</f>
        <v>0.73350000000000004</v>
      </c>
      <c r="EF26" s="172">
        <v>0</v>
      </c>
      <c r="EG26" s="171">
        <f t="shared" si="95"/>
        <v>0.56000000000000005</v>
      </c>
      <c r="EH26" s="171">
        <f>EH$11</f>
        <v>1.2033499999999999</v>
      </c>
      <c r="EI26" s="171">
        <f>EI$11</f>
        <v>1.1232899999999999</v>
      </c>
      <c r="EJ26" s="171">
        <f t="shared" si="96"/>
        <v>0.41793000000000002</v>
      </c>
      <c r="EK26" s="173">
        <f>EK$12</f>
        <v>0.17288999999999999</v>
      </c>
      <c r="EL26" s="847">
        <f>SUM(EL13:EL14,EL16:EL25)</f>
        <v>3685249</v>
      </c>
      <c r="EM26" s="387">
        <f t="shared" si="30"/>
        <v>44638.5</v>
      </c>
      <c r="EN26" s="175">
        <f t="shared" si="31"/>
        <v>24883.34</v>
      </c>
      <c r="EO26" s="176">
        <f t="shared" si="32"/>
        <v>9.4</v>
      </c>
      <c r="EP26" s="177">
        <f t="shared" si="97"/>
        <v>3654507</v>
      </c>
      <c r="EQ26" s="177">
        <f t="shared" si="98"/>
        <v>25</v>
      </c>
      <c r="ER26" s="178">
        <f t="shared" si="99"/>
        <v>3.2242000000000002</v>
      </c>
      <c r="ET26" s="164">
        <f>EU26+GB26</f>
        <v>127.15</v>
      </c>
      <c r="EU26" s="164">
        <f>FF26*FH26*FK26*FL26*FM26*(1+FN26+FO26+FP26+FQ26)*FR26/EY26/EZ26</f>
        <v>110.15</v>
      </c>
      <c r="EV26" s="164">
        <f>FF26*FH26*FK26*FL26*FM26*(1+FN26+FQ26)*FR26/EY26/EZ26</f>
        <v>50.18</v>
      </c>
      <c r="EW26" s="164">
        <f t="shared" si="133"/>
        <v>59.97</v>
      </c>
      <c r="EX26" s="164">
        <f t="shared" si="103"/>
        <v>0</v>
      </c>
      <c r="EY26" s="165">
        <v>76.900000000000006</v>
      </c>
      <c r="EZ26" s="166">
        <v>800</v>
      </c>
      <c r="FA26" s="167">
        <f t="shared" si="104"/>
        <v>61520</v>
      </c>
      <c r="FB26" s="847">
        <f>SUM(FB13:FB14,FB16:FB25)</f>
        <v>95760</v>
      </c>
      <c r="FC26" s="847">
        <f t="shared" ref="FC26:FD26" si="284">SUM(FC13:FC14,FC16:FC25)</f>
        <v>604</v>
      </c>
      <c r="FD26" s="847">
        <f t="shared" si="284"/>
        <v>54</v>
      </c>
      <c r="FE26" s="847"/>
      <c r="FF26" s="847">
        <f>SUM(FF13:FF14,FF16:FF25)</f>
        <v>13</v>
      </c>
      <c r="FG26" s="167">
        <f t="shared" si="105"/>
        <v>120</v>
      </c>
      <c r="FH26" s="169">
        <v>12</v>
      </c>
      <c r="FI26" s="385">
        <f t="shared" si="33"/>
        <v>14410</v>
      </c>
      <c r="FJ26" s="386">
        <f t="shared" si="34"/>
        <v>1.01</v>
      </c>
      <c r="FK26" s="274">
        <f t="shared" si="106"/>
        <v>14554</v>
      </c>
      <c r="FL26" s="170">
        <v>1.302</v>
      </c>
      <c r="FM26" s="171">
        <f>FM$11</f>
        <v>1.32193</v>
      </c>
      <c r="FN26" s="172">
        <v>0</v>
      </c>
      <c r="FO26" s="171">
        <f>FO$11</f>
        <v>0.21695999999999999</v>
      </c>
      <c r="FP26" s="171">
        <f>FP$11</f>
        <v>0.97809999999999997</v>
      </c>
      <c r="FQ26" s="172">
        <v>0</v>
      </c>
      <c r="FR26" s="171">
        <f t="shared" si="107"/>
        <v>0.79</v>
      </c>
      <c r="FS26" s="171">
        <f t="shared" si="37"/>
        <v>1.0935600000000001</v>
      </c>
      <c r="FT26" s="171">
        <f t="shared" si="37"/>
        <v>1.1232899999999999</v>
      </c>
      <c r="FU26" s="171">
        <f t="shared" si="108"/>
        <v>0.64083000000000001</v>
      </c>
      <c r="FV26" s="173">
        <f>FV$12</f>
        <v>0</v>
      </c>
      <c r="FW26" s="847">
        <f>SUM(FW13:FW14,FW16:FW25)</f>
        <v>10832371</v>
      </c>
      <c r="FX26" s="387">
        <f t="shared" si="39"/>
        <v>44638.5</v>
      </c>
      <c r="FY26" s="175">
        <f t="shared" si="40"/>
        <v>25399.13</v>
      </c>
      <c r="FZ26" s="176">
        <f t="shared" si="41"/>
        <v>4</v>
      </c>
      <c r="GA26" s="177">
        <f t="shared" si="109"/>
        <v>1587344</v>
      </c>
      <c r="GB26" s="177">
        <f t="shared" si="110"/>
        <v>17</v>
      </c>
      <c r="GC26" s="178">
        <f t="shared" si="111"/>
        <v>1.3387800000000001</v>
      </c>
      <c r="GE26" s="164">
        <f>GF26+HM26</f>
        <v>118.46</v>
      </c>
      <c r="GF26" s="164">
        <f>GQ26*GS26*GV26*GW26*GX26*(1+GY26+GZ26+HA26+HB26)*HC26/GJ26/GK26</f>
        <v>76.459999999999994</v>
      </c>
      <c r="GG26" s="164">
        <f>GQ26*GS26*GV26*GW26*GX26*(1+GY26+HB26)*HC26/GJ26/GK26</f>
        <v>39.659999999999997</v>
      </c>
      <c r="GH26" s="164">
        <f t="shared" si="135"/>
        <v>36.799999999999997</v>
      </c>
      <c r="GI26" s="164">
        <f t="shared" si="115"/>
        <v>5.45</v>
      </c>
      <c r="GJ26" s="165">
        <v>76.900000000000006</v>
      </c>
      <c r="GK26" s="166">
        <v>800</v>
      </c>
      <c r="GL26" s="167">
        <f t="shared" si="116"/>
        <v>61520</v>
      </c>
      <c r="GM26" s="847">
        <f>SUM(GM13:GM14,GM16:GM25)</f>
        <v>1290036</v>
      </c>
      <c r="GN26" s="847">
        <f t="shared" ref="GN26:GO26" si="285">SUM(GN13:GN14,GN16:GN25)</f>
        <v>11137</v>
      </c>
      <c r="GO26" s="847">
        <f t="shared" si="285"/>
        <v>527</v>
      </c>
      <c r="GP26" s="847"/>
      <c r="GQ26" s="847">
        <f>SUM(GQ13:GQ14,GQ16:GQ25)</f>
        <v>109</v>
      </c>
      <c r="GR26" s="167">
        <f t="shared" si="117"/>
        <v>1613</v>
      </c>
      <c r="GS26" s="169">
        <v>12</v>
      </c>
      <c r="GT26" s="385">
        <f t="shared" si="43"/>
        <v>14410</v>
      </c>
      <c r="GU26" s="386">
        <f t="shared" si="44"/>
        <v>1.01</v>
      </c>
      <c r="GV26" s="274">
        <f t="shared" si="118"/>
        <v>14554</v>
      </c>
      <c r="GW26" s="170">
        <v>1.302</v>
      </c>
      <c r="GX26" s="171">
        <f>GX$11</f>
        <v>1.4064300000000001</v>
      </c>
      <c r="GY26" s="172">
        <v>0</v>
      </c>
      <c r="GZ26" s="171">
        <f>GZ$11</f>
        <v>0.32916000000000001</v>
      </c>
      <c r="HA26" s="171">
        <f>HA$11</f>
        <v>0.59841999999999995</v>
      </c>
      <c r="HB26" s="172">
        <v>0</v>
      </c>
      <c r="HC26" s="171">
        <f t="shared" si="119"/>
        <v>7.0000000000000007E-2</v>
      </c>
      <c r="HD26" s="171">
        <f t="shared" si="47"/>
        <v>1.24295</v>
      </c>
      <c r="HE26" s="171">
        <f t="shared" si="47"/>
        <v>1.1232899999999999</v>
      </c>
      <c r="HF26" s="171">
        <f t="shared" si="120"/>
        <v>4.768E-2</v>
      </c>
      <c r="HG26" s="173">
        <f>HG$12</f>
        <v>0.13744999999999999</v>
      </c>
      <c r="HH26" s="847">
        <f>SUM(HH13:HH14,HH16:HH25)</f>
        <v>102196901</v>
      </c>
      <c r="HI26" s="387">
        <f t="shared" si="49"/>
        <v>44638.5</v>
      </c>
      <c r="HJ26" s="175">
        <f t="shared" si="50"/>
        <v>24169.32</v>
      </c>
      <c r="HK26" s="176">
        <f t="shared" si="51"/>
        <v>144.19999999999999</v>
      </c>
      <c r="HL26" s="177">
        <f t="shared" si="121"/>
        <v>54453014</v>
      </c>
      <c r="HM26" s="177">
        <f t="shared" si="122"/>
        <v>42</v>
      </c>
      <c r="HN26" s="178">
        <f t="shared" si="123"/>
        <v>2.0590000000000002</v>
      </c>
      <c r="HP26" s="168">
        <f>GQ26*18</f>
        <v>1962</v>
      </c>
    </row>
    <row r="27" spans="1:224" s="180" customFormat="1" ht="12" x14ac:dyDescent="0.25">
      <c r="A27" s="180" t="s">
        <v>452</v>
      </c>
      <c r="O27" s="180">
        <f>SUM(O13:O15,O19:O22)</f>
        <v>573</v>
      </c>
      <c r="AH27" s="180">
        <f>SUM(AH13:AH14,AH16:AH22)</f>
        <v>59</v>
      </c>
      <c r="AI27" s="180">
        <f>SUM(AI13:AI14,AI16:AI22)</f>
        <v>21350558</v>
      </c>
      <c r="AZ27" s="180">
        <f>SUM(AZ13:AZ15,AZ19:AZ22)</f>
        <v>429</v>
      </c>
      <c r="BP27" s="180" t="e">
        <f>#REF!</f>
        <v>#REF!</v>
      </c>
      <c r="BS27" s="180">
        <f>SUM(BS13:BS14,BS16:BS22)</f>
        <v>43</v>
      </c>
      <c r="BT27" s="180">
        <f>SUM(BT13:BT14,BT16:BT22)</f>
        <v>16604669</v>
      </c>
      <c r="CK27" s="180">
        <f>SUM(CK13:CK15,CK19:CK22)</f>
        <v>291</v>
      </c>
      <c r="DA27" s="180" t="e">
        <f>#REF!</f>
        <v>#REF!</v>
      </c>
      <c r="DD27" s="180">
        <f>SUM(DD13:DD14,DD16:DD22)</f>
        <v>27</v>
      </c>
      <c r="DE27" s="180">
        <f>SUM(DE13:DE14,DE16:DE22)</f>
        <v>10554029</v>
      </c>
      <c r="DV27" s="180">
        <f>SUM(DV13:DV15,DV19:DV22)</f>
        <v>184</v>
      </c>
      <c r="EL27" s="180" t="e">
        <f>#REF!</f>
        <v>#REF!</v>
      </c>
      <c r="EO27" s="180">
        <f>SUM(EO13:EO14,EO16:EO22)</f>
        <v>9</v>
      </c>
      <c r="EP27" s="180">
        <f>SUM(EP13:EP14,EP16:EP22)</f>
        <v>3654507</v>
      </c>
      <c r="FG27" s="180">
        <f>SUM(FG13:FG15,FG19:FG22)</f>
        <v>120</v>
      </c>
      <c r="FW27" s="180" t="e">
        <f>#REF!</f>
        <v>#REF!</v>
      </c>
      <c r="FZ27" s="180">
        <f>SUM(FZ13:FZ14,FZ16:FZ22)</f>
        <v>4</v>
      </c>
      <c r="GA27" s="180">
        <f>SUM(GA13:GA14,GA16:GA22)</f>
        <v>1587344</v>
      </c>
      <c r="GR27" s="180">
        <f>SUM(GR13:GR15,GR19:GR22)</f>
        <v>1597</v>
      </c>
      <c r="HH27" s="180" t="e">
        <f>AE27+BP27+DA27+EL27+FW27</f>
        <v>#REF!</v>
      </c>
      <c r="HK27" s="180">
        <f>SUM(HK13:HK14,HK16:HK22)</f>
        <v>143</v>
      </c>
      <c r="HL27" s="180">
        <f>SUM(HL13:HL14,HL16:HL22)</f>
        <v>53942885</v>
      </c>
    </row>
    <row r="28" spans="1:224" x14ac:dyDescent="0.25">
      <c r="H28" s="70"/>
      <c r="I28" s="70"/>
      <c r="AS28" s="70"/>
      <c r="AT28" s="70"/>
      <c r="CD28" s="70"/>
      <c r="CE28" s="70"/>
      <c r="DO28" s="70"/>
      <c r="DP28" s="70"/>
      <c r="EZ28" s="70"/>
      <c r="FA28" s="70"/>
      <c r="GK28" s="70"/>
      <c r="GL28" s="70"/>
    </row>
    <row r="29" spans="1:224" x14ac:dyDescent="0.25">
      <c r="H29" s="70"/>
      <c r="I29" s="70"/>
      <c r="AS29" s="70"/>
      <c r="AT29" s="70"/>
      <c r="CD29" s="70"/>
      <c r="CE29" s="70"/>
      <c r="DO29" s="70"/>
      <c r="DP29" s="70"/>
      <c r="EZ29" s="70"/>
      <c r="FA29" s="70"/>
      <c r="GK29" s="70"/>
      <c r="GL29" s="70"/>
    </row>
    <row r="30" spans="1:224" x14ac:dyDescent="0.25">
      <c r="G30" s="116"/>
      <c r="H30" s="70"/>
      <c r="I30" s="70"/>
      <c r="AR30" s="116"/>
      <c r="AS30" s="70"/>
      <c r="AT30" s="70"/>
      <c r="CC30" s="116"/>
      <c r="CD30" s="70"/>
      <c r="CE30" s="70"/>
      <c r="DN30" s="116"/>
      <c r="DO30" s="70"/>
      <c r="DP30" s="70"/>
      <c r="EY30" s="116"/>
      <c r="EZ30" s="70"/>
      <c r="FA30" s="70"/>
      <c r="GF30" s="66" t="s">
        <v>431</v>
      </c>
      <c r="GJ30" s="116"/>
      <c r="GK30" s="70"/>
      <c r="GL30" s="70"/>
      <c r="HE30" s="1052" t="s">
        <v>274</v>
      </c>
      <c r="HF30" s="1052"/>
      <c r="HG30" s="1052"/>
      <c r="HH30" s="1052"/>
      <c r="HI30" s="1052"/>
      <c r="HJ30" s="1052"/>
      <c r="HK30" s="1052"/>
      <c r="HL30" s="1052"/>
      <c r="HM30" s="1052"/>
      <c r="HN30" s="1052"/>
    </row>
    <row r="31" spans="1:224" x14ac:dyDescent="0.25">
      <c r="H31" s="70"/>
      <c r="I31" s="70"/>
      <c r="AS31" s="70"/>
      <c r="AT31" s="70"/>
      <c r="CD31" s="70"/>
      <c r="CE31" s="70"/>
      <c r="DO31" s="70"/>
      <c r="DP31" s="70"/>
      <c r="EZ31" s="70"/>
      <c r="FA31" s="70"/>
      <c r="GK31" s="70"/>
      <c r="GL31" s="70"/>
    </row>
    <row r="32" spans="1:224" x14ac:dyDescent="0.25">
      <c r="H32" s="70"/>
      <c r="I32" s="70"/>
      <c r="AS32" s="70"/>
      <c r="AT32" s="70"/>
      <c r="CD32" s="70"/>
      <c r="CE32" s="70"/>
      <c r="DO32" s="70"/>
      <c r="DP32" s="70"/>
      <c r="EZ32" s="70"/>
      <c r="FA32" s="70"/>
      <c r="GK32" s="70"/>
      <c r="GL32" s="70"/>
    </row>
  </sheetData>
  <mergeCells count="196">
    <mergeCell ref="HC7:HC8"/>
    <mergeCell ref="HD7:HF7"/>
    <mergeCell ref="HG7:HG8"/>
    <mergeCell ref="HI7:HN7"/>
    <mergeCell ref="HE30:HN30"/>
    <mergeCell ref="GW7:GW8"/>
    <mergeCell ref="GX7:GX8"/>
    <mergeCell ref="GY7:GY8"/>
    <mergeCell ref="GZ7:GZ8"/>
    <mergeCell ref="HA7:HA8"/>
    <mergeCell ref="HB7:HB8"/>
    <mergeCell ref="GQ7:GQ8"/>
    <mergeCell ref="GR7:GR8"/>
    <mergeCell ref="GS7:GS8"/>
    <mergeCell ref="GT7:GT8"/>
    <mergeCell ref="GU7:GU8"/>
    <mergeCell ref="GV7:GV8"/>
    <mergeCell ref="GK7:GK8"/>
    <mergeCell ref="GL7:GL8"/>
    <mergeCell ref="GM7:GM8"/>
    <mergeCell ref="GN7:GN8"/>
    <mergeCell ref="GO7:GO8"/>
    <mergeCell ref="GP7:GP8"/>
    <mergeCell ref="FX7:GC7"/>
    <mergeCell ref="GE7:GE8"/>
    <mergeCell ref="GF7:GF8"/>
    <mergeCell ref="GG7:GH7"/>
    <mergeCell ref="GI7:GI8"/>
    <mergeCell ref="GJ7:GJ8"/>
    <mergeCell ref="FO7:FO8"/>
    <mergeCell ref="FP7:FP8"/>
    <mergeCell ref="FQ7:FQ8"/>
    <mergeCell ref="FR7:FR8"/>
    <mergeCell ref="FS7:FU7"/>
    <mergeCell ref="FV7:FV8"/>
    <mergeCell ref="FI7:FI8"/>
    <mergeCell ref="FJ7:FJ8"/>
    <mergeCell ref="FK7:FK8"/>
    <mergeCell ref="FL7:FL8"/>
    <mergeCell ref="FM7:FM8"/>
    <mergeCell ref="FN7:FN8"/>
    <mergeCell ref="FC7:FC8"/>
    <mergeCell ref="FD7:FD8"/>
    <mergeCell ref="FE7:FE8"/>
    <mergeCell ref="FF7:FF8"/>
    <mergeCell ref="FG7:FG8"/>
    <mergeCell ref="FH7:FH8"/>
    <mergeCell ref="EV7:EW7"/>
    <mergeCell ref="EX7:EX8"/>
    <mergeCell ref="EY7:EY8"/>
    <mergeCell ref="EZ7:EZ8"/>
    <mergeCell ref="FA7:FA8"/>
    <mergeCell ref="FB7:FB8"/>
    <mergeCell ref="EG7:EG8"/>
    <mergeCell ref="EH7:EJ7"/>
    <mergeCell ref="EK7:EK8"/>
    <mergeCell ref="EM7:ER7"/>
    <mergeCell ref="ET7:ET8"/>
    <mergeCell ref="EU7:EU8"/>
    <mergeCell ref="EA7:EA8"/>
    <mergeCell ref="EB7:EB8"/>
    <mergeCell ref="EC7:EC8"/>
    <mergeCell ref="ED7:ED8"/>
    <mergeCell ref="EE7:EE8"/>
    <mergeCell ref="EF7:EF8"/>
    <mergeCell ref="DU7:DU8"/>
    <mergeCell ref="DV7:DV8"/>
    <mergeCell ref="DW7:DW8"/>
    <mergeCell ref="DX7:DX8"/>
    <mergeCell ref="DY7:DY8"/>
    <mergeCell ref="DZ7:DZ8"/>
    <mergeCell ref="DO7:DO8"/>
    <mergeCell ref="DP7:DP8"/>
    <mergeCell ref="DQ7:DQ8"/>
    <mergeCell ref="DR7:DR8"/>
    <mergeCell ref="DS7:DS8"/>
    <mergeCell ref="DT7:DT8"/>
    <mergeCell ref="DB7:DG7"/>
    <mergeCell ref="DI7:DI8"/>
    <mergeCell ref="DJ7:DJ8"/>
    <mergeCell ref="DK7:DL7"/>
    <mergeCell ref="DM7:DM8"/>
    <mergeCell ref="DN7:DN8"/>
    <mergeCell ref="CS7:CS8"/>
    <mergeCell ref="CT7:CT8"/>
    <mergeCell ref="CU7:CU8"/>
    <mergeCell ref="CV7:CV8"/>
    <mergeCell ref="CW7:CY7"/>
    <mergeCell ref="CZ7:CZ8"/>
    <mergeCell ref="CM7:CM8"/>
    <mergeCell ref="CN7:CN8"/>
    <mergeCell ref="CO7:CO8"/>
    <mergeCell ref="CP7:CP8"/>
    <mergeCell ref="CQ7:CQ8"/>
    <mergeCell ref="CR7:CR8"/>
    <mergeCell ref="CG7:CG8"/>
    <mergeCell ref="CH7:CH8"/>
    <mergeCell ref="CI7:CI8"/>
    <mergeCell ref="CJ7:CJ8"/>
    <mergeCell ref="CK7:CK8"/>
    <mergeCell ref="CL7:CL8"/>
    <mergeCell ref="BZ7:CA7"/>
    <mergeCell ref="CB7:CB8"/>
    <mergeCell ref="CC7:CC8"/>
    <mergeCell ref="CD7:CD8"/>
    <mergeCell ref="CE7:CE8"/>
    <mergeCell ref="CF7:CF8"/>
    <mergeCell ref="BK7:BK8"/>
    <mergeCell ref="BL7:BN7"/>
    <mergeCell ref="BO7:BO8"/>
    <mergeCell ref="BQ7:BV7"/>
    <mergeCell ref="BX7:BX8"/>
    <mergeCell ref="BY7:BY8"/>
    <mergeCell ref="BE7:BE8"/>
    <mergeCell ref="BF7:BF8"/>
    <mergeCell ref="BG7:BG8"/>
    <mergeCell ref="BH7:BH8"/>
    <mergeCell ref="BI7:BI8"/>
    <mergeCell ref="BJ7:BJ8"/>
    <mergeCell ref="BA7:BA8"/>
    <mergeCell ref="BB7:BB8"/>
    <mergeCell ref="BC7:BC8"/>
    <mergeCell ref="BD7:BD8"/>
    <mergeCell ref="AS7:AS8"/>
    <mergeCell ref="AT7:AT8"/>
    <mergeCell ref="AU7:AU8"/>
    <mergeCell ref="AV7:AV8"/>
    <mergeCell ref="AW7:AW8"/>
    <mergeCell ref="AX7:AX8"/>
    <mergeCell ref="AR7:AR8"/>
    <mergeCell ref="W7:W8"/>
    <mergeCell ref="X7:X8"/>
    <mergeCell ref="Y7:Y8"/>
    <mergeCell ref="Z7:Z8"/>
    <mergeCell ref="AA7:AC7"/>
    <mergeCell ref="AD7:AD8"/>
    <mergeCell ref="AY7:AY8"/>
    <mergeCell ref="AZ7:AZ8"/>
    <mergeCell ref="M7:M8"/>
    <mergeCell ref="N7:N8"/>
    <mergeCell ref="O7:O8"/>
    <mergeCell ref="P7:P8"/>
    <mergeCell ref="AF7:AK7"/>
    <mergeCell ref="AM7:AM8"/>
    <mergeCell ref="AN7:AN8"/>
    <mergeCell ref="AO7:AP7"/>
    <mergeCell ref="AQ7:AQ8"/>
    <mergeCell ref="HP6:HP8"/>
    <mergeCell ref="A7:A8"/>
    <mergeCell ref="B7:B8"/>
    <mergeCell ref="C7:C8"/>
    <mergeCell ref="D7:E7"/>
    <mergeCell ref="F7:F8"/>
    <mergeCell ref="G7:G8"/>
    <mergeCell ref="H7:H8"/>
    <mergeCell ref="I7:I8"/>
    <mergeCell ref="J7:J8"/>
    <mergeCell ref="B6:AK6"/>
    <mergeCell ref="AM6:BV6"/>
    <mergeCell ref="BX6:DG6"/>
    <mergeCell ref="DI6:ER6"/>
    <mergeCell ref="ET6:GC6"/>
    <mergeCell ref="GE6:HN6"/>
    <mergeCell ref="Q7:Q8"/>
    <mergeCell ref="R7:R8"/>
    <mergeCell ref="S7:S8"/>
    <mergeCell ref="T7:T8"/>
    <mergeCell ref="U7:U8"/>
    <mergeCell ref="V7:V8"/>
    <mergeCell ref="K7:K8"/>
    <mergeCell ref="L7:L8"/>
    <mergeCell ref="C5:AK5"/>
    <mergeCell ref="AN5:BV5"/>
    <mergeCell ref="BY5:DG5"/>
    <mergeCell ref="DJ5:ER5"/>
    <mergeCell ref="EU5:GC5"/>
    <mergeCell ref="GF5:HN5"/>
    <mergeCell ref="C4:AK4"/>
    <mergeCell ref="AN4:BV4"/>
    <mergeCell ref="BY4:DG4"/>
    <mergeCell ref="DJ4:ER4"/>
    <mergeCell ref="EU4:GC4"/>
    <mergeCell ref="GF4:HN4"/>
    <mergeCell ref="C3:AK3"/>
    <mergeCell ref="AN3:BV3"/>
    <mergeCell ref="BY3:DG3"/>
    <mergeCell ref="DJ3:ER3"/>
    <mergeCell ref="EU3:GC3"/>
    <mergeCell ref="GF3:HN3"/>
    <mergeCell ref="HE1:HN1"/>
    <mergeCell ref="C2:AK2"/>
    <mergeCell ref="AN2:BV2"/>
    <mergeCell ref="BY2:DG2"/>
    <mergeCell ref="DJ2:ER2"/>
    <mergeCell ref="EU2:GC2"/>
    <mergeCell ref="GF2:HN2"/>
  </mergeCells>
  <pageMargins left="0" right="0" top="0" bottom="0" header="0.31496062992125984" footer="0.31496062992125984"/>
  <pageSetup paperSize="9" scale="1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HQ32"/>
  <sheetViews>
    <sheetView view="pageBreakPreview" zoomScale="75" zoomScaleNormal="75" zoomScaleSheetLayoutView="75" workbookViewId="0">
      <pane xSplit="1" ySplit="9" topLeftCell="B10" activePane="bottomRight" state="frozen"/>
      <selection pane="topRight" activeCell="C1" sqref="C1"/>
      <selection pane="bottomLeft" activeCell="A11" sqref="A11"/>
      <selection pane="bottomRight" activeCell="U12" sqref="U12"/>
    </sheetView>
  </sheetViews>
  <sheetFormatPr defaultColWidth="11.5703125" defaultRowHeight="15.75" x14ac:dyDescent="0.25"/>
  <cols>
    <col min="1" max="1" width="25.28515625" style="66" customWidth="1"/>
    <col min="2" max="3" width="12.85546875" style="66" customWidth="1"/>
    <col min="4" max="5" width="10.5703125" style="66" customWidth="1"/>
    <col min="6" max="6" width="13.7109375" style="66" customWidth="1"/>
    <col min="7" max="7" width="13.28515625" style="66" customWidth="1"/>
    <col min="8" max="8" width="10.85546875" style="66" customWidth="1"/>
    <col min="9" max="9" width="10.140625" style="66" customWidth="1"/>
    <col min="10" max="10" width="10.42578125" style="66" bestFit="1" customWidth="1"/>
    <col min="11" max="14" width="9.140625" style="66" customWidth="1"/>
    <col min="15" max="15" width="9.28515625" style="66" customWidth="1"/>
    <col min="16" max="18" width="9.140625" style="66" customWidth="1"/>
    <col min="19" max="19" width="9.7109375" style="66" customWidth="1"/>
    <col min="20" max="21" width="9.140625" style="66" customWidth="1"/>
    <col min="22" max="22" width="9.140625" style="66" hidden="1" customWidth="1"/>
    <col min="23" max="24" width="9.140625" style="66" customWidth="1"/>
    <col min="25" max="25" width="9.140625" style="66" hidden="1" customWidth="1"/>
    <col min="26" max="26" width="9.85546875" style="66" bestFit="1" customWidth="1"/>
    <col min="27" max="27" width="9.140625" style="66" customWidth="1"/>
    <col min="28" max="28" width="13.140625" style="66" customWidth="1"/>
    <col min="29" max="29" width="9.85546875" style="66" customWidth="1"/>
    <col min="30" max="30" width="9.140625" style="66" customWidth="1"/>
    <col min="31" max="36" width="11.5703125" style="66" customWidth="1"/>
    <col min="37" max="37" width="11.5703125" style="66" hidden="1" customWidth="1"/>
    <col min="38" max="38" width="2.85546875" style="66" customWidth="1"/>
    <col min="39" max="40" width="12.85546875" style="66" customWidth="1"/>
    <col min="41" max="42" width="10.5703125" style="66" customWidth="1"/>
    <col min="43" max="43" width="13.7109375" style="66" customWidth="1"/>
    <col min="44" max="44" width="13.28515625" style="66" customWidth="1"/>
    <col min="45" max="45" width="10.85546875" style="66" customWidth="1"/>
    <col min="46" max="46" width="10.140625" style="66" customWidth="1"/>
    <col min="47" max="47" width="10.42578125" style="66" bestFit="1" customWidth="1"/>
    <col min="48" max="51" width="9.140625" style="66" customWidth="1"/>
    <col min="52" max="52" width="9.28515625" style="66" customWidth="1"/>
    <col min="53" max="55" width="9.140625" style="66" customWidth="1"/>
    <col min="56" max="56" width="9.7109375" style="66" customWidth="1"/>
    <col min="57" max="58" width="9.140625" style="66" customWidth="1"/>
    <col min="59" max="59" width="9.140625" style="66" hidden="1" customWidth="1"/>
    <col min="60" max="61" width="9.140625" style="66" customWidth="1"/>
    <col min="62" max="62" width="9.140625" style="66" hidden="1" customWidth="1"/>
    <col min="63" max="63" width="9.85546875" style="66" bestFit="1" customWidth="1"/>
    <col min="64" max="64" width="9.140625" style="66" customWidth="1"/>
    <col min="65" max="65" width="13.140625" style="66" customWidth="1"/>
    <col min="66" max="66" width="9.85546875" style="66" customWidth="1"/>
    <col min="67" max="67" width="9.140625" style="66" customWidth="1"/>
    <col min="68" max="73" width="11.5703125" style="66" customWidth="1"/>
    <col min="74" max="74" width="11.5703125" style="66" hidden="1" customWidth="1"/>
    <col min="75" max="75" width="2.85546875" style="66" customWidth="1"/>
    <col min="76" max="77" width="12.85546875" style="66" customWidth="1"/>
    <col min="78" max="79" width="10.5703125" style="66" customWidth="1"/>
    <col min="80" max="80" width="13.7109375" style="66" customWidth="1"/>
    <col min="81" max="81" width="13.28515625" style="66" customWidth="1"/>
    <col min="82" max="82" width="10.85546875" style="66" customWidth="1"/>
    <col min="83" max="83" width="10.140625" style="66" customWidth="1"/>
    <col min="84" max="84" width="10.42578125" style="66" bestFit="1" customWidth="1"/>
    <col min="85" max="88" width="9.140625" style="66" customWidth="1"/>
    <col min="89" max="89" width="9.28515625" style="66" customWidth="1"/>
    <col min="90" max="92" width="9.140625" style="66" customWidth="1"/>
    <col min="93" max="93" width="9.7109375" style="66" customWidth="1"/>
    <col min="94" max="95" width="9.140625" style="66" customWidth="1"/>
    <col min="96" max="96" width="9.140625" style="66" hidden="1" customWidth="1"/>
    <col min="97" max="98" width="9.140625" style="66" customWidth="1"/>
    <col min="99" max="99" width="9.140625" style="66" hidden="1" customWidth="1"/>
    <col min="100" max="100" width="9.85546875" style="66" bestFit="1" customWidth="1"/>
    <col min="101" max="101" width="9.140625" style="66" customWidth="1"/>
    <col min="102" max="102" width="13.140625" style="66" customWidth="1"/>
    <col min="103" max="103" width="9.85546875" style="66" customWidth="1"/>
    <col min="104" max="104" width="9.140625" style="66" customWidth="1"/>
    <col min="105" max="110" width="11.5703125" style="66" customWidth="1"/>
    <col min="111" max="111" width="11.5703125" style="66" hidden="1" customWidth="1"/>
    <col min="112" max="112" width="3" style="66" customWidth="1"/>
    <col min="113" max="114" width="12.85546875" style="66" customWidth="1"/>
    <col min="115" max="116" width="10.5703125" style="66" customWidth="1"/>
    <col min="117" max="117" width="13.7109375" style="66" customWidth="1"/>
    <col min="118" max="118" width="13.28515625" style="66" customWidth="1"/>
    <col min="119" max="119" width="10.85546875" style="66" customWidth="1"/>
    <col min="120" max="120" width="10.140625" style="66" customWidth="1"/>
    <col min="121" max="121" width="10.42578125" style="66" bestFit="1" customWidth="1"/>
    <col min="122" max="125" width="9.140625" style="66" customWidth="1"/>
    <col min="126" max="126" width="9.28515625" style="66" customWidth="1"/>
    <col min="127" max="129" width="9.140625" style="66" customWidth="1"/>
    <col min="130" max="130" width="9.7109375" style="66" customWidth="1"/>
    <col min="131" max="132" width="9.140625" style="66" customWidth="1"/>
    <col min="133" max="133" width="9.140625" style="66" hidden="1" customWidth="1"/>
    <col min="134" max="135" width="9.140625" style="66" customWidth="1"/>
    <col min="136" max="136" width="9.140625" style="66" hidden="1" customWidth="1"/>
    <col min="137" max="137" width="9.85546875" style="66" bestFit="1" customWidth="1"/>
    <col min="138" max="138" width="9.140625" style="66" customWidth="1"/>
    <col min="139" max="139" width="13.140625" style="66" customWidth="1"/>
    <col min="140" max="140" width="9.85546875" style="66" customWidth="1"/>
    <col min="141" max="141" width="9.140625" style="66" customWidth="1"/>
    <col min="142" max="147" width="11.5703125" style="66" customWidth="1"/>
    <col min="148" max="148" width="11.5703125" style="66" hidden="1" customWidth="1"/>
    <col min="149" max="149" width="3" style="66" customWidth="1"/>
    <col min="150" max="151" width="12.85546875" style="66" customWidth="1"/>
    <col min="152" max="153" width="10.5703125" style="66" customWidth="1"/>
    <col min="154" max="154" width="13.7109375" style="66" customWidth="1"/>
    <col min="155" max="155" width="13.28515625" style="66" customWidth="1"/>
    <col min="156" max="156" width="10.85546875" style="66" customWidth="1"/>
    <col min="157" max="157" width="10.140625" style="66" customWidth="1"/>
    <col min="158" max="158" width="10.42578125" style="66" bestFit="1" customWidth="1"/>
    <col min="159" max="162" width="9.140625" style="66" customWidth="1"/>
    <col min="163" max="163" width="9.28515625" style="66" customWidth="1"/>
    <col min="164" max="166" width="9.140625" style="66" customWidth="1"/>
    <col min="167" max="167" width="9.7109375" style="66" customWidth="1"/>
    <col min="168" max="169" width="9.140625" style="66" customWidth="1"/>
    <col min="170" max="170" width="9.140625" style="66" hidden="1" customWidth="1"/>
    <col min="171" max="172" width="9.140625" style="66" customWidth="1"/>
    <col min="173" max="173" width="9.140625" style="66" hidden="1" customWidth="1"/>
    <col min="174" max="174" width="9.85546875" style="66" bestFit="1" customWidth="1"/>
    <col min="175" max="175" width="9.140625" style="66" customWidth="1"/>
    <col min="176" max="176" width="13.140625" style="66" customWidth="1"/>
    <col min="177" max="177" width="9.85546875" style="66" customWidth="1"/>
    <col min="178" max="178" width="9.140625" style="66" customWidth="1"/>
    <col min="179" max="184" width="11.5703125" style="66" customWidth="1"/>
    <col min="185" max="185" width="11.5703125" style="66" hidden="1" customWidth="1"/>
    <col min="186" max="186" width="2.85546875" style="66" customWidth="1"/>
    <col min="187" max="188" width="12.85546875" style="66" customWidth="1"/>
    <col min="189" max="190" width="10.5703125" style="66" customWidth="1"/>
    <col min="191" max="191" width="13.7109375" style="66" customWidth="1"/>
    <col min="192" max="192" width="13.28515625" style="66" customWidth="1"/>
    <col min="193" max="193" width="10.85546875" style="66" customWidth="1"/>
    <col min="194" max="194" width="10.140625" style="66" customWidth="1"/>
    <col min="195" max="195" width="10.42578125" style="66" bestFit="1" customWidth="1"/>
    <col min="196" max="199" width="9.140625" style="66" customWidth="1"/>
    <col min="200" max="200" width="9.28515625" style="66" customWidth="1"/>
    <col min="201" max="203" width="9.140625" style="66" customWidth="1"/>
    <col min="204" max="204" width="9.7109375" style="66" customWidth="1"/>
    <col min="205" max="206" width="9.140625" style="66" customWidth="1"/>
    <col min="207" max="207" width="9.140625" style="66" hidden="1" customWidth="1"/>
    <col min="208" max="209" width="9.140625" style="66" customWidth="1"/>
    <col min="210" max="210" width="9.140625" style="66" hidden="1" customWidth="1"/>
    <col min="211" max="211" width="9.85546875" style="66" bestFit="1" customWidth="1"/>
    <col min="212" max="212" width="9.140625" style="66" customWidth="1"/>
    <col min="213" max="213" width="13.140625" style="66" customWidth="1"/>
    <col min="214" max="214" width="9.85546875" style="66" customWidth="1"/>
    <col min="215" max="215" width="9.140625" style="66" customWidth="1"/>
    <col min="216" max="218" width="11.5703125" style="66" customWidth="1"/>
    <col min="219" max="219" width="12.7109375" style="66" customWidth="1"/>
    <col min="220" max="221" width="11.5703125" style="66" customWidth="1"/>
    <col min="222" max="222" width="11.5703125" style="66" hidden="1" customWidth="1"/>
    <col min="223" max="223" width="2.28515625" style="66" customWidth="1"/>
    <col min="224" max="224" width="9.140625" style="66" customWidth="1"/>
    <col min="225" max="16384" width="11.5703125" style="66"/>
  </cols>
  <sheetData>
    <row r="1" spans="1:225" x14ac:dyDescent="0.25">
      <c r="A1" s="1"/>
      <c r="B1" s="1"/>
      <c r="C1" s="1"/>
      <c r="HE1" s="1051" t="s">
        <v>356</v>
      </c>
      <c r="HF1" s="1051"/>
      <c r="HG1" s="1051"/>
      <c r="HH1" s="1051"/>
      <c r="HI1" s="1051"/>
      <c r="HJ1" s="1051"/>
      <c r="HK1" s="1051"/>
      <c r="HL1" s="1051"/>
      <c r="HM1" s="1051"/>
      <c r="HN1" s="1051"/>
    </row>
    <row r="2" spans="1:225" x14ac:dyDescent="0.25">
      <c r="A2" s="278"/>
      <c r="B2" s="278"/>
      <c r="C2" s="1051" t="s">
        <v>354</v>
      </c>
      <c r="D2" s="1051"/>
      <c r="E2" s="1051"/>
      <c r="F2" s="1051"/>
      <c r="G2" s="1051"/>
      <c r="H2" s="1051"/>
      <c r="I2" s="1051"/>
      <c r="J2" s="1051"/>
      <c r="K2" s="1051"/>
      <c r="L2" s="1051"/>
      <c r="M2" s="1051"/>
      <c r="N2" s="1051"/>
      <c r="O2" s="1051"/>
      <c r="P2" s="1051"/>
      <c r="Q2" s="1051"/>
      <c r="R2" s="1051"/>
      <c r="S2" s="1051"/>
      <c r="T2" s="1051"/>
      <c r="U2" s="1051"/>
      <c r="V2" s="1051"/>
      <c r="W2" s="1051"/>
      <c r="X2" s="1051"/>
      <c r="Y2" s="1051"/>
      <c r="Z2" s="1051"/>
      <c r="AA2" s="1051"/>
      <c r="AB2" s="1051"/>
      <c r="AC2" s="1051"/>
      <c r="AD2" s="1051"/>
      <c r="AE2" s="1051"/>
      <c r="AF2" s="1051"/>
      <c r="AG2" s="1051"/>
      <c r="AH2" s="1051"/>
      <c r="AI2" s="1051"/>
      <c r="AJ2" s="1051"/>
      <c r="AK2" s="1051"/>
      <c r="AN2" s="1051" t="s">
        <v>354</v>
      </c>
      <c r="AO2" s="1051"/>
      <c r="AP2" s="1051"/>
      <c r="AQ2" s="1051"/>
      <c r="AR2" s="1051"/>
      <c r="AS2" s="1051"/>
      <c r="AT2" s="1051"/>
      <c r="AU2" s="1051"/>
      <c r="AV2" s="1051"/>
      <c r="AW2" s="1051"/>
      <c r="AX2" s="1051"/>
      <c r="AY2" s="1051"/>
      <c r="AZ2" s="1051"/>
      <c r="BA2" s="1051"/>
      <c r="BB2" s="1051"/>
      <c r="BC2" s="1051"/>
      <c r="BD2" s="1051"/>
      <c r="BE2" s="1051"/>
      <c r="BF2" s="1051"/>
      <c r="BG2" s="1051"/>
      <c r="BH2" s="1051"/>
      <c r="BI2" s="1051"/>
      <c r="BJ2" s="1051"/>
      <c r="BK2" s="1051"/>
      <c r="BL2" s="1051"/>
      <c r="BM2" s="1051"/>
      <c r="BN2" s="1051"/>
      <c r="BO2" s="1051"/>
      <c r="BP2" s="1051"/>
      <c r="BQ2" s="1051"/>
      <c r="BR2" s="1051"/>
      <c r="BS2" s="1051"/>
      <c r="BT2" s="1051"/>
      <c r="BU2" s="1051"/>
      <c r="BV2" s="1051"/>
      <c r="BY2" s="1051" t="s">
        <v>354</v>
      </c>
      <c r="BZ2" s="1051"/>
      <c r="CA2" s="1051"/>
      <c r="CB2" s="1051"/>
      <c r="CC2" s="1051"/>
      <c r="CD2" s="1051"/>
      <c r="CE2" s="1051"/>
      <c r="CF2" s="1051"/>
      <c r="CG2" s="1051"/>
      <c r="CH2" s="1051"/>
      <c r="CI2" s="1051"/>
      <c r="CJ2" s="1051"/>
      <c r="CK2" s="1051"/>
      <c r="CL2" s="1051"/>
      <c r="CM2" s="1051"/>
      <c r="CN2" s="1051"/>
      <c r="CO2" s="1051"/>
      <c r="CP2" s="1051"/>
      <c r="CQ2" s="1051"/>
      <c r="CR2" s="1051"/>
      <c r="CS2" s="1051"/>
      <c r="CT2" s="1051"/>
      <c r="CU2" s="1051"/>
      <c r="CV2" s="1051"/>
      <c r="CW2" s="1051"/>
      <c r="CX2" s="1051"/>
      <c r="CY2" s="1051"/>
      <c r="CZ2" s="1051"/>
      <c r="DA2" s="1051"/>
      <c r="DB2" s="1051"/>
      <c r="DC2" s="1051"/>
      <c r="DD2" s="1051"/>
      <c r="DE2" s="1051"/>
      <c r="DF2" s="1051"/>
      <c r="DG2" s="1051"/>
      <c r="DJ2" s="1051" t="s">
        <v>354</v>
      </c>
      <c r="DK2" s="1051"/>
      <c r="DL2" s="1051"/>
      <c r="DM2" s="1051"/>
      <c r="DN2" s="1051"/>
      <c r="DO2" s="1051"/>
      <c r="DP2" s="1051"/>
      <c r="DQ2" s="1051"/>
      <c r="DR2" s="1051"/>
      <c r="DS2" s="1051"/>
      <c r="DT2" s="1051"/>
      <c r="DU2" s="1051"/>
      <c r="DV2" s="1051"/>
      <c r="DW2" s="1051"/>
      <c r="DX2" s="1051"/>
      <c r="DY2" s="1051"/>
      <c r="DZ2" s="1051"/>
      <c r="EA2" s="1051"/>
      <c r="EB2" s="1051"/>
      <c r="EC2" s="1051"/>
      <c r="ED2" s="1051"/>
      <c r="EE2" s="1051"/>
      <c r="EF2" s="1051"/>
      <c r="EG2" s="1051"/>
      <c r="EH2" s="1051"/>
      <c r="EI2" s="1051"/>
      <c r="EJ2" s="1051"/>
      <c r="EK2" s="1051"/>
      <c r="EL2" s="1051"/>
      <c r="EM2" s="1051"/>
      <c r="EN2" s="1051"/>
      <c r="EO2" s="1051"/>
      <c r="EP2" s="1051"/>
      <c r="EQ2" s="1051"/>
      <c r="ER2" s="1051"/>
      <c r="EU2" s="1051" t="s">
        <v>354</v>
      </c>
      <c r="EV2" s="1051"/>
      <c r="EW2" s="1051"/>
      <c r="EX2" s="1051"/>
      <c r="EY2" s="1051"/>
      <c r="EZ2" s="1051"/>
      <c r="FA2" s="1051"/>
      <c r="FB2" s="1051"/>
      <c r="FC2" s="1051"/>
      <c r="FD2" s="1051"/>
      <c r="FE2" s="1051"/>
      <c r="FF2" s="1051"/>
      <c r="FG2" s="1051"/>
      <c r="FH2" s="1051"/>
      <c r="FI2" s="1051"/>
      <c r="FJ2" s="1051"/>
      <c r="FK2" s="1051"/>
      <c r="FL2" s="1051"/>
      <c r="FM2" s="1051"/>
      <c r="FN2" s="1051"/>
      <c r="FO2" s="1051"/>
      <c r="FP2" s="1051"/>
      <c r="FQ2" s="1051"/>
      <c r="FR2" s="1051"/>
      <c r="FS2" s="1051"/>
      <c r="FT2" s="1051"/>
      <c r="FU2" s="1051"/>
      <c r="FV2" s="1051"/>
      <c r="FW2" s="1051"/>
      <c r="FX2" s="1051"/>
      <c r="FY2" s="1051"/>
      <c r="FZ2" s="1051"/>
      <c r="GA2" s="1051"/>
      <c r="GB2" s="1051"/>
      <c r="GC2" s="1051"/>
      <c r="GF2" s="1051" t="s">
        <v>354</v>
      </c>
      <c r="GG2" s="1051"/>
      <c r="GH2" s="1051"/>
      <c r="GI2" s="1051"/>
      <c r="GJ2" s="1051"/>
      <c r="GK2" s="1051"/>
      <c r="GL2" s="1051"/>
      <c r="GM2" s="1051"/>
      <c r="GN2" s="1051"/>
      <c r="GO2" s="1051"/>
      <c r="GP2" s="1051"/>
      <c r="GQ2" s="1051"/>
      <c r="GR2" s="1051"/>
      <c r="GS2" s="1051"/>
      <c r="GT2" s="1051"/>
      <c r="GU2" s="1051"/>
      <c r="GV2" s="1051"/>
      <c r="GW2" s="1051"/>
      <c r="GX2" s="1051"/>
      <c r="GY2" s="1051"/>
      <c r="GZ2" s="1051"/>
      <c r="HA2" s="1051"/>
      <c r="HB2" s="1051"/>
      <c r="HC2" s="1051"/>
      <c r="HD2" s="1051"/>
      <c r="HE2" s="1051"/>
      <c r="HF2" s="1051"/>
      <c r="HG2" s="1051"/>
      <c r="HH2" s="1051"/>
      <c r="HI2" s="1051"/>
      <c r="HJ2" s="1051"/>
      <c r="HK2" s="1051"/>
      <c r="HL2" s="1051"/>
      <c r="HM2" s="1051"/>
      <c r="HN2" s="1051"/>
    </row>
    <row r="3" spans="1:225" ht="15.75" customHeight="1" x14ac:dyDescent="0.25">
      <c r="A3" s="277"/>
      <c r="B3" s="277"/>
      <c r="C3" s="1034" t="s">
        <v>355</v>
      </c>
      <c r="D3" s="1034"/>
      <c r="E3" s="1034"/>
      <c r="F3" s="1034"/>
      <c r="G3" s="1034"/>
      <c r="H3" s="1034"/>
      <c r="I3" s="1034"/>
      <c r="J3" s="1034"/>
      <c r="K3" s="1034"/>
      <c r="L3" s="1034"/>
      <c r="M3" s="1034"/>
      <c r="N3" s="1034"/>
      <c r="O3" s="1034"/>
      <c r="P3" s="1034"/>
      <c r="Q3" s="1034"/>
      <c r="R3" s="1034"/>
      <c r="S3" s="1034"/>
      <c r="T3" s="1034"/>
      <c r="U3" s="1034"/>
      <c r="V3" s="1034"/>
      <c r="W3" s="1034"/>
      <c r="X3" s="1034"/>
      <c r="Y3" s="1034"/>
      <c r="Z3" s="1034"/>
      <c r="AA3" s="1034"/>
      <c r="AB3" s="1034"/>
      <c r="AC3" s="1034"/>
      <c r="AD3" s="1034"/>
      <c r="AE3" s="1034"/>
      <c r="AF3" s="1034"/>
      <c r="AG3" s="1034"/>
      <c r="AH3" s="1034"/>
      <c r="AI3" s="1034"/>
      <c r="AJ3" s="1034"/>
      <c r="AK3" s="1034"/>
      <c r="AN3" s="1034" t="s">
        <v>355</v>
      </c>
      <c r="AO3" s="1034"/>
      <c r="AP3" s="1034"/>
      <c r="AQ3" s="1034"/>
      <c r="AR3" s="1034"/>
      <c r="AS3" s="1034"/>
      <c r="AT3" s="1034"/>
      <c r="AU3" s="1034"/>
      <c r="AV3" s="1034"/>
      <c r="AW3" s="1034"/>
      <c r="AX3" s="1034"/>
      <c r="AY3" s="1034"/>
      <c r="AZ3" s="1034"/>
      <c r="BA3" s="1034"/>
      <c r="BB3" s="1034"/>
      <c r="BC3" s="1034"/>
      <c r="BD3" s="1034"/>
      <c r="BE3" s="1034"/>
      <c r="BF3" s="1034"/>
      <c r="BG3" s="1034"/>
      <c r="BH3" s="1034"/>
      <c r="BI3" s="1034"/>
      <c r="BJ3" s="1034"/>
      <c r="BK3" s="1034"/>
      <c r="BL3" s="1034"/>
      <c r="BM3" s="1034"/>
      <c r="BN3" s="1034"/>
      <c r="BO3" s="1034"/>
      <c r="BP3" s="1034"/>
      <c r="BQ3" s="1034"/>
      <c r="BR3" s="1034"/>
      <c r="BS3" s="1034"/>
      <c r="BT3" s="1034"/>
      <c r="BU3" s="1034"/>
      <c r="BV3" s="1034"/>
      <c r="BY3" s="1034" t="s">
        <v>355</v>
      </c>
      <c r="BZ3" s="1034"/>
      <c r="CA3" s="1034"/>
      <c r="CB3" s="1034"/>
      <c r="CC3" s="1034"/>
      <c r="CD3" s="1034"/>
      <c r="CE3" s="1034"/>
      <c r="CF3" s="1034"/>
      <c r="CG3" s="1034"/>
      <c r="CH3" s="1034"/>
      <c r="CI3" s="1034"/>
      <c r="CJ3" s="1034"/>
      <c r="CK3" s="1034"/>
      <c r="CL3" s="1034"/>
      <c r="CM3" s="1034"/>
      <c r="CN3" s="1034"/>
      <c r="CO3" s="1034"/>
      <c r="CP3" s="1034"/>
      <c r="CQ3" s="1034"/>
      <c r="CR3" s="1034"/>
      <c r="CS3" s="1034"/>
      <c r="CT3" s="1034"/>
      <c r="CU3" s="1034"/>
      <c r="CV3" s="1034"/>
      <c r="CW3" s="1034"/>
      <c r="CX3" s="1034"/>
      <c r="CY3" s="1034"/>
      <c r="CZ3" s="1034"/>
      <c r="DA3" s="1034"/>
      <c r="DB3" s="1034"/>
      <c r="DC3" s="1034"/>
      <c r="DD3" s="1034"/>
      <c r="DE3" s="1034"/>
      <c r="DF3" s="1034"/>
      <c r="DG3" s="1034"/>
      <c r="DJ3" s="1034" t="s">
        <v>355</v>
      </c>
      <c r="DK3" s="1034"/>
      <c r="DL3" s="1034"/>
      <c r="DM3" s="1034"/>
      <c r="DN3" s="1034"/>
      <c r="DO3" s="1034"/>
      <c r="DP3" s="1034"/>
      <c r="DQ3" s="1034"/>
      <c r="DR3" s="1034"/>
      <c r="DS3" s="1034"/>
      <c r="DT3" s="1034"/>
      <c r="DU3" s="1034"/>
      <c r="DV3" s="1034"/>
      <c r="DW3" s="1034"/>
      <c r="DX3" s="1034"/>
      <c r="DY3" s="1034"/>
      <c r="DZ3" s="1034"/>
      <c r="EA3" s="1034"/>
      <c r="EB3" s="1034"/>
      <c r="EC3" s="1034"/>
      <c r="ED3" s="1034"/>
      <c r="EE3" s="1034"/>
      <c r="EF3" s="1034"/>
      <c r="EG3" s="1034"/>
      <c r="EH3" s="1034"/>
      <c r="EI3" s="1034"/>
      <c r="EJ3" s="1034"/>
      <c r="EK3" s="1034"/>
      <c r="EL3" s="1034"/>
      <c r="EM3" s="1034"/>
      <c r="EN3" s="1034"/>
      <c r="EO3" s="1034"/>
      <c r="EP3" s="1034"/>
      <c r="EQ3" s="1034"/>
      <c r="ER3" s="1034"/>
      <c r="EU3" s="1034" t="s">
        <v>355</v>
      </c>
      <c r="EV3" s="1034"/>
      <c r="EW3" s="1034"/>
      <c r="EX3" s="1034"/>
      <c r="EY3" s="1034"/>
      <c r="EZ3" s="1034"/>
      <c r="FA3" s="1034"/>
      <c r="FB3" s="1034"/>
      <c r="FC3" s="1034"/>
      <c r="FD3" s="1034"/>
      <c r="FE3" s="1034"/>
      <c r="FF3" s="1034"/>
      <c r="FG3" s="1034"/>
      <c r="FH3" s="1034"/>
      <c r="FI3" s="1034"/>
      <c r="FJ3" s="1034"/>
      <c r="FK3" s="1034"/>
      <c r="FL3" s="1034"/>
      <c r="FM3" s="1034"/>
      <c r="FN3" s="1034"/>
      <c r="FO3" s="1034"/>
      <c r="FP3" s="1034"/>
      <c r="FQ3" s="1034"/>
      <c r="FR3" s="1034"/>
      <c r="FS3" s="1034"/>
      <c r="FT3" s="1034"/>
      <c r="FU3" s="1034"/>
      <c r="FV3" s="1034"/>
      <c r="FW3" s="1034"/>
      <c r="FX3" s="1034"/>
      <c r="FY3" s="1034"/>
      <c r="FZ3" s="1034"/>
      <c r="GA3" s="1034"/>
      <c r="GB3" s="1034"/>
      <c r="GC3" s="1034"/>
      <c r="GF3" s="1034" t="s">
        <v>355</v>
      </c>
      <c r="GG3" s="1034"/>
      <c r="GH3" s="1034"/>
      <c r="GI3" s="1034"/>
      <c r="GJ3" s="1034"/>
      <c r="GK3" s="1034"/>
      <c r="GL3" s="1034"/>
      <c r="GM3" s="1034"/>
      <c r="GN3" s="1034"/>
      <c r="GO3" s="1034"/>
      <c r="GP3" s="1034"/>
      <c r="GQ3" s="1034"/>
      <c r="GR3" s="1034"/>
      <c r="GS3" s="1034"/>
      <c r="GT3" s="1034"/>
      <c r="GU3" s="1034"/>
      <c r="GV3" s="1034"/>
      <c r="GW3" s="1034"/>
      <c r="GX3" s="1034"/>
      <c r="GY3" s="1034"/>
      <c r="GZ3" s="1034"/>
      <c r="HA3" s="1034"/>
      <c r="HB3" s="1034"/>
      <c r="HC3" s="1034"/>
      <c r="HD3" s="1034"/>
      <c r="HE3" s="1034"/>
      <c r="HF3" s="1034"/>
      <c r="HG3" s="1034"/>
      <c r="HH3" s="1034"/>
      <c r="HI3" s="1034"/>
      <c r="HJ3" s="1034"/>
      <c r="HK3" s="1034"/>
      <c r="HL3" s="1034"/>
      <c r="HM3" s="1034"/>
      <c r="HN3" s="1034"/>
    </row>
    <row r="4" spans="1:225" x14ac:dyDescent="0.25">
      <c r="A4" s="279"/>
      <c r="B4" s="279"/>
      <c r="C4" s="1058" t="s">
        <v>238</v>
      </c>
      <c r="D4" s="1058"/>
      <c r="E4" s="1058"/>
      <c r="F4" s="1058"/>
      <c r="G4" s="1058"/>
      <c r="H4" s="1058"/>
      <c r="I4" s="1058"/>
      <c r="J4" s="1058"/>
      <c r="K4" s="1058"/>
      <c r="L4" s="1058"/>
      <c r="M4" s="1058"/>
      <c r="N4" s="1058"/>
      <c r="O4" s="1058"/>
      <c r="P4" s="1058"/>
      <c r="Q4" s="1058"/>
      <c r="R4" s="1058"/>
      <c r="S4" s="1058"/>
      <c r="T4" s="1058"/>
      <c r="U4" s="1058"/>
      <c r="V4" s="1058"/>
      <c r="W4" s="1058"/>
      <c r="X4" s="1058"/>
      <c r="Y4" s="1058"/>
      <c r="Z4" s="1058"/>
      <c r="AA4" s="1058"/>
      <c r="AB4" s="1058"/>
      <c r="AC4" s="1058"/>
      <c r="AD4" s="1058"/>
      <c r="AE4" s="1058"/>
      <c r="AF4" s="1058"/>
      <c r="AG4" s="1058"/>
      <c r="AH4" s="1058"/>
      <c r="AI4" s="1058"/>
      <c r="AJ4" s="1058"/>
      <c r="AK4" s="1058"/>
      <c r="AN4" s="1058" t="s">
        <v>238</v>
      </c>
      <c r="AO4" s="1058"/>
      <c r="AP4" s="1058"/>
      <c r="AQ4" s="1058"/>
      <c r="AR4" s="1058"/>
      <c r="AS4" s="1058"/>
      <c r="AT4" s="1058"/>
      <c r="AU4" s="1058"/>
      <c r="AV4" s="1058"/>
      <c r="AW4" s="1058"/>
      <c r="AX4" s="1058"/>
      <c r="AY4" s="1058"/>
      <c r="AZ4" s="1058"/>
      <c r="BA4" s="1058"/>
      <c r="BB4" s="1058"/>
      <c r="BC4" s="1058"/>
      <c r="BD4" s="1058"/>
      <c r="BE4" s="1058"/>
      <c r="BF4" s="1058"/>
      <c r="BG4" s="1058"/>
      <c r="BH4" s="1058"/>
      <c r="BI4" s="1058"/>
      <c r="BJ4" s="1058"/>
      <c r="BK4" s="1058"/>
      <c r="BL4" s="1058"/>
      <c r="BM4" s="1058"/>
      <c r="BN4" s="1058"/>
      <c r="BO4" s="1058"/>
      <c r="BP4" s="1058"/>
      <c r="BQ4" s="1058"/>
      <c r="BR4" s="1058"/>
      <c r="BS4" s="1058"/>
      <c r="BT4" s="1058"/>
      <c r="BU4" s="1058"/>
      <c r="BV4" s="1058"/>
      <c r="BY4" s="1058" t="s">
        <v>238</v>
      </c>
      <c r="BZ4" s="1058"/>
      <c r="CA4" s="1058"/>
      <c r="CB4" s="1058"/>
      <c r="CC4" s="1058"/>
      <c r="CD4" s="1058"/>
      <c r="CE4" s="1058"/>
      <c r="CF4" s="1058"/>
      <c r="CG4" s="1058"/>
      <c r="CH4" s="1058"/>
      <c r="CI4" s="1058"/>
      <c r="CJ4" s="1058"/>
      <c r="CK4" s="1058"/>
      <c r="CL4" s="1058"/>
      <c r="CM4" s="1058"/>
      <c r="CN4" s="1058"/>
      <c r="CO4" s="1058"/>
      <c r="CP4" s="1058"/>
      <c r="CQ4" s="1058"/>
      <c r="CR4" s="1058"/>
      <c r="CS4" s="1058"/>
      <c r="CT4" s="1058"/>
      <c r="CU4" s="1058"/>
      <c r="CV4" s="1058"/>
      <c r="CW4" s="1058"/>
      <c r="CX4" s="1058"/>
      <c r="CY4" s="1058"/>
      <c r="CZ4" s="1058"/>
      <c r="DA4" s="1058"/>
      <c r="DB4" s="1058"/>
      <c r="DC4" s="1058"/>
      <c r="DD4" s="1058"/>
      <c r="DE4" s="1058"/>
      <c r="DF4" s="1058"/>
      <c r="DG4" s="1058"/>
      <c r="DJ4" s="1058" t="s">
        <v>238</v>
      </c>
      <c r="DK4" s="1058"/>
      <c r="DL4" s="1058"/>
      <c r="DM4" s="1058"/>
      <c r="DN4" s="1058"/>
      <c r="DO4" s="1058"/>
      <c r="DP4" s="1058"/>
      <c r="DQ4" s="1058"/>
      <c r="DR4" s="1058"/>
      <c r="DS4" s="1058"/>
      <c r="DT4" s="1058"/>
      <c r="DU4" s="1058"/>
      <c r="DV4" s="1058"/>
      <c r="DW4" s="1058"/>
      <c r="DX4" s="1058"/>
      <c r="DY4" s="1058"/>
      <c r="DZ4" s="1058"/>
      <c r="EA4" s="1058"/>
      <c r="EB4" s="1058"/>
      <c r="EC4" s="1058"/>
      <c r="ED4" s="1058"/>
      <c r="EE4" s="1058"/>
      <c r="EF4" s="1058"/>
      <c r="EG4" s="1058"/>
      <c r="EH4" s="1058"/>
      <c r="EI4" s="1058"/>
      <c r="EJ4" s="1058"/>
      <c r="EK4" s="1058"/>
      <c r="EL4" s="1058"/>
      <c r="EM4" s="1058"/>
      <c r="EN4" s="1058"/>
      <c r="EO4" s="1058"/>
      <c r="EP4" s="1058"/>
      <c r="EQ4" s="1058"/>
      <c r="ER4" s="1058"/>
      <c r="EU4" s="1058" t="s">
        <v>238</v>
      </c>
      <c r="EV4" s="1058"/>
      <c r="EW4" s="1058"/>
      <c r="EX4" s="1058"/>
      <c r="EY4" s="1058"/>
      <c r="EZ4" s="1058"/>
      <c r="FA4" s="1058"/>
      <c r="FB4" s="1058"/>
      <c r="FC4" s="1058"/>
      <c r="FD4" s="1058"/>
      <c r="FE4" s="1058"/>
      <c r="FF4" s="1058"/>
      <c r="FG4" s="1058"/>
      <c r="FH4" s="1058"/>
      <c r="FI4" s="1058"/>
      <c r="FJ4" s="1058"/>
      <c r="FK4" s="1058"/>
      <c r="FL4" s="1058"/>
      <c r="FM4" s="1058"/>
      <c r="FN4" s="1058"/>
      <c r="FO4" s="1058"/>
      <c r="FP4" s="1058"/>
      <c r="FQ4" s="1058"/>
      <c r="FR4" s="1058"/>
      <c r="FS4" s="1058"/>
      <c r="FT4" s="1058"/>
      <c r="FU4" s="1058"/>
      <c r="FV4" s="1058"/>
      <c r="FW4" s="1058"/>
      <c r="FX4" s="1058"/>
      <c r="FY4" s="1058"/>
      <c r="FZ4" s="1058"/>
      <c r="GA4" s="1058"/>
      <c r="GB4" s="1058"/>
      <c r="GC4" s="1058"/>
      <c r="GF4" s="1058" t="s">
        <v>238</v>
      </c>
      <c r="GG4" s="1058"/>
      <c r="GH4" s="1058"/>
      <c r="GI4" s="1058"/>
      <c r="GJ4" s="1058"/>
      <c r="GK4" s="1058"/>
      <c r="GL4" s="1058"/>
      <c r="GM4" s="1058"/>
      <c r="GN4" s="1058"/>
      <c r="GO4" s="1058"/>
      <c r="GP4" s="1058"/>
      <c r="GQ4" s="1058"/>
      <c r="GR4" s="1058"/>
      <c r="GS4" s="1058"/>
      <c r="GT4" s="1058"/>
      <c r="GU4" s="1058"/>
      <c r="GV4" s="1058"/>
      <c r="GW4" s="1058"/>
      <c r="GX4" s="1058"/>
      <c r="GY4" s="1058"/>
      <c r="GZ4" s="1058"/>
      <c r="HA4" s="1058"/>
      <c r="HB4" s="1058"/>
      <c r="HC4" s="1058"/>
      <c r="HD4" s="1058"/>
      <c r="HE4" s="1058"/>
      <c r="HF4" s="1058"/>
      <c r="HG4" s="1058"/>
      <c r="HH4" s="1058"/>
      <c r="HI4" s="1058"/>
      <c r="HJ4" s="1058"/>
      <c r="HK4" s="1058"/>
      <c r="HL4" s="1058"/>
      <c r="HM4" s="1058"/>
      <c r="HN4" s="1058"/>
    </row>
    <row r="5" spans="1:225" ht="15.75" customHeight="1" x14ac:dyDescent="0.25">
      <c r="A5" s="280"/>
      <c r="B5" s="280"/>
      <c r="C5" s="1059" t="s">
        <v>265</v>
      </c>
      <c r="D5" s="1059"/>
      <c r="E5" s="1059"/>
      <c r="F5" s="1059"/>
      <c r="G5" s="1059"/>
      <c r="H5" s="1059"/>
      <c r="I5" s="1059"/>
      <c r="J5" s="1059"/>
      <c r="K5" s="1059"/>
      <c r="L5" s="1059"/>
      <c r="M5" s="1059"/>
      <c r="N5" s="1059"/>
      <c r="O5" s="1059"/>
      <c r="P5" s="1059"/>
      <c r="Q5" s="1059"/>
      <c r="R5" s="1059"/>
      <c r="S5" s="1059"/>
      <c r="T5" s="1059"/>
      <c r="U5" s="1059"/>
      <c r="V5" s="1059"/>
      <c r="W5" s="1059"/>
      <c r="X5" s="1059"/>
      <c r="Y5" s="1059"/>
      <c r="Z5" s="1059"/>
      <c r="AA5" s="1059"/>
      <c r="AB5" s="1059"/>
      <c r="AC5" s="1059"/>
      <c r="AD5" s="1059"/>
      <c r="AE5" s="1059"/>
      <c r="AF5" s="1059"/>
      <c r="AG5" s="1059"/>
      <c r="AH5" s="1059"/>
      <c r="AI5" s="1059"/>
      <c r="AJ5" s="1059"/>
      <c r="AK5" s="1059"/>
      <c r="AN5" s="1059" t="s">
        <v>265</v>
      </c>
      <c r="AO5" s="1059"/>
      <c r="AP5" s="1059"/>
      <c r="AQ5" s="1059"/>
      <c r="AR5" s="1059"/>
      <c r="AS5" s="1059"/>
      <c r="AT5" s="1059"/>
      <c r="AU5" s="1059"/>
      <c r="AV5" s="1059"/>
      <c r="AW5" s="1059"/>
      <c r="AX5" s="1059"/>
      <c r="AY5" s="1059"/>
      <c r="AZ5" s="1059"/>
      <c r="BA5" s="1059"/>
      <c r="BB5" s="1059"/>
      <c r="BC5" s="1059"/>
      <c r="BD5" s="1059"/>
      <c r="BE5" s="1059"/>
      <c r="BF5" s="1059"/>
      <c r="BG5" s="1059"/>
      <c r="BH5" s="1059"/>
      <c r="BI5" s="1059"/>
      <c r="BJ5" s="1059"/>
      <c r="BK5" s="1059"/>
      <c r="BL5" s="1059"/>
      <c r="BM5" s="1059"/>
      <c r="BN5" s="1059"/>
      <c r="BO5" s="1059"/>
      <c r="BP5" s="1059"/>
      <c r="BQ5" s="1059"/>
      <c r="BR5" s="1059"/>
      <c r="BS5" s="1059"/>
      <c r="BT5" s="1059"/>
      <c r="BU5" s="1059"/>
      <c r="BV5" s="1059"/>
      <c r="BY5" s="1059" t="s">
        <v>265</v>
      </c>
      <c r="BZ5" s="1059"/>
      <c r="CA5" s="1059"/>
      <c r="CB5" s="1059"/>
      <c r="CC5" s="1059"/>
      <c r="CD5" s="1059"/>
      <c r="CE5" s="1059"/>
      <c r="CF5" s="1059"/>
      <c r="CG5" s="1059"/>
      <c r="CH5" s="1059"/>
      <c r="CI5" s="1059"/>
      <c r="CJ5" s="1059"/>
      <c r="CK5" s="1059"/>
      <c r="CL5" s="1059"/>
      <c r="CM5" s="1059"/>
      <c r="CN5" s="1059"/>
      <c r="CO5" s="1059"/>
      <c r="CP5" s="1059"/>
      <c r="CQ5" s="1059"/>
      <c r="CR5" s="1059"/>
      <c r="CS5" s="1059"/>
      <c r="CT5" s="1059"/>
      <c r="CU5" s="1059"/>
      <c r="CV5" s="1059"/>
      <c r="CW5" s="1059"/>
      <c r="CX5" s="1059"/>
      <c r="CY5" s="1059"/>
      <c r="CZ5" s="1059"/>
      <c r="DA5" s="1059"/>
      <c r="DB5" s="1059"/>
      <c r="DC5" s="1059"/>
      <c r="DD5" s="1059"/>
      <c r="DE5" s="1059"/>
      <c r="DF5" s="1059"/>
      <c r="DG5" s="1059"/>
      <c r="DJ5" s="1059" t="s">
        <v>265</v>
      </c>
      <c r="DK5" s="1059"/>
      <c r="DL5" s="1059"/>
      <c r="DM5" s="1059"/>
      <c r="DN5" s="1059"/>
      <c r="DO5" s="1059"/>
      <c r="DP5" s="1059"/>
      <c r="DQ5" s="1059"/>
      <c r="DR5" s="1059"/>
      <c r="DS5" s="1059"/>
      <c r="DT5" s="1059"/>
      <c r="DU5" s="1059"/>
      <c r="DV5" s="1059"/>
      <c r="DW5" s="1059"/>
      <c r="DX5" s="1059"/>
      <c r="DY5" s="1059"/>
      <c r="DZ5" s="1059"/>
      <c r="EA5" s="1059"/>
      <c r="EB5" s="1059"/>
      <c r="EC5" s="1059"/>
      <c r="ED5" s="1059"/>
      <c r="EE5" s="1059"/>
      <c r="EF5" s="1059"/>
      <c r="EG5" s="1059"/>
      <c r="EH5" s="1059"/>
      <c r="EI5" s="1059"/>
      <c r="EJ5" s="1059"/>
      <c r="EK5" s="1059"/>
      <c r="EL5" s="1059"/>
      <c r="EM5" s="1059"/>
      <c r="EN5" s="1059"/>
      <c r="EO5" s="1059"/>
      <c r="EP5" s="1059"/>
      <c r="EQ5" s="1059"/>
      <c r="ER5" s="1059"/>
      <c r="EU5" s="1059" t="s">
        <v>265</v>
      </c>
      <c r="EV5" s="1059"/>
      <c r="EW5" s="1059"/>
      <c r="EX5" s="1059"/>
      <c r="EY5" s="1059"/>
      <c r="EZ5" s="1059"/>
      <c r="FA5" s="1059"/>
      <c r="FB5" s="1059"/>
      <c r="FC5" s="1059"/>
      <c r="FD5" s="1059"/>
      <c r="FE5" s="1059"/>
      <c r="FF5" s="1059"/>
      <c r="FG5" s="1059"/>
      <c r="FH5" s="1059"/>
      <c r="FI5" s="1059"/>
      <c r="FJ5" s="1059"/>
      <c r="FK5" s="1059"/>
      <c r="FL5" s="1059"/>
      <c r="FM5" s="1059"/>
      <c r="FN5" s="1059"/>
      <c r="FO5" s="1059"/>
      <c r="FP5" s="1059"/>
      <c r="FQ5" s="1059"/>
      <c r="FR5" s="1059"/>
      <c r="FS5" s="1059"/>
      <c r="FT5" s="1059"/>
      <c r="FU5" s="1059"/>
      <c r="FV5" s="1059"/>
      <c r="FW5" s="1059"/>
      <c r="FX5" s="1059"/>
      <c r="FY5" s="1059"/>
      <c r="FZ5" s="1059"/>
      <c r="GA5" s="1059"/>
      <c r="GB5" s="1059"/>
      <c r="GC5" s="1059"/>
      <c r="GF5" s="1059" t="s">
        <v>265</v>
      </c>
      <c r="GG5" s="1059"/>
      <c r="GH5" s="1059"/>
      <c r="GI5" s="1059"/>
      <c r="GJ5" s="1059"/>
      <c r="GK5" s="1059"/>
      <c r="GL5" s="1059"/>
      <c r="GM5" s="1059"/>
      <c r="GN5" s="1059"/>
      <c r="GO5" s="1059"/>
      <c r="GP5" s="1059"/>
      <c r="GQ5" s="1059"/>
      <c r="GR5" s="1059"/>
      <c r="GS5" s="1059"/>
      <c r="GT5" s="1059"/>
      <c r="GU5" s="1059"/>
      <c r="GV5" s="1059"/>
      <c r="GW5" s="1059"/>
      <c r="GX5" s="1059"/>
      <c r="GY5" s="1059"/>
      <c r="GZ5" s="1059"/>
      <c r="HA5" s="1059"/>
      <c r="HB5" s="1059"/>
      <c r="HC5" s="1059"/>
      <c r="HD5" s="1059"/>
      <c r="HE5" s="1059"/>
      <c r="HF5" s="1059"/>
      <c r="HG5" s="1059"/>
      <c r="HH5" s="1059"/>
      <c r="HI5" s="1059"/>
      <c r="HJ5" s="1059"/>
      <c r="HK5" s="1059"/>
      <c r="HL5" s="1059"/>
      <c r="HM5" s="1059"/>
      <c r="HN5" s="1059"/>
    </row>
    <row r="6" spans="1:225" s="113" customFormat="1" x14ac:dyDescent="0.25">
      <c r="B6" s="1057" t="s">
        <v>496</v>
      </c>
      <c r="C6" s="1057"/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  <c r="O6" s="1057"/>
      <c r="P6" s="1057"/>
      <c r="Q6" s="1057"/>
      <c r="R6" s="1057"/>
      <c r="S6" s="1057"/>
      <c r="T6" s="1057"/>
      <c r="U6" s="1057"/>
      <c r="V6" s="1057"/>
      <c r="W6" s="1057"/>
      <c r="X6" s="1057"/>
      <c r="Y6" s="1057"/>
      <c r="Z6" s="1057"/>
      <c r="AA6" s="1057"/>
      <c r="AB6" s="1057"/>
      <c r="AC6" s="1057"/>
      <c r="AD6" s="1057"/>
      <c r="AE6" s="1057"/>
      <c r="AF6" s="1057"/>
      <c r="AG6" s="1057"/>
      <c r="AH6" s="1057"/>
      <c r="AI6" s="1057"/>
      <c r="AJ6" s="1057"/>
      <c r="AK6" s="1057"/>
      <c r="AM6" s="1057" t="s">
        <v>490</v>
      </c>
      <c r="AN6" s="1057"/>
      <c r="AO6" s="1057"/>
      <c r="AP6" s="1057"/>
      <c r="AQ6" s="1057"/>
      <c r="AR6" s="1057"/>
      <c r="AS6" s="1057"/>
      <c r="AT6" s="1057"/>
      <c r="AU6" s="1057"/>
      <c r="AV6" s="1057"/>
      <c r="AW6" s="1057"/>
      <c r="AX6" s="1057"/>
      <c r="AY6" s="1057"/>
      <c r="AZ6" s="1057"/>
      <c r="BA6" s="1057"/>
      <c r="BB6" s="1057"/>
      <c r="BC6" s="1057"/>
      <c r="BD6" s="1057"/>
      <c r="BE6" s="1057"/>
      <c r="BF6" s="1057"/>
      <c r="BG6" s="1057"/>
      <c r="BH6" s="1057"/>
      <c r="BI6" s="1057"/>
      <c r="BJ6" s="1057"/>
      <c r="BK6" s="1057"/>
      <c r="BL6" s="1057"/>
      <c r="BM6" s="1057"/>
      <c r="BN6" s="1057"/>
      <c r="BO6" s="1057"/>
      <c r="BP6" s="1057"/>
      <c r="BQ6" s="1057"/>
      <c r="BR6" s="1057"/>
      <c r="BS6" s="1057"/>
      <c r="BT6" s="1057"/>
      <c r="BU6" s="1057"/>
      <c r="BV6" s="1057"/>
      <c r="BX6" s="1057" t="s">
        <v>450</v>
      </c>
      <c r="BY6" s="1057"/>
      <c r="BZ6" s="1057"/>
      <c r="CA6" s="1057"/>
      <c r="CB6" s="1057"/>
      <c r="CC6" s="1057"/>
      <c r="CD6" s="1057"/>
      <c r="CE6" s="1057"/>
      <c r="CF6" s="1057"/>
      <c r="CG6" s="1057"/>
      <c r="CH6" s="1057"/>
      <c r="CI6" s="1057"/>
      <c r="CJ6" s="1057"/>
      <c r="CK6" s="1057"/>
      <c r="CL6" s="1057"/>
      <c r="CM6" s="1057"/>
      <c r="CN6" s="1057"/>
      <c r="CO6" s="1057"/>
      <c r="CP6" s="1057"/>
      <c r="CQ6" s="1057"/>
      <c r="CR6" s="1057"/>
      <c r="CS6" s="1057"/>
      <c r="CT6" s="1057"/>
      <c r="CU6" s="1057"/>
      <c r="CV6" s="1057"/>
      <c r="CW6" s="1057"/>
      <c r="CX6" s="1057"/>
      <c r="CY6" s="1057"/>
      <c r="CZ6" s="1057"/>
      <c r="DA6" s="1057"/>
      <c r="DB6" s="1057"/>
      <c r="DC6" s="1057"/>
      <c r="DD6" s="1057"/>
      <c r="DE6" s="1057"/>
      <c r="DF6" s="1057"/>
      <c r="DG6" s="1057"/>
      <c r="DI6" s="1057" t="s">
        <v>449</v>
      </c>
      <c r="DJ6" s="1057"/>
      <c r="DK6" s="1057"/>
      <c r="DL6" s="1057"/>
      <c r="DM6" s="1057"/>
      <c r="DN6" s="1057"/>
      <c r="DO6" s="1057"/>
      <c r="DP6" s="1057"/>
      <c r="DQ6" s="1057"/>
      <c r="DR6" s="1057"/>
      <c r="DS6" s="1057"/>
      <c r="DT6" s="1057"/>
      <c r="DU6" s="1057"/>
      <c r="DV6" s="1057"/>
      <c r="DW6" s="1057"/>
      <c r="DX6" s="1057"/>
      <c r="DY6" s="1057"/>
      <c r="DZ6" s="1057"/>
      <c r="EA6" s="1057"/>
      <c r="EB6" s="1057"/>
      <c r="EC6" s="1057"/>
      <c r="ED6" s="1057"/>
      <c r="EE6" s="1057"/>
      <c r="EF6" s="1057"/>
      <c r="EG6" s="1057"/>
      <c r="EH6" s="1057"/>
      <c r="EI6" s="1057"/>
      <c r="EJ6" s="1057"/>
      <c r="EK6" s="1057"/>
      <c r="EL6" s="1057"/>
      <c r="EM6" s="1057"/>
      <c r="EN6" s="1057"/>
      <c r="EO6" s="1057"/>
      <c r="EP6" s="1057"/>
      <c r="EQ6" s="1057"/>
      <c r="ER6" s="1057"/>
      <c r="ET6" s="1057" t="s">
        <v>461</v>
      </c>
      <c r="EU6" s="1057"/>
      <c r="EV6" s="1057"/>
      <c r="EW6" s="1057"/>
      <c r="EX6" s="1057"/>
      <c r="EY6" s="1057"/>
      <c r="EZ6" s="1057"/>
      <c r="FA6" s="1057"/>
      <c r="FB6" s="1057"/>
      <c r="FC6" s="1057"/>
      <c r="FD6" s="1057"/>
      <c r="FE6" s="1057"/>
      <c r="FF6" s="1057"/>
      <c r="FG6" s="1057"/>
      <c r="FH6" s="1057"/>
      <c r="FI6" s="1057"/>
      <c r="FJ6" s="1057"/>
      <c r="FK6" s="1057"/>
      <c r="FL6" s="1057"/>
      <c r="FM6" s="1057"/>
      <c r="FN6" s="1057"/>
      <c r="FO6" s="1057"/>
      <c r="FP6" s="1057"/>
      <c r="FQ6" s="1057"/>
      <c r="FR6" s="1057"/>
      <c r="FS6" s="1057"/>
      <c r="FT6" s="1057"/>
      <c r="FU6" s="1057"/>
      <c r="FV6" s="1057"/>
      <c r="FW6" s="1057"/>
      <c r="FX6" s="1057"/>
      <c r="FY6" s="1057"/>
      <c r="FZ6" s="1057"/>
      <c r="GA6" s="1057"/>
      <c r="GB6" s="1057"/>
      <c r="GC6" s="1057"/>
      <c r="GE6" s="1056" t="s">
        <v>1427</v>
      </c>
      <c r="GF6" s="1056"/>
      <c r="GG6" s="1056"/>
      <c r="GH6" s="1056"/>
      <c r="GI6" s="1056"/>
      <c r="GJ6" s="1056"/>
      <c r="GK6" s="1056"/>
      <c r="GL6" s="1056"/>
      <c r="GM6" s="1056"/>
      <c r="GN6" s="1056"/>
      <c r="GO6" s="1056"/>
      <c r="GP6" s="1056"/>
      <c r="GQ6" s="1056"/>
      <c r="GR6" s="1056"/>
      <c r="GS6" s="1056"/>
      <c r="GT6" s="1056"/>
      <c r="GU6" s="1056"/>
      <c r="GV6" s="1056"/>
      <c r="GW6" s="1056"/>
      <c r="GX6" s="1056"/>
      <c r="GY6" s="1056"/>
      <c r="GZ6" s="1056"/>
      <c r="HA6" s="1056"/>
      <c r="HB6" s="1056"/>
      <c r="HC6" s="1056"/>
      <c r="HD6" s="1056"/>
      <c r="HE6" s="1056"/>
      <c r="HF6" s="1056"/>
      <c r="HG6" s="1056"/>
      <c r="HH6" s="1056"/>
      <c r="HI6" s="1056"/>
      <c r="HJ6" s="1056"/>
      <c r="HK6" s="1056"/>
      <c r="HL6" s="1056"/>
      <c r="HM6" s="1056"/>
      <c r="HN6" s="1056"/>
      <c r="HP6" s="1053" t="s">
        <v>465</v>
      </c>
    </row>
    <row r="7" spans="1:225" ht="15.75" customHeight="1" x14ac:dyDescent="0.25">
      <c r="A7" s="1064" t="s">
        <v>400</v>
      </c>
      <c r="B7" s="1054" t="s">
        <v>470</v>
      </c>
      <c r="C7" s="1054" t="s">
        <v>351</v>
      </c>
      <c r="D7" s="1068" t="s">
        <v>29</v>
      </c>
      <c r="E7" s="1068"/>
      <c r="F7" s="1054" t="s">
        <v>352</v>
      </c>
      <c r="G7" s="1065" t="s">
        <v>416</v>
      </c>
      <c r="H7" s="1065" t="s">
        <v>349</v>
      </c>
      <c r="I7" s="1065" t="s">
        <v>414</v>
      </c>
      <c r="J7" s="1065" t="s">
        <v>401</v>
      </c>
      <c r="K7" s="1065" t="s">
        <v>402</v>
      </c>
      <c r="L7" s="1065" t="s">
        <v>407</v>
      </c>
      <c r="M7" s="1065" t="s">
        <v>411</v>
      </c>
      <c r="N7" s="1065" t="s">
        <v>463</v>
      </c>
      <c r="O7" s="1065" t="s">
        <v>415</v>
      </c>
      <c r="P7" s="1066" t="s">
        <v>342</v>
      </c>
      <c r="Q7" s="1069" t="s">
        <v>1209</v>
      </c>
      <c r="R7" s="1069" t="s">
        <v>1210</v>
      </c>
      <c r="S7" s="1069" t="s">
        <v>652</v>
      </c>
      <c r="T7" s="1066" t="s">
        <v>340</v>
      </c>
      <c r="U7" s="1060" t="s">
        <v>497</v>
      </c>
      <c r="V7" s="1060" t="s">
        <v>341</v>
      </c>
      <c r="W7" s="1060" t="s">
        <v>344</v>
      </c>
      <c r="X7" s="1060" t="s">
        <v>343</v>
      </c>
      <c r="Y7" s="1060" t="s">
        <v>345</v>
      </c>
      <c r="Z7" s="1060" t="s">
        <v>346</v>
      </c>
      <c r="AA7" s="1062" t="s">
        <v>29</v>
      </c>
      <c r="AB7" s="1062"/>
      <c r="AC7" s="1062"/>
      <c r="AD7" s="1060" t="s">
        <v>412</v>
      </c>
      <c r="AE7" s="137" t="s">
        <v>434</v>
      </c>
      <c r="AF7" s="1063" t="s">
        <v>435</v>
      </c>
      <c r="AG7" s="1063"/>
      <c r="AH7" s="1063"/>
      <c r="AI7" s="1063"/>
      <c r="AJ7" s="1063"/>
      <c r="AK7" s="1063"/>
      <c r="AM7" s="1054" t="s">
        <v>470</v>
      </c>
      <c r="AN7" s="1054" t="s">
        <v>351</v>
      </c>
      <c r="AO7" s="1068" t="s">
        <v>29</v>
      </c>
      <c r="AP7" s="1068"/>
      <c r="AQ7" s="1054" t="s">
        <v>352</v>
      </c>
      <c r="AR7" s="1065" t="s">
        <v>416</v>
      </c>
      <c r="AS7" s="1065" t="s">
        <v>349</v>
      </c>
      <c r="AT7" s="1065" t="s">
        <v>414</v>
      </c>
      <c r="AU7" s="1065" t="s">
        <v>401</v>
      </c>
      <c r="AV7" s="1065" t="s">
        <v>402</v>
      </c>
      <c r="AW7" s="1065" t="s">
        <v>407</v>
      </c>
      <c r="AX7" s="1065" t="s">
        <v>411</v>
      </c>
      <c r="AY7" s="1065" t="s">
        <v>463</v>
      </c>
      <c r="AZ7" s="1065" t="s">
        <v>415</v>
      </c>
      <c r="BA7" s="1066" t="s">
        <v>342</v>
      </c>
      <c r="BB7" s="1069" t="s">
        <v>1209</v>
      </c>
      <c r="BC7" s="1069" t="s">
        <v>1210</v>
      </c>
      <c r="BD7" s="1069" t="s">
        <v>652</v>
      </c>
      <c r="BE7" s="1066" t="s">
        <v>340</v>
      </c>
      <c r="BF7" s="1060" t="s">
        <v>497</v>
      </c>
      <c r="BG7" s="1060" t="s">
        <v>341</v>
      </c>
      <c r="BH7" s="1060" t="s">
        <v>344</v>
      </c>
      <c r="BI7" s="1060" t="s">
        <v>343</v>
      </c>
      <c r="BJ7" s="1060" t="s">
        <v>345</v>
      </c>
      <c r="BK7" s="1060" t="s">
        <v>346</v>
      </c>
      <c r="BL7" s="1062" t="s">
        <v>29</v>
      </c>
      <c r="BM7" s="1062"/>
      <c r="BN7" s="1062"/>
      <c r="BO7" s="1060" t="s">
        <v>412</v>
      </c>
      <c r="BP7" s="137" t="s">
        <v>434</v>
      </c>
      <c r="BQ7" s="1063" t="s">
        <v>435</v>
      </c>
      <c r="BR7" s="1063"/>
      <c r="BS7" s="1063"/>
      <c r="BT7" s="1063"/>
      <c r="BU7" s="1063"/>
      <c r="BV7" s="1063"/>
      <c r="BX7" s="1054" t="s">
        <v>470</v>
      </c>
      <c r="BY7" s="1054" t="s">
        <v>351</v>
      </c>
      <c r="BZ7" s="1068" t="s">
        <v>29</v>
      </c>
      <c r="CA7" s="1068"/>
      <c r="CB7" s="1054" t="s">
        <v>352</v>
      </c>
      <c r="CC7" s="1065" t="s">
        <v>416</v>
      </c>
      <c r="CD7" s="1065" t="s">
        <v>349</v>
      </c>
      <c r="CE7" s="1065" t="s">
        <v>414</v>
      </c>
      <c r="CF7" s="1065" t="s">
        <v>401</v>
      </c>
      <c r="CG7" s="1065" t="s">
        <v>402</v>
      </c>
      <c r="CH7" s="1065" t="s">
        <v>407</v>
      </c>
      <c r="CI7" s="1065" t="s">
        <v>411</v>
      </c>
      <c r="CJ7" s="1065" t="s">
        <v>463</v>
      </c>
      <c r="CK7" s="1065" t="s">
        <v>415</v>
      </c>
      <c r="CL7" s="1066" t="s">
        <v>342</v>
      </c>
      <c r="CM7" s="1069" t="s">
        <v>1209</v>
      </c>
      <c r="CN7" s="1069" t="s">
        <v>1210</v>
      </c>
      <c r="CO7" s="1069" t="s">
        <v>652</v>
      </c>
      <c r="CP7" s="1066" t="s">
        <v>340</v>
      </c>
      <c r="CQ7" s="1060" t="s">
        <v>497</v>
      </c>
      <c r="CR7" s="1060" t="s">
        <v>341</v>
      </c>
      <c r="CS7" s="1060" t="s">
        <v>344</v>
      </c>
      <c r="CT7" s="1060" t="s">
        <v>343</v>
      </c>
      <c r="CU7" s="1060" t="s">
        <v>345</v>
      </c>
      <c r="CV7" s="1060" t="s">
        <v>346</v>
      </c>
      <c r="CW7" s="1062" t="s">
        <v>29</v>
      </c>
      <c r="CX7" s="1062"/>
      <c r="CY7" s="1062"/>
      <c r="CZ7" s="1060" t="s">
        <v>412</v>
      </c>
      <c r="DA7" s="137" t="s">
        <v>434</v>
      </c>
      <c r="DB7" s="1063" t="s">
        <v>435</v>
      </c>
      <c r="DC7" s="1063"/>
      <c r="DD7" s="1063"/>
      <c r="DE7" s="1063"/>
      <c r="DF7" s="1063"/>
      <c r="DG7" s="1063"/>
      <c r="DI7" s="1054" t="s">
        <v>470</v>
      </c>
      <c r="DJ7" s="1054" t="s">
        <v>351</v>
      </c>
      <c r="DK7" s="1068" t="s">
        <v>29</v>
      </c>
      <c r="DL7" s="1068"/>
      <c r="DM7" s="1054" t="s">
        <v>352</v>
      </c>
      <c r="DN7" s="1065" t="s">
        <v>416</v>
      </c>
      <c r="DO7" s="1065" t="s">
        <v>349</v>
      </c>
      <c r="DP7" s="1065" t="s">
        <v>414</v>
      </c>
      <c r="DQ7" s="1065" t="s">
        <v>401</v>
      </c>
      <c r="DR7" s="1065" t="s">
        <v>402</v>
      </c>
      <c r="DS7" s="1065" t="s">
        <v>407</v>
      </c>
      <c r="DT7" s="1065" t="s">
        <v>411</v>
      </c>
      <c r="DU7" s="1065" t="s">
        <v>463</v>
      </c>
      <c r="DV7" s="1065" t="s">
        <v>415</v>
      </c>
      <c r="DW7" s="1066" t="s">
        <v>342</v>
      </c>
      <c r="DX7" s="1069" t="s">
        <v>1209</v>
      </c>
      <c r="DY7" s="1069" t="s">
        <v>1210</v>
      </c>
      <c r="DZ7" s="1069" t="s">
        <v>652</v>
      </c>
      <c r="EA7" s="1066" t="s">
        <v>340</v>
      </c>
      <c r="EB7" s="1060" t="s">
        <v>497</v>
      </c>
      <c r="EC7" s="1060" t="s">
        <v>341</v>
      </c>
      <c r="ED7" s="1060" t="s">
        <v>344</v>
      </c>
      <c r="EE7" s="1060" t="s">
        <v>343</v>
      </c>
      <c r="EF7" s="1060" t="s">
        <v>345</v>
      </c>
      <c r="EG7" s="1060" t="s">
        <v>346</v>
      </c>
      <c r="EH7" s="1062" t="s">
        <v>29</v>
      </c>
      <c r="EI7" s="1062"/>
      <c r="EJ7" s="1062"/>
      <c r="EK7" s="1060" t="s">
        <v>412</v>
      </c>
      <c r="EL7" s="137" t="s">
        <v>434</v>
      </c>
      <c r="EM7" s="1063" t="s">
        <v>435</v>
      </c>
      <c r="EN7" s="1063"/>
      <c r="EO7" s="1063"/>
      <c r="EP7" s="1063"/>
      <c r="EQ7" s="1063"/>
      <c r="ER7" s="1063"/>
      <c r="ET7" s="1054" t="s">
        <v>470</v>
      </c>
      <c r="EU7" s="1054" t="s">
        <v>351</v>
      </c>
      <c r="EV7" s="1068" t="s">
        <v>29</v>
      </c>
      <c r="EW7" s="1068"/>
      <c r="EX7" s="1054" t="s">
        <v>352</v>
      </c>
      <c r="EY7" s="1065" t="s">
        <v>416</v>
      </c>
      <c r="EZ7" s="1065" t="s">
        <v>349</v>
      </c>
      <c r="FA7" s="1065" t="s">
        <v>414</v>
      </c>
      <c r="FB7" s="1065" t="s">
        <v>401</v>
      </c>
      <c r="FC7" s="1065" t="s">
        <v>402</v>
      </c>
      <c r="FD7" s="1065" t="s">
        <v>407</v>
      </c>
      <c r="FE7" s="1065" t="s">
        <v>411</v>
      </c>
      <c r="FF7" s="1065" t="s">
        <v>463</v>
      </c>
      <c r="FG7" s="1065" t="s">
        <v>415</v>
      </c>
      <c r="FH7" s="1066" t="s">
        <v>342</v>
      </c>
      <c r="FI7" s="1069" t="s">
        <v>1209</v>
      </c>
      <c r="FJ7" s="1069" t="s">
        <v>1210</v>
      </c>
      <c r="FK7" s="1069" t="s">
        <v>652</v>
      </c>
      <c r="FL7" s="1066" t="s">
        <v>340</v>
      </c>
      <c r="FM7" s="1060" t="s">
        <v>497</v>
      </c>
      <c r="FN7" s="1060" t="s">
        <v>341</v>
      </c>
      <c r="FO7" s="1060" t="s">
        <v>344</v>
      </c>
      <c r="FP7" s="1060" t="s">
        <v>343</v>
      </c>
      <c r="FQ7" s="1060" t="s">
        <v>345</v>
      </c>
      <c r="FR7" s="1060" t="s">
        <v>346</v>
      </c>
      <c r="FS7" s="1062" t="s">
        <v>29</v>
      </c>
      <c r="FT7" s="1062"/>
      <c r="FU7" s="1062"/>
      <c r="FV7" s="1060" t="s">
        <v>412</v>
      </c>
      <c r="FW7" s="137" t="s">
        <v>434</v>
      </c>
      <c r="FX7" s="1063" t="s">
        <v>435</v>
      </c>
      <c r="FY7" s="1063"/>
      <c r="FZ7" s="1063"/>
      <c r="GA7" s="1063"/>
      <c r="GB7" s="1063"/>
      <c r="GC7" s="1063"/>
      <c r="GE7" s="1054" t="s">
        <v>470</v>
      </c>
      <c r="GF7" s="1054" t="s">
        <v>351</v>
      </c>
      <c r="GG7" s="1068" t="s">
        <v>29</v>
      </c>
      <c r="GH7" s="1068"/>
      <c r="GI7" s="1054" t="s">
        <v>352</v>
      </c>
      <c r="GJ7" s="1065" t="s">
        <v>416</v>
      </c>
      <c r="GK7" s="1065" t="s">
        <v>349</v>
      </c>
      <c r="GL7" s="1065" t="s">
        <v>414</v>
      </c>
      <c r="GM7" s="1065" t="s">
        <v>401</v>
      </c>
      <c r="GN7" s="1065" t="s">
        <v>402</v>
      </c>
      <c r="GO7" s="1065" t="s">
        <v>407</v>
      </c>
      <c r="GP7" s="1065" t="s">
        <v>411</v>
      </c>
      <c r="GQ7" s="1065" t="s">
        <v>463</v>
      </c>
      <c r="GR7" s="1065" t="s">
        <v>415</v>
      </c>
      <c r="GS7" s="1066" t="s">
        <v>342</v>
      </c>
      <c r="GT7" s="1069" t="s">
        <v>1209</v>
      </c>
      <c r="GU7" s="1069" t="s">
        <v>1210</v>
      </c>
      <c r="GV7" s="1069" t="s">
        <v>652</v>
      </c>
      <c r="GW7" s="1066" t="s">
        <v>340</v>
      </c>
      <c r="GX7" s="1060" t="s">
        <v>497</v>
      </c>
      <c r="GY7" s="1060" t="s">
        <v>341</v>
      </c>
      <c r="GZ7" s="1060" t="s">
        <v>344</v>
      </c>
      <c r="HA7" s="1060" t="s">
        <v>343</v>
      </c>
      <c r="HB7" s="1060" t="s">
        <v>345</v>
      </c>
      <c r="HC7" s="1060" t="s">
        <v>346</v>
      </c>
      <c r="HD7" s="1062" t="s">
        <v>29</v>
      </c>
      <c r="HE7" s="1062"/>
      <c r="HF7" s="1062"/>
      <c r="HG7" s="1060" t="s">
        <v>412</v>
      </c>
      <c r="HH7" s="137" t="s">
        <v>434</v>
      </c>
      <c r="HI7" s="1063" t="s">
        <v>435</v>
      </c>
      <c r="HJ7" s="1063"/>
      <c r="HK7" s="1063"/>
      <c r="HL7" s="1063"/>
      <c r="HM7" s="1063"/>
      <c r="HN7" s="1063"/>
      <c r="HP7" s="1053"/>
    </row>
    <row r="8" spans="1:225" ht="231.75" customHeight="1" x14ac:dyDescent="0.25">
      <c r="A8" s="1064"/>
      <c r="B8" s="1055"/>
      <c r="C8" s="1055"/>
      <c r="D8" s="281" t="s">
        <v>347</v>
      </c>
      <c r="E8" s="281" t="s">
        <v>348</v>
      </c>
      <c r="F8" s="1055"/>
      <c r="G8" s="1053"/>
      <c r="H8" s="1053"/>
      <c r="I8" s="1053"/>
      <c r="J8" s="1053"/>
      <c r="K8" s="1053"/>
      <c r="L8" s="1053"/>
      <c r="M8" s="1053"/>
      <c r="N8" s="1053"/>
      <c r="O8" s="1053"/>
      <c r="P8" s="1067"/>
      <c r="Q8" s="1070"/>
      <c r="R8" s="1070"/>
      <c r="S8" s="1070"/>
      <c r="T8" s="1067"/>
      <c r="U8" s="1061"/>
      <c r="V8" s="1061"/>
      <c r="W8" s="1061"/>
      <c r="X8" s="1061"/>
      <c r="Y8" s="1061"/>
      <c r="Z8" s="1061"/>
      <c r="AA8" s="225" t="s">
        <v>1194</v>
      </c>
      <c r="AB8" s="334" t="s">
        <v>413</v>
      </c>
      <c r="AC8" s="334" t="s">
        <v>417</v>
      </c>
      <c r="AD8" s="1061"/>
      <c r="AE8" s="144" t="s">
        <v>418</v>
      </c>
      <c r="AF8" s="271" t="s">
        <v>1211</v>
      </c>
      <c r="AG8" s="271" t="s">
        <v>1212</v>
      </c>
      <c r="AH8" s="271" t="s">
        <v>1208</v>
      </c>
      <c r="AI8" s="271" t="s">
        <v>436</v>
      </c>
      <c r="AJ8" s="333" t="s">
        <v>453</v>
      </c>
      <c r="AK8" s="144" t="s">
        <v>439</v>
      </c>
      <c r="AM8" s="1055"/>
      <c r="AN8" s="1055"/>
      <c r="AO8" s="281" t="s">
        <v>347</v>
      </c>
      <c r="AP8" s="281" t="s">
        <v>348</v>
      </c>
      <c r="AQ8" s="1055"/>
      <c r="AR8" s="1053"/>
      <c r="AS8" s="1053"/>
      <c r="AT8" s="1053"/>
      <c r="AU8" s="1053"/>
      <c r="AV8" s="1053"/>
      <c r="AW8" s="1053"/>
      <c r="AX8" s="1053"/>
      <c r="AY8" s="1053"/>
      <c r="AZ8" s="1053"/>
      <c r="BA8" s="1067"/>
      <c r="BB8" s="1070"/>
      <c r="BC8" s="1070"/>
      <c r="BD8" s="1070"/>
      <c r="BE8" s="1067"/>
      <c r="BF8" s="1061"/>
      <c r="BG8" s="1061"/>
      <c r="BH8" s="1061"/>
      <c r="BI8" s="1061"/>
      <c r="BJ8" s="1061"/>
      <c r="BK8" s="1061"/>
      <c r="BL8" s="225" t="s">
        <v>1194</v>
      </c>
      <c r="BM8" s="854" t="s">
        <v>413</v>
      </c>
      <c r="BN8" s="854" t="s">
        <v>417</v>
      </c>
      <c r="BO8" s="1061"/>
      <c r="BP8" s="144" t="s">
        <v>418</v>
      </c>
      <c r="BQ8" s="271" t="s">
        <v>1211</v>
      </c>
      <c r="BR8" s="271" t="s">
        <v>1212</v>
      </c>
      <c r="BS8" s="271" t="s">
        <v>1208</v>
      </c>
      <c r="BT8" s="271" t="s">
        <v>436</v>
      </c>
      <c r="BU8" s="853" t="s">
        <v>453</v>
      </c>
      <c r="BV8" s="144" t="s">
        <v>439</v>
      </c>
      <c r="BX8" s="1055"/>
      <c r="BY8" s="1055"/>
      <c r="BZ8" s="281" t="s">
        <v>347</v>
      </c>
      <c r="CA8" s="281" t="s">
        <v>348</v>
      </c>
      <c r="CB8" s="1055"/>
      <c r="CC8" s="1053"/>
      <c r="CD8" s="1053"/>
      <c r="CE8" s="1053"/>
      <c r="CF8" s="1053"/>
      <c r="CG8" s="1053"/>
      <c r="CH8" s="1053"/>
      <c r="CI8" s="1053"/>
      <c r="CJ8" s="1053"/>
      <c r="CK8" s="1053"/>
      <c r="CL8" s="1067"/>
      <c r="CM8" s="1070"/>
      <c r="CN8" s="1070"/>
      <c r="CO8" s="1070"/>
      <c r="CP8" s="1067"/>
      <c r="CQ8" s="1061"/>
      <c r="CR8" s="1061"/>
      <c r="CS8" s="1061"/>
      <c r="CT8" s="1061"/>
      <c r="CU8" s="1061"/>
      <c r="CV8" s="1061"/>
      <c r="CW8" s="225" t="s">
        <v>1194</v>
      </c>
      <c r="CX8" s="854" t="s">
        <v>413</v>
      </c>
      <c r="CY8" s="854" t="s">
        <v>417</v>
      </c>
      <c r="CZ8" s="1061"/>
      <c r="DA8" s="144" t="s">
        <v>418</v>
      </c>
      <c r="DB8" s="271" t="s">
        <v>1211</v>
      </c>
      <c r="DC8" s="271" t="s">
        <v>1212</v>
      </c>
      <c r="DD8" s="271" t="s">
        <v>1208</v>
      </c>
      <c r="DE8" s="271" t="s">
        <v>436</v>
      </c>
      <c r="DF8" s="853" t="s">
        <v>453</v>
      </c>
      <c r="DG8" s="144" t="s">
        <v>439</v>
      </c>
      <c r="DI8" s="1055"/>
      <c r="DJ8" s="1055"/>
      <c r="DK8" s="281" t="s">
        <v>347</v>
      </c>
      <c r="DL8" s="281" t="s">
        <v>348</v>
      </c>
      <c r="DM8" s="1055"/>
      <c r="DN8" s="1053"/>
      <c r="DO8" s="1053"/>
      <c r="DP8" s="1053"/>
      <c r="DQ8" s="1053"/>
      <c r="DR8" s="1053"/>
      <c r="DS8" s="1053"/>
      <c r="DT8" s="1053"/>
      <c r="DU8" s="1053"/>
      <c r="DV8" s="1053"/>
      <c r="DW8" s="1067"/>
      <c r="DX8" s="1070"/>
      <c r="DY8" s="1070"/>
      <c r="DZ8" s="1070"/>
      <c r="EA8" s="1067"/>
      <c r="EB8" s="1061"/>
      <c r="EC8" s="1061"/>
      <c r="ED8" s="1061"/>
      <c r="EE8" s="1061"/>
      <c r="EF8" s="1061"/>
      <c r="EG8" s="1061"/>
      <c r="EH8" s="225" t="s">
        <v>1194</v>
      </c>
      <c r="EI8" s="854" t="s">
        <v>413</v>
      </c>
      <c r="EJ8" s="854" t="s">
        <v>417</v>
      </c>
      <c r="EK8" s="1061"/>
      <c r="EL8" s="144" t="s">
        <v>418</v>
      </c>
      <c r="EM8" s="271" t="s">
        <v>1211</v>
      </c>
      <c r="EN8" s="271" t="s">
        <v>1212</v>
      </c>
      <c r="EO8" s="271" t="s">
        <v>1208</v>
      </c>
      <c r="EP8" s="271" t="s">
        <v>436</v>
      </c>
      <c r="EQ8" s="853" t="s">
        <v>453</v>
      </c>
      <c r="ER8" s="144" t="s">
        <v>439</v>
      </c>
      <c r="ET8" s="1055"/>
      <c r="EU8" s="1055"/>
      <c r="EV8" s="281" t="s">
        <v>347</v>
      </c>
      <c r="EW8" s="281" t="s">
        <v>348</v>
      </c>
      <c r="EX8" s="1055"/>
      <c r="EY8" s="1053"/>
      <c r="EZ8" s="1053"/>
      <c r="FA8" s="1053"/>
      <c r="FB8" s="1053"/>
      <c r="FC8" s="1053"/>
      <c r="FD8" s="1053"/>
      <c r="FE8" s="1053"/>
      <c r="FF8" s="1053"/>
      <c r="FG8" s="1053"/>
      <c r="FH8" s="1067"/>
      <c r="FI8" s="1070"/>
      <c r="FJ8" s="1070"/>
      <c r="FK8" s="1070"/>
      <c r="FL8" s="1067"/>
      <c r="FM8" s="1061"/>
      <c r="FN8" s="1061"/>
      <c r="FO8" s="1061"/>
      <c r="FP8" s="1061"/>
      <c r="FQ8" s="1061"/>
      <c r="FR8" s="1061"/>
      <c r="FS8" s="225" t="s">
        <v>1194</v>
      </c>
      <c r="FT8" s="854" t="s">
        <v>413</v>
      </c>
      <c r="FU8" s="854" t="s">
        <v>417</v>
      </c>
      <c r="FV8" s="1061"/>
      <c r="FW8" s="144" t="s">
        <v>418</v>
      </c>
      <c r="FX8" s="271" t="s">
        <v>1211</v>
      </c>
      <c r="FY8" s="271" t="s">
        <v>1212</v>
      </c>
      <c r="FZ8" s="271" t="s">
        <v>1208</v>
      </c>
      <c r="GA8" s="271" t="s">
        <v>436</v>
      </c>
      <c r="GB8" s="853" t="s">
        <v>453</v>
      </c>
      <c r="GC8" s="144" t="s">
        <v>439</v>
      </c>
      <c r="GE8" s="1055"/>
      <c r="GF8" s="1055"/>
      <c r="GG8" s="281" t="s">
        <v>347</v>
      </c>
      <c r="GH8" s="281" t="s">
        <v>348</v>
      </c>
      <c r="GI8" s="1055"/>
      <c r="GJ8" s="1053"/>
      <c r="GK8" s="1053"/>
      <c r="GL8" s="1053"/>
      <c r="GM8" s="1053"/>
      <c r="GN8" s="1053"/>
      <c r="GO8" s="1053"/>
      <c r="GP8" s="1053"/>
      <c r="GQ8" s="1053"/>
      <c r="GR8" s="1053"/>
      <c r="GS8" s="1067"/>
      <c r="GT8" s="1070"/>
      <c r="GU8" s="1070"/>
      <c r="GV8" s="1070"/>
      <c r="GW8" s="1067"/>
      <c r="GX8" s="1061"/>
      <c r="GY8" s="1061"/>
      <c r="GZ8" s="1061"/>
      <c r="HA8" s="1061"/>
      <c r="HB8" s="1061"/>
      <c r="HC8" s="1061"/>
      <c r="HD8" s="225" t="s">
        <v>1194</v>
      </c>
      <c r="HE8" s="854" t="s">
        <v>413</v>
      </c>
      <c r="HF8" s="854" t="s">
        <v>417</v>
      </c>
      <c r="HG8" s="1061"/>
      <c r="HH8" s="144" t="s">
        <v>418</v>
      </c>
      <c r="HI8" s="271" t="s">
        <v>1211</v>
      </c>
      <c r="HJ8" s="271" t="s">
        <v>1212</v>
      </c>
      <c r="HK8" s="271" t="s">
        <v>1208</v>
      </c>
      <c r="HL8" s="271" t="s">
        <v>436</v>
      </c>
      <c r="HM8" s="853" t="s">
        <v>453</v>
      </c>
      <c r="HN8" s="144" t="s">
        <v>439</v>
      </c>
      <c r="HP8" s="1053"/>
    </row>
    <row r="9" spans="1:225" s="114" customFormat="1" ht="67.5" customHeight="1" x14ac:dyDescent="0.25">
      <c r="A9" s="115"/>
      <c r="B9" s="134" t="s">
        <v>578</v>
      </c>
      <c r="C9" s="134" t="s">
        <v>579</v>
      </c>
      <c r="D9" s="134" t="s">
        <v>580</v>
      </c>
      <c r="E9" s="134" t="s">
        <v>581</v>
      </c>
      <c r="F9" s="134" t="s">
        <v>582</v>
      </c>
      <c r="G9" s="134">
        <v>5</v>
      </c>
      <c r="H9" s="134">
        <v>6</v>
      </c>
      <c r="I9" s="134" t="s">
        <v>419</v>
      </c>
      <c r="J9" s="134" t="s">
        <v>442</v>
      </c>
      <c r="K9" s="134" t="s">
        <v>443</v>
      </c>
      <c r="L9" s="134" t="s">
        <v>444</v>
      </c>
      <c r="M9" s="134" t="s">
        <v>445</v>
      </c>
      <c r="N9" s="134" t="s">
        <v>446</v>
      </c>
      <c r="O9" s="134" t="s">
        <v>420</v>
      </c>
      <c r="P9" s="134">
        <v>14</v>
      </c>
      <c r="Q9" s="134" t="s">
        <v>649</v>
      </c>
      <c r="R9" s="134" t="s">
        <v>650</v>
      </c>
      <c r="S9" s="134" t="s">
        <v>651</v>
      </c>
      <c r="T9" s="134">
        <v>16</v>
      </c>
      <c r="U9" s="134" t="s">
        <v>421</v>
      </c>
      <c r="V9" s="134"/>
      <c r="W9" s="134" t="s">
        <v>422</v>
      </c>
      <c r="X9" s="134" t="s">
        <v>423</v>
      </c>
      <c r="Y9" s="134"/>
      <c r="Z9" s="134" t="s">
        <v>424</v>
      </c>
      <c r="AA9" s="134" t="s">
        <v>425</v>
      </c>
      <c r="AB9" s="134" t="s">
        <v>426</v>
      </c>
      <c r="AC9" s="134" t="s">
        <v>427</v>
      </c>
      <c r="AD9" s="134" t="s">
        <v>428</v>
      </c>
      <c r="AE9" s="134" t="s">
        <v>429</v>
      </c>
      <c r="AF9" s="134" t="s">
        <v>1207</v>
      </c>
      <c r="AG9" s="134" t="s">
        <v>433</v>
      </c>
      <c r="AH9" s="134" t="s">
        <v>432</v>
      </c>
      <c r="AI9" s="134" t="s">
        <v>437</v>
      </c>
      <c r="AJ9" s="134" t="s">
        <v>438</v>
      </c>
      <c r="AK9" s="134" t="s">
        <v>440</v>
      </c>
      <c r="AM9" s="134" t="s">
        <v>578</v>
      </c>
      <c r="AN9" s="134" t="s">
        <v>579</v>
      </c>
      <c r="AO9" s="134" t="s">
        <v>580</v>
      </c>
      <c r="AP9" s="134" t="s">
        <v>581</v>
      </c>
      <c r="AQ9" s="134" t="s">
        <v>582</v>
      </c>
      <c r="AR9" s="134">
        <v>5</v>
      </c>
      <c r="AS9" s="134">
        <v>6</v>
      </c>
      <c r="AT9" s="134" t="s">
        <v>419</v>
      </c>
      <c r="AU9" s="134" t="s">
        <v>442</v>
      </c>
      <c r="AV9" s="134" t="s">
        <v>443</v>
      </c>
      <c r="AW9" s="134" t="s">
        <v>444</v>
      </c>
      <c r="AX9" s="134" t="s">
        <v>445</v>
      </c>
      <c r="AY9" s="134" t="s">
        <v>446</v>
      </c>
      <c r="AZ9" s="134" t="s">
        <v>420</v>
      </c>
      <c r="BA9" s="134">
        <v>14</v>
      </c>
      <c r="BB9" s="134" t="s">
        <v>649</v>
      </c>
      <c r="BC9" s="134" t="s">
        <v>650</v>
      </c>
      <c r="BD9" s="134" t="s">
        <v>651</v>
      </c>
      <c r="BE9" s="134">
        <v>16</v>
      </c>
      <c r="BF9" s="134" t="s">
        <v>421</v>
      </c>
      <c r="BG9" s="134"/>
      <c r="BH9" s="134" t="s">
        <v>422</v>
      </c>
      <c r="BI9" s="134" t="s">
        <v>423</v>
      </c>
      <c r="BJ9" s="134"/>
      <c r="BK9" s="134" t="s">
        <v>424</v>
      </c>
      <c r="BL9" s="134" t="s">
        <v>425</v>
      </c>
      <c r="BM9" s="134" t="s">
        <v>426</v>
      </c>
      <c r="BN9" s="134" t="s">
        <v>427</v>
      </c>
      <c r="BO9" s="134" t="s">
        <v>428</v>
      </c>
      <c r="BP9" s="134" t="s">
        <v>429</v>
      </c>
      <c r="BQ9" s="134" t="s">
        <v>1207</v>
      </c>
      <c r="BR9" s="134" t="s">
        <v>433</v>
      </c>
      <c r="BS9" s="134" t="s">
        <v>432</v>
      </c>
      <c r="BT9" s="134" t="s">
        <v>437</v>
      </c>
      <c r="BU9" s="134" t="s">
        <v>438</v>
      </c>
      <c r="BV9" s="134" t="s">
        <v>440</v>
      </c>
      <c r="BX9" s="134" t="s">
        <v>578</v>
      </c>
      <c r="BY9" s="134" t="s">
        <v>579</v>
      </c>
      <c r="BZ9" s="134" t="s">
        <v>580</v>
      </c>
      <c r="CA9" s="134" t="s">
        <v>581</v>
      </c>
      <c r="CB9" s="134" t="s">
        <v>582</v>
      </c>
      <c r="CC9" s="134">
        <v>5</v>
      </c>
      <c r="CD9" s="134">
        <v>6</v>
      </c>
      <c r="CE9" s="134" t="s">
        <v>419</v>
      </c>
      <c r="CF9" s="134" t="s">
        <v>442</v>
      </c>
      <c r="CG9" s="134" t="s">
        <v>443</v>
      </c>
      <c r="CH9" s="134" t="s">
        <v>444</v>
      </c>
      <c r="CI9" s="134" t="s">
        <v>445</v>
      </c>
      <c r="CJ9" s="134" t="s">
        <v>446</v>
      </c>
      <c r="CK9" s="134" t="s">
        <v>420</v>
      </c>
      <c r="CL9" s="134">
        <v>14</v>
      </c>
      <c r="CM9" s="134" t="s">
        <v>649</v>
      </c>
      <c r="CN9" s="134" t="s">
        <v>650</v>
      </c>
      <c r="CO9" s="134" t="s">
        <v>651</v>
      </c>
      <c r="CP9" s="134">
        <v>16</v>
      </c>
      <c r="CQ9" s="134" t="s">
        <v>421</v>
      </c>
      <c r="CR9" s="134"/>
      <c r="CS9" s="134" t="s">
        <v>422</v>
      </c>
      <c r="CT9" s="134" t="s">
        <v>423</v>
      </c>
      <c r="CU9" s="134"/>
      <c r="CV9" s="134" t="s">
        <v>424</v>
      </c>
      <c r="CW9" s="134" t="s">
        <v>425</v>
      </c>
      <c r="CX9" s="134" t="s">
        <v>426</v>
      </c>
      <c r="CY9" s="134" t="s">
        <v>427</v>
      </c>
      <c r="CZ9" s="134" t="s">
        <v>428</v>
      </c>
      <c r="DA9" s="134" t="s">
        <v>429</v>
      </c>
      <c r="DB9" s="134" t="s">
        <v>1207</v>
      </c>
      <c r="DC9" s="134" t="s">
        <v>433</v>
      </c>
      <c r="DD9" s="134" t="s">
        <v>432</v>
      </c>
      <c r="DE9" s="134" t="s">
        <v>437</v>
      </c>
      <c r="DF9" s="134" t="s">
        <v>438</v>
      </c>
      <c r="DG9" s="134" t="s">
        <v>440</v>
      </c>
      <c r="DI9" s="134" t="s">
        <v>578</v>
      </c>
      <c r="DJ9" s="134" t="s">
        <v>579</v>
      </c>
      <c r="DK9" s="134" t="s">
        <v>580</v>
      </c>
      <c r="DL9" s="134" t="s">
        <v>581</v>
      </c>
      <c r="DM9" s="134" t="s">
        <v>582</v>
      </c>
      <c r="DN9" s="134">
        <v>5</v>
      </c>
      <c r="DO9" s="134">
        <v>6</v>
      </c>
      <c r="DP9" s="134" t="s">
        <v>419</v>
      </c>
      <c r="DQ9" s="134" t="s">
        <v>442</v>
      </c>
      <c r="DR9" s="134" t="s">
        <v>443</v>
      </c>
      <c r="DS9" s="134" t="s">
        <v>444</v>
      </c>
      <c r="DT9" s="134" t="s">
        <v>445</v>
      </c>
      <c r="DU9" s="134" t="s">
        <v>446</v>
      </c>
      <c r="DV9" s="134" t="s">
        <v>420</v>
      </c>
      <c r="DW9" s="134">
        <v>14</v>
      </c>
      <c r="DX9" s="134" t="s">
        <v>649</v>
      </c>
      <c r="DY9" s="134" t="s">
        <v>650</v>
      </c>
      <c r="DZ9" s="134" t="s">
        <v>651</v>
      </c>
      <c r="EA9" s="134">
        <v>16</v>
      </c>
      <c r="EB9" s="134" t="s">
        <v>421</v>
      </c>
      <c r="EC9" s="134"/>
      <c r="ED9" s="134" t="s">
        <v>422</v>
      </c>
      <c r="EE9" s="134" t="s">
        <v>423</v>
      </c>
      <c r="EF9" s="134"/>
      <c r="EG9" s="134" t="s">
        <v>424</v>
      </c>
      <c r="EH9" s="134" t="s">
        <v>425</v>
      </c>
      <c r="EI9" s="134" t="s">
        <v>426</v>
      </c>
      <c r="EJ9" s="134" t="s">
        <v>427</v>
      </c>
      <c r="EK9" s="134" t="s">
        <v>428</v>
      </c>
      <c r="EL9" s="134" t="s">
        <v>429</v>
      </c>
      <c r="EM9" s="134" t="s">
        <v>1207</v>
      </c>
      <c r="EN9" s="134" t="s">
        <v>433</v>
      </c>
      <c r="EO9" s="134" t="s">
        <v>432</v>
      </c>
      <c r="EP9" s="134" t="s">
        <v>437</v>
      </c>
      <c r="EQ9" s="134" t="s">
        <v>438</v>
      </c>
      <c r="ER9" s="134" t="s">
        <v>440</v>
      </c>
      <c r="ET9" s="134" t="s">
        <v>578</v>
      </c>
      <c r="EU9" s="134" t="s">
        <v>579</v>
      </c>
      <c r="EV9" s="134" t="s">
        <v>580</v>
      </c>
      <c r="EW9" s="134" t="s">
        <v>581</v>
      </c>
      <c r="EX9" s="134" t="s">
        <v>582</v>
      </c>
      <c r="EY9" s="134">
        <v>5</v>
      </c>
      <c r="EZ9" s="134">
        <v>6</v>
      </c>
      <c r="FA9" s="134" t="s">
        <v>419</v>
      </c>
      <c r="FB9" s="134" t="s">
        <v>442</v>
      </c>
      <c r="FC9" s="134" t="s">
        <v>443</v>
      </c>
      <c r="FD9" s="134" t="s">
        <v>444</v>
      </c>
      <c r="FE9" s="134" t="s">
        <v>445</v>
      </c>
      <c r="FF9" s="134" t="s">
        <v>446</v>
      </c>
      <c r="FG9" s="134" t="s">
        <v>420</v>
      </c>
      <c r="FH9" s="134">
        <v>14</v>
      </c>
      <c r="FI9" s="134" t="s">
        <v>649</v>
      </c>
      <c r="FJ9" s="134" t="s">
        <v>650</v>
      </c>
      <c r="FK9" s="134" t="s">
        <v>651</v>
      </c>
      <c r="FL9" s="134">
        <v>16</v>
      </c>
      <c r="FM9" s="134" t="s">
        <v>421</v>
      </c>
      <c r="FN9" s="134"/>
      <c r="FO9" s="134" t="s">
        <v>422</v>
      </c>
      <c r="FP9" s="134" t="s">
        <v>423</v>
      </c>
      <c r="FQ9" s="134"/>
      <c r="FR9" s="134" t="s">
        <v>424</v>
      </c>
      <c r="FS9" s="134" t="s">
        <v>425</v>
      </c>
      <c r="FT9" s="134" t="s">
        <v>426</v>
      </c>
      <c r="FU9" s="134" t="s">
        <v>427</v>
      </c>
      <c r="FV9" s="134" t="s">
        <v>428</v>
      </c>
      <c r="FW9" s="134" t="s">
        <v>429</v>
      </c>
      <c r="FX9" s="134" t="s">
        <v>1207</v>
      </c>
      <c r="FY9" s="134" t="s">
        <v>433</v>
      </c>
      <c r="FZ9" s="134" t="s">
        <v>432</v>
      </c>
      <c r="GA9" s="134" t="s">
        <v>437</v>
      </c>
      <c r="GB9" s="134" t="s">
        <v>438</v>
      </c>
      <c r="GC9" s="134" t="s">
        <v>440</v>
      </c>
      <c r="GE9" s="134" t="s">
        <v>578</v>
      </c>
      <c r="GF9" s="134" t="s">
        <v>579</v>
      </c>
      <c r="GG9" s="134" t="s">
        <v>580</v>
      </c>
      <c r="GH9" s="134" t="s">
        <v>581</v>
      </c>
      <c r="GI9" s="134" t="s">
        <v>582</v>
      </c>
      <c r="GJ9" s="134">
        <v>5</v>
      </c>
      <c r="GK9" s="134">
        <v>6</v>
      </c>
      <c r="GL9" s="134" t="s">
        <v>419</v>
      </c>
      <c r="GM9" s="134" t="s">
        <v>442</v>
      </c>
      <c r="GN9" s="134" t="s">
        <v>443</v>
      </c>
      <c r="GO9" s="134" t="s">
        <v>444</v>
      </c>
      <c r="GP9" s="134" t="s">
        <v>445</v>
      </c>
      <c r="GQ9" s="134" t="s">
        <v>446</v>
      </c>
      <c r="GR9" s="134" t="s">
        <v>420</v>
      </c>
      <c r="GS9" s="134">
        <v>14</v>
      </c>
      <c r="GT9" s="134" t="s">
        <v>649</v>
      </c>
      <c r="GU9" s="134" t="s">
        <v>650</v>
      </c>
      <c r="GV9" s="134" t="s">
        <v>651</v>
      </c>
      <c r="GW9" s="134">
        <v>16</v>
      </c>
      <c r="GX9" s="134" t="s">
        <v>421</v>
      </c>
      <c r="GY9" s="134"/>
      <c r="GZ9" s="134" t="s">
        <v>422</v>
      </c>
      <c r="HA9" s="134" t="s">
        <v>423</v>
      </c>
      <c r="HB9" s="134"/>
      <c r="HC9" s="134" t="s">
        <v>424</v>
      </c>
      <c r="HD9" s="134" t="s">
        <v>425</v>
      </c>
      <c r="HE9" s="134" t="s">
        <v>426</v>
      </c>
      <c r="HF9" s="134" t="s">
        <v>427</v>
      </c>
      <c r="HG9" s="134" t="s">
        <v>428</v>
      </c>
      <c r="HH9" s="134" t="s">
        <v>429</v>
      </c>
      <c r="HI9" s="134" t="s">
        <v>1207</v>
      </c>
      <c r="HJ9" s="134" t="s">
        <v>433</v>
      </c>
      <c r="HK9" s="134" t="s">
        <v>432</v>
      </c>
      <c r="HL9" s="134" t="s">
        <v>437</v>
      </c>
      <c r="HM9" s="134" t="s">
        <v>438</v>
      </c>
      <c r="HN9" s="134" t="s">
        <v>440</v>
      </c>
      <c r="HP9" s="134" t="s">
        <v>464</v>
      </c>
      <c r="HQ9" s="134" t="s">
        <v>583</v>
      </c>
    </row>
    <row r="10" spans="1:225" s="113" customFormat="1" ht="18.75" customHeight="1" x14ac:dyDescent="0.25">
      <c r="A10" s="282"/>
      <c r="B10" s="283"/>
      <c r="C10" s="283"/>
      <c r="D10" s="283"/>
      <c r="E10" s="283"/>
      <c r="F10" s="283"/>
      <c r="G10" s="284"/>
      <c r="H10" s="284"/>
      <c r="I10" s="285"/>
      <c r="J10" s="284"/>
      <c r="K10" s="284"/>
      <c r="L10" s="284"/>
      <c r="M10" s="284"/>
      <c r="N10" s="284"/>
      <c r="O10" s="285"/>
      <c r="P10" s="284"/>
      <c r="Q10" s="284"/>
      <c r="R10" s="284"/>
      <c r="S10" s="284"/>
      <c r="T10" s="286"/>
      <c r="U10" s="287"/>
      <c r="V10" s="287"/>
      <c r="W10" s="287"/>
      <c r="X10" s="287"/>
      <c r="Y10" s="287"/>
      <c r="Z10" s="287"/>
      <c r="AA10" s="287"/>
      <c r="AB10" s="287"/>
      <c r="AC10" s="287"/>
      <c r="AD10" s="288"/>
      <c r="AE10" s="289"/>
      <c r="AF10" s="290"/>
      <c r="AG10" s="291"/>
      <c r="AH10" s="292">
        <v>59.8</v>
      </c>
      <c r="AI10" s="293"/>
      <c r="AJ10" s="294"/>
      <c r="AK10" s="293"/>
      <c r="AM10" s="283"/>
      <c r="AN10" s="283"/>
      <c r="AO10" s="283"/>
      <c r="AP10" s="283"/>
      <c r="AQ10" s="283"/>
      <c r="AR10" s="284"/>
      <c r="AS10" s="284"/>
      <c r="AT10" s="285"/>
      <c r="AU10" s="284"/>
      <c r="AV10" s="284"/>
      <c r="AW10" s="284"/>
      <c r="AX10" s="284"/>
      <c r="AY10" s="284"/>
      <c r="AZ10" s="285"/>
      <c r="BA10" s="284"/>
      <c r="BB10" s="284"/>
      <c r="BC10" s="284"/>
      <c r="BD10" s="284"/>
      <c r="BE10" s="286"/>
      <c r="BF10" s="287"/>
      <c r="BG10" s="287"/>
      <c r="BH10" s="287"/>
      <c r="BI10" s="287"/>
      <c r="BJ10" s="287"/>
      <c r="BK10" s="287"/>
      <c r="BL10" s="287"/>
      <c r="BM10" s="287"/>
      <c r="BN10" s="287"/>
      <c r="BO10" s="288"/>
      <c r="BP10" s="289"/>
      <c r="BQ10" s="290"/>
      <c r="BR10" s="291"/>
      <c r="BS10" s="292">
        <v>43.3</v>
      </c>
      <c r="BT10" s="293"/>
      <c r="BU10" s="294"/>
      <c r="BV10" s="293"/>
      <c r="BX10" s="283"/>
      <c r="BY10" s="283"/>
      <c r="BZ10" s="283"/>
      <c r="CA10" s="283"/>
      <c r="CB10" s="283"/>
      <c r="CC10" s="284"/>
      <c r="CD10" s="284"/>
      <c r="CE10" s="285"/>
      <c r="CF10" s="284"/>
      <c r="CG10" s="284"/>
      <c r="CH10" s="284"/>
      <c r="CI10" s="284"/>
      <c r="CJ10" s="284"/>
      <c r="CK10" s="285"/>
      <c r="CL10" s="284"/>
      <c r="CM10" s="284"/>
      <c r="CN10" s="284"/>
      <c r="CO10" s="284"/>
      <c r="CP10" s="286"/>
      <c r="CQ10" s="287"/>
      <c r="CR10" s="287"/>
      <c r="CS10" s="287"/>
      <c r="CT10" s="287"/>
      <c r="CU10" s="287"/>
      <c r="CV10" s="287"/>
      <c r="CW10" s="287"/>
      <c r="CX10" s="287"/>
      <c r="CY10" s="287"/>
      <c r="CZ10" s="288"/>
      <c r="DA10" s="289"/>
      <c r="DB10" s="290"/>
      <c r="DC10" s="291"/>
      <c r="DD10" s="292">
        <v>27.7</v>
      </c>
      <c r="DE10" s="293"/>
      <c r="DF10" s="294"/>
      <c r="DG10" s="293"/>
      <c r="DI10" s="283"/>
      <c r="DJ10" s="283"/>
      <c r="DK10" s="283"/>
      <c r="DL10" s="283"/>
      <c r="DM10" s="283"/>
      <c r="DN10" s="284"/>
      <c r="DO10" s="284"/>
      <c r="DP10" s="285"/>
      <c r="DQ10" s="284"/>
      <c r="DR10" s="284"/>
      <c r="DS10" s="284"/>
      <c r="DT10" s="284"/>
      <c r="DU10" s="284"/>
      <c r="DV10" s="285"/>
      <c r="DW10" s="284"/>
      <c r="DX10" s="284"/>
      <c r="DY10" s="284"/>
      <c r="DZ10" s="284"/>
      <c r="EA10" s="286"/>
      <c r="EB10" s="287"/>
      <c r="EC10" s="287"/>
      <c r="ED10" s="287"/>
      <c r="EE10" s="287"/>
      <c r="EF10" s="287"/>
      <c r="EG10" s="287"/>
      <c r="EH10" s="287"/>
      <c r="EI10" s="287"/>
      <c r="EJ10" s="287"/>
      <c r="EK10" s="288"/>
      <c r="EL10" s="289"/>
      <c r="EM10" s="290"/>
      <c r="EN10" s="291"/>
      <c r="EO10" s="292">
        <v>9.4</v>
      </c>
      <c r="EP10" s="293"/>
      <c r="EQ10" s="294"/>
      <c r="ER10" s="293"/>
      <c r="ET10" s="283"/>
      <c r="EU10" s="283"/>
      <c r="EV10" s="283"/>
      <c r="EW10" s="283"/>
      <c r="EX10" s="283"/>
      <c r="EY10" s="284"/>
      <c r="EZ10" s="284"/>
      <c r="FA10" s="285"/>
      <c r="FB10" s="284"/>
      <c r="FC10" s="284"/>
      <c r="FD10" s="284"/>
      <c r="FE10" s="284"/>
      <c r="FF10" s="284"/>
      <c r="FG10" s="285"/>
      <c r="FH10" s="284"/>
      <c r="FI10" s="284"/>
      <c r="FJ10" s="284"/>
      <c r="FK10" s="284"/>
      <c r="FL10" s="286"/>
      <c r="FM10" s="287"/>
      <c r="FN10" s="287"/>
      <c r="FO10" s="287"/>
      <c r="FP10" s="287"/>
      <c r="FQ10" s="287"/>
      <c r="FR10" s="287"/>
      <c r="FS10" s="287"/>
      <c r="FT10" s="287"/>
      <c r="FU10" s="287"/>
      <c r="FV10" s="288"/>
      <c r="FW10" s="289"/>
      <c r="FX10" s="290"/>
      <c r="FY10" s="291"/>
      <c r="FZ10" s="292">
        <v>4</v>
      </c>
      <c r="GA10" s="293"/>
      <c r="GB10" s="294"/>
      <c r="GC10" s="293"/>
      <c r="GE10" s="283"/>
      <c r="GF10" s="283"/>
      <c r="GG10" s="283"/>
      <c r="GH10" s="283"/>
      <c r="GI10" s="283"/>
      <c r="GJ10" s="284"/>
      <c r="GK10" s="284"/>
      <c r="GL10" s="285"/>
      <c r="GM10" s="284"/>
      <c r="GN10" s="284"/>
      <c r="GO10" s="284"/>
      <c r="GP10" s="284"/>
      <c r="GQ10" s="284"/>
      <c r="GR10" s="285"/>
      <c r="GS10" s="284"/>
      <c r="GT10" s="284"/>
      <c r="GU10" s="284"/>
      <c r="GV10" s="284"/>
      <c r="GW10" s="286"/>
      <c r="GX10" s="287"/>
      <c r="GY10" s="287"/>
      <c r="GZ10" s="287"/>
      <c r="HA10" s="287"/>
      <c r="HB10" s="287"/>
      <c r="HC10" s="287"/>
      <c r="HD10" s="287"/>
      <c r="HE10" s="287"/>
      <c r="HF10" s="287"/>
      <c r="HG10" s="288"/>
      <c r="HH10" s="289"/>
      <c r="HI10" s="290"/>
      <c r="HJ10" s="291"/>
      <c r="HK10" s="295">
        <f>AH10+BS10+DD10+EO10+FZ10</f>
        <v>144.19999999999999</v>
      </c>
      <c r="HL10" s="293"/>
      <c r="HM10" s="294"/>
      <c r="HN10" s="293"/>
      <c r="HP10" s="284"/>
    </row>
    <row r="11" spans="1:225" s="113" customFormat="1" ht="18.75" customHeight="1" x14ac:dyDescent="0.25">
      <c r="A11" s="349" t="s">
        <v>447</v>
      </c>
      <c r="B11" s="350"/>
      <c r="C11" s="350"/>
      <c r="D11" s="350"/>
      <c r="E11" s="350"/>
      <c r="F11" s="350"/>
      <c r="G11" s="351"/>
      <c r="H11" s="351"/>
      <c r="I11" s="352"/>
      <c r="J11" s="351"/>
      <c r="K11" s="351"/>
      <c r="L11" s="351"/>
      <c r="M11" s="351"/>
      <c r="N11" s="351"/>
      <c r="O11" s="352"/>
      <c r="P11" s="351"/>
      <c r="Q11" s="351"/>
      <c r="R11" s="351"/>
      <c r="S11" s="351"/>
      <c r="T11" s="353"/>
      <c r="U11" s="340">
        <f>'211,213 допы 2024 (без овз)'!$AW$60</f>
        <v>1.47617</v>
      </c>
      <c r="V11" s="341"/>
      <c r="W11" s="342">
        <f>'211,213 допы 2024 (без овз)'!$AW$62</f>
        <v>0.29274</v>
      </c>
      <c r="X11" s="343">
        <f>'211,213 допы 2024 (без овз)'!$AW$63</f>
        <v>0.45841999999999999</v>
      </c>
      <c r="Y11" s="344"/>
      <c r="Z11" s="344"/>
      <c r="AA11" s="345">
        <f>'211,213 допы 2024 (без овз)'!$AW$65</f>
        <v>1.1776</v>
      </c>
      <c r="AB11" s="346">
        <f>1+(42+3)/365</f>
        <v>1.1232899999999999</v>
      </c>
      <c r="AC11" s="347"/>
      <c r="AD11" s="348">
        <f>'211,213 допы 2024 (без овз)'!$AW$64</f>
        <v>8.1689999999999999E-2</v>
      </c>
      <c r="AE11" s="354"/>
      <c r="AF11" s="354"/>
      <c r="AG11" s="355"/>
      <c r="AH11" s="356"/>
      <c r="AI11" s="354"/>
      <c r="AJ11" s="357"/>
      <c r="AK11" s="354"/>
      <c r="AM11" s="350"/>
      <c r="AN11" s="350"/>
      <c r="AO11" s="350"/>
      <c r="AP11" s="350"/>
      <c r="AQ11" s="350"/>
      <c r="AR11" s="351"/>
      <c r="AS11" s="351"/>
      <c r="AT11" s="352"/>
      <c r="AU11" s="351"/>
      <c r="AV11" s="351"/>
      <c r="AW11" s="351"/>
      <c r="AX11" s="351"/>
      <c r="AY11" s="351"/>
      <c r="AZ11" s="352"/>
      <c r="BA11" s="351"/>
      <c r="BB11" s="351"/>
      <c r="BC11" s="351"/>
      <c r="BD11" s="351"/>
      <c r="BE11" s="353"/>
      <c r="BF11" s="340">
        <f>'211,213 допы 2024 (без овз)'!$AW$146</f>
        <v>1.38046</v>
      </c>
      <c r="BG11" s="341"/>
      <c r="BH11" s="342">
        <f>'211,213 допы 2024 (без овз)'!$AW$148</f>
        <v>0.43123</v>
      </c>
      <c r="BI11" s="343">
        <f>'211,213 допы 2024 (без овз)'!$AW$149</f>
        <v>0.66134000000000004</v>
      </c>
      <c r="BJ11" s="341"/>
      <c r="BK11" s="341"/>
      <c r="BL11" s="345">
        <f>'211,213 допы 2024 (без овз)'!$AW$151</f>
        <v>1.2245299999999999</v>
      </c>
      <c r="BM11" s="346">
        <f>1+(42+3)/365</f>
        <v>1.1232899999999999</v>
      </c>
      <c r="BN11" s="347"/>
      <c r="BO11" s="348">
        <f>'211,213 допы 2024 (без овз)'!$AW$150</f>
        <v>0.10316</v>
      </c>
      <c r="BP11" s="354"/>
      <c r="BQ11" s="354"/>
      <c r="BR11" s="355"/>
      <c r="BS11" s="356"/>
      <c r="BT11" s="354"/>
      <c r="BU11" s="357"/>
      <c r="BV11" s="354"/>
      <c r="BX11" s="350"/>
      <c r="BY11" s="350"/>
      <c r="BZ11" s="350"/>
      <c r="CA11" s="350"/>
      <c r="CB11" s="350"/>
      <c r="CC11" s="351"/>
      <c r="CD11" s="351"/>
      <c r="CE11" s="352"/>
      <c r="CF11" s="351"/>
      <c r="CG11" s="351"/>
      <c r="CH11" s="351"/>
      <c r="CI11" s="351"/>
      <c r="CJ11" s="351"/>
      <c r="CK11" s="352"/>
      <c r="CL11" s="351"/>
      <c r="CM11" s="351"/>
      <c r="CN11" s="351"/>
      <c r="CO11" s="351"/>
      <c r="CP11" s="353"/>
      <c r="CQ11" s="340">
        <f>'211,213 допы 2024 (без овз)'!$AW$196</f>
        <v>1.34843</v>
      </c>
      <c r="CR11" s="341"/>
      <c r="CS11" s="342">
        <f>'211,213 допы 2024 (без овз)'!$AW$198</f>
        <v>0.33637</v>
      </c>
      <c r="CT11" s="343">
        <f>'211,213 допы 2024 (без овз)'!$AW$199</f>
        <v>0.65883000000000003</v>
      </c>
      <c r="CU11" s="341"/>
      <c r="CV11" s="341"/>
      <c r="CW11" s="345">
        <f>'211,213 допы 2024 (без овз)'!$AW$201</f>
        <v>1.4220999999999999</v>
      </c>
      <c r="CX11" s="346">
        <f>1+(42+3)/365</f>
        <v>1.1232899999999999</v>
      </c>
      <c r="CY11" s="347"/>
      <c r="CZ11" s="348">
        <f>'211,213 допы 2024 (без овз)'!$AW$200</f>
        <v>0.32107000000000002</v>
      </c>
      <c r="DA11" s="354"/>
      <c r="DB11" s="354"/>
      <c r="DC11" s="355"/>
      <c r="DD11" s="356"/>
      <c r="DE11" s="354"/>
      <c r="DF11" s="357"/>
      <c r="DG11" s="354"/>
      <c r="DI11" s="350"/>
      <c r="DJ11" s="350"/>
      <c r="DK11" s="350"/>
      <c r="DL11" s="350"/>
      <c r="DM11" s="350"/>
      <c r="DN11" s="351"/>
      <c r="DO11" s="351"/>
      <c r="DP11" s="352"/>
      <c r="DQ11" s="351"/>
      <c r="DR11" s="351"/>
      <c r="DS11" s="351"/>
      <c r="DT11" s="351"/>
      <c r="DU11" s="351"/>
      <c r="DV11" s="352"/>
      <c r="DW11" s="351"/>
      <c r="DX11" s="351"/>
      <c r="DY11" s="351"/>
      <c r="DZ11" s="351"/>
      <c r="EA11" s="353"/>
      <c r="EB11" s="340">
        <f>'211,213 допы 2024 (без овз)'!$AW$232</f>
        <v>1.35737</v>
      </c>
      <c r="EC11" s="341"/>
      <c r="ED11" s="342">
        <f>'211,213 допы 2024 (без овз)'!$AW$234</f>
        <v>0.22051999999999999</v>
      </c>
      <c r="EE11" s="343">
        <f>'211,213 допы 2024 (без овз)'!$AW$235</f>
        <v>0.73350000000000004</v>
      </c>
      <c r="EF11" s="341"/>
      <c r="EG11" s="341"/>
      <c r="EH11" s="345">
        <f>'211,213 допы 2024 (без овз)'!$AW$237</f>
        <v>1.2033499999999999</v>
      </c>
      <c r="EI11" s="346">
        <f>1+(42+3)/365</f>
        <v>1.1232899999999999</v>
      </c>
      <c r="EJ11" s="347"/>
      <c r="EK11" s="348">
        <f>'211,213 допы 2024 (без овз)'!$AW$236</f>
        <v>0.17288999999999999</v>
      </c>
      <c r="EL11" s="354"/>
      <c r="EM11" s="354"/>
      <c r="EN11" s="355"/>
      <c r="EO11" s="356"/>
      <c r="EP11" s="354"/>
      <c r="EQ11" s="357"/>
      <c r="ER11" s="354"/>
      <c r="ET11" s="350"/>
      <c r="EU11" s="350"/>
      <c r="EV11" s="350"/>
      <c r="EW11" s="350"/>
      <c r="EX11" s="350"/>
      <c r="EY11" s="351"/>
      <c r="EZ11" s="351"/>
      <c r="FA11" s="352"/>
      <c r="FB11" s="351"/>
      <c r="FC11" s="351"/>
      <c r="FD11" s="351"/>
      <c r="FE11" s="351"/>
      <c r="FF11" s="351"/>
      <c r="FG11" s="352"/>
      <c r="FH11" s="351"/>
      <c r="FI11" s="351"/>
      <c r="FJ11" s="351"/>
      <c r="FK11" s="351"/>
      <c r="FL11" s="353"/>
      <c r="FM11" s="340">
        <f>'211,213 допы 2024 (без овз)'!$AW$91</f>
        <v>1.32193</v>
      </c>
      <c r="FN11" s="341"/>
      <c r="FO11" s="342">
        <f>'211,213 допы 2024 (без овз)'!$AW$93</f>
        <v>0.21695999999999999</v>
      </c>
      <c r="FP11" s="343">
        <f>'211,213 допы 2024 (без овз)'!$AW$94</f>
        <v>0.97809999999999997</v>
      </c>
      <c r="FQ11" s="341"/>
      <c r="FR11" s="341"/>
      <c r="FS11" s="345">
        <f>'211,213 допы 2024 (без овз)'!$AW$96</f>
        <v>1.0935600000000001</v>
      </c>
      <c r="FT11" s="346">
        <f>1+(42+3)/365</f>
        <v>1.1232899999999999</v>
      </c>
      <c r="FU11" s="347"/>
      <c r="FV11" s="348">
        <f>'211,213 допы 2024 (без овз)'!$AW$95</f>
        <v>0</v>
      </c>
      <c r="FW11" s="354"/>
      <c r="FX11" s="354"/>
      <c r="FY11" s="355"/>
      <c r="FZ11" s="356"/>
      <c r="GA11" s="354"/>
      <c r="GB11" s="357"/>
      <c r="GC11" s="354"/>
      <c r="GE11" s="350"/>
      <c r="GF11" s="350"/>
      <c r="GG11" s="350"/>
      <c r="GH11" s="350"/>
      <c r="GI11" s="350"/>
      <c r="GJ11" s="351"/>
      <c r="GK11" s="351"/>
      <c r="GL11" s="352"/>
      <c r="GM11" s="351"/>
      <c r="GN11" s="351"/>
      <c r="GO11" s="351"/>
      <c r="GP11" s="351"/>
      <c r="GQ11" s="351"/>
      <c r="GR11" s="352"/>
      <c r="GS11" s="351"/>
      <c r="GT11" s="351"/>
      <c r="GU11" s="351"/>
      <c r="GV11" s="351"/>
      <c r="GW11" s="353"/>
      <c r="GX11" s="340">
        <f>'211,213 допы 2024 (без овз)'!$AW$251</f>
        <v>1.4064300000000001</v>
      </c>
      <c r="GY11" s="341"/>
      <c r="GZ11" s="342">
        <f>'211,213 допы 2024 (без овз)'!$AW$253</f>
        <v>0.32916000000000001</v>
      </c>
      <c r="HA11" s="343">
        <f>'211,213 допы 2024 (без овз)'!$AW$254</f>
        <v>0.59841999999999995</v>
      </c>
      <c r="HB11" s="341"/>
      <c r="HC11" s="341"/>
      <c r="HD11" s="345">
        <f>'211,213 допы 2024 (без овз)'!$AW$256</f>
        <v>1.24295</v>
      </c>
      <c r="HE11" s="346">
        <f>1+(42+3)/365</f>
        <v>1.1232899999999999</v>
      </c>
      <c r="HF11" s="347"/>
      <c r="HG11" s="348">
        <f>'211,213 допы 2024 (без овз)'!$AW$255</f>
        <v>0.13783999999999999</v>
      </c>
      <c r="HH11" s="354"/>
      <c r="HI11" s="354"/>
      <c r="HJ11" s="355"/>
      <c r="HK11" s="356"/>
      <c r="HL11" s="354"/>
      <c r="HM11" s="357"/>
      <c r="HN11" s="354"/>
      <c r="HP11" s="351"/>
    </row>
    <row r="12" spans="1:225" s="113" customFormat="1" ht="18.75" customHeight="1" x14ac:dyDescent="0.25">
      <c r="A12" s="349" t="s">
        <v>448</v>
      </c>
      <c r="B12" s="350"/>
      <c r="C12" s="350"/>
      <c r="D12" s="350"/>
      <c r="E12" s="350"/>
      <c r="F12" s="350"/>
      <c r="G12" s="351"/>
      <c r="H12" s="351"/>
      <c r="I12" s="352"/>
      <c r="J12" s="351"/>
      <c r="K12" s="351"/>
      <c r="L12" s="351"/>
      <c r="M12" s="351"/>
      <c r="N12" s="351"/>
      <c r="O12" s="352"/>
      <c r="P12" s="351"/>
      <c r="Q12" s="351"/>
      <c r="R12" s="351"/>
      <c r="S12" s="351"/>
      <c r="T12" s="353"/>
      <c r="U12" s="340">
        <f>'211,213 допы 2024 (с овз)'!$AW$60</f>
        <v>1.48072</v>
      </c>
      <c r="V12" s="341"/>
      <c r="W12" s="342">
        <f>'211,213 допы 2024 (с овз)'!$AW$62</f>
        <v>0.29183999999999999</v>
      </c>
      <c r="X12" s="343">
        <f>'211,213 допы 2024 (с овз)'!$AW$63</f>
        <v>0.46305000000000002</v>
      </c>
      <c r="Y12" s="344"/>
      <c r="Z12" s="344"/>
      <c r="AA12" s="345">
        <f>'211,213 допы 2024 (с овз)'!$AW$65</f>
        <v>1.17672</v>
      </c>
      <c r="AB12" s="346">
        <f>1+(56+3)/365</f>
        <v>1.16164</v>
      </c>
      <c r="AC12" s="347"/>
      <c r="AD12" s="348">
        <f>'211,213 допы 2024 (с овз)'!$AW$64</f>
        <v>8.1439999999999999E-2</v>
      </c>
      <c r="AE12" s="354"/>
      <c r="AF12" s="354"/>
      <c r="AG12" s="355"/>
      <c r="AH12" s="356"/>
      <c r="AI12" s="354"/>
      <c r="AJ12" s="357"/>
      <c r="AK12" s="354"/>
      <c r="AM12" s="350"/>
      <c r="AN12" s="350"/>
      <c r="AO12" s="350"/>
      <c r="AP12" s="350"/>
      <c r="AQ12" s="350"/>
      <c r="AR12" s="351"/>
      <c r="AS12" s="351"/>
      <c r="AT12" s="352"/>
      <c r="AU12" s="351"/>
      <c r="AV12" s="351"/>
      <c r="AW12" s="351"/>
      <c r="AX12" s="351"/>
      <c r="AY12" s="351"/>
      <c r="AZ12" s="352"/>
      <c r="BA12" s="351"/>
      <c r="BB12" s="351"/>
      <c r="BC12" s="351"/>
      <c r="BD12" s="351"/>
      <c r="BE12" s="353"/>
      <c r="BF12" s="340">
        <f>'211,213 допы 2024 (с овз)'!$AW$146</f>
        <v>1.3871500000000001</v>
      </c>
      <c r="BG12" s="341"/>
      <c r="BH12" s="342">
        <f>'211,213 допы 2024 (с овз)'!$AW$148</f>
        <v>0.42914999999999998</v>
      </c>
      <c r="BI12" s="343">
        <f>'211,213 допы 2024 (с овз)'!$AW$149</f>
        <v>0.66744000000000003</v>
      </c>
      <c r="BJ12" s="341"/>
      <c r="BK12" s="341"/>
      <c r="BL12" s="345">
        <f>'211,213 допы 2024 (с овз)'!$AW$151</f>
        <v>1.22112</v>
      </c>
      <c r="BM12" s="346">
        <f>1+(56+3)/365</f>
        <v>1.16164</v>
      </c>
      <c r="BN12" s="347"/>
      <c r="BO12" s="348">
        <f>'211,213 допы 2024 (с овз)'!$AW$150</f>
        <v>0.10267</v>
      </c>
      <c r="BP12" s="354"/>
      <c r="BQ12" s="354"/>
      <c r="BR12" s="355"/>
      <c r="BS12" s="356"/>
      <c r="BT12" s="354"/>
      <c r="BU12" s="357"/>
      <c r="BV12" s="354"/>
      <c r="BX12" s="350"/>
      <c r="BY12" s="350"/>
      <c r="BZ12" s="350"/>
      <c r="CA12" s="350"/>
      <c r="CB12" s="350"/>
      <c r="CC12" s="351"/>
      <c r="CD12" s="351"/>
      <c r="CE12" s="352"/>
      <c r="CF12" s="351"/>
      <c r="CG12" s="351"/>
      <c r="CH12" s="351"/>
      <c r="CI12" s="351"/>
      <c r="CJ12" s="351"/>
      <c r="CK12" s="352"/>
      <c r="CL12" s="351"/>
      <c r="CM12" s="351"/>
      <c r="CN12" s="351"/>
      <c r="CO12" s="351"/>
      <c r="CP12" s="353"/>
      <c r="CQ12" s="340">
        <f>'211,213 допы 2024 (с овз)'!$AW$196</f>
        <v>1.3502099999999999</v>
      </c>
      <c r="CR12" s="341"/>
      <c r="CS12" s="342">
        <f>'211,213 допы 2024 (с овз)'!$AW$198</f>
        <v>0.33593000000000001</v>
      </c>
      <c r="CT12" s="343">
        <f>'211,213 допы 2024 (с овз)'!$AW$199</f>
        <v>0.67049999999999998</v>
      </c>
      <c r="CU12" s="341"/>
      <c r="CV12" s="341"/>
      <c r="CW12" s="345">
        <f>'211,213 допы 2024 (с овз)'!$AW$201</f>
        <v>1.4190199999999999</v>
      </c>
      <c r="CX12" s="346">
        <f>1+(56+3)/365</f>
        <v>1.16164</v>
      </c>
      <c r="CY12" s="347"/>
      <c r="CZ12" s="348">
        <f>'211,213 допы 2024 (с овз)'!$AW$200</f>
        <v>0.32064999999999999</v>
      </c>
      <c r="DA12" s="354"/>
      <c r="DB12" s="354"/>
      <c r="DC12" s="355"/>
      <c r="DD12" s="356"/>
      <c r="DE12" s="354"/>
      <c r="DF12" s="357"/>
      <c r="DG12" s="354"/>
      <c r="DI12" s="350"/>
      <c r="DJ12" s="350"/>
      <c r="DK12" s="350"/>
      <c r="DL12" s="350"/>
      <c r="DM12" s="350"/>
      <c r="DN12" s="351"/>
      <c r="DO12" s="351"/>
      <c r="DP12" s="352"/>
      <c r="DQ12" s="351"/>
      <c r="DR12" s="351"/>
      <c r="DS12" s="351"/>
      <c r="DT12" s="351"/>
      <c r="DU12" s="351"/>
      <c r="DV12" s="352"/>
      <c r="DW12" s="351"/>
      <c r="DX12" s="351"/>
      <c r="DY12" s="351"/>
      <c r="DZ12" s="351"/>
      <c r="EA12" s="353"/>
      <c r="EB12" s="340">
        <f>'211,213 допы 2024 (с овз)'!$AW$232</f>
        <v>1.35737</v>
      </c>
      <c r="EC12" s="341"/>
      <c r="ED12" s="342">
        <f>'211,213 допы 2024 (с овз)'!$AW$234</f>
        <v>0.22051999999999999</v>
      </c>
      <c r="EE12" s="343">
        <f>'211,213 допы 2024 (с овз)'!$AW$235</f>
        <v>0.73350000000000004</v>
      </c>
      <c r="EF12" s="341"/>
      <c r="EG12" s="341"/>
      <c r="EH12" s="345">
        <f>'211,213 допы 2024 (с овз)'!$AW$237</f>
        <v>1.2033499999999999</v>
      </c>
      <c r="EI12" s="346">
        <f>1+(56+3)/365</f>
        <v>1.16164</v>
      </c>
      <c r="EJ12" s="347"/>
      <c r="EK12" s="348">
        <f>'211,213 допы 2024 (с овз)'!$AW$236</f>
        <v>0.17288999999999999</v>
      </c>
      <c r="EL12" s="354"/>
      <c r="EM12" s="354"/>
      <c r="EN12" s="355"/>
      <c r="EO12" s="356"/>
      <c r="EP12" s="354"/>
      <c r="EQ12" s="357"/>
      <c r="ER12" s="354"/>
      <c r="ET12" s="350"/>
      <c r="EU12" s="350"/>
      <c r="EV12" s="350"/>
      <c r="EW12" s="350"/>
      <c r="EX12" s="350"/>
      <c r="EY12" s="351"/>
      <c r="EZ12" s="351"/>
      <c r="FA12" s="352"/>
      <c r="FB12" s="351"/>
      <c r="FC12" s="351"/>
      <c r="FD12" s="351"/>
      <c r="FE12" s="351"/>
      <c r="FF12" s="351"/>
      <c r="FG12" s="352"/>
      <c r="FH12" s="351"/>
      <c r="FI12" s="351"/>
      <c r="FJ12" s="351"/>
      <c r="FK12" s="351"/>
      <c r="FL12" s="353"/>
      <c r="FM12" s="340">
        <f>'211,213 допы 2024 (с овз)'!$AW$91</f>
        <v>1.32193</v>
      </c>
      <c r="FN12" s="341"/>
      <c r="FO12" s="342">
        <f>'211,213 допы 2024 (с овз)'!$AW$93</f>
        <v>0.21695999999999999</v>
      </c>
      <c r="FP12" s="343">
        <f>'211,213 допы 2024 (с овз)'!$AW$94</f>
        <v>0.97809999999999997</v>
      </c>
      <c r="FQ12" s="341"/>
      <c r="FR12" s="341"/>
      <c r="FS12" s="345">
        <f>'211,213 допы 2024 (с овз)'!$AW$96</f>
        <v>1.0935600000000001</v>
      </c>
      <c r="FT12" s="346">
        <f>1+(56+3)/365</f>
        <v>1.16164</v>
      </c>
      <c r="FU12" s="347"/>
      <c r="FV12" s="348">
        <f>'211,213 допы 2024 (с овз)'!$AW$95</f>
        <v>0</v>
      </c>
      <c r="FW12" s="354"/>
      <c r="FX12" s="354"/>
      <c r="FY12" s="355"/>
      <c r="FZ12" s="356"/>
      <c r="GA12" s="354"/>
      <c r="GB12" s="357"/>
      <c r="GC12" s="354"/>
      <c r="GE12" s="350"/>
      <c r="GF12" s="350"/>
      <c r="GG12" s="350"/>
      <c r="GH12" s="350"/>
      <c r="GI12" s="350"/>
      <c r="GJ12" s="351"/>
      <c r="GK12" s="351"/>
      <c r="GL12" s="352"/>
      <c r="GM12" s="351"/>
      <c r="GN12" s="351"/>
      <c r="GO12" s="351"/>
      <c r="GP12" s="351"/>
      <c r="GQ12" s="351"/>
      <c r="GR12" s="352"/>
      <c r="GS12" s="351"/>
      <c r="GT12" s="351"/>
      <c r="GU12" s="351"/>
      <c r="GV12" s="351"/>
      <c r="GW12" s="353"/>
      <c r="GX12" s="340">
        <f>'211,213 допы 2024 (с овз)'!$AW$251</f>
        <v>1.41039</v>
      </c>
      <c r="GY12" s="341"/>
      <c r="GZ12" s="342">
        <f>'211,213 допы 2024 (с овз)'!$AW$253</f>
        <v>0.32823000000000002</v>
      </c>
      <c r="HA12" s="343">
        <f>'211,213 допы 2024 (с овз)'!$AW$254</f>
        <v>0.60419</v>
      </c>
      <c r="HB12" s="341"/>
      <c r="HC12" s="341"/>
      <c r="HD12" s="345">
        <f>'211,213 допы 2024 (с овз)'!$AW$256</f>
        <v>1.2410600000000001</v>
      </c>
      <c r="HE12" s="346">
        <f>1+(56+3)/365</f>
        <v>1.16164</v>
      </c>
      <c r="HF12" s="347"/>
      <c r="HG12" s="348">
        <f>'211,213 допы 2024 (с овз)'!$AW$255</f>
        <v>0.13744999999999999</v>
      </c>
      <c r="HH12" s="354"/>
      <c r="HI12" s="354"/>
      <c r="HJ12" s="355"/>
      <c r="HK12" s="356"/>
      <c r="HL12" s="354"/>
      <c r="HM12" s="357"/>
      <c r="HN12" s="354"/>
      <c r="HP12" s="351"/>
    </row>
    <row r="13" spans="1:225" s="113" customFormat="1" x14ac:dyDescent="0.25">
      <c r="A13" s="120" t="s">
        <v>52</v>
      </c>
      <c r="B13" s="135">
        <f>C13+AJ13</f>
        <v>212.03</v>
      </c>
      <c r="C13" s="135">
        <f>N13*P13*S13*T13*U13*(1+V13+W13+X13+Y13)*Z13/G13/H13</f>
        <v>161.03</v>
      </c>
      <c r="D13" s="135">
        <f>N13*P13*S13*T13*U13*(1+V13+Y13)*Z13/G13/H13</f>
        <v>91.96</v>
      </c>
      <c r="E13" s="135">
        <f>C13-D13</f>
        <v>69.069999999999993</v>
      </c>
      <c r="F13" s="135">
        <f>N13*P13*S13*T13*U13*(1+V13+Y13)*Z13*AD13/G13/H13</f>
        <v>7.51</v>
      </c>
      <c r="G13" s="124">
        <v>76.900000000000006</v>
      </c>
      <c r="H13" s="132">
        <v>800</v>
      </c>
      <c r="I13" s="133">
        <f>G13*H13</f>
        <v>61520</v>
      </c>
      <c r="J13" s="378">
        <f>'1.4. часы и места для МЗ и СЗ'!Z20</f>
        <v>12384</v>
      </c>
      <c r="K13" s="378">
        <f>'1.4. часы и места для МЗ и СЗ'!AA20</f>
        <v>120</v>
      </c>
      <c r="L13" s="378">
        <f>'1.4. часы и места для МЗ и СЗ'!AB20</f>
        <v>8</v>
      </c>
      <c r="M13" s="378">
        <f>'1.4. часы и места для МЗ и СЗ'!AC20</f>
        <v>36</v>
      </c>
      <c r="N13" s="379">
        <f>'1.4. часы и места для МЗ и СЗ'!AD20</f>
        <v>2.39</v>
      </c>
      <c r="O13" s="133">
        <f>J13/800</f>
        <v>15</v>
      </c>
      <c r="P13" s="125">
        <v>12</v>
      </c>
      <c r="Q13" s="160">
        <v>14987</v>
      </c>
      <c r="R13" s="272">
        <v>1.01</v>
      </c>
      <c r="S13" s="269">
        <f>Q13*R13</f>
        <v>15137</v>
      </c>
      <c r="T13" s="127">
        <v>1.302</v>
      </c>
      <c r="U13" s="128">
        <f t="shared" ref="U13:U21" si="0">U$11</f>
        <v>1.47617</v>
      </c>
      <c r="V13" s="129">
        <v>0</v>
      </c>
      <c r="W13" s="128">
        <f t="shared" ref="W13:X21" si="1">W$11</f>
        <v>0.29274</v>
      </c>
      <c r="X13" s="128">
        <f t="shared" si="1"/>
        <v>0.45841999999999999</v>
      </c>
      <c r="Y13" s="129">
        <v>0</v>
      </c>
      <c r="Z13" s="128">
        <f>ROUND(AA13*AB13*AC13,2)</f>
        <v>6.78</v>
      </c>
      <c r="AA13" s="128">
        <f t="shared" ref="AA13:AB26" si="2">AA$11</f>
        <v>1.1776</v>
      </c>
      <c r="AB13" s="128">
        <f t="shared" si="2"/>
        <v>1.1232899999999999</v>
      </c>
      <c r="AC13" s="128">
        <f>IF(O13=0,0,G13/O13)</f>
        <v>5.1266699999999998</v>
      </c>
      <c r="AD13" s="130">
        <f t="shared" ref="AD13:AD21" si="3">AD$11</f>
        <v>8.1689999999999999E-2</v>
      </c>
      <c r="AE13" s="131">
        <f>C13*J13+F13*J13</f>
        <v>2087199</v>
      </c>
      <c r="AF13" s="162">
        <v>47584.6</v>
      </c>
      <c r="AG13" s="138">
        <f t="shared" ref="AG13:AG26" si="4">AF13-S13*U13</f>
        <v>25239.81</v>
      </c>
      <c r="AH13" s="142">
        <f t="shared" ref="AH13:AH26" si="5">AH$10/J$26*J13</f>
        <v>1.591623</v>
      </c>
      <c r="AI13" s="131">
        <f>AG13*AH13*1.302*12</f>
        <v>627651</v>
      </c>
      <c r="AJ13" s="153">
        <f>IF(J13=0,0,AI13/J13)</f>
        <v>51</v>
      </c>
      <c r="AK13" s="140">
        <f>IF(D13=0,0,(AJ13+D13)/D13)</f>
        <v>1.5545899999999999</v>
      </c>
      <c r="AM13" s="135">
        <f>AN13+BU13</f>
        <v>0</v>
      </c>
      <c r="AN13" s="135">
        <f>AY13*BA13*BD13*BE13*BF13*(1+BG13+BH13+BI13+BJ13)*BK13/AR13/AS13</f>
        <v>0</v>
      </c>
      <c r="AO13" s="135">
        <f>AY13*BA13*BD13*BE13*BF13*(1+BG13+BJ13)*BK13/AR13/AS13</f>
        <v>0</v>
      </c>
      <c r="AP13" s="135">
        <f>AN13-AO13</f>
        <v>0</v>
      </c>
      <c r="AQ13" s="135">
        <f>AY13*BA13*BD13*BE13*BF13*(1+BG13+BJ13)*BK13*BO13/AR13/AS13</f>
        <v>0</v>
      </c>
      <c r="AR13" s="124">
        <v>76.900000000000006</v>
      </c>
      <c r="AS13" s="132">
        <v>800</v>
      </c>
      <c r="AT13" s="133">
        <f>AR13*AS13</f>
        <v>61520</v>
      </c>
      <c r="AU13" s="378">
        <f>'1.4. часы и места для МЗ и СЗ'!Z59</f>
        <v>0</v>
      </c>
      <c r="AV13" s="378">
        <f>'1.4. часы и места для МЗ и СЗ'!AA59</f>
        <v>0</v>
      </c>
      <c r="AW13" s="378">
        <f>'1.4. часы и места для МЗ и СЗ'!AB59</f>
        <v>0</v>
      </c>
      <c r="AX13" s="378">
        <f>'1.4. часы и места для МЗ и СЗ'!AC59</f>
        <v>0</v>
      </c>
      <c r="AY13" s="379">
        <f>'1.4. часы и места для МЗ и СЗ'!AD59</f>
        <v>0</v>
      </c>
      <c r="AZ13" s="133">
        <f>AU13/800</f>
        <v>0</v>
      </c>
      <c r="BA13" s="125">
        <v>12</v>
      </c>
      <c r="BB13" s="382">
        <f t="shared" ref="BB13:BB26" si="6">Q13</f>
        <v>14987</v>
      </c>
      <c r="BC13" s="383">
        <f t="shared" ref="BC13:BC26" si="7">R13</f>
        <v>1.01</v>
      </c>
      <c r="BD13" s="269">
        <f>BB13*BC13</f>
        <v>15137</v>
      </c>
      <c r="BE13" s="127">
        <v>1.302</v>
      </c>
      <c r="BF13" s="128">
        <f t="shared" ref="BF13:BF21" si="8">BF$11</f>
        <v>1.38046</v>
      </c>
      <c r="BG13" s="129">
        <v>0</v>
      </c>
      <c r="BH13" s="128">
        <f t="shared" ref="BH13:BI21" si="9">BH$11</f>
        <v>0.43123</v>
      </c>
      <c r="BI13" s="128">
        <f t="shared" si="9"/>
        <v>0.66134000000000004</v>
      </c>
      <c r="BJ13" s="129">
        <v>0</v>
      </c>
      <c r="BK13" s="128">
        <f>ROUND(BL13*BM13*BN13,2)</f>
        <v>0</v>
      </c>
      <c r="BL13" s="128">
        <f t="shared" ref="BL13:BM26" si="10">BL$11</f>
        <v>1.2245299999999999</v>
      </c>
      <c r="BM13" s="128">
        <f t="shared" si="10"/>
        <v>1.1232899999999999</v>
      </c>
      <c r="BN13" s="128">
        <f>IF(AZ13=0,0,AR13/AZ13)</f>
        <v>0</v>
      </c>
      <c r="BO13" s="130">
        <f t="shared" ref="BO13:BO21" si="11">BO$11</f>
        <v>0.10316</v>
      </c>
      <c r="BP13" s="131">
        <f>AN13*AU13+AQ13*AU13</f>
        <v>0</v>
      </c>
      <c r="BQ13" s="387">
        <f t="shared" ref="BQ13:BQ26" si="12">AF13</f>
        <v>47584.6</v>
      </c>
      <c r="BR13" s="138">
        <f t="shared" ref="BR13:BR26" si="13">BQ13-BD13*BF13</f>
        <v>26688.58</v>
      </c>
      <c r="BS13" s="142">
        <f t="shared" ref="BS13:BS26" si="14">BS$10/AU$26*AU13</f>
        <v>0</v>
      </c>
      <c r="BT13" s="131">
        <f>BR13*BS13*1.302*12</f>
        <v>0</v>
      </c>
      <c r="BU13" s="153">
        <f>IF(AU13=0,0,BT13/AU13)</f>
        <v>0</v>
      </c>
      <c r="BV13" s="140">
        <f>IF(AO13=0,0,(BU13+AO13)/AO13)</f>
        <v>0</v>
      </c>
      <c r="BX13" s="135">
        <f>BY13+DF13</f>
        <v>114.6</v>
      </c>
      <c r="BY13" s="135">
        <f>CJ13*CL13*CO13*CP13*CQ13*(1+CR13+CS13+CT13+CU13)*CV13/CC13/CD13</f>
        <v>65.599999999999994</v>
      </c>
      <c r="BZ13" s="135">
        <f>CJ13*CL13*CO13*CP13*CQ13*(1+CR13+CU13)*CV13/CC13/CD13</f>
        <v>32.880000000000003</v>
      </c>
      <c r="CA13" s="135">
        <f>BY13-BZ13</f>
        <v>32.72</v>
      </c>
      <c r="CB13" s="135">
        <f>CJ13*CL13*CO13*CP13*CQ13*(1+CR13+CU13)*CV13*CZ13/CC13/CD13</f>
        <v>10.56</v>
      </c>
      <c r="CC13" s="124">
        <v>76.900000000000006</v>
      </c>
      <c r="CD13" s="132">
        <v>800</v>
      </c>
      <c r="CE13" s="133">
        <f>CC13*CD13</f>
        <v>61520</v>
      </c>
      <c r="CF13" s="378">
        <f>'1.4. часы и места для МЗ и СЗ'!Z72</f>
        <v>113328</v>
      </c>
      <c r="CG13" s="378">
        <f>'1.4. часы и места для МЗ и СЗ'!AA72</f>
        <v>689</v>
      </c>
      <c r="CH13" s="378">
        <f>'1.4. часы и места для МЗ и СЗ'!AB72</f>
        <v>23</v>
      </c>
      <c r="CI13" s="378">
        <f>'1.4. часы и места для МЗ и СЗ'!AC72</f>
        <v>36</v>
      </c>
      <c r="CJ13" s="379">
        <f>'1.4. часы и места для МЗ и СЗ'!AD72</f>
        <v>7.29</v>
      </c>
      <c r="CK13" s="133">
        <f>CF13/800</f>
        <v>142</v>
      </c>
      <c r="CL13" s="125">
        <v>12</v>
      </c>
      <c r="CM13" s="382">
        <f t="shared" ref="CM13:CM26" si="15">Q13</f>
        <v>14987</v>
      </c>
      <c r="CN13" s="383">
        <f t="shared" ref="CN13:CN26" si="16">R13</f>
        <v>1.01</v>
      </c>
      <c r="CO13" s="269">
        <f>CM13*CN13</f>
        <v>15137</v>
      </c>
      <c r="CP13" s="127">
        <v>1.302</v>
      </c>
      <c r="CQ13" s="128">
        <f t="shared" ref="CQ13:CQ21" si="17">CQ$11</f>
        <v>1.34843</v>
      </c>
      <c r="CR13" s="129">
        <v>0</v>
      </c>
      <c r="CS13" s="128">
        <f t="shared" ref="CS13:CT21" si="18">CS$11</f>
        <v>0.33637</v>
      </c>
      <c r="CT13" s="128">
        <f t="shared" si="18"/>
        <v>0.65883000000000003</v>
      </c>
      <c r="CU13" s="129">
        <v>0</v>
      </c>
      <c r="CV13" s="128">
        <f>ROUND(CW13*CX13*CY13,2)</f>
        <v>0.87</v>
      </c>
      <c r="CW13" s="128">
        <f t="shared" ref="CW13:CX26" si="19">CW$11</f>
        <v>1.4220999999999999</v>
      </c>
      <c r="CX13" s="128">
        <f t="shared" si="19"/>
        <v>1.1232899999999999</v>
      </c>
      <c r="CY13" s="128">
        <f>IF(CK13=0,0,CC13/CK13)</f>
        <v>0.54154999999999998</v>
      </c>
      <c r="CZ13" s="130">
        <f t="shared" ref="CZ13:CZ21" si="20">CZ$11</f>
        <v>0.32107000000000002</v>
      </c>
      <c r="DA13" s="131">
        <f>BY13*CF13+CB13*CF13</f>
        <v>8631060</v>
      </c>
      <c r="DB13" s="387">
        <f t="shared" ref="DB13:DB26" si="21">AF13</f>
        <v>47584.6</v>
      </c>
      <c r="DC13" s="138">
        <f t="shared" ref="DC13:DC26" si="22">DB13-CO13*CQ13</f>
        <v>27173.42</v>
      </c>
      <c r="DD13" s="142">
        <f t="shared" ref="DD13:DD26" si="23">DD$10/CF$26*CF13</f>
        <v>13.170156</v>
      </c>
      <c r="DE13" s="131">
        <f>DC13*DD13*1.302*12</f>
        <v>5591489</v>
      </c>
      <c r="DF13" s="153">
        <f>IF(CF13=0,0,DE13/CF13)</f>
        <v>49</v>
      </c>
      <c r="DG13" s="140">
        <f>IF(BZ13=0,0,(DF13+BZ13)/BZ13)</f>
        <v>2.4902700000000002</v>
      </c>
      <c r="DI13" s="135">
        <f>DJ13+EQ13</f>
        <v>0</v>
      </c>
      <c r="DJ13" s="135">
        <f>DU13*DW13*DZ13*EA13*EB13*(1+EC13+ED13+EE13+EF13)*EG13/DN13/DO13</f>
        <v>0</v>
      </c>
      <c r="DK13" s="135">
        <f>DU13*DW13*DZ13*EA13*EB13*(1+EC13+EF13)*EG13/DN13/DO13</f>
        <v>0</v>
      </c>
      <c r="DL13" s="135">
        <f>DJ13-DK13</f>
        <v>0</v>
      </c>
      <c r="DM13" s="135">
        <f>DU13*DW13*DZ13*EA13*EB13*(1+EC13+EF13)*EG13*EK13/DN13/DO13</f>
        <v>0</v>
      </c>
      <c r="DN13" s="124">
        <v>76.900000000000006</v>
      </c>
      <c r="DO13" s="132">
        <v>800</v>
      </c>
      <c r="DP13" s="133">
        <f>DN13*DO13</f>
        <v>61520</v>
      </c>
      <c r="DQ13" s="378">
        <f>'1.4. часы и места для МЗ и СЗ'!Z33</f>
        <v>0</v>
      </c>
      <c r="DR13" s="378">
        <f>'1.4. часы и места для МЗ и СЗ'!AA33</f>
        <v>0</v>
      </c>
      <c r="DS13" s="378">
        <f>'1.4. часы и места для МЗ и СЗ'!AB33</f>
        <v>0</v>
      </c>
      <c r="DT13" s="378">
        <f>'1.4. часы и места для МЗ и СЗ'!AC33</f>
        <v>0</v>
      </c>
      <c r="DU13" s="379">
        <f>'1.4. часы и места для МЗ и СЗ'!AD33</f>
        <v>0</v>
      </c>
      <c r="DV13" s="133">
        <f>DQ13/800</f>
        <v>0</v>
      </c>
      <c r="DW13" s="125">
        <v>12</v>
      </c>
      <c r="DX13" s="382">
        <f t="shared" ref="DX13:DX26" si="24">Q13</f>
        <v>14987</v>
      </c>
      <c r="DY13" s="383">
        <f t="shared" ref="DY13:DY26" si="25">R13</f>
        <v>1.01</v>
      </c>
      <c r="DZ13" s="269">
        <f>DX13*DY13</f>
        <v>15137</v>
      </c>
      <c r="EA13" s="127">
        <v>1.302</v>
      </c>
      <c r="EB13" s="128">
        <f t="shared" ref="EB13:EB21" si="26">EB$11</f>
        <v>1.35737</v>
      </c>
      <c r="EC13" s="129">
        <v>0</v>
      </c>
      <c r="ED13" s="128">
        <f t="shared" ref="ED13:EE21" si="27">ED$11</f>
        <v>0.22051999999999999</v>
      </c>
      <c r="EE13" s="128">
        <f t="shared" si="27"/>
        <v>0.73350000000000004</v>
      </c>
      <c r="EF13" s="129">
        <v>0</v>
      </c>
      <c r="EG13" s="128">
        <f>ROUND(EH13*EI13*EJ13,2)</f>
        <v>0</v>
      </c>
      <c r="EH13" s="128">
        <f t="shared" ref="EH13:EI21" si="28">EH$11</f>
        <v>1.2033499999999999</v>
      </c>
      <c r="EI13" s="128">
        <f t="shared" si="28"/>
        <v>1.1232899999999999</v>
      </c>
      <c r="EJ13" s="128">
        <f>IF(DV13=0,0,DN13/DV13)</f>
        <v>0</v>
      </c>
      <c r="EK13" s="130">
        <f t="shared" ref="EK13:EK21" si="29">EK$11</f>
        <v>0.17288999999999999</v>
      </c>
      <c r="EL13" s="131">
        <f>DJ13*DQ13+DM13*DQ13</f>
        <v>0</v>
      </c>
      <c r="EM13" s="387">
        <f t="shared" ref="EM13:EM26" si="30">AF13</f>
        <v>47584.6</v>
      </c>
      <c r="EN13" s="138">
        <f t="shared" ref="EN13:EN26" si="31">EM13-DZ13*EB13</f>
        <v>27038.09</v>
      </c>
      <c r="EO13" s="142">
        <f t="shared" ref="EO13:EO26" si="32">EO$10/DQ$26*DQ13</f>
        <v>0</v>
      </c>
      <c r="EP13" s="131">
        <f>EN13*EO13*1.302*12</f>
        <v>0</v>
      </c>
      <c r="EQ13" s="153">
        <f>IF(DQ13=0,0,EP13/DQ13)</f>
        <v>0</v>
      </c>
      <c r="ER13" s="140">
        <f>IF(DK13=0,0,(EQ13+DK13)/DK13)</f>
        <v>0</v>
      </c>
      <c r="ET13" s="135">
        <f>EU13+GB13</f>
        <v>0</v>
      </c>
      <c r="EU13" s="135">
        <f>FF13*FH13*FK13*FL13*FM13*(1+FN13+FO13+FP13+FQ13)*FR13/EY13/EZ13</f>
        <v>0</v>
      </c>
      <c r="EV13" s="135">
        <f>FF13*FH13*FK13*FL13*FM13*(1+FN13+FQ13)*FR13/EY13/EZ13</f>
        <v>0</v>
      </c>
      <c r="EW13" s="135">
        <f>EU13-EV13</f>
        <v>0</v>
      </c>
      <c r="EX13" s="135">
        <f>FF13*FH13*FK13*FL13*FM13*(1+FN13+FQ13)*FR13*FV13/EY13/EZ13</f>
        <v>0</v>
      </c>
      <c r="EY13" s="124">
        <v>76.900000000000006</v>
      </c>
      <c r="EZ13" s="132">
        <v>800</v>
      </c>
      <c r="FA13" s="133">
        <f>EY13*EZ13</f>
        <v>61520</v>
      </c>
      <c r="FB13" s="378">
        <f>'1.4. часы и места для МЗ и СЗ'!Z46</f>
        <v>0</v>
      </c>
      <c r="FC13" s="378">
        <f>'1.4. часы и места для МЗ и СЗ'!AA46</f>
        <v>0</v>
      </c>
      <c r="FD13" s="378">
        <f>'1.4. часы и места для МЗ и СЗ'!AB46</f>
        <v>0</v>
      </c>
      <c r="FE13" s="378">
        <f>'1.4. часы и места для МЗ и СЗ'!AC46</f>
        <v>0</v>
      </c>
      <c r="FF13" s="379">
        <f>'1.4. часы и места для МЗ и СЗ'!AD46</f>
        <v>0</v>
      </c>
      <c r="FG13" s="133">
        <f>FB13/800</f>
        <v>0</v>
      </c>
      <c r="FH13" s="125">
        <v>12</v>
      </c>
      <c r="FI13" s="382">
        <f t="shared" ref="FI13:FI26" si="33">Q13</f>
        <v>14987</v>
      </c>
      <c r="FJ13" s="383">
        <f t="shared" ref="FJ13:FJ26" si="34">R13</f>
        <v>1.01</v>
      </c>
      <c r="FK13" s="269">
        <f>FI13*FJ13</f>
        <v>15137</v>
      </c>
      <c r="FL13" s="127">
        <v>1.302</v>
      </c>
      <c r="FM13" s="128">
        <f t="shared" ref="FM13:FM21" si="35">FM$11</f>
        <v>1.32193</v>
      </c>
      <c r="FN13" s="129">
        <v>0</v>
      </c>
      <c r="FO13" s="128">
        <f t="shared" ref="FO13:FP21" si="36">FO$11</f>
        <v>0.21695999999999999</v>
      </c>
      <c r="FP13" s="128">
        <f t="shared" si="36"/>
        <v>0.97809999999999997</v>
      </c>
      <c r="FQ13" s="129">
        <v>0</v>
      </c>
      <c r="FR13" s="128">
        <f>ROUND(FS13*FT13*FU13,2)</f>
        <v>0</v>
      </c>
      <c r="FS13" s="128">
        <f t="shared" ref="FS13:FT26" si="37">FS$11</f>
        <v>1.0935600000000001</v>
      </c>
      <c r="FT13" s="128">
        <f t="shared" si="37"/>
        <v>1.1232899999999999</v>
      </c>
      <c r="FU13" s="128">
        <f>IF(FG13=0,0,EY13/FG13)</f>
        <v>0</v>
      </c>
      <c r="FV13" s="130">
        <f t="shared" ref="FV13:FV21" si="38">FV$11</f>
        <v>0</v>
      </c>
      <c r="FW13" s="131">
        <f>EU13*FB13+EX13*FB13</f>
        <v>0</v>
      </c>
      <c r="FX13" s="387">
        <f t="shared" ref="FX13:FX26" si="39">AF13</f>
        <v>47584.6</v>
      </c>
      <c r="FY13" s="138">
        <f t="shared" ref="FY13:FY26" si="40">FX13-FK13*FM13</f>
        <v>27574.55</v>
      </c>
      <c r="FZ13" s="142">
        <f t="shared" ref="FZ13:FZ26" si="41">FZ$10/FB$26*FB13</f>
        <v>0</v>
      </c>
      <c r="GA13" s="131">
        <f>FY13*FZ13*1.302*12</f>
        <v>0</v>
      </c>
      <c r="GB13" s="153">
        <f>IF(FB13=0,0,GA13/FB13)</f>
        <v>0</v>
      </c>
      <c r="GC13" s="140">
        <f>IF(EV13=0,0,(GB13+EV13)/EV13)</f>
        <v>0</v>
      </c>
      <c r="GE13" s="135">
        <f>GF13+HM13</f>
        <v>114.6</v>
      </c>
      <c r="GF13" s="135">
        <f>GQ13*GS13*GV13*GW13*GX13*(1+GY13+GZ13+HA13+HB13)*HC13/GJ13/GK13</f>
        <v>68.599999999999994</v>
      </c>
      <c r="GG13" s="135">
        <f>GQ13*GS13*GV13*GW13*GX13*(1+GY13+HB13)*HC13/GJ13/GK13</f>
        <v>35.590000000000003</v>
      </c>
      <c r="GH13" s="135">
        <f>GF13-GG13</f>
        <v>33.01</v>
      </c>
      <c r="GI13" s="135">
        <f>GQ13*GS13*GV13*GW13*GX13*(1+GY13+HB13)*HC13*HG13/GJ13/GK13</f>
        <v>4.91</v>
      </c>
      <c r="GJ13" s="124">
        <v>76.900000000000006</v>
      </c>
      <c r="GK13" s="132">
        <v>800</v>
      </c>
      <c r="GL13" s="133">
        <f>GJ13*GK13</f>
        <v>61520</v>
      </c>
      <c r="GM13" s="227">
        <f t="shared" ref="GM13:GO14" si="42">J13+AU13+CF13+DQ13+FB13</f>
        <v>125712</v>
      </c>
      <c r="GN13" s="227">
        <f t="shared" si="42"/>
        <v>809</v>
      </c>
      <c r="GO13" s="227">
        <f t="shared" si="42"/>
        <v>31</v>
      </c>
      <c r="GP13" s="158" t="s">
        <v>471</v>
      </c>
      <c r="GQ13" s="229">
        <f>N13+AY13+CJ13+DU13+FF13</f>
        <v>9.68</v>
      </c>
      <c r="GR13" s="133">
        <f>GM13/800</f>
        <v>157</v>
      </c>
      <c r="GS13" s="125">
        <v>12</v>
      </c>
      <c r="GT13" s="382">
        <f t="shared" ref="GT13:GT26" si="43">Q13</f>
        <v>14987</v>
      </c>
      <c r="GU13" s="383">
        <f t="shared" ref="GU13:GU26" si="44">R13</f>
        <v>1.01</v>
      </c>
      <c r="GV13" s="269">
        <f>GT13*GU13</f>
        <v>15137</v>
      </c>
      <c r="GW13" s="127">
        <v>1.302</v>
      </c>
      <c r="GX13" s="128">
        <f t="shared" ref="GX13:GX21" si="45">GX$11</f>
        <v>1.4064300000000001</v>
      </c>
      <c r="GY13" s="129">
        <v>0</v>
      </c>
      <c r="GZ13" s="128">
        <f t="shared" ref="GZ13:HA21" si="46">GZ$11</f>
        <v>0.32916000000000001</v>
      </c>
      <c r="HA13" s="128">
        <f t="shared" si="46"/>
        <v>0.59841999999999995</v>
      </c>
      <c r="HB13" s="129">
        <v>0</v>
      </c>
      <c r="HC13" s="128">
        <f>ROUND(HD13*HE13*HF13,2)</f>
        <v>0.68</v>
      </c>
      <c r="HD13" s="128">
        <f t="shared" ref="HD13:HE26" si="47">HD$11</f>
        <v>1.24295</v>
      </c>
      <c r="HE13" s="128">
        <f t="shared" si="47"/>
        <v>1.1232899999999999</v>
      </c>
      <c r="HF13" s="128">
        <f>IF(GR13=0,0,GJ13/GR13)</f>
        <v>0.48981000000000002</v>
      </c>
      <c r="HG13" s="130">
        <f t="shared" ref="HG13:HG21" si="48">HG$11</f>
        <v>0.13783999999999999</v>
      </c>
      <c r="HH13" s="131">
        <f>GF13*GM13+GI13*GM13</f>
        <v>9241089</v>
      </c>
      <c r="HI13" s="387">
        <f t="shared" ref="HI13:HI26" si="49">AF13</f>
        <v>47584.6</v>
      </c>
      <c r="HJ13" s="138">
        <f t="shared" ref="HJ13:HJ26" si="50">HI13-GV13*GX13</f>
        <v>26295.47</v>
      </c>
      <c r="HK13" s="142">
        <f t="shared" ref="HK13:HK26" si="51">HK$10/GM$26*GM13</f>
        <v>14.052066</v>
      </c>
      <c r="HL13" s="131">
        <f>HJ13*HK13*1.302*12</f>
        <v>5773157</v>
      </c>
      <c r="HM13" s="153">
        <f>IF(GM13=0,0,HL13/GM13)</f>
        <v>46</v>
      </c>
      <c r="HN13" s="140">
        <f>IF(GG13=0,0,(HM13+GG13)/GG13)</f>
        <v>2.2925</v>
      </c>
      <c r="HP13" s="151">
        <f>GQ13*18</f>
        <v>174.24</v>
      </c>
    </row>
    <row r="14" spans="1:225" s="113" customFormat="1" ht="24" x14ac:dyDescent="0.25">
      <c r="A14" s="120" t="s">
        <v>53</v>
      </c>
      <c r="B14" s="135">
        <f t="shared" ref="B14:B22" si="52">C14+AJ14</f>
        <v>160.19999999999999</v>
      </c>
      <c r="C14" s="135">
        <f t="shared" ref="C14:C22" si="53">N14*P14*S14*T14*U14*(1+V14+W14+X14+Y14)*Z14/G14/H14</f>
        <v>109.2</v>
      </c>
      <c r="D14" s="135">
        <f t="shared" ref="D14:D22" si="54">N14*P14*S14*T14*U14*(1+V14+Y14)*Z14/G14/H14</f>
        <v>62.36</v>
      </c>
      <c r="E14" s="135">
        <f>C14-D14</f>
        <v>46.84</v>
      </c>
      <c r="F14" s="135">
        <f t="shared" ref="F14:F26" si="55">N14*P14*S14*T14*U14*(1+V14+Y14)*Z14*AD14/G14/H14</f>
        <v>5.09</v>
      </c>
      <c r="G14" s="124">
        <v>76.900000000000006</v>
      </c>
      <c r="H14" s="132">
        <v>800</v>
      </c>
      <c r="I14" s="133">
        <f t="shared" ref="I14:I26" si="56">G14*H14</f>
        <v>61520</v>
      </c>
      <c r="J14" s="378">
        <f>'1.4. часы и места для МЗ и СЗ'!Z21</f>
        <v>19872</v>
      </c>
      <c r="K14" s="378">
        <f>'1.4. часы и места для МЗ и СЗ'!AA21</f>
        <v>207</v>
      </c>
      <c r="L14" s="378">
        <f>'1.4. часы и места для МЗ и СЗ'!AB21</f>
        <v>17</v>
      </c>
      <c r="M14" s="378">
        <f>'1.4. часы и места для МЗ и СЗ'!AC21</f>
        <v>36</v>
      </c>
      <c r="N14" s="379">
        <f>'1.4. часы и места для МЗ и СЗ'!AD21</f>
        <v>2.7</v>
      </c>
      <c r="O14" s="133">
        <f t="shared" ref="O14:O26" si="57">J14/800</f>
        <v>25</v>
      </c>
      <c r="P14" s="125">
        <v>12</v>
      </c>
      <c r="Q14" s="160">
        <v>14987</v>
      </c>
      <c r="R14" s="272">
        <v>1.01</v>
      </c>
      <c r="S14" s="269">
        <f t="shared" ref="S14:S26" si="58">Q14*R14</f>
        <v>15137</v>
      </c>
      <c r="T14" s="127">
        <v>1.302</v>
      </c>
      <c r="U14" s="128">
        <f t="shared" si="0"/>
        <v>1.47617</v>
      </c>
      <c r="V14" s="129">
        <v>0</v>
      </c>
      <c r="W14" s="128">
        <f t="shared" si="1"/>
        <v>0.29274</v>
      </c>
      <c r="X14" s="128">
        <f t="shared" si="1"/>
        <v>0.45841999999999999</v>
      </c>
      <c r="Y14" s="129">
        <v>0</v>
      </c>
      <c r="Z14" s="128">
        <f t="shared" ref="Z14:Z26" si="59">ROUND(AA14*AB14*AC14,2)</f>
        <v>4.07</v>
      </c>
      <c r="AA14" s="128">
        <f t="shared" si="2"/>
        <v>1.1776</v>
      </c>
      <c r="AB14" s="128">
        <f t="shared" si="2"/>
        <v>1.1232899999999999</v>
      </c>
      <c r="AC14" s="128">
        <f t="shared" ref="AC14:AC26" si="60">IF(O14=0,0,G14/O14)</f>
        <v>3.0760000000000001</v>
      </c>
      <c r="AD14" s="130">
        <f t="shared" si="3"/>
        <v>8.1689999999999999E-2</v>
      </c>
      <c r="AE14" s="131">
        <f>C14*J14+F14*J14</f>
        <v>2271171</v>
      </c>
      <c r="AF14" s="162">
        <v>47584.6</v>
      </c>
      <c r="AG14" s="138">
        <f t="shared" si="4"/>
        <v>25239.81</v>
      </c>
      <c r="AH14" s="142">
        <f t="shared" si="5"/>
        <v>2.5539999999999998</v>
      </c>
      <c r="AI14" s="131">
        <f t="shared" ref="AI14:AI26" si="61">AG14*AH14*1.302*12</f>
        <v>1007162</v>
      </c>
      <c r="AJ14" s="153">
        <f t="shared" ref="AJ14:AJ26" si="62">IF(J14=0,0,AI14/J14)</f>
        <v>51</v>
      </c>
      <c r="AK14" s="140">
        <f t="shared" ref="AK14:AK26" si="63">IF(D14=0,0,(AJ14+D14)/D14)</f>
        <v>1.8178300000000001</v>
      </c>
      <c r="AM14" s="135">
        <f t="shared" ref="AM14:AM22" si="64">AN14+BU14</f>
        <v>0</v>
      </c>
      <c r="AN14" s="135">
        <f t="shared" ref="AN14:AN22" si="65">AY14*BA14*BD14*BE14*BF14*(1+BG14+BH14+BI14+BJ14)*BK14/AR14/AS14</f>
        <v>0</v>
      </c>
      <c r="AO14" s="135">
        <f t="shared" ref="AO14:AO22" si="66">AY14*BA14*BD14*BE14*BF14*(1+BG14+BJ14)*BK14/AR14/AS14</f>
        <v>0</v>
      </c>
      <c r="AP14" s="135">
        <f>AN14-AO14</f>
        <v>0</v>
      </c>
      <c r="AQ14" s="135">
        <f t="shared" ref="AQ14:AQ26" si="67">AY14*BA14*BD14*BE14*BF14*(1+BG14+BJ14)*BK14*BO14/AR14/AS14</f>
        <v>0</v>
      </c>
      <c r="AR14" s="124">
        <v>76.900000000000006</v>
      </c>
      <c r="AS14" s="132">
        <v>800</v>
      </c>
      <c r="AT14" s="133">
        <f t="shared" ref="AT14:AT26" si="68">AR14*AS14</f>
        <v>61520</v>
      </c>
      <c r="AU14" s="378">
        <f>'1.4. часы и места для МЗ и СЗ'!Z60</f>
        <v>0</v>
      </c>
      <c r="AV14" s="378">
        <f>'1.4. часы и места для МЗ и СЗ'!AA60</f>
        <v>0</v>
      </c>
      <c r="AW14" s="378">
        <f>'1.4. часы и места для МЗ и СЗ'!AB60</f>
        <v>0</v>
      </c>
      <c r="AX14" s="378">
        <f>'1.4. часы и места для МЗ и СЗ'!AC60</f>
        <v>0</v>
      </c>
      <c r="AY14" s="379">
        <f>'1.4. часы и места для МЗ и СЗ'!AD60</f>
        <v>0</v>
      </c>
      <c r="AZ14" s="133">
        <f t="shared" ref="AZ14:AZ26" si="69">AU14/800</f>
        <v>0</v>
      </c>
      <c r="BA14" s="125">
        <v>12</v>
      </c>
      <c r="BB14" s="382">
        <f t="shared" si="6"/>
        <v>14987</v>
      </c>
      <c r="BC14" s="383">
        <f t="shared" si="7"/>
        <v>1.01</v>
      </c>
      <c r="BD14" s="269">
        <f t="shared" ref="BD14:BD26" si="70">BB14*BC14</f>
        <v>15137</v>
      </c>
      <c r="BE14" s="127">
        <v>1.302</v>
      </c>
      <c r="BF14" s="128">
        <f t="shared" si="8"/>
        <v>1.38046</v>
      </c>
      <c r="BG14" s="129">
        <v>0</v>
      </c>
      <c r="BH14" s="128">
        <f t="shared" si="9"/>
        <v>0.43123</v>
      </c>
      <c r="BI14" s="128">
        <f t="shared" si="9"/>
        <v>0.66134000000000004</v>
      </c>
      <c r="BJ14" s="129">
        <v>0</v>
      </c>
      <c r="BK14" s="128">
        <f t="shared" ref="BK14:BK26" si="71">ROUND(BL14*BM14*BN14,2)</f>
        <v>0</v>
      </c>
      <c r="BL14" s="128">
        <f t="shared" si="10"/>
        <v>1.2245299999999999</v>
      </c>
      <c r="BM14" s="128">
        <f t="shared" si="10"/>
        <v>1.1232899999999999</v>
      </c>
      <c r="BN14" s="128">
        <f t="shared" ref="BN14:BN26" si="72">IF(AZ14=0,0,AR14/AZ14)</f>
        <v>0</v>
      </c>
      <c r="BO14" s="130">
        <f t="shared" si="11"/>
        <v>0.10316</v>
      </c>
      <c r="BP14" s="131">
        <f>AN14*AU14+AQ14*AU14</f>
        <v>0</v>
      </c>
      <c r="BQ14" s="387">
        <f t="shared" si="12"/>
        <v>47584.6</v>
      </c>
      <c r="BR14" s="138">
        <f t="shared" si="13"/>
        <v>26688.58</v>
      </c>
      <c r="BS14" s="142">
        <f t="shared" si="14"/>
        <v>0</v>
      </c>
      <c r="BT14" s="131">
        <f t="shared" ref="BT14:BT26" si="73">BR14*BS14*1.302*12</f>
        <v>0</v>
      </c>
      <c r="BU14" s="153">
        <f t="shared" ref="BU14:BU26" si="74">IF(AU14=0,0,BT14/AU14)</f>
        <v>0</v>
      </c>
      <c r="BV14" s="140">
        <f t="shared" ref="BV14:BV26" si="75">IF(AO14=0,0,(BU14+AO14)/AO14)</f>
        <v>0</v>
      </c>
      <c r="BX14" s="135">
        <f t="shared" ref="BX14:BX22" si="76">BY14+DF14</f>
        <v>122.21</v>
      </c>
      <c r="BY14" s="135">
        <f t="shared" ref="BY14:BY22" si="77">CJ14*CL14*CO14*CP14*CQ14*(1+CR14+CS14+CT14+CU14)*CV14/CC14/CD14</f>
        <v>73.209999999999994</v>
      </c>
      <c r="BZ14" s="135">
        <f t="shared" ref="BZ14:BZ22" si="78">CJ14*CL14*CO14*CP14*CQ14*(1+CR14+CU14)*CV14/CC14/CD14</f>
        <v>36.69</v>
      </c>
      <c r="CA14" s="135">
        <f>BY14-BZ14</f>
        <v>36.520000000000003</v>
      </c>
      <c r="CB14" s="135">
        <f t="shared" ref="CB14:CB26" si="79">CJ14*CL14*CO14*CP14*CQ14*(1+CR14+CU14)*CV14*CZ14/CC14/CD14</f>
        <v>11.78</v>
      </c>
      <c r="CC14" s="124">
        <v>76.900000000000006</v>
      </c>
      <c r="CD14" s="132">
        <v>800</v>
      </c>
      <c r="CE14" s="133">
        <f t="shared" ref="CE14:CE26" si="80">CC14*CD14</f>
        <v>61520</v>
      </c>
      <c r="CF14" s="378">
        <f>'1.4. часы и места для МЗ и СЗ'!Z73</f>
        <v>16776</v>
      </c>
      <c r="CG14" s="378">
        <f>'1.4. часы и места для МЗ и СЗ'!AA73</f>
        <v>96</v>
      </c>
      <c r="CH14" s="378">
        <f>'1.4. часы и места для МЗ и СЗ'!AB73</f>
        <v>4</v>
      </c>
      <c r="CI14" s="378">
        <f>'1.4. часы и места для МЗ и СЗ'!AC73</f>
        <v>36</v>
      </c>
      <c r="CJ14" s="379">
        <f>'1.4. часы и места для МЗ и СЗ'!AD73</f>
        <v>1.21</v>
      </c>
      <c r="CK14" s="133">
        <f t="shared" ref="CK14:CK26" si="81">CF14/800</f>
        <v>21</v>
      </c>
      <c r="CL14" s="125">
        <v>12</v>
      </c>
      <c r="CM14" s="382">
        <f t="shared" si="15"/>
        <v>14987</v>
      </c>
      <c r="CN14" s="383">
        <f t="shared" si="16"/>
        <v>1.01</v>
      </c>
      <c r="CO14" s="269">
        <f t="shared" ref="CO14:CO26" si="82">CM14*CN14</f>
        <v>15137</v>
      </c>
      <c r="CP14" s="127">
        <v>1.302</v>
      </c>
      <c r="CQ14" s="128">
        <f t="shared" si="17"/>
        <v>1.34843</v>
      </c>
      <c r="CR14" s="129">
        <v>0</v>
      </c>
      <c r="CS14" s="128">
        <f t="shared" si="18"/>
        <v>0.33637</v>
      </c>
      <c r="CT14" s="128">
        <f t="shared" si="18"/>
        <v>0.65883000000000003</v>
      </c>
      <c r="CU14" s="129">
        <v>0</v>
      </c>
      <c r="CV14" s="128">
        <f t="shared" ref="CV14:CV26" si="83">ROUND(CW14*CX14*CY14,2)</f>
        <v>5.85</v>
      </c>
      <c r="CW14" s="128">
        <f t="shared" si="19"/>
        <v>1.4220999999999999</v>
      </c>
      <c r="CX14" s="128">
        <f t="shared" si="19"/>
        <v>1.1232899999999999</v>
      </c>
      <c r="CY14" s="128">
        <f t="shared" ref="CY14:CY26" si="84">IF(CK14=0,0,CC14/CK14)</f>
        <v>3.6619000000000002</v>
      </c>
      <c r="CZ14" s="130">
        <f t="shared" si="20"/>
        <v>0.32107000000000002</v>
      </c>
      <c r="DA14" s="131">
        <f>BY14*CF14+CB14*CF14</f>
        <v>1425792</v>
      </c>
      <c r="DB14" s="387">
        <f t="shared" si="21"/>
        <v>47584.6</v>
      </c>
      <c r="DC14" s="138">
        <f t="shared" si="22"/>
        <v>27173.42</v>
      </c>
      <c r="DD14" s="142">
        <f t="shared" si="23"/>
        <v>1.9495849999999999</v>
      </c>
      <c r="DE14" s="131">
        <f t="shared" ref="DE14:DE26" si="85">DC14*DD14*1.302*12</f>
        <v>827711</v>
      </c>
      <c r="DF14" s="153">
        <f t="shared" ref="DF14:DF26" si="86">IF(CF14=0,0,DE14/CF14)</f>
        <v>49</v>
      </c>
      <c r="DG14" s="140">
        <f t="shared" ref="DG14:DG26" si="87">IF(BZ14=0,0,(DF14+BZ14)/BZ14)</f>
        <v>2.3355100000000002</v>
      </c>
      <c r="DI14" s="135">
        <f t="shared" ref="DI14:DI22" si="88">DJ14+EQ14</f>
        <v>50.87</v>
      </c>
      <c r="DJ14" s="135">
        <f t="shared" ref="DJ14:DJ22" si="89">DU14*DW14*DZ14*EA14*EB14*(1+EC14+ED14+EE14+EF14)*EG14/DN14/DO14</f>
        <v>23.87</v>
      </c>
      <c r="DK14" s="135">
        <f t="shared" ref="DK14:DK22" si="90">DU14*DW14*DZ14*EA14*EB14*(1+EC14+EF14)*EG14/DN14/DO14</f>
        <v>12.21</v>
      </c>
      <c r="DL14" s="135">
        <f>DJ14-DK14</f>
        <v>11.66</v>
      </c>
      <c r="DM14" s="135">
        <f t="shared" ref="DM14:DM26" si="91">DU14*DW14*DZ14*EA14*EB14*(1+EC14+EF14)*EG14*EK14/DN14/DO14</f>
        <v>2.11</v>
      </c>
      <c r="DN14" s="124">
        <v>76.900000000000006</v>
      </c>
      <c r="DO14" s="132">
        <v>800</v>
      </c>
      <c r="DP14" s="133">
        <f t="shared" ref="DP14:DP26" si="92">DN14*DO14</f>
        <v>61520</v>
      </c>
      <c r="DQ14" s="378">
        <f>'1.4. часы и места для МЗ и СЗ'!Z34</f>
        <v>147528</v>
      </c>
      <c r="DR14" s="378">
        <f>'1.4. часы и места для МЗ и СЗ'!AA34</f>
        <v>1175</v>
      </c>
      <c r="DS14" s="378">
        <f>'1.4. часы и места для МЗ и СЗ'!AB34</f>
        <v>23</v>
      </c>
      <c r="DT14" s="378">
        <f>'1.4. часы и места для МЗ и СЗ'!AC34</f>
        <v>36</v>
      </c>
      <c r="DU14" s="379">
        <f>'1.4. часы и места для МЗ и СЗ'!AD34</f>
        <v>4.18</v>
      </c>
      <c r="DV14" s="133">
        <f t="shared" ref="DV14:DV26" si="93">DQ14/800</f>
        <v>184</v>
      </c>
      <c r="DW14" s="125">
        <v>12</v>
      </c>
      <c r="DX14" s="382">
        <f t="shared" si="24"/>
        <v>14987</v>
      </c>
      <c r="DY14" s="383">
        <f t="shared" si="25"/>
        <v>1.01</v>
      </c>
      <c r="DZ14" s="269">
        <f t="shared" ref="DZ14:DZ26" si="94">DX14*DY14</f>
        <v>15137</v>
      </c>
      <c r="EA14" s="127">
        <v>1.302</v>
      </c>
      <c r="EB14" s="128">
        <f t="shared" si="26"/>
        <v>1.35737</v>
      </c>
      <c r="EC14" s="129">
        <v>0</v>
      </c>
      <c r="ED14" s="128">
        <f t="shared" si="27"/>
        <v>0.22051999999999999</v>
      </c>
      <c r="EE14" s="128">
        <f t="shared" si="27"/>
        <v>0.73350000000000004</v>
      </c>
      <c r="EF14" s="129">
        <v>0</v>
      </c>
      <c r="EG14" s="128">
        <f t="shared" ref="EG14:EG26" si="95">ROUND(EH14*EI14*EJ14,2)</f>
        <v>0.56000000000000005</v>
      </c>
      <c r="EH14" s="128">
        <f t="shared" si="28"/>
        <v>1.2033499999999999</v>
      </c>
      <c r="EI14" s="128">
        <f t="shared" si="28"/>
        <v>1.1232899999999999</v>
      </c>
      <c r="EJ14" s="128">
        <f t="shared" ref="EJ14:EJ26" si="96">IF(DV14=0,0,DN14/DV14)</f>
        <v>0.41793000000000002</v>
      </c>
      <c r="EK14" s="130">
        <f t="shared" si="29"/>
        <v>0.17288999999999999</v>
      </c>
      <c r="EL14" s="131">
        <f>DJ14*DQ14+DM14*DQ14</f>
        <v>3832777</v>
      </c>
      <c r="EM14" s="387">
        <f t="shared" si="30"/>
        <v>47584.6</v>
      </c>
      <c r="EN14" s="138">
        <f t="shared" si="31"/>
        <v>27038.09</v>
      </c>
      <c r="EO14" s="142">
        <f t="shared" si="32"/>
        <v>9.4</v>
      </c>
      <c r="EP14" s="131">
        <f t="shared" ref="EP14:EP26" si="97">EN14*EO14*1.302*12</f>
        <v>3970965</v>
      </c>
      <c r="EQ14" s="153">
        <f t="shared" ref="EQ14:EQ26" si="98">IF(DQ14=0,0,EP14/DQ14)</f>
        <v>27</v>
      </c>
      <c r="ER14" s="140">
        <f t="shared" ref="ER14:ER26" si="99">IF(DK14=0,0,(EQ14+DK14)/DK14)</f>
        <v>3.2113</v>
      </c>
      <c r="ET14" s="135">
        <f t="shared" ref="ET14:ET22" si="100">EU14+GB14</f>
        <v>0</v>
      </c>
      <c r="EU14" s="135">
        <f t="shared" ref="EU14:EU22" si="101">FF14*FH14*FK14*FL14*FM14*(1+FN14+FO14+FP14+FQ14)*FR14/EY14/EZ14</f>
        <v>0</v>
      </c>
      <c r="EV14" s="135">
        <f t="shared" ref="EV14:EV22" si="102">FF14*FH14*FK14*FL14*FM14*(1+FN14+FQ14)*FR14/EY14/EZ14</f>
        <v>0</v>
      </c>
      <c r="EW14" s="135">
        <f>EU14-EV14</f>
        <v>0</v>
      </c>
      <c r="EX14" s="135">
        <f t="shared" ref="EX14:EX26" si="103">FF14*FH14*FK14*FL14*FM14*(1+FN14+FQ14)*FR14*FV14/EY14/EZ14</f>
        <v>0</v>
      </c>
      <c r="EY14" s="124">
        <v>76.900000000000006</v>
      </c>
      <c r="EZ14" s="132">
        <v>800</v>
      </c>
      <c r="FA14" s="133">
        <f t="shared" ref="FA14:FA26" si="104">EY14*EZ14</f>
        <v>61520</v>
      </c>
      <c r="FB14" s="378">
        <f>'1.4. часы и места для МЗ и СЗ'!Z47</f>
        <v>0</v>
      </c>
      <c r="FC14" s="378">
        <f>'1.4. часы и места для МЗ и СЗ'!AA47</f>
        <v>0</v>
      </c>
      <c r="FD14" s="378">
        <f>'1.4. часы и места для МЗ и СЗ'!AB47</f>
        <v>0</v>
      </c>
      <c r="FE14" s="378">
        <f>'1.4. часы и места для МЗ и СЗ'!AC47</f>
        <v>0</v>
      </c>
      <c r="FF14" s="379">
        <f>'1.4. часы и места для МЗ и СЗ'!AD47</f>
        <v>0</v>
      </c>
      <c r="FG14" s="133">
        <f t="shared" ref="FG14:FG26" si="105">FB14/800</f>
        <v>0</v>
      </c>
      <c r="FH14" s="125">
        <v>12</v>
      </c>
      <c r="FI14" s="382">
        <f t="shared" si="33"/>
        <v>14987</v>
      </c>
      <c r="FJ14" s="383">
        <f t="shared" si="34"/>
        <v>1.01</v>
      </c>
      <c r="FK14" s="269">
        <f t="shared" ref="FK14:FK26" si="106">FI14*FJ14</f>
        <v>15137</v>
      </c>
      <c r="FL14" s="127">
        <v>1.302</v>
      </c>
      <c r="FM14" s="128">
        <f t="shared" si="35"/>
        <v>1.32193</v>
      </c>
      <c r="FN14" s="129">
        <v>0</v>
      </c>
      <c r="FO14" s="128">
        <f t="shared" si="36"/>
        <v>0.21695999999999999</v>
      </c>
      <c r="FP14" s="128">
        <f t="shared" si="36"/>
        <v>0.97809999999999997</v>
      </c>
      <c r="FQ14" s="129">
        <v>0</v>
      </c>
      <c r="FR14" s="128">
        <f t="shared" ref="FR14:FR26" si="107">ROUND(FS14*FT14*FU14,2)</f>
        <v>0</v>
      </c>
      <c r="FS14" s="128">
        <f t="shared" si="37"/>
        <v>1.0935600000000001</v>
      </c>
      <c r="FT14" s="128">
        <f t="shared" si="37"/>
        <v>1.1232899999999999</v>
      </c>
      <c r="FU14" s="128">
        <f t="shared" ref="FU14:FU26" si="108">IF(FG14=0,0,EY14/FG14)</f>
        <v>0</v>
      </c>
      <c r="FV14" s="130">
        <f t="shared" si="38"/>
        <v>0</v>
      </c>
      <c r="FW14" s="131">
        <f>EU14*FB14+EX14*FB14</f>
        <v>0</v>
      </c>
      <c r="FX14" s="387">
        <f t="shared" si="39"/>
        <v>47584.6</v>
      </c>
      <c r="FY14" s="138">
        <f t="shared" si="40"/>
        <v>27574.55</v>
      </c>
      <c r="FZ14" s="142">
        <f t="shared" si="41"/>
        <v>0</v>
      </c>
      <c r="GA14" s="131">
        <f t="shared" ref="GA14:GA26" si="109">FY14*FZ14*1.302*12</f>
        <v>0</v>
      </c>
      <c r="GB14" s="153">
        <f t="shared" ref="GB14:GB26" si="110">IF(FB14=0,0,GA14/FB14)</f>
        <v>0</v>
      </c>
      <c r="GC14" s="140">
        <f t="shared" ref="GC14:GC26" si="111">IF(EV14=0,0,(GB14+EV14)/EV14)</f>
        <v>0</v>
      </c>
      <c r="GE14" s="135">
        <f t="shared" ref="GE14:GE22" si="112">GF14+HM14</f>
        <v>85.63</v>
      </c>
      <c r="GF14" s="135">
        <f t="shared" ref="GF14:GF22" si="113">GQ14*GS14*GV14*GW14*GX14*(1+GY14+GZ14+HA14+HB14)*HC14/GJ14/GK14</f>
        <v>39.630000000000003</v>
      </c>
      <c r="GG14" s="135">
        <f t="shared" ref="GG14:GG22" si="114">GQ14*GS14*GV14*GW14*GX14*(1+GY14+HB14)*HC14/GJ14/GK14</f>
        <v>20.56</v>
      </c>
      <c r="GH14" s="135">
        <f>GF14-GG14</f>
        <v>19.07</v>
      </c>
      <c r="GI14" s="135">
        <f t="shared" ref="GI14:GI26" si="115">GQ14*GS14*GV14*GW14*GX14*(1+GY14+HB14)*HC14*HG14/GJ14/GK14</f>
        <v>2.83</v>
      </c>
      <c r="GJ14" s="124">
        <v>76.900000000000006</v>
      </c>
      <c r="GK14" s="132">
        <v>800</v>
      </c>
      <c r="GL14" s="133">
        <f t="shared" ref="GL14:GL26" si="116">GJ14*GK14</f>
        <v>61520</v>
      </c>
      <c r="GM14" s="227">
        <f t="shared" si="42"/>
        <v>184176</v>
      </c>
      <c r="GN14" s="227">
        <f t="shared" si="42"/>
        <v>1478</v>
      </c>
      <c r="GO14" s="227">
        <f t="shared" si="42"/>
        <v>44</v>
      </c>
      <c r="GP14" s="158" t="s">
        <v>471</v>
      </c>
      <c r="GQ14" s="229">
        <f>N14+AY14+CJ14+DU14+FF14</f>
        <v>8.09</v>
      </c>
      <c r="GR14" s="133">
        <f t="shared" ref="GR14:GR26" si="117">GM14/800</f>
        <v>230</v>
      </c>
      <c r="GS14" s="125">
        <v>12</v>
      </c>
      <c r="GT14" s="382">
        <f t="shared" si="43"/>
        <v>14987</v>
      </c>
      <c r="GU14" s="383">
        <f t="shared" si="44"/>
        <v>1.01</v>
      </c>
      <c r="GV14" s="269">
        <f t="shared" ref="GV14:GV26" si="118">GT14*GU14</f>
        <v>15137</v>
      </c>
      <c r="GW14" s="127">
        <v>1.302</v>
      </c>
      <c r="GX14" s="128">
        <f t="shared" si="45"/>
        <v>1.4064300000000001</v>
      </c>
      <c r="GY14" s="129">
        <v>0</v>
      </c>
      <c r="GZ14" s="128">
        <f t="shared" si="46"/>
        <v>0.32916000000000001</v>
      </c>
      <c r="HA14" s="128">
        <f t="shared" si="46"/>
        <v>0.59841999999999995</v>
      </c>
      <c r="HB14" s="129">
        <v>0</v>
      </c>
      <c r="HC14" s="128">
        <f t="shared" ref="HC14:HC26" si="119">ROUND(HD14*HE14*HF14,2)</f>
        <v>0.47</v>
      </c>
      <c r="HD14" s="128">
        <f t="shared" si="47"/>
        <v>1.24295</v>
      </c>
      <c r="HE14" s="128">
        <f t="shared" si="47"/>
        <v>1.1232899999999999</v>
      </c>
      <c r="HF14" s="128">
        <f t="shared" ref="HF14:HF26" si="120">IF(GR14=0,0,GJ14/GR14)</f>
        <v>0.33434999999999998</v>
      </c>
      <c r="HG14" s="130">
        <f t="shared" si="48"/>
        <v>0.13783999999999999</v>
      </c>
      <c r="HH14" s="131">
        <f>GF14*GM14+GI14*GM14</f>
        <v>7820113</v>
      </c>
      <c r="HI14" s="387">
        <f t="shared" si="49"/>
        <v>47584.6</v>
      </c>
      <c r="HJ14" s="138">
        <f t="shared" si="50"/>
        <v>26295.47</v>
      </c>
      <c r="HK14" s="142">
        <f t="shared" si="51"/>
        <v>20.587160999999998</v>
      </c>
      <c r="HL14" s="131">
        <f t="shared" ref="HL14:HL26" si="121">HJ14*HK14*1.302*12</f>
        <v>8458038</v>
      </c>
      <c r="HM14" s="153">
        <f t="shared" ref="HM14:HM26" si="122">IF(GM14=0,0,HL14/GM14)</f>
        <v>46</v>
      </c>
      <c r="HN14" s="140">
        <f t="shared" ref="HN14:HN26" si="123">IF(GG14=0,0,(HM14+GG14)/GG14)</f>
        <v>3.2373500000000002</v>
      </c>
      <c r="HP14" s="151">
        <f t="shared" ref="HP14:HP22" si="124">GQ14*18</f>
        <v>145.62</v>
      </c>
    </row>
    <row r="15" spans="1:225" s="113" customFormat="1" ht="24" x14ac:dyDescent="0.25">
      <c r="A15" s="120" t="s">
        <v>408</v>
      </c>
      <c r="B15" s="135">
        <f t="shared" si="52"/>
        <v>170.83</v>
      </c>
      <c r="C15" s="135">
        <f t="shared" si="53"/>
        <v>119.83</v>
      </c>
      <c r="D15" s="135">
        <f t="shared" si="54"/>
        <v>68.430000000000007</v>
      </c>
      <c r="E15" s="135">
        <f>C15-D15</f>
        <v>51.4</v>
      </c>
      <c r="F15" s="135">
        <f t="shared" si="55"/>
        <v>5.59</v>
      </c>
      <c r="G15" s="124">
        <v>76.900000000000006</v>
      </c>
      <c r="H15" s="132">
        <v>800</v>
      </c>
      <c r="I15" s="133">
        <f t="shared" si="56"/>
        <v>61520</v>
      </c>
      <c r="J15" s="133">
        <f>J16+J17+J18</f>
        <v>35352</v>
      </c>
      <c r="K15" s="133">
        <f>K16+K17+K18</f>
        <v>289</v>
      </c>
      <c r="L15" s="133">
        <f>L16+L17+L18</f>
        <v>22</v>
      </c>
      <c r="M15" s="132"/>
      <c r="N15" s="126">
        <f>N16+N17+N18</f>
        <v>5.22</v>
      </c>
      <c r="O15" s="133">
        <f t="shared" si="57"/>
        <v>44</v>
      </c>
      <c r="P15" s="125">
        <v>12</v>
      </c>
      <c r="Q15" s="160">
        <v>14987</v>
      </c>
      <c r="R15" s="272">
        <v>1.01</v>
      </c>
      <c r="S15" s="269">
        <f t="shared" si="58"/>
        <v>15137</v>
      </c>
      <c r="T15" s="127">
        <v>1.302</v>
      </c>
      <c r="U15" s="128">
        <f t="shared" si="0"/>
        <v>1.47617</v>
      </c>
      <c r="V15" s="129">
        <v>0</v>
      </c>
      <c r="W15" s="128">
        <f t="shared" si="1"/>
        <v>0.29274</v>
      </c>
      <c r="X15" s="128">
        <f t="shared" si="1"/>
        <v>0.45841999999999999</v>
      </c>
      <c r="Y15" s="129">
        <v>0</v>
      </c>
      <c r="Z15" s="128">
        <f t="shared" si="59"/>
        <v>2.31</v>
      </c>
      <c r="AA15" s="128">
        <f t="shared" si="2"/>
        <v>1.1776</v>
      </c>
      <c r="AB15" s="128">
        <f t="shared" si="2"/>
        <v>1.1232899999999999</v>
      </c>
      <c r="AC15" s="128">
        <f t="shared" si="60"/>
        <v>1.74773</v>
      </c>
      <c r="AD15" s="130">
        <f t="shared" si="3"/>
        <v>8.1689999999999999E-2</v>
      </c>
      <c r="AE15" s="131">
        <f>C15*J15+F15*J15</f>
        <v>4433848</v>
      </c>
      <c r="AF15" s="162">
        <v>47584.6</v>
      </c>
      <c r="AG15" s="138">
        <f t="shared" si="4"/>
        <v>25239.81</v>
      </c>
      <c r="AH15" s="142">
        <f t="shared" si="5"/>
        <v>4.5435290000000004</v>
      </c>
      <c r="AI15" s="131">
        <f t="shared" si="61"/>
        <v>1791726</v>
      </c>
      <c r="AJ15" s="153">
        <f t="shared" si="62"/>
        <v>51</v>
      </c>
      <c r="AK15" s="140">
        <f t="shared" si="63"/>
        <v>1.74529</v>
      </c>
      <c r="AM15" s="135">
        <f t="shared" si="64"/>
        <v>95.27</v>
      </c>
      <c r="AN15" s="135">
        <f t="shared" si="65"/>
        <v>42.27</v>
      </c>
      <c r="AO15" s="135">
        <f t="shared" si="66"/>
        <v>20.2</v>
      </c>
      <c r="AP15" s="135">
        <f>AN15-AO15</f>
        <v>22.07</v>
      </c>
      <c r="AQ15" s="135">
        <f t="shared" si="67"/>
        <v>2.08</v>
      </c>
      <c r="AR15" s="124">
        <v>76.900000000000006</v>
      </c>
      <c r="AS15" s="132">
        <v>800</v>
      </c>
      <c r="AT15" s="133">
        <f t="shared" si="68"/>
        <v>61520</v>
      </c>
      <c r="AU15" s="133">
        <f>AU16+AU17+AU18</f>
        <v>73608</v>
      </c>
      <c r="AV15" s="133">
        <f>AV16+AV17+AV18</f>
        <v>784</v>
      </c>
      <c r="AW15" s="133">
        <f>AW16+AW17+AW18</f>
        <v>23</v>
      </c>
      <c r="AX15" s="132"/>
      <c r="AY15" s="126">
        <f>AY16+AY17+AY18</f>
        <v>3.31</v>
      </c>
      <c r="AZ15" s="133">
        <f t="shared" si="69"/>
        <v>92</v>
      </c>
      <c r="BA15" s="125">
        <v>12</v>
      </c>
      <c r="BB15" s="382">
        <f t="shared" si="6"/>
        <v>14987</v>
      </c>
      <c r="BC15" s="383">
        <f t="shared" si="7"/>
        <v>1.01</v>
      </c>
      <c r="BD15" s="269">
        <f t="shared" si="70"/>
        <v>15137</v>
      </c>
      <c r="BE15" s="127">
        <v>1.302</v>
      </c>
      <c r="BF15" s="128">
        <f t="shared" si="8"/>
        <v>1.38046</v>
      </c>
      <c r="BG15" s="129">
        <v>0</v>
      </c>
      <c r="BH15" s="128">
        <f t="shared" si="9"/>
        <v>0.43123</v>
      </c>
      <c r="BI15" s="128">
        <f t="shared" si="9"/>
        <v>0.66134000000000004</v>
      </c>
      <c r="BJ15" s="129">
        <v>0</v>
      </c>
      <c r="BK15" s="128">
        <f t="shared" si="71"/>
        <v>1.1499999999999999</v>
      </c>
      <c r="BL15" s="128">
        <f t="shared" si="10"/>
        <v>1.2245299999999999</v>
      </c>
      <c r="BM15" s="128">
        <f t="shared" si="10"/>
        <v>1.1232899999999999</v>
      </c>
      <c r="BN15" s="128">
        <f t="shared" si="72"/>
        <v>0.83587</v>
      </c>
      <c r="BO15" s="130">
        <f t="shared" si="11"/>
        <v>0.10316</v>
      </c>
      <c r="BP15" s="131">
        <f>AN15*AU15+AQ15*AU15</f>
        <v>3264515</v>
      </c>
      <c r="BQ15" s="387">
        <f t="shared" si="12"/>
        <v>47584.6</v>
      </c>
      <c r="BR15" s="138">
        <f t="shared" si="13"/>
        <v>26688.58</v>
      </c>
      <c r="BS15" s="142">
        <f t="shared" si="14"/>
        <v>9.2893889999999999</v>
      </c>
      <c r="BT15" s="131">
        <f t="shared" si="73"/>
        <v>3873511</v>
      </c>
      <c r="BU15" s="153">
        <f t="shared" si="74"/>
        <v>53</v>
      </c>
      <c r="BV15" s="140">
        <f t="shared" si="75"/>
        <v>3.6237599999999999</v>
      </c>
      <c r="BX15" s="135">
        <f t="shared" si="76"/>
        <v>113.07</v>
      </c>
      <c r="BY15" s="135">
        <f t="shared" si="77"/>
        <v>64.069999999999993</v>
      </c>
      <c r="BZ15" s="135">
        <f t="shared" si="78"/>
        <v>32.11</v>
      </c>
      <c r="CA15" s="135">
        <f>BY15-BZ15</f>
        <v>31.96</v>
      </c>
      <c r="CB15" s="135">
        <f t="shared" si="79"/>
        <v>10.31</v>
      </c>
      <c r="CC15" s="124">
        <v>76.900000000000006</v>
      </c>
      <c r="CD15" s="132">
        <v>800</v>
      </c>
      <c r="CE15" s="133">
        <f t="shared" si="80"/>
        <v>61520</v>
      </c>
      <c r="CF15" s="133">
        <f>CF16+CF17+CF18</f>
        <v>18360</v>
      </c>
      <c r="CG15" s="133">
        <f>CG16+CG17+CG18</f>
        <v>123</v>
      </c>
      <c r="CH15" s="133">
        <f>CH16+CH17+CH18</f>
        <v>5</v>
      </c>
      <c r="CI15" s="132"/>
      <c r="CJ15" s="126">
        <f>CJ16+CJ17+CJ18</f>
        <v>1.1599999999999999</v>
      </c>
      <c r="CK15" s="133">
        <f t="shared" si="81"/>
        <v>23</v>
      </c>
      <c r="CL15" s="125">
        <v>12</v>
      </c>
      <c r="CM15" s="382">
        <f t="shared" si="15"/>
        <v>14987</v>
      </c>
      <c r="CN15" s="383">
        <f t="shared" si="16"/>
        <v>1.01</v>
      </c>
      <c r="CO15" s="269">
        <f t="shared" si="82"/>
        <v>15137</v>
      </c>
      <c r="CP15" s="127">
        <v>1.302</v>
      </c>
      <c r="CQ15" s="128">
        <f t="shared" si="17"/>
        <v>1.34843</v>
      </c>
      <c r="CR15" s="129">
        <v>0</v>
      </c>
      <c r="CS15" s="128">
        <f t="shared" si="18"/>
        <v>0.33637</v>
      </c>
      <c r="CT15" s="128">
        <f t="shared" si="18"/>
        <v>0.65883000000000003</v>
      </c>
      <c r="CU15" s="129">
        <v>0</v>
      </c>
      <c r="CV15" s="128">
        <f t="shared" si="83"/>
        <v>5.34</v>
      </c>
      <c r="CW15" s="128">
        <f t="shared" si="19"/>
        <v>1.4220999999999999</v>
      </c>
      <c r="CX15" s="128">
        <f t="shared" si="19"/>
        <v>1.1232899999999999</v>
      </c>
      <c r="CY15" s="128">
        <f t="shared" si="84"/>
        <v>3.34348</v>
      </c>
      <c r="CZ15" s="130">
        <f t="shared" si="20"/>
        <v>0.32107000000000002</v>
      </c>
      <c r="DA15" s="131">
        <f>BY15*CF15+CB15*CF15</f>
        <v>1365617</v>
      </c>
      <c r="DB15" s="387">
        <f t="shared" si="21"/>
        <v>47584.6</v>
      </c>
      <c r="DC15" s="138">
        <f t="shared" si="22"/>
        <v>27173.42</v>
      </c>
      <c r="DD15" s="142">
        <f t="shared" si="23"/>
        <v>2.1336659999999998</v>
      </c>
      <c r="DE15" s="131">
        <f t="shared" si="85"/>
        <v>905864</v>
      </c>
      <c r="DF15" s="153">
        <f t="shared" si="86"/>
        <v>49</v>
      </c>
      <c r="DG15" s="140">
        <f t="shared" si="87"/>
        <v>2.5259999999999998</v>
      </c>
      <c r="DI15" s="135">
        <f t="shared" si="88"/>
        <v>0</v>
      </c>
      <c r="DJ15" s="135">
        <f t="shared" si="89"/>
        <v>0</v>
      </c>
      <c r="DK15" s="135">
        <f t="shared" si="90"/>
        <v>0</v>
      </c>
      <c r="DL15" s="135">
        <f>DJ15-DK15</f>
        <v>0</v>
      </c>
      <c r="DM15" s="135">
        <f t="shared" si="91"/>
        <v>0</v>
      </c>
      <c r="DN15" s="124">
        <v>76.900000000000006</v>
      </c>
      <c r="DO15" s="132">
        <v>800</v>
      </c>
      <c r="DP15" s="133">
        <f t="shared" si="92"/>
        <v>61520</v>
      </c>
      <c r="DQ15" s="133">
        <f>DQ16+DQ17+DQ18</f>
        <v>0</v>
      </c>
      <c r="DR15" s="133">
        <f>DR16+DR17+DR18</f>
        <v>0</v>
      </c>
      <c r="DS15" s="133">
        <f>DS16+DS17+DS18</f>
        <v>0</v>
      </c>
      <c r="DT15" s="132"/>
      <c r="DU15" s="126">
        <f>DU16+DU17+DU18</f>
        <v>0</v>
      </c>
      <c r="DV15" s="133">
        <f t="shared" si="93"/>
        <v>0</v>
      </c>
      <c r="DW15" s="125">
        <v>12</v>
      </c>
      <c r="DX15" s="382">
        <f t="shared" si="24"/>
        <v>14987</v>
      </c>
      <c r="DY15" s="383">
        <f t="shared" si="25"/>
        <v>1.01</v>
      </c>
      <c r="DZ15" s="269">
        <f t="shared" si="94"/>
        <v>15137</v>
      </c>
      <c r="EA15" s="127">
        <v>1.302</v>
      </c>
      <c r="EB15" s="128">
        <f t="shared" si="26"/>
        <v>1.35737</v>
      </c>
      <c r="EC15" s="129">
        <v>0</v>
      </c>
      <c r="ED15" s="128">
        <f t="shared" si="27"/>
        <v>0.22051999999999999</v>
      </c>
      <c r="EE15" s="128">
        <f t="shared" si="27"/>
        <v>0.73350000000000004</v>
      </c>
      <c r="EF15" s="129">
        <v>0</v>
      </c>
      <c r="EG15" s="128">
        <f t="shared" si="95"/>
        <v>0</v>
      </c>
      <c r="EH15" s="128">
        <f t="shared" si="28"/>
        <v>1.2033499999999999</v>
      </c>
      <c r="EI15" s="128">
        <f t="shared" si="28"/>
        <v>1.1232899999999999</v>
      </c>
      <c r="EJ15" s="128">
        <f t="shared" si="96"/>
        <v>0</v>
      </c>
      <c r="EK15" s="130">
        <f t="shared" si="29"/>
        <v>0.17288999999999999</v>
      </c>
      <c r="EL15" s="131">
        <f>DJ15*DQ15+DM15*DQ15</f>
        <v>0</v>
      </c>
      <c r="EM15" s="387">
        <f t="shared" si="30"/>
        <v>47584.6</v>
      </c>
      <c r="EN15" s="138">
        <f t="shared" si="31"/>
        <v>27038.09</v>
      </c>
      <c r="EO15" s="142">
        <f t="shared" si="32"/>
        <v>0</v>
      </c>
      <c r="EP15" s="131">
        <f t="shared" si="97"/>
        <v>0</v>
      </c>
      <c r="EQ15" s="153">
        <f t="shared" si="98"/>
        <v>0</v>
      </c>
      <c r="ER15" s="140">
        <f t="shared" si="99"/>
        <v>0</v>
      </c>
      <c r="ET15" s="135">
        <f t="shared" si="100"/>
        <v>0</v>
      </c>
      <c r="EU15" s="135">
        <f t="shared" si="101"/>
        <v>0</v>
      </c>
      <c r="EV15" s="135">
        <f t="shared" si="102"/>
        <v>0</v>
      </c>
      <c r="EW15" s="135">
        <f>EU15-EV15</f>
        <v>0</v>
      </c>
      <c r="EX15" s="135">
        <f t="shared" si="103"/>
        <v>0</v>
      </c>
      <c r="EY15" s="124">
        <v>76.900000000000006</v>
      </c>
      <c r="EZ15" s="132">
        <v>800</v>
      </c>
      <c r="FA15" s="133">
        <f t="shared" si="104"/>
        <v>61520</v>
      </c>
      <c r="FB15" s="133">
        <f>FB16+FB17+FB18</f>
        <v>0</v>
      </c>
      <c r="FC15" s="133">
        <f>FC16+FC17+FC18</f>
        <v>0</v>
      </c>
      <c r="FD15" s="133">
        <f>FD16+FD17+FD18</f>
        <v>0</v>
      </c>
      <c r="FE15" s="132"/>
      <c r="FF15" s="126">
        <f>FF16+FF17+FF18</f>
        <v>0</v>
      </c>
      <c r="FG15" s="133">
        <f t="shared" si="105"/>
        <v>0</v>
      </c>
      <c r="FH15" s="125">
        <v>12</v>
      </c>
      <c r="FI15" s="382">
        <f t="shared" si="33"/>
        <v>14987</v>
      </c>
      <c r="FJ15" s="383">
        <f t="shared" si="34"/>
        <v>1.01</v>
      </c>
      <c r="FK15" s="269">
        <f t="shared" si="106"/>
        <v>15137</v>
      </c>
      <c r="FL15" s="127">
        <v>1.302</v>
      </c>
      <c r="FM15" s="128">
        <f t="shared" si="35"/>
        <v>1.32193</v>
      </c>
      <c r="FN15" s="129">
        <v>0</v>
      </c>
      <c r="FO15" s="128">
        <f t="shared" si="36"/>
        <v>0.21695999999999999</v>
      </c>
      <c r="FP15" s="128">
        <f t="shared" si="36"/>
        <v>0.97809999999999997</v>
      </c>
      <c r="FQ15" s="129">
        <v>0</v>
      </c>
      <c r="FR15" s="128">
        <f t="shared" si="107"/>
        <v>0</v>
      </c>
      <c r="FS15" s="128">
        <f t="shared" si="37"/>
        <v>1.0935600000000001</v>
      </c>
      <c r="FT15" s="128">
        <f t="shared" si="37"/>
        <v>1.1232899999999999</v>
      </c>
      <c r="FU15" s="128">
        <f t="shared" si="108"/>
        <v>0</v>
      </c>
      <c r="FV15" s="130">
        <f t="shared" si="38"/>
        <v>0</v>
      </c>
      <c r="FW15" s="131">
        <f>EU15*FB15+EX15*FB15</f>
        <v>0</v>
      </c>
      <c r="FX15" s="387">
        <f t="shared" si="39"/>
        <v>47584.6</v>
      </c>
      <c r="FY15" s="138">
        <f t="shared" si="40"/>
        <v>27574.55</v>
      </c>
      <c r="FZ15" s="142">
        <f t="shared" si="41"/>
        <v>0</v>
      </c>
      <c r="GA15" s="131">
        <f t="shared" si="109"/>
        <v>0</v>
      </c>
      <c r="GB15" s="153">
        <f t="shared" si="110"/>
        <v>0</v>
      </c>
      <c r="GC15" s="140">
        <f t="shared" si="111"/>
        <v>0</v>
      </c>
      <c r="GE15" s="135">
        <f t="shared" si="112"/>
        <v>114.67</v>
      </c>
      <c r="GF15" s="135">
        <f t="shared" si="113"/>
        <v>68.67</v>
      </c>
      <c r="GG15" s="135">
        <f t="shared" si="114"/>
        <v>35.630000000000003</v>
      </c>
      <c r="GH15" s="135">
        <f>GF15-GG15</f>
        <v>33.04</v>
      </c>
      <c r="GI15" s="135">
        <f t="shared" si="115"/>
        <v>4.91</v>
      </c>
      <c r="GJ15" s="124">
        <v>76.900000000000006</v>
      </c>
      <c r="GK15" s="132">
        <v>800</v>
      </c>
      <c r="GL15" s="133">
        <f t="shared" si="116"/>
        <v>61520</v>
      </c>
      <c r="GM15" s="133">
        <f>GM16+GM17+GM18</f>
        <v>127320</v>
      </c>
      <c r="GN15" s="133">
        <f>GN16+GN17+GN18</f>
        <v>1196</v>
      </c>
      <c r="GO15" s="133">
        <f>GO16+GO17+GO18</f>
        <v>50</v>
      </c>
      <c r="GP15" s="132" t="s">
        <v>471</v>
      </c>
      <c r="GQ15" s="126">
        <f>GQ16+GQ17+GQ18</f>
        <v>9.69</v>
      </c>
      <c r="GR15" s="133">
        <f t="shared" si="117"/>
        <v>159</v>
      </c>
      <c r="GS15" s="125">
        <v>12</v>
      </c>
      <c r="GT15" s="382">
        <f t="shared" si="43"/>
        <v>14987</v>
      </c>
      <c r="GU15" s="383">
        <f t="shared" si="44"/>
        <v>1.01</v>
      </c>
      <c r="GV15" s="269">
        <f t="shared" si="118"/>
        <v>15137</v>
      </c>
      <c r="GW15" s="127">
        <v>1.302</v>
      </c>
      <c r="GX15" s="128">
        <f t="shared" si="45"/>
        <v>1.4064300000000001</v>
      </c>
      <c r="GY15" s="129">
        <v>0</v>
      </c>
      <c r="GZ15" s="128">
        <f t="shared" si="46"/>
        <v>0.32916000000000001</v>
      </c>
      <c r="HA15" s="128">
        <f t="shared" si="46"/>
        <v>0.59841999999999995</v>
      </c>
      <c r="HB15" s="129">
        <v>0</v>
      </c>
      <c r="HC15" s="128">
        <f t="shared" si="119"/>
        <v>0.68</v>
      </c>
      <c r="HD15" s="128">
        <f t="shared" si="47"/>
        <v>1.24295</v>
      </c>
      <c r="HE15" s="128">
        <f t="shared" si="47"/>
        <v>1.1232899999999999</v>
      </c>
      <c r="HF15" s="128">
        <f t="shared" si="120"/>
        <v>0.48365000000000002</v>
      </c>
      <c r="HG15" s="130">
        <f t="shared" si="48"/>
        <v>0.13783999999999999</v>
      </c>
      <c r="HH15" s="131">
        <f>GF15*GM15+GI15*GM15</f>
        <v>9368206</v>
      </c>
      <c r="HI15" s="387">
        <f t="shared" si="49"/>
        <v>47584.6</v>
      </c>
      <c r="HJ15" s="138">
        <f t="shared" si="50"/>
        <v>26295.47</v>
      </c>
      <c r="HK15" s="142">
        <f t="shared" si="51"/>
        <v>14.231807</v>
      </c>
      <c r="HL15" s="131">
        <f t="shared" si="121"/>
        <v>5847002</v>
      </c>
      <c r="HM15" s="153">
        <f t="shared" si="122"/>
        <v>46</v>
      </c>
      <c r="HN15" s="140">
        <f t="shared" si="123"/>
        <v>2.2910499999999998</v>
      </c>
      <c r="HP15" s="151">
        <f t="shared" si="124"/>
        <v>174.42</v>
      </c>
    </row>
    <row r="16" spans="1:225" ht="24" x14ac:dyDescent="0.25">
      <c r="A16" s="12" t="s">
        <v>409</v>
      </c>
      <c r="B16" s="136">
        <f t="shared" si="52"/>
        <v>170.83</v>
      </c>
      <c r="C16" s="136">
        <f t="shared" si="53"/>
        <v>119.83</v>
      </c>
      <c r="D16" s="136">
        <f t="shared" si="54"/>
        <v>68.430000000000007</v>
      </c>
      <c r="E16" s="136">
        <f t="shared" ref="E16:E26" si="125">C16-D16</f>
        <v>51.4</v>
      </c>
      <c r="F16" s="136">
        <f t="shared" si="55"/>
        <v>5.59</v>
      </c>
      <c r="G16" s="69">
        <v>76.900000000000006</v>
      </c>
      <c r="H16" s="67">
        <v>800</v>
      </c>
      <c r="I16" s="68">
        <f t="shared" si="56"/>
        <v>61520</v>
      </c>
      <c r="J16" s="380">
        <f>'1.4. часы и места для МЗ и СЗ'!Z25</f>
        <v>35352</v>
      </c>
      <c r="K16" s="380">
        <f>'1.4. часы и места для МЗ и СЗ'!AA25</f>
        <v>289</v>
      </c>
      <c r="L16" s="380">
        <f>'1.4. часы и места для МЗ и СЗ'!AB25</f>
        <v>22</v>
      </c>
      <c r="M16" s="380">
        <f>'1.4. часы и места для МЗ и СЗ'!AC25</f>
        <v>36</v>
      </c>
      <c r="N16" s="381">
        <f>'1.4. часы и места для МЗ и СЗ'!AD25</f>
        <v>5.22</v>
      </c>
      <c r="O16" s="68">
        <f t="shared" si="57"/>
        <v>44</v>
      </c>
      <c r="P16" s="10">
        <v>12</v>
      </c>
      <c r="Q16" s="160">
        <v>14987</v>
      </c>
      <c r="R16" s="273">
        <v>1.01</v>
      </c>
      <c r="S16" s="275">
        <f t="shared" si="58"/>
        <v>15137</v>
      </c>
      <c r="T16" s="117">
        <v>1.302</v>
      </c>
      <c r="U16" s="119">
        <f t="shared" si="0"/>
        <v>1.47617</v>
      </c>
      <c r="V16" s="118">
        <v>0</v>
      </c>
      <c r="W16" s="119">
        <f t="shared" si="1"/>
        <v>0.29274</v>
      </c>
      <c r="X16" s="119">
        <f t="shared" si="1"/>
        <v>0.45841999999999999</v>
      </c>
      <c r="Y16" s="118">
        <v>0</v>
      </c>
      <c r="Z16" s="119">
        <f t="shared" si="59"/>
        <v>2.31</v>
      </c>
      <c r="AA16" s="119">
        <f t="shared" si="2"/>
        <v>1.1776</v>
      </c>
      <c r="AB16" s="119">
        <f t="shared" si="2"/>
        <v>1.1232899999999999</v>
      </c>
      <c r="AC16" s="119">
        <f t="shared" si="60"/>
        <v>1.74773</v>
      </c>
      <c r="AD16" s="122">
        <f t="shared" si="3"/>
        <v>8.1689999999999999E-2</v>
      </c>
      <c r="AE16" s="123">
        <f t="shared" ref="AE16:AE22" si="126">C16*J16+F16*J16</f>
        <v>4433848</v>
      </c>
      <c r="AF16" s="162">
        <v>47584.6</v>
      </c>
      <c r="AG16" s="139">
        <f t="shared" si="4"/>
        <v>25239.81</v>
      </c>
      <c r="AH16" s="143">
        <f t="shared" si="5"/>
        <v>4.5435290000000004</v>
      </c>
      <c r="AI16" s="123">
        <f t="shared" si="61"/>
        <v>1791726</v>
      </c>
      <c r="AJ16" s="154">
        <f t="shared" si="62"/>
        <v>51</v>
      </c>
      <c r="AK16" s="141">
        <f t="shared" si="63"/>
        <v>1.74529</v>
      </c>
      <c r="AM16" s="136">
        <f t="shared" si="64"/>
        <v>95.87</v>
      </c>
      <c r="AN16" s="136">
        <f t="shared" si="65"/>
        <v>42.87</v>
      </c>
      <c r="AO16" s="136">
        <f t="shared" si="66"/>
        <v>20.48</v>
      </c>
      <c r="AP16" s="136">
        <f t="shared" ref="AP16:AP26" si="127">AN16-AO16</f>
        <v>22.39</v>
      </c>
      <c r="AQ16" s="136">
        <f t="shared" si="67"/>
        <v>2.11</v>
      </c>
      <c r="AR16" s="69">
        <v>76.900000000000006</v>
      </c>
      <c r="AS16" s="67">
        <v>800</v>
      </c>
      <c r="AT16" s="68">
        <f t="shared" si="68"/>
        <v>61520</v>
      </c>
      <c r="AU16" s="380">
        <f>'1.4. часы и места для МЗ и СЗ'!Z64</f>
        <v>42192</v>
      </c>
      <c r="AV16" s="380">
        <f>'1.4. часы и места для МЗ и СЗ'!AA64</f>
        <v>546</v>
      </c>
      <c r="AW16" s="380">
        <f>'1.4. часы и места для МЗ и СЗ'!AB64</f>
        <v>15</v>
      </c>
      <c r="AX16" s="380">
        <f>'1.4. часы и места для МЗ и СЗ'!AC64</f>
        <v>36</v>
      </c>
      <c r="AY16" s="381">
        <f>'1.4. часы и места для МЗ и СЗ'!AD64</f>
        <v>1.93</v>
      </c>
      <c r="AZ16" s="68">
        <f t="shared" si="69"/>
        <v>53</v>
      </c>
      <c r="BA16" s="10">
        <v>12</v>
      </c>
      <c r="BB16" s="384">
        <f t="shared" si="6"/>
        <v>14987</v>
      </c>
      <c r="BC16" s="388">
        <f t="shared" si="7"/>
        <v>1.01</v>
      </c>
      <c r="BD16" s="275">
        <f t="shared" si="70"/>
        <v>15137</v>
      </c>
      <c r="BE16" s="117">
        <v>1.302</v>
      </c>
      <c r="BF16" s="119">
        <f t="shared" si="8"/>
        <v>1.38046</v>
      </c>
      <c r="BG16" s="118">
        <v>0</v>
      </c>
      <c r="BH16" s="119">
        <f t="shared" si="9"/>
        <v>0.43123</v>
      </c>
      <c r="BI16" s="119">
        <f t="shared" si="9"/>
        <v>0.66134000000000004</v>
      </c>
      <c r="BJ16" s="118">
        <v>0</v>
      </c>
      <c r="BK16" s="119">
        <f t="shared" si="71"/>
        <v>2</v>
      </c>
      <c r="BL16" s="119">
        <f t="shared" si="10"/>
        <v>1.2245299999999999</v>
      </c>
      <c r="BM16" s="119">
        <f t="shared" si="10"/>
        <v>1.1232899999999999</v>
      </c>
      <c r="BN16" s="119">
        <f t="shared" si="72"/>
        <v>1.4509399999999999</v>
      </c>
      <c r="BO16" s="122">
        <f t="shared" si="11"/>
        <v>0.10316</v>
      </c>
      <c r="BP16" s="123">
        <f t="shared" ref="BP16:BP22" si="128">AN16*AU16+AQ16*AU16</f>
        <v>1897796</v>
      </c>
      <c r="BQ16" s="387">
        <f t="shared" si="12"/>
        <v>47584.6</v>
      </c>
      <c r="BR16" s="139">
        <f t="shared" si="13"/>
        <v>26688.58</v>
      </c>
      <c r="BS16" s="143">
        <f t="shared" si="14"/>
        <v>5.3246640000000003</v>
      </c>
      <c r="BT16" s="123">
        <f t="shared" si="73"/>
        <v>2220291</v>
      </c>
      <c r="BU16" s="154">
        <f t="shared" si="74"/>
        <v>53</v>
      </c>
      <c r="BV16" s="141">
        <f t="shared" si="75"/>
        <v>3.5878899999999998</v>
      </c>
      <c r="BX16" s="136">
        <f t="shared" si="76"/>
        <v>113.07</v>
      </c>
      <c r="BY16" s="136">
        <f t="shared" si="77"/>
        <v>64.069999999999993</v>
      </c>
      <c r="BZ16" s="136">
        <f t="shared" si="78"/>
        <v>32.11</v>
      </c>
      <c r="CA16" s="136">
        <f t="shared" ref="CA16:CA26" si="129">BY16-BZ16</f>
        <v>31.96</v>
      </c>
      <c r="CB16" s="136">
        <f t="shared" si="79"/>
        <v>10.31</v>
      </c>
      <c r="CC16" s="69">
        <v>76.900000000000006</v>
      </c>
      <c r="CD16" s="67">
        <v>800</v>
      </c>
      <c r="CE16" s="68">
        <f t="shared" si="80"/>
        <v>61520</v>
      </c>
      <c r="CF16" s="380">
        <f>'1.4. часы и места для МЗ и СЗ'!Z77</f>
        <v>18360</v>
      </c>
      <c r="CG16" s="380">
        <f>'1.4. часы и места для МЗ и СЗ'!AA77</f>
        <v>123</v>
      </c>
      <c r="CH16" s="380">
        <f>'1.4. часы и места для МЗ и СЗ'!AB77</f>
        <v>5</v>
      </c>
      <c r="CI16" s="380">
        <f>'1.4. часы и места для МЗ и СЗ'!AC77</f>
        <v>36</v>
      </c>
      <c r="CJ16" s="381">
        <f>'1.4. часы и места для МЗ и СЗ'!AD77</f>
        <v>1.1599999999999999</v>
      </c>
      <c r="CK16" s="68">
        <f t="shared" si="81"/>
        <v>23</v>
      </c>
      <c r="CL16" s="10">
        <v>12</v>
      </c>
      <c r="CM16" s="384">
        <f t="shared" si="15"/>
        <v>14987</v>
      </c>
      <c r="CN16" s="388">
        <f t="shared" si="16"/>
        <v>1.01</v>
      </c>
      <c r="CO16" s="275">
        <f t="shared" si="82"/>
        <v>15137</v>
      </c>
      <c r="CP16" s="117">
        <v>1.302</v>
      </c>
      <c r="CQ16" s="119">
        <f t="shared" si="17"/>
        <v>1.34843</v>
      </c>
      <c r="CR16" s="118">
        <v>0</v>
      </c>
      <c r="CS16" s="119">
        <f t="shared" si="18"/>
        <v>0.33637</v>
      </c>
      <c r="CT16" s="119">
        <f t="shared" si="18"/>
        <v>0.65883000000000003</v>
      </c>
      <c r="CU16" s="118">
        <v>0</v>
      </c>
      <c r="CV16" s="119">
        <f t="shared" si="83"/>
        <v>5.34</v>
      </c>
      <c r="CW16" s="119">
        <f t="shared" si="19"/>
        <v>1.4220999999999999</v>
      </c>
      <c r="CX16" s="119">
        <f t="shared" si="19"/>
        <v>1.1232899999999999</v>
      </c>
      <c r="CY16" s="119">
        <f t="shared" si="84"/>
        <v>3.34348</v>
      </c>
      <c r="CZ16" s="122">
        <f t="shared" si="20"/>
        <v>0.32107000000000002</v>
      </c>
      <c r="DA16" s="123">
        <f t="shared" ref="DA16:DA22" si="130">BY16*CF16+CB16*CF16</f>
        <v>1365617</v>
      </c>
      <c r="DB16" s="387">
        <f t="shared" si="21"/>
        <v>47584.6</v>
      </c>
      <c r="DC16" s="139">
        <f t="shared" si="22"/>
        <v>27173.42</v>
      </c>
      <c r="DD16" s="143">
        <f t="shared" si="23"/>
        <v>2.1336659999999998</v>
      </c>
      <c r="DE16" s="123">
        <f t="shared" si="85"/>
        <v>905864</v>
      </c>
      <c r="DF16" s="154">
        <f t="shared" si="86"/>
        <v>49</v>
      </c>
      <c r="DG16" s="141">
        <f t="shared" si="87"/>
        <v>2.5259999999999998</v>
      </c>
      <c r="DI16" s="136">
        <f t="shared" si="88"/>
        <v>0</v>
      </c>
      <c r="DJ16" s="136">
        <f t="shared" si="89"/>
        <v>0</v>
      </c>
      <c r="DK16" s="136">
        <f t="shared" si="90"/>
        <v>0</v>
      </c>
      <c r="DL16" s="136">
        <f t="shared" ref="DL16:DL26" si="131">DJ16-DK16</f>
        <v>0</v>
      </c>
      <c r="DM16" s="136">
        <f t="shared" si="91"/>
        <v>0</v>
      </c>
      <c r="DN16" s="69">
        <v>76.900000000000006</v>
      </c>
      <c r="DO16" s="67">
        <v>800</v>
      </c>
      <c r="DP16" s="68">
        <f t="shared" si="92"/>
        <v>61520</v>
      </c>
      <c r="DQ16" s="380">
        <f>'1.4. часы и места для МЗ и СЗ'!Z38</f>
        <v>0</v>
      </c>
      <c r="DR16" s="380">
        <f>'1.4. часы и места для МЗ и СЗ'!AA38</f>
        <v>0</v>
      </c>
      <c r="DS16" s="380">
        <f>'1.4. часы и места для МЗ и СЗ'!AB38</f>
        <v>0</v>
      </c>
      <c r="DT16" s="380">
        <f>'1.4. часы и места для МЗ и СЗ'!AC38</f>
        <v>36</v>
      </c>
      <c r="DU16" s="381">
        <f>'1.4. часы и места для МЗ и СЗ'!AD38</f>
        <v>0</v>
      </c>
      <c r="DV16" s="68">
        <f t="shared" si="93"/>
        <v>0</v>
      </c>
      <c r="DW16" s="10">
        <v>12</v>
      </c>
      <c r="DX16" s="384">
        <f t="shared" si="24"/>
        <v>14987</v>
      </c>
      <c r="DY16" s="388">
        <f t="shared" si="25"/>
        <v>1.01</v>
      </c>
      <c r="DZ16" s="275">
        <f t="shared" si="94"/>
        <v>15137</v>
      </c>
      <c r="EA16" s="117">
        <v>1.302</v>
      </c>
      <c r="EB16" s="119">
        <f t="shared" si="26"/>
        <v>1.35737</v>
      </c>
      <c r="EC16" s="118">
        <v>0</v>
      </c>
      <c r="ED16" s="119">
        <f t="shared" si="27"/>
        <v>0.22051999999999999</v>
      </c>
      <c r="EE16" s="119">
        <f t="shared" si="27"/>
        <v>0.73350000000000004</v>
      </c>
      <c r="EF16" s="118">
        <v>0</v>
      </c>
      <c r="EG16" s="119">
        <f t="shared" si="95"/>
        <v>0</v>
      </c>
      <c r="EH16" s="119">
        <f t="shared" si="28"/>
        <v>1.2033499999999999</v>
      </c>
      <c r="EI16" s="119">
        <f t="shared" si="28"/>
        <v>1.1232899999999999</v>
      </c>
      <c r="EJ16" s="119">
        <f t="shared" si="96"/>
        <v>0</v>
      </c>
      <c r="EK16" s="122">
        <f t="shared" si="29"/>
        <v>0.17288999999999999</v>
      </c>
      <c r="EL16" s="123">
        <f t="shared" ref="EL16:EL22" si="132">DJ16*DQ16+DM16*DQ16</f>
        <v>0</v>
      </c>
      <c r="EM16" s="387">
        <f t="shared" si="30"/>
        <v>47584.6</v>
      </c>
      <c r="EN16" s="139">
        <f t="shared" si="31"/>
        <v>27038.09</v>
      </c>
      <c r="EO16" s="143">
        <f t="shared" si="32"/>
        <v>0</v>
      </c>
      <c r="EP16" s="123">
        <f t="shared" si="97"/>
        <v>0</v>
      </c>
      <c r="EQ16" s="154">
        <f t="shared" si="98"/>
        <v>0</v>
      </c>
      <c r="ER16" s="141">
        <f t="shared" si="99"/>
        <v>0</v>
      </c>
      <c r="ET16" s="136">
        <f t="shared" si="100"/>
        <v>0</v>
      </c>
      <c r="EU16" s="136">
        <f t="shared" si="101"/>
        <v>0</v>
      </c>
      <c r="EV16" s="136">
        <f t="shared" si="102"/>
        <v>0</v>
      </c>
      <c r="EW16" s="136">
        <f t="shared" ref="EW16:EW26" si="133">EU16-EV16</f>
        <v>0</v>
      </c>
      <c r="EX16" s="136">
        <f t="shared" si="103"/>
        <v>0</v>
      </c>
      <c r="EY16" s="69">
        <v>76.900000000000006</v>
      </c>
      <c r="EZ16" s="67">
        <v>800</v>
      </c>
      <c r="FA16" s="68">
        <f t="shared" si="104"/>
        <v>61520</v>
      </c>
      <c r="FB16" s="380">
        <f>'1.4. часы и места для МЗ и СЗ'!Z51</f>
        <v>0</v>
      </c>
      <c r="FC16" s="380">
        <f>'1.4. часы и места для МЗ и СЗ'!AA51</f>
        <v>0</v>
      </c>
      <c r="FD16" s="380">
        <f>'1.4. часы и места для МЗ и СЗ'!AB51</f>
        <v>0</v>
      </c>
      <c r="FE16" s="380">
        <f>'1.4. часы и места для МЗ и СЗ'!AC51</f>
        <v>36</v>
      </c>
      <c r="FF16" s="381">
        <f>'1.4. часы и места для МЗ и СЗ'!AD51</f>
        <v>0</v>
      </c>
      <c r="FG16" s="68">
        <f t="shared" si="105"/>
        <v>0</v>
      </c>
      <c r="FH16" s="10">
        <v>12</v>
      </c>
      <c r="FI16" s="384">
        <f t="shared" si="33"/>
        <v>14987</v>
      </c>
      <c r="FJ16" s="388">
        <f t="shared" si="34"/>
        <v>1.01</v>
      </c>
      <c r="FK16" s="275">
        <f t="shared" si="106"/>
        <v>15137</v>
      </c>
      <c r="FL16" s="117">
        <v>1.302</v>
      </c>
      <c r="FM16" s="119">
        <f t="shared" si="35"/>
        <v>1.32193</v>
      </c>
      <c r="FN16" s="118">
        <v>0</v>
      </c>
      <c r="FO16" s="119">
        <f t="shared" si="36"/>
        <v>0.21695999999999999</v>
      </c>
      <c r="FP16" s="119">
        <f t="shared" si="36"/>
        <v>0.97809999999999997</v>
      </c>
      <c r="FQ16" s="118">
        <v>0</v>
      </c>
      <c r="FR16" s="119">
        <f t="shared" si="107"/>
        <v>0</v>
      </c>
      <c r="FS16" s="119">
        <f t="shared" si="37"/>
        <v>1.0935600000000001</v>
      </c>
      <c r="FT16" s="119">
        <f t="shared" si="37"/>
        <v>1.1232899999999999</v>
      </c>
      <c r="FU16" s="119">
        <f t="shared" si="108"/>
        <v>0</v>
      </c>
      <c r="FV16" s="122">
        <f t="shared" si="38"/>
        <v>0</v>
      </c>
      <c r="FW16" s="123">
        <f t="shared" ref="FW16:FW22" si="134">EU16*FB16+EX16*FB16</f>
        <v>0</v>
      </c>
      <c r="FX16" s="387">
        <f t="shared" si="39"/>
        <v>47584.6</v>
      </c>
      <c r="FY16" s="139">
        <f t="shared" si="40"/>
        <v>27574.55</v>
      </c>
      <c r="FZ16" s="143">
        <f t="shared" si="41"/>
        <v>0</v>
      </c>
      <c r="GA16" s="123">
        <f t="shared" si="109"/>
        <v>0</v>
      </c>
      <c r="GB16" s="154">
        <f t="shared" si="110"/>
        <v>0</v>
      </c>
      <c r="GC16" s="141">
        <f t="shared" si="111"/>
        <v>0</v>
      </c>
      <c r="GE16" s="136">
        <f t="shared" si="112"/>
        <v>123.08</v>
      </c>
      <c r="GF16" s="136">
        <f t="shared" si="113"/>
        <v>77.08</v>
      </c>
      <c r="GG16" s="136">
        <f t="shared" si="114"/>
        <v>39.99</v>
      </c>
      <c r="GH16" s="136">
        <f t="shared" ref="GH16:GH26" si="135">GF16-GG16</f>
        <v>37.090000000000003</v>
      </c>
      <c r="GI16" s="136">
        <f t="shared" si="115"/>
        <v>5.51</v>
      </c>
      <c r="GJ16" s="69">
        <v>76.900000000000006</v>
      </c>
      <c r="GK16" s="67">
        <v>800</v>
      </c>
      <c r="GL16" s="68">
        <f t="shared" si="116"/>
        <v>61520</v>
      </c>
      <c r="GM16" s="228">
        <f t="shared" ref="GM16:GO22" si="136">J16+AU16+CF16+DQ16+FB16</f>
        <v>95904</v>
      </c>
      <c r="GN16" s="228">
        <f t="shared" si="136"/>
        <v>958</v>
      </c>
      <c r="GO16" s="228">
        <f t="shared" si="136"/>
        <v>42</v>
      </c>
      <c r="GP16" s="159" t="s">
        <v>471</v>
      </c>
      <c r="GQ16" s="230">
        <f t="shared" ref="GQ16:GQ22" si="137">N16+AY16+CJ16+DU16+FF16</f>
        <v>8.31</v>
      </c>
      <c r="GR16" s="68">
        <f t="shared" si="117"/>
        <v>120</v>
      </c>
      <c r="GS16" s="10">
        <v>12</v>
      </c>
      <c r="GT16" s="384">
        <f t="shared" si="43"/>
        <v>14987</v>
      </c>
      <c r="GU16" s="388">
        <f t="shared" si="44"/>
        <v>1.01</v>
      </c>
      <c r="GV16" s="275">
        <f t="shared" si="118"/>
        <v>15137</v>
      </c>
      <c r="GW16" s="117">
        <v>1.302</v>
      </c>
      <c r="GX16" s="119">
        <f t="shared" si="45"/>
        <v>1.4064300000000001</v>
      </c>
      <c r="GY16" s="118">
        <v>0</v>
      </c>
      <c r="GZ16" s="119">
        <f t="shared" si="46"/>
        <v>0.32916000000000001</v>
      </c>
      <c r="HA16" s="119">
        <f t="shared" si="46"/>
        <v>0.59841999999999995</v>
      </c>
      <c r="HB16" s="118">
        <v>0</v>
      </c>
      <c r="HC16" s="119">
        <f t="shared" si="119"/>
        <v>0.89</v>
      </c>
      <c r="HD16" s="119">
        <f t="shared" si="47"/>
        <v>1.24295</v>
      </c>
      <c r="HE16" s="119">
        <f t="shared" si="47"/>
        <v>1.1232899999999999</v>
      </c>
      <c r="HF16" s="119">
        <f t="shared" si="120"/>
        <v>0.64083000000000001</v>
      </c>
      <c r="HG16" s="122">
        <f t="shared" si="48"/>
        <v>0.13783999999999999</v>
      </c>
      <c r="HH16" s="123">
        <f t="shared" ref="HH16:HH22" si="138">GF16*GM16+GI16*GM16</f>
        <v>7920711</v>
      </c>
      <c r="HI16" s="387">
        <f t="shared" si="49"/>
        <v>47584.6</v>
      </c>
      <c r="HJ16" s="139">
        <f t="shared" si="50"/>
        <v>26295.47</v>
      </c>
      <c r="HK16" s="143">
        <f t="shared" si="51"/>
        <v>10.720132</v>
      </c>
      <c r="HL16" s="123">
        <f t="shared" si="121"/>
        <v>4404264</v>
      </c>
      <c r="HM16" s="154">
        <f t="shared" si="122"/>
        <v>46</v>
      </c>
      <c r="HN16" s="141">
        <f t="shared" si="123"/>
        <v>2.15029</v>
      </c>
      <c r="HP16" s="152">
        <f t="shared" si="124"/>
        <v>149.58000000000001</v>
      </c>
    </row>
    <row r="17" spans="1:224" ht="24" x14ac:dyDescent="0.25">
      <c r="A17" s="12" t="s">
        <v>410</v>
      </c>
      <c r="B17" s="136">
        <f t="shared" si="52"/>
        <v>0</v>
      </c>
      <c r="C17" s="136">
        <f t="shared" si="53"/>
        <v>0</v>
      </c>
      <c r="D17" s="136">
        <f t="shared" si="54"/>
        <v>0</v>
      </c>
      <c r="E17" s="136">
        <f t="shared" si="125"/>
        <v>0</v>
      </c>
      <c r="F17" s="136">
        <f t="shared" si="55"/>
        <v>0</v>
      </c>
      <c r="G17" s="69">
        <v>76.900000000000006</v>
      </c>
      <c r="H17" s="67">
        <v>800</v>
      </c>
      <c r="I17" s="68">
        <f t="shared" si="56"/>
        <v>61520</v>
      </c>
      <c r="J17" s="380"/>
      <c r="K17" s="380"/>
      <c r="L17" s="380"/>
      <c r="M17" s="380"/>
      <c r="N17" s="381"/>
      <c r="O17" s="68">
        <f t="shared" si="57"/>
        <v>0</v>
      </c>
      <c r="P17" s="10">
        <v>12</v>
      </c>
      <c r="Q17" s="160">
        <v>14987</v>
      </c>
      <c r="R17" s="273">
        <v>1.01</v>
      </c>
      <c r="S17" s="275">
        <f t="shared" si="58"/>
        <v>15137</v>
      </c>
      <c r="T17" s="117">
        <v>1.302</v>
      </c>
      <c r="U17" s="119">
        <f t="shared" si="0"/>
        <v>1.47617</v>
      </c>
      <c r="V17" s="118">
        <v>0</v>
      </c>
      <c r="W17" s="119">
        <f t="shared" si="1"/>
        <v>0.29274</v>
      </c>
      <c r="X17" s="119">
        <f t="shared" si="1"/>
        <v>0.45841999999999999</v>
      </c>
      <c r="Y17" s="118">
        <v>0</v>
      </c>
      <c r="Z17" s="119">
        <f t="shared" si="59"/>
        <v>0</v>
      </c>
      <c r="AA17" s="119">
        <f t="shared" si="2"/>
        <v>1.1776</v>
      </c>
      <c r="AB17" s="119">
        <f t="shared" si="2"/>
        <v>1.1232899999999999</v>
      </c>
      <c r="AC17" s="119">
        <f t="shared" si="60"/>
        <v>0</v>
      </c>
      <c r="AD17" s="122">
        <f t="shared" si="3"/>
        <v>8.1689999999999999E-2</v>
      </c>
      <c r="AE17" s="123">
        <f t="shared" si="126"/>
        <v>0</v>
      </c>
      <c r="AF17" s="162">
        <v>47584.6</v>
      </c>
      <c r="AG17" s="139">
        <f t="shared" si="4"/>
        <v>25239.81</v>
      </c>
      <c r="AH17" s="143">
        <f t="shared" si="5"/>
        <v>0</v>
      </c>
      <c r="AI17" s="123">
        <f t="shared" si="61"/>
        <v>0</v>
      </c>
      <c r="AJ17" s="154">
        <f t="shared" si="62"/>
        <v>0</v>
      </c>
      <c r="AK17" s="141">
        <f t="shared" si="63"/>
        <v>0</v>
      </c>
      <c r="AM17" s="136">
        <f t="shared" si="64"/>
        <v>0</v>
      </c>
      <c r="AN17" s="136">
        <f t="shared" si="65"/>
        <v>0</v>
      </c>
      <c r="AO17" s="136">
        <f t="shared" si="66"/>
        <v>0</v>
      </c>
      <c r="AP17" s="136">
        <f t="shared" si="127"/>
        <v>0</v>
      </c>
      <c r="AQ17" s="136">
        <f t="shared" si="67"/>
        <v>0</v>
      </c>
      <c r="AR17" s="69">
        <v>76.900000000000006</v>
      </c>
      <c r="AS17" s="67">
        <v>800</v>
      </c>
      <c r="AT17" s="68">
        <f t="shared" si="68"/>
        <v>61520</v>
      </c>
      <c r="AU17" s="380"/>
      <c r="AV17" s="380"/>
      <c r="AW17" s="380"/>
      <c r="AX17" s="380"/>
      <c r="AY17" s="381"/>
      <c r="AZ17" s="68">
        <f t="shared" si="69"/>
        <v>0</v>
      </c>
      <c r="BA17" s="10">
        <v>12</v>
      </c>
      <c r="BB17" s="384">
        <f t="shared" si="6"/>
        <v>14987</v>
      </c>
      <c r="BC17" s="388">
        <f t="shared" si="7"/>
        <v>1.01</v>
      </c>
      <c r="BD17" s="275">
        <f t="shared" si="70"/>
        <v>15137</v>
      </c>
      <c r="BE17" s="117">
        <v>1.302</v>
      </c>
      <c r="BF17" s="119">
        <f t="shared" si="8"/>
        <v>1.38046</v>
      </c>
      <c r="BG17" s="118">
        <v>0</v>
      </c>
      <c r="BH17" s="119">
        <f t="shared" si="9"/>
        <v>0.43123</v>
      </c>
      <c r="BI17" s="119">
        <f t="shared" si="9"/>
        <v>0.66134000000000004</v>
      </c>
      <c r="BJ17" s="118">
        <v>0</v>
      </c>
      <c r="BK17" s="119">
        <f t="shared" si="71"/>
        <v>0</v>
      </c>
      <c r="BL17" s="119">
        <f t="shared" si="10"/>
        <v>1.2245299999999999</v>
      </c>
      <c r="BM17" s="119">
        <f t="shared" si="10"/>
        <v>1.1232899999999999</v>
      </c>
      <c r="BN17" s="119">
        <f t="shared" si="72"/>
        <v>0</v>
      </c>
      <c r="BO17" s="122">
        <f t="shared" si="11"/>
        <v>0.10316</v>
      </c>
      <c r="BP17" s="123">
        <f t="shared" si="128"/>
        <v>0</v>
      </c>
      <c r="BQ17" s="387">
        <f t="shared" si="12"/>
        <v>47584.6</v>
      </c>
      <c r="BR17" s="139">
        <f t="shared" si="13"/>
        <v>26688.58</v>
      </c>
      <c r="BS17" s="143">
        <f t="shared" si="14"/>
        <v>0</v>
      </c>
      <c r="BT17" s="123">
        <f t="shared" si="73"/>
        <v>0</v>
      </c>
      <c r="BU17" s="154">
        <f t="shared" si="74"/>
        <v>0</v>
      </c>
      <c r="BV17" s="141">
        <f t="shared" si="75"/>
        <v>0</v>
      </c>
      <c r="BX17" s="136">
        <f t="shared" si="76"/>
        <v>0</v>
      </c>
      <c r="BY17" s="136">
        <f t="shared" si="77"/>
        <v>0</v>
      </c>
      <c r="BZ17" s="136">
        <f t="shared" si="78"/>
        <v>0</v>
      </c>
      <c r="CA17" s="136">
        <f t="shared" si="129"/>
        <v>0</v>
      </c>
      <c r="CB17" s="136">
        <f t="shared" si="79"/>
        <v>0</v>
      </c>
      <c r="CC17" s="69">
        <v>76.900000000000006</v>
      </c>
      <c r="CD17" s="67">
        <v>800</v>
      </c>
      <c r="CE17" s="68">
        <f t="shared" si="80"/>
        <v>61520</v>
      </c>
      <c r="CF17" s="380"/>
      <c r="CG17" s="380"/>
      <c r="CH17" s="380"/>
      <c r="CI17" s="380"/>
      <c r="CJ17" s="381"/>
      <c r="CK17" s="68">
        <f t="shared" si="81"/>
        <v>0</v>
      </c>
      <c r="CL17" s="10">
        <v>12</v>
      </c>
      <c r="CM17" s="384">
        <f t="shared" si="15"/>
        <v>14987</v>
      </c>
      <c r="CN17" s="388">
        <f t="shared" si="16"/>
        <v>1.01</v>
      </c>
      <c r="CO17" s="275">
        <f t="shared" si="82"/>
        <v>15137</v>
      </c>
      <c r="CP17" s="117">
        <v>1.302</v>
      </c>
      <c r="CQ17" s="119">
        <f t="shared" si="17"/>
        <v>1.34843</v>
      </c>
      <c r="CR17" s="118">
        <v>0</v>
      </c>
      <c r="CS17" s="119">
        <f t="shared" si="18"/>
        <v>0.33637</v>
      </c>
      <c r="CT17" s="119">
        <f t="shared" si="18"/>
        <v>0.65883000000000003</v>
      </c>
      <c r="CU17" s="118">
        <v>0</v>
      </c>
      <c r="CV17" s="119">
        <f t="shared" si="83"/>
        <v>0</v>
      </c>
      <c r="CW17" s="119">
        <f t="shared" si="19"/>
        <v>1.4220999999999999</v>
      </c>
      <c r="CX17" s="119">
        <f t="shared" si="19"/>
        <v>1.1232899999999999</v>
      </c>
      <c r="CY17" s="119">
        <f t="shared" si="84"/>
        <v>0</v>
      </c>
      <c r="CZ17" s="122">
        <f t="shared" si="20"/>
        <v>0.32107000000000002</v>
      </c>
      <c r="DA17" s="123">
        <f t="shared" si="130"/>
        <v>0</v>
      </c>
      <c r="DB17" s="387">
        <f t="shared" si="21"/>
        <v>47584.6</v>
      </c>
      <c r="DC17" s="139">
        <f t="shared" si="22"/>
        <v>27173.42</v>
      </c>
      <c r="DD17" s="143">
        <f t="shared" si="23"/>
        <v>0</v>
      </c>
      <c r="DE17" s="123">
        <f t="shared" si="85"/>
        <v>0</v>
      </c>
      <c r="DF17" s="154">
        <f t="shared" si="86"/>
        <v>0</v>
      </c>
      <c r="DG17" s="141">
        <f t="shared" si="87"/>
        <v>0</v>
      </c>
      <c r="DI17" s="136">
        <f t="shared" si="88"/>
        <v>0</v>
      </c>
      <c r="DJ17" s="136">
        <f t="shared" si="89"/>
        <v>0</v>
      </c>
      <c r="DK17" s="136">
        <f t="shared" si="90"/>
        <v>0</v>
      </c>
      <c r="DL17" s="136">
        <f t="shared" si="131"/>
        <v>0</v>
      </c>
      <c r="DM17" s="136">
        <f t="shared" si="91"/>
        <v>0</v>
      </c>
      <c r="DN17" s="69">
        <v>76.900000000000006</v>
      </c>
      <c r="DO17" s="67">
        <v>800</v>
      </c>
      <c r="DP17" s="68">
        <f t="shared" si="92"/>
        <v>61520</v>
      </c>
      <c r="DQ17" s="380"/>
      <c r="DR17" s="380"/>
      <c r="DS17" s="380"/>
      <c r="DT17" s="380"/>
      <c r="DU17" s="381"/>
      <c r="DV17" s="68">
        <f t="shared" si="93"/>
        <v>0</v>
      </c>
      <c r="DW17" s="10">
        <v>12</v>
      </c>
      <c r="DX17" s="384">
        <f t="shared" si="24"/>
        <v>14987</v>
      </c>
      <c r="DY17" s="388">
        <f t="shared" si="25"/>
        <v>1.01</v>
      </c>
      <c r="DZ17" s="275">
        <f t="shared" si="94"/>
        <v>15137</v>
      </c>
      <c r="EA17" s="117">
        <v>1.302</v>
      </c>
      <c r="EB17" s="119">
        <f t="shared" si="26"/>
        <v>1.35737</v>
      </c>
      <c r="EC17" s="118">
        <v>0</v>
      </c>
      <c r="ED17" s="119">
        <f t="shared" si="27"/>
        <v>0.22051999999999999</v>
      </c>
      <c r="EE17" s="119">
        <f t="shared" si="27"/>
        <v>0.73350000000000004</v>
      </c>
      <c r="EF17" s="118">
        <v>0</v>
      </c>
      <c r="EG17" s="119">
        <f t="shared" si="95"/>
        <v>0</v>
      </c>
      <c r="EH17" s="119">
        <f t="shared" si="28"/>
        <v>1.2033499999999999</v>
      </c>
      <c r="EI17" s="119">
        <f t="shared" si="28"/>
        <v>1.1232899999999999</v>
      </c>
      <c r="EJ17" s="119">
        <f t="shared" si="96"/>
        <v>0</v>
      </c>
      <c r="EK17" s="122">
        <f t="shared" si="29"/>
        <v>0.17288999999999999</v>
      </c>
      <c r="EL17" s="123">
        <f t="shared" si="132"/>
        <v>0</v>
      </c>
      <c r="EM17" s="387">
        <f t="shared" si="30"/>
        <v>47584.6</v>
      </c>
      <c r="EN17" s="139">
        <f t="shared" si="31"/>
        <v>27038.09</v>
      </c>
      <c r="EO17" s="143">
        <f t="shared" si="32"/>
        <v>0</v>
      </c>
      <c r="EP17" s="123">
        <f t="shared" si="97"/>
        <v>0</v>
      </c>
      <c r="EQ17" s="154">
        <f t="shared" si="98"/>
        <v>0</v>
      </c>
      <c r="ER17" s="141">
        <f t="shared" si="99"/>
        <v>0</v>
      </c>
      <c r="ET17" s="136">
        <f t="shared" si="100"/>
        <v>0</v>
      </c>
      <c r="EU17" s="136">
        <f t="shared" si="101"/>
        <v>0</v>
      </c>
      <c r="EV17" s="136">
        <f t="shared" si="102"/>
        <v>0</v>
      </c>
      <c r="EW17" s="136">
        <f t="shared" si="133"/>
        <v>0</v>
      </c>
      <c r="EX17" s="136">
        <f t="shared" si="103"/>
        <v>0</v>
      </c>
      <c r="EY17" s="69">
        <v>76.900000000000006</v>
      </c>
      <c r="EZ17" s="67">
        <v>800</v>
      </c>
      <c r="FA17" s="68">
        <f t="shared" si="104"/>
        <v>61520</v>
      </c>
      <c r="FB17" s="380"/>
      <c r="FC17" s="380"/>
      <c r="FD17" s="380"/>
      <c r="FE17" s="380"/>
      <c r="FF17" s="381"/>
      <c r="FG17" s="68">
        <f t="shared" si="105"/>
        <v>0</v>
      </c>
      <c r="FH17" s="10">
        <v>12</v>
      </c>
      <c r="FI17" s="384">
        <f t="shared" si="33"/>
        <v>14987</v>
      </c>
      <c r="FJ17" s="388">
        <f t="shared" si="34"/>
        <v>1.01</v>
      </c>
      <c r="FK17" s="275">
        <f t="shared" si="106"/>
        <v>15137</v>
      </c>
      <c r="FL17" s="117">
        <v>1.302</v>
      </c>
      <c r="FM17" s="119">
        <f t="shared" si="35"/>
        <v>1.32193</v>
      </c>
      <c r="FN17" s="118">
        <v>0</v>
      </c>
      <c r="FO17" s="119">
        <f t="shared" si="36"/>
        <v>0.21695999999999999</v>
      </c>
      <c r="FP17" s="119">
        <f t="shared" si="36"/>
        <v>0.97809999999999997</v>
      </c>
      <c r="FQ17" s="118">
        <v>0</v>
      </c>
      <c r="FR17" s="119">
        <f t="shared" si="107"/>
        <v>0</v>
      </c>
      <c r="FS17" s="119">
        <f t="shared" si="37"/>
        <v>1.0935600000000001</v>
      </c>
      <c r="FT17" s="119">
        <f t="shared" si="37"/>
        <v>1.1232899999999999</v>
      </c>
      <c r="FU17" s="119">
        <f t="shared" si="108"/>
        <v>0</v>
      </c>
      <c r="FV17" s="122">
        <f t="shared" si="38"/>
        <v>0</v>
      </c>
      <c r="FW17" s="123">
        <f t="shared" si="134"/>
        <v>0</v>
      </c>
      <c r="FX17" s="387">
        <f t="shared" si="39"/>
        <v>47584.6</v>
      </c>
      <c r="FY17" s="139">
        <f t="shared" si="40"/>
        <v>27574.55</v>
      </c>
      <c r="FZ17" s="143">
        <f t="shared" si="41"/>
        <v>0</v>
      </c>
      <c r="GA17" s="123">
        <f t="shared" si="109"/>
        <v>0</v>
      </c>
      <c r="GB17" s="154">
        <f t="shared" si="110"/>
        <v>0</v>
      </c>
      <c r="GC17" s="141">
        <f t="shared" si="111"/>
        <v>0</v>
      </c>
      <c r="GE17" s="136">
        <f t="shared" si="112"/>
        <v>0</v>
      </c>
      <c r="GF17" s="136">
        <f t="shared" si="113"/>
        <v>0</v>
      </c>
      <c r="GG17" s="136">
        <f t="shared" si="114"/>
        <v>0</v>
      </c>
      <c r="GH17" s="136">
        <f t="shared" si="135"/>
        <v>0</v>
      </c>
      <c r="GI17" s="136">
        <f t="shared" si="115"/>
        <v>0</v>
      </c>
      <c r="GJ17" s="69">
        <v>76.900000000000006</v>
      </c>
      <c r="GK17" s="67">
        <v>800</v>
      </c>
      <c r="GL17" s="68">
        <f t="shared" si="116"/>
        <v>61520</v>
      </c>
      <c r="GM17" s="228">
        <f t="shared" si="136"/>
        <v>0</v>
      </c>
      <c r="GN17" s="228">
        <f t="shared" si="136"/>
        <v>0</v>
      </c>
      <c r="GO17" s="228">
        <f t="shared" si="136"/>
        <v>0</v>
      </c>
      <c r="GP17" s="159" t="s">
        <v>471</v>
      </c>
      <c r="GQ17" s="230">
        <f t="shared" si="137"/>
        <v>0</v>
      </c>
      <c r="GR17" s="68">
        <f t="shared" si="117"/>
        <v>0</v>
      </c>
      <c r="GS17" s="10">
        <v>12</v>
      </c>
      <c r="GT17" s="384">
        <f t="shared" si="43"/>
        <v>14987</v>
      </c>
      <c r="GU17" s="388">
        <f t="shared" si="44"/>
        <v>1.01</v>
      </c>
      <c r="GV17" s="275">
        <f t="shared" si="118"/>
        <v>15137</v>
      </c>
      <c r="GW17" s="117">
        <v>1.302</v>
      </c>
      <c r="GX17" s="119">
        <f t="shared" si="45"/>
        <v>1.4064300000000001</v>
      </c>
      <c r="GY17" s="118">
        <v>0</v>
      </c>
      <c r="GZ17" s="119">
        <f t="shared" si="46"/>
        <v>0.32916000000000001</v>
      </c>
      <c r="HA17" s="119">
        <f t="shared" si="46"/>
        <v>0.59841999999999995</v>
      </c>
      <c r="HB17" s="118">
        <v>0</v>
      </c>
      <c r="HC17" s="119">
        <f t="shared" si="119"/>
        <v>0</v>
      </c>
      <c r="HD17" s="119">
        <f t="shared" si="47"/>
        <v>1.24295</v>
      </c>
      <c r="HE17" s="119">
        <f t="shared" si="47"/>
        <v>1.1232899999999999</v>
      </c>
      <c r="HF17" s="119">
        <f t="shared" si="120"/>
        <v>0</v>
      </c>
      <c r="HG17" s="122">
        <f t="shared" si="48"/>
        <v>0.13783999999999999</v>
      </c>
      <c r="HH17" s="123">
        <f t="shared" si="138"/>
        <v>0</v>
      </c>
      <c r="HI17" s="387">
        <f t="shared" si="49"/>
        <v>47584.6</v>
      </c>
      <c r="HJ17" s="139">
        <f t="shared" si="50"/>
        <v>26295.47</v>
      </c>
      <c r="HK17" s="143">
        <f t="shared" si="51"/>
        <v>0</v>
      </c>
      <c r="HL17" s="123">
        <f t="shared" si="121"/>
        <v>0</v>
      </c>
      <c r="HM17" s="154">
        <f t="shared" si="122"/>
        <v>0</v>
      </c>
      <c r="HN17" s="141">
        <f t="shared" si="123"/>
        <v>0</v>
      </c>
      <c r="HP17" s="152">
        <f t="shared" si="124"/>
        <v>0</v>
      </c>
    </row>
    <row r="18" spans="1:224" ht="24" x14ac:dyDescent="0.25">
      <c r="A18" s="12" t="s">
        <v>805</v>
      </c>
      <c r="B18" s="136">
        <f t="shared" si="52"/>
        <v>0</v>
      </c>
      <c r="C18" s="136">
        <f t="shared" si="53"/>
        <v>0</v>
      </c>
      <c r="D18" s="136">
        <f t="shared" si="54"/>
        <v>0</v>
      </c>
      <c r="E18" s="136">
        <f t="shared" si="125"/>
        <v>0</v>
      </c>
      <c r="F18" s="136">
        <f t="shared" si="55"/>
        <v>0</v>
      </c>
      <c r="G18" s="69">
        <v>76.900000000000006</v>
      </c>
      <c r="H18" s="67">
        <v>800</v>
      </c>
      <c r="I18" s="68">
        <f t="shared" si="56"/>
        <v>61520</v>
      </c>
      <c r="J18" s="380">
        <f>'1.4. часы и места для МЗ и СЗ'!Z26</f>
        <v>0</v>
      </c>
      <c r="K18" s="380">
        <f>'1.4. часы и места для МЗ и СЗ'!AA26</f>
        <v>0</v>
      </c>
      <c r="L18" s="380">
        <f>'1.4. часы и места для МЗ и СЗ'!AB26</f>
        <v>0</v>
      </c>
      <c r="M18" s="380">
        <f>'1.4. часы и места для МЗ и СЗ'!AC26</f>
        <v>44</v>
      </c>
      <c r="N18" s="381">
        <f>'1.4. часы и места для МЗ и СЗ'!AD26</f>
        <v>0</v>
      </c>
      <c r="O18" s="68">
        <f t="shared" si="57"/>
        <v>0</v>
      </c>
      <c r="P18" s="10">
        <v>12</v>
      </c>
      <c r="Q18" s="160">
        <v>14987</v>
      </c>
      <c r="R18" s="273">
        <v>1.01</v>
      </c>
      <c r="S18" s="275">
        <f t="shared" si="58"/>
        <v>15137</v>
      </c>
      <c r="T18" s="117">
        <v>1.302</v>
      </c>
      <c r="U18" s="119">
        <f t="shared" si="0"/>
        <v>1.47617</v>
      </c>
      <c r="V18" s="118">
        <v>0</v>
      </c>
      <c r="W18" s="119">
        <f t="shared" si="1"/>
        <v>0.29274</v>
      </c>
      <c r="X18" s="119">
        <f t="shared" si="1"/>
        <v>0.45841999999999999</v>
      </c>
      <c r="Y18" s="118">
        <v>0</v>
      </c>
      <c r="Z18" s="119">
        <f t="shared" si="59"/>
        <v>0</v>
      </c>
      <c r="AA18" s="119">
        <f t="shared" si="2"/>
        <v>1.1776</v>
      </c>
      <c r="AB18" s="119">
        <f t="shared" si="2"/>
        <v>1.1232899999999999</v>
      </c>
      <c r="AC18" s="119">
        <f t="shared" si="60"/>
        <v>0</v>
      </c>
      <c r="AD18" s="122">
        <f t="shared" si="3"/>
        <v>8.1689999999999999E-2</v>
      </c>
      <c r="AE18" s="123">
        <f t="shared" si="126"/>
        <v>0</v>
      </c>
      <c r="AF18" s="162">
        <v>47584.6</v>
      </c>
      <c r="AG18" s="139">
        <f t="shared" si="4"/>
        <v>25239.81</v>
      </c>
      <c r="AH18" s="143">
        <f t="shared" si="5"/>
        <v>0</v>
      </c>
      <c r="AI18" s="123">
        <f t="shared" si="61"/>
        <v>0</v>
      </c>
      <c r="AJ18" s="154">
        <f t="shared" si="62"/>
        <v>0</v>
      </c>
      <c r="AK18" s="141">
        <f t="shared" si="63"/>
        <v>0</v>
      </c>
      <c r="AM18" s="136">
        <f t="shared" si="64"/>
        <v>94.53</v>
      </c>
      <c r="AN18" s="136">
        <f t="shared" si="65"/>
        <v>41.53</v>
      </c>
      <c r="AO18" s="136">
        <f t="shared" si="66"/>
        <v>19.850000000000001</v>
      </c>
      <c r="AP18" s="136">
        <f t="shared" si="127"/>
        <v>21.68</v>
      </c>
      <c r="AQ18" s="136">
        <f t="shared" si="67"/>
        <v>2.0499999999999998</v>
      </c>
      <c r="AR18" s="69">
        <v>76.900000000000006</v>
      </c>
      <c r="AS18" s="67">
        <v>800</v>
      </c>
      <c r="AT18" s="68">
        <f t="shared" si="68"/>
        <v>61520</v>
      </c>
      <c r="AU18" s="380">
        <f>'1.4. часы и места для МЗ и СЗ'!Z65</f>
        <v>31416</v>
      </c>
      <c r="AV18" s="380">
        <f>'1.4. часы и места для МЗ и СЗ'!AA65</f>
        <v>238</v>
      </c>
      <c r="AW18" s="380">
        <f>'1.4. часы и места для МЗ и СЗ'!AB65</f>
        <v>8</v>
      </c>
      <c r="AX18" s="380">
        <f>'1.4. часы и места для МЗ и СЗ'!AC65</f>
        <v>44</v>
      </c>
      <c r="AY18" s="381">
        <f>'1.4. часы и места для МЗ и СЗ'!AD65</f>
        <v>1.38</v>
      </c>
      <c r="AZ18" s="68">
        <f t="shared" si="69"/>
        <v>39</v>
      </c>
      <c r="BA18" s="10">
        <v>12</v>
      </c>
      <c r="BB18" s="384">
        <f t="shared" si="6"/>
        <v>14987</v>
      </c>
      <c r="BC18" s="388">
        <f t="shared" si="7"/>
        <v>1.01</v>
      </c>
      <c r="BD18" s="275">
        <f t="shared" si="70"/>
        <v>15137</v>
      </c>
      <c r="BE18" s="117">
        <v>1.302</v>
      </c>
      <c r="BF18" s="119">
        <f t="shared" si="8"/>
        <v>1.38046</v>
      </c>
      <c r="BG18" s="118">
        <v>0</v>
      </c>
      <c r="BH18" s="119">
        <f t="shared" si="9"/>
        <v>0.43123</v>
      </c>
      <c r="BI18" s="119">
        <f t="shared" si="9"/>
        <v>0.66134000000000004</v>
      </c>
      <c r="BJ18" s="118">
        <v>0</v>
      </c>
      <c r="BK18" s="119">
        <f t="shared" si="71"/>
        <v>2.71</v>
      </c>
      <c r="BL18" s="119">
        <f t="shared" si="10"/>
        <v>1.2245299999999999</v>
      </c>
      <c r="BM18" s="119">
        <f t="shared" si="10"/>
        <v>1.1232899999999999</v>
      </c>
      <c r="BN18" s="119">
        <f t="shared" si="72"/>
        <v>1.9717899999999999</v>
      </c>
      <c r="BO18" s="122">
        <f t="shared" si="11"/>
        <v>0.10316</v>
      </c>
      <c r="BP18" s="123">
        <f t="shared" si="128"/>
        <v>1369109</v>
      </c>
      <c r="BQ18" s="387">
        <f t="shared" si="12"/>
        <v>47584.6</v>
      </c>
      <c r="BR18" s="139">
        <f t="shared" si="13"/>
        <v>26688.58</v>
      </c>
      <c r="BS18" s="143">
        <f t="shared" si="14"/>
        <v>3.9647239999999999</v>
      </c>
      <c r="BT18" s="123">
        <f t="shared" si="73"/>
        <v>1653220</v>
      </c>
      <c r="BU18" s="154">
        <f t="shared" si="74"/>
        <v>53</v>
      </c>
      <c r="BV18" s="141">
        <f t="shared" si="75"/>
        <v>3.6700300000000001</v>
      </c>
      <c r="BX18" s="136">
        <f t="shared" si="76"/>
        <v>0</v>
      </c>
      <c r="BY18" s="136">
        <f t="shared" si="77"/>
        <v>0</v>
      </c>
      <c r="BZ18" s="136">
        <f t="shared" si="78"/>
        <v>0</v>
      </c>
      <c r="CA18" s="136">
        <f t="shared" si="129"/>
        <v>0</v>
      </c>
      <c r="CB18" s="136">
        <f t="shared" si="79"/>
        <v>0</v>
      </c>
      <c r="CC18" s="69">
        <v>76.900000000000006</v>
      </c>
      <c r="CD18" s="67">
        <v>800</v>
      </c>
      <c r="CE18" s="68">
        <f t="shared" si="80"/>
        <v>61520</v>
      </c>
      <c r="CF18" s="380">
        <f>'1.4. часы и места для МЗ и СЗ'!Z78</f>
        <v>0</v>
      </c>
      <c r="CG18" s="380">
        <f>'1.4. часы и места для МЗ и СЗ'!AA78</f>
        <v>0</v>
      </c>
      <c r="CH18" s="380">
        <f>'1.4. часы и места для МЗ и СЗ'!AB78</f>
        <v>0</v>
      </c>
      <c r="CI18" s="380">
        <f>'1.4. часы и места для МЗ и СЗ'!AC78</f>
        <v>44</v>
      </c>
      <c r="CJ18" s="381">
        <f>'1.4. часы и места для МЗ и СЗ'!AD78</f>
        <v>0</v>
      </c>
      <c r="CK18" s="68">
        <f t="shared" si="81"/>
        <v>0</v>
      </c>
      <c r="CL18" s="10">
        <v>12</v>
      </c>
      <c r="CM18" s="384">
        <f t="shared" si="15"/>
        <v>14987</v>
      </c>
      <c r="CN18" s="388">
        <f t="shared" si="16"/>
        <v>1.01</v>
      </c>
      <c r="CO18" s="275">
        <f t="shared" si="82"/>
        <v>15137</v>
      </c>
      <c r="CP18" s="117">
        <v>1.302</v>
      </c>
      <c r="CQ18" s="119">
        <f t="shared" si="17"/>
        <v>1.34843</v>
      </c>
      <c r="CR18" s="118">
        <v>0</v>
      </c>
      <c r="CS18" s="119">
        <f t="shared" si="18"/>
        <v>0.33637</v>
      </c>
      <c r="CT18" s="119">
        <f t="shared" si="18"/>
        <v>0.65883000000000003</v>
      </c>
      <c r="CU18" s="118">
        <v>0</v>
      </c>
      <c r="CV18" s="119">
        <f t="shared" si="83"/>
        <v>0</v>
      </c>
      <c r="CW18" s="119">
        <f t="shared" si="19"/>
        <v>1.4220999999999999</v>
      </c>
      <c r="CX18" s="119">
        <f t="shared" si="19"/>
        <v>1.1232899999999999</v>
      </c>
      <c r="CY18" s="119">
        <f t="shared" si="84"/>
        <v>0</v>
      </c>
      <c r="CZ18" s="122">
        <f t="shared" si="20"/>
        <v>0.32107000000000002</v>
      </c>
      <c r="DA18" s="123">
        <f t="shared" si="130"/>
        <v>0</v>
      </c>
      <c r="DB18" s="387">
        <f t="shared" si="21"/>
        <v>47584.6</v>
      </c>
      <c r="DC18" s="139">
        <f t="shared" si="22"/>
        <v>27173.42</v>
      </c>
      <c r="DD18" s="143">
        <f t="shared" si="23"/>
        <v>0</v>
      </c>
      <c r="DE18" s="123">
        <f t="shared" si="85"/>
        <v>0</v>
      </c>
      <c r="DF18" s="154">
        <f t="shared" si="86"/>
        <v>0</v>
      </c>
      <c r="DG18" s="141">
        <f t="shared" si="87"/>
        <v>0</v>
      </c>
      <c r="DI18" s="136">
        <f t="shared" si="88"/>
        <v>0</v>
      </c>
      <c r="DJ18" s="136">
        <f t="shared" si="89"/>
        <v>0</v>
      </c>
      <c r="DK18" s="136">
        <f t="shared" si="90"/>
        <v>0</v>
      </c>
      <c r="DL18" s="136">
        <f t="shared" si="131"/>
        <v>0</v>
      </c>
      <c r="DM18" s="136">
        <f t="shared" si="91"/>
        <v>0</v>
      </c>
      <c r="DN18" s="69">
        <v>76.900000000000006</v>
      </c>
      <c r="DO18" s="67">
        <v>800</v>
      </c>
      <c r="DP18" s="68">
        <f t="shared" si="92"/>
        <v>61520</v>
      </c>
      <c r="DQ18" s="380">
        <f>'1.4. часы и места для МЗ и СЗ'!Z39</f>
        <v>0</v>
      </c>
      <c r="DR18" s="380">
        <f>'1.4. часы и места для МЗ и СЗ'!AA39</f>
        <v>0</v>
      </c>
      <c r="DS18" s="380">
        <f>'1.4. часы и места для МЗ и СЗ'!AB39</f>
        <v>0</v>
      </c>
      <c r="DT18" s="380">
        <f>'1.4. часы и места для МЗ и СЗ'!AC39</f>
        <v>44</v>
      </c>
      <c r="DU18" s="381">
        <f>'1.4. часы и места для МЗ и СЗ'!AD39</f>
        <v>0</v>
      </c>
      <c r="DV18" s="68">
        <f t="shared" si="93"/>
        <v>0</v>
      </c>
      <c r="DW18" s="10">
        <v>12</v>
      </c>
      <c r="DX18" s="384">
        <f t="shared" si="24"/>
        <v>14987</v>
      </c>
      <c r="DY18" s="388">
        <f t="shared" si="25"/>
        <v>1.01</v>
      </c>
      <c r="DZ18" s="275">
        <f t="shared" si="94"/>
        <v>15137</v>
      </c>
      <c r="EA18" s="117">
        <v>1.302</v>
      </c>
      <c r="EB18" s="119">
        <f t="shared" si="26"/>
        <v>1.35737</v>
      </c>
      <c r="EC18" s="118">
        <v>0</v>
      </c>
      <c r="ED18" s="119">
        <f t="shared" si="27"/>
        <v>0.22051999999999999</v>
      </c>
      <c r="EE18" s="119">
        <f t="shared" si="27"/>
        <v>0.73350000000000004</v>
      </c>
      <c r="EF18" s="118">
        <v>0</v>
      </c>
      <c r="EG18" s="119">
        <f t="shared" si="95"/>
        <v>0</v>
      </c>
      <c r="EH18" s="119">
        <f t="shared" si="28"/>
        <v>1.2033499999999999</v>
      </c>
      <c r="EI18" s="119">
        <f t="shared" si="28"/>
        <v>1.1232899999999999</v>
      </c>
      <c r="EJ18" s="119">
        <f t="shared" si="96"/>
        <v>0</v>
      </c>
      <c r="EK18" s="122">
        <f t="shared" si="29"/>
        <v>0.17288999999999999</v>
      </c>
      <c r="EL18" s="123">
        <f t="shared" si="132"/>
        <v>0</v>
      </c>
      <c r="EM18" s="387">
        <f t="shared" si="30"/>
        <v>47584.6</v>
      </c>
      <c r="EN18" s="139">
        <f t="shared" si="31"/>
        <v>27038.09</v>
      </c>
      <c r="EO18" s="143">
        <f t="shared" si="32"/>
        <v>0</v>
      </c>
      <c r="EP18" s="123">
        <f t="shared" si="97"/>
        <v>0</v>
      </c>
      <c r="EQ18" s="154">
        <f t="shared" si="98"/>
        <v>0</v>
      </c>
      <c r="ER18" s="141">
        <f t="shared" si="99"/>
        <v>0</v>
      </c>
      <c r="ET18" s="136">
        <f t="shared" si="100"/>
        <v>0</v>
      </c>
      <c r="EU18" s="136">
        <f t="shared" si="101"/>
        <v>0</v>
      </c>
      <c r="EV18" s="136">
        <f t="shared" si="102"/>
        <v>0</v>
      </c>
      <c r="EW18" s="136">
        <f t="shared" si="133"/>
        <v>0</v>
      </c>
      <c r="EX18" s="136">
        <f t="shared" si="103"/>
        <v>0</v>
      </c>
      <c r="EY18" s="69">
        <v>76.900000000000006</v>
      </c>
      <c r="EZ18" s="67">
        <v>800</v>
      </c>
      <c r="FA18" s="68">
        <f t="shared" si="104"/>
        <v>61520</v>
      </c>
      <c r="FB18" s="380">
        <f>'1.4. часы и места для МЗ и СЗ'!Z52</f>
        <v>0</v>
      </c>
      <c r="FC18" s="380">
        <f>'1.4. часы и места для МЗ и СЗ'!AA52</f>
        <v>0</v>
      </c>
      <c r="FD18" s="380">
        <f>'1.4. часы и места для МЗ и СЗ'!AB52</f>
        <v>0</v>
      </c>
      <c r="FE18" s="380">
        <f>'1.4. часы и места для МЗ и СЗ'!AC52</f>
        <v>44</v>
      </c>
      <c r="FF18" s="381">
        <f>'1.4. часы и места для МЗ и СЗ'!AD52</f>
        <v>0</v>
      </c>
      <c r="FG18" s="68">
        <f t="shared" si="105"/>
        <v>0</v>
      </c>
      <c r="FH18" s="10">
        <v>12</v>
      </c>
      <c r="FI18" s="384">
        <f t="shared" si="33"/>
        <v>14987</v>
      </c>
      <c r="FJ18" s="388">
        <f t="shared" si="34"/>
        <v>1.01</v>
      </c>
      <c r="FK18" s="275">
        <f t="shared" si="106"/>
        <v>15137</v>
      </c>
      <c r="FL18" s="117">
        <v>1.302</v>
      </c>
      <c r="FM18" s="119">
        <f t="shared" si="35"/>
        <v>1.32193</v>
      </c>
      <c r="FN18" s="118">
        <v>0</v>
      </c>
      <c r="FO18" s="119">
        <f t="shared" si="36"/>
        <v>0.21695999999999999</v>
      </c>
      <c r="FP18" s="119">
        <f t="shared" si="36"/>
        <v>0.97809999999999997</v>
      </c>
      <c r="FQ18" s="118">
        <v>0</v>
      </c>
      <c r="FR18" s="119">
        <f t="shared" si="107"/>
        <v>0</v>
      </c>
      <c r="FS18" s="119">
        <f t="shared" si="37"/>
        <v>1.0935600000000001</v>
      </c>
      <c r="FT18" s="119">
        <f t="shared" si="37"/>
        <v>1.1232899999999999</v>
      </c>
      <c r="FU18" s="119">
        <f t="shared" si="108"/>
        <v>0</v>
      </c>
      <c r="FV18" s="122">
        <f t="shared" si="38"/>
        <v>0</v>
      </c>
      <c r="FW18" s="123">
        <f t="shared" si="134"/>
        <v>0</v>
      </c>
      <c r="FX18" s="387">
        <f t="shared" si="39"/>
        <v>47584.6</v>
      </c>
      <c r="FY18" s="139">
        <f t="shared" si="40"/>
        <v>27574.55</v>
      </c>
      <c r="FZ18" s="143">
        <f t="shared" si="41"/>
        <v>0</v>
      </c>
      <c r="GA18" s="123">
        <f t="shared" si="109"/>
        <v>0</v>
      </c>
      <c r="GB18" s="154">
        <f t="shared" si="110"/>
        <v>0</v>
      </c>
      <c r="GC18" s="141">
        <f t="shared" si="111"/>
        <v>0</v>
      </c>
      <c r="GE18" s="136">
        <f t="shared" si="112"/>
        <v>85.55</v>
      </c>
      <c r="GF18" s="136">
        <f t="shared" si="113"/>
        <v>39.549999999999997</v>
      </c>
      <c r="GG18" s="136">
        <f t="shared" si="114"/>
        <v>20.52</v>
      </c>
      <c r="GH18" s="136">
        <f t="shared" si="135"/>
        <v>19.03</v>
      </c>
      <c r="GI18" s="136">
        <f t="shared" si="115"/>
        <v>2.83</v>
      </c>
      <c r="GJ18" s="69">
        <v>76.900000000000006</v>
      </c>
      <c r="GK18" s="67">
        <v>800</v>
      </c>
      <c r="GL18" s="68">
        <f t="shared" si="116"/>
        <v>61520</v>
      </c>
      <c r="GM18" s="228">
        <f t="shared" si="136"/>
        <v>31416</v>
      </c>
      <c r="GN18" s="228">
        <f t="shared" si="136"/>
        <v>238</v>
      </c>
      <c r="GO18" s="228">
        <f t="shared" si="136"/>
        <v>8</v>
      </c>
      <c r="GP18" s="159" t="s">
        <v>471</v>
      </c>
      <c r="GQ18" s="230">
        <f t="shared" si="137"/>
        <v>1.38</v>
      </c>
      <c r="GR18" s="68">
        <f t="shared" si="117"/>
        <v>39</v>
      </c>
      <c r="GS18" s="10">
        <v>12</v>
      </c>
      <c r="GT18" s="384">
        <f t="shared" si="43"/>
        <v>14987</v>
      </c>
      <c r="GU18" s="388">
        <f t="shared" si="44"/>
        <v>1.01</v>
      </c>
      <c r="GV18" s="275">
        <f t="shared" si="118"/>
        <v>15137</v>
      </c>
      <c r="GW18" s="117">
        <v>1.302</v>
      </c>
      <c r="GX18" s="119">
        <f t="shared" si="45"/>
        <v>1.4064300000000001</v>
      </c>
      <c r="GY18" s="118">
        <v>0</v>
      </c>
      <c r="GZ18" s="119">
        <f t="shared" si="46"/>
        <v>0.32916000000000001</v>
      </c>
      <c r="HA18" s="119">
        <f t="shared" si="46"/>
        <v>0.59841999999999995</v>
      </c>
      <c r="HB18" s="118">
        <v>0</v>
      </c>
      <c r="HC18" s="119">
        <f t="shared" si="119"/>
        <v>2.75</v>
      </c>
      <c r="HD18" s="119">
        <f t="shared" si="47"/>
        <v>1.24295</v>
      </c>
      <c r="HE18" s="119">
        <f t="shared" si="47"/>
        <v>1.1232899999999999</v>
      </c>
      <c r="HF18" s="119">
        <f t="shared" si="120"/>
        <v>1.9717899999999999</v>
      </c>
      <c r="HG18" s="122">
        <f t="shared" si="48"/>
        <v>0.13783999999999999</v>
      </c>
      <c r="HH18" s="123">
        <f t="shared" si="138"/>
        <v>1331410</v>
      </c>
      <c r="HI18" s="387">
        <f t="shared" si="49"/>
        <v>47584.6</v>
      </c>
      <c r="HJ18" s="139">
        <f t="shared" si="50"/>
        <v>26295.47</v>
      </c>
      <c r="HK18" s="143">
        <f t="shared" si="51"/>
        <v>3.5116749999999999</v>
      </c>
      <c r="HL18" s="123">
        <f t="shared" si="121"/>
        <v>1442738</v>
      </c>
      <c r="HM18" s="154">
        <f t="shared" si="122"/>
        <v>46</v>
      </c>
      <c r="HN18" s="141">
        <f t="shared" si="123"/>
        <v>3.2417199999999999</v>
      </c>
      <c r="HP18" s="152">
        <f t="shared" si="124"/>
        <v>24.84</v>
      </c>
    </row>
    <row r="19" spans="1:224" s="113" customFormat="1" ht="24" x14ac:dyDescent="0.25">
      <c r="A19" s="120" t="s">
        <v>54</v>
      </c>
      <c r="B19" s="135">
        <f t="shared" si="52"/>
        <v>163.30000000000001</v>
      </c>
      <c r="C19" s="135">
        <f t="shared" si="53"/>
        <v>112.3</v>
      </c>
      <c r="D19" s="135">
        <f t="shared" si="54"/>
        <v>64.13</v>
      </c>
      <c r="E19" s="135">
        <f t="shared" si="125"/>
        <v>48.17</v>
      </c>
      <c r="F19" s="135">
        <f t="shared" si="55"/>
        <v>5.24</v>
      </c>
      <c r="G19" s="124">
        <v>76.900000000000006</v>
      </c>
      <c r="H19" s="132">
        <v>800</v>
      </c>
      <c r="I19" s="133">
        <f t="shared" si="56"/>
        <v>61520</v>
      </c>
      <c r="J19" s="378">
        <f>'1.4. часы и места для МЗ и СЗ'!Z22</f>
        <v>272292</v>
      </c>
      <c r="K19" s="378">
        <f>'1.4. часы и места для МЗ и СЗ'!AA22</f>
        <v>2274</v>
      </c>
      <c r="L19" s="378">
        <f>'1.4. часы и места для МЗ и СЗ'!AB22</f>
        <v>167</v>
      </c>
      <c r="M19" s="378">
        <f>'1.4. часы и места для МЗ и СЗ'!AC22</f>
        <v>36</v>
      </c>
      <c r="N19" s="379">
        <f>'1.4. часы и места для МЗ и СЗ'!AD22</f>
        <v>37.67</v>
      </c>
      <c r="O19" s="133">
        <f t="shared" si="57"/>
        <v>340</v>
      </c>
      <c r="P19" s="125">
        <v>12</v>
      </c>
      <c r="Q19" s="160">
        <v>14987</v>
      </c>
      <c r="R19" s="272">
        <v>1.01</v>
      </c>
      <c r="S19" s="269">
        <f t="shared" si="58"/>
        <v>15137</v>
      </c>
      <c r="T19" s="127">
        <v>1.302</v>
      </c>
      <c r="U19" s="128">
        <f t="shared" si="0"/>
        <v>1.47617</v>
      </c>
      <c r="V19" s="129">
        <v>0</v>
      </c>
      <c r="W19" s="128">
        <f t="shared" si="1"/>
        <v>0.29274</v>
      </c>
      <c r="X19" s="128">
        <f t="shared" si="1"/>
        <v>0.45841999999999999</v>
      </c>
      <c r="Y19" s="129">
        <v>0</v>
      </c>
      <c r="Z19" s="128">
        <f t="shared" si="59"/>
        <v>0.3</v>
      </c>
      <c r="AA19" s="128">
        <f t="shared" si="2"/>
        <v>1.1776</v>
      </c>
      <c r="AB19" s="128">
        <f t="shared" si="2"/>
        <v>1.1232899999999999</v>
      </c>
      <c r="AC19" s="128">
        <f t="shared" si="60"/>
        <v>0.22617999999999999</v>
      </c>
      <c r="AD19" s="130">
        <f t="shared" si="3"/>
        <v>8.1689999999999999E-2</v>
      </c>
      <c r="AE19" s="131">
        <f t="shared" si="126"/>
        <v>32005202</v>
      </c>
      <c r="AF19" s="162">
        <v>47584.6</v>
      </c>
      <c r="AG19" s="138">
        <f t="shared" si="4"/>
        <v>25239.81</v>
      </c>
      <c r="AH19" s="142">
        <f t="shared" si="5"/>
        <v>34.995662000000003</v>
      </c>
      <c r="AI19" s="131">
        <f t="shared" si="61"/>
        <v>13800427</v>
      </c>
      <c r="AJ19" s="153">
        <f t="shared" si="62"/>
        <v>51</v>
      </c>
      <c r="AK19" s="140">
        <f t="shared" si="63"/>
        <v>1.7952600000000001</v>
      </c>
      <c r="AM19" s="135">
        <f t="shared" si="64"/>
        <v>101.67</v>
      </c>
      <c r="AN19" s="135">
        <f t="shared" si="65"/>
        <v>48.67</v>
      </c>
      <c r="AO19" s="135">
        <f t="shared" si="66"/>
        <v>23.26</v>
      </c>
      <c r="AP19" s="135">
        <f t="shared" si="127"/>
        <v>25.41</v>
      </c>
      <c r="AQ19" s="135">
        <f t="shared" si="67"/>
        <v>2.4</v>
      </c>
      <c r="AR19" s="124">
        <v>76.900000000000006</v>
      </c>
      <c r="AS19" s="132">
        <v>800</v>
      </c>
      <c r="AT19" s="133">
        <f t="shared" si="68"/>
        <v>61520</v>
      </c>
      <c r="AU19" s="378">
        <f>'1.4. часы и места для МЗ и СЗ'!Z61</f>
        <v>128520</v>
      </c>
      <c r="AV19" s="378">
        <f>'1.4. часы и места для МЗ и СЗ'!AA61</f>
        <v>953</v>
      </c>
      <c r="AW19" s="378">
        <f>'1.4. часы и места для МЗ и СЗ'!AB61</f>
        <v>33</v>
      </c>
      <c r="AX19" s="378">
        <f>'1.4. часы и места для МЗ и СЗ'!AC61</f>
        <v>36</v>
      </c>
      <c r="AY19" s="379">
        <f>'1.4. часы и места для МЗ и СЗ'!AD61</f>
        <v>6.64</v>
      </c>
      <c r="AZ19" s="133">
        <f t="shared" si="69"/>
        <v>161</v>
      </c>
      <c r="BA19" s="125">
        <v>12</v>
      </c>
      <c r="BB19" s="382">
        <f t="shared" si="6"/>
        <v>14987</v>
      </c>
      <c r="BC19" s="383">
        <f t="shared" si="7"/>
        <v>1.01</v>
      </c>
      <c r="BD19" s="269">
        <f t="shared" si="70"/>
        <v>15137</v>
      </c>
      <c r="BE19" s="127">
        <v>1.302</v>
      </c>
      <c r="BF19" s="128">
        <f t="shared" si="8"/>
        <v>1.38046</v>
      </c>
      <c r="BG19" s="129">
        <v>0</v>
      </c>
      <c r="BH19" s="128">
        <f t="shared" si="9"/>
        <v>0.43123</v>
      </c>
      <c r="BI19" s="128">
        <f t="shared" si="9"/>
        <v>0.66134000000000004</v>
      </c>
      <c r="BJ19" s="129">
        <v>0</v>
      </c>
      <c r="BK19" s="128">
        <f t="shared" si="71"/>
        <v>0.66</v>
      </c>
      <c r="BL19" s="128">
        <f t="shared" si="10"/>
        <v>1.2245299999999999</v>
      </c>
      <c r="BM19" s="128">
        <f t="shared" si="10"/>
        <v>1.1232899999999999</v>
      </c>
      <c r="BN19" s="128">
        <f t="shared" si="72"/>
        <v>0.47764000000000001</v>
      </c>
      <c r="BO19" s="130">
        <f t="shared" si="11"/>
        <v>0.10316</v>
      </c>
      <c r="BP19" s="131">
        <f t="shared" si="128"/>
        <v>6563516</v>
      </c>
      <c r="BQ19" s="387">
        <f t="shared" si="12"/>
        <v>47584.6</v>
      </c>
      <c r="BR19" s="138">
        <f t="shared" si="13"/>
        <v>26688.58</v>
      </c>
      <c r="BS19" s="142">
        <f t="shared" si="14"/>
        <v>16.219327</v>
      </c>
      <c r="BT19" s="131">
        <f t="shared" si="73"/>
        <v>6763173</v>
      </c>
      <c r="BU19" s="153">
        <f t="shared" si="74"/>
        <v>53</v>
      </c>
      <c r="BV19" s="140">
        <f t="shared" si="75"/>
        <v>3.2785899999999999</v>
      </c>
      <c r="BX19" s="135">
        <f t="shared" si="76"/>
        <v>112</v>
      </c>
      <c r="BY19" s="135">
        <f t="shared" si="77"/>
        <v>63</v>
      </c>
      <c r="BZ19" s="135">
        <f t="shared" si="78"/>
        <v>31.58</v>
      </c>
      <c r="CA19" s="135">
        <f t="shared" si="129"/>
        <v>31.42</v>
      </c>
      <c r="CB19" s="135">
        <f t="shared" si="79"/>
        <v>10.14</v>
      </c>
      <c r="CC19" s="124">
        <v>76.900000000000006</v>
      </c>
      <c r="CD19" s="132">
        <v>800</v>
      </c>
      <c r="CE19" s="133">
        <f t="shared" si="80"/>
        <v>61520</v>
      </c>
      <c r="CF19" s="378">
        <f>'1.4. часы и места для МЗ и СЗ'!Z74</f>
        <v>61020</v>
      </c>
      <c r="CG19" s="378">
        <f>'1.4. часы и места для МЗ и СЗ'!AA74</f>
        <v>401</v>
      </c>
      <c r="CH19" s="378">
        <f>'1.4. часы и места для МЗ и СЗ'!AB74</f>
        <v>16</v>
      </c>
      <c r="CI19" s="378">
        <f>'1.4. часы и места для МЗ и СЗ'!AC74</f>
        <v>36</v>
      </c>
      <c r="CJ19" s="379">
        <f>'1.4. часы и места для МЗ и СЗ'!AD74</f>
        <v>3.76</v>
      </c>
      <c r="CK19" s="133">
        <f t="shared" si="81"/>
        <v>76</v>
      </c>
      <c r="CL19" s="125">
        <v>12</v>
      </c>
      <c r="CM19" s="382">
        <f t="shared" si="15"/>
        <v>14987</v>
      </c>
      <c r="CN19" s="383">
        <f t="shared" si="16"/>
        <v>1.01</v>
      </c>
      <c r="CO19" s="269">
        <f t="shared" si="82"/>
        <v>15137</v>
      </c>
      <c r="CP19" s="127">
        <v>1.302</v>
      </c>
      <c r="CQ19" s="128">
        <f t="shared" si="17"/>
        <v>1.34843</v>
      </c>
      <c r="CR19" s="129">
        <v>0</v>
      </c>
      <c r="CS19" s="128">
        <f t="shared" si="18"/>
        <v>0.33637</v>
      </c>
      <c r="CT19" s="128">
        <f t="shared" si="18"/>
        <v>0.65883000000000003</v>
      </c>
      <c r="CU19" s="129">
        <v>0</v>
      </c>
      <c r="CV19" s="128">
        <f t="shared" si="83"/>
        <v>1.62</v>
      </c>
      <c r="CW19" s="128">
        <f t="shared" si="19"/>
        <v>1.4220999999999999</v>
      </c>
      <c r="CX19" s="128">
        <f t="shared" si="19"/>
        <v>1.1232899999999999</v>
      </c>
      <c r="CY19" s="128">
        <f t="shared" si="84"/>
        <v>1.0118400000000001</v>
      </c>
      <c r="CZ19" s="130">
        <f t="shared" si="20"/>
        <v>0.32107000000000002</v>
      </c>
      <c r="DA19" s="131">
        <f t="shared" si="130"/>
        <v>4463003</v>
      </c>
      <c r="DB19" s="387">
        <f t="shared" si="21"/>
        <v>47584.6</v>
      </c>
      <c r="DC19" s="138">
        <f t="shared" si="22"/>
        <v>27173.42</v>
      </c>
      <c r="DD19" s="142">
        <f t="shared" si="23"/>
        <v>7.0913000000000004</v>
      </c>
      <c r="DE19" s="131">
        <f t="shared" si="85"/>
        <v>3010665</v>
      </c>
      <c r="DF19" s="153">
        <f t="shared" si="86"/>
        <v>49</v>
      </c>
      <c r="DG19" s="140">
        <f t="shared" si="87"/>
        <v>2.5516100000000002</v>
      </c>
      <c r="DI19" s="135">
        <f t="shared" si="88"/>
        <v>0</v>
      </c>
      <c r="DJ19" s="135">
        <f t="shared" si="89"/>
        <v>0</v>
      </c>
      <c r="DK19" s="135">
        <f t="shared" si="90"/>
        <v>0</v>
      </c>
      <c r="DL19" s="135">
        <f t="shared" si="131"/>
        <v>0</v>
      </c>
      <c r="DM19" s="135">
        <f t="shared" si="91"/>
        <v>0</v>
      </c>
      <c r="DN19" s="124">
        <v>76.900000000000006</v>
      </c>
      <c r="DO19" s="132">
        <v>800</v>
      </c>
      <c r="DP19" s="133">
        <f t="shared" si="92"/>
        <v>61520</v>
      </c>
      <c r="DQ19" s="378">
        <f>'1.4. часы и места для МЗ и СЗ'!Z35</f>
        <v>0</v>
      </c>
      <c r="DR19" s="378">
        <f>'1.4. часы и места для МЗ и СЗ'!AA35</f>
        <v>0</v>
      </c>
      <c r="DS19" s="378">
        <f>'1.4. часы и места для МЗ и СЗ'!AB35</f>
        <v>0</v>
      </c>
      <c r="DT19" s="378">
        <f>'1.4. часы и места для МЗ и СЗ'!AC35</f>
        <v>0</v>
      </c>
      <c r="DU19" s="379">
        <f>'1.4. часы и места для МЗ и СЗ'!AD35</f>
        <v>0</v>
      </c>
      <c r="DV19" s="133">
        <f t="shared" si="93"/>
        <v>0</v>
      </c>
      <c r="DW19" s="125">
        <v>12</v>
      </c>
      <c r="DX19" s="382">
        <f t="shared" si="24"/>
        <v>14987</v>
      </c>
      <c r="DY19" s="383">
        <f t="shared" si="25"/>
        <v>1.01</v>
      </c>
      <c r="DZ19" s="269">
        <f t="shared" si="94"/>
        <v>15137</v>
      </c>
      <c r="EA19" s="127">
        <v>1.302</v>
      </c>
      <c r="EB19" s="128">
        <f t="shared" si="26"/>
        <v>1.35737</v>
      </c>
      <c r="EC19" s="129">
        <v>0</v>
      </c>
      <c r="ED19" s="128">
        <f t="shared" si="27"/>
        <v>0.22051999999999999</v>
      </c>
      <c r="EE19" s="128">
        <f t="shared" si="27"/>
        <v>0.73350000000000004</v>
      </c>
      <c r="EF19" s="129">
        <v>0</v>
      </c>
      <c r="EG19" s="128">
        <f t="shared" si="95"/>
        <v>0</v>
      </c>
      <c r="EH19" s="128">
        <f t="shared" si="28"/>
        <v>1.2033499999999999</v>
      </c>
      <c r="EI19" s="128">
        <f t="shared" si="28"/>
        <v>1.1232899999999999</v>
      </c>
      <c r="EJ19" s="128">
        <f t="shared" si="96"/>
        <v>0</v>
      </c>
      <c r="EK19" s="130">
        <f t="shared" si="29"/>
        <v>0.17288999999999999</v>
      </c>
      <c r="EL19" s="131">
        <f t="shared" si="132"/>
        <v>0</v>
      </c>
      <c r="EM19" s="387">
        <f t="shared" si="30"/>
        <v>47584.6</v>
      </c>
      <c r="EN19" s="138">
        <f t="shared" si="31"/>
        <v>27038.09</v>
      </c>
      <c r="EO19" s="142">
        <f t="shared" si="32"/>
        <v>0</v>
      </c>
      <c r="EP19" s="131">
        <f t="shared" si="97"/>
        <v>0</v>
      </c>
      <c r="EQ19" s="153">
        <f t="shared" si="98"/>
        <v>0</v>
      </c>
      <c r="ER19" s="140">
        <f t="shared" si="99"/>
        <v>0</v>
      </c>
      <c r="ET19" s="135">
        <f t="shared" si="100"/>
        <v>0</v>
      </c>
      <c r="EU19" s="135">
        <f t="shared" si="101"/>
        <v>0</v>
      </c>
      <c r="EV19" s="135">
        <f t="shared" si="102"/>
        <v>0</v>
      </c>
      <c r="EW19" s="135">
        <f t="shared" si="133"/>
        <v>0</v>
      </c>
      <c r="EX19" s="135">
        <f t="shared" si="103"/>
        <v>0</v>
      </c>
      <c r="EY19" s="124">
        <v>76.900000000000006</v>
      </c>
      <c r="EZ19" s="132">
        <v>800</v>
      </c>
      <c r="FA19" s="133">
        <f t="shared" si="104"/>
        <v>61520</v>
      </c>
      <c r="FB19" s="378">
        <f>'1.4. часы и места для МЗ и СЗ'!Z48</f>
        <v>0</v>
      </c>
      <c r="FC19" s="378">
        <f>'1.4. часы и места для МЗ и СЗ'!AA48</f>
        <v>0</v>
      </c>
      <c r="FD19" s="378">
        <f>'1.4. часы и места для МЗ и СЗ'!AB48</f>
        <v>0</v>
      </c>
      <c r="FE19" s="378">
        <f>'1.4. часы и места для МЗ и СЗ'!AC48</f>
        <v>0</v>
      </c>
      <c r="FF19" s="379">
        <f>'1.4. часы и места для МЗ и СЗ'!AD48</f>
        <v>0</v>
      </c>
      <c r="FG19" s="133">
        <f t="shared" si="105"/>
        <v>0</v>
      </c>
      <c r="FH19" s="125">
        <v>12</v>
      </c>
      <c r="FI19" s="382">
        <f t="shared" si="33"/>
        <v>14987</v>
      </c>
      <c r="FJ19" s="383">
        <f t="shared" si="34"/>
        <v>1.01</v>
      </c>
      <c r="FK19" s="269">
        <f t="shared" si="106"/>
        <v>15137</v>
      </c>
      <c r="FL19" s="127">
        <v>1.302</v>
      </c>
      <c r="FM19" s="128">
        <f t="shared" si="35"/>
        <v>1.32193</v>
      </c>
      <c r="FN19" s="129">
        <v>0</v>
      </c>
      <c r="FO19" s="128">
        <f t="shared" si="36"/>
        <v>0.21695999999999999</v>
      </c>
      <c r="FP19" s="128">
        <f t="shared" si="36"/>
        <v>0.97809999999999997</v>
      </c>
      <c r="FQ19" s="129">
        <v>0</v>
      </c>
      <c r="FR19" s="128">
        <f t="shared" si="107"/>
        <v>0</v>
      </c>
      <c r="FS19" s="128">
        <f t="shared" si="37"/>
        <v>1.0935600000000001</v>
      </c>
      <c r="FT19" s="128">
        <f t="shared" si="37"/>
        <v>1.1232899999999999</v>
      </c>
      <c r="FU19" s="128">
        <f t="shared" si="108"/>
        <v>0</v>
      </c>
      <c r="FV19" s="130">
        <f t="shared" si="38"/>
        <v>0</v>
      </c>
      <c r="FW19" s="131">
        <f t="shared" si="134"/>
        <v>0</v>
      </c>
      <c r="FX19" s="387">
        <f t="shared" si="39"/>
        <v>47584.6</v>
      </c>
      <c r="FY19" s="138">
        <f t="shared" si="40"/>
        <v>27574.55</v>
      </c>
      <c r="FZ19" s="142">
        <f t="shared" si="41"/>
        <v>0</v>
      </c>
      <c r="GA19" s="131">
        <f t="shared" si="109"/>
        <v>0</v>
      </c>
      <c r="GB19" s="153">
        <f t="shared" si="110"/>
        <v>0</v>
      </c>
      <c r="GC19" s="140">
        <f t="shared" si="111"/>
        <v>0</v>
      </c>
      <c r="GE19" s="135">
        <f t="shared" si="112"/>
        <v>141.19</v>
      </c>
      <c r="GF19" s="135">
        <f t="shared" si="113"/>
        <v>95.19</v>
      </c>
      <c r="GG19" s="135">
        <f t="shared" si="114"/>
        <v>49.38</v>
      </c>
      <c r="GH19" s="135">
        <f t="shared" si="135"/>
        <v>45.81</v>
      </c>
      <c r="GI19" s="135">
        <f t="shared" si="115"/>
        <v>6.81</v>
      </c>
      <c r="GJ19" s="124">
        <v>76.900000000000006</v>
      </c>
      <c r="GK19" s="132">
        <v>800</v>
      </c>
      <c r="GL19" s="133">
        <f t="shared" si="116"/>
        <v>61520</v>
      </c>
      <c r="GM19" s="227">
        <f t="shared" si="136"/>
        <v>461832</v>
      </c>
      <c r="GN19" s="227">
        <f t="shared" si="136"/>
        <v>3628</v>
      </c>
      <c r="GO19" s="227">
        <f t="shared" si="136"/>
        <v>216</v>
      </c>
      <c r="GP19" s="158" t="s">
        <v>471</v>
      </c>
      <c r="GQ19" s="229">
        <f t="shared" si="137"/>
        <v>48.07</v>
      </c>
      <c r="GR19" s="133">
        <f t="shared" si="117"/>
        <v>577</v>
      </c>
      <c r="GS19" s="125">
        <v>12</v>
      </c>
      <c r="GT19" s="382">
        <f t="shared" si="43"/>
        <v>14987</v>
      </c>
      <c r="GU19" s="383">
        <f t="shared" si="44"/>
        <v>1.01</v>
      </c>
      <c r="GV19" s="269">
        <f t="shared" si="118"/>
        <v>15137</v>
      </c>
      <c r="GW19" s="127">
        <v>1.302</v>
      </c>
      <c r="GX19" s="128">
        <f t="shared" si="45"/>
        <v>1.4064300000000001</v>
      </c>
      <c r="GY19" s="129">
        <v>0</v>
      </c>
      <c r="GZ19" s="128">
        <f t="shared" si="46"/>
        <v>0.32916000000000001</v>
      </c>
      <c r="HA19" s="128">
        <f t="shared" si="46"/>
        <v>0.59841999999999995</v>
      </c>
      <c r="HB19" s="129">
        <v>0</v>
      </c>
      <c r="HC19" s="128">
        <f t="shared" si="119"/>
        <v>0.19</v>
      </c>
      <c r="HD19" s="128">
        <f t="shared" si="47"/>
        <v>1.24295</v>
      </c>
      <c r="HE19" s="128">
        <f t="shared" si="47"/>
        <v>1.1232899999999999</v>
      </c>
      <c r="HF19" s="128">
        <f t="shared" si="120"/>
        <v>0.13328000000000001</v>
      </c>
      <c r="HG19" s="130">
        <f t="shared" si="48"/>
        <v>0.13783999999999999</v>
      </c>
      <c r="HH19" s="131">
        <f t="shared" si="138"/>
        <v>47106864</v>
      </c>
      <c r="HI19" s="387">
        <f t="shared" si="49"/>
        <v>47584.6</v>
      </c>
      <c r="HJ19" s="138">
        <f t="shared" si="50"/>
        <v>26295.47</v>
      </c>
      <c r="HK19" s="142">
        <f t="shared" si="51"/>
        <v>51.623500999999997</v>
      </c>
      <c r="HL19" s="131">
        <f t="shared" si="121"/>
        <v>21209021</v>
      </c>
      <c r="HM19" s="153">
        <f t="shared" si="122"/>
        <v>46</v>
      </c>
      <c r="HN19" s="140">
        <f t="shared" si="123"/>
        <v>1.9315500000000001</v>
      </c>
      <c r="HP19" s="151">
        <f t="shared" si="124"/>
        <v>865.26</v>
      </c>
    </row>
    <row r="20" spans="1:224" s="113" customFormat="1" ht="24" x14ac:dyDescent="0.25">
      <c r="A20" s="120" t="s">
        <v>55</v>
      </c>
      <c r="B20" s="135">
        <f t="shared" si="52"/>
        <v>145.44</v>
      </c>
      <c r="C20" s="135">
        <f t="shared" si="53"/>
        <v>94.44</v>
      </c>
      <c r="D20" s="135">
        <f t="shared" si="54"/>
        <v>53.93</v>
      </c>
      <c r="E20" s="135">
        <f t="shared" si="125"/>
        <v>40.51</v>
      </c>
      <c r="F20" s="135">
        <f t="shared" si="55"/>
        <v>4.41</v>
      </c>
      <c r="G20" s="124">
        <v>76.900000000000006</v>
      </c>
      <c r="H20" s="132">
        <v>800</v>
      </c>
      <c r="I20" s="133">
        <f t="shared" si="56"/>
        <v>61520</v>
      </c>
      <c r="J20" s="378">
        <f>'1.4. часы и места для МЗ и СЗ'!Z23</f>
        <v>18504</v>
      </c>
      <c r="K20" s="378">
        <f>'1.4. часы и места для МЗ и СЗ'!AA23</f>
        <v>149</v>
      </c>
      <c r="L20" s="378">
        <f>'1.4. часы и места для МЗ и СЗ'!AB23</f>
        <v>9</v>
      </c>
      <c r="M20" s="378">
        <f>'1.4. часы и места для МЗ и СЗ'!AC23</f>
        <v>36</v>
      </c>
      <c r="N20" s="379">
        <f>'1.4. часы и места для МЗ и СЗ'!AD23</f>
        <v>2.15</v>
      </c>
      <c r="O20" s="133">
        <f t="shared" si="57"/>
        <v>23</v>
      </c>
      <c r="P20" s="125">
        <v>12</v>
      </c>
      <c r="Q20" s="160">
        <v>14987</v>
      </c>
      <c r="R20" s="272">
        <v>1.01</v>
      </c>
      <c r="S20" s="269">
        <f t="shared" si="58"/>
        <v>15137</v>
      </c>
      <c r="T20" s="127">
        <v>1.302</v>
      </c>
      <c r="U20" s="128">
        <f t="shared" si="0"/>
        <v>1.47617</v>
      </c>
      <c r="V20" s="129">
        <v>0</v>
      </c>
      <c r="W20" s="128">
        <f t="shared" si="1"/>
        <v>0.29274</v>
      </c>
      <c r="X20" s="128">
        <f t="shared" si="1"/>
        <v>0.45841999999999999</v>
      </c>
      <c r="Y20" s="129">
        <v>0</v>
      </c>
      <c r="Z20" s="128">
        <f t="shared" si="59"/>
        <v>4.42</v>
      </c>
      <c r="AA20" s="128">
        <f t="shared" si="2"/>
        <v>1.1776</v>
      </c>
      <c r="AB20" s="128">
        <f t="shared" si="2"/>
        <v>1.1232899999999999</v>
      </c>
      <c r="AC20" s="128">
        <f t="shared" si="60"/>
        <v>3.34348</v>
      </c>
      <c r="AD20" s="130">
        <f t="shared" si="3"/>
        <v>8.1689999999999999E-2</v>
      </c>
      <c r="AE20" s="131">
        <f t="shared" si="126"/>
        <v>1829120</v>
      </c>
      <c r="AF20" s="162">
        <v>47584.6</v>
      </c>
      <c r="AG20" s="138">
        <f t="shared" si="4"/>
        <v>25239.81</v>
      </c>
      <c r="AH20" s="142">
        <f t="shared" si="5"/>
        <v>2.3781810000000001</v>
      </c>
      <c r="AI20" s="131">
        <f t="shared" si="61"/>
        <v>937828</v>
      </c>
      <c r="AJ20" s="153">
        <f t="shared" si="62"/>
        <v>51</v>
      </c>
      <c r="AK20" s="140">
        <f t="shared" si="63"/>
        <v>1.94567</v>
      </c>
      <c r="AM20" s="135">
        <f t="shared" si="64"/>
        <v>69.150000000000006</v>
      </c>
      <c r="AN20" s="135">
        <f t="shared" si="65"/>
        <v>16.149999999999999</v>
      </c>
      <c r="AO20" s="135">
        <f t="shared" si="66"/>
        <v>7.72</v>
      </c>
      <c r="AP20" s="135">
        <f t="shared" si="127"/>
        <v>8.43</v>
      </c>
      <c r="AQ20" s="135">
        <f t="shared" si="67"/>
        <v>0.8</v>
      </c>
      <c r="AR20" s="124">
        <v>76.900000000000006</v>
      </c>
      <c r="AS20" s="132">
        <v>800</v>
      </c>
      <c r="AT20" s="133">
        <f t="shared" si="68"/>
        <v>61520</v>
      </c>
      <c r="AU20" s="378">
        <f>'1.4. часы и места для МЗ и СЗ'!Z62</f>
        <v>12816</v>
      </c>
      <c r="AV20" s="378">
        <f>'1.4. часы и места для МЗ и СЗ'!AA62</f>
        <v>89</v>
      </c>
      <c r="AW20" s="378">
        <f>'1.4. часы и места для МЗ и СЗ'!AB62</f>
        <v>1</v>
      </c>
      <c r="AX20" s="378">
        <f>'1.4. часы и места для МЗ и СЗ'!AC62</f>
        <v>36</v>
      </c>
      <c r="AY20" s="379">
        <f>'1.4. часы и места для МЗ и СЗ'!AD62</f>
        <v>0.22</v>
      </c>
      <c r="AZ20" s="133">
        <f t="shared" si="69"/>
        <v>16</v>
      </c>
      <c r="BA20" s="125">
        <v>12</v>
      </c>
      <c r="BB20" s="382">
        <f t="shared" si="6"/>
        <v>14987</v>
      </c>
      <c r="BC20" s="383">
        <f t="shared" si="7"/>
        <v>1.01</v>
      </c>
      <c r="BD20" s="269">
        <f t="shared" si="70"/>
        <v>15137</v>
      </c>
      <c r="BE20" s="127">
        <v>1.302</v>
      </c>
      <c r="BF20" s="128">
        <f t="shared" si="8"/>
        <v>1.38046</v>
      </c>
      <c r="BG20" s="129">
        <v>0</v>
      </c>
      <c r="BH20" s="128">
        <f t="shared" si="9"/>
        <v>0.43123</v>
      </c>
      <c r="BI20" s="128">
        <f t="shared" si="9"/>
        <v>0.66134000000000004</v>
      </c>
      <c r="BJ20" s="129">
        <v>0</v>
      </c>
      <c r="BK20" s="128">
        <f t="shared" si="71"/>
        <v>6.61</v>
      </c>
      <c r="BL20" s="128">
        <f t="shared" si="10"/>
        <v>1.2245299999999999</v>
      </c>
      <c r="BM20" s="128">
        <f t="shared" si="10"/>
        <v>1.1232899999999999</v>
      </c>
      <c r="BN20" s="128">
        <f t="shared" si="72"/>
        <v>4.8062500000000004</v>
      </c>
      <c r="BO20" s="130">
        <f t="shared" si="11"/>
        <v>0.10316</v>
      </c>
      <c r="BP20" s="131">
        <f t="shared" si="128"/>
        <v>217231</v>
      </c>
      <c r="BQ20" s="387">
        <f t="shared" si="12"/>
        <v>47584.6</v>
      </c>
      <c r="BR20" s="138">
        <f t="shared" si="13"/>
        <v>26688.58</v>
      </c>
      <c r="BS20" s="142">
        <f t="shared" si="14"/>
        <v>1.617389</v>
      </c>
      <c r="BT20" s="131">
        <f t="shared" si="73"/>
        <v>674423</v>
      </c>
      <c r="BU20" s="153">
        <f t="shared" si="74"/>
        <v>53</v>
      </c>
      <c r="BV20" s="140">
        <f t="shared" si="75"/>
        <v>7.8652800000000003</v>
      </c>
      <c r="BX20" s="135">
        <f t="shared" si="76"/>
        <v>0</v>
      </c>
      <c r="BY20" s="135">
        <f t="shared" si="77"/>
        <v>0</v>
      </c>
      <c r="BZ20" s="135">
        <f t="shared" si="78"/>
        <v>0</v>
      </c>
      <c r="CA20" s="135">
        <f t="shared" si="129"/>
        <v>0</v>
      </c>
      <c r="CB20" s="135">
        <f t="shared" si="79"/>
        <v>0</v>
      </c>
      <c r="CC20" s="124">
        <v>76.900000000000006</v>
      </c>
      <c r="CD20" s="132">
        <v>800</v>
      </c>
      <c r="CE20" s="133">
        <f t="shared" si="80"/>
        <v>61520</v>
      </c>
      <c r="CF20" s="378">
        <f>'1.4. часы и места для МЗ и СЗ'!Z75</f>
        <v>0</v>
      </c>
      <c r="CG20" s="378">
        <f>'1.4. часы и места для МЗ и СЗ'!AA75</f>
        <v>0</v>
      </c>
      <c r="CH20" s="378">
        <f>'1.4. часы и места для МЗ и СЗ'!AB75</f>
        <v>0</v>
      </c>
      <c r="CI20" s="378">
        <f>'1.4. часы и места для МЗ и СЗ'!AC75</f>
        <v>0</v>
      </c>
      <c r="CJ20" s="379">
        <f>'1.4. часы и места для МЗ и СЗ'!AD75</f>
        <v>0</v>
      </c>
      <c r="CK20" s="133">
        <f t="shared" si="81"/>
        <v>0</v>
      </c>
      <c r="CL20" s="125">
        <v>12</v>
      </c>
      <c r="CM20" s="382">
        <f t="shared" si="15"/>
        <v>14987</v>
      </c>
      <c r="CN20" s="383">
        <f t="shared" si="16"/>
        <v>1.01</v>
      </c>
      <c r="CO20" s="269">
        <f t="shared" si="82"/>
        <v>15137</v>
      </c>
      <c r="CP20" s="127">
        <v>1.302</v>
      </c>
      <c r="CQ20" s="128">
        <f t="shared" si="17"/>
        <v>1.34843</v>
      </c>
      <c r="CR20" s="129">
        <v>0</v>
      </c>
      <c r="CS20" s="128">
        <f t="shared" si="18"/>
        <v>0.33637</v>
      </c>
      <c r="CT20" s="128">
        <f t="shared" si="18"/>
        <v>0.65883000000000003</v>
      </c>
      <c r="CU20" s="129">
        <v>0</v>
      </c>
      <c r="CV20" s="128">
        <f t="shared" si="83"/>
        <v>0</v>
      </c>
      <c r="CW20" s="128">
        <f t="shared" si="19"/>
        <v>1.4220999999999999</v>
      </c>
      <c r="CX20" s="128">
        <f t="shared" si="19"/>
        <v>1.1232899999999999</v>
      </c>
      <c r="CY20" s="128">
        <f t="shared" si="84"/>
        <v>0</v>
      </c>
      <c r="CZ20" s="130">
        <f t="shared" si="20"/>
        <v>0.32107000000000002</v>
      </c>
      <c r="DA20" s="131">
        <f t="shared" si="130"/>
        <v>0</v>
      </c>
      <c r="DB20" s="387">
        <f t="shared" si="21"/>
        <v>47584.6</v>
      </c>
      <c r="DC20" s="138">
        <f t="shared" si="22"/>
        <v>27173.42</v>
      </c>
      <c r="DD20" s="142">
        <f t="shared" si="23"/>
        <v>0</v>
      </c>
      <c r="DE20" s="131">
        <f t="shared" si="85"/>
        <v>0</v>
      </c>
      <c r="DF20" s="153">
        <f t="shared" si="86"/>
        <v>0</v>
      </c>
      <c r="DG20" s="140">
        <f t="shared" si="87"/>
        <v>0</v>
      </c>
      <c r="DI20" s="135">
        <f t="shared" si="88"/>
        <v>0</v>
      </c>
      <c r="DJ20" s="135">
        <f t="shared" si="89"/>
        <v>0</v>
      </c>
      <c r="DK20" s="135">
        <f t="shared" si="90"/>
        <v>0</v>
      </c>
      <c r="DL20" s="135">
        <f t="shared" si="131"/>
        <v>0</v>
      </c>
      <c r="DM20" s="135">
        <f t="shared" si="91"/>
        <v>0</v>
      </c>
      <c r="DN20" s="124">
        <v>76.900000000000006</v>
      </c>
      <c r="DO20" s="132">
        <v>800</v>
      </c>
      <c r="DP20" s="133">
        <f t="shared" si="92"/>
        <v>61520</v>
      </c>
      <c r="DQ20" s="378">
        <f>'1.4. часы и места для МЗ и СЗ'!Z36</f>
        <v>0</v>
      </c>
      <c r="DR20" s="378">
        <f>'1.4. часы и места для МЗ и СЗ'!AA36</f>
        <v>0</v>
      </c>
      <c r="DS20" s="378">
        <f>'1.4. часы и места для МЗ и СЗ'!AB36</f>
        <v>0</v>
      </c>
      <c r="DT20" s="378">
        <f>'1.4. часы и места для МЗ и СЗ'!AC36</f>
        <v>0</v>
      </c>
      <c r="DU20" s="379">
        <f>'1.4. часы и места для МЗ и СЗ'!AD36</f>
        <v>0</v>
      </c>
      <c r="DV20" s="133">
        <f t="shared" si="93"/>
        <v>0</v>
      </c>
      <c r="DW20" s="125">
        <v>12</v>
      </c>
      <c r="DX20" s="382">
        <f t="shared" si="24"/>
        <v>14987</v>
      </c>
      <c r="DY20" s="383">
        <f t="shared" si="25"/>
        <v>1.01</v>
      </c>
      <c r="DZ20" s="269">
        <f t="shared" si="94"/>
        <v>15137</v>
      </c>
      <c r="EA20" s="127">
        <v>1.302</v>
      </c>
      <c r="EB20" s="128">
        <f t="shared" si="26"/>
        <v>1.35737</v>
      </c>
      <c r="EC20" s="129">
        <v>0</v>
      </c>
      <c r="ED20" s="128">
        <f t="shared" si="27"/>
        <v>0.22051999999999999</v>
      </c>
      <c r="EE20" s="128">
        <f t="shared" si="27"/>
        <v>0.73350000000000004</v>
      </c>
      <c r="EF20" s="129">
        <v>0</v>
      </c>
      <c r="EG20" s="128">
        <f t="shared" si="95"/>
        <v>0</v>
      </c>
      <c r="EH20" s="128">
        <f t="shared" si="28"/>
        <v>1.2033499999999999</v>
      </c>
      <c r="EI20" s="128">
        <f t="shared" si="28"/>
        <v>1.1232899999999999</v>
      </c>
      <c r="EJ20" s="128">
        <f t="shared" si="96"/>
        <v>0</v>
      </c>
      <c r="EK20" s="130">
        <f t="shared" si="29"/>
        <v>0.17288999999999999</v>
      </c>
      <c r="EL20" s="131">
        <f t="shared" si="132"/>
        <v>0</v>
      </c>
      <c r="EM20" s="387">
        <f t="shared" si="30"/>
        <v>47584.6</v>
      </c>
      <c r="EN20" s="138">
        <f t="shared" si="31"/>
        <v>27038.09</v>
      </c>
      <c r="EO20" s="142">
        <f t="shared" si="32"/>
        <v>0</v>
      </c>
      <c r="EP20" s="131">
        <f t="shared" si="97"/>
        <v>0</v>
      </c>
      <c r="EQ20" s="153">
        <f t="shared" si="98"/>
        <v>0</v>
      </c>
      <c r="ER20" s="140">
        <f t="shared" si="99"/>
        <v>0</v>
      </c>
      <c r="ET20" s="135">
        <f t="shared" si="100"/>
        <v>135.65</v>
      </c>
      <c r="EU20" s="135">
        <f t="shared" si="101"/>
        <v>117.65</v>
      </c>
      <c r="EV20" s="135">
        <f t="shared" si="102"/>
        <v>53.6</v>
      </c>
      <c r="EW20" s="135">
        <f t="shared" si="133"/>
        <v>64.05</v>
      </c>
      <c r="EX20" s="135">
        <f t="shared" si="103"/>
        <v>0</v>
      </c>
      <c r="EY20" s="124">
        <v>76.900000000000006</v>
      </c>
      <c r="EZ20" s="132">
        <v>800</v>
      </c>
      <c r="FA20" s="133">
        <f t="shared" si="104"/>
        <v>61520</v>
      </c>
      <c r="FB20" s="378">
        <f>'1.4. часы и места для МЗ и СЗ'!Z49</f>
        <v>95760</v>
      </c>
      <c r="FC20" s="378">
        <f>'1.4. часы и места для МЗ и СЗ'!AA49</f>
        <v>604</v>
      </c>
      <c r="FD20" s="378">
        <f>'1.4. часы и места для МЗ и СЗ'!AB49</f>
        <v>54</v>
      </c>
      <c r="FE20" s="378">
        <f>'1.4. часы и места для МЗ и СЗ'!AC49</f>
        <v>36</v>
      </c>
      <c r="FF20" s="379">
        <f>'1.4. часы и места для МЗ и СЗ'!AD49</f>
        <v>13.35</v>
      </c>
      <c r="FG20" s="133">
        <f t="shared" si="105"/>
        <v>120</v>
      </c>
      <c r="FH20" s="125">
        <v>12</v>
      </c>
      <c r="FI20" s="382">
        <f t="shared" si="33"/>
        <v>14987</v>
      </c>
      <c r="FJ20" s="383">
        <f t="shared" si="34"/>
        <v>1.01</v>
      </c>
      <c r="FK20" s="269">
        <f t="shared" si="106"/>
        <v>15137</v>
      </c>
      <c r="FL20" s="127">
        <v>1.302</v>
      </c>
      <c r="FM20" s="128">
        <f t="shared" si="35"/>
        <v>1.32193</v>
      </c>
      <c r="FN20" s="129">
        <v>0</v>
      </c>
      <c r="FO20" s="128">
        <f t="shared" si="36"/>
        <v>0.21695999999999999</v>
      </c>
      <c r="FP20" s="128">
        <f t="shared" si="36"/>
        <v>0.97809999999999997</v>
      </c>
      <c r="FQ20" s="129">
        <v>0</v>
      </c>
      <c r="FR20" s="128">
        <f t="shared" si="107"/>
        <v>0.79</v>
      </c>
      <c r="FS20" s="128">
        <f t="shared" si="37"/>
        <v>1.0935600000000001</v>
      </c>
      <c r="FT20" s="128">
        <f t="shared" si="37"/>
        <v>1.1232899999999999</v>
      </c>
      <c r="FU20" s="128">
        <f t="shared" si="108"/>
        <v>0.64083000000000001</v>
      </c>
      <c r="FV20" s="130">
        <f t="shared" si="38"/>
        <v>0</v>
      </c>
      <c r="FW20" s="131">
        <f t="shared" si="134"/>
        <v>11266164</v>
      </c>
      <c r="FX20" s="387">
        <f t="shared" si="39"/>
        <v>47584.6</v>
      </c>
      <c r="FY20" s="138">
        <f t="shared" si="40"/>
        <v>27574.55</v>
      </c>
      <c r="FZ20" s="142">
        <f t="shared" si="41"/>
        <v>4</v>
      </c>
      <c r="GA20" s="131">
        <f t="shared" si="109"/>
        <v>1723299</v>
      </c>
      <c r="GB20" s="153">
        <f t="shared" si="110"/>
        <v>18</v>
      </c>
      <c r="GC20" s="140">
        <f t="shared" si="111"/>
        <v>1.33582</v>
      </c>
      <c r="GE20" s="135">
        <f t="shared" si="112"/>
        <v>157.41</v>
      </c>
      <c r="GF20" s="135">
        <f t="shared" si="113"/>
        <v>111.41</v>
      </c>
      <c r="GG20" s="135">
        <f t="shared" si="114"/>
        <v>57.8</v>
      </c>
      <c r="GH20" s="135">
        <f t="shared" si="135"/>
        <v>53.61</v>
      </c>
      <c r="GI20" s="135">
        <f t="shared" si="115"/>
        <v>7.97</v>
      </c>
      <c r="GJ20" s="124">
        <v>76.900000000000006</v>
      </c>
      <c r="GK20" s="132">
        <v>800</v>
      </c>
      <c r="GL20" s="133">
        <f t="shared" si="116"/>
        <v>61520</v>
      </c>
      <c r="GM20" s="227">
        <f t="shared" si="136"/>
        <v>127080</v>
      </c>
      <c r="GN20" s="227">
        <f t="shared" si="136"/>
        <v>842</v>
      </c>
      <c r="GO20" s="227">
        <f t="shared" si="136"/>
        <v>64</v>
      </c>
      <c r="GP20" s="158" t="s">
        <v>471</v>
      </c>
      <c r="GQ20" s="229">
        <f t="shared" si="137"/>
        <v>15.72</v>
      </c>
      <c r="GR20" s="133">
        <f t="shared" si="117"/>
        <v>159</v>
      </c>
      <c r="GS20" s="125">
        <v>12</v>
      </c>
      <c r="GT20" s="382">
        <f t="shared" si="43"/>
        <v>14987</v>
      </c>
      <c r="GU20" s="383">
        <f t="shared" si="44"/>
        <v>1.01</v>
      </c>
      <c r="GV20" s="269">
        <f t="shared" si="118"/>
        <v>15137</v>
      </c>
      <c r="GW20" s="127">
        <v>1.302</v>
      </c>
      <c r="GX20" s="128">
        <f t="shared" si="45"/>
        <v>1.4064300000000001</v>
      </c>
      <c r="GY20" s="129">
        <v>0</v>
      </c>
      <c r="GZ20" s="128">
        <f t="shared" si="46"/>
        <v>0.32916000000000001</v>
      </c>
      <c r="HA20" s="128">
        <f t="shared" si="46"/>
        <v>0.59841999999999995</v>
      </c>
      <c r="HB20" s="129">
        <v>0</v>
      </c>
      <c r="HC20" s="128">
        <f t="shared" si="119"/>
        <v>0.68</v>
      </c>
      <c r="HD20" s="128">
        <f t="shared" si="47"/>
        <v>1.24295</v>
      </c>
      <c r="HE20" s="128">
        <f t="shared" si="47"/>
        <v>1.1232899999999999</v>
      </c>
      <c r="HF20" s="128">
        <f t="shared" si="120"/>
        <v>0.48365000000000002</v>
      </c>
      <c r="HG20" s="130">
        <f t="shared" si="48"/>
        <v>0.13783999999999999</v>
      </c>
      <c r="HH20" s="131">
        <f t="shared" si="138"/>
        <v>15170810</v>
      </c>
      <c r="HI20" s="387">
        <f t="shared" si="49"/>
        <v>47584.6</v>
      </c>
      <c r="HJ20" s="138">
        <f t="shared" si="50"/>
        <v>26295.47</v>
      </c>
      <c r="HK20" s="142">
        <f t="shared" si="51"/>
        <v>14.204980000000001</v>
      </c>
      <c r="HL20" s="131">
        <f t="shared" si="121"/>
        <v>5835980</v>
      </c>
      <c r="HM20" s="153">
        <f t="shared" si="122"/>
        <v>46</v>
      </c>
      <c r="HN20" s="140">
        <f t="shared" si="123"/>
        <v>1.7958499999999999</v>
      </c>
      <c r="HP20" s="151">
        <f t="shared" si="124"/>
        <v>282.95999999999998</v>
      </c>
    </row>
    <row r="21" spans="1:224" s="113" customFormat="1" ht="24" x14ac:dyDescent="0.25">
      <c r="A21" s="120" t="s">
        <v>56</v>
      </c>
      <c r="B21" s="135">
        <f t="shared" si="52"/>
        <v>134.87</v>
      </c>
      <c r="C21" s="135">
        <f t="shared" si="53"/>
        <v>83.87</v>
      </c>
      <c r="D21" s="135">
        <f t="shared" si="54"/>
        <v>47.9</v>
      </c>
      <c r="E21" s="135">
        <f t="shared" si="125"/>
        <v>35.97</v>
      </c>
      <c r="F21" s="135">
        <f t="shared" si="55"/>
        <v>3.91</v>
      </c>
      <c r="G21" s="124">
        <v>76.900000000000006</v>
      </c>
      <c r="H21" s="132">
        <v>800</v>
      </c>
      <c r="I21" s="133">
        <f t="shared" si="56"/>
        <v>61520</v>
      </c>
      <c r="J21" s="378">
        <f>'1.4. часы и места для МЗ и СЗ'!Z27</f>
        <v>100800</v>
      </c>
      <c r="K21" s="378">
        <f>'1.4. часы и места для МЗ и СЗ'!AA27</f>
        <v>1299</v>
      </c>
      <c r="L21" s="378">
        <f>'1.4. часы и места для МЗ и СЗ'!AB27</f>
        <v>83</v>
      </c>
      <c r="M21" s="378">
        <f>'1.4. часы и места для МЗ и СЗ'!AC27</f>
        <v>36</v>
      </c>
      <c r="N21" s="379">
        <f>'1.4. часы и места для МЗ и СЗ'!AD27</f>
        <v>10.42</v>
      </c>
      <c r="O21" s="133">
        <f t="shared" si="57"/>
        <v>126</v>
      </c>
      <c r="P21" s="125">
        <v>12</v>
      </c>
      <c r="Q21" s="160">
        <v>14987</v>
      </c>
      <c r="R21" s="272">
        <v>1.01</v>
      </c>
      <c r="S21" s="269">
        <f t="shared" si="58"/>
        <v>15137</v>
      </c>
      <c r="T21" s="127">
        <v>1.302</v>
      </c>
      <c r="U21" s="128">
        <f t="shared" si="0"/>
        <v>1.47617</v>
      </c>
      <c r="V21" s="129">
        <v>0</v>
      </c>
      <c r="W21" s="128">
        <f t="shared" si="1"/>
        <v>0.29274</v>
      </c>
      <c r="X21" s="128">
        <f t="shared" si="1"/>
        <v>0.45841999999999999</v>
      </c>
      <c r="Y21" s="129">
        <v>0</v>
      </c>
      <c r="Z21" s="128">
        <f t="shared" si="59"/>
        <v>0.81</v>
      </c>
      <c r="AA21" s="128">
        <f t="shared" si="2"/>
        <v>1.1776</v>
      </c>
      <c r="AB21" s="128">
        <f t="shared" si="2"/>
        <v>1.1232899999999999</v>
      </c>
      <c r="AC21" s="128">
        <f t="shared" si="60"/>
        <v>0.61031999999999997</v>
      </c>
      <c r="AD21" s="130">
        <f t="shared" si="3"/>
        <v>8.1689999999999999E-2</v>
      </c>
      <c r="AE21" s="131">
        <f t="shared" si="126"/>
        <v>8848224</v>
      </c>
      <c r="AF21" s="162">
        <v>47584.6</v>
      </c>
      <c r="AG21" s="138">
        <f t="shared" si="4"/>
        <v>25239.81</v>
      </c>
      <c r="AH21" s="142">
        <f t="shared" si="5"/>
        <v>12.955073000000001</v>
      </c>
      <c r="AI21" s="131">
        <f t="shared" si="61"/>
        <v>5108791</v>
      </c>
      <c r="AJ21" s="153">
        <f t="shared" si="62"/>
        <v>51</v>
      </c>
      <c r="AK21" s="140">
        <f t="shared" si="63"/>
        <v>2.0647199999999999</v>
      </c>
      <c r="AM21" s="135">
        <f t="shared" si="64"/>
        <v>79.39</v>
      </c>
      <c r="AN21" s="135">
        <f t="shared" si="65"/>
        <v>26.39</v>
      </c>
      <c r="AO21" s="135">
        <f t="shared" si="66"/>
        <v>12.61</v>
      </c>
      <c r="AP21" s="135">
        <f t="shared" si="127"/>
        <v>13.78</v>
      </c>
      <c r="AQ21" s="135">
        <f t="shared" si="67"/>
        <v>1.3</v>
      </c>
      <c r="AR21" s="124">
        <v>76.900000000000006</v>
      </c>
      <c r="AS21" s="132">
        <v>800</v>
      </c>
      <c r="AT21" s="133">
        <f t="shared" si="68"/>
        <v>61520</v>
      </c>
      <c r="AU21" s="378">
        <f>'1.4. часы и места для МЗ и СЗ'!Z66</f>
        <v>117512</v>
      </c>
      <c r="AV21" s="378">
        <f>'1.4. часы и места для МЗ и СЗ'!AA66</f>
        <v>1491</v>
      </c>
      <c r="AW21" s="378">
        <f>'1.4. часы и места для МЗ и СЗ'!AB66</f>
        <v>18</v>
      </c>
      <c r="AX21" s="378">
        <f>'1.4. часы и места для МЗ и СЗ'!AC66</f>
        <v>36</v>
      </c>
      <c r="AY21" s="379">
        <f>'1.4. часы и места для МЗ и СЗ'!AD66</f>
        <v>3.3</v>
      </c>
      <c r="AZ21" s="133">
        <f t="shared" si="69"/>
        <v>147</v>
      </c>
      <c r="BA21" s="125">
        <v>12</v>
      </c>
      <c r="BB21" s="382">
        <f t="shared" si="6"/>
        <v>14987</v>
      </c>
      <c r="BC21" s="383">
        <f t="shared" si="7"/>
        <v>1.01</v>
      </c>
      <c r="BD21" s="269">
        <f t="shared" si="70"/>
        <v>15137</v>
      </c>
      <c r="BE21" s="127">
        <v>1.302</v>
      </c>
      <c r="BF21" s="128">
        <f t="shared" si="8"/>
        <v>1.38046</v>
      </c>
      <c r="BG21" s="129">
        <v>0</v>
      </c>
      <c r="BH21" s="128">
        <f t="shared" si="9"/>
        <v>0.43123</v>
      </c>
      <c r="BI21" s="128">
        <f t="shared" si="9"/>
        <v>0.66134000000000004</v>
      </c>
      <c r="BJ21" s="129">
        <v>0</v>
      </c>
      <c r="BK21" s="128">
        <f t="shared" si="71"/>
        <v>0.72</v>
      </c>
      <c r="BL21" s="128">
        <f t="shared" si="10"/>
        <v>1.2245299999999999</v>
      </c>
      <c r="BM21" s="128">
        <f t="shared" si="10"/>
        <v>1.1232899999999999</v>
      </c>
      <c r="BN21" s="128">
        <f t="shared" si="72"/>
        <v>0.52312999999999998</v>
      </c>
      <c r="BO21" s="130">
        <f t="shared" si="11"/>
        <v>0.10316</v>
      </c>
      <c r="BP21" s="131">
        <f t="shared" si="128"/>
        <v>3253907</v>
      </c>
      <c r="BQ21" s="387">
        <f t="shared" si="12"/>
        <v>47584.6</v>
      </c>
      <c r="BR21" s="138">
        <f t="shared" si="13"/>
        <v>26688.58</v>
      </c>
      <c r="BS21" s="142">
        <f t="shared" si="14"/>
        <v>14.830109</v>
      </c>
      <c r="BT21" s="131">
        <f t="shared" si="73"/>
        <v>6183894</v>
      </c>
      <c r="BU21" s="153">
        <f t="shared" si="74"/>
        <v>53</v>
      </c>
      <c r="BV21" s="140">
        <f t="shared" si="75"/>
        <v>5.2030099999999999</v>
      </c>
      <c r="BX21" s="135">
        <f t="shared" si="76"/>
        <v>106.89</v>
      </c>
      <c r="BY21" s="135">
        <f t="shared" si="77"/>
        <v>57.89</v>
      </c>
      <c r="BZ21" s="135">
        <f t="shared" si="78"/>
        <v>29.01</v>
      </c>
      <c r="CA21" s="135">
        <f t="shared" si="129"/>
        <v>28.88</v>
      </c>
      <c r="CB21" s="135">
        <f t="shared" si="79"/>
        <v>9.32</v>
      </c>
      <c r="CC21" s="124">
        <v>76.900000000000006</v>
      </c>
      <c r="CD21" s="132">
        <v>800</v>
      </c>
      <c r="CE21" s="133">
        <f t="shared" si="80"/>
        <v>61520</v>
      </c>
      <c r="CF21" s="378">
        <f>'1.4. часы и места для МЗ и СЗ'!Z79</f>
        <v>22896</v>
      </c>
      <c r="CG21" s="378">
        <f>'1.4. часы и места для МЗ и СЗ'!AA79</f>
        <v>234</v>
      </c>
      <c r="CH21" s="378">
        <f>'1.4. часы и места для МЗ и СЗ'!AB79</f>
        <v>8</v>
      </c>
      <c r="CI21" s="378">
        <f>'1.4. часы и места для МЗ и СЗ'!AC79</f>
        <v>36</v>
      </c>
      <c r="CJ21" s="379">
        <f>'1.4. часы и места для МЗ и СЗ'!AD79</f>
        <v>1.32</v>
      </c>
      <c r="CK21" s="133">
        <f t="shared" si="81"/>
        <v>29</v>
      </c>
      <c r="CL21" s="125">
        <v>12</v>
      </c>
      <c r="CM21" s="382">
        <f t="shared" si="15"/>
        <v>14987</v>
      </c>
      <c r="CN21" s="383">
        <f t="shared" si="16"/>
        <v>1.01</v>
      </c>
      <c r="CO21" s="269">
        <f t="shared" si="82"/>
        <v>15137</v>
      </c>
      <c r="CP21" s="127">
        <v>1.302</v>
      </c>
      <c r="CQ21" s="128">
        <f t="shared" si="17"/>
        <v>1.34843</v>
      </c>
      <c r="CR21" s="129">
        <v>0</v>
      </c>
      <c r="CS21" s="128">
        <f t="shared" si="18"/>
        <v>0.33637</v>
      </c>
      <c r="CT21" s="128">
        <f t="shared" si="18"/>
        <v>0.65883000000000003</v>
      </c>
      <c r="CU21" s="129">
        <v>0</v>
      </c>
      <c r="CV21" s="128">
        <f t="shared" si="83"/>
        <v>4.24</v>
      </c>
      <c r="CW21" s="128">
        <f t="shared" si="19"/>
        <v>1.4220999999999999</v>
      </c>
      <c r="CX21" s="128">
        <f t="shared" si="19"/>
        <v>1.1232899999999999</v>
      </c>
      <c r="CY21" s="128">
        <f t="shared" si="84"/>
        <v>2.6517200000000001</v>
      </c>
      <c r="CZ21" s="130">
        <f t="shared" si="20"/>
        <v>0.32107000000000002</v>
      </c>
      <c r="DA21" s="131">
        <f t="shared" si="130"/>
        <v>1538840</v>
      </c>
      <c r="DB21" s="387">
        <f t="shared" si="21"/>
        <v>47584.6</v>
      </c>
      <c r="DC21" s="138">
        <f t="shared" si="22"/>
        <v>27173.42</v>
      </c>
      <c r="DD21" s="142">
        <f t="shared" si="23"/>
        <v>2.6608070000000001</v>
      </c>
      <c r="DE21" s="131">
        <f t="shared" si="85"/>
        <v>1129666</v>
      </c>
      <c r="DF21" s="153">
        <f t="shared" si="86"/>
        <v>49</v>
      </c>
      <c r="DG21" s="140">
        <f t="shared" si="87"/>
        <v>2.6890700000000001</v>
      </c>
      <c r="DI21" s="135">
        <f t="shared" si="88"/>
        <v>0</v>
      </c>
      <c r="DJ21" s="135">
        <f t="shared" si="89"/>
        <v>0</v>
      </c>
      <c r="DK21" s="135">
        <f t="shared" si="90"/>
        <v>0</v>
      </c>
      <c r="DL21" s="135">
        <f t="shared" si="131"/>
        <v>0</v>
      </c>
      <c r="DM21" s="135">
        <f t="shared" si="91"/>
        <v>0</v>
      </c>
      <c r="DN21" s="124">
        <v>76.900000000000006</v>
      </c>
      <c r="DO21" s="132">
        <v>800</v>
      </c>
      <c r="DP21" s="133">
        <f t="shared" si="92"/>
        <v>61520</v>
      </c>
      <c r="DQ21" s="378">
        <f>'1.4. часы и места для МЗ и СЗ'!Z40</f>
        <v>0</v>
      </c>
      <c r="DR21" s="378">
        <f>'1.4. часы и места для МЗ и СЗ'!AA40</f>
        <v>0</v>
      </c>
      <c r="DS21" s="378">
        <f>'1.4. часы и места для МЗ и СЗ'!AB40</f>
        <v>0</v>
      </c>
      <c r="DT21" s="378">
        <f>'1.4. часы и места для МЗ и СЗ'!AC40</f>
        <v>0</v>
      </c>
      <c r="DU21" s="379">
        <f>'1.4. часы и места для МЗ и СЗ'!AD40</f>
        <v>0</v>
      </c>
      <c r="DV21" s="133">
        <f t="shared" si="93"/>
        <v>0</v>
      </c>
      <c r="DW21" s="125">
        <v>12</v>
      </c>
      <c r="DX21" s="382">
        <f t="shared" si="24"/>
        <v>14987</v>
      </c>
      <c r="DY21" s="383">
        <f t="shared" si="25"/>
        <v>1.01</v>
      </c>
      <c r="DZ21" s="269">
        <f t="shared" si="94"/>
        <v>15137</v>
      </c>
      <c r="EA21" s="127">
        <v>1.302</v>
      </c>
      <c r="EB21" s="128">
        <f t="shared" si="26"/>
        <v>1.35737</v>
      </c>
      <c r="EC21" s="129">
        <v>0</v>
      </c>
      <c r="ED21" s="128">
        <f t="shared" si="27"/>
        <v>0.22051999999999999</v>
      </c>
      <c r="EE21" s="128">
        <f t="shared" si="27"/>
        <v>0.73350000000000004</v>
      </c>
      <c r="EF21" s="129">
        <v>0</v>
      </c>
      <c r="EG21" s="128">
        <f t="shared" si="95"/>
        <v>0</v>
      </c>
      <c r="EH21" s="128">
        <f t="shared" si="28"/>
        <v>1.2033499999999999</v>
      </c>
      <c r="EI21" s="128">
        <f t="shared" si="28"/>
        <v>1.1232899999999999</v>
      </c>
      <c r="EJ21" s="128">
        <f t="shared" si="96"/>
        <v>0</v>
      </c>
      <c r="EK21" s="130">
        <f t="shared" si="29"/>
        <v>0.17288999999999999</v>
      </c>
      <c r="EL21" s="131">
        <f>DJ21*DQ21+DM21*DQ21</f>
        <v>0</v>
      </c>
      <c r="EM21" s="387">
        <f t="shared" si="30"/>
        <v>47584.6</v>
      </c>
      <c r="EN21" s="138">
        <f t="shared" si="31"/>
        <v>27038.09</v>
      </c>
      <c r="EO21" s="142">
        <f t="shared" si="32"/>
        <v>0</v>
      </c>
      <c r="EP21" s="131">
        <f t="shared" si="97"/>
        <v>0</v>
      </c>
      <c r="EQ21" s="153">
        <f t="shared" si="98"/>
        <v>0</v>
      </c>
      <c r="ER21" s="140">
        <f t="shared" si="99"/>
        <v>0</v>
      </c>
      <c r="ET21" s="135">
        <f t="shared" si="100"/>
        <v>0</v>
      </c>
      <c r="EU21" s="135">
        <f t="shared" si="101"/>
        <v>0</v>
      </c>
      <c r="EV21" s="135">
        <f t="shared" si="102"/>
        <v>0</v>
      </c>
      <c r="EW21" s="135">
        <f t="shared" si="133"/>
        <v>0</v>
      </c>
      <c r="EX21" s="135">
        <f t="shared" si="103"/>
        <v>0</v>
      </c>
      <c r="EY21" s="124">
        <v>76.900000000000006</v>
      </c>
      <c r="EZ21" s="132">
        <v>800</v>
      </c>
      <c r="FA21" s="133">
        <f t="shared" si="104"/>
        <v>61520</v>
      </c>
      <c r="FB21" s="378">
        <f>'1.4. часы и места для МЗ и СЗ'!Z53</f>
        <v>0</v>
      </c>
      <c r="FC21" s="378">
        <f>'1.4. часы и места для МЗ и СЗ'!AA53</f>
        <v>0</v>
      </c>
      <c r="FD21" s="378">
        <f>'1.4. часы и места для МЗ и СЗ'!AB53</f>
        <v>0</v>
      </c>
      <c r="FE21" s="378">
        <f>'1.4. часы и места для МЗ и СЗ'!AC53</f>
        <v>0</v>
      </c>
      <c r="FF21" s="379">
        <f>'1.4. часы и места для МЗ и СЗ'!AD53</f>
        <v>0</v>
      </c>
      <c r="FG21" s="133">
        <f t="shared" si="105"/>
        <v>0</v>
      </c>
      <c r="FH21" s="125">
        <v>12</v>
      </c>
      <c r="FI21" s="382">
        <f t="shared" si="33"/>
        <v>14987</v>
      </c>
      <c r="FJ21" s="383">
        <f t="shared" si="34"/>
        <v>1.01</v>
      </c>
      <c r="FK21" s="269">
        <f t="shared" si="106"/>
        <v>15137</v>
      </c>
      <c r="FL21" s="127">
        <v>1.302</v>
      </c>
      <c r="FM21" s="128">
        <f t="shared" si="35"/>
        <v>1.32193</v>
      </c>
      <c r="FN21" s="129">
        <v>0</v>
      </c>
      <c r="FO21" s="128">
        <f t="shared" si="36"/>
        <v>0.21695999999999999</v>
      </c>
      <c r="FP21" s="128">
        <f t="shared" si="36"/>
        <v>0.97809999999999997</v>
      </c>
      <c r="FQ21" s="129">
        <v>0</v>
      </c>
      <c r="FR21" s="128">
        <f t="shared" si="107"/>
        <v>0</v>
      </c>
      <c r="FS21" s="128">
        <f t="shared" si="37"/>
        <v>1.0935600000000001</v>
      </c>
      <c r="FT21" s="128">
        <f t="shared" si="37"/>
        <v>1.1232899999999999</v>
      </c>
      <c r="FU21" s="128">
        <f t="shared" si="108"/>
        <v>0</v>
      </c>
      <c r="FV21" s="130">
        <f t="shared" si="38"/>
        <v>0</v>
      </c>
      <c r="FW21" s="131">
        <f t="shared" si="134"/>
        <v>0</v>
      </c>
      <c r="FX21" s="387">
        <f t="shared" si="39"/>
        <v>47584.6</v>
      </c>
      <c r="FY21" s="138">
        <f t="shared" si="40"/>
        <v>27574.55</v>
      </c>
      <c r="FZ21" s="142">
        <f t="shared" si="41"/>
        <v>0</v>
      </c>
      <c r="GA21" s="131">
        <f t="shared" si="109"/>
        <v>0</v>
      </c>
      <c r="GB21" s="153">
        <f t="shared" si="110"/>
        <v>0</v>
      </c>
      <c r="GC21" s="140">
        <f t="shared" si="111"/>
        <v>0</v>
      </c>
      <c r="GE21" s="135">
        <f t="shared" si="112"/>
        <v>102.43</v>
      </c>
      <c r="GF21" s="135">
        <f t="shared" si="113"/>
        <v>56.43</v>
      </c>
      <c r="GG21" s="135">
        <f t="shared" si="114"/>
        <v>29.27</v>
      </c>
      <c r="GH21" s="135">
        <f t="shared" si="135"/>
        <v>27.16</v>
      </c>
      <c r="GI21" s="135">
        <f t="shared" si="115"/>
        <v>4.04</v>
      </c>
      <c r="GJ21" s="124">
        <v>76.900000000000006</v>
      </c>
      <c r="GK21" s="132">
        <v>800</v>
      </c>
      <c r="GL21" s="133">
        <f t="shared" si="116"/>
        <v>61520</v>
      </c>
      <c r="GM21" s="227">
        <f t="shared" si="136"/>
        <v>241208</v>
      </c>
      <c r="GN21" s="227">
        <f t="shared" si="136"/>
        <v>3024</v>
      </c>
      <c r="GO21" s="227">
        <f t="shared" si="136"/>
        <v>109</v>
      </c>
      <c r="GP21" s="158" t="s">
        <v>471</v>
      </c>
      <c r="GQ21" s="229">
        <f t="shared" si="137"/>
        <v>15.04</v>
      </c>
      <c r="GR21" s="133">
        <f t="shared" si="117"/>
        <v>302</v>
      </c>
      <c r="GS21" s="125">
        <v>12</v>
      </c>
      <c r="GT21" s="382">
        <f t="shared" si="43"/>
        <v>14987</v>
      </c>
      <c r="GU21" s="383">
        <f t="shared" si="44"/>
        <v>1.01</v>
      </c>
      <c r="GV21" s="269">
        <f t="shared" si="118"/>
        <v>15137</v>
      </c>
      <c r="GW21" s="127">
        <v>1.302</v>
      </c>
      <c r="GX21" s="128">
        <f t="shared" si="45"/>
        <v>1.4064300000000001</v>
      </c>
      <c r="GY21" s="129">
        <v>0</v>
      </c>
      <c r="GZ21" s="128">
        <f t="shared" si="46"/>
        <v>0.32916000000000001</v>
      </c>
      <c r="HA21" s="128">
        <f t="shared" si="46"/>
        <v>0.59841999999999995</v>
      </c>
      <c r="HB21" s="129">
        <v>0</v>
      </c>
      <c r="HC21" s="128">
        <f t="shared" si="119"/>
        <v>0.36</v>
      </c>
      <c r="HD21" s="128">
        <f t="shared" si="47"/>
        <v>1.24295</v>
      </c>
      <c r="HE21" s="128">
        <f t="shared" si="47"/>
        <v>1.1232899999999999</v>
      </c>
      <c r="HF21" s="128">
        <f t="shared" si="120"/>
        <v>0.25463999999999998</v>
      </c>
      <c r="HG21" s="130">
        <f t="shared" si="48"/>
        <v>0.13783999999999999</v>
      </c>
      <c r="HH21" s="131">
        <f t="shared" si="138"/>
        <v>14585848</v>
      </c>
      <c r="HI21" s="387">
        <f t="shared" si="49"/>
        <v>47584.6</v>
      </c>
      <c r="HJ21" s="138">
        <f t="shared" si="50"/>
        <v>26295.47</v>
      </c>
      <c r="HK21" s="142">
        <f t="shared" si="51"/>
        <v>26.962188000000001</v>
      </c>
      <c r="HL21" s="131">
        <f t="shared" si="121"/>
        <v>11077157</v>
      </c>
      <c r="HM21" s="153">
        <f t="shared" si="122"/>
        <v>46</v>
      </c>
      <c r="HN21" s="140">
        <f t="shared" si="123"/>
        <v>2.5715699999999999</v>
      </c>
      <c r="HP21" s="151">
        <f t="shared" si="124"/>
        <v>270.72000000000003</v>
      </c>
    </row>
    <row r="22" spans="1:224" s="113" customFormat="1" ht="36" x14ac:dyDescent="0.25">
      <c r="A22" s="121" t="s">
        <v>441</v>
      </c>
      <c r="B22" s="135">
        <f t="shared" si="52"/>
        <v>0</v>
      </c>
      <c r="C22" s="135">
        <f t="shared" si="53"/>
        <v>0</v>
      </c>
      <c r="D22" s="135">
        <f t="shared" si="54"/>
        <v>0</v>
      </c>
      <c r="E22" s="135">
        <f t="shared" si="125"/>
        <v>0</v>
      </c>
      <c r="F22" s="135">
        <f t="shared" si="55"/>
        <v>0</v>
      </c>
      <c r="G22" s="124">
        <v>76.900000000000006</v>
      </c>
      <c r="H22" s="132">
        <v>800</v>
      </c>
      <c r="I22" s="133">
        <f t="shared" si="56"/>
        <v>61520</v>
      </c>
      <c r="J22" s="378">
        <f>'1.4. часы и места для МЗ и СЗ'!Z29</f>
        <v>0</v>
      </c>
      <c r="K22" s="378">
        <f>'1.4. часы и места для МЗ и СЗ'!AA29</f>
        <v>0</v>
      </c>
      <c r="L22" s="378">
        <f>'1.4. часы и места для МЗ и СЗ'!AB29</f>
        <v>0</v>
      </c>
      <c r="M22" s="378">
        <f>'1.4. часы и места для МЗ и СЗ'!AC29</f>
        <v>0</v>
      </c>
      <c r="N22" s="379">
        <f>'1.4. часы и места для МЗ и СЗ'!AD29</f>
        <v>0</v>
      </c>
      <c r="O22" s="133">
        <f t="shared" si="57"/>
        <v>0</v>
      </c>
      <c r="P22" s="125">
        <v>12</v>
      </c>
      <c r="Q22" s="160">
        <v>14987</v>
      </c>
      <c r="R22" s="272">
        <v>1.01</v>
      </c>
      <c r="S22" s="269">
        <f t="shared" si="58"/>
        <v>15137</v>
      </c>
      <c r="T22" s="127">
        <v>1.302</v>
      </c>
      <c r="U22" s="128">
        <f>U$12</f>
        <v>1.48072</v>
      </c>
      <c r="V22" s="129">
        <v>0</v>
      </c>
      <c r="W22" s="128">
        <f>W$12</f>
        <v>0.29183999999999999</v>
      </c>
      <c r="X22" s="128">
        <f>X$12</f>
        <v>0.46305000000000002</v>
      </c>
      <c r="Y22" s="129">
        <v>0</v>
      </c>
      <c r="Z22" s="128">
        <f t="shared" si="59"/>
        <v>0</v>
      </c>
      <c r="AA22" s="128">
        <f t="shared" si="2"/>
        <v>1.1776</v>
      </c>
      <c r="AB22" s="128">
        <f>AB$12</f>
        <v>1.16164</v>
      </c>
      <c r="AC22" s="128">
        <f t="shared" si="60"/>
        <v>0</v>
      </c>
      <c r="AD22" s="130">
        <f>AD$12</f>
        <v>8.1439999999999999E-2</v>
      </c>
      <c r="AE22" s="131">
        <f t="shared" si="126"/>
        <v>0</v>
      </c>
      <c r="AF22" s="162">
        <v>47584.6</v>
      </c>
      <c r="AG22" s="138">
        <f t="shared" si="4"/>
        <v>25170.94</v>
      </c>
      <c r="AH22" s="142">
        <f t="shared" si="5"/>
        <v>0</v>
      </c>
      <c r="AI22" s="131">
        <f t="shared" si="61"/>
        <v>0</v>
      </c>
      <c r="AJ22" s="153">
        <f t="shared" si="62"/>
        <v>0</v>
      </c>
      <c r="AK22" s="140">
        <f t="shared" si="63"/>
        <v>0</v>
      </c>
      <c r="AM22" s="135">
        <f t="shared" si="64"/>
        <v>103.71</v>
      </c>
      <c r="AN22" s="135">
        <f t="shared" si="65"/>
        <v>51.71</v>
      </c>
      <c r="AO22" s="135">
        <f t="shared" si="66"/>
        <v>24.67</v>
      </c>
      <c r="AP22" s="135">
        <f t="shared" si="127"/>
        <v>27.04</v>
      </c>
      <c r="AQ22" s="135">
        <f t="shared" si="67"/>
        <v>2.5299999999999998</v>
      </c>
      <c r="AR22" s="124">
        <v>76.900000000000006</v>
      </c>
      <c r="AS22" s="132">
        <v>800</v>
      </c>
      <c r="AT22" s="133">
        <f t="shared" si="68"/>
        <v>61520</v>
      </c>
      <c r="AU22" s="378">
        <f>'1.4. часы и места для МЗ и СЗ'!Z68</f>
        <v>10648</v>
      </c>
      <c r="AV22" s="378">
        <f>'1.4. часы и места для МЗ и СЗ'!AA68</f>
        <v>59</v>
      </c>
      <c r="AW22" s="378">
        <f>'1.4. часы и места для МЗ и СЗ'!AB68</f>
        <v>3</v>
      </c>
      <c r="AX22" s="378">
        <f>'1.4. часы и места для МЗ и СЗ'!AC68</f>
        <v>44</v>
      </c>
      <c r="AY22" s="379">
        <f>'1.4. часы и места для МЗ и СЗ'!AD68</f>
        <v>0.55000000000000004</v>
      </c>
      <c r="AZ22" s="133">
        <f t="shared" si="69"/>
        <v>13</v>
      </c>
      <c r="BA22" s="125">
        <v>12</v>
      </c>
      <c r="BB22" s="382">
        <f t="shared" si="6"/>
        <v>14987</v>
      </c>
      <c r="BC22" s="383">
        <f t="shared" si="7"/>
        <v>1.01</v>
      </c>
      <c r="BD22" s="269">
        <f t="shared" si="70"/>
        <v>15137</v>
      </c>
      <c r="BE22" s="127">
        <v>1.302</v>
      </c>
      <c r="BF22" s="128">
        <f>BF$12</f>
        <v>1.3871500000000001</v>
      </c>
      <c r="BG22" s="129">
        <v>0</v>
      </c>
      <c r="BH22" s="128">
        <f>BH$12</f>
        <v>0.42914999999999998</v>
      </c>
      <c r="BI22" s="128">
        <f>BI$12</f>
        <v>0.66744000000000003</v>
      </c>
      <c r="BJ22" s="129">
        <v>0</v>
      </c>
      <c r="BK22" s="128">
        <f t="shared" si="71"/>
        <v>8.41</v>
      </c>
      <c r="BL22" s="128">
        <f t="shared" si="10"/>
        <v>1.2245299999999999</v>
      </c>
      <c r="BM22" s="128">
        <f>BM$12</f>
        <v>1.16164</v>
      </c>
      <c r="BN22" s="128">
        <f t="shared" si="72"/>
        <v>5.9153799999999999</v>
      </c>
      <c r="BO22" s="130">
        <f>BO$12</f>
        <v>0.10267</v>
      </c>
      <c r="BP22" s="131">
        <f t="shared" si="128"/>
        <v>577548</v>
      </c>
      <c r="BQ22" s="387">
        <f t="shared" si="12"/>
        <v>47584.6</v>
      </c>
      <c r="BR22" s="138">
        <f t="shared" si="13"/>
        <v>26587.31</v>
      </c>
      <c r="BS22" s="142">
        <f t="shared" si="14"/>
        <v>1.3437859999999999</v>
      </c>
      <c r="BT22" s="131">
        <f t="shared" si="73"/>
        <v>558209</v>
      </c>
      <c r="BU22" s="153">
        <f t="shared" si="74"/>
        <v>52</v>
      </c>
      <c r="BV22" s="140">
        <f t="shared" si="75"/>
        <v>3.1078199999999998</v>
      </c>
      <c r="BX22" s="135">
        <f t="shared" si="76"/>
        <v>0</v>
      </c>
      <c r="BY22" s="135">
        <f t="shared" si="77"/>
        <v>0</v>
      </c>
      <c r="BZ22" s="135">
        <f t="shared" si="78"/>
        <v>0</v>
      </c>
      <c r="CA22" s="135">
        <f t="shared" si="129"/>
        <v>0</v>
      </c>
      <c r="CB22" s="135">
        <f t="shared" si="79"/>
        <v>0</v>
      </c>
      <c r="CC22" s="124">
        <v>76.900000000000006</v>
      </c>
      <c r="CD22" s="132">
        <v>800</v>
      </c>
      <c r="CE22" s="133">
        <f t="shared" si="80"/>
        <v>61520</v>
      </c>
      <c r="CF22" s="378">
        <f>'1.4. часы и места для МЗ и СЗ'!Z81</f>
        <v>0</v>
      </c>
      <c r="CG22" s="378">
        <f>'1.4. часы и места для МЗ и СЗ'!AA81</f>
        <v>0</v>
      </c>
      <c r="CH22" s="378">
        <f>'1.4. часы и места для МЗ и СЗ'!AB81</f>
        <v>0</v>
      </c>
      <c r="CI22" s="378">
        <f>'1.4. часы и места для МЗ и СЗ'!AC81</f>
        <v>0</v>
      </c>
      <c r="CJ22" s="379">
        <f>'1.4. часы и места для МЗ и СЗ'!AD81</f>
        <v>0</v>
      </c>
      <c r="CK22" s="133">
        <f t="shared" si="81"/>
        <v>0</v>
      </c>
      <c r="CL22" s="125">
        <v>12</v>
      </c>
      <c r="CM22" s="382">
        <f t="shared" si="15"/>
        <v>14987</v>
      </c>
      <c r="CN22" s="383">
        <f t="shared" si="16"/>
        <v>1.01</v>
      </c>
      <c r="CO22" s="269">
        <f t="shared" si="82"/>
        <v>15137</v>
      </c>
      <c r="CP22" s="127">
        <v>1.302</v>
      </c>
      <c r="CQ22" s="128">
        <f>CQ$12</f>
        <v>1.3502099999999999</v>
      </c>
      <c r="CR22" s="129">
        <v>0</v>
      </c>
      <c r="CS22" s="128">
        <f>CS$12</f>
        <v>0.33593000000000001</v>
      </c>
      <c r="CT22" s="128">
        <f>CT$12</f>
        <v>0.67049999999999998</v>
      </c>
      <c r="CU22" s="129">
        <v>0</v>
      </c>
      <c r="CV22" s="128">
        <f t="shared" si="83"/>
        <v>0</v>
      </c>
      <c r="CW22" s="128">
        <f t="shared" si="19"/>
        <v>1.4220999999999999</v>
      </c>
      <c r="CX22" s="128">
        <f>CX$12</f>
        <v>1.16164</v>
      </c>
      <c r="CY22" s="128">
        <f t="shared" si="84"/>
        <v>0</v>
      </c>
      <c r="CZ22" s="130">
        <f>CZ$12</f>
        <v>0.32064999999999999</v>
      </c>
      <c r="DA22" s="131">
        <f t="shared" si="130"/>
        <v>0</v>
      </c>
      <c r="DB22" s="387">
        <f t="shared" si="21"/>
        <v>47584.6</v>
      </c>
      <c r="DC22" s="138">
        <f t="shared" si="22"/>
        <v>27146.47</v>
      </c>
      <c r="DD22" s="142">
        <f t="shared" si="23"/>
        <v>0</v>
      </c>
      <c r="DE22" s="131">
        <f t="shared" si="85"/>
        <v>0</v>
      </c>
      <c r="DF22" s="153">
        <f t="shared" si="86"/>
        <v>0</v>
      </c>
      <c r="DG22" s="140">
        <f t="shared" si="87"/>
        <v>0</v>
      </c>
      <c r="DI22" s="135">
        <f t="shared" si="88"/>
        <v>0</v>
      </c>
      <c r="DJ22" s="135">
        <f t="shared" si="89"/>
        <v>0</v>
      </c>
      <c r="DK22" s="135">
        <f t="shared" si="90"/>
        <v>0</v>
      </c>
      <c r="DL22" s="135">
        <f t="shared" si="131"/>
        <v>0</v>
      </c>
      <c r="DM22" s="135">
        <f t="shared" si="91"/>
        <v>0</v>
      </c>
      <c r="DN22" s="124">
        <v>76.900000000000006</v>
      </c>
      <c r="DO22" s="132">
        <v>800</v>
      </c>
      <c r="DP22" s="133">
        <f t="shared" si="92"/>
        <v>61520</v>
      </c>
      <c r="DQ22" s="378">
        <f>'1.4. часы и места для МЗ и СЗ'!Z42</f>
        <v>0</v>
      </c>
      <c r="DR22" s="378">
        <f>'1.4. часы и места для МЗ и СЗ'!AA42</f>
        <v>0</v>
      </c>
      <c r="DS22" s="378">
        <f>'1.4. часы и места для МЗ и СЗ'!AB42</f>
        <v>0</v>
      </c>
      <c r="DT22" s="378">
        <f>'1.4. часы и места для МЗ и СЗ'!AC42</f>
        <v>0</v>
      </c>
      <c r="DU22" s="379">
        <f>'1.4. часы и места для МЗ и СЗ'!AD42</f>
        <v>0</v>
      </c>
      <c r="DV22" s="133">
        <f t="shared" si="93"/>
        <v>0</v>
      </c>
      <c r="DW22" s="125">
        <v>12</v>
      </c>
      <c r="DX22" s="382">
        <f t="shared" si="24"/>
        <v>14987</v>
      </c>
      <c r="DY22" s="383">
        <f t="shared" si="25"/>
        <v>1.01</v>
      </c>
      <c r="DZ22" s="269">
        <f t="shared" si="94"/>
        <v>15137</v>
      </c>
      <c r="EA22" s="127">
        <v>1.302</v>
      </c>
      <c r="EB22" s="128">
        <f>EB$12</f>
        <v>1.35737</v>
      </c>
      <c r="EC22" s="129">
        <v>0</v>
      </c>
      <c r="ED22" s="128">
        <f>ED$12</f>
        <v>0.22051999999999999</v>
      </c>
      <c r="EE22" s="128">
        <f>EE$12</f>
        <v>0.73350000000000004</v>
      </c>
      <c r="EF22" s="129">
        <v>0</v>
      </c>
      <c r="EG22" s="128">
        <f t="shared" si="95"/>
        <v>0</v>
      </c>
      <c r="EH22" s="128">
        <f>EH$11</f>
        <v>1.2033499999999999</v>
      </c>
      <c r="EI22" s="128">
        <f>EI$12</f>
        <v>1.16164</v>
      </c>
      <c r="EJ22" s="128">
        <f t="shared" si="96"/>
        <v>0</v>
      </c>
      <c r="EK22" s="130">
        <f>EK$12</f>
        <v>0.17288999999999999</v>
      </c>
      <c r="EL22" s="131">
        <f t="shared" si="132"/>
        <v>0</v>
      </c>
      <c r="EM22" s="387">
        <f t="shared" si="30"/>
        <v>47584.6</v>
      </c>
      <c r="EN22" s="138">
        <f t="shared" si="31"/>
        <v>27038.09</v>
      </c>
      <c r="EO22" s="142">
        <f t="shared" si="32"/>
        <v>0</v>
      </c>
      <c r="EP22" s="131">
        <f t="shared" si="97"/>
        <v>0</v>
      </c>
      <c r="EQ22" s="153">
        <f t="shared" si="98"/>
        <v>0</v>
      </c>
      <c r="ER22" s="140">
        <f t="shared" si="99"/>
        <v>0</v>
      </c>
      <c r="ET22" s="135">
        <f t="shared" si="100"/>
        <v>0</v>
      </c>
      <c r="EU22" s="135">
        <f t="shared" si="101"/>
        <v>0</v>
      </c>
      <c r="EV22" s="135">
        <f t="shared" si="102"/>
        <v>0</v>
      </c>
      <c r="EW22" s="135">
        <f t="shared" si="133"/>
        <v>0</v>
      </c>
      <c r="EX22" s="135">
        <f t="shared" si="103"/>
        <v>0</v>
      </c>
      <c r="EY22" s="124">
        <v>76.900000000000006</v>
      </c>
      <c r="EZ22" s="132">
        <v>800</v>
      </c>
      <c r="FA22" s="133">
        <f t="shared" si="104"/>
        <v>61520</v>
      </c>
      <c r="FB22" s="378">
        <f>'1.4. часы и места для МЗ и СЗ'!Z55</f>
        <v>0</v>
      </c>
      <c r="FC22" s="378">
        <f>'1.4. часы и места для МЗ и СЗ'!AA55</f>
        <v>0</v>
      </c>
      <c r="FD22" s="378">
        <f>'1.4. часы и места для МЗ и СЗ'!AB55</f>
        <v>0</v>
      </c>
      <c r="FE22" s="378">
        <f>'1.4. часы и места для МЗ и СЗ'!AC55</f>
        <v>0</v>
      </c>
      <c r="FF22" s="379">
        <f>'1.4. часы и места для МЗ и СЗ'!AD55</f>
        <v>0</v>
      </c>
      <c r="FG22" s="133">
        <f t="shared" si="105"/>
        <v>0</v>
      </c>
      <c r="FH22" s="125">
        <v>12</v>
      </c>
      <c r="FI22" s="382">
        <f t="shared" si="33"/>
        <v>14987</v>
      </c>
      <c r="FJ22" s="383">
        <f t="shared" si="34"/>
        <v>1.01</v>
      </c>
      <c r="FK22" s="269">
        <f t="shared" si="106"/>
        <v>15137</v>
      </c>
      <c r="FL22" s="127">
        <v>1.302</v>
      </c>
      <c r="FM22" s="128">
        <f>FM$12</f>
        <v>1.32193</v>
      </c>
      <c r="FN22" s="129">
        <v>0</v>
      </c>
      <c r="FO22" s="128">
        <f>FO$12</f>
        <v>0.21695999999999999</v>
      </c>
      <c r="FP22" s="128">
        <f>FP$12</f>
        <v>0.97809999999999997</v>
      </c>
      <c r="FQ22" s="129">
        <v>0</v>
      </c>
      <c r="FR22" s="128">
        <f t="shared" si="107"/>
        <v>0</v>
      </c>
      <c r="FS22" s="128">
        <f t="shared" si="37"/>
        <v>1.0935600000000001</v>
      </c>
      <c r="FT22" s="128">
        <f>FT$12</f>
        <v>1.16164</v>
      </c>
      <c r="FU22" s="128">
        <f t="shared" si="108"/>
        <v>0</v>
      </c>
      <c r="FV22" s="130">
        <f>FV$12</f>
        <v>0</v>
      </c>
      <c r="FW22" s="131">
        <f t="shared" si="134"/>
        <v>0</v>
      </c>
      <c r="FX22" s="387">
        <f t="shared" si="39"/>
        <v>47584.6</v>
      </c>
      <c r="FY22" s="138">
        <f t="shared" si="40"/>
        <v>27574.55</v>
      </c>
      <c r="FZ22" s="142">
        <f t="shared" si="41"/>
        <v>0</v>
      </c>
      <c r="GA22" s="131">
        <f t="shared" si="109"/>
        <v>0</v>
      </c>
      <c r="GB22" s="153">
        <f t="shared" si="110"/>
        <v>0</v>
      </c>
      <c r="GC22" s="140">
        <f t="shared" si="111"/>
        <v>0</v>
      </c>
      <c r="GE22" s="135">
        <f t="shared" si="112"/>
        <v>95.21</v>
      </c>
      <c r="GF22" s="135">
        <f t="shared" si="113"/>
        <v>49.21</v>
      </c>
      <c r="GG22" s="135">
        <f t="shared" si="114"/>
        <v>25.47</v>
      </c>
      <c r="GH22" s="135">
        <f t="shared" si="135"/>
        <v>23.74</v>
      </c>
      <c r="GI22" s="135">
        <f t="shared" si="115"/>
        <v>3.5</v>
      </c>
      <c r="GJ22" s="124">
        <v>76.900000000000006</v>
      </c>
      <c r="GK22" s="132">
        <v>800</v>
      </c>
      <c r="GL22" s="133">
        <f t="shared" si="116"/>
        <v>61520</v>
      </c>
      <c r="GM22" s="227">
        <f t="shared" si="136"/>
        <v>10648</v>
      </c>
      <c r="GN22" s="227">
        <f t="shared" si="136"/>
        <v>59</v>
      </c>
      <c r="GO22" s="227">
        <f t="shared" si="136"/>
        <v>3</v>
      </c>
      <c r="GP22" s="158" t="s">
        <v>471</v>
      </c>
      <c r="GQ22" s="229">
        <f t="shared" si="137"/>
        <v>0.55000000000000004</v>
      </c>
      <c r="GR22" s="133">
        <f t="shared" si="117"/>
        <v>13</v>
      </c>
      <c r="GS22" s="125">
        <v>12</v>
      </c>
      <c r="GT22" s="382">
        <f t="shared" si="43"/>
        <v>14987</v>
      </c>
      <c r="GU22" s="383">
        <f t="shared" si="44"/>
        <v>1.01</v>
      </c>
      <c r="GV22" s="269">
        <f t="shared" si="118"/>
        <v>15137</v>
      </c>
      <c r="GW22" s="127">
        <v>1.302</v>
      </c>
      <c r="GX22" s="128">
        <f>GX$12</f>
        <v>1.41039</v>
      </c>
      <c r="GY22" s="129">
        <v>0</v>
      </c>
      <c r="GZ22" s="128">
        <f>GZ$12</f>
        <v>0.32823000000000002</v>
      </c>
      <c r="HA22" s="128">
        <f>HA$12</f>
        <v>0.60419</v>
      </c>
      <c r="HB22" s="129">
        <v>0</v>
      </c>
      <c r="HC22" s="128">
        <f t="shared" si="119"/>
        <v>8.5399999999999991</v>
      </c>
      <c r="HD22" s="128">
        <f t="shared" si="47"/>
        <v>1.24295</v>
      </c>
      <c r="HE22" s="128">
        <f>HE$12</f>
        <v>1.16164</v>
      </c>
      <c r="HF22" s="128">
        <f t="shared" si="120"/>
        <v>5.9153799999999999</v>
      </c>
      <c r="HG22" s="130">
        <f>HG$12</f>
        <v>0.13744999999999999</v>
      </c>
      <c r="HH22" s="131">
        <f t="shared" si="138"/>
        <v>561256</v>
      </c>
      <c r="HI22" s="387">
        <f t="shared" si="49"/>
        <v>47584.6</v>
      </c>
      <c r="HJ22" s="138">
        <f t="shared" si="50"/>
        <v>26235.53</v>
      </c>
      <c r="HK22" s="142">
        <f t="shared" si="51"/>
        <v>1.190232</v>
      </c>
      <c r="HL22" s="131">
        <f t="shared" si="121"/>
        <v>487881</v>
      </c>
      <c r="HM22" s="153">
        <f t="shared" si="122"/>
        <v>46</v>
      </c>
      <c r="HN22" s="140">
        <f t="shared" si="123"/>
        <v>2.8060499999999999</v>
      </c>
      <c r="HP22" s="151">
        <f t="shared" si="124"/>
        <v>9.9</v>
      </c>
    </row>
    <row r="23" spans="1:224" s="113" customFormat="1" ht="36" x14ac:dyDescent="0.25">
      <c r="A23" s="121" t="s">
        <v>827</v>
      </c>
      <c r="B23" s="135">
        <f t="shared" ref="B23:B24" si="139">C23+AJ23</f>
        <v>376.77</v>
      </c>
      <c r="C23" s="135">
        <f t="shared" ref="C23:C24" si="140">N23*P23*S23*T23*U23*(1+V23+W23+X23+Y23)*Z23/G23/H23</f>
        <v>325.77</v>
      </c>
      <c r="D23" s="135">
        <f t="shared" ref="D23:D24" si="141">N23*P23*S23*T23*U23*(1+V23+Y23)*Z23/G23/H23</f>
        <v>185.64</v>
      </c>
      <c r="E23" s="135">
        <f t="shared" ref="E23:E24" si="142">C23-D23</f>
        <v>140.13</v>
      </c>
      <c r="F23" s="135">
        <f t="shared" ref="F23:F24" si="143">N23*P23*S23*T23*U23*(1+V23+Y23)*Z23*AD23/G23/H23</f>
        <v>15.12</v>
      </c>
      <c r="G23" s="124">
        <v>76.900000000000006</v>
      </c>
      <c r="H23" s="132">
        <v>800</v>
      </c>
      <c r="I23" s="133">
        <f t="shared" ref="I23:I24" si="144">G23*H23</f>
        <v>61520</v>
      </c>
      <c r="J23" s="378">
        <f>'1.4. часы и места для МЗ и СЗ'!Z28</f>
        <v>3816</v>
      </c>
      <c r="K23" s="378">
        <f>'1.4. часы и места для МЗ и СЗ'!AA28</f>
        <v>49</v>
      </c>
      <c r="L23" s="378">
        <f>'1.4. часы и места для МЗ и СЗ'!AB28</f>
        <v>6</v>
      </c>
      <c r="M23" s="378">
        <f>'1.4. часы и места для МЗ и СЗ'!AC28</f>
        <v>36</v>
      </c>
      <c r="N23" s="379">
        <f>'1.4. часы и места для МЗ и СЗ'!AD28</f>
        <v>1.55</v>
      </c>
      <c r="O23" s="133">
        <f t="shared" ref="O23:O24" si="145">J23/800</f>
        <v>5</v>
      </c>
      <c r="P23" s="125">
        <v>12</v>
      </c>
      <c r="Q23" s="160">
        <v>14987</v>
      </c>
      <c r="R23" s="272">
        <v>1.01</v>
      </c>
      <c r="S23" s="269">
        <f t="shared" ref="S23:S24" si="146">Q23*R23</f>
        <v>15137</v>
      </c>
      <c r="T23" s="127">
        <v>1.302</v>
      </c>
      <c r="U23" s="128">
        <f t="shared" ref="U23:U24" si="147">U$12</f>
        <v>1.48072</v>
      </c>
      <c r="V23" s="129">
        <v>0</v>
      </c>
      <c r="W23" s="128">
        <f t="shared" ref="W23:X24" si="148">W$12</f>
        <v>0.29183999999999999</v>
      </c>
      <c r="X23" s="128">
        <f t="shared" si="148"/>
        <v>0.46305000000000002</v>
      </c>
      <c r="Y23" s="129">
        <v>0</v>
      </c>
      <c r="Z23" s="128">
        <f t="shared" ref="Z23:Z24" si="149">ROUND(AA23*AB23*AC23,2)</f>
        <v>21.04</v>
      </c>
      <c r="AA23" s="128">
        <f t="shared" si="2"/>
        <v>1.1776</v>
      </c>
      <c r="AB23" s="128">
        <f t="shared" ref="AB23:AB24" si="150">AB$12</f>
        <v>1.16164</v>
      </c>
      <c r="AC23" s="128">
        <f t="shared" ref="AC23:AC24" si="151">IF(O23=0,0,G23/O23)</f>
        <v>15.38</v>
      </c>
      <c r="AD23" s="130">
        <f t="shared" ref="AD23:AD24" si="152">AD$12</f>
        <v>8.1439999999999999E-2</v>
      </c>
      <c r="AE23" s="131">
        <f t="shared" ref="AE23:AE24" si="153">C23*J23+F23*J23</f>
        <v>1300836</v>
      </c>
      <c r="AF23" s="162">
        <v>47584.6</v>
      </c>
      <c r="AG23" s="138">
        <f t="shared" ref="AG23:AG24" si="154">AF23-S23*U23</f>
        <v>25170.94</v>
      </c>
      <c r="AH23" s="142">
        <f t="shared" ref="AH23:AH24" si="155">AH$10/J$26*J23</f>
        <v>0.49044199999999999</v>
      </c>
      <c r="AI23" s="131">
        <f t="shared" ref="AI23:AI24" si="156">AG23*AH23*1.302*12</f>
        <v>192877</v>
      </c>
      <c r="AJ23" s="153">
        <f t="shared" ref="AJ23:AJ24" si="157">IF(J23=0,0,AI23/J23)</f>
        <v>51</v>
      </c>
      <c r="AK23" s="140">
        <f t="shared" ref="AK23:AK24" si="158">IF(D23=0,0,(AJ23+D23)/D23)</f>
        <v>1.2747299999999999</v>
      </c>
      <c r="AM23" s="135">
        <f t="shared" ref="AM23:AM24" si="159">AN23+BU23</f>
        <v>0</v>
      </c>
      <c r="AN23" s="135">
        <f t="shared" ref="AN23:AN24" si="160">AY23*BA23*BD23*BE23*BF23*(1+BG23+BH23+BI23+BJ23)*BK23/AR23/AS23</f>
        <v>0</v>
      </c>
      <c r="AO23" s="135">
        <f t="shared" ref="AO23:AO24" si="161">AY23*BA23*BD23*BE23*BF23*(1+BG23+BJ23)*BK23/AR23/AS23</f>
        <v>0</v>
      </c>
      <c r="AP23" s="135">
        <f t="shared" ref="AP23:AP24" si="162">AN23-AO23</f>
        <v>0</v>
      </c>
      <c r="AQ23" s="135">
        <f t="shared" ref="AQ23:AQ24" si="163">AY23*BA23*BD23*BE23*BF23*(1+BG23+BJ23)*BK23*BO23/AR23/AS23</f>
        <v>0</v>
      </c>
      <c r="AR23" s="124">
        <v>76.900000000000006</v>
      </c>
      <c r="AS23" s="132">
        <v>800</v>
      </c>
      <c r="AT23" s="133">
        <f t="shared" ref="AT23:AT24" si="164">AR23*AS23</f>
        <v>61520</v>
      </c>
      <c r="AU23" s="378">
        <f>'1.4. часы и места для МЗ и СЗ'!Z67</f>
        <v>0</v>
      </c>
      <c r="AV23" s="378">
        <f>'1.4. часы и места для МЗ и СЗ'!AA67</f>
        <v>0</v>
      </c>
      <c r="AW23" s="378">
        <f>'1.4. часы и места для МЗ и СЗ'!AB67</f>
        <v>0</v>
      </c>
      <c r="AX23" s="378">
        <f>'1.4. часы и места для МЗ и СЗ'!AC67</f>
        <v>0</v>
      </c>
      <c r="AY23" s="379">
        <f>'1.4. часы и места для МЗ и СЗ'!AD67</f>
        <v>0</v>
      </c>
      <c r="AZ23" s="133">
        <f t="shared" ref="AZ23:AZ24" si="165">AU23/800</f>
        <v>0</v>
      </c>
      <c r="BA23" s="125">
        <v>12</v>
      </c>
      <c r="BB23" s="382">
        <f t="shared" ref="BB23:BB24" si="166">Q23</f>
        <v>14987</v>
      </c>
      <c r="BC23" s="383">
        <f t="shared" ref="BC23:BC24" si="167">R23</f>
        <v>1.01</v>
      </c>
      <c r="BD23" s="269">
        <f t="shared" ref="BD23:BD24" si="168">BB23*BC23</f>
        <v>15137</v>
      </c>
      <c r="BE23" s="127">
        <v>1.302</v>
      </c>
      <c r="BF23" s="128">
        <f t="shared" ref="BF23:BF24" si="169">BF$12</f>
        <v>1.3871500000000001</v>
      </c>
      <c r="BG23" s="129">
        <v>0</v>
      </c>
      <c r="BH23" s="128">
        <f t="shared" ref="BH23:BI24" si="170">BH$12</f>
        <v>0.42914999999999998</v>
      </c>
      <c r="BI23" s="128">
        <f t="shared" si="170"/>
        <v>0.66744000000000003</v>
      </c>
      <c r="BJ23" s="129">
        <v>0</v>
      </c>
      <c r="BK23" s="128">
        <f t="shared" ref="BK23:BK24" si="171">ROUND(BL23*BM23*BN23,2)</f>
        <v>0</v>
      </c>
      <c r="BL23" s="128">
        <f t="shared" si="10"/>
        <v>1.2245299999999999</v>
      </c>
      <c r="BM23" s="128">
        <f t="shared" ref="BM23:BM24" si="172">BM$12</f>
        <v>1.16164</v>
      </c>
      <c r="BN23" s="128">
        <f t="shared" ref="BN23:BN24" si="173">IF(AZ23=0,0,AR23/AZ23)</f>
        <v>0</v>
      </c>
      <c r="BO23" s="130">
        <f t="shared" ref="BO23:BO24" si="174">BO$12</f>
        <v>0.10267</v>
      </c>
      <c r="BP23" s="131">
        <f t="shared" ref="BP23:BP24" si="175">AN23*AU23+AQ23*AU23</f>
        <v>0</v>
      </c>
      <c r="BQ23" s="387">
        <f t="shared" ref="BQ23:BQ24" si="176">AF23</f>
        <v>47584.6</v>
      </c>
      <c r="BR23" s="138">
        <f t="shared" ref="BR23:BR24" si="177">BQ23-BD23*BF23</f>
        <v>26587.31</v>
      </c>
      <c r="BS23" s="142">
        <f t="shared" ref="BS23:BS24" si="178">BS$10/AU$26*AU23</f>
        <v>0</v>
      </c>
      <c r="BT23" s="131">
        <f t="shared" ref="BT23:BT24" si="179">BR23*BS23*1.302*12</f>
        <v>0</v>
      </c>
      <c r="BU23" s="153">
        <f t="shared" ref="BU23:BU24" si="180">IF(AU23=0,0,BT23/AU23)</f>
        <v>0</v>
      </c>
      <c r="BV23" s="140">
        <f t="shared" ref="BV23:BV24" si="181">IF(AO23=0,0,(BU23+AO23)/AO23)</f>
        <v>0</v>
      </c>
      <c r="BX23" s="135">
        <f t="shared" ref="BX23:BX24" si="182">BY23+DF23</f>
        <v>0</v>
      </c>
      <c r="BY23" s="135">
        <f t="shared" ref="BY23:BY24" si="183">CJ23*CL23*CO23*CP23*CQ23*(1+CR23+CS23+CT23+CU23)*CV23/CC23/CD23</f>
        <v>0</v>
      </c>
      <c r="BZ23" s="135">
        <f t="shared" ref="BZ23:BZ24" si="184">CJ23*CL23*CO23*CP23*CQ23*(1+CR23+CU23)*CV23/CC23/CD23</f>
        <v>0</v>
      </c>
      <c r="CA23" s="135">
        <f t="shared" ref="CA23:CA24" si="185">BY23-BZ23</f>
        <v>0</v>
      </c>
      <c r="CB23" s="135">
        <f t="shared" ref="CB23:CB24" si="186">CJ23*CL23*CO23*CP23*CQ23*(1+CR23+CU23)*CV23*CZ23/CC23/CD23</f>
        <v>0</v>
      </c>
      <c r="CC23" s="124">
        <v>76.900000000000006</v>
      </c>
      <c r="CD23" s="132">
        <v>800</v>
      </c>
      <c r="CE23" s="133">
        <f t="shared" ref="CE23:CE24" si="187">CC23*CD23</f>
        <v>61520</v>
      </c>
      <c r="CF23" s="378">
        <f>'1.4. часы и места для МЗ и СЗ'!Z80</f>
        <v>0</v>
      </c>
      <c r="CG23" s="378">
        <f>'1.4. часы и места для МЗ и СЗ'!AA80</f>
        <v>0</v>
      </c>
      <c r="CH23" s="378">
        <f>'1.4. часы и места для МЗ и СЗ'!AB80</f>
        <v>0</v>
      </c>
      <c r="CI23" s="378">
        <f>'1.4. часы и места для МЗ и СЗ'!AC80</f>
        <v>0</v>
      </c>
      <c r="CJ23" s="379">
        <f>'1.4. часы и места для МЗ и СЗ'!AD80</f>
        <v>0</v>
      </c>
      <c r="CK23" s="133">
        <f t="shared" ref="CK23:CK24" si="188">CF23/800</f>
        <v>0</v>
      </c>
      <c r="CL23" s="125">
        <v>12</v>
      </c>
      <c r="CM23" s="382">
        <f t="shared" ref="CM23:CM24" si="189">Q23</f>
        <v>14987</v>
      </c>
      <c r="CN23" s="383">
        <f t="shared" ref="CN23:CN24" si="190">R23</f>
        <v>1.01</v>
      </c>
      <c r="CO23" s="269">
        <f t="shared" ref="CO23:CO24" si="191">CM23*CN23</f>
        <v>15137</v>
      </c>
      <c r="CP23" s="127">
        <v>1.302</v>
      </c>
      <c r="CQ23" s="128">
        <f t="shared" ref="CQ23:CQ24" si="192">CQ$12</f>
        <v>1.3502099999999999</v>
      </c>
      <c r="CR23" s="129">
        <v>0</v>
      </c>
      <c r="CS23" s="128">
        <f t="shared" ref="CS23:CT24" si="193">CS$12</f>
        <v>0.33593000000000001</v>
      </c>
      <c r="CT23" s="128">
        <f t="shared" si="193"/>
        <v>0.67049999999999998</v>
      </c>
      <c r="CU23" s="129">
        <v>0</v>
      </c>
      <c r="CV23" s="128">
        <f t="shared" ref="CV23:CV24" si="194">ROUND(CW23*CX23*CY23,2)</f>
        <v>0</v>
      </c>
      <c r="CW23" s="128">
        <f t="shared" si="19"/>
        <v>1.4220999999999999</v>
      </c>
      <c r="CX23" s="128">
        <f t="shared" ref="CX23:CX24" si="195">CX$12</f>
        <v>1.16164</v>
      </c>
      <c r="CY23" s="128">
        <f t="shared" ref="CY23:CY24" si="196">IF(CK23=0,0,CC23/CK23)</f>
        <v>0</v>
      </c>
      <c r="CZ23" s="130">
        <f t="shared" ref="CZ23:CZ24" si="197">CZ$12</f>
        <v>0.32064999999999999</v>
      </c>
      <c r="DA23" s="131">
        <f t="shared" ref="DA23:DA24" si="198">BY23*CF23+CB23*CF23</f>
        <v>0</v>
      </c>
      <c r="DB23" s="387">
        <f t="shared" ref="DB23:DB24" si="199">AF23</f>
        <v>47584.6</v>
      </c>
      <c r="DC23" s="138">
        <f t="shared" ref="DC23:DC24" si="200">DB23-CO23*CQ23</f>
        <v>27146.47</v>
      </c>
      <c r="DD23" s="142">
        <f t="shared" ref="DD23:DD24" si="201">DD$10/CF$26*CF23</f>
        <v>0</v>
      </c>
      <c r="DE23" s="131">
        <f t="shared" ref="DE23:DE24" si="202">DC23*DD23*1.302*12</f>
        <v>0</v>
      </c>
      <c r="DF23" s="153">
        <f t="shared" ref="DF23:DF24" si="203">IF(CF23=0,0,DE23/CF23)</f>
        <v>0</v>
      </c>
      <c r="DG23" s="140">
        <f t="shared" ref="DG23:DG24" si="204">IF(BZ23=0,0,(DF23+BZ23)/BZ23)</f>
        <v>0</v>
      </c>
      <c r="DI23" s="135">
        <f t="shared" ref="DI23:DI24" si="205">DJ23+EQ23</f>
        <v>0</v>
      </c>
      <c r="DJ23" s="135">
        <f t="shared" ref="DJ23:DJ24" si="206">DU23*DW23*DZ23*EA23*EB23*(1+EC23+ED23+EE23+EF23)*EG23/DN23/DO23</f>
        <v>0</v>
      </c>
      <c r="DK23" s="135">
        <f t="shared" ref="DK23:DK24" si="207">DU23*DW23*DZ23*EA23*EB23*(1+EC23+EF23)*EG23/DN23/DO23</f>
        <v>0</v>
      </c>
      <c r="DL23" s="135">
        <f t="shared" ref="DL23:DL24" si="208">DJ23-DK23</f>
        <v>0</v>
      </c>
      <c r="DM23" s="135">
        <f t="shared" ref="DM23:DM24" si="209">DU23*DW23*DZ23*EA23*EB23*(1+EC23+EF23)*EG23*EK23/DN23/DO23</f>
        <v>0</v>
      </c>
      <c r="DN23" s="124">
        <v>76.900000000000006</v>
      </c>
      <c r="DO23" s="132">
        <v>800</v>
      </c>
      <c r="DP23" s="133">
        <f t="shared" ref="DP23:DP24" si="210">DN23*DO23</f>
        <v>61520</v>
      </c>
      <c r="DQ23" s="378">
        <f>'1.4. часы и места для МЗ и СЗ'!Z41</f>
        <v>0</v>
      </c>
      <c r="DR23" s="378">
        <f>'1.4. часы и места для МЗ и СЗ'!AA41</f>
        <v>0</v>
      </c>
      <c r="DS23" s="378">
        <f>'1.4. часы и места для МЗ и СЗ'!AB41</f>
        <v>0</v>
      </c>
      <c r="DT23" s="378">
        <f>'1.4. часы и места для МЗ и СЗ'!AC41</f>
        <v>0</v>
      </c>
      <c r="DU23" s="379">
        <f>'1.4. часы и места для МЗ и СЗ'!AD41</f>
        <v>0</v>
      </c>
      <c r="DV23" s="133">
        <f t="shared" ref="DV23:DV24" si="211">DQ23/800</f>
        <v>0</v>
      </c>
      <c r="DW23" s="125">
        <v>12</v>
      </c>
      <c r="DX23" s="382">
        <f t="shared" ref="DX23:DX24" si="212">Q23</f>
        <v>14987</v>
      </c>
      <c r="DY23" s="383">
        <f t="shared" ref="DY23:DY24" si="213">R23</f>
        <v>1.01</v>
      </c>
      <c r="DZ23" s="269">
        <f t="shared" ref="DZ23:DZ24" si="214">DX23*DY23</f>
        <v>15137</v>
      </c>
      <c r="EA23" s="127">
        <v>1.302</v>
      </c>
      <c r="EB23" s="128">
        <f t="shared" ref="EB23:EB24" si="215">EB$12</f>
        <v>1.35737</v>
      </c>
      <c r="EC23" s="129">
        <v>0</v>
      </c>
      <c r="ED23" s="128">
        <f t="shared" ref="ED23:EE24" si="216">ED$12</f>
        <v>0.22051999999999999</v>
      </c>
      <c r="EE23" s="128">
        <f t="shared" si="216"/>
        <v>0.73350000000000004</v>
      </c>
      <c r="EF23" s="129">
        <v>0</v>
      </c>
      <c r="EG23" s="128">
        <f t="shared" ref="EG23:EG24" si="217">ROUND(EH23*EI23*EJ23,2)</f>
        <v>0</v>
      </c>
      <c r="EH23" s="128">
        <f t="shared" ref="EH23:EH24" si="218">EH$11</f>
        <v>1.2033499999999999</v>
      </c>
      <c r="EI23" s="128">
        <f t="shared" ref="EI23:EI24" si="219">EI$12</f>
        <v>1.16164</v>
      </c>
      <c r="EJ23" s="128">
        <f t="shared" ref="EJ23:EJ24" si="220">IF(DV23=0,0,DN23/DV23)</f>
        <v>0</v>
      </c>
      <c r="EK23" s="130">
        <f t="shared" ref="EK23:EK24" si="221">EK$12</f>
        <v>0.17288999999999999</v>
      </c>
      <c r="EL23" s="131">
        <f t="shared" ref="EL23:EL24" si="222">DJ23*DQ23+DM23*DQ23</f>
        <v>0</v>
      </c>
      <c r="EM23" s="387">
        <f t="shared" ref="EM23:EM24" si="223">AF23</f>
        <v>47584.6</v>
      </c>
      <c r="EN23" s="138">
        <f t="shared" ref="EN23:EN24" si="224">EM23-DZ23*EB23</f>
        <v>27038.09</v>
      </c>
      <c r="EO23" s="142">
        <f t="shared" ref="EO23:EO24" si="225">EO$10/DQ$26*DQ23</f>
        <v>0</v>
      </c>
      <c r="EP23" s="131">
        <f t="shared" ref="EP23:EP24" si="226">EN23*EO23*1.302*12</f>
        <v>0</v>
      </c>
      <c r="EQ23" s="153">
        <f t="shared" ref="EQ23:EQ24" si="227">IF(DQ23=0,0,EP23/DQ23)</f>
        <v>0</v>
      </c>
      <c r="ER23" s="140">
        <f t="shared" ref="ER23:ER24" si="228">IF(DK23=0,0,(EQ23+DK23)/DK23)</f>
        <v>0</v>
      </c>
      <c r="ET23" s="135">
        <f t="shared" ref="ET23:ET24" si="229">EU23+GB23</f>
        <v>0</v>
      </c>
      <c r="EU23" s="135">
        <f t="shared" ref="EU23:EU24" si="230">FF23*FH23*FK23*FL23*FM23*(1+FN23+FO23+FP23+FQ23)*FR23/EY23/EZ23</f>
        <v>0</v>
      </c>
      <c r="EV23" s="135">
        <f t="shared" ref="EV23:EV24" si="231">FF23*FH23*FK23*FL23*FM23*(1+FN23+FQ23)*FR23/EY23/EZ23</f>
        <v>0</v>
      </c>
      <c r="EW23" s="135">
        <f t="shared" ref="EW23:EW24" si="232">EU23-EV23</f>
        <v>0</v>
      </c>
      <c r="EX23" s="135">
        <f t="shared" ref="EX23:EX24" si="233">FF23*FH23*FK23*FL23*FM23*(1+FN23+FQ23)*FR23*FV23/EY23/EZ23</f>
        <v>0</v>
      </c>
      <c r="EY23" s="124">
        <v>76.900000000000006</v>
      </c>
      <c r="EZ23" s="132">
        <v>800</v>
      </c>
      <c r="FA23" s="133">
        <f t="shared" ref="FA23:FA24" si="234">EY23*EZ23</f>
        <v>61520</v>
      </c>
      <c r="FB23" s="378">
        <f>'1.4. часы и места для МЗ и СЗ'!Z54</f>
        <v>0</v>
      </c>
      <c r="FC23" s="378">
        <f>'1.4. часы и места для МЗ и СЗ'!AA54</f>
        <v>0</v>
      </c>
      <c r="FD23" s="378">
        <f>'1.4. часы и места для МЗ и СЗ'!AB54</f>
        <v>0</v>
      </c>
      <c r="FE23" s="378">
        <f>'1.4. часы и места для МЗ и СЗ'!AC54</f>
        <v>0</v>
      </c>
      <c r="FF23" s="379">
        <f>'1.4. часы и места для МЗ и СЗ'!AD54</f>
        <v>0</v>
      </c>
      <c r="FG23" s="133">
        <f t="shared" ref="FG23:FG24" si="235">FB23/800</f>
        <v>0</v>
      </c>
      <c r="FH23" s="125">
        <v>12</v>
      </c>
      <c r="FI23" s="382">
        <f t="shared" ref="FI23:FI24" si="236">Q23</f>
        <v>14987</v>
      </c>
      <c r="FJ23" s="383">
        <f t="shared" ref="FJ23:FJ24" si="237">R23</f>
        <v>1.01</v>
      </c>
      <c r="FK23" s="269">
        <f t="shared" ref="FK23:FK24" si="238">FI23*FJ23</f>
        <v>15137</v>
      </c>
      <c r="FL23" s="127">
        <v>1.302</v>
      </c>
      <c r="FM23" s="128">
        <f t="shared" ref="FM23:FM24" si="239">FM$12</f>
        <v>1.32193</v>
      </c>
      <c r="FN23" s="129">
        <v>0</v>
      </c>
      <c r="FO23" s="128">
        <f t="shared" ref="FO23:FP24" si="240">FO$12</f>
        <v>0.21695999999999999</v>
      </c>
      <c r="FP23" s="128">
        <f t="shared" si="240"/>
        <v>0.97809999999999997</v>
      </c>
      <c r="FQ23" s="129">
        <v>0</v>
      </c>
      <c r="FR23" s="128">
        <f t="shared" ref="FR23:FR24" si="241">ROUND(FS23*FT23*FU23,2)</f>
        <v>0</v>
      </c>
      <c r="FS23" s="128">
        <f t="shared" si="37"/>
        <v>1.0935600000000001</v>
      </c>
      <c r="FT23" s="128">
        <f t="shared" ref="FT23:FT24" si="242">FT$12</f>
        <v>1.16164</v>
      </c>
      <c r="FU23" s="128">
        <f t="shared" ref="FU23:FU24" si="243">IF(FG23=0,0,EY23/FG23)</f>
        <v>0</v>
      </c>
      <c r="FV23" s="130">
        <f t="shared" ref="FV23:FV24" si="244">FV$12</f>
        <v>0</v>
      </c>
      <c r="FW23" s="131">
        <f t="shared" ref="FW23:FW24" si="245">EU23*FB23+EX23*FB23</f>
        <v>0</v>
      </c>
      <c r="FX23" s="387">
        <f t="shared" ref="FX23:FX24" si="246">AF23</f>
        <v>47584.6</v>
      </c>
      <c r="FY23" s="138">
        <f t="shared" ref="FY23:FY24" si="247">FX23-FK23*FM23</f>
        <v>27574.55</v>
      </c>
      <c r="FZ23" s="142">
        <f t="shared" ref="FZ23:FZ24" si="248">FZ$10/FB$26*FB23</f>
        <v>0</v>
      </c>
      <c r="GA23" s="131">
        <f t="shared" ref="GA23:GA24" si="249">FY23*FZ23*1.302*12</f>
        <v>0</v>
      </c>
      <c r="GB23" s="153">
        <f t="shared" ref="GB23:GB24" si="250">IF(FB23=0,0,GA23/FB23)</f>
        <v>0</v>
      </c>
      <c r="GC23" s="140">
        <f t="shared" ref="GC23:GC24" si="251">IF(EV23=0,0,(GB23+EV23)/EV23)</f>
        <v>0</v>
      </c>
      <c r="GE23" s="135">
        <f t="shared" ref="GE23:GE24" si="252">GF23+HM23</f>
        <v>406.69</v>
      </c>
      <c r="GF23" s="135">
        <f t="shared" ref="GF23:GF24" si="253">GQ23*GS23*GV23*GW23*GX23*(1+GY23+GZ23+HA23+HB23)*HC23/GJ23/GK23</f>
        <v>360.69</v>
      </c>
      <c r="GG23" s="135">
        <f t="shared" ref="GG23:GG24" si="254">GQ23*GS23*GV23*GW23*GX23*(1+GY23+HB23)*HC23/GJ23/GK23</f>
        <v>186.65</v>
      </c>
      <c r="GH23" s="135">
        <f t="shared" ref="GH23:GH24" si="255">GF23-GG23</f>
        <v>174.04</v>
      </c>
      <c r="GI23" s="135">
        <f t="shared" ref="GI23:GI24" si="256">GQ23*GS23*GV23*GW23*GX23*(1+GY23+HB23)*HC23*HG23/GJ23/GK23</f>
        <v>25.66</v>
      </c>
      <c r="GJ23" s="124">
        <v>76.900000000000006</v>
      </c>
      <c r="GK23" s="132">
        <v>800</v>
      </c>
      <c r="GL23" s="133">
        <f t="shared" ref="GL23:GL24" si="257">GJ23*GK23</f>
        <v>61520</v>
      </c>
      <c r="GM23" s="227">
        <f t="shared" ref="GM23:GM24" si="258">J23+AU23+CF23+DQ23+FB23</f>
        <v>3816</v>
      </c>
      <c r="GN23" s="227">
        <f t="shared" ref="GN23:GN24" si="259">K23+AV23+CG23+DR23+FC23</f>
        <v>49</v>
      </c>
      <c r="GO23" s="227">
        <f t="shared" ref="GO23:GO24" si="260">L23+AW23+CH23+DS23+FD23</f>
        <v>6</v>
      </c>
      <c r="GP23" s="158" t="s">
        <v>471</v>
      </c>
      <c r="GQ23" s="229">
        <f t="shared" ref="GQ23:GQ24" si="261">N23+AY23+CJ23+DU23+FF23</f>
        <v>1.55</v>
      </c>
      <c r="GR23" s="133">
        <f t="shared" ref="GR23:GR24" si="262">GM23/800</f>
        <v>5</v>
      </c>
      <c r="GS23" s="125">
        <v>12</v>
      </c>
      <c r="GT23" s="382">
        <f t="shared" ref="GT23:GT24" si="263">Q23</f>
        <v>14987</v>
      </c>
      <c r="GU23" s="383">
        <f t="shared" ref="GU23:GU24" si="264">R23</f>
        <v>1.01</v>
      </c>
      <c r="GV23" s="269">
        <f t="shared" ref="GV23:GV24" si="265">GT23*GU23</f>
        <v>15137</v>
      </c>
      <c r="GW23" s="127">
        <v>1.302</v>
      </c>
      <c r="GX23" s="128">
        <f t="shared" ref="GX23:GX24" si="266">GX$12</f>
        <v>1.41039</v>
      </c>
      <c r="GY23" s="129">
        <v>0</v>
      </c>
      <c r="GZ23" s="128">
        <f t="shared" ref="GZ23:HA24" si="267">GZ$12</f>
        <v>0.32823000000000002</v>
      </c>
      <c r="HA23" s="128">
        <f t="shared" si="267"/>
        <v>0.60419</v>
      </c>
      <c r="HB23" s="129">
        <v>0</v>
      </c>
      <c r="HC23" s="128">
        <f t="shared" ref="HC23:HC24" si="268">ROUND(HD23*HE23*HF23,2)</f>
        <v>22.21</v>
      </c>
      <c r="HD23" s="128">
        <f t="shared" si="47"/>
        <v>1.24295</v>
      </c>
      <c r="HE23" s="128">
        <f t="shared" ref="HE23:HE24" si="269">HE$12</f>
        <v>1.16164</v>
      </c>
      <c r="HF23" s="128">
        <f t="shared" ref="HF23:HF24" si="270">IF(GR23=0,0,GJ23/GR23)</f>
        <v>15.38</v>
      </c>
      <c r="HG23" s="130">
        <f t="shared" ref="HG23:HG24" si="271">HG$12</f>
        <v>0.13744999999999999</v>
      </c>
      <c r="HH23" s="131">
        <f t="shared" ref="HH23:HH24" si="272">GF23*GM23+GI23*GM23</f>
        <v>1474312</v>
      </c>
      <c r="HI23" s="387">
        <f t="shared" ref="HI23:HI24" si="273">AF23</f>
        <v>47584.6</v>
      </c>
      <c r="HJ23" s="138">
        <f t="shared" ref="HJ23:HJ24" si="274">HI23-GV23*GX23</f>
        <v>26235.53</v>
      </c>
      <c r="HK23" s="142">
        <f t="shared" ref="HK23:HK24" si="275">HK$10/GM$26*GM23</f>
        <v>0.42655199999999999</v>
      </c>
      <c r="HL23" s="131">
        <f t="shared" ref="HL23:HL24" si="276">HJ23*HK23*1.302*12</f>
        <v>174845</v>
      </c>
      <c r="HM23" s="153">
        <f t="shared" ref="HM23:HM24" si="277">IF(GM23=0,0,HL23/GM23)</f>
        <v>46</v>
      </c>
      <c r="HN23" s="140">
        <f t="shared" ref="HN23:HN24" si="278">IF(GG23=0,0,(HM23+GG23)/GG23)</f>
        <v>1.2464500000000001</v>
      </c>
      <c r="HP23" s="151">
        <f t="shared" ref="HP23:HP24" si="279">GQ23*18</f>
        <v>27.9</v>
      </c>
    </row>
    <row r="24" spans="1:224" s="113" customFormat="1" ht="36" x14ac:dyDescent="0.25">
      <c r="A24" s="121" t="s">
        <v>1183</v>
      </c>
      <c r="B24" s="135">
        <f t="shared" si="139"/>
        <v>264.7</v>
      </c>
      <c r="C24" s="135">
        <f t="shared" si="140"/>
        <v>213.7</v>
      </c>
      <c r="D24" s="135">
        <f t="shared" si="141"/>
        <v>121.77</v>
      </c>
      <c r="E24" s="135">
        <f t="shared" si="142"/>
        <v>91.93</v>
      </c>
      <c r="F24" s="135">
        <f t="shared" si="143"/>
        <v>9.92</v>
      </c>
      <c r="G24" s="124">
        <v>76.900000000000006</v>
      </c>
      <c r="H24" s="132">
        <v>800</v>
      </c>
      <c r="I24" s="133">
        <f t="shared" si="144"/>
        <v>61520</v>
      </c>
      <c r="J24" s="378">
        <f>'1.4. часы и места для МЗ и СЗ'!Z30</f>
        <v>2268</v>
      </c>
      <c r="K24" s="378">
        <f>'1.4. часы и места для МЗ и СЗ'!AA30</f>
        <v>14</v>
      </c>
      <c r="L24" s="378">
        <f>'1.4. часы и места для МЗ и СЗ'!AB30</f>
        <v>2</v>
      </c>
      <c r="M24" s="378">
        <f>'1.4. часы и места для МЗ и СЗ'!AC30</f>
        <v>36</v>
      </c>
      <c r="N24" s="379">
        <f>'1.4. часы и места для МЗ и СЗ'!AD30</f>
        <v>0.61</v>
      </c>
      <c r="O24" s="133">
        <f t="shared" si="145"/>
        <v>3</v>
      </c>
      <c r="P24" s="125">
        <v>12</v>
      </c>
      <c r="Q24" s="160">
        <v>14987</v>
      </c>
      <c r="R24" s="272">
        <v>1.01</v>
      </c>
      <c r="S24" s="269">
        <f t="shared" si="146"/>
        <v>15137</v>
      </c>
      <c r="T24" s="127">
        <v>1.302</v>
      </c>
      <c r="U24" s="128">
        <f t="shared" si="147"/>
        <v>1.48072</v>
      </c>
      <c r="V24" s="129">
        <v>0</v>
      </c>
      <c r="W24" s="128">
        <f t="shared" si="148"/>
        <v>0.29183999999999999</v>
      </c>
      <c r="X24" s="128">
        <f t="shared" si="148"/>
        <v>0.46305000000000002</v>
      </c>
      <c r="Y24" s="129">
        <v>0</v>
      </c>
      <c r="Z24" s="128">
        <f t="shared" si="149"/>
        <v>35.07</v>
      </c>
      <c r="AA24" s="128">
        <f t="shared" si="2"/>
        <v>1.1776</v>
      </c>
      <c r="AB24" s="128">
        <f t="shared" si="150"/>
        <v>1.16164</v>
      </c>
      <c r="AC24" s="128">
        <f t="shared" si="151"/>
        <v>25.633330000000001</v>
      </c>
      <c r="AD24" s="130">
        <f t="shared" si="152"/>
        <v>8.1439999999999999E-2</v>
      </c>
      <c r="AE24" s="131">
        <f t="shared" si="153"/>
        <v>507170</v>
      </c>
      <c r="AF24" s="162">
        <v>47584.6</v>
      </c>
      <c r="AG24" s="138">
        <f t="shared" si="154"/>
        <v>25170.94</v>
      </c>
      <c r="AH24" s="142">
        <f t="shared" si="155"/>
        <v>0.291489</v>
      </c>
      <c r="AI24" s="131">
        <f t="shared" si="156"/>
        <v>114634</v>
      </c>
      <c r="AJ24" s="153">
        <f t="shared" si="157"/>
        <v>51</v>
      </c>
      <c r="AK24" s="140">
        <f t="shared" si="158"/>
        <v>1.41882</v>
      </c>
      <c r="AM24" s="135">
        <f t="shared" si="159"/>
        <v>0</v>
      </c>
      <c r="AN24" s="135">
        <f t="shared" si="160"/>
        <v>0</v>
      </c>
      <c r="AO24" s="135">
        <f t="shared" si="161"/>
        <v>0</v>
      </c>
      <c r="AP24" s="135">
        <f t="shared" si="162"/>
        <v>0</v>
      </c>
      <c r="AQ24" s="135">
        <f t="shared" si="163"/>
        <v>0</v>
      </c>
      <c r="AR24" s="124">
        <v>76.900000000000006</v>
      </c>
      <c r="AS24" s="132">
        <v>800</v>
      </c>
      <c r="AT24" s="133">
        <f t="shared" si="164"/>
        <v>61520</v>
      </c>
      <c r="AU24" s="378">
        <f>'1.4. часы и места для МЗ и СЗ'!Z69</f>
        <v>0</v>
      </c>
      <c r="AV24" s="378">
        <f>'1.4. часы и места для МЗ и СЗ'!AA69</f>
        <v>0</v>
      </c>
      <c r="AW24" s="378">
        <f>'1.4. часы и места для МЗ и СЗ'!AB69</f>
        <v>0</v>
      </c>
      <c r="AX24" s="378">
        <f>'1.4. часы и места для МЗ и СЗ'!AC69</f>
        <v>0</v>
      </c>
      <c r="AY24" s="379">
        <f>'1.4. часы и места для МЗ и СЗ'!AD69</f>
        <v>0</v>
      </c>
      <c r="AZ24" s="133">
        <f t="shared" si="165"/>
        <v>0</v>
      </c>
      <c r="BA24" s="125">
        <v>12</v>
      </c>
      <c r="BB24" s="382">
        <f t="shared" si="166"/>
        <v>14987</v>
      </c>
      <c r="BC24" s="383">
        <f t="shared" si="167"/>
        <v>1.01</v>
      </c>
      <c r="BD24" s="269">
        <f t="shared" si="168"/>
        <v>15137</v>
      </c>
      <c r="BE24" s="127">
        <v>1.302</v>
      </c>
      <c r="BF24" s="128">
        <f t="shared" si="169"/>
        <v>1.3871500000000001</v>
      </c>
      <c r="BG24" s="129">
        <v>0</v>
      </c>
      <c r="BH24" s="128">
        <f t="shared" si="170"/>
        <v>0.42914999999999998</v>
      </c>
      <c r="BI24" s="128">
        <f t="shared" si="170"/>
        <v>0.66744000000000003</v>
      </c>
      <c r="BJ24" s="129">
        <v>0</v>
      </c>
      <c r="BK24" s="128">
        <f t="shared" si="171"/>
        <v>0</v>
      </c>
      <c r="BL24" s="128">
        <f t="shared" si="10"/>
        <v>1.2245299999999999</v>
      </c>
      <c r="BM24" s="128">
        <f t="shared" si="172"/>
        <v>1.16164</v>
      </c>
      <c r="BN24" s="128">
        <f t="shared" si="173"/>
        <v>0</v>
      </c>
      <c r="BO24" s="130">
        <f t="shared" si="174"/>
        <v>0.10267</v>
      </c>
      <c r="BP24" s="131">
        <f t="shared" si="175"/>
        <v>0</v>
      </c>
      <c r="BQ24" s="387">
        <f t="shared" si="176"/>
        <v>47584.6</v>
      </c>
      <c r="BR24" s="138">
        <f t="shared" si="177"/>
        <v>26587.31</v>
      </c>
      <c r="BS24" s="142">
        <f t="shared" si="178"/>
        <v>0</v>
      </c>
      <c r="BT24" s="131">
        <f t="shared" si="179"/>
        <v>0</v>
      </c>
      <c r="BU24" s="153">
        <f t="shared" si="180"/>
        <v>0</v>
      </c>
      <c r="BV24" s="140">
        <f t="shared" si="181"/>
        <v>0</v>
      </c>
      <c r="BX24" s="135">
        <f t="shared" si="182"/>
        <v>134.06</v>
      </c>
      <c r="BY24" s="135">
        <f t="shared" si="183"/>
        <v>85.06</v>
      </c>
      <c r="BZ24" s="135">
        <f t="shared" si="184"/>
        <v>42.39</v>
      </c>
      <c r="CA24" s="135">
        <f t="shared" si="185"/>
        <v>42.67</v>
      </c>
      <c r="CB24" s="135">
        <f t="shared" si="186"/>
        <v>13.59</v>
      </c>
      <c r="CC24" s="124">
        <v>76.900000000000006</v>
      </c>
      <c r="CD24" s="132">
        <v>800</v>
      </c>
      <c r="CE24" s="133">
        <f t="shared" si="187"/>
        <v>61520</v>
      </c>
      <c r="CF24" s="378">
        <f>'1.4. часы и места для МЗ и СЗ'!Z82</f>
        <v>5976</v>
      </c>
      <c r="CG24" s="378">
        <f>'1.4. часы и места для МЗ и СЗ'!AA82</f>
        <v>38</v>
      </c>
      <c r="CH24" s="378">
        <f>'1.4. часы и места для МЗ и СЗ'!AB82</f>
        <v>2</v>
      </c>
      <c r="CI24" s="378">
        <f>'1.4. часы и места для МЗ и СЗ'!AC82</f>
        <v>36</v>
      </c>
      <c r="CJ24" s="379">
        <f>'1.4. часы и места для МЗ и СЗ'!AD82</f>
        <v>0.45</v>
      </c>
      <c r="CK24" s="133">
        <f t="shared" si="188"/>
        <v>7</v>
      </c>
      <c r="CL24" s="125">
        <v>12</v>
      </c>
      <c r="CM24" s="382">
        <f t="shared" si="189"/>
        <v>14987</v>
      </c>
      <c r="CN24" s="383">
        <f t="shared" si="190"/>
        <v>1.01</v>
      </c>
      <c r="CO24" s="269">
        <f t="shared" si="191"/>
        <v>15137</v>
      </c>
      <c r="CP24" s="127">
        <v>1.302</v>
      </c>
      <c r="CQ24" s="128">
        <f t="shared" si="192"/>
        <v>1.3502099999999999</v>
      </c>
      <c r="CR24" s="129">
        <v>0</v>
      </c>
      <c r="CS24" s="128">
        <f t="shared" si="193"/>
        <v>0.33593000000000001</v>
      </c>
      <c r="CT24" s="128">
        <f t="shared" si="193"/>
        <v>0.67049999999999998</v>
      </c>
      <c r="CU24" s="129">
        <v>0</v>
      </c>
      <c r="CV24" s="128">
        <f t="shared" si="194"/>
        <v>18.149999999999999</v>
      </c>
      <c r="CW24" s="128">
        <f t="shared" si="19"/>
        <v>1.4220999999999999</v>
      </c>
      <c r="CX24" s="128">
        <f t="shared" si="195"/>
        <v>1.16164</v>
      </c>
      <c r="CY24" s="128">
        <f t="shared" si="196"/>
        <v>10.985709999999999</v>
      </c>
      <c r="CZ24" s="130">
        <f t="shared" si="197"/>
        <v>0.32064999999999999</v>
      </c>
      <c r="DA24" s="131">
        <f t="shared" si="198"/>
        <v>589532</v>
      </c>
      <c r="DB24" s="387">
        <f t="shared" si="199"/>
        <v>47584.6</v>
      </c>
      <c r="DC24" s="138">
        <f t="shared" si="200"/>
        <v>27146.47</v>
      </c>
      <c r="DD24" s="142">
        <f t="shared" si="201"/>
        <v>0.69448699999999997</v>
      </c>
      <c r="DE24" s="131">
        <f t="shared" si="202"/>
        <v>294557</v>
      </c>
      <c r="DF24" s="153">
        <f t="shared" si="203"/>
        <v>49</v>
      </c>
      <c r="DG24" s="140">
        <f t="shared" si="204"/>
        <v>2.1559300000000001</v>
      </c>
      <c r="DI24" s="135">
        <f t="shared" si="205"/>
        <v>0</v>
      </c>
      <c r="DJ24" s="135">
        <f t="shared" si="206"/>
        <v>0</v>
      </c>
      <c r="DK24" s="135">
        <f t="shared" si="207"/>
        <v>0</v>
      </c>
      <c r="DL24" s="135">
        <f t="shared" si="208"/>
        <v>0</v>
      </c>
      <c r="DM24" s="135">
        <f t="shared" si="209"/>
        <v>0</v>
      </c>
      <c r="DN24" s="124">
        <v>76.900000000000006</v>
      </c>
      <c r="DO24" s="132">
        <v>800</v>
      </c>
      <c r="DP24" s="133">
        <f t="shared" si="210"/>
        <v>61520</v>
      </c>
      <c r="DQ24" s="378">
        <f>'1.4. часы и места для МЗ и СЗ'!Z43</f>
        <v>0</v>
      </c>
      <c r="DR24" s="378">
        <f>'1.4. часы и места для МЗ и СЗ'!AA43</f>
        <v>0</v>
      </c>
      <c r="DS24" s="378">
        <f>'1.4. часы и места для МЗ и СЗ'!AB43</f>
        <v>0</v>
      </c>
      <c r="DT24" s="378">
        <f>'1.4. часы и места для МЗ и СЗ'!AC43</f>
        <v>0</v>
      </c>
      <c r="DU24" s="379">
        <f>'1.4. часы и места для МЗ и СЗ'!AD43</f>
        <v>0</v>
      </c>
      <c r="DV24" s="133">
        <f t="shared" si="211"/>
        <v>0</v>
      </c>
      <c r="DW24" s="125">
        <v>12</v>
      </c>
      <c r="DX24" s="382">
        <f t="shared" si="212"/>
        <v>14987</v>
      </c>
      <c r="DY24" s="383">
        <f t="shared" si="213"/>
        <v>1.01</v>
      </c>
      <c r="DZ24" s="269">
        <f t="shared" si="214"/>
        <v>15137</v>
      </c>
      <c r="EA24" s="127">
        <v>1.302</v>
      </c>
      <c r="EB24" s="128">
        <f t="shared" si="215"/>
        <v>1.35737</v>
      </c>
      <c r="EC24" s="129">
        <v>0</v>
      </c>
      <c r="ED24" s="128">
        <f t="shared" si="216"/>
        <v>0.22051999999999999</v>
      </c>
      <c r="EE24" s="128">
        <f t="shared" si="216"/>
        <v>0.73350000000000004</v>
      </c>
      <c r="EF24" s="129">
        <v>0</v>
      </c>
      <c r="EG24" s="128">
        <f t="shared" si="217"/>
        <v>0</v>
      </c>
      <c r="EH24" s="128">
        <f t="shared" si="218"/>
        <v>1.2033499999999999</v>
      </c>
      <c r="EI24" s="128">
        <f t="shared" si="219"/>
        <v>1.16164</v>
      </c>
      <c r="EJ24" s="128">
        <f t="shared" si="220"/>
        <v>0</v>
      </c>
      <c r="EK24" s="130">
        <f t="shared" si="221"/>
        <v>0.17288999999999999</v>
      </c>
      <c r="EL24" s="131">
        <f t="shared" si="222"/>
        <v>0</v>
      </c>
      <c r="EM24" s="387">
        <f t="shared" si="223"/>
        <v>47584.6</v>
      </c>
      <c r="EN24" s="138">
        <f t="shared" si="224"/>
        <v>27038.09</v>
      </c>
      <c r="EO24" s="142">
        <f t="shared" si="225"/>
        <v>0</v>
      </c>
      <c r="EP24" s="131">
        <f t="shared" si="226"/>
        <v>0</v>
      </c>
      <c r="EQ24" s="153">
        <f t="shared" si="227"/>
        <v>0</v>
      </c>
      <c r="ER24" s="140">
        <f t="shared" si="228"/>
        <v>0</v>
      </c>
      <c r="ET24" s="135">
        <f t="shared" si="229"/>
        <v>0</v>
      </c>
      <c r="EU24" s="135">
        <f t="shared" si="230"/>
        <v>0</v>
      </c>
      <c r="EV24" s="135">
        <f t="shared" si="231"/>
        <v>0</v>
      </c>
      <c r="EW24" s="135">
        <f t="shared" si="232"/>
        <v>0</v>
      </c>
      <c r="EX24" s="135">
        <f t="shared" si="233"/>
        <v>0</v>
      </c>
      <c r="EY24" s="124">
        <v>76.900000000000006</v>
      </c>
      <c r="EZ24" s="132">
        <v>800</v>
      </c>
      <c r="FA24" s="133">
        <f t="shared" si="234"/>
        <v>61520</v>
      </c>
      <c r="FB24" s="378">
        <f>'1.4. часы и места для МЗ и СЗ'!Z56</f>
        <v>0</v>
      </c>
      <c r="FC24" s="378">
        <f>'1.4. часы и места для МЗ и СЗ'!AA56</f>
        <v>0</v>
      </c>
      <c r="FD24" s="378">
        <f>'1.4. часы и места для МЗ и СЗ'!AB56</f>
        <v>0</v>
      </c>
      <c r="FE24" s="378">
        <f>'1.4. часы и места для МЗ и СЗ'!AC56</f>
        <v>0</v>
      </c>
      <c r="FF24" s="379">
        <f>'1.4. часы и места для МЗ и СЗ'!AD56</f>
        <v>0</v>
      </c>
      <c r="FG24" s="133">
        <f t="shared" si="235"/>
        <v>0</v>
      </c>
      <c r="FH24" s="125">
        <v>12</v>
      </c>
      <c r="FI24" s="382">
        <f t="shared" si="236"/>
        <v>14987</v>
      </c>
      <c r="FJ24" s="383">
        <f t="shared" si="237"/>
        <v>1.01</v>
      </c>
      <c r="FK24" s="269">
        <f t="shared" si="238"/>
        <v>15137</v>
      </c>
      <c r="FL24" s="127">
        <v>1.302</v>
      </c>
      <c r="FM24" s="128">
        <f t="shared" si="239"/>
        <v>1.32193</v>
      </c>
      <c r="FN24" s="129">
        <v>0</v>
      </c>
      <c r="FO24" s="128">
        <f t="shared" si="240"/>
        <v>0.21695999999999999</v>
      </c>
      <c r="FP24" s="128">
        <f t="shared" si="240"/>
        <v>0.97809999999999997</v>
      </c>
      <c r="FQ24" s="129">
        <v>0</v>
      </c>
      <c r="FR24" s="128">
        <f t="shared" si="241"/>
        <v>0</v>
      </c>
      <c r="FS24" s="128">
        <f t="shared" si="37"/>
        <v>1.0935600000000001</v>
      </c>
      <c r="FT24" s="128">
        <f t="shared" si="242"/>
        <v>1.16164</v>
      </c>
      <c r="FU24" s="128">
        <f t="shared" si="243"/>
        <v>0</v>
      </c>
      <c r="FV24" s="130">
        <f t="shared" si="244"/>
        <v>0</v>
      </c>
      <c r="FW24" s="131">
        <f t="shared" si="245"/>
        <v>0</v>
      </c>
      <c r="FX24" s="387">
        <f t="shared" si="246"/>
        <v>47584.6</v>
      </c>
      <c r="FY24" s="138">
        <f t="shared" si="247"/>
        <v>27574.55</v>
      </c>
      <c r="FZ24" s="142">
        <f t="shared" si="248"/>
        <v>0</v>
      </c>
      <c r="GA24" s="131">
        <f t="shared" si="249"/>
        <v>0</v>
      </c>
      <c r="GB24" s="153">
        <f t="shared" si="250"/>
        <v>0</v>
      </c>
      <c r="GC24" s="140">
        <f t="shared" si="251"/>
        <v>0</v>
      </c>
      <c r="GE24" s="135">
        <f t="shared" si="252"/>
        <v>169.28</v>
      </c>
      <c r="GF24" s="135">
        <f t="shared" si="253"/>
        <v>123.28</v>
      </c>
      <c r="GG24" s="135">
        <f t="shared" si="254"/>
        <v>63.79</v>
      </c>
      <c r="GH24" s="135">
        <f t="shared" si="255"/>
        <v>59.49</v>
      </c>
      <c r="GI24" s="135">
        <f t="shared" si="256"/>
        <v>8.77</v>
      </c>
      <c r="GJ24" s="124">
        <v>76.900000000000006</v>
      </c>
      <c r="GK24" s="132">
        <v>800</v>
      </c>
      <c r="GL24" s="133">
        <f t="shared" si="257"/>
        <v>61520</v>
      </c>
      <c r="GM24" s="227">
        <f t="shared" si="258"/>
        <v>8244</v>
      </c>
      <c r="GN24" s="227">
        <f t="shared" si="259"/>
        <v>52</v>
      </c>
      <c r="GO24" s="227">
        <f t="shared" si="260"/>
        <v>4</v>
      </c>
      <c r="GP24" s="158" t="s">
        <v>471</v>
      </c>
      <c r="GQ24" s="229">
        <f t="shared" si="261"/>
        <v>1.06</v>
      </c>
      <c r="GR24" s="133">
        <f t="shared" si="262"/>
        <v>10</v>
      </c>
      <c r="GS24" s="125">
        <v>12</v>
      </c>
      <c r="GT24" s="382">
        <f t="shared" si="263"/>
        <v>14987</v>
      </c>
      <c r="GU24" s="383">
        <f t="shared" si="264"/>
        <v>1.01</v>
      </c>
      <c r="GV24" s="269">
        <f t="shared" si="265"/>
        <v>15137</v>
      </c>
      <c r="GW24" s="127">
        <v>1.302</v>
      </c>
      <c r="GX24" s="128">
        <f t="shared" si="266"/>
        <v>1.41039</v>
      </c>
      <c r="GY24" s="129">
        <v>0</v>
      </c>
      <c r="GZ24" s="128">
        <f t="shared" si="267"/>
        <v>0.32823000000000002</v>
      </c>
      <c r="HA24" s="128">
        <f t="shared" si="267"/>
        <v>0.60419</v>
      </c>
      <c r="HB24" s="129">
        <v>0</v>
      </c>
      <c r="HC24" s="128">
        <f t="shared" si="268"/>
        <v>11.1</v>
      </c>
      <c r="HD24" s="128">
        <f t="shared" si="47"/>
        <v>1.24295</v>
      </c>
      <c r="HE24" s="128">
        <f t="shared" si="269"/>
        <v>1.16164</v>
      </c>
      <c r="HF24" s="128">
        <f t="shared" si="270"/>
        <v>7.69</v>
      </c>
      <c r="HG24" s="130">
        <f t="shared" si="271"/>
        <v>0.13744999999999999</v>
      </c>
      <c r="HH24" s="131">
        <f t="shared" si="272"/>
        <v>1088620</v>
      </c>
      <c r="HI24" s="387">
        <f t="shared" si="273"/>
        <v>47584.6</v>
      </c>
      <c r="HJ24" s="138">
        <f t="shared" si="274"/>
        <v>26235.53</v>
      </c>
      <c r="HK24" s="142">
        <f t="shared" si="275"/>
        <v>0.92151300000000003</v>
      </c>
      <c r="HL24" s="131">
        <f t="shared" si="276"/>
        <v>377732</v>
      </c>
      <c r="HM24" s="153">
        <f t="shared" si="277"/>
        <v>46</v>
      </c>
      <c r="HN24" s="140">
        <f t="shared" si="278"/>
        <v>1.72112</v>
      </c>
      <c r="HP24" s="151">
        <f t="shared" si="279"/>
        <v>19.079999999999998</v>
      </c>
    </row>
    <row r="25" spans="1:224" s="113" customFormat="1" x14ac:dyDescent="0.25">
      <c r="A25" s="842"/>
      <c r="B25" s="814"/>
      <c r="C25" s="814"/>
      <c r="D25" s="814"/>
      <c r="E25" s="814"/>
      <c r="F25" s="814"/>
      <c r="G25" s="815"/>
      <c r="H25" s="816"/>
      <c r="I25" s="817"/>
      <c r="J25" s="818"/>
      <c r="K25" s="818"/>
      <c r="L25" s="818"/>
      <c r="M25" s="818"/>
      <c r="N25" s="819"/>
      <c r="O25" s="817"/>
      <c r="P25" s="820"/>
      <c r="Q25" s="821"/>
      <c r="R25" s="822"/>
      <c r="S25" s="823"/>
      <c r="T25" s="824"/>
      <c r="U25" s="825"/>
      <c r="V25" s="826"/>
      <c r="W25" s="825"/>
      <c r="X25" s="825"/>
      <c r="Y25" s="826"/>
      <c r="Z25" s="825"/>
      <c r="AA25" s="825"/>
      <c r="AB25" s="825"/>
      <c r="AC25" s="825"/>
      <c r="AD25" s="827"/>
      <c r="AE25" s="828"/>
      <c r="AF25" s="829"/>
      <c r="AG25" s="830"/>
      <c r="AH25" s="831"/>
      <c r="AI25" s="828"/>
      <c r="AJ25" s="832"/>
      <c r="AK25" s="833"/>
      <c r="AM25" s="814"/>
      <c r="AN25" s="814"/>
      <c r="AO25" s="814"/>
      <c r="AP25" s="814"/>
      <c r="AQ25" s="814"/>
      <c r="AR25" s="815"/>
      <c r="AS25" s="816"/>
      <c r="AT25" s="817"/>
      <c r="AU25" s="818"/>
      <c r="AV25" s="818"/>
      <c r="AW25" s="818"/>
      <c r="AX25" s="818"/>
      <c r="AY25" s="819"/>
      <c r="AZ25" s="817"/>
      <c r="BA25" s="820"/>
      <c r="BB25" s="834"/>
      <c r="BC25" s="835"/>
      <c r="BD25" s="823"/>
      <c r="BE25" s="824"/>
      <c r="BF25" s="825"/>
      <c r="BG25" s="826"/>
      <c r="BH25" s="825"/>
      <c r="BI25" s="825"/>
      <c r="BJ25" s="826"/>
      <c r="BK25" s="825"/>
      <c r="BL25" s="825"/>
      <c r="BM25" s="825"/>
      <c r="BN25" s="825"/>
      <c r="BO25" s="827"/>
      <c r="BP25" s="828"/>
      <c r="BQ25" s="836"/>
      <c r="BR25" s="830"/>
      <c r="BS25" s="831"/>
      <c r="BT25" s="828"/>
      <c r="BU25" s="832"/>
      <c r="BV25" s="833"/>
      <c r="BX25" s="814"/>
      <c r="BY25" s="814"/>
      <c r="BZ25" s="814"/>
      <c r="CA25" s="814"/>
      <c r="CB25" s="814"/>
      <c r="CC25" s="815"/>
      <c r="CD25" s="816"/>
      <c r="CE25" s="817"/>
      <c r="CF25" s="818"/>
      <c r="CG25" s="818"/>
      <c r="CH25" s="818"/>
      <c r="CI25" s="818"/>
      <c r="CJ25" s="819"/>
      <c r="CK25" s="817"/>
      <c r="CL25" s="820"/>
      <c r="CM25" s="834"/>
      <c r="CN25" s="835"/>
      <c r="CO25" s="823"/>
      <c r="CP25" s="824"/>
      <c r="CQ25" s="825"/>
      <c r="CR25" s="826"/>
      <c r="CS25" s="825"/>
      <c r="CT25" s="825"/>
      <c r="CU25" s="826"/>
      <c r="CV25" s="825"/>
      <c r="CW25" s="825"/>
      <c r="CX25" s="825"/>
      <c r="CY25" s="825"/>
      <c r="CZ25" s="827"/>
      <c r="DA25" s="828"/>
      <c r="DB25" s="836"/>
      <c r="DC25" s="830"/>
      <c r="DD25" s="831"/>
      <c r="DE25" s="828"/>
      <c r="DF25" s="832"/>
      <c r="DG25" s="833"/>
      <c r="DI25" s="814"/>
      <c r="DJ25" s="814"/>
      <c r="DK25" s="814"/>
      <c r="DL25" s="814"/>
      <c r="DM25" s="814"/>
      <c r="DN25" s="815"/>
      <c r="DO25" s="816"/>
      <c r="DP25" s="817"/>
      <c r="DQ25" s="818"/>
      <c r="DR25" s="818"/>
      <c r="DS25" s="818"/>
      <c r="DT25" s="818"/>
      <c r="DU25" s="819"/>
      <c r="DV25" s="817"/>
      <c r="DW25" s="820"/>
      <c r="DX25" s="834"/>
      <c r="DY25" s="835"/>
      <c r="DZ25" s="823"/>
      <c r="EA25" s="824"/>
      <c r="EB25" s="825"/>
      <c r="EC25" s="826"/>
      <c r="ED25" s="825"/>
      <c r="EE25" s="825"/>
      <c r="EF25" s="826"/>
      <c r="EG25" s="825"/>
      <c r="EH25" s="825"/>
      <c r="EI25" s="825"/>
      <c r="EJ25" s="825"/>
      <c r="EK25" s="827"/>
      <c r="EL25" s="828"/>
      <c r="EM25" s="836"/>
      <c r="EN25" s="830"/>
      <c r="EO25" s="831"/>
      <c r="EP25" s="828"/>
      <c r="EQ25" s="832"/>
      <c r="ER25" s="833"/>
      <c r="ET25" s="814"/>
      <c r="EU25" s="814"/>
      <c r="EV25" s="814"/>
      <c r="EW25" s="814"/>
      <c r="EX25" s="814"/>
      <c r="EY25" s="815"/>
      <c r="EZ25" s="816"/>
      <c r="FA25" s="817"/>
      <c r="FB25" s="818"/>
      <c r="FC25" s="818"/>
      <c r="FD25" s="818"/>
      <c r="FE25" s="818"/>
      <c r="FF25" s="819"/>
      <c r="FG25" s="817"/>
      <c r="FH25" s="820"/>
      <c r="FI25" s="834"/>
      <c r="FJ25" s="835"/>
      <c r="FK25" s="823"/>
      <c r="FL25" s="824"/>
      <c r="FM25" s="825"/>
      <c r="FN25" s="826"/>
      <c r="FO25" s="825"/>
      <c r="FP25" s="825"/>
      <c r="FQ25" s="826"/>
      <c r="FR25" s="825"/>
      <c r="FS25" s="825"/>
      <c r="FT25" s="825"/>
      <c r="FU25" s="825"/>
      <c r="FV25" s="827"/>
      <c r="FW25" s="828"/>
      <c r="FX25" s="836"/>
      <c r="FY25" s="830"/>
      <c r="FZ25" s="831"/>
      <c r="GA25" s="828"/>
      <c r="GB25" s="832"/>
      <c r="GC25" s="833"/>
      <c r="GE25" s="814"/>
      <c r="GF25" s="814"/>
      <c r="GG25" s="814"/>
      <c r="GH25" s="814"/>
      <c r="GI25" s="814"/>
      <c r="GJ25" s="815"/>
      <c r="GK25" s="816"/>
      <c r="GL25" s="817"/>
      <c r="GM25" s="837"/>
      <c r="GN25" s="837"/>
      <c r="GO25" s="837"/>
      <c r="GP25" s="838"/>
      <c r="GQ25" s="839"/>
      <c r="GR25" s="817"/>
      <c r="GS25" s="820"/>
      <c r="GT25" s="834"/>
      <c r="GU25" s="835"/>
      <c r="GV25" s="823"/>
      <c r="GW25" s="824"/>
      <c r="GX25" s="825"/>
      <c r="GY25" s="826"/>
      <c r="GZ25" s="825"/>
      <c r="HA25" s="825"/>
      <c r="HB25" s="826"/>
      <c r="HC25" s="825"/>
      <c r="HD25" s="825"/>
      <c r="HE25" s="825"/>
      <c r="HF25" s="825"/>
      <c r="HG25" s="827"/>
      <c r="HH25" s="828"/>
      <c r="HI25" s="836"/>
      <c r="HJ25" s="830"/>
      <c r="HK25" s="831"/>
      <c r="HL25" s="828"/>
      <c r="HM25" s="832"/>
      <c r="HN25" s="833"/>
      <c r="HP25" s="840"/>
    </row>
    <row r="26" spans="1:224" s="179" customFormat="1" x14ac:dyDescent="0.25">
      <c r="A26" s="843" t="s">
        <v>451</v>
      </c>
      <c r="B26" s="164">
        <f>C26+AJ26</f>
        <v>157.43</v>
      </c>
      <c r="C26" s="164">
        <f>N26*P26*S26*T26*U26*(1+V26+W26+X26+Y26)*Z26/G26/H26</f>
        <v>106.43</v>
      </c>
      <c r="D26" s="164">
        <f>N26*P26*S26*T26*U26*(1+V26+Y26)*Z26/G26/H26</f>
        <v>60.78</v>
      </c>
      <c r="E26" s="164">
        <f t="shared" si="125"/>
        <v>45.65</v>
      </c>
      <c r="F26" s="164">
        <f t="shared" si="55"/>
        <v>4.95</v>
      </c>
      <c r="G26" s="165">
        <v>76.900000000000006</v>
      </c>
      <c r="H26" s="166">
        <v>800</v>
      </c>
      <c r="I26" s="167">
        <f t="shared" si="56"/>
        <v>61520</v>
      </c>
      <c r="J26" s="847">
        <f>SUM(J13:J14,J16:J25)</f>
        <v>465288</v>
      </c>
      <c r="K26" s="847">
        <f t="shared" ref="K26:L26" si="280">SUM(K13:K14,K16:K25)</f>
        <v>4401</v>
      </c>
      <c r="L26" s="847">
        <f t="shared" si="280"/>
        <v>314</v>
      </c>
      <c r="M26" s="847"/>
      <c r="N26" s="847">
        <f>SUM(N13:N14,N16:N25)</f>
        <v>63</v>
      </c>
      <c r="O26" s="167">
        <f t="shared" si="57"/>
        <v>582</v>
      </c>
      <c r="P26" s="169">
        <v>12</v>
      </c>
      <c r="Q26" s="160">
        <v>14987</v>
      </c>
      <c r="R26" s="272">
        <v>1.01</v>
      </c>
      <c r="S26" s="274">
        <f t="shared" si="58"/>
        <v>15137</v>
      </c>
      <c r="T26" s="170">
        <v>1.302</v>
      </c>
      <c r="U26" s="171">
        <f>U$11</f>
        <v>1.47617</v>
      </c>
      <c r="V26" s="172">
        <v>0</v>
      </c>
      <c r="W26" s="171">
        <f>W$11</f>
        <v>0.29274</v>
      </c>
      <c r="X26" s="171">
        <f>X$11</f>
        <v>0.45841999999999999</v>
      </c>
      <c r="Y26" s="172">
        <v>0</v>
      </c>
      <c r="Z26" s="171">
        <f t="shared" si="59"/>
        <v>0.17</v>
      </c>
      <c r="AA26" s="171">
        <f t="shared" si="2"/>
        <v>1.1776</v>
      </c>
      <c r="AB26" s="171">
        <f t="shared" si="2"/>
        <v>1.1232899999999999</v>
      </c>
      <c r="AC26" s="171">
        <f t="shared" si="60"/>
        <v>0.13213</v>
      </c>
      <c r="AD26" s="173">
        <f>AD$12</f>
        <v>8.1439999999999999E-2</v>
      </c>
      <c r="AE26" s="847">
        <f>SUM(AE13:AE14,AE16:AE25)</f>
        <v>53282770</v>
      </c>
      <c r="AF26" s="162">
        <v>47584.6</v>
      </c>
      <c r="AG26" s="175">
        <f t="shared" si="4"/>
        <v>25239.81</v>
      </c>
      <c r="AH26" s="176">
        <f t="shared" si="5"/>
        <v>59.8</v>
      </c>
      <c r="AI26" s="177">
        <f t="shared" si="61"/>
        <v>23581938</v>
      </c>
      <c r="AJ26" s="177">
        <f t="shared" si="62"/>
        <v>51</v>
      </c>
      <c r="AK26" s="178">
        <f t="shared" si="63"/>
        <v>1.8390899999999999</v>
      </c>
      <c r="AM26" s="164">
        <f>AN26+BU26</f>
        <v>91.87</v>
      </c>
      <c r="AN26" s="164">
        <f>AY26*BA26*BD26*BE26*BF26*(1+BG26+BH26+BI26+BJ26)*BK26/AR26/AS26</f>
        <v>38.869999999999997</v>
      </c>
      <c r="AO26" s="164">
        <f>AY26*BA26*BD26*BE26*BF26*(1+BG26+BJ26)*BK26/AR26/AS26</f>
        <v>18.57</v>
      </c>
      <c r="AP26" s="164">
        <f t="shared" si="127"/>
        <v>20.3</v>
      </c>
      <c r="AQ26" s="164">
        <f t="shared" si="67"/>
        <v>1.91</v>
      </c>
      <c r="AR26" s="165">
        <v>76.900000000000006</v>
      </c>
      <c r="AS26" s="166">
        <v>800</v>
      </c>
      <c r="AT26" s="167">
        <f t="shared" si="68"/>
        <v>61520</v>
      </c>
      <c r="AU26" s="847">
        <f>SUM(AU13:AU14,AU16:AU25)</f>
        <v>343104</v>
      </c>
      <c r="AV26" s="847">
        <f t="shared" ref="AV26:AW26" si="281">SUM(AV13:AV14,AV16:AV25)</f>
        <v>3376</v>
      </c>
      <c r="AW26" s="847">
        <f t="shared" si="281"/>
        <v>78</v>
      </c>
      <c r="AX26" s="847"/>
      <c r="AY26" s="847">
        <f>SUM(AY13:AY14,AY16:AY25)</f>
        <v>14</v>
      </c>
      <c r="AZ26" s="167">
        <f t="shared" si="69"/>
        <v>429</v>
      </c>
      <c r="BA26" s="169">
        <v>12</v>
      </c>
      <c r="BB26" s="385">
        <f t="shared" si="6"/>
        <v>14987</v>
      </c>
      <c r="BC26" s="386">
        <f t="shared" si="7"/>
        <v>1.01</v>
      </c>
      <c r="BD26" s="274">
        <f t="shared" si="70"/>
        <v>15137</v>
      </c>
      <c r="BE26" s="170">
        <v>1.302</v>
      </c>
      <c r="BF26" s="171">
        <f>BF$11</f>
        <v>1.38046</v>
      </c>
      <c r="BG26" s="172">
        <v>0</v>
      </c>
      <c r="BH26" s="171">
        <f>BH$11</f>
        <v>0.43123</v>
      </c>
      <c r="BI26" s="171">
        <f>BI$11</f>
        <v>0.66134000000000004</v>
      </c>
      <c r="BJ26" s="172">
        <v>0</v>
      </c>
      <c r="BK26" s="171">
        <f t="shared" si="71"/>
        <v>0.25</v>
      </c>
      <c r="BL26" s="171">
        <f t="shared" si="10"/>
        <v>1.2245299999999999</v>
      </c>
      <c r="BM26" s="171">
        <f t="shared" si="10"/>
        <v>1.1232899999999999</v>
      </c>
      <c r="BN26" s="171">
        <f t="shared" si="72"/>
        <v>0.17924999999999999</v>
      </c>
      <c r="BO26" s="173">
        <f>BO$12</f>
        <v>0.10267</v>
      </c>
      <c r="BP26" s="847">
        <f>SUM(BP13:BP14,BP16:BP25)</f>
        <v>13879107</v>
      </c>
      <c r="BQ26" s="387">
        <f t="shared" si="12"/>
        <v>47584.6</v>
      </c>
      <c r="BR26" s="175">
        <f t="shared" si="13"/>
        <v>26688.58</v>
      </c>
      <c r="BS26" s="176">
        <f t="shared" si="14"/>
        <v>43.3</v>
      </c>
      <c r="BT26" s="177">
        <f t="shared" si="73"/>
        <v>18055337</v>
      </c>
      <c r="BU26" s="177">
        <f t="shared" si="74"/>
        <v>53</v>
      </c>
      <c r="BV26" s="178">
        <f t="shared" si="75"/>
        <v>3.8540700000000001</v>
      </c>
      <c r="BX26" s="164">
        <f>BY26+DF26</f>
        <v>112.61</v>
      </c>
      <c r="BY26" s="164">
        <f>CJ26*CL26*CO26*CP26*CQ26*(1+CR26+CS26+CT26+CU26)*CV26/CC26/CD26</f>
        <v>63.61</v>
      </c>
      <c r="BZ26" s="164">
        <f>CJ26*CL26*CO26*CP26*CQ26*(1+CR26+CU26)*CV26/CC26/CD26</f>
        <v>31.88</v>
      </c>
      <c r="CA26" s="164">
        <f t="shared" si="129"/>
        <v>31.73</v>
      </c>
      <c r="CB26" s="164">
        <f t="shared" si="79"/>
        <v>10.220000000000001</v>
      </c>
      <c r="CC26" s="165">
        <v>76.900000000000006</v>
      </c>
      <c r="CD26" s="166">
        <v>800</v>
      </c>
      <c r="CE26" s="167">
        <f t="shared" si="80"/>
        <v>61520</v>
      </c>
      <c r="CF26" s="847">
        <f>SUM(CF13:CF14,CF16:CF25)</f>
        <v>238356</v>
      </c>
      <c r="CG26" s="847">
        <f t="shared" ref="CG26:CH26" si="282">SUM(CG13:CG14,CG16:CG25)</f>
        <v>1581</v>
      </c>
      <c r="CH26" s="847">
        <f t="shared" si="282"/>
        <v>58</v>
      </c>
      <c r="CI26" s="847"/>
      <c r="CJ26" s="847">
        <f>SUM(CJ13:CJ14,CJ16:CJ25)</f>
        <v>15</v>
      </c>
      <c r="CK26" s="167">
        <f t="shared" si="81"/>
        <v>298</v>
      </c>
      <c r="CL26" s="169">
        <v>12</v>
      </c>
      <c r="CM26" s="385">
        <f t="shared" si="15"/>
        <v>14987</v>
      </c>
      <c r="CN26" s="386">
        <f t="shared" si="16"/>
        <v>1.01</v>
      </c>
      <c r="CO26" s="274">
        <f t="shared" si="82"/>
        <v>15137</v>
      </c>
      <c r="CP26" s="170">
        <v>1.302</v>
      </c>
      <c r="CQ26" s="171">
        <f>CQ$11</f>
        <v>1.34843</v>
      </c>
      <c r="CR26" s="172">
        <v>0</v>
      </c>
      <c r="CS26" s="171">
        <f>CS$11</f>
        <v>0.33637</v>
      </c>
      <c r="CT26" s="171">
        <f>CT$11</f>
        <v>0.65883000000000003</v>
      </c>
      <c r="CU26" s="172">
        <v>0</v>
      </c>
      <c r="CV26" s="171">
        <f t="shared" si="83"/>
        <v>0.41</v>
      </c>
      <c r="CW26" s="171">
        <f t="shared" si="19"/>
        <v>1.4220999999999999</v>
      </c>
      <c r="CX26" s="171">
        <f t="shared" si="19"/>
        <v>1.1232899999999999</v>
      </c>
      <c r="CY26" s="171">
        <f t="shared" si="84"/>
        <v>0.25805</v>
      </c>
      <c r="CZ26" s="173">
        <f>CZ$12</f>
        <v>0.32064999999999999</v>
      </c>
      <c r="DA26" s="847">
        <f>SUM(DA13:DA14,DA16:DA25)</f>
        <v>18013844</v>
      </c>
      <c r="DB26" s="387">
        <f t="shared" si="21"/>
        <v>47584.6</v>
      </c>
      <c r="DC26" s="175">
        <f t="shared" si="22"/>
        <v>27173.42</v>
      </c>
      <c r="DD26" s="176">
        <f t="shared" si="23"/>
        <v>27.7</v>
      </c>
      <c r="DE26" s="177">
        <f t="shared" si="85"/>
        <v>11760243</v>
      </c>
      <c r="DF26" s="177">
        <f t="shared" si="86"/>
        <v>49</v>
      </c>
      <c r="DG26" s="178">
        <f t="shared" si="87"/>
        <v>2.53701</v>
      </c>
      <c r="DI26" s="164">
        <f>DJ26+EQ26</f>
        <v>49.84</v>
      </c>
      <c r="DJ26" s="164">
        <f>DU26*DW26*DZ26*EA26*EB26*(1+EC26+ED26+EE26+EF26)*EG26/DN26/DO26</f>
        <v>22.84</v>
      </c>
      <c r="DK26" s="164">
        <f>DU26*DW26*DZ26*EA26*EB26*(1+EC26+EF26)*EG26/DN26/DO26</f>
        <v>11.69</v>
      </c>
      <c r="DL26" s="164">
        <f t="shared" si="131"/>
        <v>11.15</v>
      </c>
      <c r="DM26" s="164">
        <f t="shared" si="91"/>
        <v>2.02</v>
      </c>
      <c r="DN26" s="165">
        <v>76.900000000000006</v>
      </c>
      <c r="DO26" s="166">
        <v>800</v>
      </c>
      <c r="DP26" s="167">
        <f t="shared" si="92"/>
        <v>61520</v>
      </c>
      <c r="DQ26" s="847">
        <f>SUM(DQ13:DQ14,DQ16:DQ25)</f>
        <v>147528</v>
      </c>
      <c r="DR26" s="847">
        <f t="shared" ref="DR26:DS26" si="283">SUM(DR13:DR14,DR16:DR25)</f>
        <v>1175</v>
      </c>
      <c r="DS26" s="847">
        <f t="shared" si="283"/>
        <v>23</v>
      </c>
      <c r="DT26" s="847"/>
      <c r="DU26" s="847">
        <f>SUM(DU13:DU14,DU16:DU25)</f>
        <v>4</v>
      </c>
      <c r="DV26" s="167">
        <f t="shared" si="93"/>
        <v>184</v>
      </c>
      <c r="DW26" s="169">
        <v>12</v>
      </c>
      <c r="DX26" s="385">
        <f t="shared" si="24"/>
        <v>14987</v>
      </c>
      <c r="DY26" s="386">
        <f t="shared" si="25"/>
        <v>1.01</v>
      </c>
      <c r="DZ26" s="274">
        <f t="shared" si="94"/>
        <v>15137</v>
      </c>
      <c r="EA26" s="170">
        <v>1.302</v>
      </c>
      <c r="EB26" s="171">
        <f>EB$11</f>
        <v>1.35737</v>
      </c>
      <c r="EC26" s="172">
        <v>0</v>
      </c>
      <c r="ED26" s="171">
        <f>ED$11</f>
        <v>0.22051999999999999</v>
      </c>
      <c r="EE26" s="171">
        <f>EE$11</f>
        <v>0.73350000000000004</v>
      </c>
      <c r="EF26" s="172">
        <v>0</v>
      </c>
      <c r="EG26" s="171">
        <f t="shared" si="95"/>
        <v>0.56000000000000005</v>
      </c>
      <c r="EH26" s="171">
        <f>EH$11</f>
        <v>1.2033499999999999</v>
      </c>
      <c r="EI26" s="171">
        <f>EI$11</f>
        <v>1.1232899999999999</v>
      </c>
      <c r="EJ26" s="171">
        <f t="shared" si="96"/>
        <v>0.41793000000000002</v>
      </c>
      <c r="EK26" s="173">
        <f>EK$12</f>
        <v>0.17288999999999999</v>
      </c>
      <c r="EL26" s="847">
        <f>SUM(EL13:EL14,EL16:EL25)</f>
        <v>3832777</v>
      </c>
      <c r="EM26" s="387">
        <f t="shared" si="30"/>
        <v>47584.6</v>
      </c>
      <c r="EN26" s="175">
        <f t="shared" si="31"/>
        <v>27038.09</v>
      </c>
      <c r="EO26" s="176">
        <f t="shared" si="32"/>
        <v>9.4</v>
      </c>
      <c r="EP26" s="177">
        <f t="shared" si="97"/>
        <v>3970965</v>
      </c>
      <c r="EQ26" s="177">
        <f t="shared" si="98"/>
        <v>27</v>
      </c>
      <c r="ER26" s="178">
        <f t="shared" si="99"/>
        <v>3.3096700000000001</v>
      </c>
      <c r="ET26" s="164">
        <f>EU26+GB26</f>
        <v>132.56</v>
      </c>
      <c r="EU26" s="164">
        <f>FF26*FH26*FK26*FL26*FM26*(1+FN26+FO26+FP26+FQ26)*FR26/EY26/EZ26</f>
        <v>114.56</v>
      </c>
      <c r="EV26" s="164">
        <f>FF26*FH26*FK26*FL26*FM26*(1+FN26+FQ26)*FR26/EY26/EZ26</f>
        <v>52.19</v>
      </c>
      <c r="EW26" s="164">
        <f t="shared" si="133"/>
        <v>62.37</v>
      </c>
      <c r="EX26" s="164">
        <f t="shared" si="103"/>
        <v>0</v>
      </c>
      <c r="EY26" s="165">
        <v>76.900000000000006</v>
      </c>
      <c r="EZ26" s="166">
        <v>800</v>
      </c>
      <c r="FA26" s="167">
        <f t="shared" si="104"/>
        <v>61520</v>
      </c>
      <c r="FB26" s="847">
        <f>SUM(FB13:FB14,FB16:FB25)</f>
        <v>95760</v>
      </c>
      <c r="FC26" s="847">
        <f t="shared" ref="FC26:FD26" si="284">SUM(FC13:FC14,FC16:FC25)</f>
        <v>604</v>
      </c>
      <c r="FD26" s="847">
        <f t="shared" si="284"/>
        <v>54</v>
      </c>
      <c r="FE26" s="847"/>
      <c r="FF26" s="847">
        <f>SUM(FF13:FF14,FF16:FF25)</f>
        <v>13</v>
      </c>
      <c r="FG26" s="167">
        <f t="shared" si="105"/>
        <v>120</v>
      </c>
      <c r="FH26" s="169">
        <v>12</v>
      </c>
      <c r="FI26" s="385">
        <f t="shared" si="33"/>
        <v>14987</v>
      </c>
      <c r="FJ26" s="386">
        <f t="shared" si="34"/>
        <v>1.01</v>
      </c>
      <c r="FK26" s="274">
        <f t="shared" si="106"/>
        <v>15137</v>
      </c>
      <c r="FL26" s="170">
        <v>1.302</v>
      </c>
      <c r="FM26" s="171">
        <f>FM$11</f>
        <v>1.32193</v>
      </c>
      <c r="FN26" s="172">
        <v>0</v>
      </c>
      <c r="FO26" s="171">
        <f>FO$11</f>
        <v>0.21695999999999999</v>
      </c>
      <c r="FP26" s="171">
        <f>FP$11</f>
        <v>0.97809999999999997</v>
      </c>
      <c r="FQ26" s="172">
        <v>0</v>
      </c>
      <c r="FR26" s="171">
        <f t="shared" si="107"/>
        <v>0.79</v>
      </c>
      <c r="FS26" s="171">
        <f t="shared" si="37"/>
        <v>1.0935600000000001</v>
      </c>
      <c r="FT26" s="171">
        <f t="shared" si="37"/>
        <v>1.1232899999999999</v>
      </c>
      <c r="FU26" s="171">
        <f t="shared" si="108"/>
        <v>0.64083000000000001</v>
      </c>
      <c r="FV26" s="173">
        <f>FV$12</f>
        <v>0</v>
      </c>
      <c r="FW26" s="847">
        <f>SUM(FW13:FW14,FW16:FW25)</f>
        <v>11266164</v>
      </c>
      <c r="FX26" s="387">
        <f t="shared" si="39"/>
        <v>47584.6</v>
      </c>
      <c r="FY26" s="175">
        <f t="shared" si="40"/>
        <v>27574.55</v>
      </c>
      <c r="FZ26" s="176">
        <f t="shared" si="41"/>
        <v>4</v>
      </c>
      <c r="GA26" s="177">
        <f t="shared" si="109"/>
        <v>1723299</v>
      </c>
      <c r="GB26" s="177">
        <f t="shared" si="110"/>
        <v>18</v>
      </c>
      <c r="GC26" s="178">
        <f t="shared" si="111"/>
        <v>1.3448899999999999</v>
      </c>
      <c r="GE26" s="164">
        <f>GF26+HM26</f>
        <v>125.52</v>
      </c>
      <c r="GF26" s="164">
        <f>GQ26*GS26*GV26*GW26*GX26*(1+GY26+GZ26+HA26+HB26)*HC26/GJ26/GK26</f>
        <v>79.52</v>
      </c>
      <c r="GG26" s="164">
        <f>GQ26*GS26*GV26*GW26*GX26*(1+GY26+HB26)*HC26/GJ26/GK26</f>
        <v>41.25</v>
      </c>
      <c r="GH26" s="164">
        <f t="shared" si="135"/>
        <v>38.270000000000003</v>
      </c>
      <c r="GI26" s="164">
        <f t="shared" si="115"/>
        <v>5.67</v>
      </c>
      <c r="GJ26" s="165">
        <v>76.900000000000006</v>
      </c>
      <c r="GK26" s="166">
        <v>800</v>
      </c>
      <c r="GL26" s="167">
        <f t="shared" si="116"/>
        <v>61520</v>
      </c>
      <c r="GM26" s="847">
        <f>SUM(GM13:GM14,GM16:GM25)</f>
        <v>1290036</v>
      </c>
      <c r="GN26" s="847">
        <f t="shared" ref="GN26:GO26" si="285">SUM(GN13:GN14,GN16:GN25)</f>
        <v>11137</v>
      </c>
      <c r="GO26" s="847">
        <f t="shared" si="285"/>
        <v>527</v>
      </c>
      <c r="GP26" s="847"/>
      <c r="GQ26" s="847">
        <f>SUM(GQ13:GQ14,GQ16:GQ25)</f>
        <v>109</v>
      </c>
      <c r="GR26" s="167">
        <f t="shared" si="117"/>
        <v>1613</v>
      </c>
      <c r="GS26" s="169">
        <v>12</v>
      </c>
      <c r="GT26" s="385">
        <f t="shared" si="43"/>
        <v>14987</v>
      </c>
      <c r="GU26" s="386">
        <f t="shared" si="44"/>
        <v>1.01</v>
      </c>
      <c r="GV26" s="274">
        <f t="shared" si="118"/>
        <v>15137</v>
      </c>
      <c r="GW26" s="170">
        <v>1.302</v>
      </c>
      <c r="GX26" s="171">
        <f>GX$11</f>
        <v>1.4064300000000001</v>
      </c>
      <c r="GY26" s="172">
        <v>0</v>
      </c>
      <c r="GZ26" s="171">
        <f>GZ$11</f>
        <v>0.32916000000000001</v>
      </c>
      <c r="HA26" s="171">
        <f>HA$11</f>
        <v>0.59841999999999995</v>
      </c>
      <c r="HB26" s="172">
        <v>0</v>
      </c>
      <c r="HC26" s="171">
        <f t="shared" si="119"/>
        <v>7.0000000000000007E-2</v>
      </c>
      <c r="HD26" s="171">
        <f t="shared" si="47"/>
        <v>1.24295</v>
      </c>
      <c r="HE26" s="171">
        <f t="shared" si="47"/>
        <v>1.1232899999999999</v>
      </c>
      <c r="HF26" s="171">
        <f t="shared" si="120"/>
        <v>4.768E-2</v>
      </c>
      <c r="HG26" s="173">
        <f>HG$12</f>
        <v>0.13744999999999999</v>
      </c>
      <c r="HH26" s="847">
        <f>SUM(HH13:HH14,HH16:HH25)</f>
        <v>106301033</v>
      </c>
      <c r="HI26" s="387">
        <f t="shared" si="49"/>
        <v>47584.6</v>
      </c>
      <c r="HJ26" s="175">
        <f t="shared" si="50"/>
        <v>26295.47</v>
      </c>
      <c r="HK26" s="176">
        <f t="shared" si="51"/>
        <v>144.19999999999999</v>
      </c>
      <c r="HL26" s="177">
        <f t="shared" si="121"/>
        <v>59243189</v>
      </c>
      <c r="HM26" s="177">
        <f t="shared" si="122"/>
        <v>46</v>
      </c>
      <c r="HN26" s="178">
        <f t="shared" si="123"/>
        <v>2.1151499999999999</v>
      </c>
      <c r="HP26" s="168">
        <f>GQ26*18</f>
        <v>1962</v>
      </c>
    </row>
    <row r="27" spans="1:224" s="180" customFormat="1" ht="12" x14ac:dyDescent="0.25">
      <c r="A27" s="180" t="s">
        <v>452</v>
      </c>
      <c r="O27" s="180">
        <f>SUM(O13:O15,O19:O22)</f>
        <v>573</v>
      </c>
      <c r="AH27" s="180">
        <f>SUM(AH13:AH14,AH16:AH22)</f>
        <v>59</v>
      </c>
      <c r="AI27" s="180">
        <f>SUM(AI13:AI14,AI16:AI22)</f>
        <v>23273585</v>
      </c>
      <c r="AZ27" s="180">
        <f>SUM(AZ13:AZ15,AZ19:AZ22)</f>
        <v>429</v>
      </c>
      <c r="BP27" s="180" t="e">
        <f>#REF!</f>
        <v>#REF!</v>
      </c>
      <c r="BS27" s="180">
        <f>SUM(BS13:BS14,BS16:BS22)</f>
        <v>43</v>
      </c>
      <c r="BT27" s="180">
        <f>SUM(BT13:BT14,BT16:BT22)</f>
        <v>18053210</v>
      </c>
      <c r="CK27" s="180">
        <f>SUM(CK13:CK15,CK19:CK22)</f>
        <v>291</v>
      </c>
      <c r="DA27" s="180" t="e">
        <f>#REF!</f>
        <v>#REF!</v>
      </c>
      <c r="DD27" s="180">
        <f>SUM(DD13:DD14,DD16:DD22)</f>
        <v>27</v>
      </c>
      <c r="DE27" s="180">
        <f>SUM(DE13:DE14,DE16:DE22)</f>
        <v>11465395</v>
      </c>
      <c r="DV27" s="180">
        <f>SUM(DV13:DV15,DV19:DV22)</f>
        <v>184</v>
      </c>
      <c r="EL27" s="180" t="e">
        <f>#REF!</f>
        <v>#REF!</v>
      </c>
      <c r="EO27" s="180">
        <f>SUM(EO13:EO14,EO16:EO22)</f>
        <v>9</v>
      </c>
      <c r="EP27" s="180">
        <f>SUM(EP13:EP14,EP16:EP22)</f>
        <v>3970965</v>
      </c>
      <c r="FG27" s="180">
        <f>SUM(FG13:FG15,FG19:FG22)</f>
        <v>120</v>
      </c>
      <c r="FW27" s="180" t="e">
        <f>#REF!</f>
        <v>#REF!</v>
      </c>
      <c r="FZ27" s="180">
        <f>SUM(FZ13:FZ14,FZ16:FZ22)</f>
        <v>4</v>
      </c>
      <c r="GA27" s="180">
        <f>SUM(GA13:GA14,GA16:GA22)</f>
        <v>1723299</v>
      </c>
      <c r="GR27" s="180">
        <f>SUM(GR13:GR15,GR19:GR22)</f>
        <v>1597</v>
      </c>
      <c r="HH27" s="180" t="e">
        <f>AE27+BP27+DA27+EL27+FW27</f>
        <v>#REF!</v>
      </c>
      <c r="HK27" s="180">
        <f>SUM(HK13:HK14,HK16:HK22)</f>
        <v>143</v>
      </c>
      <c r="HL27" s="180">
        <f>SUM(HL13:HL14,HL16:HL22)</f>
        <v>58688236</v>
      </c>
    </row>
    <row r="28" spans="1:224" x14ac:dyDescent="0.25">
      <c r="H28" s="70"/>
      <c r="I28" s="70"/>
      <c r="AS28" s="70"/>
      <c r="AT28" s="70"/>
      <c r="CD28" s="70"/>
      <c r="CE28" s="70"/>
      <c r="DO28" s="70"/>
      <c r="DP28" s="70"/>
      <c r="EZ28" s="70"/>
      <c r="FA28" s="70"/>
      <c r="GK28" s="70"/>
      <c r="GL28" s="70"/>
    </row>
    <row r="29" spans="1:224" x14ac:dyDescent="0.25">
      <c r="H29" s="70"/>
      <c r="I29" s="70"/>
      <c r="AS29" s="70"/>
      <c r="AT29" s="70"/>
      <c r="CD29" s="70"/>
      <c r="CE29" s="70"/>
      <c r="DO29" s="70"/>
      <c r="DP29" s="70"/>
      <c r="EZ29" s="70"/>
      <c r="FA29" s="70"/>
      <c r="GK29" s="70"/>
      <c r="GL29" s="70"/>
    </row>
    <row r="30" spans="1:224" x14ac:dyDescent="0.25">
      <c r="G30" s="116"/>
      <c r="H30" s="70"/>
      <c r="I30" s="70"/>
      <c r="AR30" s="116"/>
      <c r="AS30" s="70"/>
      <c r="AT30" s="70"/>
      <c r="CC30" s="116"/>
      <c r="CD30" s="70"/>
      <c r="CE30" s="70"/>
      <c r="DN30" s="116"/>
      <c r="DO30" s="70"/>
      <c r="DP30" s="70"/>
      <c r="EY30" s="116"/>
      <c r="EZ30" s="70"/>
      <c r="FA30" s="70"/>
      <c r="GF30" s="66" t="s">
        <v>431</v>
      </c>
      <c r="GJ30" s="116"/>
      <c r="GK30" s="70"/>
      <c r="GL30" s="70"/>
      <c r="HE30" s="1052" t="s">
        <v>274</v>
      </c>
      <c r="HF30" s="1052"/>
      <c r="HG30" s="1052"/>
      <c r="HH30" s="1052"/>
      <c r="HI30" s="1052"/>
      <c r="HJ30" s="1052"/>
      <c r="HK30" s="1052"/>
      <c r="HL30" s="1052"/>
      <c r="HM30" s="1052"/>
      <c r="HN30" s="1052"/>
    </row>
    <row r="31" spans="1:224" x14ac:dyDescent="0.25">
      <c r="H31" s="70"/>
      <c r="I31" s="70"/>
      <c r="AS31" s="70"/>
      <c r="AT31" s="70"/>
      <c r="CD31" s="70"/>
      <c r="CE31" s="70"/>
      <c r="DO31" s="70"/>
      <c r="DP31" s="70"/>
      <c r="EZ31" s="70"/>
      <c r="FA31" s="70"/>
      <c r="GK31" s="70"/>
      <c r="GL31" s="70"/>
    </row>
    <row r="32" spans="1:224" x14ac:dyDescent="0.25">
      <c r="H32" s="70"/>
      <c r="I32" s="70"/>
      <c r="AS32" s="70"/>
      <c r="AT32" s="70"/>
      <c r="CD32" s="70"/>
      <c r="CE32" s="70"/>
      <c r="DO32" s="70"/>
      <c r="DP32" s="70"/>
      <c r="EZ32" s="70"/>
      <c r="FA32" s="70"/>
      <c r="GK32" s="70"/>
      <c r="GL32" s="70"/>
    </row>
  </sheetData>
  <mergeCells count="196">
    <mergeCell ref="HC7:HC8"/>
    <mergeCell ref="HD7:HF7"/>
    <mergeCell ref="HG7:HG8"/>
    <mergeCell ref="HI7:HN7"/>
    <mergeCell ref="HE30:HN30"/>
    <mergeCell ref="GW7:GW8"/>
    <mergeCell ref="GX7:GX8"/>
    <mergeCell ref="GY7:GY8"/>
    <mergeCell ref="GZ7:GZ8"/>
    <mergeCell ref="HA7:HA8"/>
    <mergeCell ref="HB7:HB8"/>
    <mergeCell ref="GQ7:GQ8"/>
    <mergeCell ref="GR7:GR8"/>
    <mergeCell ref="GS7:GS8"/>
    <mergeCell ref="GT7:GT8"/>
    <mergeCell ref="GU7:GU8"/>
    <mergeCell ref="GV7:GV8"/>
    <mergeCell ref="GK7:GK8"/>
    <mergeCell ref="GL7:GL8"/>
    <mergeCell ref="GM7:GM8"/>
    <mergeCell ref="GN7:GN8"/>
    <mergeCell ref="GO7:GO8"/>
    <mergeCell ref="GP7:GP8"/>
    <mergeCell ref="FX7:GC7"/>
    <mergeCell ref="GE7:GE8"/>
    <mergeCell ref="GF7:GF8"/>
    <mergeCell ref="GG7:GH7"/>
    <mergeCell ref="GI7:GI8"/>
    <mergeCell ref="GJ7:GJ8"/>
    <mergeCell ref="FO7:FO8"/>
    <mergeCell ref="FP7:FP8"/>
    <mergeCell ref="FQ7:FQ8"/>
    <mergeCell ref="FR7:FR8"/>
    <mergeCell ref="FS7:FU7"/>
    <mergeCell ref="FV7:FV8"/>
    <mergeCell ref="FI7:FI8"/>
    <mergeCell ref="FJ7:FJ8"/>
    <mergeCell ref="FK7:FK8"/>
    <mergeCell ref="FL7:FL8"/>
    <mergeCell ref="FM7:FM8"/>
    <mergeCell ref="FN7:FN8"/>
    <mergeCell ref="FC7:FC8"/>
    <mergeCell ref="FD7:FD8"/>
    <mergeCell ref="FE7:FE8"/>
    <mergeCell ref="FF7:FF8"/>
    <mergeCell ref="FG7:FG8"/>
    <mergeCell ref="FH7:FH8"/>
    <mergeCell ref="EV7:EW7"/>
    <mergeCell ref="EX7:EX8"/>
    <mergeCell ref="EY7:EY8"/>
    <mergeCell ref="EZ7:EZ8"/>
    <mergeCell ref="FA7:FA8"/>
    <mergeCell ref="FB7:FB8"/>
    <mergeCell ref="EG7:EG8"/>
    <mergeCell ref="EH7:EJ7"/>
    <mergeCell ref="EK7:EK8"/>
    <mergeCell ref="EM7:ER7"/>
    <mergeCell ref="ET7:ET8"/>
    <mergeCell ref="EU7:EU8"/>
    <mergeCell ref="EA7:EA8"/>
    <mergeCell ref="EB7:EB8"/>
    <mergeCell ref="EC7:EC8"/>
    <mergeCell ref="ED7:ED8"/>
    <mergeCell ref="EE7:EE8"/>
    <mergeCell ref="EF7:EF8"/>
    <mergeCell ref="DU7:DU8"/>
    <mergeCell ref="DV7:DV8"/>
    <mergeCell ref="DW7:DW8"/>
    <mergeCell ref="DX7:DX8"/>
    <mergeCell ref="DY7:DY8"/>
    <mergeCell ref="DZ7:DZ8"/>
    <mergeCell ref="DO7:DO8"/>
    <mergeCell ref="DP7:DP8"/>
    <mergeCell ref="DQ7:DQ8"/>
    <mergeCell ref="DR7:DR8"/>
    <mergeCell ref="DS7:DS8"/>
    <mergeCell ref="DT7:DT8"/>
    <mergeCell ref="DB7:DG7"/>
    <mergeCell ref="DI7:DI8"/>
    <mergeCell ref="DJ7:DJ8"/>
    <mergeCell ref="DK7:DL7"/>
    <mergeCell ref="DM7:DM8"/>
    <mergeCell ref="DN7:DN8"/>
    <mergeCell ref="CS7:CS8"/>
    <mergeCell ref="CT7:CT8"/>
    <mergeCell ref="CU7:CU8"/>
    <mergeCell ref="CV7:CV8"/>
    <mergeCell ref="CW7:CY7"/>
    <mergeCell ref="CZ7:CZ8"/>
    <mergeCell ref="CM7:CM8"/>
    <mergeCell ref="CN7:CN8"/>
    <mergeCell ref="CO7:CO8"/>
    <mergeCell ref="CP7:CP8"/>
    <mergeCell ref="CQ7:CQ8"/>
    <mergeCell ref="CR7:CR8"/>
    <mergeCell ref="CG7:CG8"/>
    <mergeCell ref="CH7:CH8"/>
    <mergeCell ref="CI7:CI8"/>
    <mergeCell ref="CJ7:CJ8"/>
    <mergeCell ref="CK7:CK8"/>
    <mergeCell ref="CL7:CL8"/>
    <mergeCell ref="BZ7:CA7"/>
    <mergeCell ref="CB7:CB8"/>
    <mergeCell ref="CC7:CC8"/>
    <mergeCell ref="CD7:CD8"/>
    <mergeCell ref="CE7:CE8"/>
    <mergeCell ref="CF7:CF8"/>
    <mergeCell ref="BK7:BK8"/>
    <mergeCell ref="BL7:BN7"/>
    <mergeCell ref="BO7:BO8"/>
    <mergeCell ref="BQ7:BV7"/>
    <mergeCell ref="BX7:BX8"/>
    <mergeCell ref="BY7:BY8"/>
    <mergeCell ref="BE7:BE8"/>
    <mergeCell ref="BF7:BF8"/>
    <mergeCell ref="BG7:BG8"/>
    <mergeCell ref="BH7:BH8"/>
    <mergeCell ref="BI7:BI8"/>
    <mergeCell ref="BJ7:BJ8"/>
    <mergeCell ref="BA7:BA8"/>
    <mergeCell ref="BB7:BB8"/>
    <mergeCell ref="BC7:BC8"/>
    <mergeCell ref="BD7:BD8"/>
    <mergeCell ref="AS7:AS8"/>
    <mergeCell ref="AT7:AT8"/>
    <mergeCell ref="AU7:AU8"/>
    <mergeCell ref="AV7:AV8"/>
    <mergeCell ref="AW7:AW8"/>
    <mergeCell ref="AX7:AX8"/>
    <mergeCell ref="AR7:AR8"/>
    <mergeCell ref="W7:W8"/>
    <mergeCell ref="X7:X8"/>
    <mergeCell ref="Y7:Y8"/>
    <mergeCell ref="Z7:Z8"/>
    <mergeCell ref="AA7:AC7"/>
    <mergeCell ref="AD7:AD8"/>
    <mergeCell ref="AY7:AY8"/>
    <mergeCell ref="AZ7:AZ8"/>
    <mergeCell ref="M7:M8"/>
    <mergeCell ref="N7:N8"/>
    <mergeCell ref="O7:O8"/>
    <mergeCell ref="P7:P8"/>
    <mergeCell ref="AF7:AK7"/>
    <mergeCell ref="AM7:AM8"/>
    <mergeCell ref="AN7:AN8"/>
    <mergeCell ref="AO7:AP7"/>
    <mergeCell ref="AQ7:AQ8"/>
    <mergeCell ref="HP6:HP8"/>
    <mergeCell ref="A7:A8"/>
    <mergeCell ref="B7:B8"/>
    <mergeCell ref="C7:C8"/>
    <mergeCell ref="D7:E7"/>
    <mergeCell ref="F7:F8"/>
    <mergeCell ref="G7:G8"/>
    <mergeCell ref="H7:H8"/>
    <mergeCell ref="I7:I8"/>
    <mergeCell ref="J7:J8"/>
    <mergeCell ref="B6:AK6"/>
    <mergeCell ref="AM6:BV6"/>
    <mergeCell ref="BX6:DG6"/>
    <mergeCell ref="DI6:ER6"/>
    <mergeCell ref="ET6:GC6"/>
    <mergeCell ref="GE6:HN6"/>
    <mergeCell ref="Q7:Q8"/>
    <mergeCell ref="R7:R8"/>
    <mergeCell ref="S7:S8"/>
    <mergeCell ref="T7:T8"/>
    <mergeCell ref="U7:U8"/>
    <mergeCell ref="V7:V8"/>
    <mergeCell ref="K7:K8"/>
    <mergeCell ref="L7:L8"/>
    <mergeCell ref="C5:AK5"/>
    <mergeCell ref="AN5:BV5"/>
    <mergeCell ref="BY5:DG5"/>
    <mergeCell ref="DJ5:ER5"/>
    <mergeCell ref="EU5:GC5"/>
    <mergeCell ref="GF5:HN5"/>
    <mergeCell ref="C4:AK4"/>
    <mergeCell ref="AN4:BV4"/>
    <mergeCell ref="BY4:DG4"/>
    <mergeCell ref="DJ4:ER4"/>
    <mergeCell ref="EU4:GC4"/>
    <mergeCell ref="GF4:HN4"/>
    <mergeCell ref="C3:AK3"/>
    <mergeCell ref="AN3:BV3"/>
    <mergeCell ref="BY3:DG3"/>
    <mergeCell ref="DJ3:ER3"/>
    <mergeCell ref="EU3:GC3"/>
    <mergeCell ref="GF3:HN3"/>
    <mergeCell ref="HE1:HN1"/>
    <mergeCell ref="C2:AK2"/>
    <mergeCell ref="AN2:BV2"/>
    <mergeCell ref="BY2:DG2"/>
    <mergeCell ref="DJ2:ER2"/>
    <mergeCell ref="EU2:GC2"/>
    <mergeCell ref="GF2:HN2"/>
  </mergeCells>
  <pageMargins left="0" right="0" top="0" bottom="0" header="0.31496062992125984" footer="0.31496062992125984"/>
  <pageSetup paperSize="9" scale="1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9264-EB39-4B06-A919-96A81920DE03}">
  <sheetPr>
    <tabColor rgb="FFFFFF00"/>
  </sheetPr>
  <dimension ref="A1:FE267"/>
  <sheetViews>
    <sheetView zoomScale="80" zoomScaleNormal="80" workbookViewId="0">
      <pane xSplit="3" ySplit="11" topLeftCell="D233" activePane="bottomRight" state="frozen"/>
      <selection pane="topRight" activeCell="D1" sqref="D1"/>
      <selection pane="bottomLeft" activeCell="A12" sqref="A12"/>
      <selection pane="bottomRight" activeCell="I44" sqref="I44"/>
    </sheetView>
  </sheetViews>
  <sheetFormatPr defaultRowHeight="15" x14ac:dyDescent="0.25"/>
  <cols>
    <col min="1" max="1" width="18.85546875" style="876" customWidth="1"/>
    <col min="2" max="2" width="32.28515625" style="876" customWidth="1"/>
    <col min="3" max="3" width="13" style="876" customWidth="1"/>
    <col min="4" max="34" width="15.7109375" style="876" customWidth="1"/>
    <col min="35" max="35" width="17.5703125" style="876" customWidth="1"/>
    <col min="36" max="36" width="20.140625" style="876" customWidth="1"/>
    <col min="37" max="67" width="15.7109375" style="876" customWidth="1"/>
    <col min="68" max="68" width="15.7109375" style="972" customWidth="1"/>
    <col min="69" max="71" width="15.7109375" style="876" customWidth="1"/>
    <col min="72" max="72" width="3" style="876" customWidth="1"/>
    <col min="73" max="73" width="9.140625" style="876" customWidth="1"/>
    <col min="74" max="75" width="9" style="876" customWidth="1"/>
    <col min="76" max="77" width="16" style="876" customWidth="1"/>
    <col min="78" max="78" width="9" style="876" customWidth="1"/>
    <col min="79" max="80" width="12.28515625" style="876" customWidth="1"/>
    <col min="81" max="83" width="14.85546875" style="876" customWidth="1"/>
    <col min="84" max="84" width="14.85546875" style="973" hidden="1" customWidth="1"/>
    <col min="85" max="86" width="12.140625" style="876" customWidth="1"/>
    <col min="87" max="87" width="11.5703125" style="876" customWidth="1"/>
    <col min="88" max="100" width="11.7109375" style="876" customWidth="1"/>
    <col min="101" max="101" width="2.28515625" style="876" customWidth="1"/>
    <col min="102" max="104" width="11.7109375" style="876" customWidth="1"/>
    <col min="105" max="105" width="9.140625" style="876"/>
    <col min="106" max="120" width="11.7109375" style="876" hidden="1" customWidth="1"/>
    <col min="121" max="121" width="15.7109375" style="876" hidden="1" customWidth="1"/>
    <col min="122" max="123" width="11.42578125" style="876" hidden="1" customWidth="1"/>
    <col min="124" max="124" width="10.7109375" style="876" hidden="1" customWidth="1"/>
    <col min="125" max="125" width="0" style="876" hidden="1" customWidth="1"/>
    <col min="126" max="150" width="11.7109375" style="876" customWidth="1"/>
    <col min="151" max="151" width="5.5703125" style="876" customWidth="1"/>
    <col min="152" max="152" width="15.7109375" style="876" customWidth="1"/>
    <col min="153" max="154" width="11.42578125" style="876" customWidth="1"/>
    <col min="155" max="155" width="10.7109375" style="876" customWidth="1"/>
    <col min="156" max="157" width="9.140625" style="876"/>
    <col min="158" max="158" width="15.5703125" style="876" customWidth="1"/>
    <col min="159" max="159" width="11.5703125" style="876" customWidth="1"/>
    <col min="160" max="160" width="14.7109375" style="876" customWidth="1"/>
    <col min="161" max="269" width="9.140625" style="876"/>
    <col min="270" max="270" width="21.85546875" style="876" customWidth="1"/>
    <col min="271" max="271" width="32.28515625" style="876" customWidth="1"/>
    <col min="272" max="272" width="13" style="876" customWidth="1"/>
    <col min="273" max="303" width="15.7109375" style="876" customWidth="1"/>
    <col min="304" max="304" width="17.5703125" style="876" customWidth="1"/>
    <col min="305" max="305" width="20.140625" style="876" customWidth="1"/>
    <col min="306" max="340" width="15.7109375" style="876" customWidth="1"/>
    <col min="341" max="341" width="3" style="876" customWidth="1"/>
    <col min="342" max="342" width="9.140625" style="876" customWidth="1"/>
    <col min="343" max="344" width="9" style="876" customWidth="1"/>
    <col min="345" max="346" width="16" style="876" customWidth="1"/>
    <col min="347" max="347" width="9" style="876" customWidth="1"/>
    <col min="348" max="349" width="12.28515625" style="876" customWidth="1"/>
    <col min="350" max="352" width="14.85546875" style="876" customWidth="1"/>
    <col min="353" max="353" width="0" style="876" hidden="1" customWidth="1"/>
    <col min="354" max="355" width="12.140625" style="876" customWidth="1"/>
    <col min="356" max="356" width="10.7109375" style="876" customWidth="1"/>
    <col min="357" max="359" width="15.7109375" style="876" customWidth="1"/>
    <col min="360" max="360" width="11.85546875" style="876" customWidth="1"/>
    <col min="361" max="363" width="13.7109375" style="876" customWidth="1"/>
    <col min="364" max="364" width="3" style="876" customWidth="1"/>
    <col min="365" max="366" width="15.7109375" style="876" customWidth="1"/>
    <col min="367" max="525" width="9.140625" style="876"/>
    <col min="526" max="526" width="21.85546875" style="876" customWidth="1"/>
    <col min="527" max="527" width="32.28515625" style="876" customWidth="1"/>
    <col min="528" max="528" width="13" style="876" customWidth="1"/>
    <col min="529" max="559" width="15.7109375" style="876" customWidth="1"/>
    <col min="560" max="560" width="17.5703125" style="876" customWidth="1"/>
    <col min="561" max="561" width="20.140625" style="876" customWidth="1"/>
    <col min="562" max="596" width="15.7109375" style="876" customWidth="1"/>
    <col min="597" max="597" width="3" style="876" customWidth="1"/>
    <col min="598" max="598" width="9.140625" style="876" customWidth="1"/>
    <col min="599" max="600" width="9" style="876" customWidth="1"/>
    <col min="601" max="602" width="16" style="876" customWidth="1"/>
    <col min="603" max="603" width="9" style="876" customWidth="1"/>
    <col min="604" max="605" width="12.28515625" style="876" customWidth="1"/>
    <col min="606" max="608" width="14.85546875" style="876" customWidth="1"/>
    <col min="609" max="609" width="0" style="876" hidden="1" customWidth="1"/>
    <col min="610" max="611" width="12.140625" style="876" customWidth="1"/>
    <col min="612" max="612" width="10.7109375" style="876" customWidth="1"/>
    <col min="613" max="615" width="15.7109375" style="876" customWidth="1"/>
    <col min="616" max="616" width="11.85546875" style="876" customWidth="1"/>
    <col min="617" max="619" width="13.7109375" style="876" customWidth="1"/>
    <col min="620" max="620" width="3" style="876" customWidth="1"/>
    <col min="621" max="622" width="15.7109375" style="876" customWidth="1"/>
    <col min="623" max="781" width="9.140625" style="876"/>
    <col min="782" max="782" width="21.85546875" style="876" customWidth="1"/>
    <col min="783" max="783" width="32.28515625" style="876" customWidth="1"/>
    <col min="784" max="784" width="13" style="876" customWidth="1"/>
    <col min="785" max="815" width="15.7109375" style="876" customWidth="1"/>
    <col min="816" max="816" width="17.5703125" style="876" customWidth="1"/>
    <col min="817" max="817" width="20.140625" style="876" customWidth="1"/>
    <col min="818" max="852" width="15.7109375" style="876" customWidth="1"/>
    <col min="853" max="853" width="3" style="876" customWidth="1"/>
    <col min="854" max="854" width="9.140625" style="876" customWidth="1"/>
    <col min="855" max="856" width="9" style="876" customWidth="1"/>
    <col min="857" max="858" width="16" style="876" customWidth="1"/>
    <col min="859" max="859" width="9" style="876" customWidth="1"/>
    <col min="860" max="861" width="12.28515625" style="876" customWidth="1"/>
    <col min="862" max="864" width="14.85546875" style="876" customWidth="1"/>
    <col min="865" max="865" width="0" style="876" hidden="1" customWidth="1"/>
    <col min="866" max="867" width="12.140625" style="876" customWidth="1"/>
    <col min="868" max="868" width="10.7109375" style="876" customWidth="1"/>
    <col min="869" max="871" width="15.7109375" style="876" customWidth="1"/>
    <col min="872" max="872" width="11.85546875" style="876" customWidth="1"/>
    <col min="873" max="875" width="13.7109375" style="876" customWidth="1"/>
    <col min="876" max="876" width="3" style="876" customWidth="1"/>
    <col min="877" max="878" width="15.7109375" style="876" customWidth="1"/>
    <col min="879" max="1037" width="9.140625" style="876"/>
    <col min="1038" max="1038" width="21.85546875" style="876" customWidth="1"/>
    <col min="1039" max="1039" width="32.28515625" style="876" customWidth="1"/>
    <col min="1040" max="1040" width="13" style="876" customWidth="1"/>
    <col min="1041" max="1071" width="15.7109375" style="876" customWidth="1"/>
    <col min="1072" max="1072" width="17.5703125" style="876" customWidth="1"/>
    <col min="1073" max="1073" width="20.140625" style="876" customWidth="1"/>
    <col min="1074" max="1108" width="15.7109375" style="876" customWidth="1"/>
    <col min="1109" max="1109" width="3" style="876" customWidth="1"/>
    <col min="1110" max="1110" width="9.140625" style="876" customWidth="1"/>
    <col min="1111" max="1112" width="9" style="876" customWidth="1"/>
    <col min="1113" max="1114" width="16" style="876" customWidth="1"/>
    <col min="1115" max="1115" width="9" style="876" customWidth="1"/>
    <col min="1116" max="1117" width="12.28515625" style="876" customWidth="1"/>
    <col min="1118" max="1120" width="14.85546875" style="876" customWidth="1"/>
    <col min="1121" max="1121" width="0" style="876" hidden="1" customWidth="1"/>
    <col min="1122" max="1123" width="12.140625" style="876" customWidth="1"/>
    <col min="1124" max="1124" width="10.7109375" style="876" customWidth="1"/>
    <col min="1125" max="1127" width="15.7109375" style="876" customWidth="1"/>
    <col min="1128" max="1128" width="11.85546875" style="876" customWidth="1"/>
    <col min="1129" max="1131" width="13.7109375" style="876" customWidth="1"/>
    <col min="1132" max="1132" width="3" style="876" customWidth="1"/>
    <col min="1133" max="1134" width="15.7109375" style="876" customWidth="1"/>
    <col min="1135" max="1293" width="9.140625" style="876"/>
    <col min="1294" max="1294" width="21.85546875" style="876" customWidth="1"/>
    <col min="1295" max="1295" width="32.28515625" style="876" customWidth="1"/>
    <col min="1296" max="1296" width="13" style="876" customWidth="1"/>
    <col min="1297" max="1327" width="15.7109375" style="876" customWidth="1"/>
    <col min="1328" max="1328" width="17.5703125" style="876" customWidth="1"/>
    <col min="1329" max="1329" width="20.140625" style="876" customWidth="1"/>
    <col min="1330" max="1364" width="15.7109375" style="876" customWidth="1"/>
    <col min="1365" max="1365" width="3" style="876" customWidth="1"/>
    <col min="1366" max="1366" width="9.140625" style="876" customWidth="1"/>
    <col min="1367" max="1368" width="9" style="876" customWidth="1"/>
    <col min="1369" max="1370" width="16" style="876" customWidth="1"/>
    <col min="1371" max="1371" width="9" style="876" customWidth="1"/>
    <col min="1372" max="1373" width="12.28515625" style="876" customWidth="1"/>
    <col min="1374" max="1376" width="14.85546875" style="876" customWidth="1"/>
    <col min="1377" max="1377" width="0" style="876" hidden="1" customWidth="1"/>
    <col min="1378" max="1379" width="12.140625" style="876" customWidth="1"/>
    <col min="1380" max="1380" width="10.7109375" style="876" customWidth="1"/>
    <col min="1381" max="1383" width="15.7109375" style="876" customWidth="1"/>
    <col min="1384" max="1384" width="11.85546875" style="876" customWidth="1"/>
    <col min="1385" max="1387" width="13.7109375" style="876" customWidth="1"/>
    <col min="1388" max="1388" width="3" style="876" customWidth="1"/>
    <col min="1389" max="1390" width="15.7109375" style="876" customWidth="1"/>
    <col min="1391" max="1549" width="9.140625" style="876"/>
    <col min="1550" max="1550" width="21.85546875" style="876" customWidth="1"/>
    <col min="1551" max="1551" width="32.28515625" style="876" customWidth="1"/>
    <col min="1552" max="1552" width="13" style="876" customWidth="1"/>
    <col min="1553" max="1583" width="15.7109375" style="876" customWidth="1"/>
    <col min="1584" max="1584" width="17.5703125" style="876" customWidth="1"/>
    <col min="1585" max="1585" width="20.140625" style="876" customWidth="1"/>
    <col min="1586" max="1620" width="15.7109375" style="876" customWidth="1"/>
    <col min="1621" max="1621" width="3" style="876" customWidth="1"/>
    <col min="1622" max="1622" width="9.140625" style="876" customWidth="1"/>
    <col min="1623" max="1624" width="9" style="876" customWidth="1"/>
    <col min="1625" max="1626" width="16" style="876" customWidth="1"/>
    <col min="1627" max="1627" width="9" style="876" customWidth="1"/>
    <col min="1628" max="1629" width="12.28515625" style="876" customWidth="1"/>
    <col min="1630" max="1632" width="14.85546875" style="876" customWidth="1"/>
    <col min="1633" max="1633" width="0" style="876" hidden="1" customWidth="1"/>
    <col min="1634" max="1635" width="12.140625" style="876" customWidth="1"/>
    <col min="1636" max="1636" width="10.7109375" style="876" customWidth="1"/>
    <col min="1637" max="1639" width="15.7109375" style="876" customWidth="1"/>
    <col min="1640" max="1640" width="11.85546875" style="876" customWidth="1"/>
    <col min="1641" max="1643" width="13.7109375" style="876" customWidth="1"/>
    <col min="1644" max="1644" width="3" style="876" customWidth="1"/>
    <col min="1645" max="1646" width="15.7109375" style="876" customWidth="1"/>
    <col min="1647" max="1805" width="9.140625" style="876"/>
    <col min="1806" max="1806" width="21.85546875" style="876" customWidth="1"/>
    <col min="1807" max="1807" width="32.28515625" style="876" customWidth="1"/>
    <col min="1808" max="1808" width="13" style="876" customWidth="1"/>
    <col min="1809" max="1839" width="15.7109375" style="876" customWidth="1"/>
    <col min="1840" max="1840" width="17.5703125" style="876" customWidth="1"/>
    <col min="1841" max="1841" width="20.140625" style="876" customWidth="1"/>
    <col min="1842" max="1876" width="15.7109375" style="876" customWidth="1"/>
    <col min="1877" max="1877" width="3" style="876" customWidth="1"/>
    <col min="1878" max="1878" width="9.140625" style="876" customWidth="1"/>
    <col min="1879" max="1880" width="9" style="876" customWidth="1"/>
    <col min="1881" max="1882" width="16" style="876" customWidth="1"/>
    <col min="1883" max="1883" width="9" style="876" customWidth="1"/>
    <col min="1884" max="1885" width="12.28515625" style="876" customWidth="1"/>
    <col min="1886" max="1888" width="14.85546875" style="876" customWidth="1"/>
    <col min="1889" max="1889" width="0" style="876" hidden="1" customWidth="1"/>
    <col min="1890" max="1891" width="12.140625" style="876" customWidth="1"/>
    <col min="1892" max="1892" width="10.7109375" style="876" customWidth="1"/>
    <col min="1893" max="1895" width="15.7109375" style="876" customWidth="1"/>
    <col min="1896" max="1896" width="11.85546875" style="876" customWidth="1"/>
    <col min="1897" max="1899" width="13.7109375" style="876" customWidth="1"/>
    <col min="1900" max="1900" width="3" style="876" customWidth="1"/>
    <col min="1901" max="1902" width="15.7109375" style="876" customWidth="1"/>
    <col min="1903" max="2061" width="9.140625" style="876"/>
    <col min="2062" max="2062" width="21.85546875" style="876" customWidth="1"/>
    <col min="2063" max="2063" width="32.28515625" style="876" customWidth="1"/>
    <col min="2064" max="2064" width="13" style="876" customWidth="1"/>
    <col min="2065" max="2095" width="15.7109375" style="876" customWidth="1"/>
    <col min="2096" max="2096" width="17.5703125" style="876" customWidth="1"/>
    <col min="2097" max="2097" width="20.140625" style="876" customWidth="1"/>
    <col min="2098" max="2132" width="15.7109375" style="876" customWidth="1"/>
    <col min="2133" max="2133" width="3" style="876" customWidth="1"/>
    <col min="2134" max="2134" width="9.140625" style="876" customWidth="1"/>
    <col min="2135" max="2136" width="9" style="876" customWidth="1"/>
    <col min="2137" max="2138" width="16" style="876" customWidth="1"/>
    <col min="2139" max="2139" width="9" style="876" customWidth="1"/>
    <col min="2140" max="2141" width="12.28515625" style="876" customWidth="1"/>
    <col min="2142" max="2144" width="14.85546875" style="876" customWidth="1"/>
    <col min="2145" max="2145" width="0" style="876" hidden="1" customWidth="1"/>
    <col min="2146" max="2147" width="12.140625" style="876" customWidth="1"/>
    <col min="2148" max="2148" width="10.7109375" style="876" customWidth="1"/>
    <col min="2149" max="2151" width="15.7109375" style="876" customWidth="1"/>
    <col min="2152" max="2152" width="11.85546875" style="876" customWidth="1"/>
    <col min="2153" max="2155" width="13.7109375" style="876" customWidth="1"/>
    <col min="2156" max="2156" width="3" style="876" customWidth="1"/>
    <col min="2157" max="2158" width="15.7109375" style="876" customWidth="1"/>
    <col min="2159" max="2317" width="9.140625" style="876"/>
    <col min="2318" max="2318" width="21.85546875" style="876" customWidth="1"/>
    <col min="2319" max="2319" width="32.28515625" style="876" customWidth="1"/>
    <col min="2320" max="2320" width="13" style="876" customWidth="1"/>
    <col min="2321" max="2351" width="15.7109375" style="876" customWidth="1"/>
    <col min="2352" max="2352" width="17.5703125" style="876" customWidth="1"/>
    <col min="2353" max="2353" width="20.140625" style="876" customWidth="1"/>
    <col min="2354" max="2388" width="15.7109375" style="876" customWidth="1"/>
    <col min="2389" max="2389" width="3" style="876" customWidth="1"/>
    <col min="2390" max="2390" width="9.140625" style="876" customWidth="1"/>
    <col min="2391" max="2392" width="9" style="876" customWidth="1"/>
    <col min="2393" max="2394" width="16" style="876" customWidth="1"/>
    <col min="2395" max="2395" width="9" style="876" customWidth="1"/>
    <col min="2396" max="2397" width="12.28515625" style="876" customWidth="1"/>
    <col min="2398" max="2400" width="14.85546875" style="876" customWidth="1"/>
    <col min="2401" max="2401" width="0" style="876" hidden="1" customWidth="1"/>
    <col min="2402" max="2403" width="12.140625" style="876" customWidth="1"/>
    <col min="2404" max="2404" width="10.7109375" style="876" customWidth="1"/>
    <col min="2405" max="2407" width="15.7109375" style="876" customWidth="1"/>
    <col min="2408" max="2408" width="11.85546875" style="876" customWidth="1"/>
    <col min="2409" max="2411" width="13.7109375" style="876" customWidth="1"/>
    <col min="2412" max="2412" width="3" style="876" customWidth="1"/>
    <col min="2413" max="2414" width="15.7109375" style="876" customWidth="1"/>
    <col min="2415" max="2573" width="9.140625" style="876"/>
    <col min="2574" max="2574" width="21.85546875" style="876" customWidth="1"/>
    <col min="2575" max="2575" width="32.28515625" style="876" customWidth="1"/>
    <col min="2576" max="2576" width="13" style="876" customWidth="1"/>
    <col min="2577" max="2607" width="15.7109375" style="876" customWidth="1"/>
    <col min="2608" max="2608" width="17.5703125" style="876" customWidth="1"/>
    <col min="2609" max="2609" width="20.140625" style="876" customWidth="1"/>
    <col min="2610" max="2644" width="15.7109375" style="876" customWidth="1"/>
    <col min="2645" max="2645" width="3" style="876" customWidth="1"/>
    <col min="2646" max="2646" width="9.140625" style="876" customWidth="1"/>
    <col min="2647" max="2648" width="9" style="876" customWidth="1"/>
    <col min="2649" max="2650" width="16" style="876" customWidth="1"/>
    <col min="2651" max="2651" width="9" style="876" customWidth="1"/>
    <col min="2652" max="2653" width="12.28515625" style="876" customWidth="1"/>
    <col min="2654" max="2656" width="14.85546875" style="876" customWidth="1"/>
    <col min="2657" max="2657" width="0" style="876" hidden="1" customWidth="1"/>
    <col min="2658" max="2659" width="12.140625" style="876" customWidth="1"/>
    <col min="2660" max="2660" width="10.7109375" style="876" customWidth="1"/>
    <col min="2661" max="2663" width="15.7109375" style="876" customWidth="1"/>
    <col min="2664" max="2664" width="11.85546875" style="876" customWidth="1"/>
    <col min="2665" max="2667" width="13.7109375" style="876" customWidth="1"/>
    <col min="2668" max="2668" width="3" style="876" customWidth="1"/>
    <col min="2669" max="2670" width="15.7109375" style="876" customWidth="1"/>
    <col min="2671" max="2829" width="9.140625" style="876"/>
    <col min="2830" max="2830" width="21.85546875" style="876" customWidth="1"/>
    <col min="2831" max="2831" width="32.28515625" style="876" customWidth="1"/>
    <col min="2832" max="2832" width="13" style="876" customWidth="1"/>
    <col min="2833" max="2863" width="15.7109375" style="876" customWidth="1"/>
    <col min="2864" max="2864" width="17.5703125" style="876" customWidth="1"/>
    <col min="2865" max="2865" width="20.140625" style="876" customWidth="1"/>
    <col min="2866" max="2900" width="15.7109375" style="876" customWidth="1"/>
    <col min="2901" max="2901" width="3" style="876" customWidth="1"/>
    <col min="2902" max="2902" width="9.140625" style="876" customWidth="1"/>
    <col min="2903" max="2904" width="9" style="876" customWidth="1"/>
    <col min="2905" max="2906" width="16" style="876" customWidth="1"/>
    <col min="2907" max="2907" width="9" style="876" customWidth="1"/>
    <col min="2908" max="2909" width="12.28515625" style="876" customWidth="1"/>
    <col min="2910" max="2912" width="14.85546875" style="876" customWidth="1"/>
    <col min="2913" max="2913" width="0" style="876" hidden="1" customWidth="1"/>
    <col min="2914" max="2915" width="12.140625" style="876" customWidth="1"/>
    <col min="2916" max="2916" width="10.7109375" style="876" customWidth="1"/>
    <col min="2917" max="2919" width="15.7109375" style="876" customWidth="1"/>
    <col min="2920" max="2920" width="11.85546875" style="876" customWidth="1"/>
    <col min="2921" max="2923" width="13.7109375" style="876" customWidth="1"/>
    <col min="2924" max="2924" width="3" style="876" customWidth="1"/>
    <col min="2925" max="2926" width="15.7109375" style="876" customWidth="1"/>
    <col min="2927" max="3085" width="9.140625" style="876"/>
    <col min="3086" max="3086" width="21.85546875" style="876" customWidth="1"/>
    <col min="3087" max="3087" width="32.28515625" style="876" customWidth="1"/>
    <col min="3088" max="3088" width="13" style="876" customWidth="1"/>
    <col min="3089" max="3119" width="15.7109375" style="876" customWidth="1"/>
    <col min="3120" max="3120" width="17.5703125" style="876" customWidth="1"/>
    <col min="3121" max="3121" width="20.140625" style="876" customWidth="1"/>
    <col min="3122" max="3156" width="15.7109375" style="876" customWidth="1"/>
    <col min="3157" max="3157" width="3" style="876" customWidth="1"/>
    <col min="3158" max="3158" width="9.140625" style="876" customWidth="1"/>
    <col min="3159" max="3160" width="9" style="876" customWidth="1"/>
    <col min="3161" max="3162" width="16" style="876" customWidth="1"/>
    <col min="3163" max="3163" width="9" style="876" customWidth="1"/>
    <col min="3164" max="3165" width="12.28515625" style="876" customWidth="1"/>
    <col min="3166" max="3168" width="14.85546875" style="876" customWidth="1"/>
    <col min="3169" max="3169" width="0" style="876" hidden="1" customWidth="1"/>
    <col min="3170" max="3171" width="12.140625" style="876" customWidth="1"/>
    <col min="3172" max="3172" width="10.7109375" style="876" customWidth="1"/>
    <col min="3173" max="3175" width="15.7109375" style="876" customWidth="1"/>
    <col min="3176" max="3176" width="11.85546875" style="876" customWidth="1"/>
    <col min="3177" max="3179" width="13.7109375" style="876" customWidth="1"/>
    <col min="3180" max="3180" width="3" style="876" customWidth="1"/>
    <col min="3181" max="3182" width="15.7109375" style="876" customWidth="1"/>
    <col min="3183" max="3341" width="9.140625" style="876"/>
    <col min="3342" max="3342" width="21.85546875" style="876" customWidth="1"/>
    <col min="3343" max="3343" width="32.28515625" style="876" customWidth="1"/>
    <col min="3344" max="3344" width="13" style="876" customWidth="1"/>
    <col min="3345" max="3375" width="15.7109375" style="876" customWidth="1"/>
    <col min="3376" max="3376" width="17.5703125" style="876" customWidth="1"/>
    <col min="3377" max="3377" width="20.140625" style="876" customWidth="1"/>
    <col min="3378" max="3412" width="15.7109375" style="876" customWidth="1"/>
    <col min="3413" max="3413" width="3" style="876" customWidth="1"/>
    <col min="3414" max="3414" width="9.140625" style="876" customWidth="1"/>
    <col min="3415" max="3416" width="9" style="876" customWidth="1"/>
    <col min="3417" max="3418" width="16" style="876" customWidth="1"/>
    <col min="3419" max="3419" width="9" style="876" customWidth="1"/>
    <col min="3420" max="3421" width="12.28515625" style="876" customWidth="1"/>
    <col min="3422" max="3424" width="14.85546875" style="876" customWidth="1"/>
    <col min="3425" max="3425" width="0" style="876" hidden="1" customWidth="1"/>
    <col min="3426" max="3427" width="12.140625" style="876" customWidth="1"/>
    <col min="3428" max="3428" width="10.7109375" style="876" customWidth="1"/>
    <col min="3429" max="3431" width="15.7109375" style="876" customWidth="1"/>
    <col min="3432" max="3432" width="11.85546875" style="876" customWidth="1"/>
    <col min="3433" max="3435" width="13.7109375" style="876" customWidth="1"/>
    <col min="3436" max="3436" width="3" style="876" customWidth="1"/>
    <col min="3437" max="3438" width="15.7109375" style="876" customWidth="1"/>
    <col min="3439" max="3597" width="9.140625" style="876"/>
    <col min="3598" max="3598" width="21.85546875" style="876" customWidth="1"/>
    <col min="3599" max="3599" width="32.28515625" style="876" customWidth="1"/>
    <col min="3600" max="3600" width="13" style="876" customWidth="1"/>
    <col min="3601" max="3631" width="15.7109375" style="876" customWidth="1"/>
    <col min="3632" max="3632" width="17.5703125" style="876" customWidth="1"/>
    <col min="3633" max="3633" width="20.140625" style="876" customWidth="1"/>
    <col min="3634" max="3668" width="15.7109375" style="876" customWidth="1"/>
    <col min="3669" max="3669" width="3" style="876" customWidth="1"/>
    <col min="3670" max="3670" width="9.140625" style="876" customWidth="1"/>
    <col min="3671" max="3672" width="9" style="876" customWidth="1"/>
    <col min="3673" max="3674" width="16" style="876" customWidth="1"/>
    <col min="3675" max="3675" width="9" style="876" customWidth="1"/>
    <col min="3676" max="3677" width="12.28515625" style="876" customWidth="1"/>
    <col min="3678" max="3680" width="14.85546875" style="876" customWidth="1"/>
    <col min="3681" max="3681" width="0" style="876" hidden="1" customWidth="1"/>
    <col min="3682" max="3683" width="12.140625" style="876" customWidth="1"/>
    <col min="3684" max="3684" width="10.7109375" style="876" customWidth="1"/>
    <col min="3685" max="3687" width="15.7109375" style="876" customWidth="1"/>
    <col min="3688" max="3688" width="11.85546875" style="876" customWidth="1"/>
    <col min="3689" max="3691" width="13.7109375" style="876" customWidth="1"/>
    <col min="3692" max="3692" width="3" style="876" customWidth="1"/>
    <col min="3693" max="3694" width="15.7109375" style="876" customWidth="1"/>
    <col min="3695" max="3853" width="9.140625" style="876"/>
    <col min="3854" max="3854" width="21.85546875" style="876" customWidth="1"/>
    <col min="3855" max="3855" width="32.28515625" style="876" customWidth="1"/>
    <col min="3856" max="3856" width="13" style="876" customWidth="1"/>
    <col min="3857" max="3887" width="15.7109375" style="876" customWidth="1"/>
    <col min="3888" max="3888" width="17.5703125" style="876" customWidth="1"/>
    <col min="3889" max="3889" width="20.140625" style="876" customWidth="1"/>
    <col min="3890" max="3924" width="15.7109375" style="876" customWidth="1"/>
    <col min="3925" max="3925" width="3" style="876" customWidth="1"/>
    <col min="3926" max="3926" width="9.140625" style="876" customWidth="1"/>
    <col min="3927" max="3928" width="9" style="876" customWidth="1"/>
    <col min="3929" max="3930" width="16" style="876" customWidth="1"/>
    <col min="3931" max="3931" width="9" style="876" customWidth="1"/>
    <col min="3932" max="3933" width="12.28515625" style="876" customWidth="1"/>
    <col min="3934" max="3936" width="14.85546875" style="876" customWidth="1"/>
    <col min="3937" max="3937" width="0" style="876" hidden="1" customWidth="1"/>
    <col min="3938" max="3939" width="12.140625" style="876" customWidth="1"/>
    <col min="3940" max="3940" width="10.7109375" style="876" customWidth="1"/>
    <col min="3941" max="3943" width="15.7109375" style="876" customWidth="1"/>
    <col min="3944" max="3944" width="11.85546875" style="876" customWidth="1"/>
    <col min="3945" max="3947" width="13.7109375" style="876" customWidth="1"/>
    <col min="3948" max="3948" width="3" style="876" customWidth="1"/>
    <col min="3949" max="3950" width="15.7109375" style="876" customWidth="1"/>
    <col min="3951" max="4109" width="9.140625" style="876"/>
    <col min="4110" max="4110" width="21.85546875" style="876" customWidth="1"/>
    <col min="4111" max="4111" width="32.28515625" style="876" customWidth="1"/>
    <col min="4112" max="4112" width="13" style="876" customWidth="1"/>
    <col min="4113" max="4143" width="15.7109375" style="876" customWidth="1"/>
    <col min="4144" max="4144" width="17.5703125" style="876" customWidth="1"/>
    <col min="4145" max="4145" width="20.140625" style="876" customWidth="1"/>
    <col min="4146" max="4180" width="15.7109375" style="876" customWidth="1"/>
    <col min="4181" max="4181" width="3" style="876" customWidth="1"/>
    <col min="4182" max="4182" width="9.140625" style="876" customWidth="1"/>
    <col min="4183" max="4184" width="9" style="876" customWidth="1"/>
    <col min="4185" max="4186" width="16" style="876" customWidth="1"/>
    <col min="4187" max="4187" width="9" style="876" customWidth="1"/>
    <col min="4188" max="4189" width="12.28515625" style="876" customWidth="1"/>
    <col min="4190" max="4192" width="14.85546875" style="876" customWidth="1"/>
    <col min="4193" max="4193" width="0" style="876" hidden="1" customWidth="1"/>
    <col min="4194" max="4195" width="12.140625" style="876" customWidth="1"/>
    <col min="4196" max="4196" width="10.7109375" style="876" customWidth="1"/>
    <col min="4197" max="4199" width="15.7109375" style="876" customWidth="1"/>
    <col min="4200" max="4200" width="11.85546875" style="876" customWidth="1"/>
    <col min="4201" max="4203" width="13.7109375" style="876" customWidth="1"/>
    <col min="4204" max="4204" width="3" style="876" customWidth="1"/>
    <col min="4205" max="4206" width="15.7109375" style="876" customWidth="1"/>
    <col min="4207" max="4365" width="9.140625" style="876"/>
    <col min="4366" max="4366" width="21.85546875" style="876" customWidth="1"/>
    <col min="4367" max="4367" width="32.28515625" style="876" customWidth="1"/>
    <col min="4368" max="4368" width="13" style="876" customWidth="1"/>
    <col min="4369" max="4399" width="15.7109375" style="876" customWidth="1"/>
    <col min="4400" max="4400" width="17.5703125" style="876" customWidth="1"/>
    <col min="4401" max="4401" width="20.140625" style="876" customWidth="1"/>
    <col min="4402" max="4436" width="15.7109375" style="876" customWidth="1"/>
    <col min="4437" max="4437" width="3" style="876" customWidth="1"/>
    <col min="4438" max="4438" width="9.140625" style="876" customWidth="1"/>
    <col min="4439" max="4440" width="9" style="876" customWidth="1"/>
    <col min="4441" max="4442" width="16" style="876" customWidth="1"/>
    <col min="4443" max="4443" width="9" style="876" customWidth="1"/>
    <col min="4444" max="4445" width="12.28515625" style="876" customWidth="1"/>
    <col min="4446" max="4448" width="14.85546875" style="876" customWidth="1"/>
    <col min="4449" max="4449" width="0" style="876" hidden="1" customWidth="1"/>
    <col min="4450" max="4451" width="12.140625" style="876" customWidth="1"/>
    <col min="4452" max="4452" width="10.7109375" style="876" customWidth="1"/>
    <col min="4453" max="4455" width="15.7109375" style="876" customWidth="1"/>
    <col min="4456" max="4456" width="11.85546875" style="876" customWidth="1"/>
    <col min="4457" max="4459" width="13.7109375" style="876" customWidth="1"/>
    <col min="4460" max="4460" width="3" style="876" customWidth="1"/>
    <col min="4461" max="4462" width="15.7109375" style="876" customWidth="1"/>
    <col min="4463" max="4621" width="9.140625" style="876"/>
    <col min="4622" max="4622" width="21.85546875" style="876" customWidth="1"/>
    <col min="4623" max="4623" width="32.28515625" style="876" customWidth="1"/>
    <col min="4624" max="4624" width="13" style="876" customWidth="1"/>
    <col min="4625" max="4655" width="15.7109375" style="876" customWidth="1"/>
    <col min="4656" max="4656" width="17.5703125" style="876" customWidth="1"/>
    <col min="4657" max="4657" width="20.140625" style="876" customWidth="1"/>
    <col min="4658" max="4692" width="15.7109375" style="876" customWidth="1"/>
    <col min="4693" max="4693" width="3" style="876" customWidth="1"/>
    <col min="4694" max="4694" width="9.140625" style="876" customWidth="1"/>
    <col min="4695" max="4696" width="9" style="876" customWidth="1"/>
    <col min="4697" max="4698" width="16" style="876" customWidth="1"/>
    <col min="4699" max="4699" width="9" style="876" customWidth="1"/>
    <col min="4700" max="4701" width="12.28515625" style="876" customWidth="1"/>
    <col min="4702" max="4704" width="14.85546875" style="876" customWidth="1"/>
    <col min="4705" max="4705" width="0" style="876" hidden="1" customWidth="1"/>
    <col min="4706" max="4707" width="12.140625" style="876" customWidth="1"/>
    <col min="4708" max="4708" width="10.7109375" style="876" customWidth="1"/>
    <col min="4709" max="4711" width="15.7109375" style="876" customWidth="1"/>
    <col min="4712" max="4712" width="11.85546875" style="876" customWidth="1"/>
    <col min="4713" max="4715" width="13.7109375" style="876" customWidth="1"/>
    <col min="4716" max="4716" width="3" style="876" customWidth="1"/>
    <col min="4717" max="4718" width="15.7109375" style="876" customWidth="1"/>
    <col min="4719" max="4877" width="9.140625" style="876"/>
    <col min="4878" max="4878" width="21.85546875" style="876" customWidth="1"/>
    <col min="4879" max="4879" width="32.28515625" style="876" customWidth="1"/>
    <col min="4880" max="4880" width="13" style="876" customWidth="1"/>
    <col min="4881" max="4911" width="15.7109375" style="876" customWidth="1"/>
    <col min="4912" max="4912" width="17.5703125" style="876" customWidth="1"/>
    <col min="4913" max="4913" width="20.140625" style="876" customWidth="1"/>
    <col min="4914" max="4948" width="15.7109375" style="876" customWidth="1"/>
    <col min="4949" max="4949" width="3" style="876" customWidth="1"/>
    <col min="4950" max="4950" width="9.140625" style="876" customWidth="1"/>
    <col min="4951" max="4952" width="9" style="876" customWidth="1"/>
    <col min="4953" max="4954" width="16" style="876" customWidth="1"/>
    <col min="4955" max="4955" width="9" style="876" customWidth="1"/>
    <col min="4956" max="4957" width="12.28515625" style="876" customWidth="1"/>
    <col min="4958" max="4960" width="14.85546875" style="876" customWidth="1"/>
    <col min="4961" max="4961" width="0" style="876" hidden="1" customWidth="1"/>
    <col min="4962" max="4963" width="12.140625" style="876" customWidth="1"/>
    <col min="4964" max="4964" width="10.7109375" style="876" customWidth="1"/>
    <col min="4965" max="4967" width="15.7109375" style="876" customWidth="1"/>
    <col min="4968" max="4968" width="11.85546875" style="876" customWidth="1"/>
    <col min="4969" max="4971" width="13.7109375" style="876" customWidth="1"/>
    <col min="4972" max="4972" width="3" style="876" customWidth="1"/>
    <col min="4973" max="4974" width="15.7109375" style="876" customWidth="1"/>
    <col min="4975" max="5133" width="9.140625" style="876"/>
    <col min="5134" max="5134" width="21.85546875" style="876" customWidth="1"/>
    <col min="5135" max="5135" width="32.28515625" style="876" customWidth="1"/>
    <col min="5136" max="5136" width="13" style="876" customWidth="1"/>
    <col min="5137" max="5167" width="15.7109375" style="876" customWidth="1"/>
    <col min="5168" max="5168" width="17.5703125" style="876" customWidth="1"/>
    <col min="5169" max="5169" width="20.140625" style="876" customWidth="1"/>
    <col min="5170" max="5204" width="15.7109375" style="876" customWidth="1"/>
    <col min="5205" max="5205" width="3" style="876" customWidth="1"/>
    <col min="5206" max="5206" width="9.140625" style="876" customWidth="1"/>
    <col min="5207" max="5208" width="9" style="876" customWidth="1"/>
    <col min="5209" max="5210" width="16" style="876" customWidth="1"/>
    <col min="5211" max="5211" width="9" style="876" customWidth="1"/>
    <col min="5212" max="5213" width="12.28515625" style="876" customWidth="1"/>
    <col min="5214" max="5216" width="14.85546875" style="876" customWidth="1"/>
    <col min="5217" max="5217" width="0" style="876" hidden="1" customWidth="1"/>
    <col min="5218" max="5219" width="12.140625" style="876" customWidth="1"/>
    <col min="5220" max="5220" width="10.7109375" style="876" customWidth="1"/>
    <col min="5221" max="5223" width="15.7109375" style="876" customWidth="1"/>
    <col min="5224" max="5224" width="11.85546875" style="876" customWidth="1"/>
    <col min="5225" max="5227" width="13.7109375" style="876" customWidth="1"/>
    <col min="5228" max="5228" width="3" style="876" customWidth="1"/>
    <col min="5229" max="5230" width="15.7109375" style="876" customWidth="1"/>
    <col min="5231" max="5389" width="9.140625" style="876"/>
    <col min="5390" max="5390" width="21.85546875" style="876" customWidth="1"/>
    <col min="5391" max="5391" width="32.28515625" style="876" customWidth="1"/>
    <col min="5392" max="5392" width="13" style="876" customWidth="1"/>
    <col min="5393" max="5423" width="15.7109375" style="876" customWidth="1"/>
    <col min="5424" max="5424" width="17.5703125" style="876" customWidth="1"/>
    <col min="5425" max="5425" width="20.140625" style="876" customWidth="1"/>
    <col min="5426" max="5460" width="15.7109375" style="876" customWidth="1"/>
    <col min="5461" max="5461" width="3" style="876" customWidth="1"/>
    <col min="5462" max="5462" width="9.140625" style="876" customWidth="1"/>
    <col min="5463" max="5464" width="9" style="876" customWidth="1"/>
    <col min="5465" max="5466" width="16" style="876" customWidth="1"/>
    <col min="5467" max="5467" width="9" style="876" customWidth="1"/>
    <col min="5468" max="5469" width="12.28515625" style="876" customWidth="1"/>
    <col min="5470" max="5472" width="14.85546875" style="876" customWidth="1"/>
    <col min="5473" max="5473" width="0" style="876" hidden="1" customWidth="1"/>
    <col min="5474" max="5475" width="12.140625" style="876" customWidth="1"/>
    <col min="5476" max="5476" width="10.7109375" style="876" customWidth="1"/>
    <col min="5477" max="5479" width="15.7109375" style="876" customWidth="1"/>
    <col min="5480" max="5480" width="11.85546875" style="876" customWidth="1"/>
    <col min="5481" max="5483" width="13.7109375" style="876" customWidth="1"/>
    <col min="5484" max="5484" width="3" style="876" customWidth="1"/>
    <col min="5485" max="5486" width="15.7109375" style="876" customWidth="1"/>
    <col min="5487" max="5645" width="9.140625" style="876"/>
    <col min="5646" max="5646" width="21.85546875" style="876" customWidth="1"/>
    <col min="5647" max="5647" width="32.28515625" style="876" customWidth="1"/>
    <col min="5648" max="5648" width="13" style="876" customWidth="1"/>
    <col min="5649" max="5679" width="15.7109375" style="876" customWidth="1"/>
    <col min="5680" max="5680" width="17.5703125" style="876" customWidth="1"/>
    <col min="5681" max="5681" width="20.140625" style="876" customWidth="1"/>
    <col min="5682" max="5716" width="15.7109375" style="876" customWidth="1"/>
    <col min="5717" max="5717" width="3" style="876" customWidth="1"/>
    <col min="5718" max="5718" width="9.140625" style="876" customWidth="1"/>
    <col min="5719" max="5720" width="9" style="876" customWidth="1"/>
    <col min="5721" max="5722" width="16" style="876" customWidth="1"/>
    <col min="5723" max="5723" width="9" style="876" customWidth="1"/>
    <col min="5724" max="5725" width="12.28515625" style="876" customWidth="1"/>
    <col min="5726" max="5728" width="14.85546875" style="876" customWidth="1"/>
    <col min="5729" max="5729" width="0" style="876" hidden="1" customWidth="1"/>
    <col min="5730" max="5731" width="12.140625" style="876" customWidth="1"/>
    <col min="5732" max="5732" width="10.7109375" style="876" customWidth="1"/>
    <col min="5733" max="5735" width="15.7109375" style="876" customWidth="1"/>
    <col min="5736" max="5736" width="11.85546875" style="876" customWidth="1"/>
    <col min="5737" max="5739" width="13.7109375" style="876" customWidth="1"/>
    <col min="5740" max="5740" width="3" style="876" customWidth="1"/>
    <col min="5741" max="5742" width="15.7109375" style="876" customWidth="1"/>
    <col min="5743" max="5901" width="9.140625" style="876"/>
    <col min="5902" max="5902" width="21.85546875" style="876" customWidth="1"/>
    <col min="5903" max="5903" width="32.28515625" style="876" customWidth="1"/>
    <col min="5904" max="5904" width="13" style="876" customWidth="1"/>
    <col min="5905" max="5935" width="15.7109375" style="876" customWidth="1"/>
    <col min="5936" max="5936" width="17.5703125" style="876" customWidth="1"/>
    <col min="5937" max="5937" width="20.140625" style="876" customWidth="1"/>
    <col min="5938" max="5972" width="15.7109375" style="876" customWidth="1"/>
    <col min="5973" max="5973" width="3" style="876" customWidth="1"/>
    <col min="5974" max="5974" width="9.140625" style="876" customWidth="1"/>
    <col min="5975" max="5976" width="9" style="876" customWidth="1"/>
    <col min="5977" max="5978" width="16" style="876" customWidth="1"/>
    <col min="5979" max="5979" width="9" style="876" customWidth="1"/>
    <col min="5980" max="5981" width="12.28515625" style="876" customWidth="1"/>
    <col min="5982" max="5984" width="14.85546875" style="876" customWidth="1"/>
    <col min="5985" max="5985" width="0" style="876" hidden="1" customWidth="1"/>
    <col min="5986" max="5987" width="12.140625" style="876" customWidth="1"/>
    <col min="5988" max="5988" width="10.7109375" style="876" customWidth="1"/>
    <col min="5989" max="5991" width="15.7109375" style="876" customWidth="1"/>
    <col min="5992" max="5992" width="11.85546875" style="876" customWidth="1"/>
    <col min="5993" max="5995" width="13.7109375" style="876" customWidth="1"/>
    <col min="5996" max="5996" width="3" style="876" customWidth="1"/>
    <col min="5997" max="5998" width="15.7109375" style="876" customWidth="1"/>
    <col min="5999" max="6157" width="9.140625" style="876"/>
    <col min="6158" max="6158" width="21.85546875" style="876" customWidth="1"/>
    <col min="6159" max="6159" width="32.28515625" style="876" customWidth="1"/>
    <col min="6160" max="6160" width="13" style="876" customWidth="1"/>
    <col min="6161" max="6191" width="15.7109375" style="876" customWidth="1"/>
    <col min="6192" max="6192" width="17.5703125" style="876" customWidth="1"/>
    <col min="6193" max="6193" width="20.140625" style="876" customWidth="1"/>
    <col min="6194" max="6228" width="15.7109375" style="876" customWidth="1"/>
    <col min="6229" max="6229" width="3" style="876" customWidth="1"/>
    <col min="6230" max="6230" width="9.140625" style="876" customWidth="1"/>
    <col min="6231" max="6232" width="9" style="876" customWidth="1"/>
    <col min="6233" max="6234" width="16" style="876" customWidth="1"/>
    <col min="6235" max="6235" width="9" style="876" customWidth="1"/>
    <col min="6236" max="6237" width="12.28515625" style="876" customWidth="1"/>
    <col min="6238" max="6240" width="14.85546875" style="876" customWidth="1"/>
    <col min="6241" max="6241" width="0" style="876" hidden="1" customWidth="1"/>
    <col min="6242" max="6243" width="12.140625" style="876" customWidth="1"/>
    <col min="6244" max="6244" width="10.7109375" style="876" customWidth="1"/>
    <col min="6245" max="6247" width="15.7109375" style="876" customWidth="1"/>
    <col min="6248" max="6248" width="11.85546875" style="876" customWidth="1"/>
    <col min="6249" max="6251" width="13.7109375" style="876" customWidth="1"/>
    <col min="6252" max="6252" width="3" style="876" customWidth="1"/>
    <col min="6253" max="6254" width="15.7109375" style="876" customWidth="1"/>
    <col min="6255" max="6413" width="9.140625" style="876"/>
    <col min="6414" max="6414" width="21.85546875" style="876" customWidth="1"/>
    <col min="6415" max="6415" width="32.28515625" style="876" customWidth="1"/>
    <col min="6416" max="6416" width="13" style="876" customWidth="1"/>
    <col min="6417" max="6447" width="15.7109375" style="876" customWidth="1"/>
    <col min="6448" max="6448" width="17.5703125" style="876" customWidth="1"/>
    <col min="6449" max="6449" width="20.140625" style="876" customWidth="1"/>
    <col min="6450" max="6484" width="15.7109375" style="876" customWidth="1"/>
    <col min="6485" max="6485" width="3" style="876" customWidth="1"/>
    <col min="6486" max="6486" width="9.140625" style="876" customWidth="1"/>
    <col min="6487" max="6488" width="9" style="876" customWidth="1"/>
    <col min="6489" max="6490" width="16" style="876" customWidth="1"/>
    <col min="6491" max="6491" width="9" style="876" customWidth="1"/>
    <col min="6492" max="6493" width="12.28515625" style="876" customWidth="1"/>
    <col min="6494" max="6496" width="14.85546875" style="876" customWidth="1"/>
    <col min="6497" max="6497" width="0" style="876" hidden="1" customWidth="1"/>
    <col min="6498" max="6499" width="12.140625" style="876" customWidth="1"/>
    <col min="6500" max="6500" width="10.7109375" style="876" customWidth="1"/>
    <col min="6501" max="6503" width="15.7109375" style="876" customWidth="1"/>
    <col min="6504" max="6504" width="11.85546875" style="876" customWidth="1"/>
    <col min="6505" max="6507" width="13.7109375" style="876" customWidth="1"/>
    <col min="6508" max="6508" width="3" style="876" customWidth="1"/>
    <col min="6509" max="6510" width="15.7109375" style="876" customWidth="1"/>
    <col min="6511" max="6669" width="9.140625" style="876"/>
    <col min="6670" max="6670" width="21.85546875" style="876" customWidth="1"/>
    <col min="6671" max="6671" width="32.28515625" style="876" customWidth="1"/>
    <col min="6672" max="6672" width="13" style="876" customWidth="1"/>
    <col min="6673" max="6703" width="15.7109375" style="876" customWidth="1"/>
    <col min="6704" max="6704" width="17.5703125" style="876" customWidth="1"/>
    <col min="6705" max="6705" width="20.140625" style="876" customWidth="1"/>
    <col min="6706" max="6740" width="15.7109375" style="876" customWidth="1"/>
    <col min="6741" max="6741" width="3" style="876" customWidth="1"/>
    <col min="6742" max="6742" width="9.140625" style="876" customWidth="1"/>
    <col min="6743" max="6744" width="9" style="876" customWidth="1"/>
    <col min="6745" max="6746" width="16" style="876" customWidth="1"/>
    <col min="6747" max="6747" width="9" style="876" customWidth="1"/>
    <col min="6748" max="6749" width="12.28515625" style="876" customWidth="1"/>
    <col min="6750" max="6752" width="14.85546875" style="876" customWidth="1"/>
    <col min="6753" max="6753" width="0" style="876" hidden="1" customWidth="1"/>
    <col min="6754" max="6755" width="12.140625" style="876" customWidth="1"/>
    <col min="6756" max="6756" width="10.7109375" style="876" customWidth="1"/>
    <col min="6757" max="6759" width="15.7109375" style="876" customWidth="1"/>
    <col min="6760" max="6760" width="11.85546875" style="876" customWidth="1"/>
    <col min="6761" max="6763" width="13.7109375" style="876" customWidth="1"/>
    <col min="6764" max="6764" width="3" style="876" customWidth="1"/>
    <col min="6765" max="6766" width="15.7109375" style="876" customWidth="1"/>
    <col min="6767" max="6925" width="9.140625" style="876"/>
    <col min="6926" max="6926" width="21.85546875" style="876" customWidth="1"/>
    <col min="6927" max="6927" width="32.28515625" style="876" customWidth="1"/>
    <col min="6928" max="6928" width="13" style="876" customWidth="1"/>
    <col min="6929" max="6959" width="15.7109375" style="876" customWidth="1"/>
    <col min="6960" max="6960" width="17.5703125" style="876" customWidth="1"/>
    <col min="6961" max="6961" width="20.140625" style="876" customWidth="1"/>
    <col min="6962" max="6996" width="15.7109375" style="876" customWidth="1"/>
    <col min="6997" max="6997" width="3" style="876" customWidth="1"/>
    <col min="6998" max="6998" width="9.140625" style="876" customWidth="1"/>
    <col min="6999" max="7000" width="9" style="876" customWidth="1"/>
    <col min="7001" max="7002" width="16" style="876" customWidth="1"/>
    <col min="7003" max="7003" width="9" style="876" customWidth="1"/>
    <col min="7004" max="7005" width="12.28515625" style="876" customWidth="1"/>
    <col min="7006" max="7008" width="14.85546875" style="876" customWidth="1"/>
    <col min="7009" max="7009" width="0" style="876" hidden="1" customWidth="1"/>
    <col min="7010" max="7011" width="12.140625" style="876" customWidth="1"/>
    <col min="7012" max="7012" width="10.7109375" style="876" customWidth="1"/>
    <col min="7013" max="7015" width="15.7109375" style="876" customWidth="1"/>
    <col min="7016" max="7016" width="11.85546875" style="876" customWidth="1"/>
    <col min="7017" max="7019" width="13.7109375" style="876" customWidth="1"/>
    <col min="7020" max="7020" width="3" style="876" customWidth="1"/>
    <col min="7021" max="7022" width="15.7109375" style="876" customWidth="1"/>
    <col min="7023" max="7181" width="9.140625" style="876"/>
    <col min="7182" max="7182" width="21.85546875" style="876" customWidth="1"/>
    <col min="7183" max="7183" width="32.28515625" style="876" customWidth="1"/>
    <col min="7184" max="7184" width="13" style="876" customWidth="1"/>
    <col min="7185" max="7215" width="15.7109375" style="876" customWidth="1"/>
    <col min="7216" max="7216" width="17.5703125" style="876" customWidth="1"/>
    <col min="7217" max="7217" width="20.140625" style="876" customWidth="1"/>
    <col min="7218" max="7252" width="15.7109375" style="876" customWidth="1"/>
    <col min="7253" max="7253" width="3" style="876" customWidth="1"/>
    <col min="7254" max="7254" width="9.140625" style="876" customWidth="1"/>
    <col min="7255" max="7256" width="9" style="876" customWidth="1"/>
    <col min="7257" max="7258" width="16" style="876" customWidth="1"/>
    <col min="7259" max="7259" width="9" style="876" customWidth="1"/>
    <col min="7260" max="7261" width="12.28515625" style="876" customWidth="1"/>
    <col min="7262" max="7264" width="14.85546875" style="876" customWidth="1"/>
    <col min="7265" max="7265" width="0" style="876" hidden="1" customWidth="1"/>
    <col min="7266" max="7267" width="12.140625" style="876" customWidth="1"/>
    <col min="7268" max="7268" width="10.7109375" style="876" customWidth="1"/>
    <col min="7269" max="7271" width="15.7109375" style="876" customWidth="1"/>
    <col min="7272" max="7272" width="11.85546875" style="876" customWidth="1"/>
    <col min="7273" max="7275" width="13.7109375" style="876" customWidth="1"/>
    <col min="7276" max="7276" width="3" style="876" customWidth="1"/>
    <col min="7277" max="7278" width="15.7109375" style="876" customWidth="1"/>
    <col min="7279" max="7437" width="9.140625" style="876"/>
    <col min="7438" max="7438" width="21.85546875" style="876" customWidth="1"/>
    <col min="7439" max="7439" width="32.28515625" style="876" customWidth="1"/>
    <col min="7440" max="7440" width="13" style="876" customWidth="1"/>
    <col min="7441" max="7471" width="15.7109375" style="876" customWidth="1"/>
    <col min="7472" max="7472" width="17.5703125" style="876" customWidth="1"/>
    <col min="7473" max="7473" width="20.140625" style="876" customWidth="1"/>
    <col min="7474" max="7508" width="15.7109375" style="876" customWidth="1"/>
    <col min="7509" max="7509" width="3" style="876" customWidth="1"/>
    <col min="7510" max="7510" width="9.140625" style="876" customWidth="1"/>
    <col min="7511" max="7512" width="9" style="876" customWidth="1"/>
    <col min="7513" max="7514" width="16" style="876" customWidth="1"/>
    <col min="7515" max="7515" width="9" style="876" customWidth="1"/>
    <col min="7516" max="7517" width="12.28515625" style="876" customWidth="1"/>
    <col min="7518" max="7520" width="14.85546875" style="876" customWidth="1"/>
    <col min="7521" max="7521" width="0" style="876" hidden="1" customWidth="1"/>
    <col min="7522" max="7523" width="12.140625" style="876" customWidth="1"/>
    <col min="7524" max="7524" width="10.7109375" style="876" customWidth="1"/>
    <col min="7525" max="7527" width="15.7109375" style="876" customWidth="1"/>
    <col min="7528" max="7528" width="11.85546875" style="876" customWidth="1"/>
    <col min="7529" max="7531" width="13.7109375" style="876" customWidth="1"/>
    <col min="7532" max="7532" width="3" style="876" customWidth="1"/>
    <col min="7533" max="7534" width="15.7109375" style="876" customWidth="1"/>
    <col min="7535" max="7693" width="9.140625" style="876"/>
    <col min="7694" max="7694" width="21.85546875" style="876" customWidth="1"/>
    <col min="7695" max="7695" width="32.28515625" style="876" customWidth="1"/>
    <col min="7696" max="7696" width="13" style="876" customWidth="1"/>
    <col min="7697" max="7727" width="15.7109375" style="876" customWidth="1"/>
    <col min="7728" max="7728" width="17.5703125" style="876" customWidth="1"/>
    <col min="7729" max="7729" width="20.140625" style="876" customWidth="1"/>
    <col min="7730" max="7764" width="15.7109375" style="876" customWidth="1"/>
    <col min="7765" max="7765" width="3" style="876" customWidth="1"/>
    <col min="7766" max="7766" width="9.140625" style="876" customWidth="1"/>
    <col min="7767" max="7768" width="9" style="876" customWidth="1"/>
    <col min="7769" max="7770" width="16" style="876" customWidth="1"/>
    <col min="7771" max="7771" width="9" style="876" customWidth="1"/>
    <col min="7772" max="7773" width="12.28515625" style="876" customWidth="1"/>
    <col min="7774" max="7776" width="14.85546875" style="876" customWidth="1"/>
    <col min="7777" max="7777" width="0" style="876" hidden="1" customWidth="1"/>
    <col min="7778" max="7779" width="12.140625" style="876" customWidth="1"/>
    <col min="7780" max="7780" width="10.7109375" style="876" customWidth="1"/>
    <col min="7781" max="7783" width="15.7109375" style="876" customWidth="1"/>
    <col min="7784" max="7784" width="11.85546875" style="876" customWidth="1"/>
    <col min="7785" max="7787" width="13.7109375" style="876" customWidth="1"/>
    <col min="7788" max="7788" width="3" style="876" customWidth="1"/>
    <col min="7789" max="7790" width="15.7109375" style="876" customWidth="1"/>
    <col min="7791" max="7949" width="9.140625" style="876"/>
    <col min="7950" max="7950" width="21.85546875" style="876" customWidth="1"/>
    <col min="7951" max="7951" width="32.28515625" style="876" customWidth="1"/>
    <col min="7952" max="7952" width="13" style="876" customWidth="1"/>
    <col min="7953" max="7983" width="15.7109375" style="876" customWidth="1"/>
    <col min="7984" max="7984" width="17.5703125" style="876" customWidth="1"/>
    <col min="7985" max="7985" width="20.140625" style="876" customWidth="1"/>
    <col min="7986" max="8020" width="15.7109375" style="876" customWidth="1"/>
    <col min="8021" max="8021" width="3" style="876" customWidth="1"/>
    <col min="8022" max="8022" width="9.140625" style="876" customWidth="1"/>
    <col min="8023" max="8024" width="9" style="876" customWidth="1"/>
    <col min="8025" max="8026" width="16" style="876" customWidth="1"/>
    <col min="8027" max="8027" width="9" style="876" customWidth="1"/>
    <col min="8028" max="8029" width="12.28515625" style="876" customWidth="1"/>
    <col min="8030" max="8032" width="14.85546875" style="876" customWidth="1"/>
    <col min="8033" max="8033" width="0" style="876" hidden="1" customWidth="1"/>
    <col min="8034" max="8035" width="12.140625" style="876" customWidth="1"/>
    <col min="8036" max="8036" width="10.7109375" style="876" customWidth="1"/>
    <col min="8037" max="8039" width="15.7109375" style="876" customWidth="1"/>
    <col min="8040" max="8040" width="11.85546875" style="876" customWidth="1"/>
    <col min="8041" max="8043" width="13.7109375" style="876" customWidth="1"/>
    <col min="8044" max="8044" width="3" style="876" customWidth="1"/>
    <col min="8045" max="8046" width="15.7109375" style="876" customWidth="1"/>
    <col min="8047" max="8205" width="9.140625" style="876"/>
    <col min="8206" max="8206" width="21.85546875" style="876" customWidth="1"/>
    <col min="8207" max="8207" width="32.28515625" style="876" customWidth="1"/>
    <col min="8208" max="8208" width="13" style="876" customWidth="1"/>
    <col min="8209" max="8239" width="15.7109375" style="876" customWidth="1"/>
    <col min="8240" max="8240" width="17.5703125" style="876" customWidth="1"/>
    <col min="8241" max="8241" width="20.140625" style="876" customWidth="1"/>
    <col min="8242" max="8276" width="15.7109375" style="876" customWidth="1"/>
    <col min="8277" max="8277" width="3" style="876" customWidth="1"/>
    <col min="8278" max="8278" width="9.140625" style="876" customWidth="1"/>
    <col min="8279" max="8280" width="9" style="876" customWidth="1"/>
    <col min="8281" max="8282" width="16" style="876" customWidth="1"/>
    <col min="8283" max="8283" width="9" style="876" customWidth="1"/>
    <col min="8284" max="8285" width="12.28515625" style="876" customWidth="1"/>
    <col min="8286" max="8288" width="14.85546875" style="876" customWidth="1"/>
    <col min="8289" max="8289" width="0" style="876" hidden="1" customWidth="1"/>
    <col min="8290" max="8291" width="12.140625" style="876" customWidth="1"/>
    <col min="8292" max="8292" width="10.7109375" style="876" customWidth="1"/>
    <col min="8293" max="8295" width="15.7109375" style="876" customWidth="1"/>
    <col min="8296" max="8296" width="11.85546875" style="876" customWidth="1"/>
    <col min="8297" max="8299" width="13.7109375" style="876" customWidth="1"/>
    <col min="8300" max="8300" width="3" style="876" customWidth="1"/>
    <col min="8301" max="8302" width="15.7109375" style="876" customWidth="1"/>
    <col min="8303" max="8461" width="9.140625" style="876"/>
    <col min="8462" max="8462" width="21.85546875" style="876" customWidth="1"/>
    <col min="8463" max="8463" width="32.28515625" style="876" customWidth="1"/>
    <col min="8464" max="8464" width="13" style="876" customWidth="1"/>
    <col min="8465" max="8495" width="15.7109375" style="876" customWidth="1"/>
    <col min="8496" max="8496" width="17.5703125" style="876" customWidth="1"/>
    <col min="8497" max="8497" width="20.140625" style="876" customWidth="1"/>
    <col min="8498" max="8532" width="15.7109375" style="876" customWidth="1"/>
    <col min="8533" max="8533" width="3" style="876" customWidth="1"/>
    <col min="8534" max="8534" width="9.140625" style="876" customWidth="1"/>
    <col min="8535" max="8536" width="9" style="876" customWidth="1"/>
    <col min="8537" max="8538" width="16" style="876" customWidth="1"/>
    <col min="8539" max="8539" width="9" style="876" customWidth="1"/>
    <col min="8540" max="8541" width="12.28515625" style="876" customWidth="1"/>
    <col min="8542" max="8544" width="14.85546875" style="876" customWidth="1"/>
    <col min="8545" max="8545" width="0" style="876" hidden="1" customWidth="1"/>
    <col min="8546" max="8547" width="12.140625" style="876" customWidth="1"/>
    <col min="8548" max="8548" width="10.7109375" style="876" customWidth="1"/>
    <col min="8549" max="8551" width="15.7109375" style="876" customWidth="1"/>
    <col min="8552" max="8552" width="11.85546875" style="876" customWidth="1"/>
    <col min="8553" max="8555" width="13.7109375" style="876" customWidth="1"/>
    <col min="8556" max="8556" width="3" style="876" customWidth="1"/>
    <col min="8557" max="8558" width="15.7109375" style="876" customWidth="1"/>
    <col min="8559" max="8717" width="9.140625" style="876"/>
    <col min="8718" max="8718" width="21.85546875" style="876" customWidth="1"/>
    <col min="8719" max="8719" width="32.28515625" style="876" customWidth="1"/>
    <col min="8720" max="8720" width="13" style="876" customWidth="1"/>
    <col min="8721" max="8751" width="15.7109375" style="876" customWidth="1"/>
    <col min="8752" max="8752" width="17.5703125" style="876" customWidth="1"/>
    <col min="8753" max="8753" width="20.140625" style="876" customWidth="1"/>
    <col min="8754" max="8788" width="15.7109375" style="876" customWidth="1"/>
    <col min="8789" max="8789" width="3" style="876" customWidth="1"/>
    <col min="8790" max="8790" width="9.140625" style="876" customWidth="1"/>
    <col min="8791" max="8792" width="9" style="876" customWidth="1"/>
    <col min="8793" max="8794" width="16" style="876" customWidth="1"/>
    <col min="8795" max="8795" width="9" style="876" customWidth="1"/>
    <col min="8796" max="8797" width="12.28515625" style="876" customWidth="1"/>
    <col min="8798" max="8800" width="14.85546875" style="876" customWidth="1"/>
    <col min="8801" max="8801" width="0" style="876" hidden="1" customWidth="1"/>
    <col min="8802" max="8803" width="12.140625" style="876" customWidth="1"/>
    <col min="8804" max="8804" width="10.7109375" style="876" customWidth="1"/>
    <col min="8805" max="8807" width="15.7109375" style="876" customWidth="1"/>
    <col min="8808" max="8808" width="11.85546875" style="876" customWidth="1"/>
    <col min="8809" max="8811" width="13.7109375" style="876" customWidth="1"/>
    <col min="8812" max="8812" width="3" style="876" customWidth="1"/>
    <col min="8813" max="8814" width="15.7109375" style="876" customWidth="1"/>
    <col min="8815" max="8973" width="9.140625" style="876"/>
    <col min="8974" max="8974" width="21.85546875" style="876" customWidth="1"/>
    <col min="8975" max="8975" width="32.28515625" style="876" customWidth="1"/>
    <col min="8976" max="8976" width="13" style="876" customWidth="1"/>
    <col min="8977" max="9007" width="15.7109375" style="876" customWidth="1"/>
    <col min="9008" max="9008" width="17.5703125" style="876" customWidth="1"/>
    <col min="9009" max="9009" width="20.140625" style="876" customWidth="1"/>
    <col min="9010" max="9044" width="15.7109375" style="876" customWidth="1"/>
    <col min="9045" max="9045" width="3" style="876" customWidth="1"/>
    <col min="9046" max="9046" width="9.140625" style="876" customWidth="1"/>
    <col min="9047" max="9048" width="9" style="876" customWidth="1"/>
    <col min="9049" max="9050" width="16" style="876" customWidth="1"/>
    <col min="9051" max="9051" width="9" style="876" customWidth="1"/>
    <col min="9052" max="9053" width="12.28515625" style="876" customWidth="1"/>
    <col min="9054" max="9056" width="14.85546875" style="876" customWidth="1"/>
    <col min="9057" max="9057" width="0" style="876" hidden="1" customWidth="1"/>
    <col min="9058" max="9059" width="12.140625" style="876" customWidth="1"/>
    <col min="9060" max="9060" width="10.7109375" style="876" customWidth="1"/>
    <col min="9061" max="9063" width="15.7109375" style="876" customWidth="1"/>
    <col min="9064" max="9064" width="11.85546875" style="876" customWidth="1"/>
    <col min="9065" max="9067" width="13.7109375" style="876" customWidth="1"/>
    <col min="9068" max="9068" width="3" style="876" customWidth="1"/>
    <col min="9069" max="9070" width="15.7109375" style="876" customWidth="1"/>
    <col min="9071" max="9229" width="9.140625" style="876"/>
    <col min="9230" max="9230" width="21.85546875" style="876" customWidth="1"/>
    <col min="9231" max="9231" width="32.28515625" style="876" customWidth="1"/>
    <col min="9232" max="9232" width="13" style="876" customWidth="1"/>
    <col min="9233" max="9263" width="15.7109375" style="876" customWidth="1"/>
    <col min="9264" max="9264" width="17.5703125" style="876" customWidth="1"/>
    <col min="9265" max="9265" width="20.140625" style="876" customWidth="1"/>
    <col min="9266" max="9300" width="15.7109375" style="876" customWidth="1"/>
    <col min="9301" max="9301" width="3" style="876" customWidth="1"/>
    <col min="9302" max="9302" width="9.140625" style="876" customWidth="1"/>
    <col min="9303" max="9304" width="9" style="876" customWidth="1"/>
    <col min="9305" max="9306" width="16" style="876" customWidth="1"/>
    <col min="9307" max="9307" width="9" style="876" customWidth="1"/>
    <col min="9308" max="9309" width="12.28515625" style="876" customWidth="1"/>
    <col min="9310" max="9312" width="14.85546875" style="876" customWidth="1"/>
    <col min="9313" max="9313" width="0" style="876" hidden="1" customWidth="1"/>
    <col min="9314" max="9315" width="12.140625" style="876" customWidth="1"/>
    <col min="9316" max="9316" width="10.7109375" style="876" customWidth="1"/>
    <col min="9317" max="9319" width="15.7109375" style="876" customWidth="1"/>
    <col min="9320" max="9320" width="11.85546875" style="876" customWidth="1"/>
    <col min="9321" max="9323" width="13.7109375" style="876" customWidth="1"/>
    <col min="9324" max="9324" width="3" style="876" customWidth="1"/>
    <col min="9325" max="9326" width="15.7109375" style="876" customWidth="1"/>
    <col min="9327" max="9485" width="9.140625" style="876"/>
    <col min="9486" max="9486" width="21.85546875" style="876" customWidth="1"/>
    <col min="9487" max="9487" width="32.28515625" style="876" customWidth="1"/>
    <col min="9488" max="9488" width="13" style="876" customWidth="1"/>
    <col min="9489" max="9519" width="15.7109375" style="876" customWidth="1"/>
    <col min="9520" max="9520" width="17.5703125" style="876" customWidth="1"/>
    <col min="9521" max="9521" width="20.140625" style="876" customWidth="1"/>
    <col min="9522" max="9556" width="15.7109375" style="876" customWidth="1"/>
    <col min="9557" max="9557" width="3" style="876" customWidth="1"/>
    <col min="9558" max="9558" width="9.140625" style="876" customWidth="1"/>
    <col min="9559" max="9560" width="9" style="876" customWidth="1"/>
    <col min="9561" max="9562" width="16" style="876" customWidth="1"/>
    <col min="9563" max="9563" width="9" style="876" customWidth="1"/>
    <col min="9564" max="9565" width="12.28515625" style="876" customWidth="1"/>
    <col min="9566" max="9568" width="14.85546875" style="876" customWidth="1"/>
    <col min="9569" max="9569" width="0" style="876" hidden="1" customWidth="1"/>
    <col min="9570" max="9571" width="12.140625" style="876" customWidth="1"/>
    <col min="9572" max="9572" width="10.7109375" style="876" customWidth="1"/>
    <col min="9573" max="9575" width="15.7109375" style="876" customWidth="1"/>
    <col min="9576" max="9576" width="11.85546875" style="876" customWidth="1"/>
    <col min="9577" max="9579" width="13.7109375" style="876" customWidth="1"/>
    <col min="9580" max="9580" width="3" style="876" customWidth="1"/>
    <col min="9581" max="9582" width="15.7109375" style="876" customWidth="1"/>
    <col min="9583" max="9741" width="9.140625" style="876"/>
    <col min="9742" max="9742" width="21.85546875" style="876" customWidth="1"/>
    <col min="9743" max="9743" width="32.28515625" style="876" customWidth="1"/>
    <col min="9744" max="9744" width="13" style="876" customWidth="1"/>
    <col min="9745" max="9775" width="15.7109375" style="876" customWidth="1"/>
    <col min="9776" max="9776" width="17.5703125" style="876" customWidth="1"/>
    <col min="9777" max="9777" width="20.140625" style="876" customWidth="1"/>
    <col min="9778" max="9812" width="15.7109375" style="876" customWidth="1"/>
    <col min="9813" max="9813" width="3" style="876" customWidth="1"/>
    <col min="9814" max="9814" width="9.140625" style="876" customWidth="1"/>
    <col min="9815" max="9816" width="9" style="876" customWidth="1"/>
    <col min="9817" max="9818" width="16" style="876" customWidth="1"/>
    <col min="9819" max="9819" width="9" style="876" customWidth="1"/>
    <col min="9820" max="9821" width="12.28515625" style="876" customWidth="1"/>
    <col min="9822" max="9824" width="14.85546875" style="876" customWidth="1"/>
    <col min="9825" max="9825" width="0" style="876" hidden="1" customWidth="1"/>
    <col min="9826" max="9827" width="12.140625" style="876" customWidth="1"/>
    <col min="9828" max="9828" width="10.7109375" style="876" customWidth="1"/>
    <col min="9829" max="9831" width="15.7109375" style="876" customWidth="1"/>
    <col min="9832" max="9832" width="11.85546875" style="876" customWidth="1"/>
    <col min="9833" max="9835" width="13.7109375" style="876" customWidth="1"/>
    <col min="9836" max="9836" width="3" style="876" customWidth="1"/>
    <col min="9837" max="9838" width="15.7109375" style="876" customWidth="1"/>
    <col min="9839" max="9997" width="9.140625" style="876"/>
    <col min="9998" max="9998" width="21.85546875" style="876" customWidth="1"/>
    <col min="9999" max="9999" width="32.28515625" style="876" customWidth="1"/>
    <col min="10000" max="10000" width="13" style="876" customWidth="1"/>
    <col min="10001" max="10031" width="15.7109375" style="876" customWidth="1"/>
    <col min="10032" max="10032" width="17.5703125" style="876" customWidth="1"/>
    <col min="10033" max="10033" width="20.140625" style="876" customWidth="1"/>
    <col min="10034" max="10068" width="15.7109375" style="876" customWidth="1"/>
    <col min="10069" max="10069" width="3" style="876" customWidth="1"/>
    <col min="10070" max="10070" width="9.140625" style="876" customWidth="1"/>
    <col min="10071" max="10072" width="9" style="876" customWidth="1"/>
    <col min="10073" max="10074" width="16" style="876" customWidth="1"/>
    <col min="10075" max="10075" width="9" style="876" customWidth="1"/>
    <col min="10076" max="10077" width="12.28515625" style="876" customWidth="1"/>
    <col min="10078" max="10080" width="14.85546875" style="876" customWidth="1"/>
    <col min="10081" max="10081" width="0" style="876" hidden="1" customWidth="1"/>
    <col min="10082" max="10083" width="12.140625" style="876" customWidth="1"/>
    <col min="10084" max="10084" width="10.7109375" style="876" customWidth="1"/>
    <col min="10085" max="10087" width="15.7109375" style="876" customWidth="1"/>
    <col min="10088" max="10088" width="11.85546875" style="876" customWidth="1"/>
    <col min="10089" max="10091" width="13.7109375" style="876" customWidth="1"/>
    <col min="10092" max="10092" width="3" style="876" customWidth="1"/>
    <col min="10093" max="10094" width="15.7109375" style="876" customWidth="1"/>
    <col min="10095" max="10253" width="9.140625" style="876"/>
    <col min="10254" max="10254" width="21.85546875" style="876" customWidth="1"/>
    <col min="10255" max="10255" width="32.28515625" style="876" customWidth="1"/>
    <col min="10256" max="10256" width="13" style="876" customWidth="1"/>
    <col min="10257" max="10287" width="15.7109375" style="876" customWidth="1"/>
    <col min="10288" max="10288" width="17.5703125" style="876" customWidth="1"/>
    <col min="10289" max="10289" width="20.140625" style="876" customWidth="1"/>
    <col min="10290" max="10324" width="15.7109375" style="876" customWidth="1"/>
    <col min="10325" max="10325" width="3" style="876" customWidth="1"/>
    <col min="10326" max="10326" width="9.140625" style="876" customWidth="1"/>
    <col min="10327" max="10328" width="9" style="876" customWidth="1"/>
    <col min="10329" max="10330" width="16" style="876" customWidth="1"/>
    <col min="10331" max="10331" width="9" style="876" customWidth="1"/>
    <col min="10332" max="10333" width="12.28515625" style="876" customWidth="1"/>
    <col min="10334" max="10336" width="14.85546875" style="876" customWidth="1"/>
    <col min="10337" max="10337" width="0" style="876" hidden="1" customWidth="1"/>
    <col min="10338" max="10339" width="12.140625" style="876" customWidth="1"/>
    <col min="10340" max="10340" width="10.7109375" style="876" customWidth="1"/>
    <col min="10341" max="10343" width="15.7109375" style="876" customWidth="1"/>
    <col min="10344" max="10344" width="11.85546875" style="876" customWidth="1"/>
    <col min="10345" max="10347" width="13.7109375" style="876" customWidth="1"/>
    <col min="10348" max="10348" width="3" style="876" customWidth="1"/>
    <col min="10349" max="10350" width="15.7109375" style="876" customWidth="1"/>
    <col min="10351" max="10509" width="9.140625" style="876"/>
    <col min="10510" max="10510" width="21.85546875" style="876" customWidth="1"/>
    <col min="10511" max="10511" width="32.28515625" style="876" customWidth="1"/>
    <col min="10512" max="10512" width="13" style="876" customWidth="1"/>
    <col min="10513" max="10543" width="15.7109375" style="876" customWidth="1"/>
    <col min="10544" max="10544" width="17.5703125" style="876" customWidth="1"/>
    <col min="10545" max="10545" width="20.140625" style="876" customWidth="1"/>
    <col min="10546" max="10580" width="15.7109375" style="876" customWidth="1"/>
    <col min="10581" max="10581" width="3" style="876" customWidth="1"/>
    <col min="10582" max="10582" width="9.140625" style="876" customWidth="1"/>
    <col min="10583" max="10584" width="9" style="876" customWidth="1"/>
    <col min="10585" max="10586" width="16" style="876" customWidth="1"/>
    <col min="10587" max="10587" width="9" style="876" customWidth="1"/>
    <col min="10588" max="10589" width="12.28515625" style="876" customWidth="1"/>
    <col min="10590" max="10592" width="14.85546875" style="876" customWidth="1"/>
    <col min="10593" max="10593" width="0" style="876" hidden="1" customWidth="1"/>
    <col min="10594" max="10595" width="12.140625" style="876" customWidth="1"/>
    <col min="10596" max="10596" width="10.7109375" style="876" customWidth="1"/>
    <col min="10597" max="10599" width="15.7109375" style="876" customWidth="1"/>
    <col min="10600" max="10600" width="11.85546875" style="876" customWidth="1"/>
    <col min="10601" max="10603" width="13.7109375" style="876" customWidth="1"/>
    <col min="10604" max="10604" width="3" style="876" customWidth="1"/>
    <col min="10605" max="10606" width="15.7109375" style="876" customWidth="1"/>
    <col min="10607" max="10765" width="9.140625" style="876"/>
    <col min="10766" max="10766" width="21.85546875" style="876" customWidth="1"/>
    <col min="10767" max="10767" width="32.28515625" style="876" customWidth="1"/>
    <col min="10768" max="10768" width="13" style="876" customWidth="1"/>
    <col min="10769" max="10799" width="15.7109375" style="876" customWidth="1"/>
    <col min="10800" max="10800" width="17.5703125" style="876" customWidth="1"/>
    <col min="10801" max="10801" width="20.140625" style="876" customWidth="1"/>
    <col min="10802" max="10836" width="15.7109375" style="876" customWidth="1"/>
    <col min="10837" max="10837" width="3" style="876" customWidth="1"/>
    <col min="10838" max="10838" width="9.140625" style="876" customWidth="1"/>
    <col min="10839" max="10840" width="9" style="876" customWidth="1"/>
    <col min="10841" max="10842" width="16" style="876" customWidth="1"/>
    <col min="10843" max="10843" width="9" style="876" customWidth="1"/>
    <col min="10844" max="10845" width="12.28515625" style="876" customWidth="1"/>
    <col min="10846" max="10848" width="14.85546875" style="876" customWidth="1"/>
    <col min="10849" max="10849" width="0" style="876" hidden="1" customWidth="1"/>
    <col min="10850" max="10851" width="12.140625" style="876" customWidth="1"/>
    <col min="10852" max="10852" width="10.7109375" style="876" customWidth="1"/>
    <col min="10853" max="10855" width="15.7109375" style="876" customWidth="1"/>
    <col min="10856" max="10856" width="11.85546875" style="876" customWidth="1"/>
    <col min="10857" max="10859" width="13.7109375" style="876" customWidth="1"/>
    <col min="10860" max="10860" width="3" style="876" customWidth="1"/>
    <col min="10861" max="10862" width="15.7109375" style="876" customWidth="1"/>
    <col min="10863" max="11021" width="9.140625" style="876"/>
    <col min="11022" max="11022" width="21.85546875" style="876" customWidth="1"/>
    <col min="11023" max="11023" width="32.28515625" style="876" customWidth="1"/>
    <col min="11024" max="11024" width="13" style="876" customWidth="1"/>
    <col min="11025" max="11055" width="15.7109375" style="876" customWidth="1"/>
    <col min="11056" max="11056" width="17.5703125" style="876" customWidth="1"/>
    <col min="11057" max="11057" width="20.140625" style="876" customWidth="1"/>
    <col min="11058" max="11092" width="15.7109375" style="876" customWidth="1"/>
    <col min="11093" max="11093" width="3" style="876" customWidth="1"/>
    <col min="11094" max="11094" width="9.140625" style="876" customWidth="1"/>
    <col min="11095" max="11096" width="9" style="876" customWidth="1"/>
    <col min="11097" max="11098" width="16" style="876" customWidth="1"/>
    <col min="11099" max="11099" width="9" style="876" customWidth="1"/>
    <col min="11100" max="11101" width="12.28515625" style="876" customWidth="1"/>
    <col min="11102" max="11104" width="14.85546875" style="876" customWidth="1"/>
    <col min="11105" max="11105" width="0" style="876" hidden="1" customWidth="1"/>
    <col min="11106" max="11107" width="12.140625" style="876" customWidth="1"/>
    <col min="11108" max="11108" width="10.7109375" style="876" customWidth="1"/>
    <col min="11109" max="11111" width="15.7109375" style="876" customWidth="1"/>
    <col min="11112" max="11112" width="11.85546875" style="876" customWidth="1"/>
    <col min="11113" max="11115" width="13.7109375" style="876" customWidth="1"/>
    <col min="11116" max="11116" width="3" style="876" customWidth="1"/>
    <col min="11117" max="11118" width="15.7109375" style="876" customWidth="1"/>
    <col min="11119" max="11277" width="9.140625" style="876"/>
    <col min="11278" max="11278" width="21.85546875" style="876" customWidth="1"/>
    <col min="11279" max="11279" width="32.28515625" style="876" customWidth="1"/>
    <col min="11280" max="11280" width="13" style="876" customWidth="1"/>
    <col min="11281" max="11311" width="15.7109375" style="876" customWidth="1"/>
    <col min="11312" max="11312" width="17.5703125" style="876" customWidth="1"/>
    <col min="11313" max="11313" width="20.140625" style="876" customWidth="1"/>
    <col min="11314" max="11348" width="15.7109375" style="876" customWidth="1"/>
    <col min="11349" max="11349" width="3" style="876" customWidth="1"/>
    <col min="11350" max="11350" width="9.140625" style="876" customWidth="1"/>
    <col min="11351" max="11352" width="9" style="876" customWidth="1"/>
    <col min="11353" max="11354" width="16" style="876" customWidth="1"/>
    <col min="11355" max="11355" width="9" style="876" customWidth="1"/>
    <col min="11356" max="11357" width="12.28515625" style="876" customWidth="1"/>
    <col min="11358" max="11360" width="14.85546875" style="876" customWidth="1"/>
    <col min="11361" max="11361" width="0" style="876" hidden="1" customWidth="1"/>
    <col min="11362" max="11363" width="12.140625" style="876" customWidth="1"/>
    <col min="11364" max="11364" width="10.7109375" style="876" customWidth="1"/>
    <col min="11365" max="11367" width="15.7109375" style="876" customWidth="1"/>
    <col min="11368" max="11368" width="11.85546875" style="876" customWidth="1"/>
    <col min="11369" max="11371" width="13.7109375" style="876" customWidth="1"/>
    <col min="11372" max="11372" width="3" style="876" customWidth="1"/>
    <col min="11373" max="11374" width="15.7109375" style="876" customWidth="1"/>
    <col min="11375" max="11533" width="9.140625" style="876"/>
    <col min="11534" max="11534" width="21.85546875" style="876" customWidth="1"/>
    <col min="11535" max="11535" width="32.28515625" style="876" customWidth="1"/>
    <col min="11536" max="11536" width="13" style="876" customWidth="1"/>
    <col min="11537" max="11567" width="15.7109375" style="876" customWidth="1"/>
    <col min="11568" max="11568" width="17.5703125" style="876" customWidth="1"/>
    <col min="11569" max="11569" width="20.140625" style="876" customWidth="1"/>
    <col min="11570" max="11604" width="15.7109375" style="876" customWidth="1"/>
    <col min="11605" max="11605" width="3" style="876" customWidth="1"/>
    <col min="11606" max="11606" width="9.140625" style="876" customWidth="1"/>
    <col min="11607" max="11608" width="9" style="876" customWidth="1"/>
    <col min="11609" max="11610" width="16" style="876" customWidth="1"/>
    <col min="11611" max="11611" width="9" style="876" customWidth="1"/>
    <col min="11612" max="11613" width="12.28515625" style="876" customWidth="1"/>
    <col min="11614" max="11616" width="14.85546875" style="876" customWidth="1"/>
    <col min="11617" max="11617" width="0" style="876" hidden="1" customWidth="1"/>
    <col min="11618" max="11619" width="12.140625" style="876" customWidth="1"/>
    <col min="11620" max="11620" width="10.7109375" style="876" customWidth="1"/>
    <col min="11621" max="11623" width="15.7109375" style="876" customWidth="1"/>
    <col min="11624" max="11624" width="11.85546875" style="876" customWidth="1"/>
    <col min="11625" max="11627" width="13.7109375" style="876" customWidth="1"/>
    <col min="11628" max="11628" width="3" style="876" customWidth="1"/>
    <col min="11629" max="11630" width="15.7109375" style="876" customWidth="1"/>
    <col min="11631" max="11789" width="9.140625" style="876"/>
    <col min="11790" max="11790" width="21.85546875" style="876" customWidth="1"/>
    <col min="11791" max="11791" width="32.28515625" style="876" customWidth="1"/>
    <col min="11792" max="11792" width="13" style="876" customWidth="1"/>
    <col min="11793" max="11823" width="15.7109375" style="876" customWidth="1"/>
    <col min="11824" max="11824" width="17.5703125" style="876" customWidth="1"/>
    <col min="11825" max="11825" width="20.140625" style="876" customWidth="1"/>
    <col min="11826" max="11860" width="15.7109375" style="876" customWidth="1"/>
    <col min="11861" max="11861" width="3" style="876" customWidth="1"/>
    <col min="11862" max="11862" width="9.140625" style="876" customWidth="1"/>
    <col min="11863" max="11864" width="9" style="876" customWidth="1"/>
    <col min="11865" max="11866" width="16" style="876" customWidth="1"/>
    <col min="11867" max="11867" width="9" style="876" customWidth="1"/>
    <col min="11868" max="11869" width="12.28515625" style="876" customWidth="1"/>
    <col min="11870" max="11872" width="14.85546875" style="876" customWidth="1"/>
    <col min="11873" max="11873" width="0" style="876" hidden="1" customWidth="1"/>
    <col min="11874" max="11875" width="12.140625" style="876" customWidth="1"/>
    <col min="11876" max="11876" width="10.7109375" style="876" customWidth="1"/>
    <col min="11877" max="11879" width="15.7109375" style="876" customWidth="1"/>
    <col min="11880" max="11880" width="11.85546875" style="876" customWidth="1"/>
    <col min="11881" max="11883" width="13.7109375" style="876" customWidth="1"/>
    <col min="11884" max="11884" width="3" style="876" customWidth="1"/>
    <col min="11885" max="11886" width="15.7109375" style="876" customWidth="1"/>
    <col min="11887" max="12045" width="9.140625" style="876"/>
    <col min="12046" max="12046" width="21.85546875" style="876" customWidth="1"/>
    <col min="12047" max="12047" width="32.28515625" style="876" customWidth="1"/>
    <col min="12048" max="12048" width="13" style="876" customWidth="1"/>
    <col min="12049" max="12079" width="15.7109375" style="876" customWidth="1"/>
    <col min="12080" max="12080" width="17.5703125" style="876" customWidth="1"/>
    <col min="12081" max="12081" width="20.140625" style="876" customWidth="1"/>
    <col min="12082" max="12116" width="15.7109375" style="876" customWidth="1"/>
    <col min="12117" max="12117" width="3" style="876" customWidth="1"/>
    <col min="12118" max="12118" width="9.140625" style="876" customWidth="1"/>
    <col min="12119" max="12120" width="9" style="876" customWidth="1"/>
    <col min="12121" max="12122" width="16" style="876" customWidth="1"/>
    <col min="12123" max="12123" width="9" style="876" customWidth="1"/>
    <col min="12124" max="12125" width="12.28515625" style="876" customWidth="1"/>
    <col min="12126" max="12128" width="14.85546875" style="876" customWidth="1"/>
    <col min="12129" max="12129" width="0" style="876" hidden="1" customWidth="1"/>
    <col min="12130" max="12131" width="12.140625" style="876" customWidth="1"/>
    <col min="12132" max="12132" width="10.7109375" style="876" customWidth="1"/>
    <col min="12133" max="12135" width="15.7109375" style="876" customWidth="1"/>
    <col min="12136" max="12136" width="11.85546875" style="876" customWidth="1"/>
    <col min="12137" max="12139" width="13.7109375" style="876" customWidth="1"/>
    <col min="12140" max="12140" width="3" style="876" customWidth="1"/>
    <col min="12141" max="12142" width="15.7109375" style="876" customWidth="1"/>
    <col min="12143" max="12301" width="9.140625" style="876"/>
    <col min="12302" max="12302" width="21.85546875" style="876" customWidth="1"/>
    <col min="12303" max="12303" width="32.28515625" style="876" customWidth="1"/>
    <col min="12304" max="12304" width="13" style="876" customWidth="1"/>
    <col min="12305" max="12335" width="15.7109375" style="876" customWidth="1"/>
    <col min="12336" max="12336" width="17.5703125" style="876" customWidth="1"/>
    <col min="12337" max="12337" width="20.140625" style="876" customWidth="1"/>
    <col min="12338" max="12372" width="15.7109375" style="876" customWidth="1"/>
    <col min="12373" max="12373" width="3" style="876" customWidth="1"/>
    <col min="12374" max="12374" width="9.140625" style="876" customWidth="1"/>
    <col min="12375" max="12376" width="9" style="876" customWidth="1"/>
    <col min="12377" max="12378" width="16" style="876" customWidth="1"/>
    <col min="12379" max="12379" width="9" style="876" customWidth="1"/>
    <col min="12380" max="12381" width="12.28515625" style="876" customWidth="1"/>
    <col min="12382" max="12384" width="14.85546875" style="876" customWidth="1"/>
    <col min="12385" max="12385" width="0" style="876" hidden="1" customWidth="1"/>
    <col min="12386" max="12387" width="12.140625" style="876" customWidth="1"/>
    <col min="12388" max="12388" width="10.7109375" style="876" customWidth="1"/>
    <col min="12389" max="12391" width="15.7109375" style="876" customWidth="1"/>
    <col min="12392" max="12392" width="11.85546875" style="876" customWidth="1"/>
    <col min="12393" max="12395" width="13.7109375" style="876" customWidth="1"/>
    <col min="12396" max="12396" width="3" style="876" customWidth="1"/>
    <col min="12397" max="12398" width="15.7109375" style="876" customWidth="1"/>
    <col min="12399" max="12557" width="9.140625" style="876"/>
    <col min="12558" max="12558" width="21.85546875" style="876" customWidth="1"/>
    <col min="12559" max="12559" width="32.28515625" style="876" customWidth="1"/>
    <col min="12560" max="12560" width="13" style="876" customWidth="1"/>
    <col min="12561" max="12591" width="15.7109375" style="876" customWidth="1"/>
    <col min="12592" max="12592" width="17.5703125" style="876" customWidth="1"/>
    <col min="12593" max="12593" width="20.140625" style="876" customWidth="1"/>
    <col min="12594" max="12628" width="15.7109375" style="876" customWidth="1"/>
    <col min="12629" max="12629" width="3" style="876" customWidth="1"/>
    <col min="12630" max="12630" width="9.140625" style="876" customWidth="1"/>
    <col min="12631" max="12632" width="9" style="876" customWidth="1"/>
    <col min="12633" max="12634" width="16" style="876" customWidth="1"/>
    <col min="12635" max="12635" width="9" style="876" customWidth="1"/>
    <col min="12636" max="12637" width="12.28515625" style="876" customWidth="1"/>
    <col min="12638" max="12640" width="14.85546875" style="876" customWidth="1"/>
    <col min="12641" max="12641" width="0" style="876" hidden="1" customWidth="1"/>
    <col min="12642" max="12643" width="12.140625" style="876" customWidth="1"/>
    <col min="12644" max="12644" width="10.7109375" style="876" customWidth="1"/>
    <col min="12645" max="12647" width="15.7109375" style="876" customWidth="1"/>
    <col min="12648" max="12648" width="11.85546875" style="876" customWidth="1"/>
    <col min="12649" max="12651" width="13.7109375" style="876" customWidth="1"/>
    <col min="12652" max="12652" width="3" style="876" customWidth="1"/>
    <col min="12653" max="12654" width="15.7109375" style="876" customWidth="1"/>
    <col min="12655" max="12813" width="9.140625" style="876"/>
    <col min="12814" max="12814" width="21.85546875" style="876" customWidth="1"/>
    <col min="12815" max="12815" width="32.28515625" style="876" customWidth="1"/>
    <col min="12816" max="12816" width="13" style="876" customWidth="1"/>
    <col min="12817" max="12847" width="15.7109375" style="876" customWidth="1"/>
    <col min="12848" max="12848" width="17.5703125" style="876" customWidth="1"/>
    <col min="12849" max="12849" width="20.140625" style="876" customWidth="1"/>
    <col min="12850" max="12884" width="15.7109375" style="876" customWidth="1"/>
    <col min="12885" max="12885" width="3" style="876" customWidth="1"/>
    <col min="12886" max="12886" width="9.140625" style="876" customWidth="1"/>
    <col min="12887" max="12888" width="9" style="876" customWidth="1"/>
    <col min="12889" max="12890" width="16" style="876" customWidth="1"/>
    <col min="12891" max="12891" width="9" style="876" customWidth="1"/>
    <col min="12892" max="12893" width="12.28515625" style="876" customWidth="1"/>
    <col min="12894" max="12896" width="14.85546875" style="876" customWidth="1"/>
    <col min="12897" max="12897" width="0" style="876" hidden="1" customWidth="1"/>
    <col min="12898" max="12899" width="12.140625" style="876" customWidth="1"/>
    <col min="12900" max="12900" width="10.7109375" style="876" customWidth="1"/>
    <col min="12901" max="12903" width="15.7109375" style="876" customWidth="1"/>
    <col min="12904" max="12904" width="11.85546875" style="876" customWidth="1"/>
    <col min="12905" max="12907" width="13.7109375" style="876" customWidth="1"/>
    <col min="12908" max="12908" width="3" style="876" customWidth="1"/>
    <col min="12909" max="12910" width="15.7109375" style="876" customWidth="1"/>
    <col min="12911" max="13069" width="9.140625" style="876"/>
    <col min="13070" max="13070" width="21.85546875" style="876" customWidth="1"/>
    <col min="13071" max="13071" width="32.28515625" style="876" customWidth="1"/>
    <col min="13072" max="13072" width="13" style="876" customWidth="1"/>
    <col min="13073" max="13103" width="15.7109375" style="876" customWidth="1"/>
    <col min="13104" max="13104" width="17.5703125" style="876" customWidth="1"/>
    <col min="13105" max="13105" width="20.140625" style="876" customWidth="1"/>
    <col min="13106" max="13140" width="15.7109375" style="876" customWidth="1"/>
    <col min="13141" max="13141" width="3" style="876" customWidth="1"/>
    <col min="13142" max="13142" width="9.140625" style="876" customWidth="1"/>
    <col min="13143" max="13144" width="9" style="876" customWidth="1"/>
    <col min="13145" max="13146" width="16" style="876" customWidth="1"/>
    <col min="13147" max="13147" width="9" style="876" customWidth="1"/>
    <col min="13148" max="13149" width="12.28515625" style="876" customWidth="1"/>
    <col min="13150" max="13152" width="14.85546875" style="876" customWidth="1"/>
    <col min="13153" max="13153" width="0" style="876" hidden="1" customWidth="1"/>
    <col min="13154" max="13155" width="12.140625" style="876" customWidth="1"/>
    <col min="13156" max="13156" width="10.7109375" style="876" customWidth="1"/>
    <col min="13157" max="13159" width="15.7109375" style="876" customWidth="1"/>
    <col min="13160" max="13160" width="11.85546875" style="876" customWidth="1"/>
    <col min="13161" max="13163" width="13.7109375" style="876" customWidth="1"/>
    <col min="13164" max="13164" width="3" style="876" customWidth="1"/>
    <col min="13165" max="13166" width="15.7109375" style="876" customWidth="1"/>
    <col min="13167" max="13325" width="9.140625" style="876"/>
    <col min="13326" max="13326" width="21.85546875" style="876" customWidth="1"/>
    <col min="13327" max="13327" width="32.28515625" style="876" customWidth="1"/>
    <col min="13328" max="13328" width="13" style="876" customWidth="1"/>
    <col min="13329" max="13359" width="15.7109375" style="876" customWidth="1"/>
    <col min="13360" max="13360" width="17.5703125" style="876" customWidth="1"/>
    <col min="13361" max="13361" width="20.140625" style="876" customWidth="1"/>
    <col min="13362" max="13396" width="15.7109375" style="876" customWidth="1"/>
    <col min="13397" max="13397" width="3" style="876" customWidth="1"/>
    <col min="13398" max="13398" width="9.140625" style="876" customWidth="1"/>
    <col min="13399" max="13400" width="9" style="876" customWidth="1"/>
    <col min="13401" max="13402" width="16" style="876" customWidth="1"/>
    <col min="13403" max="13403" width="9" style="876" customWidth="1"/>
    <col min="13404" max="13405" width="12.28515625" style="876" customWidth="1"/>
    <col min="13406" max="13408" width="14.85546875" style="876" customWidth="1"/>
    <col min="13409" max="13409" width="0" style="876" hidden="1" customWidth="1"/>
    <col min="13410" max="13411" width="12.140625" style="876" customWidth="1"/>
    <col min="13412" max="13412" width="10.7109375" style="876" customWidth="1"/>
    <col min="13413" max="13415" width="15.7109375" style="876" customWidth="1"/>
    <col min="13416" max="13416" width="11.85546875" style="876" customWidth="1"/>
    <col min="13417" max="13419" width="13.7109375" style="876" customWidth="1"/>
    <col min="13420" max="13420" width="3" style="876" customWidth="1"/>
    <col min="13421" max="13422" width="15.7109375" style="876" customWidth="1"/>
    <col min="13423" max="13581" width="9.140625" style="876"/>
    <col min="13582" max="13582" width="21.85546875" style="876" customWidth="1"/>
    <col min="13583" max="13583" width="32.28515625" style="876" customWidth="1"/>
    <col min="13584" max="13584" width="13" style="876" customWidth="1"/>
    <col min="13585" max="13615" width="15.7109375" style="876" customWidth="1"/>
    <col min="13616" max="13616" width="17.5703125" style="876" customWidth="1"/>
    <col min="13617" max="13617" width="20.140625" style="876" customWidth="1"/>
    <col min="13618" max="13652" width="15.7109375" style="876" customWidth="1"/>
    <col min="13653" max="13653" width="3" style="876" customWidth="1"/>
    <col min="13654" max="13654" width="9.140625" style="876" customWidth="1"/>
    <col min="13655" max="13656" width="9" style="876" customWidth="1"/>
    <col min="13657" max="13658" width="16" style="876" customWidth="1"/>
    <col min="13659" max="13659" width="9" style="876" customWidth="1"/>
    <col min="13660" max="13661" width="12.28515625" style="876" customWidth="1"/>
    <col min="13662" max="13664" width="14.85546875" style="876" customWidth="1"/>
    <col min="13665" max="13665" width="0" style="876" hidden="1" customWidth="1"/>
    <col min="13666" max="13667" width="12.140625" style="876" customWidth="1"/>
    <col min="13668" max="13668" width="10.7109375" style="876" customWidth="1"/>
    <col min="13669" max="13671" width="15.7109375" style="876" customWidth="1"/>
    <col min="13672" max="13672" width="11.85546875" style="876" customWidth="1"/>
    <col min="13673" max="13675" width="13.7109375" style="876" customWidth="1"/>
    <col min="13676" max="13676" width="3" style="876" customWidth="1"/>
    <col min="13677" max="13678" width="15.7109375" style="876" customWidth="1"/>
    <col min="13679" max="13837" width="9.140625" style="876"/>
    <col min="13838" max="13838" width="21.85546875" style="876" customWidth="1"/>
    <col min="13839" max="13839" width="32.28515625" style="876" customWidth="1"/>
    <col min="13840" max="13840" width="13" style="876" customWidth="1"/>
    <col min="13841" max="13871" width="15.7109375" style="876" customWidth="1"/>
    <col min="13872" max="13872" width="17.5703125" style="876" customWidth="1"/>
    <col min="13873" max="13873" width="20.140625" style="876" customWidth="1"/>
    <col min="13874" max="13908" width="15.7109375" style="876" customWidth="1"/>
    <col min="13909" max="13909" width="3" style="876" customWidth="1"/>
    <col min="13910" max="13910" width="9.140625" style="876" customWidth="1"/>
    <col min="13911" max="13912" width="9" style="876" customWidth="1"/>
    <col min="13913" max="13914" width="16" style="876" customWidth="1"/>
    <col min="13915" max="13915" width="9" style="876" customWidth="1"/>
    <col min="13916" max="13917" width="12.28515625" style="876" customWidth="1"/>
    <col min="13918" max="13920" width="14.85546875" style="876" customWidth="1"/>
    <col min="13921" max="13921" width="0" style="876" hidden="1" customWidth="1"/>
    <col min="13922" max="13923" width="12.140625" style="876" customWidth="1"/>
    <col min="13924" max="13924" width="10.7109375" style="876" customWidth="1"/>
    <col min="13925" max="13927" width="15.7109375" style="876" customWidth="1"/>
    <col min="13928" max="13928" width="11.85546875" style="876" customWidth="1"/>
    <col min="13929" max="13931" width="13.7109375" style="876" customWidth="1"/>
    <col min="13932" max="13932" width="3" style="876" customWidth="1"/>
    <col min="13933" max="13934" width="15.7109375" style="876" customWidth="1"/>
    <col min="13935" max="14093" width="9.140625" style="876"/>
    <col min="14094" max="14094" width="21.85546875" style="876" customWidth="1"/>
    <col min="14095" max="14095" width="32.28515625" style="876" customWidth="1"/>
    <col min="14096" max="14096" width="13" style="876" customWidth="1"/>
    <col min="14097" max="14127" width="15.7109375" style="876" customWidth="1"/>
    <col min="14128" max="14128" width="17.5703125" style="876" customWidth="1"/>
    <col min="14129" max="14129" width="20.140625" style="876" customWidth="1"/>
    <col min="14130" max="14164" width="15.7109375" style="876" customWidth="1"/>
    <col min="14165" max="14165" width="3" style="876" customWidth="1"/>
    <col min="14166" max="14166" width="9.140625" style="876" customWidth="1"/>
    <col min="14167" max="14168" width="9" style="876" customWidth="1"/>
    <col min="14169" max="14170" width="16" style="876" customWidth="1"/>
    <col min="14171" max="14171" width="9" style="876" customWidth="1"/>
    <col min="14172" max="14173" width="12.28515625" style="876" customWidth="1"/>
    <col min="14174" max="14176" width="14.85546875" style="876" customWidth="1"/>
    <col min="14177" max="14177" width="0" style="876" hidden="1" customWidth="1"/>
    <col min="14178" max="14179" width="12.140625" style="876" customWidth="1"/>
    <col min="14180" max="14180" width="10.7109375" style="876" customWidth="1"/>
    <col min="14181" max="14183" width="15.7109375" style="876" customWidth="1"/>
    <col min="14184" max="14184" width="11.85546875" style="876" customWidth="1"/>
    <col min="14185" max="14187" width="13.7109375" style="876" customWidth="1"/>
    <col min="14188" max="14188" width="3" style="876" customWidth="1"/>
    <col min="14189" max="14190" width="15.7109375" style="876" customWidth="1"/>
    <col min="14191" max="14349" width="9.140625" style="876"/>
    <col min="14350" max="14350" width="21.85546875" style="876" customWidth="1"/>
    <col min="14351" max="14351" width="32.28515625" style="876" customWidth="1"/>
    <col min="14352" max="14352" width="13" style="876" customWidth="1"/>
    <col min="14353" max="14383" width="15.7109375" style="876" customWidth="1"/>
    <col min="14384" max="14384" width="17.5703125" style="876" customWidth="1"/>
    <col min="14385" max="14385" width="20.140625" style="876" customWidth="1"/>
    <col min="14386" max="14420" width="15.7109375" style="876" customWidth="1"/>
    <col min="14421" max="14421" width="3" style="876" customWidth="1"/>
    <col min="14422" max="14422" width="9.140625" style="876" customWidth="1"/>
    <col min="14423" max="14424" width="9" style="876" customWidth="1"/>
    <col min="14425" max="14426" width="16" style="876" customWidth="1"/>
    <col min="14427" max="14427" width="9" style="876" customWidth="1"/>
    <col min="14428" max="14429" width="12.28515625" style="876" customWidth="1"/>
    <col min="14430" max="14432" width="14.85546875" style="876" customWidth="1"/>
    <col min="14433" max="14433" width="0" style="876" hidden="1" customWidth="1"/>
    <col min="14434" max="14435" width="12.140625" style="876" customWidth="1"/>
    <col min="14436" max="14436" width="10.7109375" style="876" customWidth="1"/>
    <col min="14437" max="14439" width="15.7109375" style="876" customWidth="1"/>
    <col min="14440" max="14440" width="11.85546875" style="876" customWidth="1"/>
    <col min="14441" max="14443" width="13.7109375" style="876" customWidth="1"/>
    <col min="14444" max="14444" width="3" style="876" customWidth="1"/>
    <col min="14445" max="14446" width="15.7109375" style="876" customWidth="1"/>
    <col min="14447" max="14605" width="9.140625" style="876"/>
    <col min="14606" max="14606" width="21.85546875" style="876" customWidth="1"/>
    <col min="14607" max="14607" width="32.28515625" style="876" customWidth="1"/>
    <col min="14608" max="14608" width="13" style="876" customWidth="1"/>
    <col min="14609" max="14639" width="15.7109375" style="876" customWidth="1"/>
    <col min="14640" max="14640" width="17.5703125" style="876" customWidth="1"/>
    <col min="14641" max="14641" width="20.140625" style="876" customWidth="1"/>
    <col min="14642" max="14676" width="15.7109375" style="876" customWidth="1"/>
    <col min="14677" max="14677" width="3" style="876" customWidth="1"/>
    <col min="14678" max="14678" width="9.140625" style="876" customWidth="1"/>
    <col min="14679" max="14680" width="9" style="876" customWidth="1"/>
    <col min="14681" max="14682" width="16" style="876" customWidth="1"/>
    <col min="14683" max="14683" width="9" style="876" customWidth="1"/>
    <col min="14684" max="14685" width="12.28515625" style="876" customWidth="1"/>
    <col min="14686" max="14688" width="14.85546875" style="876" customWidth="1"/>
    <col min="14689" max="14689" width="0" style="876" hidden="1" customWidth="1"/>
    <col min="14690" max="14691" width="12.140625" style="876" customWidth="1"/>
    <col min="14692" max="14692" width="10.7109375" style="876" customWidth="1"/>
    <col min="14693" max="14695" width="15.7109375" style="876" customWidth="1"/>
    <col min="14696" max="14696" width="11.85546875" style="876" customWidth="1"/>
    <col min="14697" max="14699" width="13.7109375" style="876" customWidth="1"/>
    <col min="14700" max="14700" width="3" style="876" customWidth="1"/>
    <col min="14701" max="14702" width="15.7109375" style="876" customWidth="1"/>
    <col min="14703" max="14861" width="9.140625" style="876"/>
    <col min="14862" max="14862" width="21.85546875" style="876" customWidth="1"/>
    <col min="14863" max="14863" width="32.28515625" style="876" customWidth="1"/>
    <col min="14864" max="14864" width="13" style="876" customWidth="1"/>
    <col min="14865" max="14895" width="15.7109375" style="876" customWidth="1"/>
    <col min="14896" max="14896" width="17.5703125" style="876" customWidth="1"/>
    <col min="14897" max="14897" width="20.140625" style="876" customWidth="1"/>
    <col min="14898" max="14932" width="15.7109375" style="876" customWidth="1"/>
    <col min="14933" max="14933" width="3" style="876" customWidth="1"/>
    <col min="14934" max="14934" width="9.140625" style="876" customWidth="1"/>
    <col min="14935" max="14936" width="9" style="876" customWidth="1"/>
    <col min="14937" max="14938" width="16" style="876" customWidth="1"/>
    <col min="14939" max="14939" width="9" style="876" customWidth="1"/>
    <col min="14940" max="14941" width="12.28515625" style="876" customWidth="1"/>
    <col min="14942" max="14944" width="14.85546875" style="876" customWidth="1"/>
    <col min="14945" max="14945" width="0" style="876" hidden="1" customWidth="1"/>
    <col min="14946" max="14947" width="12.140625" style="876" customWidth="1"/>
    <col min="14948" max="14948" width="10.7109375" style="876" customWidth="1"/>
    <col min="14949" max="14951" width="15.7109375" style="876" customWidth="1"/>
    <col min="14952" max="14952" width="11.85546875" style="876" customWidth="1"/>
    <col min="14953" max="14955" width="13.7109375" style="876" customWidth="1"/>
    <col min="14956" max="14956" width="3" style="876" customWidth="1"/>
    <col min="14957" max="14958" width="15.7109375" style="876" customWidth="1"/>
    <col min="14959" max="15117" width="9.140625" style="876"/>
    <col min="15118" max="15118" width="21.85546875" style="876" customWidth="1"/>
    <col min="15119" max="15119" width="32.28515625" style="876" customWidth="1"/>
    <col min="15120" max="15120" width="13" style="876" customWidth="1"/>
    <col min="15121" max="15151" width="15.7109375" style="876" customWidth="1"/>
    <col min="15152" max="15152" width="17.5703125" style="876" customWidth="1"/>
    <col min="15153" max="15153" width="20.140625" style="876" customWidth="1"/>
    <col min="15154" max="15188" width="15.7109375" style="876" customWidth="1"/>
    <col min="15189" max="15189" width="3" style="876" customWidth="1"/>
    <col min="15190" max="15190" width="9.140625" style="876" customWidth="1"/>
    <col min="15191" max="15192" width="9" style="876" customWidth="1"/>
    <col min="15193" max="15194" width="16" style="876" customWidth="1"/>
    <col min="15195" max="15195" width="9" style="876" customWidth="1"/>
    <col min="15196" max="15197" width="12.28515625" style="876" customWidth="1"/>
    <col min="15198" max="15200" width="14.85546875" style="876" customWidth="1"/>
    <col min="15201" max="15201" width="0" style="876" hidden="1" customWidth="1"/>
    <col min="15202" max="15203" width="12.140625" style="876" customWidth="1"/>
    <col min="15204" max="15204" width="10.7109375" style="876" customWidth="1"/>
    <col min="15205" max="15207" width="15.7109375" style="876" customWidth="1"/>
    <col min="15208" max="15208" width="11.85546875" style="876" customWidth="1"/>
    <col min="15209" max="15211" width="13.7109375" style="876" customWidth="1"/>
    <col min="15212" max="15212" width="3" style="876" customWidth="1"/>
    <col min="15213" max="15214" width="15.7109375" style="876" customWidth="1"/>
    <col min="15215" max="15373" width="9.140625" style="876"/>
    <col min="15374" max="15374" width="21.85546875" style="876" customWidth="1"/>
    <col min="15375" max="15375" width="32.28515625" style="876" customWidth="1"/>
    <col min="15376" max="15376" width="13" style="876" customWidth="1"/>
    <col min="15377" max="15407" width="15.7109375" style="876" customWidth="1"/>
    <col min="15408" max="15408" width="17.5703125" style="876" customWidth="1"/>
    <col min="15409" max="15409" width="20.140625" style="876" customWidth="1"/>
    <col min="15410" max="15444" width="15.7109375" style="876" customWidth="1"/>
    <col min="15445" max="15445" width="3" style="876" customWidth="1"/>
    <col min="15446" max="15446" width="9.140625" style="876" customWidth="1"/>
    <col min="15447" max="15448" width="9" style="876" customWidth="1"/>
    <col min="15449" max="15450" width="16" style="876" customWidth="1"/>
    <col min="15451" max="15451" width="9" style="876" customWidth="1"/>
    <col min="15452" max="15453" width="12.28515625" style="876" customWidth="1"/>
    <col min="15454" max="15456" width="14.85546875" style="876" customWidth="1"/>
    <col min="15457" max="15457" width="0" style="876" hidden="1" customWidth="1"/>
    <col min="15458" max="15459" width="12.140625" style="876" customWidth="1"/>
    <col min="15460" max="15460" width="10.7109375" style="876" customWidth="1"/>
    <col min="15461" max="15463" width="15.7109375" style="876" customWidth="1"/>
    <col min="15464" max="15464" width="11.85546875" style="876" customWidth="1"/>
    <col min="15465" max="15467" width="13.7109375" style="876" customWidth="1"/>
    <col min="15468" max="15468" width="3" style="876" customWidth="1"/>
    <col min="15469" max="15470" width="15.7109375" style="876" customWidth="1"/>
    <col min="15471" max="15629" width="9.140625" style="876"/>
    <col min="15630" max="15630" width="21.85546875" style="876" customWidth="1"/>
    <col min="15631" max="15631" width="32.28515625" style="876" customWidth="1"/>
    <col min="15632" max="15632" width="13" style="876" customWidth="1"/>
    <col min="15633" max="15663" width="15.7109375" style="876" customWidth="1"/>
    <col min="15664" max="15664" width="17.5703125" style="876" customWidth="1"/>
    <col min="15665" max="15665" width="20.140625" style="876" customWidth="1"/>
    <col min="15666" max="15700" width="15.7109375" style="876" customWidth="1"/>
    <col min="15701" max="15701" width="3" style="876" customWidth="1"/>
    <col min="15702" max="15702" width="9.140625" style="876" customWidth="1"/>
    <col min="15703" max="15704" width="9" style="876" customWidth="1"/>
    <col min="15705" max="15706" width="16" style="876" customWidth="1"/>
    <col min="15707" max="15707" width="9" style="876" customWidth="1"/>
    <col min="15708" max="15709" width="12.28515625" style="876" customWidth="1"/>
    <col min="15710" max="15712" width="14.85546875" style="876" customWidth="1"/>
    <col min="15713" max="15713" width="0" style="876" hidden="1" customWidth="1"/>
    <col min="15714" max="15715" width="12.140625" style="876" customWidth="1"/>
    <col min="15716" max="15716" width="10.7109375" style="876" customWidth="1"/>
    <col min="15717" max="15719" width="15.7109375" style="876" customWidth="1"/>
    <col min="15720" max="15720" width="11.85546875" style="876" customWidth="1"/>
    <col min="15721" max="15723" width="13.7109375" style="876" customWidth="1"/>
    <col min="15724" max="15724" width="3" style="876" customWidth="1"/>
    <col min="15725" max="15726" width="15.7109375" style="876" customWidth="1"/>
    <col min="15727" max="15885" width="9.140625" style="876"/>
    <col min="15886" max="15886" width="21.85546875" style="876" customWidth="1"/>
    <col min="15887" max="15887" width="32.28515625" style="876" customWidth="1"/>
    <col min="15888" max="15888" width="13" style="876" customWidth="1"/>
    <col min="15889" max="15919" width="15.7109375" style="876" customWidth="1"/>
    <col min="15920" max="15920" width="17.5703125" style="876" customWidth="1"/>
    <col min="15921" max="15921" width="20.140625" style="876" customWidth="1"/>
    <col min="15922" max="15956" width="15.7109375" style="876" customWidth="1"/>
    <col min="15957" max="15957" width="3" style="876" customWidth="1"/>
    <col min="15958" max="15958" width="9.140625" style="876" customWidth="1"/>
    <col min="15959" max="15960" width="9" style="876" customWidth="1"/>
    <col min="15961" max="15962" width="16" style="876" customWidth="1"/>
    <col min="15963" max="15963" width="9" style="876" customWidth="1"/>
    <col min="15964" max="15965" width="12.28515625" style="876" customWidth="1"/>
    <col min="15966" max="15968" width="14.85546875" style="876" customWidth="1"/>
    <col min="15969" max="15969" width="0" style="876" hidden="1" customWidth="1"/>
    <col min="15970" max="15971" width="12.140625" style="876" customWidth="1"/>
    <col min="15972" max="15972" width="10.7109375" style="876" customWidth="1"/>
    <col min="15973" max="15975" width="15.7109375" style="876" customWidth="1"/>
    <col min="15976" max="15976" width="11.85546875" style="876" customWidth="1"/>
    <col min="15977" max="15979" width="13.7109375" style="876" customWidth="1"/>
    <col min="15980" max="15980" width="3" style="876" customWidth="1"/>
    <col min="15981" max="15982" width="15.7109375" style="876" customWidth="1"/>
    <col min="15983" max="16141" width="9.140625" style="876"/>
    <col min="16142" max="16142" width="21.85546875" style="876" customWidth="1"/>
    <col min="16143" max="16143" width="32.28515625" style="876" customWidth="1"/>
    <col min="16144" max="16144" width="13" style="876" customWidth="1"/>
    <col min="16145" max="16175" width="15.7109375" style="876" customWidth="1"/>
    <col min="16176" max="16176" width="17.5703125" style="876" customWidth="1"/>
    <col min="16177" max="16177" width="20.140625" style="876" customWidth="1"/>
    <col min="16178" max="16212" width="15.7109375" style="876" customWidth="1"/>
    <col min="16213" max="16213" width="3" style="876" customWidth="1"/>
    <col min="16214" max="16214" width="9.140625" style="876" customWidth="1"/>
    <col min="16215" max="16216" width="9" style="876" customWidth="1"/>
    <col min="16217" max="16218" width="16" style="876" customWidth="1"/>
    <col min="16219" max="16219" width="9" style="876" customWidth="1"/>
    <col min="16220" max="16221" width="12.28515625" style="876" customWidth="1"/>
    <col min="16222" max="16224" width="14.85546875" style="876" customWidth="1"/>
    <col min="16225" max="16225" width="0" style="876" hidden="1" customWidth="1"/>
    <col min="16226" max="16227" width="12.140625" style="876" customWidth="1"/>
    <col min="16228" max="16228" width="10.7109375" style="876" customWidth="1"/>
    <col min="16229" max="16231" width="15.7109375" style="876" customWidth="1"/>
    <col min="16232" max="16232" width="11.85546875" style="876" customWidth="1"/>
    <col min="16233" max="16235" width="13.7109375" style="876" customWidth="1"/>
    <col min="16236" max="16236" width="3" style="876" customWidth="1"/>
    <col min="16237" max="16238" width="15.7109375" style="876" customWidth="1"/>
    <col min="16239" max="16384" width="9.140625" style="876"/>
  </cols>
  <sheetData>
    <row r="1" spans="1:161" x14ac:dyDescent="0.25">
      <c r="A1" s="870"/>
      <c r="B1" s="871"/>
      <c r="C1" s="872"/>
      <c r="D1" s="872"/>
      <c r="E1" s="872"/>
      <c r="F1" s="872"/>
      <c r="G1" s="872"/>
      <c r="H1" s="872"/>
      <c r="I1" s="872"/>
      <c r="J1" s="873"/>
      <c r="K1" s="872"/>
      <c r="L1" s="872"/>
      <c r="M1" s="874"/>
      <c r="N1" s="872"/>
      <c r="O1" s="872"/>
      <c r="P1" s="874"/>
      <c r="Q1" s="872"/>
      <c r="R1" s="872"/>
      <c r="S1" s="874"/>
      <c r="T1" s="872"/>
      <c r="U1" s="872"/>
      <c r="V1" s="874"/>
      <c r="W1" s="872"/>
      <c r="X1" s="872"/>
      <c r="Y1" s="874"/>
      <c r="Z1" s="872"/>
      <c r="AA1" s="872"/>
      <c r="AB1" s="874"/>
      <c r="AC1" s="872"/>
      <c r="AD1" s="872"/>
      <c r="AE1" s="874"/>
      <c r="AF1" s="872"/>
      <c r="AG1" s="872"/>
      <c r="AH1" s="874"/>
      <c r="AI1" s="872"/>
      <c r="AJ1" s="872"/>
      <c r="AK1" s="874"/>
      <c r="AL1" s="872"/>
      <c r="AM1" s="872"/>
      <c r="AN1" s="872"/>
      <c r="AO1" s="872"/>
      <c r="AP1" s="872"/>
      <c r="AQ1" s="872"/>
      <c r="AR1" s="872"/>
      <c r="AS1" s="872"/>
      <c r="AT1" s="872"/>
      <c r="AU1" s="872"/>
      <c r="AV1" s="872"/>
      <c r="AW1" s="872"/>
      <c r="AX1" s="872"/>
      <c r="AY1" s="872"/>
      <c r="AZ1" s="872"/>
      <c r="BA1" s="872"/>
      <c r="BB1" s="872"/>
      <c r="BC1" s="872"/>
      <c r="BD1" s="872"/>
      <c r="BE1" s="872"/>
      <c r="BF1" s="872"/>
      <c r="BG1" s="872"/>
      <c r="BH1" s="872"/>
      <c r="BI1" s="872"/>
      <c r="BJ1" s="872"/>
      <c r="BK1" s="872"/>
      <c r="BL1" s="872"/>
      <c r="BM1" s="872"/>
      <c r="BN1" s="872"/>
      <c r="BO1" s="872"/>
      <c r="BP1" s="875"/>
      <c r="BQ1" s="872"/>
      <c r="BR1" s="872"/>
      <c r="BS1" s="872"/>
      <c r="BU1" s="872"/>
      <c r="BV1" s="872"/>
      <c r="BW1" s="872"/>
      <c r="BX1" s="872"/>
      <c r="BY1" s="872"/>
      <c r="BZ1" s="872"/>
      <c r="CA1" s="872"/>
      <c r="CB1" s="872"/>
      <c r="CC1" s="872"/>
      <c r="CD1" s="872"/>
      <c r="CE1" s="872"/>
      <c r="CF1" s="877"/>
      <c r="CG1" s="872"/>
      <c r="CH1" s="872"/>
      <c r="CI1" s="872"/>
      <c r="CJ1" s="872"/>
      <c r="CK1" s="872"/>
      <c r="CL1" s="872"/>
      <c r="CM1" s="872"/>
      <c r="CN1" s="872"/>
      <c r="CO1" s="872"/>
      <c r="CP1" s="872"/>
      <c r="CQ1" s="872"/>
      <c r="CR1" s="872"/>
      <c r="CS1" s="872"/>
      <c r="CT1" s="872"/>
      <c r="CU1" s="872"/>
      <c r="CV1" s="872"/>
      <c r="CX1" s="872"/>
      <c r="CY1" s="872"/>
      <c r="CZ1" s="872"/>
      <c r="DB1" s="872" t="s">
        <v>1213</v>
      </c>
      <c r="DC1" s="872"/>
      <c r="DD1" s="872"/>
      <c r="DE1" s="872"/>
      <c r="DF1" s="872"/>
      <c r="DG1" s="872"/>
      <c r="DH1" s="872"/>
      <c r="DI1" s="872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V1" s="872" t="s">
        <v>1214</v>
      </c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872"/>
      <c r="EL1" s="872"/>
      <c r="EM1" s="872"/>
      <c r="EN1" s="872"/>
      <c r="EO1" s="872"/>
      <c r="EP1" s="872"/>
      <c r="EQ1" s="872"/>
      <c r="ER1" s="872"/>
      <c r="ES1" s="872"/>
      <c r="ET1" s="872"/>
      <c r="EV1" s="872"/>
      <c r="EW1" s="872"/>
      <c r="EX1" s="872"/>
      <c r="EY1" s="872"/>
    </row>
    <row r="2" spans="1:161" ht="15.75" hidden="1" customHeight="1" x14ac:dyDescent="0.25">
      <c r="A2" s="878"/>
      <c r="B2" s="1107" t="s">
        <v>830</v>
      </c>
      <c r="C2" s="1107"/>
      <c r="D2" s="1107"/>
      <c r="E2" s="1107"/>
      <c r="F2" s="1107"/>
      <c r="G2" s="1107"/>
      <c r="H2" s="1107"/>
      <c r="I2" s="1107"/>
      <c r="J2" s="1107"/>
      <c r="K2" s="1107"/>
      <c r="L2" s="1107"/>
      <c r="M2" s="1107"/>
      <c r="N2" s="1107"/>
      <c r="O2" s="1107"/>
      <c r="P2" s="1107"/>
      <c r="Q2" s="1107"/>
      <c r="R2" s="1107"/>
      <c r="S2" s="1107"/>
      <c r="T2" s="1107"/>
      <c r="U2" s="1107"/>
      <c r="V2" s="1107"/>
      <c r="W2" s="1107"/>
      <c r="X2" s="1107"/>
      <c r="Y2" s="1107"/>
      <c r="Z2" s="1107"/>
      <c r="AA2" s="1107"/>
      <c r="AB2" s="1107"/>
      <c r="AC2" s="1107"/>
      <c r="AD2" s="1107"/>
      <c r="AE2" s="1107"/>
      <c r="AF2" s="1107"/>
      <c r="AG2" s="1107"/>
      <c r="AH2" s="1107"/>
      <c r="AI2" s="1107"/>
      <c r="AJ2" s="1107"/>
      <c r="AK2" s="1107"/>
      <c r="AL2" s="1107"/>
      <c r="AM2" s="1107"/>
      <c r="AN2" s="1107"/>
      <c r="AO2" s="1107"/>
      <c r="AP2" s="1107"/>
      <c r="AQ2" s="1107"/>
      <c r="AR2" s="1107"/>
      <c r="AS2" s="872"/>
      <c r="AT2" s="872"/>
      <c r="AU2" s="879"/>
      <c r="AV2" s="879"/>
      <c r="AW2" s="872"/>
      <c r="AX2" s="872"/>
      <c r="AY2" s="872"/>
      <c r="AZ2" s="872"/>
      <c r="BA2" s="872"/>
      <c r="BB2" s="872"/>
      <c r="BC2" s="872"/>
      <c r="BD2" s="872"/>
      <c r="BE2" s="872"/>
      <c r="BF2" s="872"/>
      <c r="BG2" s="872"/>
      <c r="BH2" s="872"/>
      <c r="BI2" s="872"/>
      <c r="BJ2" s="872"/>
      <c r="BK2" s="872"/>
      <c r="BL2" s="872"/>
      <c r="BM2" s="872"/>
      <c r="BN2" s="872"/>
      <c r="BO2" s="872"/>
      <c r="BP2" s="875"/>
      <c r="BQ2" s="872"/>
      <c r="BR2" s="872"/>
      <c r="BS2" s="872"/>
      <c r="BU2" s="872"/>
      <c r="BV2" s="872"/>
      <c r="BW2" s="872"/>
      <c r="BX2" s="872"/>
      <c r="BY2" s="872"/>
      <c r="BZ2" s="872"/>
      <c r="CA2" s="872"/>
      <c r="CB2" s="872"/>
      <c r="CC2" s="872"/>
      <c r="CD2" s="872"/>
      <c r="CE2" s="872"/>
      <c r="CF2" s="877"/>
      <c r="CG2" s="872"/>
      <c r="CH2" s="872"/>
      <c r="CI2" s="872"/>
      <c r="CJ2" s="872"/>
      <c r="CK2" s="872"/>
      <c r="CL2" s="872"/>
      <c r="CM2" s="872"/>
      <c r="CN2" s="872"/>
      <c r="CO2" s="872"/>
      <c r="CP2" s="872"/>
      <c r="CQ2" s="872"/>
      <c r="CR2" s="872"/>
      <c r="CS2" s="872"/>
      <c r="CT2" s="872"/>
      <c r="CU2" s="872"/>
      <c r="CV2" s="872"/>
      <c r="CX2" s="872"/>
      <c r="CY2" s="872"/>
      <c r="CZ2" s="872"/>
      <c r="DB2" s="872"/>
      <c r="DC2" s="872"/>
      <c r="DD2" s="872"/>
      <c r="DE2" s="872"/>
      <c r="DF2" s="872"/>
      <c r="DG2" s="872"/>
      <c r="DH2" s="872"/>
      <c r="DI2" s="872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872"/>
      <c r="EL2" s="872"/>
      <c r="EM2" s="872"/>
      <c r="EN2" s="872"/>
      <c r="EO2" s="872"/>
      <c r="EP2" s="872"/>
      <c r="EQ2" s="872"/>
      <c r="ER2" s="872"/>
      <c r="ES2" s="872"/>
      <c r="ET2" s="872"/>
      <c r="EV2" s="872"/>
      <c r="EW2" s="872"/>
      <c r="EX2" s="872"/>
      <c r="EY2" s="872"/>
    </row>
    <row r="3" spans="1:161" ht="15.75" hidden="1" customHeight="1" x14ac:dyDescent="0.25">
      <c r="A3" s="878"/>
      <c r="B3" s="1107" t="s">
        <v>384</v>
      </c>
      <c r="C3" s="1107"/>
      <c r="D3" s="1107"/>
      <c r="E3" s="1107"/>
      <c r="F3" s="1107"/>
      <c r="G3" s="1107"/>
      <c r="H3" s="1107"/>
      <c r="I3" s="1107"/>
      <c r="J3" s="1107"/>
      <c r="K3" s="1107"/>
      <c r="L3" s="1107"/>
      <c r="M3" s="1107"/>
      <c r="N3" s="1107"/>
      <c r="O3" s="1107"/>
      <c r="P3" s="1107"/>
      <c r="Q3" s="1107"/>
      <c r="R3" s="1107"/>
      <c r="S3" s="1107"/>
      <c r="T3" s="1107"/>
      <c r="U3" s="1107"/>
      <c r="V3" s="1107"/>
      <c r="W3" s="1107"/>
      <c r="X3" s="1107"/>
      <c r="Y3" s="1107"/>
      <c r="Z3" s="1107"/>
      <c r="AA3" s="1107"/>
      <c r="AB3" s="1107"/>
      <c r="AC3" s="1107"/>
      <c r="AD3" s="1107"/>
      <c r="AE3" s="1107"/>
      <c r="AF3" s="1107"/>
      <c r="AG3" s="1107"/>
      <c r="AH3" s="1107"/>
      <c r="AI3" s="1107"/>
      <c r="AJ3" s="1107"/>
      <c r="AK3" s="1107"/>
      <c r="AL3" s="1107"/>
      <c r="AM3" s="1107"/>
      <c r="AN3" s="1107"/>
      <c r="AO3" s="1107"/>
      <c r="AP3" s="1107"/>
      <c r="AQ3" s="1107"/>
      <c r="AR3" s="1107"/>
      <c r="AS3" s="872"/>
      <c r="AT3" s="872"/>
      <c r="AU3" s="879"/>
      <c r="AV3" s="879"/>
      <c r="AW3" s="872"/>
      <c r="AX3" s="872"/>
      <c r="AY3" s="872"/>
      <c r="AZ3" s="872"/>
      <c r="BA3" s="872"/>
      <c r="BB3" s="872"/>
      <c r="BC3" s="872"/>
      <c r="BD3" s="872"/>
      <c r="BE3" s="872"/>
      <c r="BF3" s="872"/>
      <c r="BG3" s="872"/>
      <c r="BH3" s="872"/>
      <c r="BI3" s="872"/>
      <c r="BJ3" s="872"/>
      <c r="BK3" s="872"/>
      <c r="BL3" s="872"/>
      <c r="BM3" s="872"/>
      <c r="BN3" s="872"/>
      <c r="BO3" s="872"/>
      <c r="BP3" s="875"/>
      <c r="BQ3" s="872"/>
      <c r="BR3" s="872"/>
      <c r="BS3" s="872"/>
      <c r="BU3" s="872"/>
      <c r="BV3" s="872"/>
      <c r="BW3" s="872"/>
      <c r="BX3" s="872"/>
      <c r="BY3" s="872"/>
      <c r="BZ3" s="872"/>
      <c r="CA3" s="872"/>
      <c r="CB3" s="872"/>
      <c r="CC3" s="872"/>
      <c r="CD3" s="872"/>
      <c r="CE3" s="872"/>
      <c r="CF3" s="877"/>
      <c r="CG3" s="872"/>
      <c r="CH3" s="872"/>
      <c r="CI3" s="872"/>
      <c r="CJ3" s="872"/>
      <c r="CK3" s="872"/>
      <c r="CL3" s="872"/>
      <c r="CM3" s="872"/>
      <c r="CN3" s="872"/>
      <c r="CO3" s="872"/>
      <c r="CP3" s="872"/>
      <c r="CQ3" s="872"/>
      <c r="CR3" s="872"/>
      <c r="CS3" s="872"/>
      <c r="CT3" s="872"/>
      <c r="CU3" s="872"/>
      <c r="CV3" s="872"/>
      <c r="CX3" s="872"/>
      <c r="CY3" s="872"/>
      <c r="CZ3" s="872"/>
      <c r="DB3" s="872"/>
      <c r="DC3" s="872"/>
      <c r="DD3" s="872"/>
      <c r="DE3" s="872"/>
      <c r="DF3" s="872"/>
      <c r="DG3" s="872"/>
      <c r="DH3" s="872"/>
      <c r="DI3" s="872"/>
      <c r="DJ3" s="872"/>
      <c r="DK3" s="872"/>
      <c r="DL3" s="872"/>
      <c r="DM3" s="872"/>
      <c r="DN3" s="872"/>
      <c r="DO3" s="872"/>
      <c r="DP3" s="872"/>
      <c r="DQ3" s="872"/>
      <c r="DR3" s="872"/>
      <c r="DS3" s="872"/>
      <c r="DT3" s="872"/>
      <c r="DV3" s="872"/>
      <c r="DW3" s="872"/>
      <c r="DX3" s="872"/>
      <c r="DY3" s="872"/>
      <c r="DZ3" s="872"/>
      <c r="EA3" s="872"/>
      <c r="EB3" s="872"/>
      <c r="EC3" s="872"/>
      <c r="ED3" s="872"/>
      <c r="EE3" s="872"/>
      <c r="EF3" s="872"/>
      <c r="EG3" s="872"/>
      <c r="EH3" s="872"/>
      <c r="EI3" s="872"/>
      <c r="EJ3" s="872"/>
      <c r="EK3" s="872"/>
      <c r="EL3" s="872"/>
      <c r="EM3" s="872"/>
      <c r="EN3" s="872"/>
      <c r="EO3" s="872"/>
      <c r="EP3" s="872"/>
      <c r="EQ3" s="872"/>
      <c r="ER3" s="872"/>
      <c r="ES3" s="872"/>
      <c r="ET3" s="872"/>
      <c r="EV3" s="872"/>
      <c r="EW3" s="872"/>
      <c r="EX3" s="872"/>
      <c r="EY3" s="872"/>
    </row>
    <row r="4" spans="1:161" ht="15.75" hidden="1" customHeight="1" x14ac:dyDescent="0.25">
      <c r="A4" s="878"/>
      <c r="B4" s="1107" t="s">
        <v>385</v>
      </c>
      <c r="C4" s="1107"/>
      <c r="D4" s="1107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872"/>
      <c r="AT4" s="872"/>
      <c r="AU4" s="879"/>
      <c r="AV4" s="879"/>
      <c r="AW4" s="872"/>
      <c r="AX4" s="872"/>
      <c r="AY4" s="872"/>
      <c r="AZ4" s="872"/>
      <c r="BA4" s="872"/>
      <c r="BB4" s="872"/>
      <c r="BC4" s="872"/>
      <c r="BD4" s="872"/>
      <c r="BE4" s="872"/>
      <c r="BF4" s="872"/>
      <c r="BG4" s="872"/>
      <c r="BH4" s="872"/>
      <c r="BI4" s="872"/>
      <c r="BJ4" s="872"/>
      <c r="BK4" s="872"/>
      <c r="BL4" s="872"/>
      <c r="BM4" s="872"/>
      <c r="BN4" s="872"/>
      <c r="BO4" s="872"/>
      <c r="BP4" s="875"/>
      <c r="BQ4" s="872"/>
      <c r="BR4" s="872"/>
      <c r="BS4" s="872"/>
      <c r="BU4" s="872"/>
      <c r="BV4" s="872"/>
      <c r="BW4" s="872"/>
      <c r="BX4" s="872"/>
      <c r="BY4" s="872"/>
      <c r="BZ4" s="872"/>
      <c r="CA4" s="872"/>
      <c r="CB4" s="872"/>
      <c r="CC4" s="872"/>
      <c r="CD4" s="872"/>
      <c r="CE4" s="872"/>
      <c r="CF4" s="877"/>
      <c r="CG4" s="872"/>
      <c r="CH4" s="872"/>
      <c r="CI4" s="872"/>
      <c r="CJ4" s="872"/>
      <c r="CK4" s="872"/>
      <c r="CL4" s="872"/>
      <c r="CM4" s="872"/>
      <c r="CN4" s="872"/>
      <c r="CO4" s="872"/>
      <c r="CP4" s="872"/>
      <c r="CQ4" s="872"/>
      <c r="CR4" s="872"/>
      <c r="CS4" s="872"/>
      <c r="CT4" s="872"/>
      <c r="CU4" s="872"/>
      <c r="CV4" s="872"/>
      <c r="CX4" s="872"/>
      <c r="CY4" s="872"/>
      <c r="CZ4" s="872"/>
      <c r="DB4" s="872"/>
      <c r="DC4" s="872"/>
      <c r="DD4" s="872"/>
      <c r="DE4" s="872"/>
      <c r="DF4" s="872"/>
      <c r="DG4" s="872"/>
      <c r="DH4" s="872"/>
      <c r="DI4" s="872"/>
      <c r="DJ4" s="872"/>
      <c r="DK4" s="872"/>
      <c r="DL4" s="872"/>
      <c r="DM4" s="872"/>
      <c r="DN4" s="872"/>
      <c r="DO4" s="872"/>
      <c r="DP4" s="872"/>
      <c r="DQ4" s="872"/>
      <c r="DR4" s="872"/>
      <c r="DS4" s="872"/>
      <c r="DT4" s="872"/>
      <c r="DV4" s="872"/>
      <c r="DW4" s="872"/>
      <c r="DX4" s="872"/>
      <c r="DY4" s="872"/>
      <c r="DZ4" s="872"/>
      <c r="EA4" s="872"/>
      <c r="EB4" s="872"/>
      <c r="EC4" s="872"/>
      <c r="ED4" s="872"/>
      <c r="EE4" s="872"/>
      <c r="EF4" s="872"/>
      <c r="EG4" s="872"/>
      <c r="EH4" s="872"/>
      <c r="EI4" s="872"/>
      <c r="EJ4" s="872"/>
      <c r="EK4" s="872"/>
      <c r="EL4" s="872"/>
      <c r="EM4" s="872"/>
      <c r="EN4" s="872"/>
      <c r="EO4" s="872"/>
      <c r="EP4" s="872"/>
      <c r="EQ4" s="872"/>
      <c r="ER4" s="872"/>
      <c r="ES4" s="872"/>
      <c r="ET4" s="872"/>
      <c r="EV4" s="872"/>
      <c r="EW4" s="872"/>
      <c r="EX4" s="872"/>
      <c r="EY4" s="872"/>
    </row>
    <row r="5" spans="1:161" ht="15.75" hidden="1" customHeight="1" x14ac:dyDescent="0.25">
      <c r="A5" s="878"/>
      <c r="B5" s="1107" t="s">
        <v>1215</v>
      </c>
      <c r="C5" s="1107"/>
      <c r="D5" s="1107"/>
      <c r="E5" s="1107"/>
      <c r="F5" s="1107"/>
      <c r="G5" s="1107"/>
      <c r="H5" s="1107"/>
      <c r="I5" s="1107"/>
      <c r="J5" s="1107"/>
      <c r="K5" s="1107"/>
      <c r="L5" s="1107"/>
      <c r="M5" s="1107"/>
      <c r="N5" s="1107"/>
      <c r="O5" s="1107"/>
      <c r="P5" s="1107"/>
      <c r="Q5" s="1107"/>
      <c r="R5" s="1107"/>
      <c r="S5" s="1107"/>
      <c r="T5" s="1107"/>
      <c r="U5" s="1107"/>
      <c r="V5" s="1107"/>
      <c r="W5" s="1107"/>
      <c r="X5" s="1107"/>
      <c r="Y5" s="1107"/>
      <c r="Z5" s="1107"/>
      <c r="AA5" s="1107"/>
      <c r="AB5" s="1107"/>
      <c r="AC5" s="1107"/>
      <c r="AD5" s="1107"/>
      <c r="AE5" s="1107"/>
      <c r="AF5" s="1107"/>
      <c r="AG5" s="1107"/>
      <c r="AH5" s="1107"/>
      <c r="AI5" s="1107"/>
      <c r="AJ5" s="1107"/>
      <c r="AK5" s="1107"/>
      <c r="AL5" s="1107"/>
      <c r="AM5" s="1107"/>
      <c r="AN5" s="1107"/>
      <c r="AO5" s="1107"/>
      <c r="AP5" s="1107"/>
      <c r="AQ5" s="1107"/>
      <c r="AR5" s="1107"/>
      <c r="AS5" s="872"/>
      <c r="AT5" s="872"/>
      <c r="AU5" s="879"/>
      <c r="AV5" s="879"/>
      <c r="AW5" s="872"/>
      <c r="AX5" s="872"/>
      <c r="AY5" s="872"/>
      <c r="AZ5" s="872"/>
      <c r="BA5" s="872"/>
      <c r="BB5" s="872"/>
      <c r="BC5" s="872"/>
      <c r="BD5" s="872"/>
      <c r="BE5" s="872"/>
      <c r="BF5" s="872"/>
      <c r="BG5" s="872"/>
      <c r="BH5" s="872"/>
      <c r="BI5" s="872"/>
      <c r="BJ5" s="872"/>
      <c r="BK5" s="872"/>
      <c r="BL5" s="872"/>
      <c r="BM5" s="872"/>
      <c r="BN5" s="872"/>
      <c r="BO5" s="872"/>
      <c r="BP5" s="875"/>
      <c r="BQ5" s="872"/>
      <c r="BR5" s="872"/>
      <c r="BS5" s="872"/>
      <c r="BU5" s="872"/>
      <c r="BV5" s="872"/>
      <c r="BW5" s="872"/>
      <c r="BX5" s="872"/>
      <c r="BY5" s="872"/>
      <c r="BZ5" s="872"/>
      <c r="CA5" s="872"/>
      <c r="CB5" s="872"/>
      <c r="CC5" s="872"/>
      <c r="CD5" s="872"/>
      <c r="CE5" s="872"/>
      <c r="CF5" s="877"/>
      <c r="CG5" s="872"/>
      <c r="CH5" s="872"/>
      <c r="CI5" s="872"/>
      <c r="CJ5" s="872"/>
      <c r="CK5" s="872"/>
      <c r="CL5" s="872"/>
      <c r="CM5" s="872"/>
      <c r="CN5" s="872"/>
      <c r="CO5" s="872"/>
      <c r="CP5" s="872"/>
      <c r="CQ5" s="872"/>
      <c r="CR5" s="872"/>
      <c r="CS5" s="872"/>
      <c r="CT5" s="872"/>
      <c r="CU5" s="872"/>
      <c r="CV5" s="872"/>
      <c r="CX5" s="872"/>
      <c r="CY5" s="872"/>
      <c r="CZ5" s="872"/>
      <c r="DB5" s="872"/>
      <c r="DC5" s="872"/>
      <c r="DD5" s="872"/>
      <c r="DE5" s="872"/>
      <c r="DF5" s="872"/>
      <c r="DG5" s="872"/>
      <c r="DH5" s="872"/>
      <c r="DI5" s="872"/>
      <c r="DJ5" s="872"/>
      <c r="DK5" s="872"/>
      <c r="DL5" s="872"/>
      <c r="DM5" s="872"/>
      <c r="DN5" s="872"/>
      <c r="DO5" s="872"/>
      <c r="DP5" s="872"/>
      <c r="DQ5" s="872"/>
      <c r="DR5" s="872"/>
      <c r="DS5" s="872"/>
      <c r="DT5" s="872"/>
      <c r="DV5" s="872"/>
      <c r="DW5" s="872"/>
      <c r="DX5" s="872"/>
      <c r="DY5" s="872"/>
      <c r="DZ5" s="872"/>
      <c r="EA5" s="872"/>
      <c r="EB5" s="872"/>
      <c r="EC5" s="872"/>
      <c r="ED5" s="872"/>
      <c r="EE5" s="872"/>
      <c r="EF5" s="872"/>
      <c r="EG5" s="872"/>
      <c r="EH5" s="872"/>
      <c r="EI5" s="872"/>
      <c r="EJ5" s="872"/>
      <c r="EK5" s="872"/>
      <c r="EL5" s="872"/>
      <c r="EM5" s="872"/>
      <c r="EN5" s="872"/>
      <c r="EO5" s="872"/>
      <c r="EP5" s="872"/>
      <c r="EQ5" s="872"/>
      <c r="ER5" s="872"/>
      <c r="ES5" s="872"/>
      <c r="ET5" s="872"/>
      <c r="EV5" s="872"/>
      <c r="EW5" s="872"/>
      <c r="EX5" s="872"/>
      <c r="EY5" s="872"/>
    </row>
    <row r="6" spans="1:161" ht="15.75" hidden="1" customHeight="1" x14ac:dyDescent="0.25">
      <c r="A6" s="878"/>
      <c r="B6" s="1107" t="s">
        <v>386</v>
      </c>
      <c r="C6" s="1107"/>
      <c r="D6" s="1107"/>
      <c r="E6" s="1107"/>
      <c r="F6" s="1107"/>
      <c r="G6" s="1107"/>
      <c r="H6" s="1107"/>
      <c r="I6" s="1107"/>
      <c r="J6" s="1107"/>
      <c r="K6" s="1107"/>
      <c r="L6" s="1107"/>
      <c r="M6" s="1107"/>
      <c r="N6" s="1107"/>
      <c r="O6" s="1107"/>
      <c r="P6" s="1107"/>
      <c r="Q6" s="1107"/>
      <c r="R6" s="1107"/>
      <c r="S6" s="1107"/>
      <c r="T6" s="1107"/>
      <c r="U6" s="1107"/>
      <c r="V6" s="1107"/>
      <c r="W6" s="1107"/>
      <c r="X6" s="1107"/>
      <c r="Y6" s="1107"/>
      <c r="Z6" s="1107"/>
      <c r="AA6" s="1107"/>
      <c r="AB6" s="1107"/>
      <c r="AC6" s="1107"/>
      <c r="AD6" s="1107"/>
      <c r="AE6" s="1107"/>
      <c r="AF6" s="1107"/>
      <c r="AG6" s="1107"/>
      <c r="AH6" s="1107"/>
      <c r="AI6" s="1107"/>
      <c r="AJ6" s="1107"/>
      <c r="AK6" s="1107"/>
      <c r="AL6" s="1107"/>
      <c r="AM6" s="1107"/>
      <c r="AN6" s="1107"/>
      <c r="AO6" s="1107"/>
      <c r="AP6" s="1107"/>
      <c r="AQ6" s="1107"/>
      <c r="AR6" s="1107"/>
      <c r="AS6" s="872"/>
      <c r="AT6" s="872"/>
      <c r="AU6" s="879"/>
      <c r="AV6" s="879"/>
      <c r="AW6" s="872"/>
      <c r="AX6" s="872"/>
      <c r="AY6" s="872"/>
      <c r="AZ6" s="872"/>
      <c r="BA6" s="872"/>
      <c r="BB6" s="872"/>
      <c r="BC6" s="872"/>
      <c r="BD6" s="872"/>
      <c r="BE6" s="872"/>
      <c r="BF6" s="872"/>
      <c r="BG6" s="872"/>
      <c r="BH6" s="872"/>
      <c r="BI6" s="872"/>
      <c r="BJ6" s="872"/>
      <c r="BK6" s="872"/>
      <c r="BL6" s="872"/>
      <c r="BM6" s="872"/>
      <c r="BN6" s="872"/>
      <c r="BO6" s="872"/>
      <c r="BP6" s="875"/>
      <c r="BQ6" s="872"/>
      <c r="BR6" s="872"/>
      <c r="BS6" s="872"/>
      <c r="BU6" s="872"/>
      <c r="BV6" s="872"/>
      <c r="BW6" s="872"/>
      <c r="BX6" s="872"/>
      <c r="BY6" s="872"/>
      <c r="BZ6" s="872"/>
      <c r="CA6" s="872"/>
      <c r="CB6" s="872"/>
      <c r="CC6" s="872"/>
      <c r="CD6" s="872"/>
      <c r="CE6" s="872"/>
      <c r="CF6" s="877"/>
      <c r="CG6" s="872"/>
      <c r="CH6" s="872"/>
      <c r="CI6" s="872"/>
      <c r="CJ6" s="872"/>
      <c r="CK6" s="872"/>
      <c r="CL6" s="872"/>
      <c r="CM6" s="872"/>
      <c r="CN6" s="872"/>
      <c r="CO6" s="872"/>
      <c r="CP6" s="872"/>
      <c r="CQ6" s="872"/>
      <c r="CR6" s="872"/>
      <c r="CS6" s="872"/>
      <c r="CT6" s="872"/>
      <c r="CU6" s="872"/>
      <c r="CV6" s="872"/>
      <c r="CX6" s="872"/>
      <c r="CY6" s="872"/>
      <c r="CZ6" s="872"/>
      <c r="DB6" s="872"/>
      <c r="DC6" s="872"/>
      <c r="DD6" s="872"/>
      <c r="DE6" s="872"/>
      <c r="DF6" s="872"/>
      <c r="DG6" s="872"/>
      <c r="DH6" s="872"/>
      <c r="DI6" s="872"/>
      <c r="DJ6" s="872"/>
      <c r="DK6" s="872"/>
      <c r="DL6" s="872"/>
      <c r="DM6" s="872"/>
      <c r="DN6" s="872"/>
      <c r="DO6" s="872"/>
      <c r="DP6" s="872"/>
      <c r="DQ6" s="872"/>
      <c r="DR6" s="872"/>
      <c r="DS6" s="872"/>
      <c r="DT6" s="872"/>
      <c r="DV6" s="872"/>
      <c r="DW6" s="872"/>
      <c r="DX6" s="872"/>
      <c r="DY6" s="872"/>
      <c r="DZ6" s="872"/>
      <c r="EA6" s="872"/>
      <c r="EB6" s="872"/>
      <c r="EC6" s="872"/>
      <c r="ED6" s="872"/>
      <c r="EE6" s="872"/>
      <c r="EF6" s="872"/>
      <c r="EG6" s="872"/>
      <c r="EH6" s="872"/>
      <c r="EI6" s="872"/>
      <c r="EJ6" s="872"/>
      <c r="EK6" s="872"/>
      <c r="EL6" s="872"/>
      <c r="EM6" s="872"/>
      <c r="EN6" s="872"/>
      <c r="EO6" s="872"/>
      <c r="EP6" s="872"/>
      <c r="EQ6" s="872"/>
      <c r="ER6" s="872"/>
      <c r="ES6" s="872"/>
      <c r="ET6" s="872"/>
      <c r="EV6" s="872"/>
      <c r="EW6" s="872"/>
      <c r="EX6" s="872"/>
      <c r="EY6" s="872"/>
    </row>
    <row r="7" spans="1:161" ht="15.75" x14ac:dyDescent="0.25">
      <c r="A7" s="880">
        <v>2024</v>
      </c>
      <c r="B7" s="881"/>
      <c r="C7" s="882"/>
      <c r="D7" s="883"/>
      <c r="E7" s="872"/>
      <c r="F7" s="872"/>
      <c r="G7" s="872"/>
      <c r="H7" s="883"/>
      <c r="I7" s="872"/>
      <c r="J7" s="873"/>
      <c r="K7" s="872"/>
      <c r="L7" s="872"/>
      <c r="M7" s="874"/>
      <c r="N7" s="872"/>
      <c r="O7" s="872"/>
      <c r="P7" s="874"/>
      <c r="Q7" s="872"/>
      <c r="R7" s="872"/>
      <c r="S7" s="874"/>
      <c r="T7" s="872"/>
      <c r="U7" s="872"/>
      <c r="V7" s="874"/>
      <c r="W7" s="872"/>
      <c r="X7" s="872"/>
      <c r="Y7" s="874"/>
      <c r="Z7" s="872"/>
      <c r="AA7" s="872"/>
      <c r="AB7" s="874"/>
      <c r="AC7" s="872"/>
      <c r="AD7" s="872"/>
      <c r="AE7" s="874"/>
      <c r="AF7" s="872"/>
      <c r="AG7" s="872"/>
      <c r="AH7" s="874"/>
      <c r="AI7" s="872"/>
      <c r="AJ7" s="872"/>
      <c r="AK7" s="874"/>
      <c r="AL7" s="872"/>
      <c r="AM7" s="872"/>
      <c r="AN7" s="872"/>
      <c r="AO7" s="872"/>
      <c r="AP7" s="872"/>
      <c r="AQ7" s="872"/>
      <c r="AR7" s="872"/>
      <c r="AS7" s="872"/>
      <c r="AT7" s="872"/>
      <c r="AU7" s="872"/>
      <c r="AV7" s="872"/>
      <c r="AW7" s="872"/>
      <c r="AX7" s="872"/>
      <c r="AY7" s="872"/>
      <c r="AZ7" s="872"/>
      <c r="BA7" s="872"/>
      <c r="BB7" s="872"/>
      <c r="BC7" s="872"/>
      <c r="BD7" s="872"/>
      <c r="BE7" s="872"/>
      <c r="BF7" s="872"/>
      <c r="BG7" s="872"/>
      <c r="BH7" s="872"/>
      <c r="BI7" s="872"/>
      <c r="BJ7" s="872"/>
      <c r="BK7" s="872"/>
      <c r="BL7" s="872"/>
      <c r="BM7" s="872"/>
      <c r="BN7" s="872"/>
      <c r="BO7" s="872"/>
      <c r="BP7" s="875"/>
      <c r="BQ7" s="872"/>
      <c r="BR7" s="872"/>
      <c r="BS7" s="872"/>
      <c r="BU7" s="872"/>
      <c r="BV7" s="872"/>
      <c r="BW7" s="872"/>
      <c r="BX7" s="872"/>
      <c r="BY7" s="872"/>
      <c r="BZ7" s="872"/>
      <c r="CA7" s="872"/>
      <c r="CB7" s="872"/>
      <c r="CC7" s="872"/>
      <c r="CD7" s="872"/>
      <c r="CE7" s="872"/>
      <c r="CF7" s="877"/>
      <c r="CG7" s="872"/>
      <c r="CH7" s="872"/>
      <c r="CI7" s="872"/>
      <c r="CJ7" s="872"/>
      <c r="CK7" s="872"/>
      <c r="CL7" s="872"/>
      <c r="CM7" s="872"/>
      <c r="CN7" s="872"/>
      <c r="CO7" s="872"/>
      <c r="CP7" s="872"/>
      <c r="CQ7" s="872"/>
      <c r="CR7" s="872"/>
      <c r="CS7" s="872"/>
      <c r="CT7" s="872"/>
      <c r="CU7" s="872"/>
      <c r="CV7" s="872"/>
      <c r="CX7" s="872"/>
      <c r="CY7" s="872"/>
      <c r="CZ7" s="872"/>
      <c r="DB7" s="1092" t="s">
        <v>1216</v>
      </c>
      <c r="DC7" s="1093"/>
      <c r="DD7" s="1093"/>
      <c r="DE7" s="1093"/>
      <c r="DF7" s="1093"/>
      <c r="DG7" s="1093"/>
      <c r="DH7" s="1093"/>
      <c r="DI7" s="1093"/>
      <c r="DJ7" s="1093"/>
      <c r="DK7" s="1093"/>
      <c r="DL7" s="1093"/>
      <c r="DM7" s="1093"/>
      <c r="DN7" s="1093"/>
      <c r="DO7" s="1093"/>
      <c r="DP7" s="1094"/>
      <c r="DQ7" s="1083" t="s">
        <v>1217</v>
      </c>
      <c r="DR7" s="1083"/>
      <c r="DS7" s="1083"/>
      <c r="DT7" s="1083"/>
      <c r="DV7" s="884" t="s">
        <v>1216</v>
      </c>
      <c r="DW7" s="885"/>
      <c r="DX7" s="885"/>
      <c r="DY7" s="885"/>
      <c r="DZ7" s="885"/>
      <c r="EA7" s="885"/>
      <c r="EB7" s="885"/>
      <c r="EC7" s="885"/>
      <c r="ED7" s="885"/>
      <c r="EE7" s="885"/>
      <c r="EF7" s="885"/>
      <c r="EG7" s="885"/>
      <c r="EH7" s="885"/>
      <c r="EI7" s="885"/>
      <c r="EJ7" s="885"/>
      <c r="EK7" s="885"/>
      <c r="EL7" s="885"/>
      <c r="EM7" s="885"/>
      <c r="EN7" s="885"/>
      <c r="EO7" s="885"/>
      <c r="EP7" s="886"/>
      <c r="EQ7" s="887"/>
      <c r="ER7" s="887"/>
      <c r="ES7" s="887"/>
      <c r="ET7" s="887"/>
      <c r="EV7" s="1083" t="s">
        <v>1217</v>
      </c>
      <c r="EW7" s="1083"/>
      <c r="EX7" s="1083"/>
      <c r="EY7" s="1083"/>
    </row>
    <row r="8" spans="1:161" ht="63.75" customHeight="1" x14ac:dyDescent="0.25">
      <c r="A8" s="1084" t="s">
        <v>387</v>
      </c>
      <c r="B8" s="1084" t="s">
        <v>388</v>
      </c>
      <c r="C8" s="1085" t="s">
        <v>1218</v>
      </c>
      <c r="D8" s="1086" t="s">
        <v>1219</v>
      </c>
      <c r="E8" s="1086"/>
      <c r="F8" s="1086"/>
      <c r="G8" s="1086"/>
      <c r="H8" s="1086"/>
      <c r="I8" s="1086"/>
      <c r="J8" s="1086"/>
      <c r="K8" s="1086"/>
      <c r="L8" s="1086"/>
      <c r="M8" s="1086"/>
      <c r="N8" s="1086"/>
      <c r="O8" s="1086"/>
      <c r="P8" s="1086"/>
      <c r="Q8" s="1086"/>
      <c r="R8" s="1086"/>
      <c r="S8" s="1086"/>
      <c r="T8" s="1086"/>
      <c r="U8" s="1086"/>
      <c r="V8" s="1086"/>
      <c r="W8" s="1086"/>
      <c r="X8" s="1086"/>
      <c r="Y8" s="1086"/>
      <c r="Z8" s="1086"/>
      <c r="AA8" s="1086"/>
      <c r="AB8" s="1086"/>
      <c r="AC8" s="1086"/>
      <c r="AD8" s="1086"/>
      <c r="AE8" s="1086"/>
      <c r="AF8" s="1086"/>
      <c r="AG8" s="1086"/>
      <c r="AH8" s="1086"/>
      <c r="AI8" s="1086"/>
      <c r="AJ8" s="1086"/>
      <c r="AK8" s="1086"/>
      <c r="AL8" s="1086"/>
      <c r="AM8" s="1086"/>
      <c r="AN8" s="1086"/>
      <c r="AO8" s="1086"/>
      <c r="AP8" s="1086"/>
      <c r="AQ8" s="1086"/>
      <c r="AR8" s="1086"/>
      <c r="AS8" s="1086"/>
      <c r="AT8" s="1086"/>
      <c r="AU8" s="1086"/>
      <c r="AV8" s="1086"/>
      <c r="AW8" s="1086"/>
      <c r="AX8" s="1086"/>
      <c r="AY8" s="1086"/>
      <c r="AZ8" s="1086"/>
      <c r="BA8" s="1086"/>
      <c r="BB8" s="1086"/>
      <c r="BC8" s="1086"/>
      <c r="BD8" s="1086"/>
      <c r="BE8" s="1086"/>
      <c r="BF8" s="1086"/>
      <c r="BG8" s="1086"/>
      <c r="BH8" s="1086"/>
      <c r="BI8" s="1086"/>
      <c r="BJ8" s="1086"/>
      <c r="BK8" s="1087" t="s">
        <v>1220</v>
      </c>
      <c r="BL8" s="1088"/>
      <c r="BM8" s="1089"/>
      <c r="BN8" s="1073" t="s">
        <v>1221</v>
      </c>
      <c r="BO8" s="1074"/>
      <c r="BP8" s="1075"/>
      <c r="BQ8" s="1073" t="s">
        <v>1222</v>
      </c>
      <c r="BR8" s="1074"/>
      <c r="BS8" s="1075"/>
      <c r="BU8" s="1090" t="s">
        <v>1223</v>
      </c>
      <c r="BV8" s="1091"/>
      <c r="BW8" s="1091"/>
      <c r="BX8" s="1091"/>
      <c r="BY8" s="1091"/>
      <c r="BZ8" s="1091"/>
      <c r="CA8" s="1091"/>
      <c r="CB8" s="1091"/>
      <c r="CC8" s="1091"/>
      <c r="CD8" s="1091"/>
      <c r="CE8" s="1091"/>
      <c r="CF8" s="1091"/>
      <c r="CG8" s="1095" t="s">
        <v>1224</v>
      </c>
      <c r="CH8" s="1096"/>
      <c r="CI8" s="1097"/>
      <c r="CJ8" s="1098" t="s">
        <v>1225</v>
      </c>
      <c r="CK8" s="1099"/>
      <c r="CL8" s="1100"/>
      <c r="CM8" s="1073" t="s">
        <v>1226</v>
      </c>
      <c r="CN8" s="1074"/>
      <c r="CO8" s="1075"/>
      <c r="CP8" s="1101" t="s">
        <v>1227</v>
      </c>
      <c r="CQ8" s="1102"/>
      <c r="CR8" s="1103"/>
      <c r="CS8" s="1104" t="s">
        <v>1228</v>
      </c>
      <c r="CT8" s="1105"/>
      <c r="CU8" s="1105"/>
      <c r="CV8" s="1106"/>
      <c r="CX8" s="1073" t="s">
        <v>1229</v>
      </c>
      <c r="CY8" s="1074"/>
      <c r="CZ8" s="1075"/>
      <c r="DB8" s="1077" t="s">
        <v>1230</v>
      </c>
      <c r="DC8" s="1078"/>
      <c r="DD8" s="1079"/>
      <c r="DE8" s="1077" t="s">
        <v>1231</v>
      </c>
      <c r="DF8" s="1078"/>
      <c r="DG8" s="1079"/>
      <c r="DH8" s="1077" t="s">
        <v>1232</v>
      </c>
      <c r="DI8" s="1078"/>
      <c r="DJ8" s="1079"/>
      <c r="DK8" s="1077" t="s">
        <v>1233</v>
      </c>
      <c r="DL8" s="1078"/>
      <c r="DM8" s="1079"/>
      <c r="DN8" s="1080" t="s">
        <v>1234</v>
      </c>
      <c r="DO8" s="1081"/>
      <c r="DP8" s="1082"/>
      <c r="DQ8" s="1076" t="s">
        <v>1235</v>
      </c>
      <c r="DR8" s="1076"/>
      <c r="DS8" s="1076"/>
      <c r="DT8" s="1076"/>
      <c r="DV8" s="1077" t="s">
        <v>1230</v>
      </c>
      <c r="DW8" s="1078"/>
      <c r="DX8" s="1078"/>
      <c r="DY8" s="1078"/>
      <c r="DZ8" s="1079"/>
      <c r="EA8" s="1077" t="s">
        <v>1231</v>
      </c>
      <c r="EB8" s="1078"/>
      <c r="EC8" s="1078"/>
      <c r="ED8" s="1078"/>
      <c r="EE8" s="1079"/>
      <c r="EF8" s="1077" t="s">
        <v>1232</v>
      </c>
      <c r="EG8" s="1078"/>
      <c r="EH8" s="1078"/>
      <c r="EI8" s="1078"/>
      <c r="EJ8" s="1079"/>
      <c r="EK8" s="1077" t="s">
        <v>1233</v>
      </c>
      <c r="EL8" s="1078"/>
      <c r="EM8" s="1078"/>
      <c r="EN8" s="1078"/>
      <c r="EO8" s="1079"/>
      <c r="EP8" s="1080" t="s">
        <v>1234</v>
      </c>
      <c r="EQ8" s="1081"/>
      <c r="ER8" s="1081"/>
      <c r="ES8" s="1081"/>
      <c r="ET8" s="1081"/>
      <c r="EV8" s="1076" t="s">
        <v>1235</v>
      </c>
      <c r="EW8" s="1076"/>
      <c r="EX8" s="1076"/>
      <c r="EY8" s="1076"/>
      <c r="FB8" s="990" t="s">
        <v>1432</v>
      </c>
      <c r="FC8" s="991" t="s">
        <v>1433</v>
      </c>
      <c r="FD8" s="990" t="s">
        <v>1434</v>
      </c>
      <c r="FE8" s="991" t="s">
        <v>1431</v>
      </c>
    </row>
    <row r="9" spans="1:161" ht="90" customHeight="1" x14ac:dyDescent="0.25">
      <c r="A9" s="1084"/>
      <c r="B9" s="1084"/>
      <c r="C9" s="1085"/>
      <c r="D9" s="888" t="s">
        <v>1236</v>
      </c>
      <c r="E9" s="888" t="s">
        <v>1237</v>
      </c>
      <c r="F9" s="888" t="s">
        <v>1238</v>
      </c>
      <c r="G9" s="888" t="s">
        <v>1239</v>
      </c>
      <c r="H9" s="888" t="s">
        <v>1240</v>
      </c>
      <c r="I9" s="889" t="s">
        <v>491</v>
      </c>
      <c r="J9" s="890" t="s">
        <v>699</v>
      </c>
      <c r="K9" s="889" t="s">
        <v>389</v>
      </c>
      <c r="L9" s="889" t="s">
        <v>1241</v>
      </c>
      <c r="M9" s="891" t="s">
        <v>699</v>
      </c>
      <c r="N9" s="889" t="s">
        <v>357</v>
      </c>
      <c r="O9" s="889" t="s">
        <v>1242</v>
      </c>
      <c r="P9" s="891" t="s">
        <v>699</v>
      </c>
      <c r="Q9" s="889" t="s">
        <v>492</v>
      </c>
      <c r="R9" s="889" t="s">
        <v>1243</v>
      </c>
      <c r="S9" s="891" t="s">
        <v>699</v>
      </c>
      <c r="T9" s="889" t="s">
        <v>1244</v>
      </c>
      <c r="U9" s="889" t="s">
        <v>1245</v>
      </c>
      <c r="V9" s="891" t="s">
        <v>699</v>
      </c>
      <c r="W9" s="889" t="s">
        <v>1246</v>
      </c>
      <c r="X9" s="889" t="s">
        <v>1247</v>
      </c>
      <c r="Y9" s="891" t="s">
        <v>699</v>
      </c>
      <c r="Z9" s="889" t="s">
        <v>1248</v>
      </c>
      <c r="AA9" s="889" t="s">
        <v>1249</v>
      </c>
      <c r="AB9" s="891" t="s">
        <v>699</v>
      </c>
      <c r="AC9" s="889" t="s">
        <v>390</v>
      </c>
      <c r="AD9" s="889" t="s">
        <v>1250</v>
      </c>
      <c r="AE9" s="891" t="s">
        <v>699</v>
      </c>
      <c r="AF9" s="889" t="s">
        <v>391</v>
      </c>
      <c r="AG9" s="889" t="s">
        <v>1251</v>
      </c>
      <c r="AH9" s="891" t="s">
        <v>699</v>
      </c>
      <c r="AI9" s="889" t="s">
        <v>392</v>
      </c>
      <c r="AJ9" s="889" t="s">
        <v>1252</v>
      </c>
      <c r="AK9" s="891" t="s">
        <v>699</v>
      </c>
      <c r="AL9" s="889" t="s">
        <v>393</v>
      </c>
      <c r="AM9" s="889" t="s">
        <v>1253</v>
      </c>
      <c r="AN9" s="889" t="s">
        <v>1254</v>
      </c>
      <c r="AO9" s="889" t="s">
        <v>1255</v>
      </c>
      <c r="AP9" s="889" t="s">
        <v>1256</v>
      </c>
      <c r="AQ9" s="888" t="s">
        <v>1257</v>
      </c>
      <c r="AR9" s="892" t="s">
        <v>394</v>
      </c>
      <c r="AS9" s="892" t="s">
        <v>395</v>
      </c>
      <c r="AT9" s="893" t="s">
        <v>396</v>
      </c>
      <c r="AU9" s="888" t="s">
        <v>1258</v>
      </c>
      <c r="AV9" s="888" t="s">
        <v>1259</v>
      </c>
      <c r="AW9" s="893" t="s">
        <v>396</v>
      </c>
      <c r="AX9" s="893" t="s">
        <v>397</v>
      </c>
      <c r="AY9" s="893" t="s">
        <v>700</v>
      </c>
      <c r="AZ9" s="893" t="s">
        <v>1260</v>
      </c>
      <c r="BA9" s="893" t="s">
        <v>1261</v>
      </c>
      <c r="BB9" s="893" t="s">
        <v>1262</v>
      </c>
      <c r="BC9" s="894" t="s">
        <v>1263</v>
      </c>
      <c r="BD9" s="893" t="s">
        <v>1264</v>
      </c>
      <c r="BE9" s="893" t="s">
        <v>1265</v>
      </c>
      <c r="BF9" s="893" t="s">
        <v>1266</v>
      </c>
      <c r="BG9" s="894" t="s">
        <v>686</v>
      </c>
      <c r="BH9" s="893" t="s">
        <v>1267</v>
      </c>
      <c r="BI9" s="893" t="s">
        <v>1268</v>
      </c>
      <c r="BJ9" s="893" t="s">
        <v>1269</v>
      </c>
      <c r="BK9" s="892" t="s">
        <v>1270</v>
      </c>
      <c r="BL9" s="892" t="s">
        <v>1271</v>
      </c>
      <c r="BM9" s="892" t="s">
        <v>1272</v>
      </c>
      <c r="BN9" s="893">
        <v>211</v>
      </c>
      <c r="BO9" s="893">
        <v>213</v>
      </c>
      <c r="BP9" s="893" t="s">
        <v>1273</v>
      </c>
      <c r="BQ9" s="893" t="s">
        <v>1274</v>
      </c>
      <c r="BR9" s="893" t="s">
        <v>1275</v>
      </c>
      <c r="BS9" s="893" t="s">
        <v>1273</v>
      </c>
      <c r="BU9" s="889" t="s">
        <v>1276</v>
      </c>
      <c r="BV9" s="889" t="s">
        <v>1277</v>
      </c>
      <c r="BW9" s="889" t="s">
        <v>1278</v>
      </c>
      <c r="BX9" s="889" t="s">
        <v>1279</v>
      </c>
      <c r="BY9" s="889" t="s">
        <v>1280</v>
      </c>
      <c r="BZ9" s="889" t="s">
        <v>1281</v>
      </c>
      <c r="CA9" s="889" t="s">
        <v>1282</v>
      </c>
      <c r="CB9" s="889" t="s">
        <v>1283</v>
      </c>
      <c r="CC9" s="889" t="s">
        <v>1284</v>
      </c>
      <c r="CD9" s="889" t="s">
        <v>1285</v>
      </c>
      <c r="CE9" s="889" t="s">
        <v>1286</v>
      </c>
      <c r="CF9" s="895" t="s">
        <v>1287</v>
      </c>
      <c r="CG9" s="896" t="s">
        <v>1288</v>
      </c>
      <c r="CH9" s="896" t="s">
        <v>1289</v>
      </c>
      <c r="CI9" s="896" t="s">
        <v>1290</v>
      </c>
      <c r="CJ9" s="893" t="s">
        <v>1274</v>
      </c>
      <c r="CK9" s="893" t="s">
        <v>1275</v>
      </c>
      <c r="CL9" s="893" t="s">
        <v>1273</v>
      </c>
      <c r="CM9" s="893" t="s">
        <v>1274</v>
      </c>
      <c r="CN9" s="893" t="s">
        <v>1275</v>
      </c>
      <c r="CO9" s="893" t="s">
        <v>1273</v>
      </c>
      <c r="CP9" s="893" t="s">
        <v>1274</v>
      </c>
      <c r="CQ9" s="893" t="s">
        <v>1275</v>
      </c>
      <c r="CR9" s="893" t="s">
        <v>1273</v>
      </c>
      <c r="CS9" s="889" t="s">
        <v>1283</v>
      </c>
      <c r="CT9" s="889" t="s">
        <v>1288</v>
      </c>
      <c r="CU9" s="889" t="s">
        <v>1291</v>
      </c>
      <c r="CV9" s="889" t="s">
        <v>1290</v>
      </c>
      <c r="CX9" s="893" t="s">
        <v>1274</v>
      </c>
      <c r="CY9" s="893" t="s">
        <v>1275</v>
      </c>
      <c r="CZ9" s="893" t="s">
        <v>1273</v>
      </c>
      <c r="DB9" s="893" t="s">
        <v>1274</v>
      </c>
      <c r="DC9" s="893" t="s">
        <v>1275</v>
      </c>
      <c r="DD9" s="893" t="s">
        <v>1273</v>
      </c>
      <c r="DE9" s="893" t="s">
        <v>1274</v>
      </c>
      <c r="DF9" s="893" t="s">
        <v>1275</v>
      </c>
      <c r="DG9" s="893" t="s">
        <v>1273</v>
      </c>
      <c r="DH9" s="893" t="s">
        <v>1274</v>
      </c>
      <c r="DI9" s="893" t="s">
        <v>1275</v>
      </c>
      <c r="DJ9" s="893" t="s">
        <v>1273</v>
      </c>
      <c r="DK9" s="893" t="s">
        <v>1274</v>
      </c>
      <c r="DL9" s="893" t="s">
        <v>1275</v>
      </c>
      <c r="DM9" s="893" t="s">
        <v>1273</v>
      </c>
      <c r="DN9" s="893" t="s">
        <v>1274</v>
      </c>
      <c r="DO9" s="893" t="s">
        <v>1275</v>
      </c>
      <c r="DP9" s="893" t="s">
        <v>1273</v>
      </c>
      <c r="DQ9" s="894" t="s">
        <v>1292</v>
      </c>
      <c r="DR9" s="893" t="s">
        <v>1274</v>
      </c>
      <c r="DS9" s="893" t="s">
        <v>1275</v>
      </c>
      <c r="DT9" s="893" t="s">
        <v>1273</v>
      </c>
      <c r="DV9" s="893" t="s">
        <v>285</v>
      </c>
      <c r="DW9" s="893" t="s">
        <v>1273</v>
      </c>
      <c r="DX9" s="893">
        <v>211</v>
      </c>
      <c r="DY9" s="893">
        <v>213</v>
      </c>
      <c r="DZ9" s="893" t="s">
        <v>1293</v>
      </c>
      <c r="EA9" s="893" t="s">
        <v>285</v>
      </c>
      <c r="EB9" s="893" t="s">
        <v>1273</v>
      </c>
      <c r="EC9" s="893">
        <v>211</v>
      </c>
      <c r="ED9" s="893">
        <v>213</v>
      </c>
      <c r="EE9" s="893" t="s">
        <v>1293</v>
      </c>
      <c r="EF9" s="893" t="s">
        <v>285</v>
      </c>
      <c r="EG9" s="893" t="s">
        <v>1273</v>
      </c>
      <c r="EH9" s="893">
        <v>211</v>
      </c>
      <c r="EI9" s="893">
        <v>213</v>
      </c>
      <c r="EJ9" s="893" t="s">
        <v>1293</v>
      </c>
      <c r="EK9" s="893" t="s">
        <v>285</v>
      </c>
      <c r="EL9" s="893" t="s">
        <v>1273</v>
      </c>
      <c r="EM9" s="893">
        <v>211</v>
      </c>
      <c r="EN9" s="893">
        <v>213</v>
      </c>
      <c r="EO9" s="893" t="s">
        <v>1293</v>
      </c>
      <c r="EP9" s="893" t="s">
        <v>285</v>
      </c>
      <c r="EQ9" s="893" t="s">
        <v>1273</v>
      </c>
      <c r="ER9" s="893">
        <v>211</v>
      </c>
      <c r="ES9" s="893">
        <v>213</v>
      </c>
      <c r="ET9" s="893" t="s">
        <v>1293</v>
      </c>
      <c r="EV9" s="894" t="s">
        <v>1292</v>
      </c>
      <c r="EW9" s="893" t="s">
        <v>1274</v>
      </c>
      <c r="EX9" s="893" t="s">
        <v>1275</v>
      </c>
      <c r="EY9" s="893" t="s">
        <v>1273</v>
      </c>
      <c r="FB9" s="991" t="s">
        <v>852</v>
      </c>
      <c r="FC9" s="991" t="s">
        <v>852</v>
      </c>
      <c r="FD9" s="991" t="s">
        <v>852</v>
      </c>
      <c r="FE9" s="991" t="s">
        <v>1435</v>
      </c>
    </row>
    <row r="10" spans="1:161" ht="41.25" customHeight="1" thickBot="1" x14ac:dyDescent="0.3">
      <c r="A10" s="897">
        <v>1</v>
      </c>
      <c r="B10" s="897">
        <v>2</v>
      </c>
      <c r="C10" s="898">
        <v>3</v>
      </c>
      <c r="D10" s="898" t="s">
        <v>1294</v>
      </c>
      <c r="E10" s="899" t="s">
        <v>1295</v>
      </c>
      <c r="F10" s="900" t="s">
        <v>1296</v>
      </c>
      <c r="G10" s="900" t="s">
        <v>1297</v>
      </c>
      <c r="H10" s="900" t="s">
        <v>1298</v>
      </c>
      <c r="I10" s="900" t="s">
        <v>1299</v>
      </c>
      <c r="J10" s="901" t="s">
        <v>1300</v>
      </c>
      <c r="K10" s="902">
        <v>11</v>
      </c>
      <c r="L10" s="900" t="s">
        <v>1301</v>
      </c>
      <c r="M10" s="901" t="s">
        <v>1302</v>
      </c>
      <c r="N10" s="902">
        <v>14</v>
      </c>
      <c r="O10" s="900" t="s">
        <v>1303</v>
      </c>
      <c r="P10" s="901" t="s">
        <v>1304</v>
      </c>
      <c r="Q10" s="902">
        <v>17</v>
      </c>
      <c r="R10" s="900" t="s">
        <v>1305</v>
      </c>
      <c r="S10" s="901" t="s">
        <v>1306</v>
      </c>
      <c r="T10" s="902">
        <v>20</v>
      </c>
      <c r="U10" s="900" t="s">
        <v>1307</v>
      </c>
      <c r="V10" s="901" t="s">
        <v>1308</v>
      </c>
      <c r="W10" s="902" t="s">
        <v>1309</v>
      </c>
      <c r="X10" s="900" t="s">
        <v>1310</v>
      </c>
      <c r="Y10" s="901" t="s">
        <v>1311</v>
      </c>
      <c r="Z10" s="902">
        <v>26</v>
      </c>
      <c r="AA10" s="900" t="s">
        <v>1312</v>
      </c>
      <c r="AB10" s="901" t="s">
        <v>1313</v>
      </c>
      <c r="AC10" s="902">
        <v>29</v>
      </c>
      <c r="AD10" s="900" t="s">
        <v>1314</v>
      </c>
      <c r="AE10" s="901" t="s">
        <v>1315</v>
      </c>
      <c r="AF10" s="902">
        <v>32</v>
      </c>
      <c r="AG10" s="900" t="s">
        <v>1316</v>
      </c>
      <c r="AH10" s="901" t="s">
        <v>1317</v>
      </c>
      <c r="AI10" s="902">
        <v>35</v>
      </c>
      <c r="AJ10" s="900" t="s">
        <v>1318</v>
      </c>
      <c r="AK10" s="901" t="s">
        <v>1319</v>
      </c>
      <c r="AL10" s="902">
        <v>38</v>
      </c>
      <c r="AM10" s="900" t="s">
        <v>1320</v>
      </c>
      <c r="AN10" s="902" t="s">
        <v>1321</v>
      </c>
      <c r="AO10" s="902" t="s">
        <v>1322</v>
      </c>
      <c r="AP10" s="902" t="s">
        <v>1323</v>
      </c>
      <c r="AQ10" s="900" t="s">
        <v>1324</v>
      </c>
      <c r="AR10" s="902" t="s">
        <v>1325</v>
      </c>
      <c r="AS10" s="902">
        <v>43</v>
      </c>
      <c r="AT10" s="902" t="s">
        <v>1326</v>
      </c>
      <c r="AU10" s="900" t="s">
        <v>1327</v>
      </c>
      <c r="AV10" s="900" t="s">
        <v>1328</v>
      </c>
      <c r="AW10" s="902" t="s">
        <v>1329</v>
      </c>
      <c r="AX10" s="902" t="s">
        <v>1330</v>
      </c>
      <c r="AY10" s="902" t="s">
        <v>1331</v>
      </c>
      <c r="AZ10" s="902" t="s">
        <v>1332</v>
      </c>
      <c r="BA10" s="902" t="s">
        <v>1333</v>
      </c>
      <c r="BB10" s="902" t="s">
        <v>1334</v>
      </c>
      <c r="BC10" s="900">
        <v>53</v>
      </c>
      <c r="BD10" s="902" t="s">
        <v>1335</v>
      </c>
      <c r="BE10" s="902" t="s">
        <v>1336</v>
      </c>
      <c r="BF10" s="902" t="s">
        <v>1337</v>
      </c>
      <c r="BG10" s="900">
        <v>57</v>
      </c>
      <c r="BH10" s="902" t="s">
        <v>1338</v>
      </c>
      <c r="BI10" s="902" t="s">
        <v>1339</v>
      </c>
      <c r="BJ10" s="902" t="s">
        <v>1340</v>
      </c>
      <c r="BK10" s="902" t="s">
        <v>1341</v>
      </c>
      <c r="BL10" s="902" t="s">
        <v>1342</v>
      </c>
      <c r="BM10" s="902" t="s">
        <v>1343</v>
      </c>
      <c r="BN10" s="902" t="s">
        <v>1344</v>
      </c>
      <c r="BO10" s="902" t="s">
        <v>1345</v>
      </c>
      <c r="BP10" s="902">
        <v>66</v>
      </c>
      <c r="BQ10" s="902" t="s">
        <v>1346</v>
      </c>
      <c r="BR10" s="902" t="s">
        <v>1347</v>
      </c>
      <c r="BS10" s="902" t="s">
        <v>1348</v>
      </c>
      <c r="BU10" s="902" t="s">
        <v>1349</v>
      </c>
      <c r="BV10" s="902" t="s">
        <v>1350</v>
      </c>
      <c r="BW10" s="902" t="s">
        <v>1351</v>
      </c>
      <c r="BX10" s="902" t="s">
        <v>1352</v>
      </c>
      <c r="BY10" s="902" t="s">
        <v>1353</v>
      </c>
      <c r="BZ10" s="902" t="s">
        <v>1354</v>
      </c>
      <c r="CA10" s="902" t="s">
        <v>1355</v>
      </c>
      <c r="CB10" s="902" t="s">
        <v>1356</v>
      </c>
      <c r="CC10" s="902" t="s">
        <v>1357</v>
      </c>
      <c r="CD10" s="902" t="s">
        <v>1358</v>
      </c>
      <c r="CE10" s="902" t="s">
        <v>1359</v>
      </c>
      <c r="CF10" s="903"/>
      <c r="CG10" s="902" t="s">
        <v>1360</v>
      </c>
      <c r="CH10" s="902" t="s">
        <v>1361</v>
      </c>
      <c r="CI10" s="902" t="s">
        <v>1362</v>
      </c>
      <c r="CJ10" s="902" t="s">
        <v>1363</v>
      </c>
      <c r="CK10" s="902" t="s">
        <v>1364</v>
      </c>
      <c r="CL10" s="902" t="s">
        <v>1365</v>
      </c>
      <c r="CM10" s="902">
        <v>87</v>
      </c>
      <c r="CN10" s="902" t="s">
        <v>1366</v>
      </c>
      <c r="CO10" s="902" t="s">
        <v>1367</v>
      </c>
      <c r="CP10" s="902" t="s">
        <v>1368</v>
      </c>
      <c r="CQ10" s="902" t="s">
        <v>1369</v>
      </c>
      <c r="CR10" s="902" t="s">
        <v>1370</v>
      </c>
      <c r="CS10" s="902">
        <v>93</v>
      </c>
      <c r="CT10" s="902" t="s">
        <v>1371</v>
      </c>
      <c r="CU10" s="902" t="s">
        <v>1372</v>
      </c>
      <c r="CV10" s="902" t="s">
        <v>1373</v>
      </c>
      <c r="CX10" s="902" t="s">
        <v>1374</v>
      </c>
      <c r="CY10" s="902" t="s">
        <v>1375</v>
      </c>
      <c r="CZ10" s="902" t="s">
        <v>1376</v>
      </c>
      <c r="DB10" s="902"/>
      <c r="DC10" s="902"/>
      <c r="DD10" s="902"/>
      <c r="DE10" s="902"/>
      <c r="DF10" s="902"/>
      <c r="DG10" s="902"/>
      <c r="DH10" s="902"/>
      <c r="DI10" s="902"/>
      <c r="DJ10" s="902"/>
      <c r="DK10" s="902"/>
      <c r="DL10" s="902"/>
      <c r="DM10" s="902"/>
      <c r="DN10" s="902"/>
      <c r="DO10" s="902"/>
      <c r="DP10" s="902"/>
      <c r="DQ10" s="900"/>
      <c r="DR10" s="902"/>
      <c r="DS10" s="902"/>
      <c r="DT10" s="902"/>
      <c r="DV10" s="902"/>
      <c r="DW10" s="902"/>
      <c r="DX10" s="902"/>
      <c r="DY10" s="902"/>
      <c r="DZ10" s="902"/>
      <c r="EA10" s="902"/>
      <c r="EB10" s="902"/>
      <c r="EC10" s="902"/>
      <c r="ED10" s="902"/>
      <c r="EE10" s="902"/>
      <c r="EF10" s="902"/>
      <c r="EG10" s="902"/>
      <c r="EH10" s="902"/>
      <c r="EI10" s="902"/>
      <c r="EJ10" s="902"/>
      <c r="EK10" s="902"/>
      <c r="EL10" s="902"/>
      <c r="EM10" s="902"/>
      <c r="EN10" s="902"/>
      <c r="EO10" s="902"/>
      <c r="EP10" s="902"/>
      <c r="EQ10" s="902"/>
      <c r="ER10" s="902"/>
      <c r="ES10" s="902"/>
      <c r="ET10" s="902"/>
      <c r="EV10" s="900"/>
      <c r="EW10" s="902"/>
      <c r="EX10" s="902"/>
      <c r="EY10" s="902"/>
    </row>
    <row r="11" spans="1:161" x14ac:dyDescent="0.25">
      <c r="A11" s="904"/>
      <c r="B11" s="905" t="s">
        <v>1377</v>
      </c>
      <c r="C11" s="906"/>
      <c r="D11" s="906"/>
      <c r="E11" s="907">
        <v>1.0549999999999999</v>
      </c>
      <c r="F11" s="906"/>
      <c r="G11" s="907">
        <f>4/100/12*3+1</f>
        <v>1.01</v>
      </c>
      <c r="H11" s="906"/>
      <c r="I11" s="906"/>
      <c r="J11" s="908"/>
      <c r="K11" s="904"/>
      <c r="L11" s="906"/>
      <c r="M11" s="908"/>
      <c r="N11" s="904"/>
      <c r="O11" s="906"/>
      <c r="P11" s="908"/>
      <c r="Q11" s="904"/>
      <c r="R11" s="906"/>
      <c r="S11" s="908"/>
      <c r="T11" s="904"/>
      <c r="U11" s="906"/>
      <c r="V11" s="908"/>
      <c r="W11" s="904"/>
      <c r="X11" s="906"/>
      <c r="Y11" s="908"/>
      <c r="Z11" s="904"/>
      <c r="AA11" s="906"/>
      <c r="AB11" s="908"/>
      <c r="AC11" s="904"/>
      <c r="AD11" s="906"/>
      <c r="AE11" s="908"/>
      <c r="AF11" s="904"/>
      <c r="AG11" s="906"/>
      <c r="AH11" s="908"/>
      <c r="AI11" s="904"/>
      <c r="AJ11" s="906"/>
      <c r="AK11" s="908"/>
      <c r="AL11" s="904"/>
      <c r="AM11" s="906"/>
      <c r="AN11" s="909">
        <v>19242</v>
      </c>
      <c r="AO11" s="904"/>
      <c r="AP11" s="909">
        <v>1060.29</v>
      </c>
      <c r="AQ11" s="906"/>
      <c r="AR11" s="904"/>
      <c r="AS11" s="904"/>
      <c r="AT11" s="904"/>
      <c r="AU11" s="906"/>
      <c r="AV11" s="906"/>
      <c r="AW11" s="904"/>
      <c r="AX11" s="904"/>
      <c r="AY11" s="904"/>
      <c r="AZ11" s="904"/>
      <c r="BA11" s="904"/>
      <c r="BB11" s="904"/>
      <c r="BC11" s="907">
        <v>0.95</v>
      </c>
      <c r="BD11" s="904"/>
      <c r="BE11" s="904"/>
      <c r="BF11" s="904"/>
      <c r="BG11" s="910">
        <f>'[3]свод (2024)'!$B$116</f>
        <v>0.99758349999999996</v>
      </c>
      <c r="BH11" s="904"/>
      <c r="BI11" s="904"/>
      <c r="BJ11" s="904"/>
      <c r="BK11" s="904"/>
      <c r="BL11" s="904"/>
      <c r="BM11" s="904"/>
      <c r="BN11" s="904"/>
      <c r="BO11" s="904"/>
      <c r="BP11" s="904"/>
      <c r="BQ11" s="904"/>
      <c r="BR11" s="904"/>
      <c r="BS11" s="904"/>
      <c r="BU11" s="904"/>
      <c r="BV11" s="904"/>
      <c r="BW11" s="904"/>
      <c r="BX11" s="904"/>
      <c r="BY11" s="904"/>
      <c r="BZ11" s="904"/>
      <c r="CA11" s="904"/>
      <c r="CB11" s="904"/>
      <c r="CC11" s="904"/>
      <c r="CD11" s="904"/>
      <c r="CE11" s="904"/>
      <c r="CF11" s="911"/>
      <c r="CG11" s="904"/>
      <c r="CH11" s="904"/>
      <c r="CI11" s="904"/>
      <c r="CJ11" s="904"/>
      <c r="CK11" s="904"/>
      <c r="CL11" s="904"/>
      <c r="CM11" s="904"/>
      <c r="CN11" s="904"/>
      <c r="CO11" s="904"/>
      <c r="CP11" s="904"/>
      <c r="CQ11" s="904"/>
      <c r="CR11" s="904"/>
      <c r="CS11" s="904"/>
      <c r="CT11" s="904"/>
      <c r="CU11" s="904"/>
      <c r="CV11" s="904"/>
      <c r="CX11" s="904"/>
      <c r="CY11" s="904"/>
      <c r="CZ11" s="904"/>
      <c r="DB11" s="904"/>
      <c r="DC11" s="904"/>
      <c r="DD11" s="904"/>
      <c r="DE11" s="904"/>
      <c r="DF11" s="904"/>
      <c r="DG11" s="904"/>
      <c r="DH11" s="904"/>
      <c r="DI11" s="904"/>
      <c r="DJ11" s="904"/>
      <c r="DK11" s="904"/>
      <c r="DL11" s="904"/>
      <c r="DM11" s="904"/>
      <c r="DN11" s="904"/>
      <c r="DO11" s="904"/>
      <c r="DP11" s="904"/>
      <c r="DQ11" s="910"/>
      <c r="DR11" s="904"/>
      <c r="DS11" s="904"/>
      <c r="DT11" s="904"/>
      <c r="DV11" s="904"/>
      <c r="DW11" s="904"/>
      <c r="DX11" s="904"/>
      <c r="DY11" s="904"/>
      <c r="DZ11" s="904"/>
      <c r="EA11" s="904"/>
      <c r="EB11" s="904"/>
      <c r="EC11" s="904"/>
      <c r="ED11" s="904"/>
      <c r="EE11" s="904"/>
      <c r="EF11" s="904"/>
      <c r="EG11" s="904"/>
      <c r="EH11" s="904"/>
      <c r="EI11" s="904"/>
      <c r="EJ11" s="904"/>
      <c r="EK11" s="904"/>
      <c r="EL11" s="904"/>
      <c r="EM11" s="904"/>
      <c r="EN11" s="904"/>
      <c r="EO11" s="904"/>
      <c r="EP11" s="904"/>
      <c r="EQ11" s="904"/>
      <c r="ER11" s="904"/>
      <c r="ES11" s="904"/>
      <c r="ET11" s="904"/>
      <c r="EV11" s="910"/>
      <c r="EW11" s="904"/>
      <c r="EX11" s="904"/>
      <c r="EY11" s="904"/>
    </row>
    <row r="12" spans="1:161" s="927" customFormat="1" ht="15.75" x14ac:dyDescent="0.25">
      <c r="A12" s="912" t="s">
        <v>359</v>
      </c>
      <c r="B12" s="913" t="s">
        <v>1378</v>
      </c>
      <c r="C12" s="914">
        <v>1.5</v>
      </c>
      <c r="D12" s="914">
        <v>7388</v>
      </c>
      <c r="E12" s="915">
        <v>1.0549999999999999</v>
      </c>
      <c r="F12" s="916">
        <f>ROUNDUP(D12*E12,0)</f>
        <v>7795</v>
      </c>
      <c r="G12" s="915">
        <v>1.01</v>
      </c>
      <c r="H12" s="916">
        <f>ROUNDUP(F12*G12,0)</f>
        <v>7873</v>
      </c>
      <c r="I12" s="917">
        <f>ROUND(C12*H12,2)</f>
        <v>11809.5</v>
      </c>
      <c r="J12" s="918">
        <f>IF(K12&gt;0,(ROUND(K12/($C12*$D12),5)),0)</f>
        <v>0</v>
      </c>
      <c r="K12" s="919"/>
      <c r="L12" s="917">
        <f>ROUND($I12*J12,2)</f>
        <v>0</v>
      </c>
      <c r="M12" s="918">
        <f>IF(N12&gt;0,(ROUND(N12/($C12*$D12),5)),0)</f>
        <v>0</v>
      </c>
      <c r="N12" s="919"/>
      <c r="O12" s="917">
        <f>ROUND($I12*M12,2)</f>
        <v>0</v>
      </c>
      <c r="P12" s="918">
        <f>IF(Q12&gt;0,(ROUND(Q12/($C12*$D12),5)),0)</f>
        <v>0</v>
      </c>
      <c r="Q12" s="919"/>
      <c r="R12" s="917">
        <f>ROUND($I12*P12,2)</f>
        <v>0</v>
      </c>
      <c r="S12" s="918">
        <f>IF(T12&gt;0,(ROUND(T12/($C12*$D12),5)),0)</f>
        <v>0.15332999999999999</v>
      </c>
      <c r="T12" s="919">
        <v>1699.24</v>
      </c>
      <c r="U12" s="917">
        <f>ROUND($I12*S12,2)</f>
        <v>1810.75</v>
      </c>
      <c r="V12" s="918">
        <f>IF(W12&gt;0,(ROUND(W12/($C12*$D12),5)),0)</f>
        <v>0</v>
      </c>
      <c r="W12" s="919"/>
      <c r="X12" s="917">
        <f>ROUND($I12*V12,2)</f>
        <v>0</v>
      </c>
      <c r="Y12" s="918">
        <f>IF(Z12&gt;0,(ROUND(Z12/($C12*$D12),5)),0)</f>
        <v>1.32</v>
      </c>
      <c r="Z12" s="919">
        <v>14628.24</v>
      </c>
      <c r="AA12" s="917">
        <f>ROUND($I12*Y12,2)</f>
        <v>15588.54</v>
      </c>
      <c r="AB12" s="918">
        <f>IF(AC12&gt;0,(ROUND(AC12/($C12*$D12),5)),0)</f>
        <v>0.2</v>
      </c>
      <c r="AC12" s="919">
        <v>2216.4</v>
      </c>
      <c r="AD12" s="917">
        <f>ROUND($I12*AB12,2)</f>
        <v>2361.9</v>
      </c>
      <c r="AE12" s="918">
        <f>IF(AF12&gt;0,(ROUND(AF12/($C12*$D12),5)),0)</f>
        <v>0</v>
      </c>
      <c r="AF12" s="919"/>
      <c r="AG12" s="917">
        <f>ROUND($I12*AE12,2)</f>
        <v>0</v>
      </c>
      <c r="AH12" s="918">
        <f>IF(AI12&gt;0,(ROUND(AI12/($C12*$D12),5)),0)</f>
        <v>0</v>
      </c>
      <c r="AI12" s="919"/>
      <c r="AJ12" s="917">
        <f>ROUND($I12*AH12,2)</f>
        <v>0</v>
      </c>
      <c r="AK12" s="918">
        <f>IF(AL12&gt;0,(ROUND(AL12/($C12*$D12),5)),0)</f>
        <v>0</v>
      </c>
      <c r="AL12" s="919"/>
      <c r="AM12" s="917">
        <f>ROUND($I12*AK12,2)</f>
        <v>0</v>
      </c>
      <c r="AN12" s="920">
        <v>19242</v>
      </c>
      <c r="AO12" s="917">
        <f>ROUND(IF(((I12+L12+O12+R12+U12+X12+AA12+AD12+AG12+AJ12+AM12)&gt;(AN12*C12)),0,((AN12*C12)-(I12+L12+O12+R12+U12+X12+AA12+AD12+AG12+AJ12+AM12))),2)</f>
        <v>0</v>
      </c>
      <c r="AP12" s="920"/>
      <c r="AQ12" s="916">
        <f>ROUND(C12*AP12,2)</f>
        <v>0</v>
      </c>
      <c r="AR12" s="917">
        <f>ROUND((I12+L12+O12+R12+U12+X12+AA12+AD12+AG12+AJ12+AM12+AO12+AQ12),2)</f>
        <v>31570.69</v>
      </c>
      <c r="AS12" s="916">
        <v>12</v>
      </c>
      <c r="AT12" s="921">
        <f>ROUND(AR12*AS12,2)</f>
        <v>378848.28</v>
      </c>
      <c r="AU12" s="920"/>
      <c r="AV12" s="922">
        <f>ROUND(AT12*0.01,2)</f>
        <v>3788.48</v>
      </c>
      <c r="AW12" s="921">
        <f>ROUND((AT12+AU12+AV12),2)</f>
        <v>382636.76</v>
      </c>
      <c r="AX12" s="921">
        <f>ROUND(AW12*0.302,2)</f>
        <v>115556.3</v>
      </c>
      <c r="AY12" s="921">
        <f>ROUND((AW12+AX12),2)</f>
        <v>498193.06</v>
      </c>
      <c r="AZ12" s="923">
        <f>ROUND(AW12/1000,1)</f>
        <v>382.6</v>
      </c>
      <c r="BA12" s="923">
        <f>ROUND(AZ12*0.302,1)</f>
        <v>115.5</v>
      </c>
      <c r="BB12" s="923">
        <f>ROUND((AZ12+BA12),1)</f>
        <v>498.1</v>
      </c>
      <c r="BC12" s="915">
        <v>0.95</v>
      </c>
      <c r="BD12" s="923">
        <f>ROUND(AZ12*BC12,1)</f>
        <v>363.5</v>
      </c>
      <c r="BE12" s="923">
        <f>ROUND(BD12*0.302,1)</f>
        <v>109.8</v>
      </c>
      <c r="BF12" s="923">
        <f>ROUND((BD12+BE12),1)</f>
        <v>473.3</v>
      </c>
      <c r="BG12" s="924">
        <f>'[3]свод (2024)'!$B$116</f>
        <v>0.99758349999999996</v>
      </c>
      <c r="BH12" s="923">
        <f>ROUND(BD12*BG12,1)</f>
        <v>362.6</v>
      </c>
      <c r="BI12" s="923">
        <f>ROUND(BH12*0.302,1)</f>
        <v>109.5</v>
      </c>
      <c r="BJ12" s="923">
        <f>ROUND((BH12+BI12),1)</f>
        <v>472.1</v>
      </c>
      <c r="BK12" s="925">
        <f>ROUND((BH12-AZ12),1)</f>
        <v>-20</v>
      </c>
      <c r="BL12" s="925">
        <f>ROUND((BI12-BA12),1)</f>
        <v>-6</v>
      </c>
      <c r="BM12" s="925">
        <f>ROUND((BK12+BL12),1)</f>
        <v>-26</v>
      </c>
      <c r="BN12" s="925">
        <f>ROUND(BP12/1.302,1)</f>
        <v>0</v>
      </c>
      <c r="BO12" s="925">
        <f>ROUND((BP12-BN12),1)</f>
        <v>0</v>
      </c>
      <c r="BP12" s="926"/>
      <c r="BQ12" s="925">
        <f>ROUND((BH12-BN12),1)</f>
        <v>362.6</v>
      </c>
      <c r="BR12" s="925">
        <f>ROUND((BI12-BO12),1)</f>
        <v>109.5</v>
      </c>
      <c r="BS12" s="925">
        <f>ROUND((BQ12+BR12),1)</f>
        <v>472.1</v>
      </c>
      <c r="BU12" s="928"/>
      <c r="BV12" s="917"/>
      <c r="BW12" s="928"/>
      <c r="BX12" s="928"/>
      <c r="BY12" s="928"/>
      <c r="BZ12" s="917"/>
      <c r="CA12" s="928"/>
      <c r="CB12" s="917"/>
      <c r="CC12" s="928"/>
      <c r="CD12" s="928"/>
      <c r="CE12" s="928"/>
      <c r="CF12" s="929"/>
      <c r="CG12" s="928"/>
      <c r="CH12" s="928"/>
      <c r="CI12" s="928"/>
      <c r="CJ12" s="925"/>
      <c r="CK12" s="925"/>
      <c r="CL12" s="925"/>
      <c r="CM12" s="925"/>
      <c r="CN12" s="925"/>
      <c r="CO12" s="925"/>
      <c r="CP12" s="925"/>
      <c r="CQ12" s="925"/>
      <c r="CR12" s="925"/>
      <c r="CS12" s="917"/>
      <c r="CT12" s="928"/>
      <c r="CU12" s="928"/>
      <c r="CV12" s="928"/>
      <c r="CX12" s="925"/>
      <c r="CY12" s="925"/>
      <c r="CZ12" s="925"/>
      <c r="DB12" s="925"/>
      <c r="DC12" s="925"/>
      <c r="DD12" s="925"/>
      <c r="DE12" s="925"/>
      <c r="DF12" s="925"/>
      <c r="DG12" s="925"/>
      <c r="DH12" s="925"/>
      <c r="DI12" s="925"/>
      <c r="DJ12" s="925"/>
      <c r="DK12" s="925"/>
      <c r="DL12" s="925"/>
      <c r="DM12" s="925"/>
      <c r="DN12" s="925"/>
      <c r="DO12" s="925"/>
      <c r="DP12" s="925"/>
      <c r="DQ12" s="924"/>
      <c r="DR12" s="925"/>
      <c r="DS12" s="925"/>
      <c r="DT12" s="925"/>
      <c r="DV12" s="925"/>
      <c r="DW12" s="925"/>
      <c r="DX12" s="925"/>
      <c r="DY12" s="925"/>
      <c r="DZ12" s="925"/>
      <c r="EA12" s="925"/>
      <c r="EB12" s="925"/>
      <c r="EC12" s="925"/>
      <c r="ED12" s="925"/>
      <c r="EE12" s="925"/>
      <c r="EF12" s="925"/>
      <c r="EG12" s="925"/>
      <c r="EH12" s="925"/>
      <c r="EI12" s="925"/>
      <c r="EJ12" s="925"/>
      <c r="EK12" s="925"/>
      <c r="EL12" s="925"/>
      <c r="EM12" s="925"/>
      <c r="EN12" s="925"/>
      <c r="EO12" s="925"/>
      <c r="EP12" s="925"/>
      <c r="EQ12" s="925"/>
      <c r="ER12" s="925"/>
      <c r="ES12" s="925"/>
      <c r="ET12" s="925"/>
      <c r="EV12" s="924"/>
      <c r="EW12" s="925"/>
      <c r="EX12" s="925"/>
      <c r="EY12" s="925"/>
    </row>
    <row r="13" spans="1:161" s="927" customFormat="1" ht="15.75" x14ac:dyDescent="0.25">
      <c r="A13" s="912" t="s">
        <v>359</v>
      </c>
      <c r="B13" s="913" t="s">
        <v>46</v>
      </c>
      <c r="C13" s="914">
        <v>1.5</v>
      </c>
      <c r="D13" s="914">
        <v>4336</v>
      </c>
      <c r="E13" s="915">
        <v>1.0549999999999999</v>
      </c>
      <c r="F13" s="916">
        <f t="shared" ref="F13:F112" si="0">ROUNDUP(D13*E13,0)</f>
        <v>4575</v>
      </c>
      <c r="G13" s="915">
        <v>1.01</v>
      </c>
      <c r="H13" s="916">
        <f t="shared" ref="H13:H112" si="1">ROUNDUP(F13*G13,0)</f>
        <v>4621</v>
      </c>
      <c r="I13" s="917">
        <f t="shared" ref="I13:I112" si="2">ROUND(C13*H13,2)</f>
        <v>6931.5</v>
      </c>
      <c r="J13" s="918">
        <f t="shared" ref="J13:J112" si="3">IF(K13&gt;0,(ROUND(K13/($C13*$D13),5)),0)</f>
        <v>0</v>
      </c>
      <c r="K13" s="919"/>
      <c r="L13" s="917">
        <f t="shared" ref="L13:L112" si="4">ROUND($I13*J13,2)</f>
        <v>0</v>
      </c>
      <c r="M13" s="918">
        <f t="shared" ref="M13:M112" si="5">IF(N13&gt;0,(ROUND(N13/($C13*$D13),5)),0)</f>
        <v>0</v>
      </c>
      <c r="N13" s="919"/>
      <c r="O13" s="917">
        <f t="shared" ref="O13:O112" si="6">ROUND($I13*M13,2)</f>
        <v>0</v>
      </c>
      <c r="P13" s="918">
        <f t="shared" ref="P13:P112" si="7">IF(Q13&gt;0,(ROUND(Q13/($C13*$D13),5)),0)</f>
        <v>0</v>
      </c>
      <c r="Q13" s="919"/>
      <c r="R13" s="917">
        <f t="shared" ref="R13:R112" si="8">ROUND($I13*P13,2)</f>
        <v>0</v>
      </c>
      <c r="S13" s="918">
        <f t="shared" ref="S13:S112" si="9">IF(T13&gt;0,(ROUND(T13/($C13*$D13),5)),0)</f>
        <v>0.5</v>
      </c>
      <c r="T13" s="919">
        <v>3252</v>
      </c>
      <c r="U13" s="917">
        <f t="shared" ref="U13:U112" si="10">ROUND($I13*S13,2)</f>
        <v>3465.75</v>
      </c>
      <c r="V13" s="918">
        <f t="shared" ref="V13:V112" si="11">IF(W13&gt;0,(ROUND(W13/($C13*$D13),5)),0)</f>
        <v>0</v>
      </c>
      <c r="W13" s="919"/>
      <c r="X13" s="917">
        <f t="shared" ref="X13:X112" si="12">ROUND($I13*V13,2)</f>
        <v>0</v>
      </c>
      <c r="Y13" s="918">
        <f t="shared" ref="Y13:Y112" si="13">IF(Z13&gt;0,(ROUND(Z13/($C13*$D13),5)),0)</f>
        <v>0</v>
      </c>
      <c r="Z13" s="919"/>
      <c r="AA13" s="917">
        <f t="shared" ref="AA13:AA112" si="14">ROUND($I13*Y13,2)</f>
        <v>0</v>
      </c>
      <c r="AB13" s="918">
        <f t="shared" ref="AB13:AB112" si="15">IF(AC13&gt;0,(ROUND(AC13/($C13*$D13),5)),0)</f>
        <v>0</v>
      </c>
      <c r="AC13" s="919"/>
      <c r="AD13" s="917">
        <f t="shared" ref="AD13:AD112" si="16">ROUND($I13*AB13,2)</f>
        <v>0</v>
      </c>
      <c r="AE13" s="918">
        <f t="shared" ref="AE13:AE112" si="17">IF(AF13&gt;0,(ROUND(AF13/($C13*$D13),5)),0)</f>
        <v>0</v>
      </c>
      <c r="AF13" s="919"/>
      <c r="AG13" s="917">
        <f t="shared" ref="AG13:AG112" si="18">ROUND($I13*AE13,2)</f>
        <v>0</v>
      </c>
      <c r="AH13" s="918">
        <f t="shared" ref="AH13:AH112" si="19">IF(AI13&gt;0,(ROUND(AI13/($C13*$D13),5)),0)</f>
        <v>0</v>
      </c>
      <c r="AI13" s="919"/>
      <c r="AJ13" s="917">
        <f t="shared" ref="AJ13:AJ112" si="20">ROUND($I13*AH13,2)</f>
        <v>0</v>
      </c>
      <c r="AK13" s="918">
        <f t="shared" ref="AK13:AK112" si="21">IF(AL13&gt;0,(ROUND(AL13/($C13*$D13),5)),0)</f>
        <v>0</v>
      </c>
      <c r="AL13" s="919"/>
      <c r="AM13" s="917">
        <f t="shared" ref="AM13:AM112" si="22">ROUND($I13*AK13,2)</f>
        <v>0</v>
      </c>
      <c r="AN13" s="920">
        <v>19242</v>
      </c>
      <c r="AO13" s="917">
        <f t="shared" ref="AO13:AO112" si="23">ROUND(IF(((I13+L13+O13+R13+U13+X13+AA13+AD13+AG13+AJ13+AM13)&gt;(AN13*C13)),0,((AN13*C13)-(I13+L13+O13+R13+U13+X13+AA13+AD13+AG13+AJ13+AM13))),2)</f>
        <v>18465.75</v>
      </c>
      <c r="AP13" s="920"/>
      <c r="AQ13" s="916">
        <f t="shared" ref="AQ13:AQ112" si="24">ROUND(C13*AP13,2)</f>
        <v>0</v>
      </c>
      <c r="AR13" s="917">
        <f t="shared" ref="AR13:AR112" si="25">ROUND((I13+L13+O13+R13+U13+X13+AA13+AD13+AG13+AJ13+AM13+AO13+AQ13),2)</f>
        <v>28863</v>
      </c>
      <c r="AS13" s="916">
        <v>12</v>
      </c>
      <c r="AT13" s="921">
        <f t="shared" ref="AT13:AT112" si="26">ROUND(AR13*AS13,2)</f>
        <v>346356</v>
      </c>
      <c r="AU13" s="920"/>
      <c r="AV13" s="922">
        <f t="shared" ref="AV13:AV112" si="27">ROUND(AT13*0.01,2)</f>
        <v>3463.56</v>
      </c>
      <c r="AW13" s="921">
        <f t="shared" ref="AW13:AW112" si="28">ROUND((AT13+AU13+AV13),2)</f>
        <v>349819.56</v>
      </c>
      <c r="AX13" s="921">
        <f t="shared" ref="AX13:AX112" si="29">ROUND(AW13*0.302,2)</f>
        <v>105645.51</v>
      </c>
      <c r="AY13" s="921">
        <f t="shared" ref="AY13:AY112" si="30">ROUND((AW13+AX13),2)</f>
        <v>455465.07</v>
      </c>
      <c r="AZ13" s="923">
        <f t="shared" ref="AZ13:AZ112" si="31">ROUND(AW13/1000,1)</f>
        <v>349.8</v>
      </c>
      <c r="BA13" s="923">
        <f t="shared" ref="BA13:BA112" si="32">ROUND(AZ13*0.302,1)</f>
        <v>105.6</v>
      </c>
      <c r="BB13" s="923">
        <f t="shared" ref="BB13:BB112" si="33">ROUND((AZ13+BA13),1)</f>
        <v>455.4</v>
      </c>
      <c r="BC13" s="915">
        <v>0.95</v>
      </c>
      <c r="BD13" s="923">
        <f t="shared" ref="BD13:BD112" si="34">ROUND(AZ13*BC13,1)</f>
        <v>332.3</v>
      </c>
      <c r="BE13" s="923">
        <f t="shared" ref="BE13:BE112" si="35">ROUND(BD13*0.302,1)</f>
        <v>100.4</v>
      </c>
      <c r="BF13" s="923">
        <f t="shared" ref="BF13:BF112" si="36">ROUND((BD13+BE13),1)</f>
        <v>432.7</v>
      </c>
      <c r="BG13" s="924">
        <f>'[3]свод (2024)'!$B$116</f>
        <v>0.99758349999999996</v>
      </c>
      <c r="BH13" s="923">
        <f t="shared" ref="BH13:BH112" si="37">ROUND(BD13*BG13,1)</f>
        <v>331.5</v>
      </c>
      <c r="BI13" s="923">
        <f t="shared" ref="BI13:BI112" si="38">ROUND(BH13*0.302,1)</f>
        <v>100.1</v>
      </c>
      <c r="BJ13" s="923">
        <f t="shared" ref="BJ13:BJ112" si="39">ROUND((BH13+BI13),1)</f>
        <v>431.6</v>
      </c>
      <c r="BK13" s="925">
        <f t="shared" ref="BK13:BL112" si="40">ROUND((BH13-AZ13),1)</f>
        <v>-18.3</v>
      </c>
      <c r="BL13" s="925">
        <f t="shared" si="40"/>
        <v>-5.5</v>
      </c>
      <c r="BM13" s="925">
        <f t="shared" ref="BM13:BM112" si="41">ROUND((BK13+BL13),1)</f>
        <v>-23.8</v>
      </c>
      <c r="BN13" s="925">
        <f t="shared" ref="BN13:BN112" si="42">ROUND(BP13/1.302,1)</f>
        <v>0</v>
      </c>
      <c r="BO13" s="925">
        <f t="shared" ref="BO13:BO112" si="43">ROUND((BP13-BN13),1)</f>
        <v>0</v>
      </c>
      <c r="BP13" s="926"/>
      <c r="BQ13" s="925">
        <f t="shared" ref="BQ13:BR112" si="44">ROUND((BH13-BN13),1)</f>
        <v>331.5</v>
      </c>
      <c r="BR13" s="925">
        <f t="shared" si="44"/>
        <v>100.1</v>
      </c>
      <c r="BS13" s="925">
        <f t="shared" ref="BS13:BS112" si="45">ROUND((BQ13+BR13),1)</f>
        <v>431.6</v>
      </c>
      <c r="BU13" s="928"/>
      <c r="BV13" s="917"/>
      <c r="BW13" s="928"/>
      <c r="BX13" s="928"/>
      <c r="BY13" s="928"/>
      <c r="BZ13" s="917"/>
      <c r="CA13" s="928"/>
      <c r="CB13" s="917"/>
      <c r="CC13" s="928"/>
      <c r="CD13" s="928"/>
      <c r="CE13" s="928"/>
      <c r="CF13" s="929"/>
      <c r="CG13" s="928"/>
      <c r="CH13" s="928"/>
      <c r="CI13" s="928"/>
      <c r="CJ13" s="925"/>
      <c r="CK13" s="925"/>
      <c r="CL13" s="925"/>
      <c r="CM13" s="925"/>
      <c r="CN13" s="925"/>
      <c r="CO13" s="925"/>
      <c r="CP13" s="925"/>
      <c r="CQ13" s="925"/>
      <c r="CR13" s="925"/>
      <c r="CS13" s="917"/>
      <c r="CT13" s="928"/>
      <c r="CU13" s="928"/>
      <c r="CV13" s="928"/>
      <c r="CX13" s="925"/>
      <c r="CY13" s="925"/>
      <c r="CZ13" s="925"/>
      <c r="DB13" s="925"/>
      <c r="DC13" s="925"/>
      <c r="DD13" s="925"/>
      <c r="DE13" s="925"/>
      <c r="DF13" s="925"/>
      <c r="DG13" s="925"/>
      <c r="DH13" s="925"/>
      <c r="DI13" s="925"/>
      <c r="DJ13" s="925"/>
      <c r="DK13" s="925"/>
      <c r="DL13" s="925"/>
      <c r="DM13" s="925"/>
      <c r="DN13" s="925"/>
      <c r="DO13" s="925"/>
      <c r="DP13" s="925"/>
      <c r="DQ13" s="924"/>
      <c r="DR13" s="925"/>
      <c r="DS13" s="925"/>
      <c r="DT13" s="925"/>
      <c r="DV13" s="925"/>
      <c r="DW13" s="925"/>
      <c r="DX13" s="925"/>
      <c r="DY13" s="925"/>
      <c r="DZ13" s="925"/>
      <c r="EA13" s="925"/>
      <c r="EB13" s="925"/>
      <c r="EC13" s="925"/>
      <c r="ED13" s="925"/>
      <c r="EE13" s="925"/>
      <c r="EF13" s="925"/>
      <c r="EG13" s="925"/>
      <c r="EH13" s="925"/>
      <c r="EI13" s="925"/>
      <c r="EJ13" s="925"/>
      <c r="EK13" s="925"/>
      <c r="EL13" s="925"/>
      <c r="EM13" s="925"/>
      <c r="EN13" s="925"/>
      <c r="EO13" s="925"/>
      <c r="EP13" s="925"/>
      <c r="EQ13" s="925"/>
      <c r="ER13" s="925"/>
      <c r="ES13" s="925"/>
      <c r="ET13" s="925"/>
      <c r="EV13" s="924"/>
      <c r="EW13" s="925"/>
      <c r="EX13" s="925"/>
      <c r="EY13" s="925"/>
    </row>
    <row r="14" spans="1:161" s="927" customFormat="1" ht="15.75" x14ac:dyDescent="0.25">
      <c r="A14" s="912" t="s">
        <v>359</v>
      </c>
      <c r="B14" s="913" t="s">
        <v>32</v>
      </c>
      <c r="C14" s="914">
        <v>1</v>
      </c>
      <c r="D14" s="914">
        <v>22542</v>
      </c>
      <c r="E14" s="915">
        <v>1.0549999999999999</v>
      </c>
      <c r="F14" s="916">
        <f t="shared" si="0"/>
        <v>23782</v>
      </c>
      <c r="G14" s="915">
        <v>1.01</v>
      </c>
      <c r="H14" s="916">
        <f t="shared" si="1"/>
        <v>24020</v>
      </c>
      <c r="I14" s="917">
        <f t="shared" si="2"/>
        <v>24020</v>
      </c>
      <c r="J14" s="918">
        <f t="shared" si="3"/>
        <v>0</v>
      </c>
      <c r="K14" s="919"/>
      <c r="L14" s="917">
        <f t="shared" si="4"/>
        <v>0</v>
      </c>
      <c r="M14" s="918">
        <f t="shared" si="5"/>
        <v>0</v>
      </c>
      <c r="N14" s="919"/>
      <c r="O14" s="917">
        <f t="shared" si="6"/>
        <v>0</v>
      </c>
      <c r="P14" s="918">
        <f t="shared" si="7"/>
        <v>0</v>
      </c>
      <c r="Q14" s="919"/>
      <c r="R14" s="917">
        <f t="shared" si="8"/>
        <v>0</v>
      </c>
      <c r="S14" s="918">
        <f t="shared" si="9"/>
        <v>0</v>
      </c>
      <c r="T14" s="919"/>
      <c r="U14" s="917">
        <f t="shared" si="10"/>
        <v>0</v>
      </c>
      <c r="V14" s="918">
        <f t="shared" si="11"/>
        <v>0</v>
      </c>
      <c r="W14" s="919"/>
      <c r="X14" s="917">
        <f t="shared" si="12"/>
        <v>0</v>
      </c>
      <c r="Y14" s="918">
        <f t="shared" si="13"/>
        <v>0.35</v>
      </c>
      <c r="Z14" s="919">
        <v>7889.7</v>
      </c>
      <c r="AA14" s="917">
        <f t="shared" si="14"/>
        <v>8407</v>
      </c>
      <c r="AB14" s="918">
        <f t="shared" si="15"/>
        <v>0.2</v>
      </c>
      <c r="AC14" s="919">
        <v>4508.3999999999996</v>
      </c>
      <c r="AD14" s="917">
        <f t="shared" si="16"/>
        <v>4804</v>
      </c>
      <c r="AE14" s="918">
        <f t="shared" si="17"/>
        <v>0</v>
      </c>
      <c r="AF14" s="919"/>
      <c r="AG14" s="917">
        <f t="shared" si="18"/>
        <v>0</v>
      </c>
      <c r="AH14" s="918">
        <f t="shared" si="19"/>
        <v>0</v>
      </c>
      <c r="AI14" s="919"/>
      <c r="AJ14" s="917">
        <f t="shared" si="20"/>
        <v>0</v>
      </c>
      <c r="AK14" s="918">
        <f t="shared" si="21"/>
        <v>0</v>
      </c>
      <c r="AL14" s="919"/>
      <c r="AM14" s="917">
        <f t="shared" si="22"/>
        <v>0</v>
      </c>
      <c r="AN14" s="920">
        <v>19242</v>
      </c>
      <c r="AO14" s="917">
        <f t="shared" si="23"/>
        <v>0</v>
      </c>
      <c r="AP14" s="920"/>
      <c r="AQ14" s="916">
        <f t="shared" si="24"/>
        <v>0</v>
      </c>
      <c r="AR14" s="917">
        <f t="shared" si="25"/>
        <v>37231</v>
      </c>
      <c r="AS14" s="916">
        <v>12</v>
      </c>
      <c r="AT14" s="921">
        <f t="shared" si="26"/>
        <v>446772</v>
      </c>
      <c r="AU14" s="920"/>
      <c r="AV14" s="922">
        <f t="shared" si="27"/>
        <v>4467.72</v>
      </c>
      <c r="AW14" s="921">
        <f t="shared" si="28"/>
        <v>451239.72</v>
      </c>
      <c r="AX14" s="921">
        <f t="shared" si="29"/>
        <v>136274.4</v>
      </c>
      <c r="AY14" s="921">
        <f t="shared" si="30"/>
        <v>587514.12</v>
      </c>
      <c r="AZ14" s="923">
        <f t="shared" si="31"/>
        <v>451.2</v>
      </c>
      <c r="BA14" s="923">
        <f t="shared" si="32"/>
        <v>136.30000000000001</v>
      </c>
      <c r="BB14" s="923">
        <f t="shared" si="33"/>
        <v>587.5</v>
      </c>
      <c r="BC14" s="915">
        <v>0.95</v>
      </c>
      <c r="BD14" s="923">
        <f t="shared" si="34"/>
        <v>428.6</v>
      </c>
      <c r="BE14" s="923">
        <f t="shared" si="35"/>
        <v>129.4</v>
      </c>
      <c r="BF14" s="923">
        <f t="shared" si="36"/>
        <v>558</v>
      </c>
      <c r="BG14" s="924">
        <f>'[3]свод (2024)'!$B$116</f>
        <v>0.99758349999999996</v>
      </c>
      <c r="BH14" s="923">
        <f t="shared" si="37"/>
        <v>427.6</v>
      </c>
      <c r="BI14" s="923">
        <f t="shared" si="38"/>
        <v>129.1</v>
      </c>
      <c r="BJ14" s="923">
        <f t="shared" si="39"/>
        <v>556.70000000000005</v>
      </c>
      <c r="BK14" s="925">
        <f t="shared" si="40"/>
        <v>-23.6</v>
      </c>
      <c r="BL14" s="925">
        <f t="shared" si="40"/>
        <v>-7.2</v>
      </c>
      <c r="BM14" s="925">
        <f t="shared" si="41"/>
        <v>-30.8</v>
      </c>
      <c r="BN14" s="925">
        <f t="shared" si="42"/>
        <v>0</v>
      </c>
      <c r="BO14" s="925">
        <f t="shared" si="43"/>
        <v>0</v>
      </c>
      <c r="BP14" s="926"/>
      <c r="BQ14" s="925">
        <f t="shared" si="44"/>
        <v>427.6</v>
      </c>
      <c r="BR14" s="925">
        <f t="shared" si="44"/>
        <v>129.1</v>
      </c>
      <c r="BS14" s="925">
        <f t="shared" si="45"/>
        <v>556.70000000000005</v>
      </c>
      <c r="BU14" s="928"/>
      <c r="BV14" s="917"/>
      <c r="BW14" s="928"/>
      <c r="BX14" s="928"/>
      <c r="BY14" s="928"/>
      <c r="BZ14" s="917"/>
      <c r="CA14" s="928"/>
      <c r="CB14" s="917"/>
      <c r="CC14" s="928"/>
      <c r="CD14" s="928"/>
      <c r="CE14" s="928"/>
      <c r="CF14" s="929"/>
      <c r="CG14" s="928"/>
      <c r="CH14" s="928"/>
      <c r="CI14" s="928"/>
      <c r="CJ14" s="925"/>
      <c r="CK14" s="925"/>
      <c r="CL14" s="925"/>
      <c r="CM14" s="925"/>
      <c r="CN14" s="925"/>
      <c r="CO14" s="925"/>
      <c r="CP14" s="925"/>
      <c r="CQ14" s="925"/>
      <c r="CR14" s="925"/>
      <c r="CS14" s="917"/>
      <c r="CT14" s="928"/>
      <c r="CU14" s="928"/>
      <c r="CV14" s="928"/>
      <c r="CX14" s="925"/>
      <c r="CY14" s="925"/>
      <c r="CZ14" s="925"/>
      <c r="DB14" s="925"/>
      <c r="DC14" s="925"/>
      <c r="DD14" s="925"/>
      <c r="DE14" s="925"/>
      <c r="DF14" s="925"/>
      <c r="DG14" s="925"/>
      <c r="DH14" s="925"/>
      <c r="DI14" s="925"/>
      <c r="DJ14" s="925"/>
      <c r="DK14" s="925"/>
      <c r="DL14" s="925"/>
      <c r="DM14" s="925"/>
      <c r="DN14" s="925"/>
      <c r="DO14" s="925"/>
      <c r="DP14" s="925"/>
      <c r="DQ14" s="924"/>
      <c r="DR14" s="925"/>
      <c r="DS14" s="925"/>
      <c r="DT14" s="925"/>
      <c r="DV14" s="925"/>
      <c r="DW14" s="925"/>
      <c r="DX14" s="925"/>
      <c r="DY14" s="925"/>
      <c r="DZ14" s="925"/>
      <c r="EA14" s="925"/>
      <c r="EB14" s="925"/>
      <c r="EC14" s="925"/>
      <c r="ED14" s="925"/>
      <c r="EE14" s="925"/>
      <c r="EF14" s="925"/>
      <c r="EG14" s="925"/>
      <c r="EH14" s="925"/>
      <c r="EI14" s="925"/>
      <c r="EJ14" s="925"/>
      <c r="EK14" s="925"/>
      <c r="EL14" s="925"/>
      <c r="EM14" s="925"/>
      <c r="EN14" s="925"/>
      <c r="EO14" s="925"/>
      <c r="EP14" s="925"/>
      <c r="EQ14" s="925"/>
      <c r="ER14" s="925"/>
      <c r="ES14" s="925"/>
      <c r="ET14" s="925"/>
      <c r="EV14" s="924"/>
      <c r="EW14" s="925"/>
      <c r="EX14" s="925"/>
      <c r="EY14" s="925"/>
    </row>
    <row r="15" spans="1:161" s="927" customFormat="1" ht="15.75" x14ac:dyDescent="0.25">
      <c r="A15" s="912" t="s">
        <v>359</v>
      </c>
      <c r="B15" s="913" t="s">
        <v>1379</v>
      </c>
      <c r="C15" s="914">
        <v>2.25</v>
      </c>
      <c r="D15" s="914">
        <v>4336</v>
      </c>
      <c r="E15" s="915">
        <v>1.0549999999999999</v>
      </c>
      <c r="F15" s="916">
        <f t="shared" si="0"/>
        <v>4575</v>
      </c>
      <c r="G15" s="915">
        <v>1.01</v>
      </c>
      <c r="H15" s="916">
        <f t="shared" si="1"/>
        <v>4621</v>
      </c>
      <c r="I15" s="917">
        <f t="shared" si="2"/>
        <v>10397.25</v>
      </c>
      <c r="J15" s="918">
        <f t="shared" si="3"/>
        <v>0</v>
      </c>
      <c r="K15" s="919"/>
      <c r="L15" s="917">
        <f t="shared" si="4"/>
        <v>0</v>
      </c>
      <c r="M15" s="918">
        <f t="shared" si="5"/>
        <v>0</v>
      </c>
      <c r="N15" s="919"/>
      <c r="O15" s="917">
        <f t="shared" si="6"/>
        <v>0</v>
      </c>
      <c r="P15" s="918">
        <f t="shared" si="7"/>
        <v>0</v>
      </c>
      <c r="Q15" s="919"/>
      <c r="R15" s="917">
        <f t="shared" si="8"/>
        <v>0</v>
      </c>
      <c r="S15" s="918">
        <f t="shared" si="9"/>
        <v>0.55556000000000005</v>
      </c>
      <c r="T15" s="919">
        <v>5420</v>
      </c>
      <c r="U15" s="917">
        <f t="shared" si="10"/>
        <v>5776.3</v>
      </c>
      <c r="V15" s="918">
        <f t="shared" si="11"/>
        <v>0</v>
      </c>
      <c r="W15" s="919"/>
      <c r="X15" s="917">
        <f t="shared" si="12"/>
        <v>0</v>
      </c>
      <c r="Y15" s="918">
        <f t="shared" si="13"/>
        <v>0</v>
      </c>
      <c r="Z15" s="919"/>
      <c r="AA15" s="917">
        <f t="shared" si="14"/>
        <v>0</v>
      </c>
      <c r="AB15" s="918">
        <f t="shared" si="15"/>
        <v>0</v>
      </c>
      <c r="AC15" s="919"/>
      <c r="AD15" s="917">
        <f t="shared" si="16"/>
        <v>0</v>
      </c>
      <c r="AE15" s="918">
        <f t="shared" si="17"/>
        <v>0</v>
      </c>
      <c r="AF15" s="919"/>
      <c r="AG15" s="917">
        <f t="shared" si="18"/>
        <v>0</v>
      </c>
      <c r="AH15" s="918">
        <f t="shared" si="19"/>
        <v>0</v>
      </c>
      <c r="AI15" s="919"/>
      <c r="AJ15" s="917">
        <f t="shared" si="20"/>
        <v>0</v>
      </c>
      <c r="AK15" s="918">
        <f t="shared" si="21"/>
        <v>0</v>
      </c>
      <c r="AL15" s="919"/>
      <c r="AM15" s="917">
        <f t="shared" si="22"/>
        <v>0</v>
      </c>
      <c r="AN15" s="920">
        <v>19242</v>
      </c>
      <c r="AO15" s="917">
        <f t="shared" si="23"/>
        <v>27120.95</v>
      </c>
      <c r="AP15" s="920"/>
      <c r="AQ15" s="916">
        <f t="shared" si="24"/>
        <v>0</v>
      </c>
      <c r="AR15" s="917">
        <f t="shared" si="25"/>
        <v>43294.5</v>
      </c>
      <c r="AS15" s="916">
        <v>12</v>
      </c>
      <c r="AT15" s="921">
        <f t="shared" si="26"/>
        <v>519534</v>
      </c>
      <c r="AU15" s="920">
        <f>AT15*0.085</f>
        <v>44160.39</v>
      </c>
      <c r="AV15" s="922">
        <f t="shared" si="27"/>
        <v>5195.34</v>
      </c>
      <c r="AW15" s="921">
        <f t="shared" si="28"/>
        <v>568889.73</v>
      </c>
      <c r="AX15" s="921">
        <f t="shared" si="29"/>
        <v>171804.7</v>
      </c>
      <c r="AY15" s="921">
        <f t="shared" si="30"/>
        <v>740694.43</v>
      </c>
      <c r="AZ15" s="923">
        <f t="shared" si="31"/>
        <v>568.9</v>
      </c>
      <c r="BA15" s="923">
        <f t="shared" si="32"/>
        <v>171.8</v>
      </c>
      <c r="BB15" s="923">
        <f t="shared" si="33"/>
        <v>740.7</v>
      </c>
      <c r="BC15" s="915">
        <v>0.95</v>
      </c>
      <c r="BD15" s="923">
        <f t="shared" si="34"/>
        <v>540.5</v>
      </c>
      <c r="BE15" s="923">
        <f t="shared" si="35"/>
        <v>163.19999999999999</v>
      </c>
      <c r="BF15" s="923">
        <f t="shared" si="36"/>
        <v>703.7</v>
      </c>
      <c r="BG15" s="924">
        <f>'[3]свод (2024)'!$B$116</f>
        <v>0.99758349999999996</v>
      </c>
      <c r="BH15" s="923">
        <f t="shared" si="37"/>
        <v>539.20000000000005</v>
      </c>
      <c r="BI15" s="923">
        <f t="shared" si="38"/>
        <v>162.80000000000001</v>
      </c>
      <c r="BJ15" s="923">
        <f t="shared" si="39"/>
        <v>702</v>
      </c>
      <c r="BK15" s="925">
        <f t="shared" si="40"/>
        <v>-29.7</v>
      </c>
      <c r="BL15" s="925">
        <f t="shared" si="40"/>
        <v>-9</v>
      </c>
      <c r="BM15" s="925">
        <f t="shared" si="41"/>
        <v>-38.700000000000003</v>
      </c>
      <c r="BN15" s="925">
        <f t="shared" si="42"/>
        <v>0</v>
      </c>
      <c r="BO15" s="925">
        <f t="shared" si="43"/>
        <v>0</v>
      </c>
      <c r="BP15" s="926"/>
      <c r="BQ15" s="925">
        <f t="shared" si="44"/>
        <v>539.20000000000005</v>
      </c>
      <c r="BR15" s="925">
        <f t="shared" si="44"/>
        <v>162.80000000000001</v>
      </c>
      <c r="BS15" s="925">
        <f t="shared" si="45"/>
        <v>702</v>
      </c>
      <c r="BU15" s="928"/>
      <c r="BV15" s="917"/>
      <c r="BW15" s="928"/>
      <c r="BX15" s="928"/>
      <c r="BY15" s="928"/>
      <c r="BZ15" s="917"/>
      <c r="CA15" s="928"/>
      <c r="CB15" s="917"/>
      <c r="CC15" s="928"/>
      <c r="CD15" s="928"/>
      <c r="CE15" s="928"/>
      <c r="CF15" s="929"/>
      <c r="CG15" s="928"/>
      <c r="CH15" s="928"/>
      <c r="CI15" s="928"/>
      <c r="CJ15" s="925"/>
      <c r="CK15" s="925"/>
      <c r="CL15" s="925"/>
      <c r="CM15" s="925"/>
      <c r="CN15" s="925"/>
      <c r="CO15" s="925"/>
      <c r="CP15" s="925"/>
      <c r="CQ15" s="925"/>
      <c r="CR15" s="925"/>
      <c r="CS15" s="917"/>
      <c r="CT15" s="928"/>
      <c r="CU15" s="928"/>
      <c r="CV15" s="928"/>
      <c r="CX15" s="925"/>
      <c r="CY15" s="925"/>
      <c r="CZ15" s="925"/>
      <c r="DB15" s="925"/>
      <c r="DC15" s="925"/>
      <c r="DD15" s="925"/>
      <c r="DE15" s="925"/>
      <c r="DF15" s="925"/>
      <c r="DG15" s="925"/>
      <c r="DH15" s="925"/>
      <c r="DI15" s="925"/>
      <c r="DJ15" s="925"/>
      <c r="DK15" s="925"/>
      <c r="DL15" s="925"/>
      <c r="DM15" s="925"/>
      <c r="DN15" s="925"/>
      <c r="DO15" s="925"/>
      <c r="DP15" s="925"/>
      <c r="DQ15" s="924"/>
      <c r="DR15" s="925"/>
      <c r="DS15" s="925"/>
      <c r="DT15" s="925"/>
      <c r="DV15" s="925"/>
      <c r="DW15" s="925"/>
      <c r="DX15" s="925"/>
      <c r="DY15" s="925"/>
      <c r="DZ15" s="925"/>
      <c r="EA15" s="925"/>
      <c r="EB15" s="925"/>
      <c r="EC15" s="925"/>
      <c r="ED15" s="925"/>
      <c r="EE15" s="925"/>
      <c r="EF15" s="925"/>
      <c r="EG15" s="925"/>
      <c r="EH15" s="925"/>
      <c r="EI15" s="925"/>
      <c r="EJ15" s="925"/>
      <c r="EK15" s="925"/>
      <c r="EL15" s="925"/>
      <c r="EM15" s="925"/>
      <c r="EN15" s="925"/>
      <c r="EO15" s="925"/>
      <c r="EP15" s="925"/>
      <c r="EQ15" s="925"/>
      <c r="ER15" s="925"/>
      <c r="ES15" s="925"/>
      <c r="ET15" s="925"/>
      <c r="EV15" s="924"/>
      <c r="EW15" s="925"/>
      <c r="EX15" s="925"/>
      <c r="EY15" s="925"/>
    </row>
    <row r="16" spans="1:161" s="927" customFormat="1" ht="15.75" x14ac:dyDescent="0.25">
      <c r="A16" s="912" t="s">
        <v>359</v>
      </c>
      <c r="B16" s="913" t="s">
        <v>358</v>
      </c>
      <c r="C16" s="914">
        <v>0.5</v>
      </c>
      <c r="D16" s="914">
        <v>5274</v>
      </c>
      <c r="E16" s="915">
        <v>1.0549999999999999</v>
      </c>
      <c r="F16" s="916">
        <f t="shared" si="0"/>
        <v>5565</v>
      </c>
      <c r="G16" s="915">
        <v>1.01</v>
      </c>
      <c r="H16" s="916">
        <f t="shared" si="1"/>
        <v>5621</v>
      </c>
      <c r="I16" s="917">
        <f t="shared" si="2"/>
        <v>2810.5</v>
      </c>
      <c r="J16" s="918">
        <f t="shared" si="3"/>
        <v>0</v>
      </c>
      <c r="K16" s="919"/>
      <c r="L16" s="917">
        <f t="shared" si="4"/>
        <v>0</v>
      </c>
      <c r="M16" s="918">
        <f t="shared" si="5"/>
        <v>0</v>
      </c>
      <c r="N16" s="919"/>
      <c r="O16" s="917">
        <f t="shared" si="6"/>
        <v>0</v>
      </c>
      <c r="P16" s="918">
        <f t="shared" si="7"/>
        <v>0</v>
      </c>
      <c r="Q16" s="919"/>
      <c r="R16" s="917">
        <f t="shared" si="8"/>
        <v>0</v>
      </c>
      <c r="S16" s="918">
        <f t="shared" si="9"/>
        <v>0</v>
      </c>
      <c r="T16" s="919"/>
      <c r="U16" s="917">
        <f t="shared" si="10"/>
        <v>0</v>
      </c>
      <c r="V16" s="918">
        <f t="shared" si="11"/>
        <v>0</v>
      </c>
      <c r="W16" s="919"/>
      <c r="X16" s="917">
        <f t="shared" si="12"/>
        <v>0</v>
      </c>
      <c r="Y16" s="918">
        <f t="shared" si="13"/>
        <v>1.98</v>
      </c>
      <c r="Z16" s="919">
        <v>5221.26</v>
      </c>
      <c r="AA16" s="917">
        <f t="shared" si="14"/>
        <v>5564.79</v>
      </c>
      <c r="AB16" s="918">
        <f t="shared" si="15"/>
        <v>0.3</v>
      </c>
      <c r="AC16" s="919">
        <v>791.1</v>
      </c>
      <c r="AD16" s="917">
        <f t="shared" si="16"/>
        <v>843.15</v>
      </c>
      <c r="AE16" s="918">
        <f t="shared" si="17"/>
        <v>0</v>
      </c>
      <c r="AF16" s="919"/>
      <c r="AG16" s="917">
        <f t="shared" si="18"/>
        <v>0</v>
      </c>
      <c r="AH16" s="918">
        <f t="shared" si="19"/>
        <v>0</v>
      </c>
      <c r="AI16" s="919"/>
      <c r="AJ16" s="917">
        <f t="shared" si="20"/>
        <v>0</v>
      </c>
      <c r="AK16" s="918">
        <f t="shared" si="21"/>
        <v>0</v>
      </c>
      <c r="AL16" s="919"/>
      <c r="AM16" s="917">
        <f t="shared" si="22"/>
        <v>0</v>
      </c>
      <c r="AN16" s="920">
        <v>19242</v>
      </c>
      <c r="AO16" s="917">
        <f t="shared" si="23"/>
        <v>402.56</v>
      </c>
      <c r="AP16" s="920"/>
      <c r="AQ16" s="916">
        <f t="shared" si="24"/>
        <v>0</v>
      </c>
      <c r="AR16" s="917">
        <f t="shared" si="25"/>
        <v>9621</v>
      </c>
      <c r="AS16" s="916">
        <v>12</v>
      </c>
      <c r="AT16" s="921">
        <f t="shared" si="26"/>
        <v>115452</v>
      </c>
      <c r="AU16" s="920"/>
      <c r="AV16" s="922">
        <f t="shared" si="27"/>
        <v>1154.52</v>
      </c>
      <c r="AW16" s="921">
        <f t="shared" si="28"/>
        <v>116606.52</v>
      </c>
      <c r="AX16" s="921">
        <f t="shared" si="29"/>
        <v>35215.17</v>
      </c>
      <c r="AY16" s="921">
        <f t="shared" si="30"/>
        <v>151821.69</v>
      </c>
      <c r="AZ16" s="923">
        <f t="shared" si="31"/>
        <v>116.6</v>
      </c>
      <c r="BA16" s="923">
        <f t="shared" si="32"/>
        <v>35.200000000000003</v>
      </c>
      <c r="BB16" s="923">
        <f t="shared" si="33"/>
        <v>151.80000000000001</v>
      </c>
      <c r="BC16" s="915">
        <v>0.95</v>
      </c>
      <c r="BD16" s="923">
        <f t="shared" si="34"/>
        <v>110.8</v>
      </c>
      <c r="BE16" s="923">
        <f t="shared" si="35"/>
        <v>33.5</v>
      </c>
      <c r="BF16" s="923">
        <f t="shared" si="36"/>
        <v>144.30000000000001</v>
      </c>
      <c r="BG16" s="924">
        <f>'[3]свод (2024)'!$B$116</f>
        <v>0.99758349999999996</v>
      </c>
      <c r="BH16" s="923">
        <f t="shared" si="37"/>
        <v>110.5</v>
      </c>
      <c r="BI16" s="923">
        <f t="shared" si="38"/>
        <v>33.4</v>
      </c>
      <c r="BJ16" s="923">
        <f t="shared" si="39"/>
        <v>143.9</v>
      </c>
      <c r="BK16" s="925">
        <f t="shared" si="40"/>
        <v>-6.1</v>
      </c>
      <c r="BL16" s="925">
        <f t="shared" si="40"/>
        <v>-1.8</v>
      </c>
      <c r="BM16" s="925">
        <f t="shared" si="41"/>
        <v>-7.9</v>
      </c>
      <c r="BN16" s="925">
        <f t="shared" si="42"/>
        <v>0</v>
      </c>
      <c r="BO16" s="925">
        <f t="shared" si="43"/>
        <v>0</v>
      </c>
      <c r="BP16" s="926"/>
      <c r="BQ16" s="925">
        <f t="shared" si="44"/>
        <v>110.5</v>
      </c>
      <c r="BR16" s="925">
        <f t="shared" si="44"/>
        <v>33.4</v>
      </c>
      <c r="BS16" s="925">
        <f t="shared" si="45"/>
        <v>143.9</v>
      </c>
      <c r="BU16" s="928"/>
      <c r="BV16" s="917"/>
      <c r="BW16" s="928"/>
      <c r="BX16" s="928"/>
      <c r="BY16" s="928"/>
      <c r="BZ16" s="917"/>
      <c r="CA16" s="928"/>
      <c r="CB16" s="917"/>
      <c r="CC16" s="928"/>
      <c r="CD16" s="928"/>
      <c r="CE16" s="928"/>
      <c r="CF16" s="929"/>
      <c r="CG16" s="928"/>
      <c r="CH16" s="928"/>
      <c r="CI16" s="928"/>
      <c r="CJ16" s="925"/>
      <c r="CK16" s="925"/>
      <c r="CL16" s="925"/>
      <c r="CM16" s="925"/>
      <c r="CN16" s="925"/>
      <c r="CO16" s="925"/>
      <c r="CP16" s="925"/>
      <c r="CQ16" s="925"/>
      <c r="CR16" s="925"/>
      <c r="CS16" s="917"/>
      <c r="CT16" s="928"/>
      <c r="CU16" s="928"/>
      <c r="CV16" s="928"/>
      <c r="CX16" s="925"/>
      <c r="CY16" s="925"/>
      <c r="CZ16" s="925"/>
      <c r="DB16" s="925"/>
      <c r="DC16" s="925"/>
      <c r="DD16" s="925"/>
      <c r="DE16" s="925"/>
      <c r="DF16" s="925"/>
      <c r="DG16" s="925"/>
      <c r="DH16" s="925"/>
      <c r="DI16" s="925"/>
      <c r="DJ16" s="925"/>
      <c r="DK16" s="925"/>
      <c r="DL16" s="925"/>
      <c r="DM16" s="925"/>
      <c r="DN16" s="925"/>
      <c r="DO16" s="925"/>
      <c r="DP16" s="925"/>
      <c r="DQ16" s="924"/>
      <c r="DR16" s="925"/>
      <c r="DS16" s="925"/>
      <c r="DT16" s="925"/>
      <c r="DV16" s="925"/>
      <c r="DW16" s="925"/>
      <c r="DX16" s="925"/>
      <c r="DY16" s="925"/>
      <c r="DZ16" s="925"/>
      <c r="EA16" s="925"/>
      <c r="EB16" s="925"/>
      <c r="EC16" s="925"/>
      <c r="ED16" s="925"/>
      <c r="EE16" s="925"/>
      <c r="EF16" s="925"/>
      <c r="EG16" s="925"/>
      <c r="EH16" s="925"/>
      <c r="EI16" s="925"/>
      <c r="EJ16" s="925"/>
      <c r="EK16" s="925"/>
      <c r="EL16" s="925"/>
      <c r="EM16" s="925"/>
      <c r="EN16" s="925"/>
      <c r="EO16" s="925"/>
      <c r="EP16" s="925"/>
      <c r="EQ16" s="925"/>
      <c r="ER16" s="925"/>
      <c r="ES16" s="925"/>
      <c r="ET16" s="925"/>
      <c r="EV16" s="924"/>
      <c r="EW16" s="925"/>
      <c r="EX16" s="925"/>
      <c r="EY16" s="925"/>
    </row>
    <row r="17" spans="1:155" s="927" customFormat="1" ht="15.75" x14ac:dyDescent="0.25">
      <c r="A17" s="912" t="s">
        <v>359</v>
      </c>
      <c r="B17" s="913" t="s">
        <v>1380</v>
      </c>
      <c r="C17" s="914">
        <v>1</v>
      </c>
      <c r="D17" s="914">
        <v>25048</v>
      </c>
      <c r="E17" s="915">
        <v>1.0549999999999999</v>
      </c>
      <c r="F17" s="916">
        <f t="shared" si="0"/>
        <v>26426</v>
      </c>
      <c r="G17" s="915">
        <v>1.01</v>
      </c>
      <c r="H17" s="916">
        <f t="shared" si="1"/>
        <v>26691</v>
      </c>
      <c r="I17" s="917">
        <f t="shared" si="2"/>
        <v>26691</v>
      </c>
      <c r="J17" s="918">
        <f t="shared" si="3"/>
        <v>0</v>
      </c>
      <c r="K17" s="919"/>
      <c r="L17" s="917">
        <f t="shared" si="4"/>
        <v>0</v>
      </c>
      <c r="M17" s="918">
        <f t="shared" si="5"/>
        <v>0</v>
      </c>
      <c r="N17" s="919"/>
      <c r="O17" s="917">
        <f t="shared" si="6"/>
        <v>0</v>
      </c>
      <c r="P17" s="918">
        <f t="shared" si="7"/>
        <v>0.1</v>
      </c>
      <c r="Q17" s="919">
        <v>2504.8000000000002</v>
      </c>
      <c r="R17" s="917">
        <f t="shared" si="8"/>
        <v>2669.1</v>
      </c>
      <c r="S17" s="918">
        <f t="shared" si="9"/>
        <v>0</v>
      </c>
      <c r="T17" s="919"/>
      <c r="U17" s="917">
        <f t="shared" si="10"/>
        <v>0</v>
      </c>
      <c r="V17" s="918">
        <f t="shared" si="11"/>
        <v>0</v>
      </c>
      <c r="W17" s="919"/>
      <c r="X17" s="917">
        <f t="shared" si="12"/>
        <v>0</v>
      </c>
      <c r="Y17" s="918">
        <f t="shared" si="13"/>
        <v>0</v>
      </c>
      <c r="Z17" s="919"/>
      <c r="AA17" s="917">
        <f t="shared" si="14"/>
        <v>0</v>
      </c>
      <c r="AB17" s="918">
        <f t="shared" si="15"/>
        <v>0.2</v>
      </c>
      <c r="AC17" s="919">
        <v>5009.6000000000004</v>
      </c>
      <c r="AD17" s="917">
        <f t="shared" si="16"/>
        <v>5338.2</v>
      </c>
      <c r="AE17" s="918">
        <f t="shared" si="17"/>
        <v>0</v>
      </c>
      <c r="AF17" s="919"/>
      <c r="AG17" s="917">
        <f t="shared" si="18"/>
        <v>0</v>
      </c>
      <c r="AH17" s="918">
        <f t="shared" si="19"/>
        <v>0</v>
      </c>
      <c r="AI17" s="919"/>
      <c r="AJ17" s="917">
        <f t="shared" si="20"/>
        <v>0</v>
      </c>
      <c r="AK17" s="918">
        <f t="shared" si="21"/>
        <v>0</v>
      </c>
      <c r="AL17" s="919"/>
      <c r="AM17" s="917">
        <f t="shared" si="22"/>
        <v>0</v>
      </c>
      <c r="AN17" s="920">
        <v>19242</v>
      </c>
      <c r="AO17" s="917">
        <f t="shared" si="23"/>
        <v>0</v>
      </c>
      <c r="AP17" s="920"/>
      <c r="AQ17" s="916">
        <f t="shared" si="24"/>
        <v>0</v>
      </c>
      <c r="AR17" s="917">
        <f t="shared" si="25"/>
        <v>34698.300000000003</v>
      </c>
      <c r="AS17" s="916">
        <v>12</v>
      </c>
      <c r="AT17" s="921">
        <f t="shared" si="26"/>
        <v>416379.6</v>
      </c>
      <c r="AU17" s="920"/>
      <c r="AV17" s="922">
        <f t="shared" si="27"/>
        <v>4163.8</v>
      </c>
      <c r="AW17" s="921">
        <f t="shared" si="28"/>
        <v>420543.4</v>
      </c>
      <c r="AX17" s="921">
        <f t="shared" si="29"/>
        <v>127004.11</v>
      </c>
      <c r="AY17" s="921">
        <f t="shared" si="30"/>
        <v>547547.51</v>
      </c>
      <c r="AZ17" s="923">
        <f t="shared" si="31"/>
        <v>420.5</v>
      </c>
      <c r="BA17" s="923">
        <f t="shared" si="32"/>
        <v>127</v>
      </c>
      <c r="BB17" s="923">
        <f t="shared" si="33"/>
        <v>547.5</v>
      </c>
      <c r="BC17" s="915">
        <v>0.95</v>
      </c>
      <c r="BD17" s="923">
        <f t="shared" si="34"/>
        <v>399.5</v>
      </c>
      <c r="BE17" s="923">
        <f t="shared" si="35"/>
        <v>120.6</v>
      </c>
      <c r="BF17" s="923">
        <f t="shared" si="36"/>
        <v>520.1</v>
      </c>
      <c r="BG17" s="924">
        <f>'[3]свод (2024)'!$B$116</f>
        <v>0.99758349999999996</v>
      </c>
      <c r="BH17" s="923">
        <f t="shared" si="37"/>
        <v>398.5</v>
      </c>
      <c r="BI17" s="923">
        <f t="shared" si="38"/>
        <v>120.3</v>
      </c>
      <c r="BJ17" s="923">
        <f t="shared" si="39"/>
        <v>518.79999999999995</v>
      </c>
      <c r="BK17" s="925">
        <f t="shared" si="40"/>
        <v>-22</v>
      </c>
      <c r="BL17" s="925">
        <f t="shared" si="40"/>
        <v>-6.7</v>
      </c>
      <c r="BM17" s="925">
        <f t="shared" si="41"/>
        <v>-28.7</v>
      </c>
      <c r="BN17" s="925">
        <f t="shared" si="42"/>
        <v>0</v>
      </c>
      <c r="BO17" s="925">
        <f t="shared" si="43"/>
        <v>0</v>
      </c>
      <c r="BP17" s="926"/>
      <c r="BQ17" s="925">
        <f t="shared" si="44"/>
        <v>398.5</v>
      </c>
      <c r="BR17" s="925">
        <f t="shared" si="44"/>
        <v>120.3</v>
      </c>
      <c r="BS17" s="925">
        <f t="shared" si="45"/>
        <v>518.79999999999995</v>
      </c>
      <c r="BU17" s="928"/>
      <c r="BV17" s="917"/>
      <c r="BW17" s="928"/>
      <c r="BX17" s="928"/>
      <c r="BY17" s="928"/>
      <c r="BZ17" s="917"/>
      <c r="CA17" s="928"/>
      <c r="CB17" s="917"/>
      <c r="CC17" s="928"/>
      <c r="CD17" s="928"/>
      <c r="CE17" s="928"/>
      <c r="CF17" s="929"/>
      <c r="CG17" s="928"/>
      <c r="CH17" s="928"/>
      <c r="CI17" s="928"/>
      <c r="CJ17" s="925"/>
      <c r="CK17" s="925"/>
      <c r="CL17" s="925"/>
      <c r="CM17" s="925"/>
      <c r="CN17" s="925"/>
      <c r="CO17" s="925"/>
      <c r="CP17" s="925"/>
      <c r="CQ17" s="925"/>
      <c r="CR17" s="925"/>
      <c r="CS17" s="917"/>
      <c r="CT17" s="928"/>
      <c r="CU17" s="928"/>
      <c r="CV17" s="928"/>
      <c r="CX17" s="925"/>
      <c r="CY17" s="925"/>
      <c r="CZ17" s="925"/>
      <c r="DB17" s="925"/>
      <c r="DC17" s="925"/>
      <c r="DD17" s="925"/>
      <c r="DE17" s="925"/>
      <c r="DF17" s="925"/>
      <c r="DG17" s="925"/>
      <c r="DH17" s="925"/>
      <c r="DI17" s="925"/>
      <c r="DJ17" s="925"/>
      <c r="DK17" s="925"/>
      <c r="DL17" s="925"/>
      <c r="DM17" s="925"/>
      <c r="DN17" s="925"/>
      <c r="DO17" s="925"/>
      <c r="DP17" s="925"/>
      <c r="DQ17" s="924"/>
      <c r="DR17" s="925"/>
      <c r="DS17" s="925"/>
      <c r="DT17" s="925"/>
      <c r="DV17" s="925"/>
      <c r="DW17" s="925"/>
      <c r="DX17" s="925"/>
      <c r="DY17" s="925"/>
      <c r="DZ17" s="925"/>
      <c r="EA17" s="925"/>
      <c r="EB17" s="925"/>
      <c r="EC17" s="925"/>
      <c r="ED17" s="925"/>
      <c r="EE17" s="925"/>
      <c r="EF17" s="925"/>
      <c r="EG17" s="925"/>
      <c r="EH17" s="925"/>
      <c r="EI17" s="925"/>
      <c r="EJ17" s="925"/>
      <c r="EK17" s="925"/>
      <c r="EL17" s="925"/>
      <c r="EM17" s="925"/>
      <c r="EN17" s="925"/>
      <c r="EO17" s="925"/>
      <c r="EP17" s="925"/>
      <c r="EQ17" s="925"/>
      <c r="ER17" s="925"/>
      <c r="ES17" s="925"/>
      <c r="ET17" s="925"/>
      <c r="EV17" s="924"/>
      <c r="EW17" s="925"/>
      <c r="EX17" s="925"/>
      <c r="EY17" s="925"/>
    </row>
    <row r="18" spans="1:155" s="927" customFormat="1" ht="24" x14ac:dyDescent="0.25">
      <c r="A18" s="912" t="s">
        <v>359</v>
      </c>
      <c r="B18" s="913" t="s">
        <v>1381</v>
      </c>
      <c r="C18" s="914">
        <v>4</v>
      </c>
      <c r="D18" s="914">
        <v>13466</v>
      </c>
      <c r="E18" s="915">
        <v>1.0549999999999999</v>
      </c>
      <c r="F18" s="916">
        <f t="shared" si="0"/>
        <v>14207</v>
      </c>
      <c r="G18" s="915">
        <v>1.01</v>
      </c>
      <c r="H18" s="916">
        <f t="shared" si="1"/>
        <v>14350</v>
      </c>
      <c r="I18" s="917">
        <f t="shared" si="2"/>
        <v>57400</v>
      </c>
      <c r="J18" s="918">
        <f t="shared" si="3"/>
        <v>0</v>
      </c>
      <c r="K18" s="919"/>
      <c r="L18" s="917">
        <f t="shared" si="4"/>
        <v>0</v>
      </c>
      <c r="M18" s="918">
        <f t="shared" si="5"/>
        <v>0</v>
      </c>
      <c r="N18" s="919"/>
      <c r="O18" s="917">
        <f t="shared" si="6"/>
        <v>0</v>
      </c>
      <c r="P18" s="918">
        <f t="shared" si="7"/>
        <v>0</v>
      </c>
      <c r="Q18" s="919"/>
      <c r="R18" s="917">
        <f t="shared" si="8"/>
        <v>0</v>
      </c>
      <c r="S18" s="918">
        <f t="shared" si="9"/>
        <v>0</v>
      </c>
      <c r="T18" s="919"/>
      <c r="U18" s="917">
        <f t="shared" si="10"/>
        <v>0</v>
      </c>
      <c r="V18" s="918">
        <f t="shared" si="11"/>
        <v>0</v>
      </c>
      <c r="W18" s="919"/>
      <c r="X18" s="917">
        <f t="shared" si="12"/>
        <v>0</v>
      </c>
      <c r="Y18" s="918">
        <f t="shared" si="13"/>
        <v>0.25</v>
      </c>
      <c r="Z18" s="919">
        <v>13466</v>
      </c>
      <c r="AA18" s="917">
        <f t="shared" si="14"/>
        <v>14350</v>
      </c>
      <c r="AB18" s="918">
        <f t="shared" si="15"/>
        <v>0.2</v>
      </c>
      <c r="AC18" s="919">
        <v>10772.8</v>
      </c>
      <c r="AD18" s="917">
        <f t="shared" si="16"/>
        <v>11480</v>
      </c>
      <c r="AE18" s="918">
        <f t="shared" si="17"/>
        <v>0</v>
      </c>
      <c r="AF18" s="919"/>
      <c r="AG18" s="917">
        <f t="shared" si="18"/>
        <v>0</v>
      </c>
      <c r="AH18" s="918">
        <f t="shared" si="19"/>
        <v>0</v>
      </c>
      <c r="AI18" s="919"/>
      <c r="AJ18" s="917">
        <f t="shared" si="20"/>
        <v>0</v>
      </c>
      <c r="AK18" s="918">
        <f t="shared" si="21"/>
        <v>0</v>
      </c>
      <c r="AL18" s="919"/>
      <c r="AM18" s="917">
        <f t="shared" si="22"/>
        <v>0</v>
      </c>
      <c r="AN18" s="920">
        <v>19242</v>
      </c>
      <c r="AO18" s="917">
        <f t="shared" si="23"/>
        <v>0</v>
      </c>
      <c r="AP18" s="920"/>
      <c r="AQ18" s="916">
        <f t="shared" si="24"/>
        <v>0</v>
      </c>
      <c r="AR18" s="917">
        <f t="shared" si="25"/>
        <v>83230</v>
      </c>
      <c r="AS18" s="916">
        <v>12</v>
      </c>
      <c r="AT18" s="921">
        <f t="shared" si="26"/>
        <v>998760</v>
      </c>
      <c r="AU18" s="920"/>
      <c r="AV18" s="922">
        <f t="shared" si="27"/>
        <v>9987.6</v>
      </c>
      <c r="AW18" s="921">
        <f t="shared" si="28"/>
        <v>1008747.6</v>
      </c>
      <c r="AX18" s="921">
        <f t="shared" si="29"/>
        <v>304641.78000000003</v>
      </c>
      <c r="AY18" s="921">
        <f t="shared" si="30"/>
        <v>1313389.3799999999</v>
      </c>
      <c r="AZ18" s="923">
        <f t="shared" si="31"/>
        <v>1008.7</v>
      </c>
      <c r="BA18" s="923">
        <f t="shared" si="32"/>
        <v>304.60000000000002</v>
      </c>
      <c r="BB18" s="923">
        <f t="shared" si="33"/>
        <v>1313.3</v>
      </c>
      <c r="BC18" s="915">
        <v>0.95</v>
      </c>
      <c r="BD18" s="923">
        <f t="shared" si="34"/>
        <v>958.3</v>
      </c>
      <c r="BE18" s="923">
        <f t="shared" si="35"/>
        <v>289.39999999999998</v>
      </c>
      <c r="BF18" s="923">
        <f t="shared" si="36"/>
        <v>1247.7</v>
      </c>
      <c r="BG18" s="924">
        <f>'[3]свод (2024)'!$B$116</f>
        <v>0.99758349999999996</v>
      </c>
      <c r="BH18" s="923">
        <f t="shared" si="37"/>
        <v>956</v>
      </c>
      <c r="BI18" s="923">
        <f t="shared" si="38"/>
        <v>288.7</v>
      </c>
      <c r="BJ18" s="923">
        <f t="shared" si="39"/>
        <v>1244.7</v>
      </c>
      <c r="BK18" s="925">
        <f t="shared" si="40"/>
        <v>-52.7</v>
      </c>
      <c r="BL18" s="925">
        <f t="shared" si="40"/>
        <v>-15.9</v>
      </c>
      <c r="BM18" s="925">
        <f t="shared" si="41"/>
        <v>-68.599999999999994</v>
      </c>
      <c r="BN18" s="925">
        <f t="shared" si="42"/>
        <v>0</v>
      </c>
      <c r="BO18" s="925">
        <f t="shared" si="43"/>
        <v>0</v>
      </c>
      <c r="BP18" s="926"/>
      <c r="BQ18" s="925">
        <f t="shared" si="44"/>
        <v>956</v>
      </c>
      <c r="BR18" s="925">
        <f t="shared" si="44"/>
        <v>288.7</v>
      </c>
      <c r="BS18" s="925">
        <f t="shared" si="45"/>
        <v>1244.7</v>
      </c>
      <c r="BU18" s="928"/>
      <c r="BV18" s="917"/>
      <c r="BW18" s="928"/>
      <c r="BX18" s="928"/>
      <c r="BY18" s="928"/>
      <c r="BZ18" s="917"/>
      <c r="CA18" s="928"/>
      <c r="CB18" s="917"/>
      <c r="CC18" s="928"/>
      <c r="CD18" s="928"/>
      <c r="CE18" s="928"/>
      <c r="CF18" s="929"/>
      <c r="CG18" s="928"/>
      <c r="CH18" s="928"/>
      <c r="CI18" s="928"/>
      <c r="CJ18" s="925"/>
      <c r="CK18" s="925"/>
      <c r="CL18" s="925"/>
      <c r="CM18" s="925"/>
      <c r="CN18" s="925"/>
      <c r="CO18" s="925"/>
      <c r="CP18" s="925"/>
      <c r="CQ18" s="925"/>
      <c r="CR18" s="925"/>
      <c r="CS18" s="917"/>
      <c r="CT18" s="928"/>
      <c r="CU18" s="928"/>
      <c r="CV18" s="928"/>
      <c r="CX18" s="925"/>
      <c r="CY18" s="925"/>
      <c r="CZ18" s="925"/>
      <c r="DB18" s="925"/>
      <c r="DC18" s="925"/>
      <c r="DD18" s="925"/>
      <c r="DE18" s="925"/>
      <c r="DF18" s="925"/>
      <c r="DG18" s="925"/>
      <c r="DH18" s="925"/>
      <c r="DI18" s="925"/>
      <c r="DJ18" s="925"/>
      <c r="DK18" s="925"/>
      <c r="DL18" s="925"/>
      <c r="DM18" s="925"/>
      <c r="DN18" s="925"/>
      <c r="DO18" s="925"/>
      <c r="DP18" s="925"/>
      <c r="DQ18" s="924"/>
      <c r="DR18" s="925"/>
      <c r="DS18" s="925"/>
      <c r="DT18" s="925"/>
      <c r="DV18" s="925"/>
      <c r="DW18" s="925"/>
      <c r="DX18" s="925"/>
      <c r="DY18" s="925"/>
      <c r="DZ18" s="925"/>
      <c r="EA18" s="925"/>
      <c r="EB18" s="925"/>
      <c r="EC18" s="925"/>
      <c r="ED18" s="925"/>
      <c r="EE18" s="925"/>
      <c r="EF18" s="925"/>
      <c r="EG18" s="925"/>
      <c r="EH18" s="925"/>
      <c r="EI18" s="925"/>
      <c r="EJ18" s="925"/>
      <c r="EK18" s="925"/>
      <c r="EL18" s="925"/>
      <c r="EM18" s="925"/>
      <c r="EN18" s="925"/>
      <c r="EO18" s="925"/>
      <c r="EP18" s="925"/>
      <c r="EQ18" s="925"/>
      <c r="ER18" s="925"/>
      <c r="ES18" s="925"/>
      <c r="ET18" s="925"/>
      <c r="EV18" s="924"/>
      <c r="EW18" s="925"/>
      <c r="EX18" s="925"/>
      <c r="EY18" s="925"/>
    </row>
    <row r="19" spans="1:155" s="927" customFormat="1" ht="15.75" x14ac:dyDescent="0.25">
      <c r="A19" s="912" t="s">
        <v>359</v>
      </c>
      <c r="B19" s="913" t="s">
        <v>39</v>
      </c>
      <c r="C19" s="914">
        <v>1</v>
      </c>
      <c r="D19" s="914">
        <v>6097</v>
      </c>
      <c r="E19" s="915">
        <v>1.0549999999999999</v>
      </c>
      <c r="F19" s="916">
        <f t="shared" si="0"/>
        <v>6433</v>
      </c>
      <c r="G19" s="915">
        <v>1.01</v>
      </c>
      <c r="H19" s="916">
        <f t="shared" si="1"/>
        <v>6498</v>
      </c>
      <c r="I19" s="917">
        <f t="shared" si="2"/>
        <v>6498</v>
      </c>
      <c r="J19" s="918">
        <f t="shared" si="3"/>
        <v>0</v>
      </c>
      <c r="K19" s="919"/>
      <c r="L19" s="917">
        <f t="shared" si="4"/>
        <v>0</v>
      </c>
      <c r="M19" s="918">
        <f t="shared" si="5"/>
        <v>0</v>
      </c>
      <c r="N19" s="919"/>
      <c r="O19" s="917">
        <f t="shared" si="6"/>
        <v>0</v>
      </c>
      <c r="P19" s="918">
        <f t="shared" si="7"/>
        <v>0</v>
      </c>
      <c r="Q19" s="919"/>
      <c r="R19" s="917">
        <f t="shared" si="8"/>
        <v>0</v>
      </c>
      <c r="S19" s="918">
        <f t="shared" si="9"/>
        <v>0</v>
      </c>
      <c r="T19" s="919"/>
      <c r="U19" s="917">
        <f t="shared" si="10"/>
        <v>0</v>
      </c>
      <c r="V19" s="918">
        <f t="shared" si="11"/>
        <v>0</v>
      </c>
      <c r="W19" s="919"/>
      <c r="X19" s="917">
        <f t="shared" si="12"/>
        <v>0</v>
      </c>
      <c r="Y19" s="918">
        <f t="shared" si="13"/>
        <v>1.98</v>
      </c>
      <c r="Z19" s="919">
        <v>12072.06</v>
      </c>
      <c r="AA19" s="917">
        <f t="shared" si="14"/>
        <v>12866.04</v>
      </c>
      <c r="AB19" s="918">
        <f t="shared" si="15"/>
        <v>0.3</v>
      </c>
      <c r="AC19" s="919">
        <v>1829.1</v>
      </c>
      <c r="AD19" s="917">
        <f t="shared" si="16"/>
        <v>1949.4</v>
      </c>
      <c r="AE19" s="918">
        <f t="shared" si="17"/>
        <v>0</v>
      </c>
      <c r="AF19" s="919"/>
      <c r="AG19" s="917">
        <f t="shared" si="18"/>
        <v>0</v>
      </c>
      <c r="AH19" s="918">
        <f t="shared" si="19"/>
        <v>0</v>
      </c>
      <c r="AI19" s="919"/>
      <c r="AJ19" s="917">
        <f t="shared" si="20"/>
        <v>0</v>
      </c>
      <c r="AK19" s="918">
        <f t="shared" si="21"/>
        <v>0</v>
      </c>
      <c r="AL19" s="919"/>
      <c r="AM19" s="917">
        <f t="shared" si="22"/>
        <v>0</v>
      </c>
      <c r="AN19" s="920">
        <v>19242</v>
      </c>
      <c r="AO19" s="917">
        <f t="shared" si="23"/>
        <v>0</v>
      </c>
      <c r="AP19" s="920"/>
      <c r="AQ19" s="916">
        <f t="shared" si="24"/>
        <v>0</v>
      </c>
      <c r="AR19" s="917">
        <f t="shared" si="25"/>
        <v>21313.439999999999</v>
      </c>
      <c r="AS19" s="916">
        <v>12</v>
      </c>
      <c r="AT19" s="921">
        <f t="shared" si="26"/>
        <v>255761.28</v>
      </c>
      <c r="AU19" s="920"/>
      <c r="AV19" s="922">
        <f t="shared" si="27"/>
        <v>2557.61</v>
      </c>
      <c r="AW19" s="921">
        <f t="shared" si="28"/>
        <v>258318.89</v>
      </c>
      <c r="AX19" s="921">
        <f t="shared" si="29"/>
        <v>78012.3</v>
      </c>
      <c r="AY19" s="921">
        <f t="shared" si="30"/>
        <v>336331.19</v>
      </c>
      <c r="AZ19" s="923">
        <f t="shared" si="31"/>
        <v>258.3</v>
      </c>
      <c r="BA19" s="923">
        <f t="shared" si="32"/>
        <v>78</v>
      </c>
      <c r="BB19" s="923">
        <f t="shared" si="33"/>
        <v>336.3</v>
      </c>
      <c r="BC19" s="915">
        <v>0.95</v>
      </c>
      <c r="BD19" s="923">
        <f t="shared" si="34"/>
        <v>245.4</v>
      </c>
      <c r="BE19" s="923">
        <f t="shared" si="35"/>
        <v>74.099999999999994</v>
      </c>
      <c r="BF19" s="923">
        <f t="shared" si="36"/>
        <v>319.5</v>
      </c>
      <c r="BG19" s="924">
        <f>'[3]свод (2024)'!$B$116</f>
        <v>0.99758349999999996</v>
      </c>
      <c r="BH19" s="923">
        <f t="shared" si="37"/>
        <v>244.8</v>
      </c>
      <c r="BI19" s="923">
        <f t="shared" si="38"/>
        <v>73.900000000000006</v>
      </c>
      <c r="BJ19" s="923">
        <f t="shared" si="39"/>
        <v>318.7</v>
      </c>
      <c r="BK19" s="925">
        <f t="shared" si="40"/>
        <v>-13.5</v>
      </c>
      <c r="BL19" s="925">
        <f t="shared" si="40"/>
        <v>-4.0999999999999996</v>
      </c>
      <c r="BM19" s="925">
        <f t="shared" si="41"/>
        <v>-17.600000000000001</v>
      </c>
      <c r="BN19" s="925">
        <f t="shared" si="42"/>
        <v>0</v>
      </c>
      <c r="BO19" s="925">
        <f t="shared" si="43"/>
        <v>0</v>
      </c>
      <c r="BP19" s="926"/>
      <c r="BQ19" s="925">
        <f t="shared" si="44"/>
        <v>244.8</v>
      </c>
      <c r="BR19" s="925">
        <f t="shared" si="44"/>
        <v>73.900000000000006</v>
      </c>
      <c r="BS19" s="925">
        <f t="shared" si="45"/>
        <v>318.7</v>
      </c>
      <c r="BU19" s="928"/>
      <c r="BV19" s="917"/>
      <c r="BW19" s="928"/>
      <c r="BX19" s="928"/>
      <c r="BY19" s="928"/>
      <c r="BZ19" s="917"/>
      <c r="CA19" s="928"/>
      <c r="CB19" s="917"/>
      <c r="CC19" s="928"/>
      <c r="CD19" s="928"/>
      <c r="CE19" s="928"/>
      <c r="CF19" s="929"/>
      <c r="CG19" s="928"/>
      <c r="CH19" s="928"/>
      <c r="CI19" s="928"/>
      <c r="CJ19" s="925"/>
      <c r="CK19" s="925"/>
      <c r="CL19" s="925"/>
      <c r="CM19" s="925"/>
      <c r="CN19" s="925"/>
      <c r="CO19" s="925"/>
      <c r="CP19" s="925"/>
      <c r="CQ19" s="925"/>
      <c r="CR19" s="925"/>
      <c r="CS19" s="917"/>
      <c r="CT19" s="928"/>
      <c r="CU19" s="928"/>
      <c r="CV19" s="928"/>
      <c r="CX19" s="925"/>
      <c r="CY19" s="925"/>
      <c r="CZ19" s="925"/>
      <c r="DB19" s="925"/>
      <c r="DC19" s="925"/>
      <c r="DD19" s="925"/>
      <c r="DE19" s="925"/>
      <c r="DF19" s="925"/>
      <c r="DG19" s="925"/>
      <c r="DH19" s="925"/>
      <c r="DI19" s="925"/>
      <c r="DJ19" s="925"/>
      <c r="DK19" s="925"/>
      <c r="DL19" s="925"/>
      <c r="DM19" s="925"/>
      <c r="DN19" s="925"/>
      <c r="DO19" s="925"/>
      <c r="DP19" s="925"/>
      <c r="DQ19" s="924"/>
      <c r="DR19" s="925"/>
      <c r="DS19" s="925"/>
      <c r="DT19" s="925"/>
      <c r="DV19" s="925"/>
      <c r="DW19" s="925"/>
      <c r="DX19" s="925"/>
      <c r="DY19" s="925"/>
      <c r="DZ19" s="925"/>
      <c r="EA19" s="925"/>
      <c r="EB19" s="925"/>
      <c r="EC19" s="925"/>
      <c r="ED19" s="925"/>
      <c r="EE19" s="925"/>
      <c r="EF19" s="925"/>
      <c r="EG19" s="925"/>
      <c r="EH19" s="925"/>
      <c r="EI19" s="925"/>
      <c r="EJ19" s="925"/>
      <c r="EK19" s="925"/>
      <c r="EL19" s="925"/>
      <c r="EM19" s="925"/>
      <c r="EN19" s="925"/>
      <c r="EO19" s="925"/>
      <c r="EP19" s="925"/>
      <c r="EQ19" s="925"/>
      <c r="ER19" s="925"/>
      <c r="ES19" s="925"/>
      <c r="ET19" s="925"/>
      <c r="EV19" s="924"/>
      <c r="EW19" s="925"/>
      <c r="EX19" s="925"/>
      <c r="EY19" s="925"/>
    </row>
    <row r="20" spans="1:155" s="927" customFormat="1" ht="24" x14ac:dyDescent="0.25">
      <c r="A20" s="912" t="s">
        <v>359</v>
      </c>
      <c r="B20" s="913" t="s">
        <v>1382</v>
      </c>
      <c r="C20" s="914">
        <v>1</v>
      </c>
      <c r="D20" s="914">
        <v>22542</v>
      </c>
      <c r="E20" s="915">
        <v>1.0549999999999999</v>
      </c>
      <c r="F20" s="916">
        <f t="shared" si="0"/>
        <v>23782</v>
      </c>
      <c r="G20" s="915">
        <v>1.01</v>
      </c>
      <c r="H20" s="916">
        <f t="shared" si="1"/>
        <v>24020</v>
      </c>
      <c r="I20" s="917">
        <f t="shared" si="2"/>
        <v>24020</v>
      </c>
      <c r="J20" s="918">
        <f t="shared" si="3"/>
        <v>0</v>
      </c>
      <c r="K20" s="919"/>
      <c r="L20" s="917">
        <f t="shared" si="4"/>
        <v>0</v>
      </c>
      <c r="M20" s="918">
        <f t="shared" si="5"/>
        <v>0</v>
      </c>
      <c r="N20" s="919"/>
      <c r="O20" s="917">
        <f t="shared" si="6"/>
        <v>0</v>
      </c>
      <c r="P20" s="918">
        <f t="shared" si="7"/>
        <v>0</v>
      </c>
      <c r="Q20" s="919"/>
      <c r="R20" s="917">
        <f t="shared" si="8"/>
        <v>0</v>
      </c>
      <c r="S20" s="918">
        <f t="shared" si="9"/>
        <v>0</v>
      </c>
      <c r="T20" s="919"/>
      <c r="U20" s="917">
        <f t="shared" si="10"/>
        <v>0</v>
      </c>
      <c r="V20" s="918">
        <f t="shared" si="11"/>
        <v>0</v>
      </c>
      <c r="W20" s="919"/>
      <c r="X20" s="917">
        <f t="shared" si="12"/>
        <v>0</v>
      </c>
      <c r="Y20" s="918">
        <f t="shared" si="13"/>
        <v>0</v>
      </c>
      <c r="Z20" s="919"/>
      <c r="AA20" s="917">
        <f t="shared" si="14"/>
        <v>0</v>
      </c>
      <c r="AB20" s="918">
        <f t="shared" si="15"/>
        <v>0.2</v>
      </c>
      <c r="AC20" s="919">
        <v>4508.3999999999996</v>
      </c>
      <c r="AD20" s="917">
        <f t="shared" si="16"/>
        <v>4804</v>
      </c>
      <c r="AE20" s="918">
        <f t="shared" si="17"/>
        <v>0</v>
      </c>
      <c r="AF20" s="919"/>
      <c r="AG20" s="917">
        <f t="shared" si="18"/>
        <v>0</v>
      </c>
      <c r="AH20" s="918">
        <f t="shared" si="19"/>
        <v>0</v>
      </c>
      <c r="AI20" s="919"/>
      <c r="AJ20" s="917">
        <f t="shared" si="20"/>
        <v>0</v>
      </c>
      <c r="AK20" s="918">
        <f t="shared" si="21"/>
        <v>0</v>
      </c>
      <c r="AL20" s="919"/>
      <c r="AM20" s="917">
        <f t="shared" si="22"/>
        <v>0</v>
      </c>
      <c r="AN20" s="920">
        <v>19242</v>
      </c>
      <c r="AO20" s="917">
        <f t="shared" si="23"/>
        <v>0</v>
      </c>
      <c r="AP20" s="920"/>
      <c r="AQ20" s="916">
        <f t="shared" si="24"/>
        <v>0</v>
      </c>
      <c r="AR20" s="917">
        <f t="shared" si="25"/>
        <v>28824</v>
      </c>
      <c r="AS20" s="916">
        <v>12</v>
      </c>
      <c r="AT20" s="921">
        <f t="shared" si="26"/>
        <v>345888</v>
      </c>
      <c r="AU20" s="920"/>
      <c r="AV20" s="922">
        <f t="shared" si="27"/>
        <v>3458.88</v>
      </c>
      <c r="AW20" s="921">
        <f t="shared" si="28"/>
        <v>349346.88</v>
      </c>
      <c r="AX20" s="921">
        <f t="shared" si="29"/>
        <v>105502.76</v>
      </c>
      <c r="AY20" s="921">
        <f t="shared" si="30"/>
        <v>454849.64</v>
      </c>
      <c r="AZ20" s="923">
        <f t="shared" si="31"/>
        <v>349.3</v>
      </c>
      <c r="BA20" s="923">
        <f t="shared" si="32"/>
        <v>105.5</v>
      </c>
      <c r="BB20" s="923">
        <f t="shared" si="33"/>
        <v>454.8</v>
      </c>
      <c r="BC20" s="915">
        <v>0.95</v>
      </c>
      <c r="BD20" s="923">
        <f t="shared" si="34"/>
        <v>331.8</v>
      </c>
      <c r="BE20" s="923">
        <f t="shared" si="35"/>
        <v>100.2</v>
      </c>
      <c r="BF20" s="923">
        <f t="shared" si="36"/>
        <v>432</v>
      </c>
      <c r="BG20" s="924">
        <f>'[3]свод (2024)'!$B$116</f>
        <v>0.99758349999999996</v>
      </c>
      <c r="BH20" s="923">
        <f t="shared" si="37"/>
        <v>331</v>
      </c>
      <c r="BI20" s="923">
        <f t="shared" si="38"/>
        <v>100</v>
      </c>
      <c r="BJ20" s="923">
        <f t="shared" si="39"/>
        <v>431</v>
      </c>
      <c r="BK20" s="925">
        <f t="shared" si="40"/>
        <v>-18.3</v>
      </c>
      <c r="BL20" s="925">
        <f t="shared" si="40"/>
        <v>-5.5</v>
      </c>
      <c r="BM20" s="925">
        <f t="shared" si="41"/>
        <v>-23.8</v>
      </c>
      <c r="BN20" s="925">
        <f t="shared" si="42"/>
        <v>0</v>
      </c>
      <c r="BO20" s="925">
        <f t="shared" si="43"/>
        <v>0</v>
      </c>
      <c r="BP20" s="926"/>
      <c r="BQ20" s="925">
        <f t="shared" si="44"/>
        <v>331</v>
      </c>
      <c r="BR20" s="925">
        <f t="shared" si="44"/>
        <v>100</v>
      </c>
      <c r="BS20" s="925">
        <f t="shared" si="45"/>
        <v>431</v>
      </c>
      <c r="BU20" s="928"/>
      <c r="BV20" s="917"/>
      <c r="BW20" s="928"/>
      <c r="BX20" s="928"/>
      <c r="BY20" s="928"/>
      <c r="BZ20" s="917"/>
      <c r="CA20" s="928"/>
      <c r="CB20" s="917"/>
      <c r="CC20" s="928"/>
      <c r="CD20" s="928"/>
      <c r="CE20" s="928"/>
      <c r="CF20" s="929"/>
      <c r="CG20" s="928"/>
      <c r="CH20" s="928"/>
      <c r="CI20" s="928"/>
      <c r="CJ20" s="925"/>
      <c r="CK20" s="925"/>
      <c r="CL20" s="925"/>
      <c r="CM20" s="925"/>
      <c r="CN20" s="925"/>
      <c r="CO20" s="925"/>
      <c r="CP20" s="925"/>
      <c r="CQ20" s="925"/>
      <c r="CR20" s="925"/>
      <c r="CS20" s="917"/>
      <c r="CT20" s="928"/>
      <c r="CU20" s="928"/>
      <c r="CV20" s="928"/>
      <c r="CX20" s="925"/>
      <c r="CY20" s="925"/>
      <c r="CZ20" s="925"/>
      <c r="DB20" s="925"/>
      <c r="DC20" s="925"/>
      <c r="DD20" s="925"/>
      <c r="DE20" s="925"/>
      <c r="DF20" s="925"/>
      <c r="DG20" s="925"/>
      <c r="DH20" s="925"/>
      <c r="DI20" s="925"/>
      <c r="DJ20" s="925"/>
      <c r="DK20" s="925"/>
      <c r="DL20" s="925"/>
      <c r="DM20" s="925"/>
      <c r="DN20" s="925"/>
      <c r="DO20" s="925"/>
      <c r="DP20" s="925"/>
      <c r="DQ20" s="924"/>
      <c r="DR20" s="925"/>
      <c r="DS20" s="925"/>
      <c r="DT20" s="925"/>
      <c r="DV20" s="925"/>
      <c r="DW20" s="925"/>
      <c r="DX20" s="925"/>
      <c r="DY20" s="925"/>
      <c r="DZ20" s="925"/>
      <c r="EA20" s="925"/>
      <c r="EB20" s="925"/>
      <c r="EC20" s="925"/>
      <c r="ED20" s="925"/>
      <c r="EE20" s="925"/>
      <c r="EF20" s="925"/>
      <c r="EG20" s="925"/>
      <c r="EH20" s="925"/>
      <c r="EI20" s="925"/>
      <c r="EJ20" s="925"/>
      <c r="EK20" s="925"/>
      <c r="EL20" s="925"/>
      <c r="EM20" s="925"/>
      <c r="EN20" s="925"/>
      <c r="EO20" s="925"/>
      <c r="EP20" s="925"/>
      <c r="EQ20" s="925"/>
      <c r="ER20" s="925"/>
      <c r="ES20" s="925"/>
      <c r="ET20" s="925"/>
      <c r="EV20" s="924"/>
      <c r="EW20" s="925"/>
      <c r="EX20" s="925"/>
      <c r="EY20" s="925"/>
    </row>
    <row r="21" spans="1:155" s="927" customFormat="1" ht="15.75" x14ac:dyDescent="0.25">
      <c r="A21" s="912" t="s">
        <v>359</v>
      </c>
      <c r="B21" s="913" t="s">
        <v>1383</v>
      </c>
      <c r="C21" s="914">
        <v>1</v>
      </c>
      <c r="D21" s="914">
        <v>22542</v>
      </c>
      <c r="E21" s="915">
        <v>1.0549999999999999</v>
      </c>
      <c r="F21" s="916">
        <f t="shared" si="0"/>
        <v>23782</v>
      </c>
      <c r="G21" s="915">
        <v>1.01</v>
      </c>
      <c r="H21" s="916">
        <f t="shared" si="1"/>
        <v>24020</v>
      </c>
      <c r="I21" s="917">
        <f t="shared" si="2"/>
        <v>24020</v>
      </c>
      <c r="J21" s="918">
        <f t="shared" si="3"/>
        <v>0</v>
      </c>
      <c r="K21" s="919"/>
      <c r="L21" s="917">
        <f t="shared" si="4"/>
        <v>0</v>
      </c>
      <c r="M21" s="918">
        <f t="shared" si="5"/>
        <v>0</v>
      </c>
      <c r="N21" s="919"/>
      <c r="O21" s="917">
        <f t="shared" si="6"/>
        <v>0</v>
      </c>
      <c r="P21" s="918">
        <f t="shared" si="7"/>
        <v>0</v>
      </c>
      <c r="Q21" s="919"/>
      <c r="R21" s="917">
        <f t="shared" si="8"/>
        <v>0</v>
      </c>
      <c r="S21" s="918">
        <f t="shared" si="9"/>
        <v>0</v>
      </c>
      <c r="T21" s="919"/>
      <c r="U21" s="917">
        <f t="shared" si="10"/>
        <v>0</v>
      </c>
      <c r="V21" s="918">
        <f t="shared" si="11"/>
        <v>0</v>
      </c>
      <c r="W21" s="919"/>
      <c r="X21" s="917">
        <f t="shared" si="12"/>
        <v>0</v>
      </c>
      <c r="Y21" s="918">
        <f t="shared" si="13"/>
        <v>0</v>
      </c>
      <c r="Z21" s="919"/>
      <c r="AA21" s="917">
        <f t="shared" si="14"/>
        <v>0</v>
      </c>
      <c r="AB21" s="918">
        <f t="shared" si="15"/>
        <v>0.29997000000000001</v>
      </c>
      <c r="AC21" s="919">
        <v>6762</v>
      </c>
      <c r="AD21" s="917">
        <f t="shared" si="16"/>
        <v>7205.28</v>
      </c>
      <c r="AE21" s="918">
        <f t="shared" si="17"/>
        <v>0</v>
      </c>
      <c r="AF21" s="919"/>
      <c r="AG21" s="917">
        <f t="shared" si="18"/>
        <v>0</v>
      </c>
      <c r="AH21" s="918">
        <f t="shared" si="19"/>
        <v>0</v>
      </c>
      <c r="AI21" s="919"/>
      <c r="AJ21" s="917">
        <f t="shared" si="20"/>
        <v>0</v>
      </c>
      <c r="AK21" s="918">
        <f t="shared" si="21"/>
        <v>0</v>
      </c>
      <c r="AL21" s="919"/>
      <c r="AM21" s="917">
        <f t="shared" si="22"/>
        <v>0</v>
      </c>
      <c r="AN21" s="920">
        <v>19242</v>
      </c>
      <c r="AO21" s="917">
        <f t="shared" si="23"/>
        <v>0</v>
      </c>
      <c r="AP21" s="920"/>
      <c r="AQ21" s="916">
        <f t="shared" si="24"/>
        <v>0</v>
      </c>
      <c r="AR21" s="917">
        <f t="shared" si="25"/>
        <v>31225.279999999999</v>
      </c>
      <c r="AS21" s="916">
        <v>12</v>
      </c>
      <c r="AT21" s="921">
        <f t="shared" si="26"/>
        <v>374703.35999999999</v>
      </c>
      <c r="AU21" s="920"/>
      <c r="AV21" s="922">
        <f t="shared" si="27"/>
        <v>3747.03</v>
      </c>
      <c r="AW21" s="921">
        <f t="shared" si="28"/>
        <v>378450.39</v>
      </c>
      <c r="AX21" s="921">
        <f t="shared" si="29"/>
        <v>114292.02</v>
      </c>
      <c r="AY21" s="921">
        <f t="shared" si="30"/>
        <v>492742.41</v>
      </c>
      <c r="AZ21" s="923">
        <f t="shared" si="31"/>
        <v>378.5</v>
      </c>
      <c r="BA21" s="923">
        <f t="shared" si="32"/>
        <v>114.3</v>
      </c>
      <c r="BB21" s="923">
        <f t="shared" si="33"/>
        <v>492.8</v>
      </c>
      <c r="BC21" s="915">
        <v>0.95</v>
      </c>
      <c r="BD21" s="923">
        <f t="shared" si="34"/>
        <v>359.6</v>
      </c>
      <c r="BE21" s="923">
        <f t="shared" si="35"/>
        <v>108.6</v>
      </c>
      <c r="BF21" s="923">
        <f t="shared" si="36"/>
        <v>468.2</v>
      </c>
      <c r="BG21" s="924">
        <f>'[3]свод (2024)'!$B$116</f>
        <v>0.99758349999999996</v>
      </c>
      <c r="BH21" s="923">
        <f t="shared" si="37"/>
        <v>358.7</v>
      </c>
      <c r="BI21" s="923">
        <f t="shared" si="38"/>
        <v>108.3</v>
      </c>
      <c r="BJ21" s="923">
        <f t="shared" si="39"/>
        <v>467</v>
      </c>
      <c r="BK21" s="925">
        <f t="shared" si="40"/>
        <v>-19.8</v>
      </c>
      <c r="BL21" s="925">
        <f t="shared" si="40"/>
        <v>-6</v>
      </c>
      <c r="BM21" s="925">
        <f t="shared" si="41"/>
        <v>-25.8</v>
      </c>
      <c r="BN21" s="925">
        <f t="shared" si="42"/>
        <v>0</v>
      </c>
      <c r="BO21" s="925">
        <f t="shared" si="43"/>
        <v>0</v>
      </c>
      <c r="BP21" s="926"/>
      <c r="BQ21" s="925">
        <f t="shared" si="44"/>
        <v>358.7</v>
      </c>
      <c r="BR21" s="925">
        <f t="shared" si="44"/>
        <v>108.3</v>
      </c>
      <c r="BS21" s="925">
        <f t="shared" si="45"/>
        <v>467</v>
      </c>
      <c r="BU21" s="928"/>
      <c r="BV21" s="917"/>
      <c r="BW21" s="928"/>
      <c r="BX21" s="928"/>
      <c r="BY21" s="928"/>
      <c r="BZ21" s="917"/>
      <c r="CA21" s="928"/>
      <c r="CB21" s="917"/>
      <c r="CC21" s="928"/>
      <c r="CD21" s="928"/>
      <c r="CE21" s="928"/>
      <c r="CF21" s="929"/>
      <c r="CG21" s="928"/>
      <c r="CH21" s="928"/>
      <c r="CI21" s="928"/>
      <c r="CJ21" s="925"/>
      <c r="CK21" s="925"/>
      <c r="CL21" s="925"/>
      <c r="CM21" s="925"/>
      <c r="CN21" s="925"/>
      <c r="CO21" s="925"/>
      <c r="CP21" s="925"/>
      <c r="CQ21" s="925"/>
      <c r="CR21" s="925"/>
      <c r="CS21" s="917"/>
      <c r="CT21" s="928"/>
      <c r="CU21" s="928"/>
      <c r="CV21" s="928"/>
      <c r="CX21" s="925"/>
      <c r="CY21" s="925"/>
      <c r="CZ21" s="925"/>
      <c r="DB21" s="925"/>
      <c r="DC21" s="925"/>
      <c r="DD21" s="925"/>
      <c r="DE21" s="925"/>
      <c r="DF21" s="925"/>
      <c r="DG21" s="925"/>
      <c r="DH21" s="925"/>
      <c r="DI21" s="925"/>
      <c r="DJ21" s="925"/>
      <c r="DK21" s="925"/>
      <c r="DL21" s="925"/>
      <c r="DM21" s="925"/>
      <c r="DN21" s="925"/>
      <c r="DO21" s="925"/>
      <c r="DP21" s="925"/>
      <c r="DQ21" s="924"/>
      <c r="DR21" s="925"/>
      <c r="DS21" s="925"/>
      <c r="DT21" s="925"/>
      <c r="DV21" s="925"/>
      <c r="DW21" s="925"/>
      <c r="DX21" s="925"/>
      <c r="DY21" s="925"/>
      <c r="DZ21" s="925"/>
      <c r="EA21" s="925"/>
      <c r="EB21" s="925"/>
      <c r="EC21" s="925"/>
      <c r="ED21" s="925"/>
      <c r="EE21" s="925"/>
      <c r="EF21" s="925"/>
      <c r="EG21" s="925"/>
      <c r="EH21" s="925"/>
      <c r="EI21" s="925"/>
      <c r="EJ21" s="925"/>
      <c r="EK21" s="925"/>
      <c r="EL21" s="925"/>
      <c r="EM21" s="925"/>
      <c r="EN21" s="925"/>
      <c r="EO21" s="925"/>
      <c r="EP21" s="925"/>
      <c r="EQ21" s="925"/>
      <c r="ER21" s="925"/>
      <c r="ES21" s="925"/>
      <c r="ET21" s="925"/>
      <c r="EV21" s="924"/>
      <c r="EW21" s="925"/>
      <c r="EX21" s="925"/>
      <c r="EY21" s="925"/>
    </row>
    <row r="22" spans="1:155" s="927" customFormat="1" ht="24" x14ac:dyDescent="0.25">
      <c r="A22" s="912" t="s">
        <v>359</v>
      </c>
      <c r="B22" s="913" t="s">
        <v>1384</v>
      </c>
      <c r="C22" s="914">
        <v>1</v>
      </c>
      <c r="D22" s="914">
        <v>22542</v>
      </c>
      <c r="E22" s="915">
        <v>1.0549999999999999</v>
      </c>
      <c r="F22" s="916">
        <f t="shared" si="0"/>
        <v>23782</v>
      </c>
      <c r="G22" s="915">
        <v>1.01</v>
      </c>
      <c r="H22" s="916">
        <f t="shared" si="1"/>
        <v>24020</v>
      </c>
      <c r="I22" s="917">
        <f t="shared" si="2"/>
        <v>24020</v>
      </c>
      <c r="J22" s="918">
        <f t="shared" si="3"/>
        <v>0</v>
      </c>
      <c r="K22" s="919"/>
      <c r="L22" s="917">
        <f t="shared" si="4"/>
        <v>0</v>
      </c>
      <c r="M22" s="918">
        <f t="shared" si="5"/>
        <v>0</v>
      </c>
      <c r="N22" s="919"/>
      <c r="O22" s="917">
        <f t="shared" si="6"/>
        <v>0</v>
      </c>
      <c r="P22" s="918">
        <f t="shared" si="7"/>
        <v>0</v>
      </c>
      <c r="Q22" s="919"/>
      <c r="R22" s="917">
        <f t="shared" si="8"/>
        <v>0</v>
      </c>
      <c r="S22" s="918">
        <f t="shared" si="9"/>
        <v>0</v>
      </c>
      <c r="T22" s="919"/>
      <c r="U22" s="917">
        <f t="shared" si="10"/>
        <v>0</v>
      </c>
      <c r="V22" s="918">
        <f t="shared" si="11"/>
        <v>0</v>
      </c>
      <c r="W22" s="919"/>
      <c r="X22" s="917">
        <f t="shared" si="12"/>
        <v>0</v>
      </c>
      <c r="Y22" s="918">
        <f t="shared" si="13"/>
        <v>0</v>
      </c>
      <c r="Z22" s="919"/>
      <c r="AA22" s="917">
        <f t="shared" si="14"/>
        <v>0</v>
      </c>
      <c r="AB22" s="918">
        <f t="shared" si="15"/>
        <v>0.2</v>
      </c>
      <c r="AC22" s="919">
        <v>4508.3999999999996</v>
      </c>
      <c r="AD22" s="917">
        <f t="shared" si="16"/>
        <v>4804</v>
      </c>
      <c r="AE22" s="918">
        <f t="shared" si="17"/>
        <v>0</v>
      </c>
      <c r="AF22" s="919"/>
      <c r="AG22" s="917">
        <f t="shared" si="18"/>
        <v>0</v>
      </c>
      <c r="AH22" s="918">
        <f t="shared" si="19"/>
        <v>0</v>
      </c>
      <c r="AI22" s="919"/>
      <c r="AJ22" s="917">
        <f t="shared" si="20"/>
        <v>0</v>
      </c>
      <c r="AK22" s="918">
        <f t="shared" si="21"/>
        <v>0</v>
      </c>
      <c r="AL22" s="919"/>
      <c r="AM22" s="917">
        <f t="shared" si="22"/>
        <v>0</v>
      </c>
      <c r="AN22" s="920">
        <v>19242</v>
      </c>
      <c r="AO22" s="917">
        <f t="shared" si="23"/>
        <v>0</v>
      </c>
      <c r="AP22" s="920"/>
      <c r="AQ22" s="916">
        <f t="shared" si="24"/>
        <v>0</v>
      </c>
      <c r="AR22" s="917">
        <f t="shared" si="25"/>
        <v>28824</v>
      </c>
      <c r="AS22" s="916">
        <v>12</v>
      </c>
      <c r="AT22" s="921">
        <f t="shared" si="26"/>
        <v>345888</v>
      </c>
      <c r="AU22" s="920"/>
      <c r="AV22" s="922">
        <f t="shared" si="27"/>
        <v>3458.88</v>
      </c>
      <c r="AW22" s="921">
        <f t="shared" si="28"/>
        <v>349346.88</v>
      </c>
      <c r="AX22" s="921">
        <f t="shared" si="29"/>
        <v>105502.76</v>
      </c>
      <c r="AY22" s="921">
        <f t="shared" si="30"/>
        <v>454849.64</v>
      </c>
      <c r="AZ22" s="923">
        <f t="shared" si="31"/>
        <v>349.3</v>
      </c>
      <c r="BA22" s="923">
        <f t="shared" si="32"/>
        <v>105.5</v>
      </c>
      <c r="BB22" s="923">
        <f t="shared" si="33"/>
        <v>454.8</v>
      </c>
      <c r="BC22" s="915">
        <v>0.95</v>
      </c>
      <c r="BD22" s="923">
        <f t="shared" si="34"/>
        <v>331.8</v>
      </c>
      <c r="BE22" s="923">
        <f t="shared" si="35"/>
        <v>100.2</v>
      </c>
      <c r="BF22" s="923">
        <f t="shared" si="36"/>
        <v>432</v>
      </c>
      <c r="BG22" s="924">
        <f>'[3]свод (2024)'!$B$116</f>
        <v>0.99758349999999996</v>
      </c>
      <c r="BH22" s="923">
        <f t="shared" si="37"/>
        <v>331</v>
      </c>
      <c r="BI22" s="923">
        <f t="shared" si="38"/>
        <v>100</v>
      </c>
      <c r="BJ22" s="923">
        <f t="shared" si="39"/>
        <v>431</v>
      </c>
      <c r="BK22" s="925">
        <f t="shared" si="40"/>
        <v>-18.3</v>
      </c>
      <c r="BL22" s="925">
        <f t="shared" si="40"/>
        <v>-5.5</v>
      </c>
      <c r="BM22" s="925">
        <f t="shared" si="41"/>
        <v>-23.8</v>
      </c>
      <c r="BN22" s="925">
        <f t="shared" si="42"/>
        <v>0</v>
      </c>
      <c r="BO22" s="925">
        <f t="shared" si="43"/>
        <v>0</v>
      </c>
      <c r="BP22" s="926"/>
      <c r="BQ22" s="925">
        <f t="shared" si="44"/>
        <v>331</v>
      </c>
      <c r="BR22" s="925">
        <f t="shared" si="44"/>
        <v>100</v>
      </c>
      <c r="BS22" s="925">
        <f t="shared" si="45"/>
        <v>431</v>
      </c>
      <c r="BU22" s="928"/>
      <c r="BV22" s="917"/>
      <c r="BW22" s="928"/>
      <c r="BX22" s="928"/>
      <c r="BY22" s="928"/>
      <c r="BZ22" s="917"/>
      <c r="CA22" s="928"/>
      <c r="CB22" s="917"/>
      <c r="CC22" s="928"/>
      <c r="CD22" s="928"/>
      <c r="CE22" s="928"/>
      <c r="CF22" s="929"/>
      <c r="CG22" s="928"/>
      <c r="CH22" s="928"/>
      <c r="CI22" s="928"/>
      <c r="CJ22" s="925"/>
      <c r="CK22" s="925"/>
      <c r="CL22" s="925"/>
      <c r="CM22" s="925"/>
      <c r="CN22" s="925"/>
      <c r="CO22" s="925"/>
      <c r="CP22" s="925"/>
      <c r="CQ22" s="925"/>
      <c r="CR22" s="925"/>
      <c r="CS22" s="917"/>
      <c r="CT22" s="928"/>
      <c r="CU22" s="928"/>
      <c r="CV22" s="928"/>
      <c r="CX22" s="925"/>
      <c r="CY22" s="925"/>
      <c r="CZ22" s="925"/>
      <c r="DB22" s="925"/>
      <c r="DC22" s="925"/>
      <c r="DD22" s="925"/>
      <c r="DE22" s="925"/>
      <c r="DF22" s="925"/>
      <c r="DG22" s="925"/>
      <c r="DH22" s="925"/>
      <c r="DI22" s="925"/>
      <c r="DJ22" s="925"/>
      <c r="DK22" s="925"/>
      <c r="DL22" s="925"/>
      <c r="DM22" s="925"/>
      <c r="DN22" s="925"/>
      <c r="DO22" s="925"/>
      <c r="DP22" s="925"/>
      <c r="DQ22" s="924"/>
      <c r="DR22" s="925"/>
      <c r="DS22" s="925"/>
      <c r="DT22" s="925"/>
      <c r="DV22" s="925"/>
      <c r="DW22" s="925"/>
      <c r="DX22" s="925"/>
      <c r="DY22" s="925"/>
      <c r="DZ22" s="925"/>
      <c r="EA22" s="925"/>
      <c r="EB22" s="925"/>
      <c r="EC22" s="925"/>
      <c r="ED22" s="925"/>
      <c r="EE22" s="925"/>
      <c r="EF22" s="925"/>
      <c r="EG22" s="925"/>
      <c r="EH22" s="925"/>
      <c r="EI22" s="925"/>
      <c r="EJ22" s="925"/>
      <c r="EK22" s="925"/>
      <c r="EL22" s="925"/>
      <c r="EM22" s="925"/>
      <c r="EN22" s="925"/>
      <c r="EO22" s="925"/>
      <c r="EP22" s="925"/>
      <c r="EQ22" s="925"/>
      <c r="ER22" s="925"/>
      <c r="ES22" s="925"/>
      <c r="ET22" s="925"/>
      <c r="EV22" s="924"/>
      <c r="EW22" s="925"/>
      <c r="EX22" s="925"/>
      <c r="EY22" s="925"/>
    </row>
    <row r="23" spans="1:155" s="927" customFormat="1" ht="15.75" x14ac:dyDescent="0.25">
      <c r="A23" s="912" t="s">
        <v>359</v>
      </c>
      <c r="B23" s="913" t="s">
        <v>495</v>
      </c>
      <c r="C23" s="914">
        <v>2</v>
      </c>
      <c r="D23" s="914">
        <v>7388</v>
      </c>
      <c r="E23" s="915">
        <v>1.0549999999999999</v>
      </c>
      <c r="F23" s="916">
        <f t="shared" si="0"/>
        <v>7795</v>
      </c>
      <c r="G23" s="915">
        <v>1.01</v>
      </c>
      <c r="H23" s="916">
        <f t="shared" si="1"/>
        <v>7873</v>
      </c>
      <c r="I23" s="917">
        <f t="shared" si="2"/>
        <v>15746</v>
      </c>
      <c r="J23" s="918">
        <f t="shared" si="3"/>
        <v>0</v>
      </c>
      <c r="K23" s="919"/>
      <c r="L23" s="917">
        <f t="shared" si="4"/>
        <v>0</v>
      </c>
      <c r="M23" s="918">
        <f t="shared" si="5"/>
        <v>0</v>
      </c>
      <c r="N23" s="919"/>
      <c r="O23" s="917">
        <f t="shared" si="6"/>
        <v>0</v>
      </c>
      <c r="P23" s="918">
        <f t="shared" si="7"/>
        <v>0</v>
      </c>
      <c r="Q23" s="919"/>
      <c r="R23" s="917">
        <f t="shared" si="8"/>
        <v>0</v>
      </c>
      <c r="S23" s="918">
        <f t="shared" si="9"/>
        <v>0</v>
      </c>
      <c r="T23" s="919"/>
      <c r="U23" s="917">
        <f t="shared" si="10"/>
        <v>0</v>
      </c>
      <c r="V23" s="918">
        <f t="shared" si="11"/>
        <v>0</v>
      </c>
      <c r="W23" s="919"/>
      <c r="X23" s="917">
        <f t="shared" si="12"/>
        <v>0</v>
      </c>
      <c r="Y23" s="918">
        <f t="shared" si="13"/>
        <v>1.98</v>
      </c>
      <c r="Z23" s="919">
        <v>29256.48</v>
      </c>
      <c r="AA23" s="917">
        <f t="shared" si="14"/>
        <v>31177.08</v>
      </c>
      <c r="AB23" s="918">
        <f t="shared" si="15"/>
        <v>0.3</v>
      </c>
      <c r="AC23" s="919">
        <v>4432.8</v>
      </c>
      <c r="AD23" s="917">
        <f t="shared" si="16"/>
        <v>4723.8</v>
      </c>
      <c r="AE23" s="918">
        <f t="shared" si="17"/>
        <v>0</v>
      </c>
      <c r="AF23" s="919"/>
      <c r="AG23" s="917">
        <f t="shared" si="18"/>
        <v>0</v>
      </c>
      <c r="AH23" s="918">
        <f t="shared" si="19"/>
        <v>0</v>
      </c>
      <c r="AI23" s="919"/>
      <c r="AJ23" s="917">
        <f t="shared" si="20"/>
        <v>0</v>
      </c>
      <c r="AK23" s="918">
        <f t="shared" si="21"/>
        <v>0</v>
      </c>
      <c r="AL23" s="919"/>
      <c r="AM23" s="917">
        <f t="shared" si="22"/>
        <v>0</v>
      </c>
      <c r="AN23" s="920">
        <v>19242</v>
      </c>
      <c r="AO23" s="917">
        <f t="shared" si="23"/>
        <v>0</v>
      </c>
      <c r="AP23" s="920"/>
      <c r="AQ23" s="916">
        <f t="shared" si="24"/>
        <v>0</v>
      </c>
      <c r="AR23" s="917">
        <f t="shared" si="25"/>
        <v>51646.879999999997</v>
      </c>
      <c r="AS23" s="916">
        <v>12</v>
      </c>
      <c r="AT23" s="921">
        <f t="shared" si="26"/>
        <v>619762.56000000006</v>
      </c>
      <c r="AU23" s="920"/>
      <c r="AV23" s="922">
        <f t="shared" si="27"/>
        <v>6197.63</v>
      </c>
      <c r="AW23" s="921">
        <f t="shared" si="28"/>
        <v>625960.18999999994</v>
      </c>
      <c r="AX23" s="921">
        <f t="shared" si="29"/>
        <v>189039.98</v>
      </c>
      <c r="AY23" s="921">
        <f t="shared" si="30"/>
        <v>815000.17</v>
      </c>
      <c r="AZ23" s="923">
        <f t="shared" si="31"/>
        <v>626</v>
      </c>
      <c r="BA23" s="923">
        <f t="shared" si="32"/>
        <v>189.1</v>
      </c>
      <c r="BB23" s="923">
        <f t="shared" si="33"/>
        <v>815.1</v>
      </c>
      <c r="BC23" s="915">
        <v>0.95</v>
      </c>
      <c r="BD23" s="923">
        <f t="shared" si="34"/>
        <v>594.70000000000005</v>
      </c>
      <c r="BE23" s="923">
        <f t="shared" si="35"/>
        <v>179.6</v>
      </c>
      <c r="BF23" s="923">
        <f t="shared" si="36"/>
        <v>774.3</v>
      </c>
      <c r="BG23" s="924">
        <f>'[3]свод (2024)'!$B$116</f>
        <v>0.99758349999999996</v>
      </c>
      <c r="BH23" s="923">
        <f t="shared" si="37"/>
        <v>593.29999999999995</v>
      </c>
      <c r="BI23" s="923">
        <f t="shared" si="38"/>
        <v>179.2</v>
      </c>
      <c r="BJ23" s="923">
        <f t="shared" si="39"/>
        <v>772.5</v>
      </c>
      <c r="BK23" s="925">
        <f t="shared" si="40"/>
        <v>-32.700000000000003</v>
      </c>
      <c r="BL23" s="925">
        <f t="shared" si="40"/>
        <v>-9.9</v>
      </c>
      <c r="BM23" s="925">
        <f t="shared" si="41"/>
        <v>-42.6</v>
      </c>
      <c r="BN23" s="925">
        <f t="shared" si="42"/>
        <v>0</v>
      </c>
      <c r="BO23" s="925">
        <f t="shared" si="43"/>
        <v>0</v>
      </c>
      <c r="BP23" s="926"/>
      <c r="BQ23" s="925">
        <f t="shared" si="44"/>
        <v>593.29999999999995</v>
      </c>
      <c r="BR23" s="925">
        <f t="shared" si="44"/>
        <v>179.2</v>
      </c>
      <c r="BS23" s="925">
        <f t="shared" si="45"/>
        <v>772.5</v>
      </c>
      <c r="BU23" s="928"/>
      <c r="BV23" s="917"/>
      <c r="BW23" s="928"/>
      <c r="BX23" s="928"/>
      <c r="BY23" s="928"/>
      <c r="BZ23" s="917"/>
      <c r="CA23" s="928"/>
      <c r="CB23" s="917"/>
      <c r="CC23" s="928"/>
      <c r="CD23" s="928"/>
      <c r="CE23" s="928"/>
      <c r="CF23" s="929"/>
      <c r="CG23" s="928"/>
      <c r="CH23" s="928"/>
      <c r="CI23" s="928"/>
      <c r="CJ23" s="925"/>
      <c r="CK23" s="925"/>
      <c r="CL23" s="925"/>
      <c r="CM23" s="925"/>
      <c r="CN23" s="925"/>
      <c r="CO23" s="925"/>
      <c r="CP23" s="925"/>
      <c r="CQ23" s="925"/>
      <c r="CR23" s="925"/>
      <c r="CS23" s="917"/>
      <c r="CT23" s="928"/>
      <c r="CU23" s="928"/>
      <c r="CV23" s="928"/>
      <c r="CX23" s="925"/>
      <c r="CY23" s="925"/>
      <c r="CZ23" s="925"/>
      <c r="DB23" s="925"/>
      <c r="DC23" s="925"/>
      <c r="DD23" s="925"/>
      <c r="DE23" s="925"/>
      <c r="DF23" s="925"/>
      <c r="DG23" s="925"/>
      <c r="DH23" s="925"/>
      <c r="DI23" s="925"/>
      <c r="DJ23" s="925"/>
      <c r="DK23" s="925"/>
      <c r="DL23" s="925"/>
      <c r="DM23" s="925"/>
      <c r="DN23" s="925"/>
      <c r="DO23" s="925"/>
      <c r="DP23" s="925"/>
      <c r="DQ23" s="924"/>
      <c r="DR23" s="925"/>
      <c r="DS23" s="925"/>
      <c r="DT23" s="925"/>
      <c r="DV23" s="925"/>
      <c r="DW23" s="925"/>
      <c r="DX23" s="925"/>
      <c r="DY23" s="925"/>
      <c r="DZ23" s="925"/>
      <c r="EA23" s="925"/>
      <c r="EB23" s="925"/>
      <c r="EC23" s="925"/>
      <c r="ED23" s="925"/>
      <c r="EE23" s="925"/>
      <c r="EF23" s="925"/>
      <c r="EG23" s="925"/>
      <c r="EH23" s="925"/>
      <c r="EI23" s="925"/>
      <c r="EJ23" s="925"/>
      <c r="EK23" s="925"/>
      <c r="EL23" s="925"/>
      <c r="EM23" s="925"/>
      <c r="EN23" s="925"/>
      <c r="EO23" s="925"/>
      <c r="EP23" s="925"/>
      <c r="EQ23" s="925"/>
      <c r="ER23" s="925"/>
      <c r="ES23" s="925"/>
      <c r="ET23" s="925"/>
      <c r="EV23" s="924"/>
      <c r="EW23" s="925"/>
      <c r="EX23" s="925"/>
      <c r="EY23" s="925"/>
    </row>
    <row r="24" spans="1:155" s="927" customFormat="1" ht="15.75" x14ac:dyDescent="0.25">
      <c r="A24" s="912" t="s">
        <v>359</v>
      </c>
      <c r="B24" s="913" t="s">
        <v>1385</v>
      </c>
      <c r="C24" s="914">
        <v>1</v>
      </c>
      <c r="D24" s="914">
        <v>7755</v>
      </c>
      <c r="E24" s="915">
        <v>1.0549999999999999</v>
      </c>
      <c r="F24" s="916">
        <f t="shared" si="0"/>
        <v>8182</v>
      </c>
      <c r="G24" s="915">
        <v>1.01</v>
      </c>
      <c r="H24" s="916">
        <f t="shared" si="1"/>
        <v>8264</v>
      </c>
      <c r="I24" s="917">
        <f t="shared" si="2"/>
        <v>8264</v>
      </c>
      <c r="J24" s="918">
        <f t="shared" si="3"/>
        <v>0</v>
      </c>
      <c r="K24" s="919"/>
      <c r="L24" s="917">
        <f t="shared" si="4"/>
        <v>0</v>
      </c>
      <c r="M24" s="918">
        <f t="shared" si="5"/>
        <v>0</v>
      </c>
      <c r="N24" s="919"/>
      <c r="O24" s="917">
        <f t="shared" si="6"/>
        <v>0</v>
      </c>
      <c r="P24" s="918">
        <f t="shared" si="7"/>
        <v>0</v>
      </c>
      <c r="Q24" s="919"/>
      <c r="R24" s="917">
        <f t="shared" si="8"/>
        <v>0</v>
      </c>
      <c r="S24" s="918">
        <f t="shared" si="9"/>
        <v>0</v>
      </c>
      <c r="T24" s="919"/>
      <c r="U24" s="917">
        <f t="shared" si="10"/>
        <v>0</v>
      </c>
      <c r="V24" s="918">
        <f t="shared" si="11"/>
        <v>0</v>
      </c>
      <c r="W24" s="919"/>
      <c r="X24" s="917">
        <f t="shared" si="12"/>
        <v>0</v>
      </c>
      <c r="Y24" s="918">
        <f t="shared" si="13"/>
        <v>1.98</v>
      </c>
      <c r="Z24" s="919">
        <v>15354.9</v>
      </c>
      <c r="AA24" s="917">
        <f t="shared" si="14"/>
        <v>16362.72</v>
      </c>
      <c r="AB24" s="918">
        <f t="shared" si="15"/>
        <v>0.3</v>
      </c>
      <c r="AC24" s="919">
        <v>2326.5</v>
      </c>
      <c r="AD24" s="917">
        <f t="shared" si="16"/>
        <v>2479.1999999999998</v>
      </c>
      <c r="AE24" s="918">
        <f t="shared" si="17"/>
        <v>0</v>
      </c>
      <c r="AF24" s="919"/>
      <c r="AG24" s="917">
        <f t="shared" si="18"/>
        <v>0</v>
      </c>
      <c r="AH24" s="918">
        <f t="shared" si="19"/>
        <v>0</v>
      </c>
      <c r="AI24" s="919"/>
      <c r="AJ24" s="917">
        <f t="shared" si="20"/>
        <v>0</v>
      </c>
      <c r="AK24" s="918">
        <f t="shared" si="21"/>
        <v>0</v>
      </c>
      <c r="AL24" s="919"/>
      <c r="AM24" s="917">
        <f t="shared" si="22"/>
        <v>0</v>
      </c>
      <c r="AN24" s="920">
        <v>19242</v>
      </c>
      <c r="AO24" s="917">
        <f t="shared" si="23"/>
        <v>0</v>
      </c>
      <c r="AP24" s="920"/>
      <c r="AQ24" s="916">
        <f t="shared" si="24"/>
        <v>0</v>
      </c>
      <c r="AR24" s="917">
        <f t="shared" si="25"/>
        <v>27105.919999999998</v>
      </c>
      <c r="AS24" s="916">
        <v>12</v>
      </c>
      <c r="AT24" s="921">
        <f t="shared" si="26"/>
        <v>325271.03999999998</v>
      </c>
      <c r="AU24" s="920"/>
      <c r="AV24" s="922">
        <f t="shared" si="27"/>
        <v>3252.71</v>
      </c>
      <c r="AW24" s="921">
        <f t="shared" si="28"/>
        <v>328523.75</v>
      </c>
      <c r="AX24" s="921">
        <f t="shared" si="29"/>
        <v>99214.17</v>
      </c>
      <c r="AY24" s="921">
        <f t="shared" si="30"/>
        <v>427737.92</v>
      </c>
      <c r="AZ24" s="923">
        <f t="shared" si="31"/>
        <v>328.5</v>
      </c>
      <c r="BA24" s="923">
        <f t="shared" si="32"/>
        <v>99.2</v>
      </c>
      <c r="BB24" s="923">
        <f t="shared" si="33"/>
        <v>427.7</v>
      </c>
      <c r="BC24" s="915">
        <v>0.95</v>
      </c>
      <c r="BD24" s="923">
        <f t="shared" si="34"/>
        <v>312.10000000000002</v>
      </c>
      <c r="BE24" s="923">
        <f t="shared" si="35"/>
        <v>94.3</v>
      </c>
      <c r="BF24" s="923">
        <f t="shared" si="36"/>
        <v>406.4</v>
      </c>
      <c r="BG24" s="924">
        <f>'[3]свод (2024)'!$B$116</f>
        <v>0.99758349999999996</v>
      </c>
      <c r="BH24" s="923">
        <f t="shared" si="37"/>
        <v>311.3</v>
      </c>
      <c r="BI24" s="923">
        <f t="shared" si="38"/>
        <v>94</v>
      </c>
      <c r="BJ24" s="923">
        <f t="shared" si="39"/>
        <v>405.3</v>
      </c>
      <c r="BK24" s="925">
        <f t="shared" si="40"/>
        <v>-17.2</v>
      </c>
      <c r="BL24" s="925">
        <f t="shared" si="40"/>
        <v>-5.2</v>
      </c>
      <c r="BM24" s="925">
        <f t="shared" si="41"/>
        <v>-22.4</v>
      </c>
      <c r="BN24" s="925">
        <f t="shared" si="42"/>
        <v>0</v>
      </c>
      <c r="BO24" s="925">
        <f t="shared" si="43"/>
        <v>0</v>
      </c>
      <c r="BP24" s="926"/>
      <c r="BQ24" s="925">
        <f t="shared" si="44"/>
        <v>311.3</v>
      </c>
      <c r="BR24" s="925">
        <f t="shared" si="44"/>
        <v>94</v>
      </c>
      <c r="BS24" s="925">
        <f t="shared" si="45"/>
        <v>405.3</v>
      </c>
      <c r="BU24" s="928"/>
      <c r="BV24" s="917"/>
      <c r="BW24" s="928"/>
      <c r="BX24" s="928"/>
      <c r="BY24" s="928"/>
      <c r="BZ24" s="917"/>
      <c r="CA24" s="928"/>
      <c r="CB24" s="917"/>
      <c r="CC24" s="928"/>
      <c r="CD24" s="928"/>
      <c r="CE24" s="928"/>
      <c r="CF24" s="929"/>
      <c r="CG24" s="928"/>
      <c r="CH24" s="928"/>
      <c r="CI24" s="928"/>
      <c r="CJ24" s="925"/>
      <c r="CK24" s="925"/>
      <c r="CL24" s="925"/>
      <c r="CM24" s="925"/>
      <c r="CN24" s="925"/>
      <c r="CO24" s="925"/>
      <c r="CP24" s="925"/>
      <c r="CQ24" s="925"/>
      <c r="CR24" s="925"/>
      <c r="CS24" s="917"/>
      <c r="CT24" s="928"/>
      <c r="CU24" s="928"/>
      <c r="CV24" s="928"/>
      <c r="CX24" s="925"/>
      <c r="CY24" s="925"/>
      <c r="CZ24" s="925"/>
      <c r="DB24" s="925"/>
      <c r="DC24" s="925"/>
      <c r="DD24" s="925"/>
      <c r="DE24" s="925"/>
      <c r="DF24" s="925"/>
      <c r="DG24" s="925"/>
      <c r="DH24" s="925"/>
      <c r="DI24" s="925"/>
      <c r="DJ24" s="925"/>
      <c r="DK24" s="925"/>
      <c r="DL24" s="925"/>
      <c r="DM24" s="925"/>
      <c r="DN24" s="925"/>
      <c r="DO24" s="925"/>
      <c r="DP24" s="925"/>
      <c r="DQ24" s="924"/>
      <c r="DR24" s="925"/>
      <c r="DS24" s="925"/>
      <c r="DT24" s="925"/>
      <c r="DV24" s="925"/>
      <c r="DW24" s="925"/>
      <c r="DX24" s="925"/>
      <c r="DY24" s="925"/>
      <c r="DZ24" s="925"/>
      <c r="EA24" s="925"/>
      <c r="EB24" s="925"/>
      <c r="EC24" s="925"/>
      <c r="ED24" s="925"/>
      <c r="EE24" s="925"/>
      <c r="EF24" s="925"/>
      <c r="EG24" s="925"/>
      <c r="EH24" s="925"/>
      <c r="EI24" s="925"/>
      <c r="EJ24" s="925"/>
      <c r="EK24" s="925"/>
      <c r="EL24" s="925"/>
      <c r="EM24" s="925"/>
      <c r="EN24" s="925"/>
      <c r="EO24" s="925"/>
      <c r="EP24" s="925"/>
      <c r="EQ24" s="925"/>
      <c r="ER24" s="925"/>
      <c r="ES24" s="925"/>
      <c r="ET24" s="925"/>
      <c r="EV24" s="924"/>
      <c r="EW24" s="925"/>
      <c r="EX24" s="925"/>
      <c r="EY24" s="925"/>
    </row>
    <row r="25" spans="1:155" s="927" customFormat="1" ht="15.75" x14ac:dyDescent="0.25">
      <c r="A25" s="912" t="s">
        <v>359</v>
      </c>
      <c r="B25" s="913" t="s">
        <v>628</v>
      </c>
      <c r="C25" s="914">
        <v>0.5</v>
      </c>
      <c r="D25" s="914">
        <v>6707</v>
      </c>
      <c r="E25" s="915">
        <v>1.0549999999999999</v>
      </c>
      <c r="F25" s="916">
        <f t="shared" si="0"/>
        <v>7076</v>
      </c>
      <c r="G25" s="915">
        <v>1.01</v>
      </c>
      <c r="H25" s="916">
        <f t="shared" si="1"/>
        <v>7147</v>
      </c>
      <c r="I25" s="917">
        <f t="shared" si="2"/>
        <v>3573.5</v>
      </c>
      <c r="J25" s="918">
        <f t="shared" si="3"/>
        <v>0</v>
      </c>
      <c r="K25" s="919"/>
      <c r="L25" s="917">
        <f t="shared" si="4"/>
        <v>0</v>
      </c>
      <c r="M25" s="918">
        <f t="shared" si="5"/>
        <v>0</v>
      </c>
      <c r="N25" s="919"/>
      <c r="O25" s="917">
        <f t="shared" si="6"/>
        <v>0</v>
      </c>
      <c r="P25" s="918">
        <f t="shared" si="7"/>
        <v>0</v>
      </c>
      <c r="Q25" s="919"/>
      <c r="R25" s="917">
        <f t="shared" si="8"/>
        <v>0</v>
      </c>
      <c r="S25" s="918">
        <f t="shared" si="9"/>
        <v>0</v>
      </c>
      <c r="T25" s="919"/>
      <c r="U25" s="917">
        <f t="shared" si="10"/>
        <v>0</v>
      </c>
      <c r="V25" s="918">
        <f t="shared" si="11"/>
        <v>0</v>
      </c>
      <c r="W25" s="919"/>
      <c r="X25" s="917">
        <f t="shared" si="12"/>
        <v>0</v>
      </c>
      <c r="Y25" s="918">
        <f t="shared" si="13"/>
        <v>1.98</v>
      </c>
      <c r="Z25" s="919">
        <v>6639.93</v>
      </c>
      <c r="AA25" s="917">
        <f t="shared" si="14"/>
        <v>7075.53</v>
      </c>
      <c r="AB25" s="918">
        <f t="shared" si="15"/>
        <v>0.3</v>
      </c>
      <c r="AC25" s="919">
        <v>1006.05</v>
      </c>
      <c r="AD25" s="917">
        <f t="shared" si="16"/>
        <v>1072.05</v>
      </c>
      <c r="AE25" s="918">
        <f t="shared" si="17"/>
        <v>0</v>
      </c>
      <c r="AF25" s="919"/>
      <c r="AG25" s="917">
        <f t="shared" si="18"/>
        <v>0</v>
      </c>
      <c r="AH25" s="918">
        <f t="shared" si="19"/>
        <v>0</v>
      </c>
      <c r="AI25" s="919"/>
      <c r="AJ25" s="917">
        <f t="shared" si="20"/>
        <v>0</v>
      </c>
      <c r="AK25" s="918">
        <f t="shared" si="21"/>
        <v>0</v>
      </c>
      <c r="AL25" s="919"/>
      <c r="AM25" s="917">
        <f t="shared" si="22"/>
        <v>0</v>
      </c>
      <c r="AN25" s="920">
        <v>19242</v>
      </c>
      <c r="AO25" s="917">
        <f t="shared" si="23"/>
        <v>0</v>
      </c>
      <c r="AP25" s="920"/>
      <c r="AQ25" s="916">
        <f t="shared" si="24"/>
        <v>0</v>
      </c>
      <c r="AR25" s="917">
        <f t="shared" si="25"/>
        <v>11721.08</v>
      </c>
      <c r="AS25" s="916">
        <v>12</v>
      </c>
      <c r="AT25" s="921">
        <f t="shared" si="26"/>
        <v>140652.96</v>
      </c>
      <c r="AU25" s="920"/>
      <c r="AV25" s="922">
        <f t="shared" si="27"/>
        <v>1406.53</v>
      </c>
      <c r="AW25" s="921">
        <f t="shared" si="28"/>
        <v>142059.49</v>
      </c>
      <c r="AX25" s="921">
        <f t="shared" si="29"/>
        <v>42901.97</v>
      </c>
      <c r="AY25" s="921">
        <f t="shared" si="30"/>
        <v>184961.46</v>
      </c>
      <c r="AZ25" s="923">
        <f t="shared" si="31"/>
        <v>142.1</v>
      </c>
      <c r="BA25" s="923">
        <f t="shared" si="32"/>
        <v>42.9</v>
      </c>
      <c r="BB25" s="923">
        <f t="shared" si="33"/>
        <v>185</v>
      </c>
      <c r="BC25" s="915">
        <v>0.95</v>
      </c>
      <c r="BD25" s="923">
        <f t="shared" si="34"/>
        <v>135</v>
      </c>
      <c r="BE25" s="923">
        <f t="shared" si="35"/>
        <v>40.799999999999997</v>
      </c>
      <c r="BF25" s="923">
        <f t="shared" si="36"/>
        <v>175.8</v>
      </c>
      <c r="BG25" s="924">
        <f>'[3]свод (2024)'!$B$116</f>
        <v>0.99758349999999996</v>
      </c>
      <c r="BH25" s="923">
        <f t="shared" si="37"/>
        <v>134.69999999999999</v>
      </c>
      <c r="BI25" s="923">
        <f t="shared" si="38"/>
        <v>40.700000000000003</v>
      </c>
      <c r="BJ25" s="923">
        <f t="shared" si="39"/>
        <v>175.4</v>
      </c>
      <c r="BK25" s="925">
        <f t="shared" si="40"/>
        <v>-7.4</v>
      </c>
      <c r="BL25" s="925">
        <f t="shared" si="40"/>
        <v>-2.2000000000000002</v>
      </c>
      <c r="BM25" s="925">
        <f t="shared" si="41"/>
        <v>-9.6</v>
      </c>
      <c r="BN25" s="925">
        <f t="shared" si="42"/>
        <v>0</v>
      </c>
      <c r="BO25" s="925">
        <f t="shared" si="43"/>
        <v>0</v>
      </c>
      <c r="BP25" s="926"/>
      <c r="BQ25" s="925">
        <f t="shared" si="44"/>
        <v>134.69999999999999</v>
      </c>
      <c r="BR25" s="925">
        <f t="shared" si="44"/>
        <v>40.700000000000003</v>
      </c>
      <c r="BS25" s="925">
        <f t="shared" si="45"/>
        <v>175.4</v>
      </c>
      <c r="BU25" s="928"/>
      <c r="BV25" s="917"/>
      <c r="BW25" s="928"/>
      <c r="BX25" s="928"/>
      <c r="BY25" s="928"/>
      <c r="BZ25" s="917"/>
      <c r="CA25" s="928"/>
      <c r="CB25" s="917"/>
      <c r="CC25" s="928"/>
      <c r="CD25" s="928"/>
      <c r="CE25" s="928"/>
      <c r="CF25" s="929"/>
      <c r="CG25" s="928"/>
      <c r="CH25" s="928"/>
      <c r="CI25" s="928"/>
      <c r="CJ25" s="925"/>
      <c r="CK25" s="925"/>
      <c r="CL25" s="925"/>
      <c r="CM25" s="925"/>
      <c r="CN25" s="925"/>
      <c r="CO25" s="925"/>
      <c r="CP25" s="925"/>
      <c r="CQ25" s="925"/>
      <c r="CR25" s="925"/>
      <c r="CS25" s="917"/>
      <c r="CT25" s="928"/>
      <c r="CU25" s="928"/>
      <c r="CV25" s="928"/>
      <c r="CX25" s="925"/>
      <c r="CY25" s="925"/>
      <c r="CZ25" s="925"/>
      <c r="DB25" s="925"/>
      <c r="DC25" s="925"/>
      <c r="DD25" s="925"/>
      <c r="DE25" s="925"/>
      <c r="DF25" s="925"/>
      <c r="DG25" s="925"/>
      <c r="DH25" s="925"/>
      <c r="DI25" s="925"/>
      <c r="DJ25" s="925"/>
      <c r="DK25" s="925"/>
      <c r="DL25" s="925"/>
      <c r="DM25" s="925"/>
      <c r="DN25" s="925"/>
      <c r="DO25" s="925"/>
      <c r="DP25" s="925"/>
      <c r="DQ25" s="924"/>
      <c r="DR25" s="925"/>
      <c r="DS25" s="925"/>
      <c r="DT25" s="925"/>
      <c r="DV25" s="925"/>
      <c r="DW25" s="925"/>
      <c r="DX25" s="925"/>
      <c r="DY25" s="925"/>
      <c r="DZ25" s="925"/>
      <c r="EA25" s="925"/>
      <c r="EB25" s="925"/>
      <c r="EC25" s="925"/>
      <c r="ED25" s="925"/>
      <c r="EE25" s="925"/>
      <c r="EF25" s="925"/>
      <c r="EG25" s="925"/>
      <c r="EH25" s="925"/>
      <c r="EI25" s="925"/>
      <c r="EJ25" s="925"/>
      <c r="EK25" s="925"/>
      <c r="EL25" s="925"/>
      <c r="EM25" s="925"/>
      <c r="EN25" s="925"/>
      <c r="EO25" s="925"/>
      <c r="EP25" s="925"/>
      <c r="EQ25" s="925"/>
      <c r="ER25" s="925"/>
      <c r="ES25" s="925"/>
      <c r="ET25" s="925"/>
      <c r="EV25" s="924"/>
      <c r="EW25" s="925"/>
      <c r="EX25" s="925"/>
      <c r="EY25" s="925"/>
    </row>
    <row r="26" spans="1:155" s="927" customFormat="1" ht="15.75" x14ac:dyDescent="0.25">
      <c r="A26" s="912" t="s">
        <v>359</v>
      </c>
      <c r="B26" s="913" t="s">
        <v>629</v>
      </c>
      <c r="C26" s="914">
        <v>1</v>
      </c>
      <c r="D26" s="914">
        <v>13132</v>
      </c>
      <c r="E26" s="915">
        <v>1.0549999999999999</v>
      </c>
      <c r="F26" s="916">
        <f t="shared" si="0"/>
        <v>13855</v>
      </c>
      <c r="G26" s="915">
        <v>1.01</v>
      </c>
      <c r="H26" s="916">
        <f t="shared" si="1"/>
        <v>13994</v>
      </c>
      <c r="I26" s="917">
        <f t="shared" si="2"/>
        <v>13994</v>
      </c>
      <c r="J26" s="918">
        <f t="shared" si="3"/>
        <v>0.25</v>
      </c>
      <c r="K26" s="919">
        <v>3283</v>
      </c>
      <c r="L26" s="917">
        <f t="shared" si="4"/>
        <v>3498.5</v>
      </c>
      <c r="M26" s="918">
        <f t="shared" si="5"/>
        <v>0</v>
      </c>
      <c r="N26" s="919"/>
      <c r="O26" s="917">
        <f t="shared" si="6"/>
        <v>0</v>
      </c>
      <c r="P26" s="918">
        <f t="shared" si="7"/>
        <v>0</v>
      </c>
      <c r="Q26" s="919"/>
      <c r="R26" s="917">
        <f t="shared" si="8"/>
        <v>0</v>
      </c>
      <c r="S26" s="918">
        <f t="shared" si="9"/>
        <v>0</v>
      </c>
      <c r="T26" s="919"/>
      <c r="U26" s="917">
        <f t="shared" si="10"/>
        <v>0</v>
      </c>
      <c r="V26" s="918">
        <f t="shared" si="11"/>
        <v>0</v>
      </c>
      <c r="W26" s="919"/>
      <c r="X26" s="917">
        <f t="shared" si="12"/>
        <v>0</v>
      </c>
      <c r="Y26" s="918">
        <f t="shared" si="13"/>
        <v>0</v>
      </c>
      <c r="Z26" s="919"/>
      <c r="AA26" s="917">
        <f t="shared" si="14"/>
        <v>0</v>
      </c>
      <c r="AB26" s="918">
        <f t="shared" si="15"/>
        <v>0.2</v>
      </c>
      <c r="AC26" s="919">
        <v>2626.4</v>
      </c>
      <c r="AD26" s="917">
        <f t="shared" si="16"/>
        <v>2798.8</v>
      </c>
      <c r="AE26" s="918">
        <f t="shared" si="17"/>
        <v>0.1</v>
      </c>
      <c r="AF26" s="919">
        <v>1313.2</v>
      </c>
      <c r="AG26" s="917">
        <f t="shared" si="18"/>
        <v>1399.4</v>
      </c>
      <c r="AH26" s="918">
        <f t="shared" si="19"/>
        <v>0</v>
      </c>
      <c r="AI26" s="919"/>
      <c r="AJ26" s="917">
        <f t="shared" si="20"/>
        <v>0</v>
      </c>
      <c r="AK26" s="918">
        <f t="shared" si="21"/>
        <v>0</v>
      </c>
      <c r="AL26" s="919"/>
      <c r="AM26" s="917">
        <f t="shared" si="22"/>
        <v>0</v>
      </c>
      <c r="AN26" s="920">
        <v>19242</v>
      </c>
      <c r="AO26" s="917">
        <f t="shared" si="23"/>
        <v>0</v>
      </c>
      <c r="AP26" s="920"/>
      <c r="AQ26" s="916">
        <f t="shared" si="24"/>
        <v>0</v>
      </c>
      <c r="AR26" s="917">
        <f t="shared" si="25"/>
        <v>21690.7</v>
      </c>
      <c r="AS26" s="916">
        <v>12</v>
      </c>
      <c r="AT26" s="921">
        <f t="shared" si="26"/>
        <v>260288.4</v>
      </c>
      <c r="AU26" s="920"/>
      <c r="AV26" s="922">
        <f t="shared" si="27"/>
        <v>2602.88</v>
      </c>
      <c r="AW26" s="921">
        <f t="shared" si="28"/>
        <v>262891.28000000003</v>
      </c>
      <c r="AX26" s="921">
        <f t="shared" si="29"/>
        <v>79393.17</v>
      </c>
      <c r="AY26" s="921">
        <f t="shared" si="30"/>
        <v>342284.45</v>
      </c>
      <c r="AZ26" s="923">
        <f t="shared" si="31"/>
        <v>262.89999999999998</v>
      </c>
      <c r="BA26" s="923">
        <f t="shared" si="32"/>
        <v>79.400000000000006</v>
      </c>
      <c r="BB26" s="923">
        <f t="shared" si="33"/>
        <v>342.3</v>
      </c>
      <c r="BC26" s="915">
        <v>0.95</v>
      </c>
      <c r="BD26" s="923">
        <f t="shared" si="34"/>
        <v>249.8</v>
      </c>
      <c r="BE26" s="923">
        <f t="shared" si="35"/>
        <v>75.400000000000006</v>
      </c>
      <c r="BF26" s="923">
        <f t="shared" si="36"/>
        <v>325.2</v>
      </c>
      <c r="BG26" s="924">
        <f>'[3]свод (2024)'!$B$116</f>
        <v>0.99758349999999996</v>
      </c>
      <c r="BH26" s="923">
        <f t="shared" si="37"/>
        <v>249.2</v>
      </c>
      <c r="BI26" s="923">
        <f t="shared" si="38"/>
        <v>75.3</v>
      </c>
      <c r="BJ26" s="923">
        <f t="shared" si="39"/>
        <v>324.5</v>
      </c>
      <c r="BK26" s="925">
        <f t="shared" si="40"/>
        <v>-13.7</v>
      </c>
      <c r="BL26" s="925">
        <f t="shared" si="40"/>
        <v>-4.0999999999999996</v>
      </c>
      <c r="BM26" s="925">
        <f t="shared" si="41"/>
        <v>-17.8</v>
      </c>
      <c r="BN26" s="925">
        <f t="shared" si="42"/>
        <v>0</v>
      </c>
      <c r="BO26" s="925">
        <f t="shared" si="43"/>
        <v>0</v>
      </c>
      <c r="BP26" s="926"/>
      <c r="BQ26" s="925">
        <f t="shared" si="44"/>
        <v>249.2</v>
      </c>
      <c r="BR26" s="925">
        <f t="shared" si="44"/>
        <v>75.3</v>
      </c>
      <c r="BS26" s="925">
        <f t="shared" si="45"/>
        <v>324.5</v>
      </c>
      <c r="BU26" s="928">
        <f>C26</f>
        <v>1</v>
      </c>
      <c r="BV26" s="917"/>
      <c r="BW26" s="928"/>
      <c r="BX26" s="928">
        <f>AW26-X26</f>
        <v>262891.28000000003</v>
      </c>
      <c r="BY26" s="928"/>
      <c r="BZ26" s="917"/>
      <c r="CA26" s="928"/>
      <c r="CB26" s="917"/>
      <c r="CC26" s="928"/>
      <c r="CD26" s="928"/>
      <c r="CE26" s="928"/>
      <c r="CF26" s="929">
        <f>CC$48/BU$48*BU26</f>
        <v>96429.13</v>
      </c>
      <c r="CG26" s="928"/>
      <c r="CH26" s="928"/>
      <c r="CI26" s="928"/>
      <c r="CJ26" s="925"/>
      <c r="CK26" s="925"/>
      <c r="CL26" s="925"/>
      <c r="CM26" s="925"/>
      <c r="CN26" s="925"/>
      <c r="CO26" s="925"/>
      <c r="CP26" s="925"/>
      <c r="CQ26" s="925"/>
      <c r="CR26" s="925"/>
      <c r="CS26" s="917"/>
      <c r="CT26" s="928"/>
      <c r="CU26" s="928"/>
      <c r="CV26" s="928"/>
      <c r="CX26" s="925"/>
      <c r="CY26" s="925"/>
      <c r="CZ26" s="925"/>
      <c r="DB26" s="925"/>
      <c r="DC26" s="925"/>
      <c r="DD26" s="925"/>
      <c r="DE26" s="925"/>
      <c r="DF26" s="925"/>
      <c r="DG26" s="925"/>
      <c r="DH26" s="925"/>
      <c r="DI26" s="925"/>
      <c r="DJ26" s="925"/>
      <c r="DK26" s="925"/>
      <c r="DL26" s="925"/>
      <c r="DM26" s="925"/>
      <c r="DN26" s="925"/>
      <c r="DO26" s="925"/>
      <c r="DP26" s="925"/>
      <c r="DQ26" s="924"/>
      <c r="DR26" s="925"/>
      <c r="DS26" s="925"/>
      <c r="DT26" s="925"/>
      <c r="DV26" s="925"/>
      <c r="DW26" s="925"/>
      <c r="DX26" s="925"/>
      <c r="DY26" s="925"/>
      <c r="DZ26" s="925"/>
      <c r="EA26" s="925"/>
      <c r="EB26" s="925"/>
      <c r="EC26" s="925"/>
      <c r="ED26" s="925"/>
      <c r="EE26" s="925"/>
      <c r="EF26" s="925"/>
      <c r="EG26" s="925"/>
      <c r="EH26" s="925"/>
      <c r="EI26" s="925"/>
      <c r="EJ26" s="925"/>
      <c r="EK26" s="925"/>
      <c r="EL26" s="925"/>
      <c r="EM26" s="925"/>
      <c r="EN26" s="925"/>
      <c r="EO26" s="925"/>
      <c r="EP26" s="925"/>
      <c r="EQ26" s="925"/>
      <c r="ER26" s="925"/>
      <c r="ES26" s="925"/>
      <c r="ET26" s="925"/>
      <c r="EV26" s="924"/>
      <c r="EW26" s="925"/>
      <c r="EX26" s="925"/>
      <c r="EY26" s="925"/>
    </row>
    <row r="27" spans="1:155" s="927" customFormat="1" ht="15.75" x14ac:dyDescent="0.25">
      <c r="A27" s="912" t="s">
        <v>359</v>
      </c>
      <c r="B27" s="913" t="s">
        <v>38</v>
      </c>
      <c r="C27" s="914">
        <v>8</v>
      </c>
      <c r="D27" s="914">
        <v>13132</v>
      </c>
      <c r="E27" s="915">
        <v>1.0549999999999999</v>
      </c>
      <c r="F27" s="916">
        <f t="shared" si="0"/>
        <v>13855</v>
      </c>
      <c r="G27" s="915">
        <v>1.01</v>
      </c>
      <c r="H27" s="916">
        <f t="shared" si="1"/>
        <v>13994</v>
      </c>
      <c r="I27" s="917">
        <f t="shared" si="2"/>
        <v>111952</v>
      </c>
      <c r="J27" s="918">
        <f t="shared" si="3"/>
        <v>0.25</v>
      </c>
      <c r="K27" s="919">
        <v>26264</v>
      </c>
      <c r="L27" s="917">
        <f t="shared" si="4"/>
        <v>27988</v>
      </c>
      <c r="M27" s="918">
        <f t="shared" si="5"/>
        <v>0</v>
      </c>
      <c r="N27" s="919"/>
      <c r="O27" s="917">
        <f t="shared" si="6"/>
        <v>0</v>
      </c>
      <c r="P27" s="918">
        <f t="shared" si="7"/>
        <v>0</v>
      </c>
      <c r="Q27" s="919"/>
      <c r="R27" s="917">
        <f t="shared" si="8"/>
        <v>0</v>
      </c>
      <c r="S27" s="918">
        <f t="shared" si="9"/>
        <v>0</v>
      </c>
      <c r="T27" s="919"/>
      <c r="U27" s="917">
        <f t="shared" si="10"/>
        <v>0</v>
      </c>
      <c r="V27" s="918">
        <f t="shared" si="11"/>
        <v>0</v>
      </c>
      <c r="W27" s="919"/>
      <c r="X27" s="917">
        <f t="shared" si="12"/>
        <v>0</v>
      </c>
      <c r="Y27" s="918">
        <f t="shared" si="13"/>
        <v>0</v>
      </c>
      <c r="Z27" s="919"/>
      <c r="AA27" s="917">
        <f t="shared" si="14"/>
        <v>0</v>
      </c>
      <c r="AB27" s="918">
        <f t="shared" si="15"/>
        <v>0.2</v>
      </c>
      <c r="AC27" s="919">
        <v>21011.200000000001</v>
      </c>
      <c r="AD27" s="917">
        <f t="shared" si="16"/>
        <v>22390.400000000001</v>
      </c>
      <c r="AE27" s="918">
        <f t="shared" si="17"/>
        <v>0</v>
      </c>
      <c r="AF27" s="919"/>
      <c r="AG27" s="917">
        <f t="shared" si="18"/>
        <v>0</v>
      </c>
      <c r="AH27" s="918">
        <f t="shared" si="19"/>
        <v>0</v>
      </c>
      <c r="AI27" s="919"/>
      <c r="AJ27" s="917">
        <f t="shared" si="20"/>
        <v>0</v>
      </c>
      <c r="AK27" s="918">
        <f t="shared" si="21"/>
        <v>0</v>
      </c>
      <c r="AL27" s="919"/>
      <c r="AM27" s="917">
        <f t="shared" si="22"/>
        <v>0</v>
      </c>
      <c r="AN27" s="920">
        <v>19242</v>
      </c>
      <c r="AO27" s="917">
        <f t="shared" si="23"/>
        <v>0</v>
      </c>
      <c r="AP27" s="920"/>
      <c r="AQ27" s="916">
        <f t="shared" si="24"/>
        <v>0</v>
      </c>
      <c r="AR27" s="917">
        <f t="shared" si="25"/>
        <v>162330.4</v>
      </c>
      <c r="AS27" s="916">
        <v>12</v>
      </c>
      <c r="AT27" s="921">
        <f t="shared" si="26"/>
        <v>1947964.8</v>
      </c>
      <c r="AU27" s="920"/>
      <c r="AV27" s="922">
        <f t="shared" si="27"/>
        <v>19479.650000000001</v>
      </c>
      <c r="AW27" s="921">
        <f t="shared" si="28"/>
        <v>1967444.45</v>
      </c>
      <c r="AX27" s="921">
        <f t="shared" si="29"/>
        <v>594168.22</v>
      </c>
      <c r="AY27" s="921">
        <f t="shared" si="30"/>
        <v>2561612.67</v>
      </c>
      <c r="AZ27" s="923">
        <f t="shared" si="31"/>
        <v>1967.4</v>
      </c>
      <c r="BA27" s="923">
        <f t="shared" si="32"/>
        <v>594.20000000000005</v>
      </c>
      <c r="BB27" s="923">
        <f t="shared" si="33"/>
        <v>2561.6</v>
      </c>
      <c r="BC27" s="915">
        <v>0.95</v>
      </c>
      <c r="BD27" s="923">
        <f t="shared" si="34"/>
        <v>1869</v>
      </c>
      <c r="BE27" s="923">
        <f t="shared" si="35"/>
        <v>564.4</v>
      </c>
      <c r="BF27" s="923">
        <f t="shared" si="36"/>
        <v>2433.4</v>
      </c>
      <c r="BG27" s="924">
        <f>'[3]свод (2024)'!$B$116</f>
        <v>0.99758349999999996</v>
      </c>
      <c r="BH27" s="923">
        <f t="shared" si="37"/>
        <v>1864.5</v>
      </c>
      <c r="BI27" s="923">
        <f t="shared" si="38"/>
        <v>563.1</v>
      </c>
      <c r="BJ27" s="923">
        <f t="shared" si="39"/>
        <v>2427.6</v>
      </c>
      <c r="BK27" s="925">
        <f t="shared" si="40"/>
        <v>-102.9</v>
      </c>
      <c r="BL27" s="925">
        <f t="shared" si="40"/>
        <v>-31.1</v>
      </c>
      <c r="BM27" s="925">
        <f t="shared" si="41"/>
        <v>-134</v>
      </c>
      <c r="BN27" s="925">
        <f t="shared" si="42"/>
        <v>0</v>
      </c>
      <c r="BO27" s="925">
        <f t="shared" si="43"/>
        <v>0</v>
      </c>
      <c r="BP27" s="926"/>
      <c r="BQ27" s="925">
        <f t="shared" si="44"/>
        <v>1864.5</v>
      </c>
      <c r="BR27" s="925">
        <f t="shared" si="44"/>
        <v>563.1</v>
      </c>
      <c r="BS27" s="925">
        <f t="shared" si="45"/>
        <v>2427.6</v>
      </c>
      <c r="BU27" s="928">
        <f>C27</f>
        <v>8</v>
      </c>
      <c r="BV27" s="917"/>
      <c r="BW27" s="928"/>
      <c r="BX27" s="928">
        <f>AW27-X27</f>
        <v>1967444.45</v>
      </c>
      <c r="BY27" s="928"/>
      <c r="BZ27" s="917"/>
      <c r="CA27" s="928"/>
      <c r="CB27" s="917"/>
      <c r="CC27" s="928"/>
      <c r="CD27" s="928"/>
      <c r="CE27" s="928"/>
      <c r="CF27" s="929">
        <f t="shared" ref="CF27:CF43" si="46">CC$48/BU$48*BU27</f>
        <v>771433.04</v>
      </c>
      <c r="CG27" s="928"/>
      <c r="CH27" s="928"/>
      <c r="CI27" s="928"/>
      <c r="CJ27" s="925"/>
      <c r="CK27" s="925"/>
      <c r="CL27" s="925"/>
      <c r="CM27" s="925"/>
      <c r="CN27" s="925"/>
      <c r="CO27" s="925"/>
      <c r="CP27" s="925"/>
      <c r="CQ27" s="925"/>
      <c r="CR27" s="925"/>
      <c r="CS27" s="917"/>
      <c r="CT27" s="928"/>
      <c r="CU27" s="928"/>
      <c r="CV27" s="928"/>
      <c r="CX27" s="925"/>
      <c r="CY27" s="925"/>
      <c r="CZ27" s="925"/>
      <c r="DB27" s="925"/>
      <c r="DC27" s="925"/>
      <c r="DD27" s="925"/>
      <c r="DE27" s="925"/>
      <c r="DF27" s="925"/>
      <c r="DG27" s="925"/>
      <c r="DH27" s="925"/>
      <c r="DI27" s="925"/>
      <c r="DJ27" s="925"/>
      <c r="DK27" s="925"/>
      <c r="DL27" s="925"/>
      <c r="DM27" s="925"/>
      <c r="DN27" s="925"/>
      <c r="DO27" s="925"/>
      <c r="DP27" s="925"/>
      <c r="DQ27" s="924"/>
      <c r="DR27" s="925"/>
      <c r="DS27" s="925"/>
      <c r="DT27" s="925"/>
      <c r="DV27" s="925"/>
      <c r="DW27" s="925"/>
      <c r="DX27" s="925"/>
      <c r="DY27" s="925"/>
      <c r="DZ27" s="925"/>
      <c r="EA27" s="925"/>
      <c r="EB27" s="925"/>
      <c r="EC27" s="925"/>
      <c r="ED27" s="925"/>
      <c r="EE27" s="925"/>
      <c r="EF27" s="925"/>
      <c r="EG27" s="925"/>
      <c r="EH27" s="925"/>
      <c r="EI27" s="925"/>
      <c r="EJ27" s="925"/>
      <c r="EK27" s="925"/>
      <c r="EL27" s="925"/>
      <c r="EM27" s="925"/>
      <c r="EN27" s="925"/>
      <c r="EO27" s="925"/>
      <c r="EP27" s="925"/>
      <c r="EQ27" s="925"/>
      <c r="ER27" s="925"/>
      <c r="ES27" s="925"/>
      <c r="ET27" s="925"/>
      <c r="EV27" s="924"/>
      <c r="EW27" s="925"/>
      <c r="EX27" s="925"/>
      <c r="EY27" s="925"/>
    </row>
    <row r="28" spans="1:155" s="927" customFormat="1" ht="15.75" x14ac:dyDescent="0.25">
      <c r="A28" s="912" t="s">
        <v>359</v>
      </c>
      <c r="B28" s="913" t="s">
        <v>47</v>
      </c>
      <c r="C28" s="914">
        <v>2</v>
      </c>
      <c r="D28" s="914">
        <v>5767</v>
      </c>
      <c r="E28" s="915">
        <v>1.0549999999999999</v>
      </c>
      <c r="F28" s="916">
        <f t="shared" si="0"/>
        <v>6085</v>
      </c>
      <c r="G28" s="915">
        <v>1.01</v>
      </c>
      <c r="H28" s="916">
        <f t="shared" si="1"/>
        <v>6146</v>
      </c>
      <c r="I28" s="917">
        <f t="shared" si="2"/>
        <v>12292</v>
      </c>
      <c r="J28" s="918">
        <f t="shared" si="3"/>
        <v>0</v>
      </c>
      <c r="K28" s="919"/>
      <c r="L28" s="917">
        <f t="shared" si="4"/>
        <v>0</v>
      </c>
      <c r="M28" s="918">
        <f t="shared" si="5"/>
        <v>0</v>
      </c>
      <c r="N28" s="919"/>
      <c r="O28" s="917">
        <f t="shared" si="6"/>
        <v>0</v>
      </c>
      <c r="P28" s="918">
        <f t="shared" si="7"/>
        <v>0</v>
      </c>
      <c r="Q28" s="919"/>
      <c r="R28" s="917">
        <f t="shared" si="8"/>
        <v>0</v>
      </c>
      <c r="S28" s="918">
        <f t="shared" si="9"/>
        <v>0.42102000000000001</v>
      </c>
      <c r="T28" s="919">
        <v>4856</v>
      </c>
      <c r="U28" s="917">
        <f t="shared" si="10"/>
        <v>5175.18</v>
      </c>
      <c r="V28" s="918">
        <f t="shared" si="11"/>
        <v>0</v>
      </c>
      <c r="W28" s="919"/>
      <c r="X28" s="917">
        <f t="shared" si="12"/>
        <v>0</v>
      </c>
      <c r="Y28" s="918">
        <f t="shared" si="13"/>
        <v>0</v>
      </c>
      <c r="Z28" s="919"/>
      <c r="AA28" s="917">
        <f t="shared" si="14"/>
        <v>0</v>
      </c>
      <c r="AB28" s="918">
        <f t="shared" si="15"/>
        <v>0</v>
      </c>
      <c r="AC28" s="919"/>
      <c r="AD28" s="917">
        <f t="shared" si="16"/>
        <v>0</v>
      </c>
      <c r="AE28" s="918">
        <f t="shared" si="17"/>
        <v>0</v>
      </c>
      <c r="AF28" s="919"/>
      <c r="AG28" s="917">
        <f t="shared" si="18"/>
        <v>0</v>
      </c>
      <c r="AH28" s="918">
        <f t="shared" si="19"/>
        <v>0</v>
      </c>
      <c r="AI28" s="919"/>
      <c r="AJ28" s="917">
        <f t="shared" si="20"/>
        <v>0</v>
      </c>
      <c r="AK28" s="918">
        <f t="shared" si="21"/>
        <v>0</v>
      </c>
      <c r="AL28" s="919"/>
      <c r="AM28" s="917">
        <f t="shared" si="22"/>
        <v>0</v>
      </c>
      <c r="AN28" s="920">
        <v>19242</v>
      </c>
      <c r="AO28" s="917">
        <f t="shared" si="23"/>
        <v>21016.82</v>
      </c>
      <c r="AP28" s="920"/>
      <c r="AQ28" s="916">
        <f t="shared" si="24"/>
        <v>0</v>
      </c>
      <c r="AR28" s="917">
        <f t="shared" si="25"/>
        <v>38484</v>
      </c>
      <c r="AS28" s="916">
        <v>12</v>
      </c>
      <c r="AT28" s="921">
        <f t="shared" si="26"/>
        <v>461808</v>
      </c>
      <c r="AU28" s="920"/>
      <c r="AV28" s="922">
        <f t="shared" si="27"/>
        <v>4618.08</v>
      </c>
      <c r="AW28" s="921">
        <f t="shared" si="28"/>
        <v>466426.08</v>
      </c>
      <c r="AX28" s="921">
        <f t="shared" si="29"/>
        <v>140860.68</v>
      </c>
      <c r="AY28" s="921">
        <f t="shared" si="30"/>
        <v>607286.76</v>
      </c>
      <c r="AZ28" s="923">
        <f t="shared" si="31"/>
        <v>466.4</v>
      </c>
      <c r="BA28" s="923">
        <f t="shared" si="32"/>
        <v>140.9</v>
      </c>
      <c r="BB28" s="923">
        <f t="shared" si="33"/>
        <v>607.29999999999995</v>
      </c>
      <c r="BC28" s="915">
        <v>0.95</v>
      </c>
      <c r="BD28" s="923">
        <f t="shared" si="34"/>
        <v>443.1</v>
      </c>
      <c r="BE28" s="923">
        <f t="shared" si="35"/>
        <v>133.80000000000001</v>
      </c>
      <c r="BF28" s="923">
        <f t="shared" si="36"/>
        <v>576.9</v>
      </c>
      <c r="BG28" s="924">
        <f>'[3]свод (2024)'!$B$116</f>
        <v>0.99758349999999996</v>
      </c>
      <c r="BH28" s="923">
        <f t="shared" si="37"/>
        <v>442</v>
      </c>
      <c r="BI28" s="923">
        <f t="shared" si="38"/>
        <v>133.5</v>
      </c>
      <c r="BJ28" s="923">
        <f t="shared" si="39"/>
        <v>575.5</v>
      </c>
      <c r="BK28" s="925">
        <f t="shared" si="40"/>
        <v>-24.4</v>
      </c>
      <c r="BL28" s="925">
        <f t="shared" si="40"/>
        <v>-7.4</v>
      </c>
      <c r="BM28" s="925">
        <f t="shared" si="41"/>
        <v>-31.8</v>
      </c>
      <c r="BN28" s="925">
        <f t="shared" si="42"/>
        <v>0</v>
      </c>
      <c r="BO28" s="925">
        <f t="shared" si="43"/>
        <v>0</v>
      </c>
      <c r="BP28" s="926"/>
      <c r="BQ28" s="925">
        <f t="shared" si="44"/>
        <v>442</v>
      </c>
      <c r="BR28" s="925">
        <f t="shared" si="44"/>
        <v>133.5</v>
      </c>
      <c r="BS28" s="925">
        <f t="shared" si="45"/>
        <v>575.5</v>
      </c>
      <c r="BU28" s="928"/>
      <c r="BV28" s="917"/>
      <c r="BW28" s="928"/>
      <c r="BX28" s="928"/>
      <c r="BY28" s="928"/>
      <c r="BZ28" s="917"/>
      <c r="CA28" s="928"/>
      <c r="CB28" s="917"/>
      <c r="CC28" s="928"/>
      <c r="CD28" s="928"/>
      <c r="CE28" s="928"/>
      <c r="CF28" s="929">
        <f t="shared" si="46"/>
        <v>0</v>
      </c>
      <c r="CG28" s="928"/>
      <c r="CH28" s="928"/>
      <c r="CI28" s="928"/>
      <c r="CJ28" s="925"/>
      <c r="CK28" s="925"/>
      <c r="CL28" s="925"/>
      <c r="CM28" s="925"/>
      <c r="CN28" s="925"/>
      <c r="CO28" s="925"/>
      <c r="CP28" s="925"/>
      <c r="CQ28" s="925"/>
      <c r="CR28" s="925"/>
      <c r="CS28" s="917"/>
      <c r="CT28" s="928"/>
      <c r="CU28" s="928"/>
      <c r="CV28" s="928"/>
      <c r="CX28" s="925"/>
      <c r="CY28" s="925"/>
      <c r="CZ28" s="925"/>
      <c r="DB28" s="925"/>
      <c r="DC28" s="925"/>
      <c r="DD28" s="925"/>
      <c r="DE28" s="925"/>
      <c r="DF28" s="925"/>
      <c r="DG28" s="925"/>
      <c r="DH28" s="925"/>
      <c r="DI28" s="925"/>
      <c r="DJ28" s="925"/>
      <c r="DK28" s="925"/>
      <c r="DL28" s="925"/>
      <c r="DM28" s="925"/>
      <c r="DN28" s="925"/>
      <c r="DO28" s="925"/>
      <c r="DP28" s="925"/>
      <c r="DQ28" s="924"/>
      <c r="DR28" s="925"/>
      <c r="DS28" s="925"/>
      <c r="DT28" s="925"/>
      <c r="DV28" s="925"/>
      <c r="DW28" s="925"/>
      <c r="DX28" s="925"/>
      <c r="DY28" s="925"/>
      <c r="DZ28" s="925"/>
      <c r="EA28" s="925"/>
      <c r="EB28" s="925"/>
      <c r="EC28" s="925"/>
      <c r="ED28" s="925"/>
      <c r="EE28" s="925"/>
      <c r="EF28" s="925"/>
      <c r="EG28" s="925"/>
      <c r="EH28" s="925"/>
      <c r="EI28" s="925"/>
      <c r="EJ28" s="925"/>
      <c r="EK28" s="925"/>
      <c r="EL28" s="925"/>
      <c r="EM28" s="925"/>
      <c r="EN28" s="925"/>
      <c r="EO28" s="925"/>
      <c r="EP28" s="925"/>
      <c r="EQ28" s="925"/>
      <c r="ER28" s="925"/>
      <c r="ES28" s="925"/>
      <c r="ET28" s="925"/>
      <c r="EV28" s="924"/>
      <c r="EW28" s="925"/>
      <c r="EX28" s="925"/>
      <c r="EY28" s="925"/>
    </row>
    <row r="29" spans="1:155" s="927" customFormat="1" ht="15.75" x14ac:dyDescent="0.25">
      <c r="A29" s="912" t="s">
        <v>359</v>
      </c>
      <c r="B29" s="913" t="s">
        <v>36</v>
      </c>
      <c r="C29" s="914">
        <v>4</v>
      </c>
      <c r="D29" s="914">
        <v>13772</v>
      </c>
      <c r="E29" s="915">
        <v>1.0549999999999999</v>
      </c>
      <c r="F29" s="916">
        <f t="shared" si="0"/>
        <v>14530</v>
      </c>
      <c r="G29" s="915">
        <v>1.01</v>
      </c>
      <c r="H29" s="916">
        <f t="shared" si="1"/>
        <v>14676</v>
      </c>
      <c r="I29" s="917">
        <f t="shared" si="2"/>
        <v>58704</v>
      </c>
      <c r="J29" s="918">
        <f t="shared" si="3"/>
        <v>0.25</v>
      </c>
      <c r="K29" s="919">
        <v>13772</v>
      </c>
      <c r="L29" s="917">
        <f t="shared" si="4"/>
        <v>14676</v>
      </c>
      <c r="M29" s="918">
        <f t="shared" si="5"/>
        <v>0</v>
      </c>
      <c r="N29" s="919"/>
      <c r="O29" s="917">
        <f t="shared" si="6"/>
        <v>0</v>
      </c>
      <c r="P29" s="918">
        <f t="shared" si="7"/>
        <v>0</v>
      </c>
      <c r="Q29" s="919"/>
      <c r="R29" s="917">
        <f t="shared" si="8"/>
        <v>0</v>
      </c>
      <c r="S29" s="918">
        <f t="shared" si="9"/>
        <v>0</v>
      </c>
      <c r="T29" s="919"/>
      <c r="U29" s="917">
        <f t="shared" si="10"/>
        <v>0</v>
      </c>
      <c r="V29" s="918">
        <f t="shared" si="11"/>
        <v>0</v>
      </c>
      <c r="W29" s="919"/>
      <c r="X29" s="917">
        <f t="shared" si="12"/>
        <v>0</v>
      </c>
      <c r="Y29" s="918">
        <f t="shared" si="13"/>
        <v>0</v>
      </c>
      <c r="Z29" s="919"/>
      <c r="AA29" s="917">
        <f t="shared" si="14"/>
        <v>0</v>
      </c>
      <c r="AB29" s="918">
        <f t="shared" si="15"/>
        <v>0.2</v>
      </c>
      <c r="AC29" s="919">
        <v>11017.6</v>
      </c>
      <c r="AD29" s="917">
        <f t="shared" si="16"/>
        <v>11740.8</v>
      </c>
      <c r="AE29" s="918">
        <f t="shared" si="17"/>
        <v>0</v>
      </c>
      <c r="AF29" s="919"/>
      <c r="AG29" s="917">
        <f t="shared" si="18"/>
        <v>0</v>
      </c>
      <c r="AH29" s="918">
        <f t="shared" si="19"/>
        <v>0</v>
      </c>
      <c r="AI29" s="919"/>
      <c r="AJ29" s="917">
        <f t="shared" si="20"/>
        <v>0</v>
      </c>
      <c r="AK29" s="918">
        <f t="shared" si="21"/>
        <v>0</v>
      </c>
      <c r="AL29" s="919"/>
      <c r="AM29" s="917">
        <f t="shared" si="22"/>
        <v>0</v>
      </c>
      <c r="AN29" s="920">
        <v>19242</v>
      </c>
      <c r="AO29" s="917">
        <f t="shared" si="23"/>
        <v>0</v>
      </c>
      <c r="AP29" s="920"/>
      <c r="AQ29" s="916">
        <f t="shared" si="24"/>
        <v>0</v>
      </c>
      <c r="AR29" s="917">
        <f t="shared" si="25"/>
        <v>85120.8</v>
      </c>
      <c r="AS29" s="916">
        <v>12</v>
      </c>
      <c r="AT29" s="921">
        <f t="shared" si="26"/>
        <v>1021449.6</v>
      </c>
      <c r="AU29" s="920"/>
      <c r="AV29" s="922">
        <f t="shared" si="27"/>
        <v>10214.5</v>
      </c>
      <c r="AW29" s="921">
        <f t="shared" si="28"/>
        <v>1031664.1</v>
      </c>
      <c r="AX29" s="921">
        <f t="shared" si="29"/>
        <v>311562.56</v>
      </c>
      <c r="AY29" s="921">
        <f t="shared" si="30"/>
        <v>1343226.66</v>
      </c>
      <c r="AZ29" s="923">
        <f t="shared" si="31"/>
        <v>1031.7</v>
      </c>
      <c r="BA29" s="923">
        <f t="shared" si="32"/>
        <v>311.60000000000002</v>
      </c>
      <c r="BB29" s="923">
        <f t="shared" si="33"/>
        <v>1343.3</v>
      </c>
      <c r="BC29" s="915">
        <v>0.95</v>
      </c>
      <c r="BD29" s="923">
        <f t="shared" si="34"/>
        <v>980.1</v>
      </c>
      <c r="BE29" s="923">
        <f t="shared" si="35"/>
        <v>296</v>
      </c>
      <c r="BF29" s="923">
        <f t="shared" si="36"/>
        <v>1276.0999999999999</v>
      </c>
      <c r="BG29" s="924">
        <f>'[3]свод (2024)'!$B$116</f>
        <v>0.99758349999999996</v>
      </c>
      <c r="BH29" s="923">
        <f t="shared" si="37"/>
        <v>977.7</v>
      </c>
      <c r="BI29" s="923">
        <f t="shared" si="38"/>
        <v>295.3</v>
      </c>
      <c r="BJ29" s="923">
        <f t="shared" si="39"/>
        <v>1273</v>
      </c>
      <c r="BK29" s="925">
        <f t="shared" si="40"/>
        <v>-54</v>
      </c>
      <c r="BL29" s="925">
        <f t="shared" si="40"/>
        <v>-16.3</v>
      </c>
      <c r="BM29" s="925">
        <f t="shared" si="41"/>
        <v>-70.3</v>
      </c>
      <c r="BN29" s="925">
        <f t="shared" si="42"/>
        <v>0</v>
      </c>
      <c r="BO29" s="925">
        <f t="shared" si="43"/>
        <v>0</v>
      </c>
      <c r="BP29" s="926"/>
      <c r="BQ29" s="925">
        <f t="shared" si="44"/>
        <v>977.7</v>
      </c>
      <c r="BR29" s="925">
        <f t="shared" si="44"/>
        <v>295.3</v>
      </c>
      <c r="BS29" s="925">
        <f t="shared" si="45"/>
        <v>1273</v>
      </c>
      <c r="BU29" s="928">
        <f>C29</f>
        <v>4</v>
      </c>
      <c r="BV29" s="917"/>
      <c r="BW29" s="928"/>
      <c r="BX29" s="928">
        <f>AW29-X29</f>
        <v>1031664.1</v>
      </c>
      <c r="BY29" s="928"/>
      <c r="BZ29" s="917"/>
      <c r="CA29" s="928"/>
      <c r="CB29" s="917"/>
      <c r="CC29" s="928"/>
      <c r="CD29" s="928"/>
      <c r="CE29" s="928"/>
      <c r="CF29" s="929">
        <f t="shared" si="46"/>
        <v>385716.52</v>
      </c>
      <c r="CG29" s="928"/>
      <c r="CH29" s="928"/>
      <c r="CI29" s="928"/>
      <c r="CJ29" s="925"/>
      <c r="CK29" s="925"/>
      <c r="CL29" s="925"/>
      <c r="CM29" s="925"/>
      <c r="CN29" s="925"/>
      <c r="CO29" s="925"/>
      <c r="CP29" s="925"/>
      <c r="CQ29" s="925"/>
      <c r="CR29" s="925"/>
      <c r="CS29" s="917"/>
      <c r="CT29" s="928"/>
      <c r="CU29" s="928"/>
      <c r="CV29" s="928"/>
      <c r="CX29" s="925"/>
      <c r="CY29" s="925"/>
      <c r="CZ29" s="925"/>
      <c r="DB29" s="925"/>
      <c r="DC29" s="925"/>
      <c r="DD29" s="925"/>
      <c r="DE29" s="925"/>
      <c r="DF29" s="925"/>
      <c r="DG29" s="925"/>
      <c r="DH29" s="925"/>
      <c r="DI29" s="925"/>
      <c r="DJ29" s="925"/>
      <c r="DK29" s="925"/>
      <c r="DL29" s="925"/>
      <c r="DM29" s="925"/>
      <c r="DN29" s="925"/>
      <c r="DO29" s="925"/>
      <c r="DP29" s="925"/>
      <c r="DQ29" s="924"/>
      <c r="DR29" s="925"/>
      <c r="DS29" s="925"/>
      <c r="DT29" s="925"/>
      <c r="DV29" s="925"/>
      <c r="DW29" s="925"/>
      <c r="DX29" s="925"/>
      <c r="DY29" s="925"/>
      <c r="DZ29" s="925"/>
      <c r="EA29" s="925"/>
      <c r="EB29" s="925"/>
      <c r="EC29" s="925"/>
      <c r="ED29" s="925"/>
      <c r="EE29" s="925"/>
      <c r="EF29" s="925"/>
      <c r="EG29" s="925"/>
      <c r="EH29" s="925"/>
      <c r="EI29" s="925"/>
      <c r="EJ29" s="925"/>
      <c r="EK29" s="925"/>
      <c r="EL29" s="925"/>
      <c r="EM29" s="925"/>
      <c r="EN29" s="925"/>
      <c r="EO29" s="925"/>
      <c r="EP29" s="925"/>
      <c r="EQ29" s="925"/>
      <c r="ER29" s="925"/>
      <c r="ES29" s="925"/>
      <c r="ET29" s="925"/>
      <c r="EV29" s="924"/>
      <c r="EW29" s="925"/>
      <c r="EX29" s="925"/>
      <c r="EY29" s="925"/>
    </row>
    <row r="30" spans="1:155" s="927" customFormat="1" ht="15.75" x14ac:dyDescent="0.25">
      <c r="A30" s="912" t="s">
        <v>359</v>
      </c>
      <c r="B30" s="913" t="s">
        <v>704</v>
      </c>
      <c r="C30" s="914">
        <v>1</v>
      </c>
      <c r="D30" s="914">
        <v>5767</v>
      </c>
      <c r="E30" s="915">
        <v>1.0549999999999999</v>
      </c>
      <c r="F30" s="916">
        <f t="shared" si="0"/>
        <v>6085</v>
      </c>
      <c r="G30" s="915">
        <v>1.01</v>
      </c>
      <c r="H30" s="916">
        <f t="shared" si="1"/>
        <v>6146</v>
      </c>
      <c r="I30" s="917">
        <f t="shared" si="2"/>
        <v>6146</v>
      </c>
      <c r="J30" s="918">
        <f t="shared" si="3"/>
        <v>0</v>
      </c>
      <c r="K30" s="919"/>
      <c r="L30" s="917">
        <f t="shared" si="4"/>
        <v>0</v>
      </c>
      <c r="M30" s="918">
        <f t="shared" si="5"/>
        <v>0</v>
      </c>
      <c r="N30" s="919"/>
      <c r="O30" s="917">
        <f t="shared" si="6"/>
        <v>0</v>
      </c>
      <c r="P30" s="918">
        <f t="shared" si="7"/>
        <v>0</v>
      </c>
      <c r="Q30" s="919"/>
      <c r="R30" s="917">
        <f t="shared" si="8"/>
        <v>0</v>
      </c>
      <c r="S30" s="918">
        <f t="shared" si="9"/>
        <v>0.5</v>
      </c>
      <c r="T30" s="919">
        <v>2883.5</v>
      </c>
      <c r="U30" s="917">
        <f t="shared" si="10"/>
        <v>3073</v>
      </c>
      <c r="V30" s="918">
        <f t="shared" si="11"/>
        <v>0</v>
      </c>
      <c r="W30" s="919"/>
      <c r="X30" s="917">
        <f t="shared" si="12"/>
        <v>0</v>
      </c>
      <c r="Y30" s="918">
        <f t="shared" si="13"/>
        <v>0</v>
      </c>
      <c r="Z30" s="919"/>
      <c r="AA30" s="917">
        <f t="shared" si="14"/>
        <v>0</v>
      </c>
      <c r="AB30" s="918">
        <f t="shared" si="15"/>
        <v>0</v>
      </c>
      <c r="AC30" s="919"/>
      <c r="AD30" s="917">
        <f t="shared" si="16"/>
        <v>0</v>
      </c>
      <c r="AE30" s="918">
        <f t="shared" si="17"/>
        <v>0</v>
      </c>
      <c r="AF30" s="919"/>
      <c r="AG30" s="917">
        <f t="shared" si="18"/>
        <v>0</v>
      </c>
      <c r="AH30" s="918">
        <f t="shared" si="19"/>
        <v>0</v>
      </c>
      <c r="AI30" s="919"/>
      <c r="AJ30" s="917">
        <f t="shared" si="20"/>
        <v>0</v>
      </c>
      <c r="AK30" s="918">
        <f t="shared" si="21"/>
        <v>0</v>
      </c>
      <c r="AL30" s="919"/>
      <c r="AM30" s="917">
        <f t="shared" si="22"/>
        <v>0</v>
      </c>
      <c r="AN30" s="920">
        <v>19242</v>
      </c>
      <c r="AO30" s="917">
        <f t="shared" si="23"/>
        <v>10023</v>
      </c>
      <c r="AP30" s="920"/>
      <c r="AQ30" s="916">
        <f t="shared" si="24"/>
        <v>0</v>
      </c>
      <c r="AR30" s="917">
        <f t="shared" si="25"/>
        <v>19242</v>
      </c>
      <c r="AS30" s="916">
        <v>12</v>
      </c>
      <c r="AT30" s="921">
        <f t="shared" si="26"/>
        <v>230904</v>
      </c>
      <c r="AU30" s="920"/>
      <c r="AV30" s="922">
        <f t="shared" si="27"/>
        <v>2309.04</v>
      </c>
      <c r="AW30" s="921">
        <f t="shared" si="28"/>
        <v>233213.04</v>
      </c>
      <c r="AX30" s="921">
        <f t="shared" si="29"/>
        <v>70430.34</v>
      </c>
      <c r="AY30" s="921">
        <f t="shared" si="30"/>
        <v>303643.38</v>
      </c>
      <c r="AZ30" s="923">
        <f t="shared" si="31"/>
        <v>233.2</v>
      </c>
      <c r="BA30" s="923">
        <f t="shared" si="32"/>
        <v>70.400000000000006</v>
      </c>
      <c r="BB30" s="923">
        <f t="shared" si="33"/>
        <v>303.60000000000002</v>
      </c>
      <c r="BC30" s="915">
        <v>0.95</v>
      </c>
      <c r="BD30" s="923">
        <f t="shared" si="34"/>
        <v>221.5</v>
      </c>
      <c r="BE30" s="923">
        <f t="shared" si="35"/>
        <v>66.900000000000006</v>
      </c>
      <c r="BF30" s="923">
        <f t="shared" si="36"/>
        <v>288.39999999999998</v>
      </c>
      <c r="BG30" s="924">
        <f>'[3]свод (2024)'!$B$116</f>
        <v>0.99758349999999996</v>
      </c>
      <c r="BH30" s="923">
        <f t="shared" si="37"/>
        <v>221</v>
      </c>
      <c r="BI30" s="923">
        <f t="shared" si="38"/>
        <v>66.7</v>
      </c>
      <c r="BJ30" s="923">
        <f t="shared" si="39"/>
        <v>287.7</v>
      </c>
      <c r="BK30" s="925">
        <f t="shared" si="40"/>
        <v>-12.2</v>
      </c>
      <c r="BL30" s="925">
        <f t="shared" si="40"/>
        <v>-3.7</v>
      </c>
      <c r="BM30" s="925">
        <f t="shared" si="41"/>
        <v>-15.9</v>
      </c>
      <c r="BN30" s="925">
        <f t="shared" si="42"/>
        <v>0</v>
      </c>
      <c r="BO30" s="925">
        <f t="shared" si="43"/>
        <v>0</v>
      </c>
      <c r="BP30" s="926"/>
      <c r="BQ30" s="925">
        <f t="shared" si="44"/>
        <v>221</v>
      </c>
      <c r="BR30" s="925">
        <f t="shared" si="44"/>
        <v>66.7</v>
      </c>
      <c r="BS30" s="925">
        <f t="shared" si="45"/>
        <v>287.7</v>
      </c>
      <c r="BU30" s="928"/>
      <c r="BV30" s="917"/>
      <c r="BW30" s="928"/>
      <c r="BX30" s="928"/>
      <c r="BY30" s="928"/>
      <c r="BZ30" s="917"/>
      <c r="CA30" s="928"/>
      <c r="CB30" s="917"/>
      <c r="CC30" s="928"/>
      <c r="CD30" s="928"/>
      <c r="CE30" s="928"/>
      <c r="CF30" s="929"/>
      <c r="CG30" s="928"/>
      <c r="CH30" s="928"/>
      <c r="CI30" s="928"/>
      <c r="CJ30" s="925"/>
      <c r="CK30" s="925"/>
      <c r="CL30" s="925"/>
      <c r="CM30" s="925"/>
      <c r="CN30" s="925"/>
      <c r="CO30" s="925"/>
      <c r="CP30" s="925"/>
      <c r="CQ30" s="925"/>
      <c r="CR30" s="925"/>
      <c r="CS30" s="917"/>
      <c r="CT30" s="928"/>
      <c r="CU30" s="928"/>
      <c r="CV30" s="928"/>
      <c r="CX30" s="925"/>
      <c r="CY30" s="925"/>
      <c r="CZ30" s="925"/>
      <c r="DB30" s="925"/>
      <c r="DC30" s="925"/>
      <c r="DD30" s="925"/>
      <c r="DE30" s="925"/>
      <c r="DF30" s="925"/>
      <c r="DG30" s="925"/>
      <c r="DH30" s="925"/>
      <c r="DI30" s="925"/>
      <c r="DJ30" s="925"/>
      <c r="DK30" s="925"/>
      <c r="DL30" s="925"/>
      <c r="DM30" s="925"/>
      <c r="DN30" s="925"/>
      <c r="DO30" s="925"/>
      <c r="DP30" s="925"/>
      <c r="DQ30" s="924"/>
      <c r="DR30" s="925"/>
      <c r="DS30" s="925"/>
      <c r="DT30" s="925"/>
      <c r="DV30" s="925"/>
      <c r="DW30" s="925"/>
      <c r="DX30" s="925"/>
      <c r="DY30" s="925"/>
      <c r="DZ30" s="925"/>
      <c r="EA30" s="925"/>
      <c r="EB30" s="925"/>
      <c r="EC30" s="925"/>
      <c r="ED30" s="925"/>
      <c r="EE30" s="925"/>
      <c r="EF30" s="925"/>
      <c r="EG30" s="925"/>
      <c r="EH30" s="925"/>
      <c r="EI30" s="925"/>
      <c r="EJ30" s="925"/>
      <c r="EK30" s="925"/>
      <c r="EL30" s="925"/>
      <c r="EM30" s="925"/>
      <c r="EN30" s="925"/>
      <c r="EO30" s="925"/>
      <c r="EP30" s="925"/>
      <c r="EQ30" s="925"/>
      <c r="ER30" s="925"/>
      <c r="ES30" s="925"/>
      <c r="ET30" s="925"/>
      <c r="EV30" s="924"/>
      <c r="EW30" s="925"/>
      <c r="EX30" s="925"/>
      <c r="EY30" s="925"/>
    </row>
    <row r="31" spans="1:155" s="927" customFormat="1" ht="15.75" x14ac:dyDescent="0.25">
      <c r="A31" s="912" t="s">
        <v>359</v>
      </c>
      <c r="B31" s="913" t="s">
        <v>35</v>
      </c>
      <c r="C31" s="914">
        <v>63</v>
      </c>
      <c r="D31" s="914">
        <v>13132</v>
      </c>
      <c r="E31" s="915">
        <v>1.0549999999999999</v>
      </c>
      <c r="F31" s="916">
        <f t="shared" si="0"/>
        <v>13855</v>
      </c>
      <c r="G31" s="915">
        <v>1.01</v>
      </c>
      <c r="H31" s="916">
        <f t="shared" si="1"/>
        <v>13994</v>
      </c>
      <c r="I31" s="917">
        <f t="shared" si="2"/>
        <v>881622</v>
      </c>
      <c r="J31" s="918">
        <f t="shared" si="3"/>
        <v>0.25396999999999997</v>
      </c>
      <c r="K31" s="919">
        <v>210112</v>
      </c>
      <c r="L31" s="917">
        <f t="shared" si="4"/>
        <v>223905.54</v>
      </c>
      <c r="M31" s="918">
        <f t="shared" si="5"/>
        <v>0</v>
      </c>
      <c r="N31" s="919"/>
      <c r="O31" s="917">
        <f t="shared" si="6"/>
        <v>0</v>
      </c>
      <c r="P31" s="918">
        <f t="shared" si="7"/>
        <v>3.2299999999999998E-3</v>
      </c>
      <c r="Q31" s="919">
        <v>2668.42</v>
      </c>
      <c r="R31" s="917">
        <f t="shared" si="8"/>
        <v>2847.64</v>
      </c>
      <c r="S31" s="918">
        <f t="shared" si="9"/>
        <v>0</v>
      </c>
      <c r="T31" s="919"/>
      <c r="U31" s="917">
        <f t="shared" si="10"/>
        <v>0</v>
      </c>
      <c r="V31" s="918">
        <f t="shared" si="11"/>
        <v>0</v>
      </c>
      <c r="W31" s="919"/>
      <c r="X31" s="917">
        <f t="shared" si="12"/>
        <v>0</v>
      </c>
      <c r="Y31" s="918">
        <f t="shared" si="13"/>
        <v>0</v>
      </c>
      <c r="Z31" s="919"/>
      <c r="AA31" s="917">
        <f t="shared" si="14"/>
        <v>0</v>
      </c>
      <c r="AB31" s="918">
        <f t="shared" si="15"/>
        <v>0.20316999999999999</v>
      </c>
      <c r="AC31" s="919">
        <v>168089.60000000001</v>
      </c>
      <c r="AD31" s="917">
        <f t="shared" si="16"/>
        <v>179119.14</v>
      </c>
      <c r="AE31" s="918">
        <f t="shared" si="17"/>
        <v>6.0299999999999998E-3</v>
      </c>
      <c r="AF31" s="919">
        <v>4990.16</v>
      </c>
      <c r="AG31" s="917">
        <f t="shared" si="18"/>
        <v>5316.18</v>
      </c>
      <c r="AH31" s="918">
        <f t="shared" si="19"/>
        <v>0</v>
      </c>
      <c r="AI31" s="919"/>
      <c r="AJ31" s="917">
        <f t="shared" si="20"/>
        <v>0</v>
      </c>
      <c r="AK31" s="918">
        <f t="shared" si="21"/>
        <v>0</v>
      </c>
      <c r="AL31" s="919"/>
      <c r="AM31" s="917">
        <f t="shared" si="22"/>
        <v>0</v>
      </c>
      <c r="AN31" s="920">
        <v>19242</v>
      </c>
      <c r="AO31" s="917">
        <f t="shared" si="23"/>
        <v>0</v>
      </c>
      <c r="AP31" s="920"/>
      <c r="AQ31" s="916">
        <f t="shared" si="24"/>
        <v>0</v>
      </c>
      <c r="AR31" s="917">
        <f t="shared" si="25"/>
        <v>1292810.5</v>
      </c>
      <c r="AS31" s="916">
        <v>12</v>
      </c>
      <c r="AT31" s="921">
        <f t="shared" si="26"/>
        <v>15513726</v>
      </c>
      <c r="AU31" s="920"/>
      <c r="AV31" s="922">
        <f t="shared" si="27"/>
        <v>155137.26</v>
      </c>
      <c r="AW31" s="921">
        <f t="shared" si="28"/>
        <v>15668863.26</v>
      </c>
      <c r="AX31" s="921">
        <f t="shared" si="29"/>
        <v>4731996.7</v>
      </c>
      <c r="AY31" s="921">
        <f t="shared" si="30"/>
        <v>20400859.960000001</v>
      </c>
      <c r="AZ31" s="923">
        <f t="shared" si="31"/>
        <v>15668.9</v>
      </c>
      <c r="BA31" s="923">
        <f t="shared" si="32"/>
        <v>4732</v>
      </c>
      <c r="BB31" s="923">
        <f t="shared" si="33"/>
        <v>20400.900000000001</v>
      </c>
      <c r="BC31" s="915">
        <v>0.95</v>
      </c>
      <c r="BD31" s="923">
        <f t="shared" si="34"/>
        <v>14885.5</v>
      </c>
      <c r="BE31" s="923">
        <f t="shared" si="35"/>
        <v>4495.3999999999996</v>
      </c>
      <c r="BF31" s="923">
        <f t="shared" si="36"/>
        <v>19380.900000000001</v>
      </c>
      <c r="BG31" s="924">
        <f>'[3]свод (2024)'!$B$116</f>
        <v>0.99758349999999996</v>
      </c>
      <c r="BH31" s="923">
        <f>ROUND(BD31*BG31,1)</f>
        <v>14849.5</v>
      </c>
      <c r="BI31" s="923">
        <f t="shared" si="38"/>
        <v>4484.5</v>
      </c>
      <c r="BJ31" s="923">
        <f t="shared" si="39"/>
        <v>19334</v>
      </c>
      <c r="BK31" s="925">
        <f t="shared" si="40"/>
        <v>-819.4</v>
      </c>
      <c r="BL31" s="925">
        <f t="shared" si="40"/>
        <v>-247.5</v>
      </c>
      <c r="BM31" s="925">
        <f t="shared" si="41"/>
        <v>-1066.9000000000001</v>
      </c>
      <c r="BN31" s="925">
        <f t="shared" si="42"/>
        <v>0</v>
      </c>
      <c r="BO31" s="925">
        <f t="shared" si="43"/>
        <v>0</v>
      </c>
      <c r="BP31" s="926"/>
      <c r="BQ31" s="925">
        <f t="shared" si="44"/>
        <v>14849.5</v>
      </c>
      <c r="BR31" s="925">
        <f t="shared" si="44"/>
        <v>4484.5</v>
      </c>
      <c r="BS31" s="925">
        <f t="shared" si="45"/>
        <v>19334</v>
      </c>
      <c r="BU31" s="928">
        <f>C31</f>
        <v>63</v>
      </c>
      <c r="BV31" s="917"/>
      <c r="BW31" s="928"/>
      <c r="BX31" s="928">
        <f>AW31-X31</f>
        <v>15668863.26</v>
      </c>
      <c r="BY31" s="928"/>
      <c r="BZ31" s="917"/>
      <c r="CA31" s="928"/>
      <c r="CB31" s="917"/>
      <c r="CC31" s="928"/>
      <c r="CD31" s="928"/>
      <c r="CE31" s="928"/>
      <c r="CF31" s="929">
        <f t="shared" si="46"/>
        <v>6075035.1799999997</v>
      </c>
      <c r="CG31" s="928"/>
      <c r="CH31" s="928"/>
      <c r="CI31" s="928"/>
      <c r="CJ31" s="925"/>
      <c r="CK31" s="925"/>
      <c r="CL31" s="925"/>
      <c r="CM31" s="925"/>
      <c r="CN31" s="925"/>
      <c r="CO31" s="925"/>
      <c r="CP31" s="925"/>
      <c r="CQ31" s="925"/>
      <c r="CR31" s="925"/>
      <c r="CS31" s="917"/>
      <c r="CT31" s="928"/>
      <c r="CU31" s="928"/>
      <c r="CV31" s="928"/>
      <c r="CX31" s="925"/>
      <c r="CY31" s="925"/>
      <c r="CZ31" s="925"/>
      <c r="DB31" s="925"/>
      <c r="DC31" s="925"/>
      <c r="DD31" s="925"/>
      <c r="DE31" s="925"/>
      <c r="DF31" s="925"/>
      <c r="DG31" s="925"/>
      <c r="DH31" s="925"/>
      <c r="DI31" s="925"/>
      <c r="DJ31" s="925"/>
      <c r="DK31" s="925"/>
      <c r="DL31" s="925"/>
      <c r="DM31" s="925"/>
      <c r="DN31" s="925"/>
      <c r="DO31" s="925"/>
      <c r="DP31" s="925"/>
      <c r="DQ31" s="924"/>
      <c r="DR31" s="925"/>
      <c r="DS31" s="925"/>
      <c r="DT31" s="925"/>
      <c r="DV31" s="925"/>
      <c r="DW31" s="925"/>
      <c r="DX31" s="925"/>
      <c r="DY31" s="925"/>
      <c r="DZ31" s="925"/>
      <c r="EA31" s="925"/>
      <c r="EB31" s="925"/>
      <c r="EC31" s="925"/>
      <c r="ED31" s="925"/>
      <c r="EE31" s="925"/>
      <c r="EF31" s="925"/>
      <c r="EG31" s="925"/>
      <c r="EH31" s="925"/>
      <c r="EI31" s="925"/>
      <c r="EJ31" s="925"/>
      <c r="EK31" s="925"/>
      <c r="EL31" s="925"/>
      <c r="EM31" s="925"/>
      <c r="EN31" s="925"/>
      <c r="EO31" s="925"/>
      <c r="EP31" s="925"/>
      <c r="EQ31" s="925"/>
      <c r="ER31" s="925"/>
      <c r="ES31" s="925"/>
      <c r="ET31" s="925"/>
      <c r="EV31" s="924"/>
      <c r="EW31" s="925"/>
      <c r="EX31" s="925"/>
      <c r="EY31" s="925"/>
    </row>
    <row r="32" spans="1:155" s="927" customFormat="1" ht="15.75" x14ac:dyDescent="0.25">
      <c r="A32" s="912" t="s">
        <v>359</v>
      </c>
      <c r="B32" s="913" t="s">
        <v>37</v>
      </c>
      <c r="C32" s="914">
        <v>6.19</v>
      </c>
      <c r="D32" s="914">
        <v>13132</v>
      </c>
      <c r="E32" s="915">
        <v>1.0549999999999999</v>
      </c>
      <c r="F32" s="916">
        <f t="shared" si="0"/>
        <v>13855</v>
      </c>
      <c r="G32" s="915">
        <v>1.01</v>
      </c>
      <c r="H32" s="916">
        <f t="shared" si="1"/>
        <v>13994</v>
      </c>
      <c r="I32" s="917">
        <f t="shared" si="2"/>
        <v>86622.86</v>
      </c>
      <c r="J32" s="918">
        <f t="shared" si="3"/>
        <v>0.20960999999999999</v>
      </c>
      <c r="K32" s="919">
        <v>17038.77</v>
      </c>
      <c r="L32" s="917">
        <f t="shared" si="4"/>
        <v>18157.02</v>
      </c>
      <c r="M32" s="918">
        <f t="shared" si="5"/>
        <v>0</v>
      </c>
      <c r="N32" s="919"/>
      <c r="O32" s="917">
        <f t="shared" si="6"/>
        <v>0</v>
      </c>
      <c r="P32" s="918">
        <f t="shared" si="7"/>
        <v>0</v>
      </c>
      <c r="Q32" s="919"/>
      <c r="R32" s="917">
        <f t="shared" si="8"/>
        <v>0</v>
      </c>
      <c r="S32" s="918">
        <f t="shared" si="9"/>
        <v>0</v>
      </c>
      <c r="T32" s="919"/>
      <c r="U32" s="917">
        <f t="shared" si="10"/>
        <v>0</v>
      </c>
      <c r="V32" s="918">
        <f t="shared" si="11"/>
        <v>0</v>
      </c>
      <c r="W32" s="919"/>
      <c r="X32" s="917">
        <f t="shared" si="12"/>
        <v>0</v>
      </c>
      <c r="Y32" s="918">
        <f t="shared" si="13"/>
        <v>0</v>
      </c>
      <c r="Z32" s="919"/>
      <c r="AA32" s="917">
        <f t="shared" si="14"/>
        <v>0</v>
      </c>
      <c r="AB32" s="918">
        <f t="shared" si="15"/>
        <v>0.16769000000000001</v>
      </c>
      <c r="AC32" s="919">
        <v>13631.02</v>
      </c>
      <c r="AD32" s="917">
        <f t="shared" si="16"/>
        <v>14525.79</v>
      </c>
      <c r="AE32" s="918">
        <f t="shared" si="17"/>
        <v>0</v>
      </c>
      <c r="AF32" s="919"/>
      <c r="AG32" s="917">
        <f t="shared" si="18"/>
        <v>0</v>
      </c>
      <c r="AH32" s="918">
        <f t="shared" si="19"/>
        <v>0</v>
      </c>
      <c r="AI32" s="919"/>
      <c r="AJ32" s="917">
        <f t="shared" si="20"/>
        <v>0</v>
      </c>
      <c r="AK32" s="918">
        <f t="shared" si="21"/>
        <v>0</v>
      </c>
      <c r="AL32" s="919"/>
      <c r="AM32" s="917">
        <f t="shared" si="22"/>
        <v>0</v>
      </c>
      <c r="AN32" s="920">
        <v>19242</v>
      </c>
      <c r="AO32" s="917">
        <f t="shared" si="23"/>
        <v>0</v>
      </c>
      <c r="AP32" s="920"/>
      <c r="AQ32" s="916">
        <f t="shared" si="24"/>
        <v>0</v>
      </c>
      <c r="AR32" s="917">
        <f t="shared" si="25"/>
        <v>119305.67</v>
      </c>
      <c r="AS32" s="916">
        <v>12</v>
      </c>
      <c r="AT32" s="921">
        <f t="shared" si="26"/>
        <v>1431668.04</v>
      </c>
      <c r="AU32" s="920"/>
      <c r="AV32" s="922">
        <f t="shared" si="27"/>
        <v>14316.68</v>
      </c>
      <c r="AW32" s="921">
        <f t="shared" si="28"/>
        <v>1445984.72</v>
      </c>
      <c r="AX32" s="921">
        <f t="shared" si="29"/>
        <v>436687.39</v>
      </c>
      <c r="AY32" s="921">
        <f t="shared" si="30"/>
        <v>1882672.11</v>
      </c>
      <c r="AZ32" s="923">
        <f t="shared" si="31"/>
        <v>1446</v>
      </c>
      <c r="BA32" s="923">
        <f t="shared" si="32"/>
        <v>436.7</v>
      </c>
      <c r="BB32" s="923">
        <f t="shared" si="33"/>
        <v>1882.7</v>
      </c>
      <c r="BC32" s="915">
        <v>0.95</v>
      </c>
      <c r="BD32" s="923">
        <f t="shared" si="34"/>
        <v>1373.7</v>
      </c>
      <c r="BE32" s="923">
        <f t="shared" si="35"/>
        <v>414.9</v>
      </c>
      <c r="BF32" s="923">
        <f t="shared" si="36"/>
        <v>1788.6</v>
      </c>
      <c r="BG32" s="924">
        <f>'[3]свод (2024)'!$B$116</f>
        <v>0.99758349999999996</v>
      </c>
      <c r="BH32" s="923">
        <f t="shared" si="37"/>
        <v>1370.4</v>
      </c>
      <c r="BI32" s="923">
        <f t="shared" si="38"/>
        <v>413.9</v>
      </c>
      <c r="BJ32" s="923">
        <f t="shared" si="39"/>
        <v>1784.3</v>
      </c>
      <c r="BK32" s="925">
        <f t="shared" si="40"/>
        <v>-75.599999999999994</v>
      </c>
      <c r="BL32" s="925">
        <f t="shared" si="40"/>
        <v>-22.8</v>
      </c>
      <c r="BM32" s="925">
        <f t="shared" si="41"/>
        <v>-98.4</v>
      </c>
      <c r="BN32" s="925">
        <f t="shared" si="42"/>
        <v>0</v>
      </c>
      <c r="BO32" s="925">
        <f t="shared" si="43"/>
        <v>0</v>
      </c>
      <c r="BP32" s="926"/>
      <c r="BQ32" s="925">
        <f t="shared" si="44"/>
        <v>1370.4</v>
      </c>
      <c r="BR32" s="925">
        <f t="shared" si="44"/>
        <v>413.9</v>
      </c>
      <c r="BS32" s="925">
        <f t="shared" si="45"/>
        <v>1784.3</v>
      </c>
      <c r="BU32" s="928">
        <f>C32</f>
        <v>6.19</v>
      </c>
      <c r="BV32" s="917"/>
      <c r="BW32" s="928"/>
      <c r="BX32" s="928">
        <f>AW32-X32</f>
        <v>1445984.72</v>
      </c>
      <c r="BY32" s="928"/>
      <c r="BZ32" s="917"/>
      <c r="CA32" s="928"/>
      <c r="CB32" s="917"/>
      <c r="CC32" s="928"/>
      <c r="CD32" s="928"/>
      <c r="CE32" s="928"/>
      <c r="CF32" s="929">
        <f t="shared" si="46"/>
        <v>596896.31000000006</v>
      </c>
      <c r="CG32" s="928"/>
      <c r="CH32" s="928"/>
      <c r="CI32" s="928"/>
      <c r="CJ32" s="925"/>
      <c r="CK32" s="925"/>
      <c r="CL32" s="925"/>
      <c r="CM32" s="925"/>
      <c r="CN32" s="925"/>
      <c r="CO32" s="925"/>
      <c r="CP32" s="925"/>
      <c r="CQ32" s="925"/>
      <c r="CR32" s="925"/>
      <c r="CS32" s="917"/>
      <c r="CT32" s="928"/>
      <c r="CU32" s="928"/>
      <c r="CV32" s="928"/>
      <c r="CX32" s="925"/>
      <c r="CY32" s="925"/>
      <c r="CZ32" s="925"/>
      <c r="DB32" s="925"/>
      <c r="DC32" s="925"/>
      <c r="DD32" s="925"/>
      <c r="DE32" s="925"/>
      <c r="DF32" s="925"/>
      <c r="DG32" s="925"/>
      <c r="DH32" s="925"/>
      <c r="DI32" s="925"/>
      <c r="DJ32" s="925"/>
      <c r="DK32" s="925"/>
      <c r="DL32" s="925"/>
      <c r="DM32" s="925"/>
      <c r="DN32" s="925"/>
      <c r="DO32" s="925"/>
      <c r="DP32" s="925"/>
      <c r="DQ32" s="924"/>
      <c r="DR32" s="925"/>
      <c r="DS32" s="925"/>
      <c r="DT32" s="925"/>
      <c r="DV32" s="925"/>
      <c r="DW32" s="925"/>
      <c r="DX32" s="925"/>
      <c r="DY32" s="925"/>
      <c r="DZ32" s="925"/>
      <c r="EA32" s="925"/>
      <c r="EB32" s="925"/>
      <c r="EC32" s="925"/>
      <c r="ED32" s="925"/>
      <c r="EE32" s="925"/>
      <c r="EF32" s="925"/>
      <c r="EG32" s="925"/>
      <c r="EH32" s="925"/>
      <c r="EI32" s="925"/>
      <c r="EJ32" s="925"/>
      <c r="EK32" s="925"/>
      <c r="EL32" s="925"/>
      <c r="EM32" s="925"/>
      <c r="EN32" s="925"/>
      <c r="EO32" s="925"/>
      <c r="EP32" s="925"/>
      <c r="EQ32" s="925"/>
      <c r="ER32" s="925"/>
      <c r="ES32" s="925"/>
      <c r="ET32" s="925"/>
      <c r="EV32" s="924"/>
      <c r="EW32" s="925"/>
      <c r="EX32" s="925"/>
      <c r="EY32" s="925"/>
    </row>
    <row r="33" spans="1:161" s="927" customFormat="1" ht="15.75" x14ac:dyDescent="0.25">
      <c r="A33" s="912" t="s">
        <v>359</v>
      </c>
      <c r="B33" s="913" t="s">
        <v>1386</v>
      </c>
      <c r="C33" s="914">
        <v>1</v>
      </c>
      <c r="D33" s="914">
        <v>13772</v>
      </c>
      <c r="E33" s="915">
        <v>1.0549999999999999</v>
      </c>
      <c r="F33" s="916">
        <f t="shared" si="0"/>
        <v>14530</v>
      </c>
      <c r="G33" s="915">
        <v>1.01</v>
      </c>
      <c r="H33" s="916">
        <f t="shared" si="1"/>
        <v>14676</v>
      </c>
      <c r="I33" s="917">
        <f t="shared" si="2"/>
        <v>14676</v>
      </c>
      <c r="J33" s="918">
        <f t="shared" si="3"/>
        <v>0.25</v>
      </c>
      <c r="K33" s="919">
        <v>3443</v>
      </c>
      <c r="L33" s="917">
        <f t="shared" si="4"/>
        <v>3669</v>
      </c>
      <c r="M33" s="918">
        <f t="shared" si="5"/>
        <v>0</v>
      </c>
      <c r="N33" s="919"/>
      <c r="O33" s="917">
        <f t="shared" si="6"/>
        <v>0</v>
      </c>
      <c r="P33" s="918">
        <f t="shared" si="7"/>
        <v>0</v>
      </c>
      <c r="Q33" s="919"/>
      <c r="R33" s="917">
        <f t="shared" si="8"/>
        <v>0</v>
      </c>
      <c r="S33" s="918">
        <f t="shared" si="9"/>
        <v>0</v>
      </c>
      <c r="T33" s="919"/>
      <c r="U33" s="917">
        <f t="shared" si="10"/>
        <v>0</v>
      </c>
      <c r="V33" s="918">
        <f t="shared" si="11"/>
        <v>0</v>
      </c>
      <c r="W33" s="919"/>
      <c r="X33" s="917">
        <f t="shared" si="12"/>
        <v>0</v>
      </c>
      <c r="Y33" s="918">
        <f t="shared" si="13"/>
        <v>0</v>
      </c>
      <c r="Z33" s="919"/>
      <c r="AA33" s="917">
        <f t="shared" si="14"/>
        <v>0</v>
      </c>
      <c r="AB33" s="918">
        <f t="shared" si="15"/>
        <v>0.2</v>
      </c>
      <c r="AC33" s="919">
        <v>2754.4</v>
      </c>
      <c r="AD33" s="917">
        <f t="shared" si="16"/>
        <v>2935.2</v>
      </c>
      <c r="AE33" s="918">
        <f t="shared" si="17"/>
        <v>0</v>
      </c>
      <c r="AF33" s="919"/>
      <c r="AG33" s="917">
        <f t="shared" si="18"/>
        <v>0</v>
      </c>
      <c r="AH33" s="918">
        <f t="shared" si="19"/>
        <v>0</v>
      </c>
      <c r="AI33" s="919"/>
      <c r="AJ33" s="917">
        <f t="shared" si="20"/>
        <v>0</v>
      </c>
      <c r="AK33" s="918">
        <f t="shared" si="21"/>
        <v>0</v>
      </c>
      <c r="AL33" s="919"/>
      <c r="AM33" s="917">
        <f t="shared" si="22"/>
        <v>0</v>
      </c>
      <c r="AN33" s="920">
        <v>19242</v>
      </c>
      <c r="AO33" s="917">
        <f t="shared" si="23"/>
        <v>0</v>
      </c>
      <c r="AP33" s="920"/>
      <c r="AQ33" s="916">
        <f t="shared" si="24"/>
        <v>0</v>
      </c>
      <c r="AR33" s="917">
        <f t="shared" si="25"/>
        <v>21280.2</v>
      </c>
      <c r="AS33" s="916">
        <v>12</v>
      </c>
      <c r="AT33" s="921">
        <f t="shared" si="26"/>
        <v>255362.4</v>
      </c>
      <c r="AU33" s="920"/>
      <c r="AV33" s="922">
        <f t="shared" si="27"/>
        <v>2553.62</v>
      </c>
      <c r="AW33" s="921">
        <f t="shared" si="28"/>
        <v>257916.02</v>
      </c>
      <c r="AX33" s="921">
        <f t="shared" si="29"/>
        <v>77890.64</v>
      </c>
      <c r="AY33" s="921">
        <f t="shared" si="30"/>
        <v>335806.66</v>
      </c>
      <c r="AZ33" s="923">
        <f t="shared" si="31"/>
        <v>257.89999999999998</v>
      </c>
      <c r="BA33" s="923">
        <f t="shared" si="32"/>
        <v>77.900000000000006</v>
      </c>
      <c r="BB33" s="923">
        <f t="shared" si="33"/>
        <v>335.8</v>
      </c>
      <c r="BC33" s="915">
        <v>0.95</v>
      </c>
      <c r="BD33" s="923">
        <f t="shared" si="34"/>
        <v>245</v>
      </c>
      <c r="BE33" s="923">
        <f t="shared" si="35"/>
        <v>74</v>
      </c>
      <c r="BF33" s="923">
        <f t="shared" si="36"/>
        <v>319</v>
      </c>
      <c r="BG33" s="924">
        <f>'[3]свод (2024)'!$B$116</f>
        <v>0.99758349999999996</v>
      </c>
      <c r="BH33" s="923">
        <f t="shared" si="37"/>
        <v>244.4</v>
      </c>
      <c r="BI33" s="923">
        <f t="shared" si="38"/>
        <v>73.8</v>
      </c>
      <c r="BJ33" s="923">
        <f t="shared" si="39"/>
        <v>318.2</v>
      </c>
      <c r="BK33" s="925">
        <f t="shared" si="40"/>
        <v>-13.5</v>
      </c>
      <c r="BL33" s="925">
        <f t="shared" si="40"/>
        <v>-4.0999999999999996</v>
      </c>
      <c r="BM33" s="925">
        <f t="shared" si="41"/>
        <v>-17.600000000000001</v>
      </c>
      <c r="BN33" s="925">
        <f t="shared" si="42"/>
        <v>0</v>
      </c>
      <c r="BO33" s="925">
        <f t="shared" si="43"/>
        <v>0</v>
      </c>
      <c r="BP33" s="926"/>
      <c r="BQ33" s="925">
        <f t="shared" si="44"/>
        <v>244.4</v>
      </c>
      <c r="BR33" s="925">
        <f t="shared" si="44"/>
        <v>73.8</v>
      </c>
      <c r="BS33" s="925">
        <f t="shared" si="45"/>
        <v>318.2</v>
      </c>
      <c r="BU33" s="928">
        <f>C33</f>
        <v>1</v>
      </c>
      <c r="BV33" s="917"/>
      <c r="BW33" s="928"/>
      <c r="BX33" s="928">
        <f>AW33-X33</f>
        <v>257916.02</v>
      </c>
      <c r="BY33" s="928"/>
      <c r="BZ33" s="917"/>
      <c r="CA33" s="928"/>
      <c r="CB33" s="917"/>
      <c r="CC33" s="928"/>
      <c r="CD33" s="928"/>
      <c r="CE33" s="928"/>
      <c r="CF33" s="929">
        <f t="shared" si="46"/>
        <v>96429.13</v>
      </c>
      <c r="CG33" s="928"/>
      <c r="CH33" s="928"/>
      <c r="CI33" s="928"/>
      <c r="CJ33" s="925"/>
      <c r="CK33" s="925"/>
      <c r="CL33" s="925"/>
      <c r="CM33" s="925"/>
      <c r="CN33" s="925"/>
      <c r="CO33" s="925"/>
      <c r="CP33" s="925"/>
      <c r="CQ33" s="925"/>
      <c r="CR33" s="925"/>
      <c r="CS33" s="917"/>
      <c r="CT33" s="928"/>
      <c r="CU33" s="928"/>
      <c r="CV33" s="928"/>
      <c r="CX33" s="925"/>
      <c r="CY33" s="925"/>
      <c r="CZ33" s="925"/>
      <c r="DB33" s="925"/>
      <c r="DC33" s="925"/>
      <c r="DD33" s="925"/>
      <c r="DE33" s="925"/>
      <c r="DF33" s="925"/>
      <c r="DG33" s="925"/>
      <c r="DH33" s="925"/>
      <c r="DI33" s="925"/>
      <c r="DJ33" s="925"/>
      <c r="DK33" s="925"/>
      <c r="DL33" s="925"/>
      <c r="DM33" s="925"/>
      <c r="DN33" s="925"/>
      <c r="DO33" s="925"/>
      <c r="DP33" s="925"/>
      <c r="DQ33" s="924"/>
      <c r="DR33" s="925"/>
      <c r="DS33" s="925"/>
      <c r="DT33" s="925"/>
      <c r="DV33" s="925"/>
      <c r="DW33" s="925"/>
      <c r="DX33" s="925"/>
      <c r="DY33" s="925"/>
      <c r="DZ33" s="925"/>
      <c r="EA33" s="925"/>
      <c r="EB33" s="925"/>
      <c r="EC33" s="925"/>
      <c r="ED33" s="925"/>
      <c r="EE33" s="925"/>
      <c r="EF33" s="925"/>
      <c r="EG33" s="925"/>
      <c r="EH33" s="925"/>
      <c r="EI33" s="925"/>
      <c r="EJ33" s="925"/>
      <c r="EK33" s="925"/>
      <c r="EL33" s="925"/>
      <c r="EM33" s="925"/>
      <c r="EN33" s="925"/>
      <c r="EO33" s="925"/>
      <c r="EP33" s="925"/>
      <c r="EQ33" s="925"/>
      <c r="ER33" s="925"/>
      <c r="ES33" s="925"/>
      <c r="ET33" s="925"/>
      <c r="EV33" s="924"/>
      <c r="EW33" s="925"/>
      <c r="EX33" s="925"/>
      <c r="EY33" s="925"/>
    </row>
    <row r="34" spans="1:161" s="927" customFormat="1" ht="24" x14ac:dyDescent="0.25">
      <c r="A34" s="912" t="s">
        <v>359</v>
      </c>
      <c r="B34" s="913" t="s">
        <v>494</v>
      </c>
      <c r="C34" s="914">
        <v>2.5</v>
      </c>
      <c r="D34" s="914">
        <v>4588</v>
      </c>
      <c r="E34" s="915">
        <v>1.0549999999999999</v>
      </c>
      <c r="F34" s="916">
        <f t="shared" si="0"/>
        <v>4841</v>
      </c>
      <c r="G34" s="915">
        <v>1.01</v>
      </c>
      <c r="H34" s="916">
        <f t="shared" si="1"/>
        <v>4890</v>
      </c>
      <c r="I34" s="917">
        <f t="shared" si="2"/>
        <v>12225</v>
      </c>
      <c r="J34" s="918">
        <f t="shared" si="3"/>
        <v>0</v>
      </c>
      <c r="K34" s="919"/>
      <c r="L34" s="917">
        <f t="shared" si="4"/>
        <v>0</v>
      </c>
      <c r="M34" s="918">
        <f t="shared" si="5"/>
        <v>0</v>
      </c>
      <c r="N34" s="919"/>
      <c r="O34" s="917">
        <f t="shared" si="6"/>
        <v>0</v>
      </c>
      <c r="P34" s="918">
        <f t="shared" si="7"/>
        <v>0</v>
      </c>
      <c r="Q34" s="919"/>
      <c r="R34" s="917">
        <f t="shared" si="8"/>
        <v>0</v>
      </c>
      <c r="S34" s="918">
        <f t="shared" si="9"/>
        <v>0.5</v>
      </c>
      <c r="T34" s="919">
        <v>5735</v>
      </c>
      <c r="U34" s="917">
        <f t="shared" si="10"/>
        <v>6112.5</v>
      </c>
      <c r="V34" s="918">
        <f t="shared" si="11"/>
        <v>0</v>
      </c>
      <c r="W34" s="919"/>
      <c r="X34" s="917">
        <f t="shared" si="12"/>
        <v>0</v>
      </c>
      <c r="Y34" s="918">
        <f t="shared" si="13"/>
        <v>0</v>
      </c>
      <c r="Z34" s="919"/>
      <c r="AA34" s="917">
        <f t="shared" si="14"/>
        <v>0</v>
      </c>
      <c r="AB34" s="918">
        <f t="shared" si="15"/>
        <v>0</v>
      </c>
      <c r="AC34" s="919"/>
      <c r="AD34" s="917">
        <f t="shared" si="16"/>
        <v>0</v>
      </c>
      <c r="AE34" s="918">
        <f t="shared" si="17"/>
        <v>0</v>
      </c>
      <c r="AF34" s="919"/>
      <c r="AG34" s="917">
        <f t="shared" si="18"/>
        <v>0</v>
      </c>
      <c r="AH34" s="918">
        <f t="shared" si="19"/>
        <v>0</v>
      </c>
      <c r="AI34" s="919"/>
      <c r="AJ34" s="917">
        <f t="shared" si="20"/>
        <v>0</v>
      </c>
      <c r="AK34" s="918">
        <f t="shared" si="21"/>
        <v>0</v>
      </c>
      <c r="AL34" s="919"/>
      <c r="AM34" s="917">
        <f t="shared" si="22"/>
        <v>0</v>
      </c>
      <c r="AN34" s="920">
        <v>19242</v>
      </c>
      <c r="AO34" s="917">
        <f t="shared" si="23"/>
        <v>29767.5</v>
      </c>
      <c r="AP34" s="920"/>
      <c r="AQ34" s="916">
        <f t="shared" si="24"/>
        <v>0</v>
      </c>
      <c r="AR34" s="917">
        <f t="shared" si="25"/>
        <v>48105</v>
      </c>
      <c r="AS34" s="916">
        <v>12</v>
      </c>
      <c r="AT34" s="921">
        <f t="shared" si="26"/>
        <v>577260</v>
      </c>
      <c r="AU34" s="920"/>
      <c r="AV34" s="922">
        <f t="shared" si="27"/>
        <v>5772.6</v>
      </c>
      <c r="AW34" s="921">
        <f t="shared" si="28"/>
        <v>583032.6</v>
      </c>
      <c r="AX34" s="921">
        <f t="shared" si="29"/>
        <v>176075.85</v>
      </c>
      <c r="AY34" s="921">
        <f t="shared" si="30"/>
        <v>759108.45</v>
      </c>
      <c r="AZ34" s="923">
        <f t="shared" si="31"/>
        <v>583</v>
      </c>
      <c r="BA34" s="923">
        <f t="shared" si="32"/>
        <v>176.1</v>
      </c>
      <c r="BB34" s="923">
        <f t="shared" si="33"/>
        <v>759.1</v>
      </c>
      <c r="BC34" s="915">
        <v>0.95</v>
      </c>
      <c r="BD34" s="923">
        <f t="shared" si="34"/>
        <v>553.9</v>
      </c>
      <c r="BE34" s="923">
        <f t="shared" si="35"/>
        <v>167.3</v>
      </c>
      <c r="BF34" s="923">
        <f t="shared" si="36"/>
        <v>721.2</v>
      </c>
      <c r="BG34" s="924">
        <f>'[3]свод (2024)'!$B$116</f>
        <v>0.99758349999999996</v>
      </c>
      <c r="BH34" s="923">
        <f t="shared" si="37"/>
        <v>552.6</v>
      </c>
      <c r="BI34" s="923">
        <f t="shared" si="38"/>
        <v>166.9</v>
      </c>
      <c r="BJ34" s="923">
        <f t="shared" si="39"/>
        <v>719.5</v>
      </c>
      <c r="BK34" s="925">
        <f t="shared" si="40"/>
        <v>-30.4</v>
      </c>
      <c r="BL34" s="925">
        <f t="shared" si="40"/>
        <v>-9.1999999999999993</v>
      </c>
      <c r="BM34" s="925">
        <f t="shared" si="41"/>
        <v>-39.6</v>
      </c>
      <c r="BN34" s="925">
        <f t="shared" si="42"/>
        <v>0</v>
      </c>
      <c r="BO34" s="925">
        <f t="shared" si="43"/>
        <v>0</v>
      </c>
      <c r="BP34" s="926"/>
      <c r="BQ34" s="925">
        <f t="shared" si="44"/>
        <v>552.6</v>
      </c>
      <c r="BR34" s="925">
        <f t="shared" si="44"/>
        <v>166.9</v>
      </c>
      <c r="BS34" s="925">
        <f t="shared" si="45"/>
        <v>719.5</v>
      </c>
      <c r="BU34" s="928"/>
      <c r="BV34" s="917"/>
      <c r="BW34" s="928"/>
      <c r="BX34" s="928"/>
      <c r="BY34" s="928"/>
      <c r="BZ34" s="917"/>
      <c r="CA34" s="928"/>
      <c r="CB34" s="917"/>
      <c r="CC34" s="928"/>
      <c r="CD34" s="928"/>
      <c r="CE34" s="928"/>
      <c r="CF34" s="929"/>
      <c r="CG34" s="928"/>
      <c r="CH34" s="928"/>
      <c r="CI34" s="928"/>
      <c r="CJ34" s="925"/>
      <c r="CK34" s="925"/>
      <c r="CL34" s="925"/>
      <c r="CM34" s="925"/>
      <c r="CN34" s="925"/>
      <c r="CO34" s="925"/>
      <c r="CP34" s="925"/>
      <c r="CQ34" s="925"/>
      <c r="CR34" s="925"/>
      <c r="CS34" s="917"/>
      <c r="CT34" s="928"/>
      <c r="CU34" s="928"/>
      <c r="CV34" s="928"/>
      <c r="CX34" s="925"/>
      <c r="CY34" s="925"/>
      <c r="CZ34" s="925"/>
      <c r="DB34" s="925"/>
      <c r="DC34" s="925"/>
      <c r="DD34" s="925"/>
      <c r="DE34" s="925"/>
      <c r="DF34" s="925"/>
      <c r="DG34" s="925"/>
      <c r="DH34" s="925"/>
      <c r="DI34" s="925"/>
      <c r="DJ34" s="925"/>
      <c r="DK34" s="925"/>
      <c r="DL34" s="925"/>
      <c r="DM34" s="925"/>
      <c r="DN34" s="925"/>
      <c r="DO34" s="925"/>
      <c r="DP34" s="925"/>
      <c r="DQ34" s="924"/>
      <c r="DR34" s="925"/>
      <c r="DS34" s="925"/>
      <c r="DT34" s="925"/>
      <c r="DV34" s="925"/>
      <c r="DW34" s="925"/>
      <c r="DX34" s="925"/>
      <c r="DY34" s="925"/>
      <c r="DZ34" s="925"/>
      <c r="EA34" s="925"/>
      <c r="EB34" s="925"/>
      <c r="EC34" s="925"/>
      <c r="ED34" s="925"/>
      <c r="EE34" s="925"/>
      <c r="EF34" s="925"/>
      <c r="EG34" s="925"/>
      <c r="EH34" s="925"/>
      <c r="EI34" s="925"/>
      <c r="EJ34" s="925"/>
      <c r="EK34" s="925"/>
      <c r="EL34" s="925"/>
      <c r="EM34" s="925"/>
      <c r="EN34" s="925"/>
      <c r="EO34" s="925"/>
      <c r="EP34" s="925"/>
      <c r="EQ34" s="925"/>
      <c r="ER34" s="925"/>
      <c r="ES34" s="925"/>
      <c r="ET34" s="925"/>
      <c r="EV34" s="924"/>
      <c r="EW34" s="925"/>
      <c r="EX34" s="925"/>
      <c r="EY34" s="925"/>
    </row>
    <row r="35" spans="1:161" s="927" customFormat="1" ht="15.75" x14ac:dyDescent="0.25">
      <c r="A35" s="912" t="s">
        <v>359</v>
      </c>
      <c r="B35" s="913" t="s">
        <v>1387</v>
      </c>
      <c r="C35" s="914">
        <v>1</v>
      </c>
      <c r="D35" s="914">
        <v>4856</v>
      </c>
      <c r="E35" s="915">
        <v>1.0549999999999999</v>
      </c>
      <c r="F35" s="916">
        <f t="shared" si="0"/>
        <v>5124</v>
      </c>
      <c r="G35" s="915">
        <v>1.01</v>
      </c>
      <c r="H35" s="916">
        <f t="shared" si="1"/>
        <v>5176</v>
      </c>
      <c r="I35" s="917">
        <f t="shared" si="2"/>
        <v>5176</v>
      </c>
      <c r="J35" s="918">
        <f t="shared" si="3"/>
        <v>0</v>
      </c>
      <c r="K35" s="919"/>
      <c r="L35" s="917">
        <f t="shared" si="4"/>
        <v>0</v>
      </c>
      <c r="M35" s="918">
        <f t="shared" si="5"/>
        <v>0</v>
      </c>
      <c r="N35" s="919"/>
      <c r="O35" s="917">
        <f t="shared" si="6"/>
        <v>0</v>
      </c>
      <c r="P35" s="918">
        <f t="shared" si="7"/>
        <v>0</v>
      </c>
      <c r="Q35" s="919"/>
      <c r="R35" s="917">
        <f t="shared" si="8"/>
        <v>0</v>
      </c>
      <c r="S35" s="918">
        <f t="shared" si="9"/>
        <v>0</v>
      </c>
      <c r="T35" s="919"/>
      <c r="U35" s="917">
        <f t="shared" si="10"/>
        <v>0</v>
      </c>
      <c r="V35" s="918">
        <f t="shared" si="11"/>
        <v>0</v>
      </c>
      <c r="W35" s="919"/>
      <c r="X35" s="917">
        <f t="shared" si="12"/>
        <v>0</v>
      </c>
      <c r="Y35" s="918">
        <f t="shared" si="13"/>
        <v>0</v>
      </c>
      <c r="Z35" s="919"/>
      <c r="AA35" s="917">
        <f t="shared" si="14"/>
        <v>0</v>
      </c>
      <c r="AB35" s="918">
        <f t="shared" si="15"/>
        <v>0</v>
      </c>
      <c r="AC35" s="919"/>
      <c r="AD35" s="917">
        <f t="shared" si="16"/>
        <v>0</v>
      </c>
      <c r="AE35" s="918">
        <f t="shared" si="17"/>
        <v>0</v>
      </c>
      <c r="AF35" s="919"/>
      <c r="AG35" s="917">
        <f t="shared" si="18"/>
        <v>0</v>
      </c>
      <c r="AH35" s="918">
        <f t="shared" si="19"/>
        <v>0</v>
      </c>
      <c r="AI35" s="919"/>
      <c r="AJ35" s="917">
        <f t="shared" si="20"/>
        <v>0</v>
      </c>
      <c r="AK35" s="918">
        <f t="shared" si="21"/>
        <v>0</v>
      </c>
      <c r="AL35" s="919"/>
      <c r="AM35" s="917">
        <f t="shared" si="22"/>
        <v>0</v>
      </c>
      <c r="AN35" s="920">
        <v>19242</v>
      </c>
      <c r="AO35" s="917">
        <f t="shared" si="23"/>
        <v>14066</v>
      </c>
      <c r="AP35" s="920"/>
      <c r="AQ35" s="916">
        <f t="shared" si="24"/>
        <v>0</v>
      </c>
      <c r="AR35" s="917">
        <f t="shared" si="25"/>
        <v>19242</v>
      </c>
      <c r="AS35" s="916">
        <v>12</v>
      </c>
      <c r="AT35" s="921">
        <f t="shared" si="26"/>
        <v>230904</v>
      </c>
      <c r="AU35" s="920"/>
      <c r="AV35" s="922">
        <f t="shared" si="27"/>
        <v>2309.04</v>
      </c>
      <c r="AW35" s="921">
        <f t="shared" si="28"/>
        <v>233213.04</v>
      </c>
      <c r="AX35" s="921">
        <f t="shared" si="29"/>
        <v>70430.34</v>
      </c>
      <c r="AY35" s="921">
        <f t="shared" si="30"/>
        <v>303643.38</v>
      </c>
      <c r="AZ35" s="923">
        <f t="shared" si="31"/>
        <v>233.2</v>
      </c>
      <c r="BA35" s="923">
        <f t="shared" si="32"/>
        <v>70.400000000000006</v>
      </c>
      <c r="BB35" s="923">
        <f t="shared" si="33"/>
        <v>303.60000000000002</v>
      </c>
      <c r="BC35" s="915">
        <v>0.95</v>
      </c>
      <c r="BD35" s="923">
        <f t="shared" si="34"/>
        <v>221.5</v>
      </c>
      <c r="BE35" s="923">
        <f t="shared" si="35"/>
        <v>66.900000000000006</v>
      </c>
      <c r="BF35" s="923">
        <f t="shared" si="36"/>
        <v>288.39999999999998</v>
      </c>
      <c r="BG35" s="924">
        <f>'[3]свод (2024)'!$B$116</f>
        <v>0.99758349999999996</v>
      </c>
      <c r="BH35" s="923">
        <f t="shared" si="37"/>
        <v>221</v>
      </c>
      <c r="BI35" s="923">
        <f t="shared" si="38"/>
        <v>66.7</v>
      </c>
      <c r="BJ35" s="923">
        <f t="shared" si="39"/>
        <v>287.7</v>
      </c>
      <c r="BK35" s="925">
        <f t="shared" si="40"/>
        <v>-12.2</v>
      </c>
      <c r="BL35" s="925">
        <f t="shared" si="40"/>
        <v>-3.7</v>
      </c>
      <c r="BM35" s="925">
        <f t="shared" si="41"/>
        <v>-15.9</v>
      </c>
      <c r="BN35" s="925">
        <f t="shared" si="42"/>
        <v>0</v>
      </c>
      <c r="BO35" s="925">
        <f t="shared" si="43"/>
        <v>0</v>
      </c>
      <c r="BP35" s="926"/>
      <c r="BQ35" s="925">
        <f t="shared" si="44"/>
        <v>221</v>
      </c>
      <c r="BR35" s="925">
        <f t="shared" si="44"/>
        <v>66.7</v>
      </c>
      <c r="BS35" s="925">
        <f t="shared" si="45"/>
        <v>287.7</v>
      </c>
      <c r="BU35" s="928"/>
      <c r="BV35" s="917"/>
      <c r="BW35" s="928"/>
      <c r="BX35" s="928"/>
      <c r="BY35" s="928"/>
      <c r="BZ35" s="917"/>
      <c r="CA35" s="928"/>
      <c r="CB35" s="917"/>
      <c r="CC35" s="928"/>
      <c r="CD35" s="928"/>
      <c r="CE35" s="928"/>
      <c r="CF35" s="929"/>
      <c r="CG35" s="928"/>
      <c r="CH35" s="928"/>
      <c r="CI35" s="928"/>
      <c r="CJ35" s="925"/>
      <c r="CK35" s="925"/>
      <c r="CL35" s="925"/>
      <c r="CM35" s="925"/>
      <c r="CN35" s="925"/>
      <c r="CO35" s="925"/>
      <c r="CP35" s="925"/>
      <c r="CQ35" s="925"/>
      <c r="CR35" s="925"/>
      <c r="CS35" s="917"/>
      <c r="CT35" s="928"/>
      <c r="CU35" s="928"/>
      <c r="CV35" s="928"/>
      <c r="CX35" s="925"/>
      <c r="CY35" s="925"/>
      <c r="CZ35" s="925"/>
      <c r="DB35" s="925"/>
      <c r="DC35" s="925"/>
      <c r="DD35" s="925"/>
      <c r="DE35" s="925"/>
      <c r="DF35" s="925"/>
      <c r="DG35" s="925"/>
      <c r="DH35" s="925"/>
      <c r="DI35" s="925"/>
      <c r="DJ35" s="925"/>
      <c r="DK35" s="925"/>
      <c r="DL35" s="925"/>
      <c r="DM35" s="925"/>
      <c r="DN35" s="925"/>
      <c r="DO35" s="925"/>
      <c r="DP35" s="925"/>
      <c r="DQ35" s="924"/>
      <c r="DR35" s="925"/>
      <c r="DS35" s="925"/>
      <c r="DT35" s="925"/>
      <c r="DV35" s="925"/>
      <c r="DW35" s="925"/>
      <c r="DX35" s="925"/>
      <c r="DY35" s="925"/>
      <c r="DZ35" s="925"/>
      <c r="EA35" s="925"/>
      <c r="EB35" s="925"/>
      <c r="EC35" s="925"/>
      <c r="ED35" s="925"/>
      <c r="EE35" s="925"/>
      <c r="EF35" s="925"/>
      <c r="EG35" s="925"/>
      <c r="EH35" s="925"/>
      <c r="EI35" s="925"/>
      <c r="EJ35" s="925"/>
      <c r="EK35" s="925"/>
      <c r="EL35" s="925"/>
      <c r="EM35" s="925"/>
      <c r="EN35" s="925"/>
      <c r="EO35" s="925"/>
      <c r="EP35" s="925"/>
      <c r="EQ35" s="925"/>
      <c r="ER35" s="925"/>
      <c r="ES35" s="925"/>
      <c r="ET35" s="925"/>
      <c r="EV35" s="924"/>
      <c r="EW35" s="925"/>
      <c r="EX35" s="925"/>
      <c r="EY35" s="925"/>
    </row>
    <row r="36" spans="1:161" s="927" customFormat="1" ht="15.75" x14ac:dyDescent="0.25">
      <c r="A36" s="912" t="s">
        <v>359</v>
      </c>
      <c r="B36" s="913" t="s">
        <v>703</v>
      </c>
      <c r="C36" s="914">
        <v>1</v>
      </c>
      <c r="D36" s="914">
        <v>10481</v>
      </c>
      <c r="E36" s="915">
        <v>1.0549999999999999</v>
      </c>
      <c r="F36" s="916">
        <f t="shared" si="0"/>
        <v>11058</v>
      </c>
      <c r="G36" s="915">
        <v>1.01</v>
      </c>
      <c r="H36" s="916">
        <f t="shared" si="1"/>
        <v>11169</v>
      </c>
      <c r="I36" s="917">
        <f t="shared" si="2"/>
        <v>11169</v>
      </c>
      <c r="J36" s="918">
        <f t="shared" si="3"/>
        <v>0</v>
      </c>
      <c r="K36" s="919"/>
      <c r="L36" s="917">
        <f t="shared" si="4"/>
        <v>0</v>
      </c>
      <c r="M36" s="918">
        <f t="shared" si="5"/>
        <v>0</v>
      </c>
      <c r="N36" s="919"/>
      <c r="O36" s="917">
        <f t="shared" si="6"/>
        <v>0</v>
      </c>
      <c r="P36" s="918">
        <f t="shared" si="7"/>
        <v>0</v>
      </c>
      <c r="Q36" s="919"/>
      <c r="R36" s="917">
        <f t="shared" si="8"/>
        <v>0</v>
      </c>
      <c r="S36" s="918">
        <f t="shared" si="9"/>
        <v>0</v>
      </c>
      <c r="T36" s="919"/>
      <c r="U36" s="917">
        <f t="shared" si="10"/>
        <v>0</v>
      </c>
      <c r="V36" s="918">
        <f t="shared" si="11"/>
        <v>0</v>
      </c>
      <c r="W36" s="919"/>
      <c r="X36" s="917">
        <f t="shared" si="12"/>
        <v>0</v>
      </c>
      <c r="Y36" s="918">
        <f t="shared" si="13"/>
        <v>1.98</v>
      </c>
      <c r="Z36" s="919">
        <v>20752.38</v>
      </c>
      <c r="AA36" s="917">
        <f t="shared" si="14"/>
        <v>22114.62</v>
      </c>
      <c r="AB36" s="918">
        <f t="shared" si="15"/>
        <v>0.3</v>
      </c>
      <c r="AC36" s="919">
        <v>3144.3</v>
      </c>
      <c r="AD36" s="917">
        <f t="shared" si="16"/>
        <v>3350.7</v>
      </c>
      <c r="AE36" s="918">
        <f t="shared" si="17"/>
        <v>0</v>
      </c>
      <c r="AF36" s="919"/>
      <c r="AG36" s="917">
        <f t="shared" si="18"/>
        <v>0</v>
      </c>
      <c r="AH36" s="918">
        <f t="shared" si="19"/>
        <v>0</v>
      </c>
      <c r="AI36" s="919"/>
      <c r="AJ36" s="917">
        <f t="shared" si="20"/>
        <v>0</v>
      </c>
      <c r="AK36" s="918">
        <f t="shared" si="21"/>
        <v>0</v>
      </c>
      <c r="AL36" s="919"/>
      <c r="AM36" s="917">
        <f t="shared" si="22"/>
        <v>0</v>
      </c>
      <c r="AN36" s="920">
        <v>19242</v>
      </c>
      <c r="AO36" s="917">
        <f t="shared" si="23"/>
        <v>0</v>
      </c>
      <c r="AP36" s="920"/>
      <c r="AQ36" s="916">
        <f t="shared" si="24"/>
        <v>0</v>
      </c>
      <c r="AR36" s="917">
        <f t="shared" si="25"/>
        <v>36634.32</v>
      </c>
      <c r="AS36" s="916">
        <v>12</v>
      </c>
      <c r="AT36" s="921">
        <f t="shared" si="26"/>
        <v>439611.84</v>
      </c>
      <c r="AU36" s="920"/>
      <c r="AV36" s="922">
        <f t="shared" si="27"/>
        <v>4396.12</v>
      </c>
      <c r="AW36" s="921">
        <f t="shared" si="28"/>
        <v>444007.96</v>
      </c>
      <c r="AX36" s="921">
        <f t="shared" si="29"/>
        <v>134090.4</v>
      </c>
      <c r="AY36" s="921">
        <f t="shared" si="30"/>
        <v>578098.36</v>
      </c>
      <c r="AZ36" s="923">
        <f t="shared" si="31"/>
        <v>444</v>
      </c>
      <c r="BA36" s="923">
        <f t="shared" si="32"/>
        <v>134.1</v>
      </c>
      <c r="BB36" s="923">
        <f t="shared" si="33"/>
        <v>578.1</v>
      </c>
      <c r="BC36" s="915">
        <v>0.95</v>
      </c>
      <c r="BD36" s="923">
        <f t="shared" si="34"/>
        <v>421.8</v>
      </c>
      <c r="BE36" s="923">
        <f t="shared" si="35"/>
        <v>127.4</v>
      </c>
      <c r="BF36" s="923">
        <f t="shared" si="36"/>
        <v>549.20000000000005</v>
      </c>
      <c r="BG36" s="924">
        <f>'[3]свод (2024)'!$B$116</f>
        <v>0.99758349999999996</v>
      </c>
      <c r="BH36" s="923">
        <f t="shared" si="37"/>
        <v>420.8</v>
      </c>
      <c r="BI36" s="923">
        <f t="shared" si="38"/>
        <v>127.1</v>
      </c>
      <c r="BJ36" s="923">
        <f t="shared" si="39"/>
        <v>547.9</v>
      </c>
      <c r="BK36" s="925">
        <f t="shared" si="40"/>
        <v>-23.2</v>
      </c>
      <c r="BL36" s="925">
        <f t="shared" si="40"/>
        <v>-7</v>
      </c>
      <c r="BM36" s="925">
        <f t="shared" si="41"/>
        <v>-30.2</v>
      </c>
      <c r="BN36" s="925">
        <f t="shared" si="42"/>
        <v>0</v>
      </c>
      <c r="BO36" s="925">
        <f t="shared" si="43"/>
        <v>0</v>
      </c>
      <c r="BP36" s="926"/>
      <c r="BQ36" s="925">
        <f t="shared" si="44"/>
        <v>420.8</v>
      </c>
      <c r="BR36" s="925">
        <f t="shared" si="44"/>
        <v>127.1</v>
      </c>
      <c r="BS36" s="925">
        <f t="shared" si="45"/>
        <v>547.9</v>
      </c>
      <c r="BU36" s="928"/>
      <c r="BV36" s="917"/>
      <c r="BW36" s="928"/>
      <c r="BX36" s="928"/>
      <c r="BY36" s="928"/>
      <c r="BZ36" s="917"/>
      <c r="CA36" s="928"/>
      <c r="CB36" s="917"/>
      <c r="CC36" s="928"/>
      <c r="CD36" s="928"/>
      <c r="CE36" s="928"/>
      <c r="CF36" s="929"/>
      <c r="CG36" s="928"/>
      <c r="CH36" s="928"/>
      <c r="CI36" s="928"/>
      <c r="CJ36" s="925"/>
      <c r="CK36" s="925"/>
      <c r="CL36" s="925"/>
      <c r="CM36" s="925"/>
      <c r="CN36" s="925"/>
      <c r="CO36" s="925"/>
      <c r="CP36" s="925"/>
      <c r="CQ36" s="925"/>
      <c r="CR36" s="925"/>
      <c r="CS36" s="917"/>
      <c r="CT36" s="928"/>
      <c r="CU36" s="928"/>
      <c r="CV36" s="928"/>
      <c r="CX36" s="925"/>
      <c r="CY36" s="925"/>
      <c r="CZ36" s="925"/>
      <c r="DB36" s="925"/>
      <c r="DC36" s="925"/>
      <c r="DD36" s="925"/>
      <c r="DE36" s="925"/>
      <c r="DF36" s="925"/>
      <c r="DG36" s="925"/>
      <c r="DH36" s="925"/>
      <c r="DI36" s="925"/>
      <c r="DJ36" s="925"/>
      <c r="DK36" s="925"/>
      <c r="DL36" s="925"/>
      <c r="DM36" s="925"/>
      <c r="DN36" s="925"/>
      <c r="DO36" s="925"/>
      <c r="DP36" s="925"/>
      <c r="DQ36" s="924"/>
      <c r="DR36" s="925"/>
      <c r="DS36" s="925"/>
      <c r="DT36" s="925"/>
      <c r="DV36" s="925"/>
      <c r="DW36" s="925"/>
      <c r="DX36" s="925"/>
      <c r="DY36" s="925"/>
      <c r="DZ36" s="925"/>
      <c r="EA36" s="925"/>
      <c r="EB36" s="925"/>
      <c r="EC36" s="925"/>
      <c r="ED36" s="925"/>
      <c r="EE36" s="925"/>
      <c r="EF36" s="925"/>
      <c r="EG36" s="925"/>
      <c r="EH36" s="925"/>
      <c r="EI36" s="925"/>
      <c r="EJ36" s="925"/>
      <c r="EK36" s="925"/>
      <c r="EL36" s="925"/>
      <c r="EM36" s="925"/>
      <c r="EN36" s="925"/>
      <c r="EO36" s="925"/>
      <c r="EP36" s="925"/>
      <c r="EQ36" s="925"/>
      <c r="ER36" s="925"/>
      <c r="ES36" s="925"/>
      <c r="ET36" s="925"/>
      <c r="EV36" s="924"/>
      <c r="EW36" s="925"/>
      <c r="EX36" s="925"/>
      <c r="EY36" s="925"/>
    </row>
    <row r="37" spans="1:161" s="927" customFormat="1" ht="15.75" x14ac:dyDescent="0.25">
      <c r="A37" s="912" t="s">
        <v>359</v>
      </c>
      <c r="B37" s="913" t="s">
        <v>41</v>
      </c>
      <c r="C37" s="914">
        <v>1</v>
      </c>
      <c r="D37" s="914">
        <v>7912</v>
      </c>
      <c r="E37" s="915">
        <v>1.0549999999999999</v>
      </c>
      <c r="F37" s="916">
        <f t="shared" si="0"/>
        <v>8348</v>
      </c>
      <c r="G37" s="915">
        <v>1.01</v>
      </c>
      <c r="H37" s="916">
        <f t="shared" si="1"/>
        <v>8432</v>
      </c>
      <c r="I37" s="917">
        <f t="shared" si="2"/>
        <v>8432</v>
      </c>
      <c r="J37" s="918">
        <f t="shared" si="3"/>
        <v>0</v>
      </c>
      <c r="K37" s="919"/>
      <c r="L37" s="917">
        <f t="shared" si="4"/>
        <v>0</v>
      </c>
      <c r="M37" s="918">
        <f t="shared" si="5"/>
        <v>0</v>
      </c>
      <c r="N37" s="919"/>
      <c r="O37" s="917">
        <f t="shared" si="6"/>
        <v>0</v>
      </c>
      <c r="P37" s="918">
        <f t="shared" si="7"/>
        <v>0</v>
      </c>
      <c r="Q37" s="919"/>
      <c r="R37" s="917">
        <f t="shared" si="8"/>
        <v>0</v>
      </c>
      <c r="S37" s="918">
        <f t="shared" si="9"/>
        <v>0.18</v>
      </c>
      <c r="T37" s="919">
        <v>1424.16</v>
      </c>
      <c r="U37" s="917">
        <f t="shared" si="10"/>
        <v>1517.76</v>
      </c>
      <c r="V37" s="918">
        <f t="shared" si="11"/>
        <v>0</v>
      </c>
      <c r="W37" s="919"/>
      <c r="X37" s="917">
        <f t="shared" si="12"/>
        <v>0</v>
      </c>
      <c r="Y37" s="918">
        <f t="shared" si="13"/>
        <v>0</v>
      </c>
      <c r="Z37" s="919"/>
      <c r="AA37" s="917">
        <f t="shared" si="14"/>
        <v>0</v>
      </c>
      <c r="AB37" s="918">
        <f t="shared" si="15"/>
        <v>0.1</v>
      </c>
      <c r="AC37" s="919">
        <v>791.2</v>
      </c>
      <c r="AD37" s="917">
        <f t="shared" si="16"/>
        <v>843.2</v>
      </c>
      <c r="AE37" s="918">
        <f t="shared" si="17"/>
        <v>0</v>
      </c>
      <c r="AF37" s="919"/>
      <c r="AG37" s="917">
        <f t="shared" si="18"/>
        <v>0</v>
      </c>
      <c r="AH37" s="918">
        <f t="shared" si="19"/>
        <v>0</v>
      </c>
      <c r="AI37" s="919"/>
      <c r="AJ37" s="917">
        <f t="shared" si="20"/>
        <v>0</v>
      </c>
      <c r="AK37" s="918">
        <f t="shared" si="21"/>
        <v>0</v>
      </c>
      <c r="AL37" s="919"/>
      <c r="AM37" s="917">
        <f t="shared" si="22"/>
        <v>0</v>
      </c>
      <c r="AN37" s="920">
        <v>19242</v>
      </c>
      <c r="AO37" s="917">
        <f t="shared" si="23"/>
        <v>8449.0400000000009</v>
      </c>
      <c r="AP37" s="920"/>
      <c r="AQ37" s="916">
        <f t="shared" si="24"/>
        <v>0</v>
      </c>
      <c r="AR37" s="917">
        <f t="shared" si="25"/>
        <v>19242</v>
      </c>
      <c r="AS37" s="916">
        <v>12</v>
      </c>
      <c r="AT37" s="921">
        <f t="shared" si="26"/>
        <v>230904</v>
      </c>
      <c r="AU37" s="920"/>
      <c r="AV37" s="922">
        <f t="shared" si="27"/>
        <v>2309.04</v>
      </c>
      <c r="AW37" s="921">
        <f t="shared" si="28"/>
        <v>233213.04</v>
      </c>
      <c r="AX37" s="921">
        <f t="shared" si="29"/>
        <v>70430.34</v>
      </c>
      <c r="AY37" s="921">
        <f t="shared" si="30"/>
        <v>303643.38</v>
      </c>
      <c r="AZ37" s="923">
        <f t="shared" si="31"/>
        <v>233.2</v>
      </c>
      <c r="BA37" s="923">
        <f t="shared" si="32"/>
        <v>70.400000000000006</v>
      </c>
      <c r="BB37" s="923">
        <f t="shared" si="33"/>
        <v>303.60000000000002</v>
      </c>
      <c r="BC37" s="915">
        <v>0.95</v>
      </c>
      <c r="BD37" s="923">
        <f t="shared" si="34"/>
        <v>221.5</v>
      </c>
      <c r="BE37" s="923">
        <f t="shared" si="35"/>
        <v>66.900000000000006</v>
      </c>
      <c r="BF37" s="923">
        <f t="shared" si="36"/>
        <v>288.39999999999998</v>
      </c>
      <c r="BG37" s="924">
        <f>'[3]свод (2024)'!$B$116</f>
        <v>0.99758349999999996</v>
      </c>
      <c r="BH37" s="923">
        <f t="shared" si="37"/>
        <v>221</v>
      </c>
      <c r="BI37" s="923">
        <f t="shared" si="38"/>
        <v>66.7</v>
      </c>
      <c r="BJ37" s="923">
        <f t="shared" si="39"/>
        <v>287.7</v>
      </c>
      <c r="BK37" s="925">
        <f t="shared" si="40"/>
        <v>-12.2</v>
      </c>
      <c r="BL37" s="925">
        <f t="shared" si="40"/>
        <v>-3.7</v>
      </c>
      <c r="BM37" s="925">
        <f t="shared" si="41"/>
        <v>-15.9</v>
      </c>
      <c r="BN37" s="925">
        <f t="shared" si="42"/>
        <v>0</v>
      </c>
      <c r="BO37" s="925">
        <f t="shared" si="43"/>
        <v>0</v>
      </c>
      <c r="BP37" s="926"/>
      <c r="BQ37" s="925">
        <f t="shared" si="44"/>
        <v>221</v>
      </c>
      <c r="BR37" s="925">
        <f t="shared" si="44"/>
        <v>66.7</v>
      </c>
      <c r="BS37" s="925">
        <f t="shared" si="45"/>
        <v>287.7</v>
      </c>
      <c r="BU37" s="928"/>
      <c r="BV37" s="917"/>
      <c r="BW37" s="928"/>
      <c r="BX37" s="928"/>
      <c r="BY37" s="928"/>
      <c r="BZ37" s="917"/>
      <c r="CA37" s="928"/>
      <c r="CB37" s="917"/>
      <c r="CC37" s="928"/>
      <c r="CD37" s="928"/>
      <c r="CE37" s="928"/>
      <c r="CF37" s="929"/>
      <c r="CG37" s="928"/>
      <c r="CH37" s="928"/>
      <c r="CI37" s="928"/>
      <c r="CJ37" s="925"/>
      <c r="CK37" s="925"/>
      <c r="CL37" s="925"/>
      <c r="CM37" s="925"/>
      <c r="CN37" s="925"/>
      <c r="CO37" s="925"/>
      <c r="CP37" s="925"/>
      <c r="CQ37" s="925"/>
      <c r="CR37" s="925"/>
      <c r="CS37" s="917"/>
      <c r="CT37" s="928"/>
      <c r="CU37" s="928"/>
      <c r="CV37" s="928"/>
      <c r="CX37" s="925"/>
      <c r="CY37" s="925"/>
      <c r="CZ37" s="925"/>
      <c r="DB37" s="925"/>
      <c r="DC37" s="925"/>
      <c r="DD37" s="925"/>
      <c r="DE37" s="925"/>
      <c r="DF37" s="925"/>
      <c r="DG37" s="925"/>
      <c r="DH37" s="925"/>
      <c r="DI37" s="925"/>
      <c r="DJ37" s="925"/>
      <c r="DK37" s="925"/>
      <c r="DL37" s="925"/>
      <c r="DM37" s="925"/>
      <c r="DN37" s="925"/>
      <c r="DO37" s="925"/>
      <c r="DP37" s="925"/>
      <c r="DQ37" s="924"/>
      <c r="DR37" s="925"/>
      <c r="DS37" s="925"/>
      <c r="DT37" s="925"/>
      <c r="DV37" s="925"/>
      <c r="DW37" s="925"/>
      <c r="DX37" s="925"/>
      <c r="DY37" s="925"/>
      <c r="DZ37" s="925"/>
      <c r="EA37" s="925"/>
      <c r="EB37" s="925"/>
      <c r="EC37" s="925"/>
      <c r="ED37" s="925"/>
      <c r="EE37" s="925"/>
      <c r="EF37" s="925"/>
      <c r="EG37" s="925"/>
      <c r="EH37" s="925"/>
      <c r="EI37" s="925"/>
      <c r="EJ37" s="925"/>
      <c r="EK37" s="925"/>
      <c r="EL37" s="925"/>
      <c r="EM37" s="925"/>
      <c r="EN37" s="925"/>
      <c r="EO37" s="925"/>
      <c r="EP37" s="925"/>
      <c r="EQ37" s="925"/>
      <c r="ER37" s="925"/>
      <c r="ES37" s="925"/>
      <c r="ET37" s="925"/>
      <c r="EV37" s="924"/>
      <c r="EW37" s="925"/>
      <c r="EX37" s="925"/>
      <c r="EY37" s="925"/>
    </row>
    <row r="38" spans="1:161" s="927" customFormat="1" ht="15.75" x14ac:dyDescent="0.25">
      <c r="A38" s="912" t="s">
        <v>359</v>
      </c>
      <c r="B38" s="913" t="s">
        <v>44</v>
      </c>
      <c r="C38" s="914">
        <v>3.5</v>
      </c>
      <c r="D38" s="914">
        <v>4588</v>
      </c>
      <c r="E38" s="915">
        <v>1.0549999999999999</v>
      </c>
      <c r="F38" s="916">
        <f t="shared" si="0"/>
        <v>4841</v>
      </c>
      <c r="G38" s="915">
        <v>1.01</v>
      </c>
      <c r="H38" s="916">
        <f t="shared" si="1"/>
        <v>4890</v>
      </c>
      <c r="I38" s="917">
        <f t="shared" si="2"/>
        <v>17115</v>
      </c>
      <c r="J38" s="918">
        <f t="shared" si="3"/>
        <v>0</v>
      </c>
      <c r="K38" s="919"/>
      <c r="L38" s="917">
        <f t="shared" si="4"/>
        <v>0</v>
      </c>
      <c r="M38" s="918">
        <f t="shared" si="5"/>
        <v>0</v>
      </c>
      <c r="N38" s="919"/>
      <c r="O38" s="917">
        <f t="shared" si="6"/>
        <v>0</v>
      </c>
      <c r="P38" s="918">
        <f t="shared" si="7"/>
        <v>0</v>
      </c>
      <c r="Q38" s="919"/>
      <c r="R38" s="917">
        <f t="shared" si="8"/>
        <v>0</v>
      </c>
      <c r="S38" s="918">
        <f t="shared" si="9"/>
        <v>0.5</v>
      </c>
      <c r="T38" s="919">
        <v>8029</v>
      </c>
      <c r="U38" s="917">
        <f t="shared" si="10"/>
        <v>8557.5</v>
      </c>
      <c r="V38" s="918">
        <f t="shared" si="11"/>
        <v>0</v>
      </c>
      <c r="W38" s="919"/>
      <c r="X38" s="917">
        <f t="shared" si="12"/>
        <v>0</v>
      </c>
      <c r="Y38" s="918">
        <f t="shared" si="13"/>
        <v>0</v>
      </c>
      <c r="Z38" s="919"/>
      <c r="AA38" s="917">
        <f t="shared" si="14"/>
        <v>0</v>
      </c>
      <c r="AB38" s="918">
        <f t="shared" si="15"/>
        <v>0</v>
      </c>
      <c r="AC38" s="919"/>
      <c r="AD38" s="917">
        <f t="shared" si="16"/>
        <v>0</v>
      </c>
      <c r="AE38" s="918">
        <f t="shared" si="17"/>
        <v>0</v>
      </c>
      <c r="AF38" s="919"/>
      <c r="AG38" s="917">
        <f t="shared" si="18"/>
        <v>0</v>
      </c>
      <c r="AH38" s="918">
        <f t="shared" si="19"/>
        <v>0</v>
      </c>
      <c r="AI38" s="919"/>
      <c r="AJ38" s="917">
        <f t="shared" si="20"/>
        <v>0</v>
      </c>
      <c r="AK38" s="918">
        <f t="shared" si="21"/>
        <v>0</v>
      </c>
      <c r="AL38" s="919"/>
      <c r="AM38" s="917">
        <f t="shared" si="22"/>
        <v>0</v>
      </c>
      <c r="AN38" s="920">
        <v>19242</v>
      </c>
      <c r="AO38" s="917">
        <f t="shared" si="23"/>
        <v>41674.5</v>
      </c>
      <c r="AP38" s="920"/>
      <c r="AQ38" s="916">
        <f t="shared" si="24"/>
        <v>0</v>
      </c>
      <c r="AR38" s="917">
        <f t="shared" si="25"/>
        <v>67347</v>
      </c>
      <c r="AS38" s="916">
        <v>12</v>
      </c>
      <c r="AT38" s="921">
        <f t="shared" si="26"/>
        <v>808164</v>
      </c>
      <c r="AU38" s="920"/>
      <c r="AV38" s="922">
        <f t="shared" si="27"/>
        <v>8081.64</v>
      </c>
      <c r="AW38" s="921">
        <f t="shared" si="28"/>
        <v>816245.64</v>
      </c>
      <c r="AX38" s="921">
        <f t="shared" si="29"/>
        <v>246506.18</v>
      </c>
      <c r="AY38" s="921">
        <f t="shared" si="30"/>
        <v>1062751.82</v>
      </c>
      <c r="AZ38" s="923">
        <f t="shared" si="31"/>
        <v>816.2</v>
      </c>
      <c r="BA38" s="923">
        <f t="shared" si="32"/>
        <v>246.5</v>
      </c>
      <c r="BB38" s="923">
        <f t="shared" si="33"/>
        <v>1062.7</v>
      </c>
      <c r="BC38" s="915">
        <v>0.95</v>
      </c>
      <c r="BD38" s="923">
        <f t="shared" si="34"/>
        <v>775.4</v>
      </c>
      <c r="BE38" s="923">
        <f t="shared" si="35"/>
        <v>234.2</v>
      </c>
      <c r="BF38" s="923">
        <f t="shared" si="36"/>
        <v>1009.6</v>
      </c>
      <c r="BG38" s="924">
        <f>'[3]свод (2024)'!$B$116</f>
        <v>0.99758349999999996</v>
      </c>
      <c r="BH38" s="923">
        <f t="shared" si="37"/>
        <v>773.5</v>
      </c>
      <c r="BI38" s="923">
        <f t="shared" si="38"/>
        <v>233.6</v>
      </c>
      <c r="BJ38" s="923">
        <f t="shared" si="39"/>
        <v>1007.1</v>
      </c>
      <c r="BK38" s="925">
        <f t="shared" si="40"/>
        <v>-42.7</v>
      </c>
      <c r="BL38" s="925">
        <f t="shared" si="40"/>
        <v>-12.9</v>
      </c>
      <c r="BM38" s="925">
        <f t="shared" si="41"/>
        <v>-55.6</v>
      </c>
      <c r="BN38" s="925">
        <f t="shared" si="42"/>
        <v>0</v>
      </c>
      <c r="BO38" s="925">
        <f t="shared" si="43"/>
        <v>0</v>
      </c>
      <c r="BP38" s="926"/>
      <c r="BQ38" s="925">
        <f t="shared" si="44"/>
        <v>773.5</v>
      </c>
      <c r="BR38" s="925">
        <f t="shared" si="44"/>
        <v>233.6</v>
      </c>
      <c r="BS38" s="925">
        <f t="shared" si="45"/>
        <v>1007.1</v>
      </c>
      <c r="BU38" s="928"/>
      <c r="BV38" s="917"/>
      <c r="BW38" s="928"/>
      <c r="BX38" s="928"/>
      <c r="BY38" s="928"/>
      <c r="BZ38" s="917"/>
      <c r="CA38" s="928"/>
      <c r="CB38" s="917"/>
      <c r="CC38" s="928"/>
      <c r="CD38" s="928"/>
      <c r="CE38" s="928"/>
      <c r="CF38" s="929"/>
      <c r="CG38" s="928"/>
      <c r="CH38" s="928"/>
      <c r="CI38" s="928"/>
      <c r="CJ38" s="925"/>
      <c r="CK38" s="925"/>
      <c r="CL38" s="925"/>
      <c r="CM38" s="925"/>
      <c r="CN38" s="925"/>
      <c r="CO38" s="925"/>
      <c r="CP38" s="925"/>
      <c r="CQ38" s="925"/>
      <c r="CR38" s="925"/>
      <c r="CS38" s="917"/>
      <c r="CT38" s="928"/>
      <c r="CU38" s="928"/>
      <c r="CV38" s="928"/>
      <c r="CX38" s="925"/>
      <c r="CY38" s="925"/>
      <c r="CZ38" s="925"/>
      <c r="DB38" s="925"/>
      <c r="DC38" s="925"/>
      <c r="DD38" s="925"/>
      <c r="DE38" s="925"/>
      <c r="DF38" s="925"/>
      <c r="DG38" s="925"/>
      <c r="DH38" s="925"/>
      <c r="DI38" s="925"/>
      <c r="DJ38" s="925"/>
      <c r="DK38" s="925"/>
      <c r="DL38" s="925"/>
      <c r="DM38" s="925"/>
      <c r="DN38" s="925"/>
      <c r="DO38" s="925"/>
      <c r="DP38" s="925"/>
      <c r="DQ38" s="924"/>
      <c r="DR38" s="925"/>
      <c r="DS38" s="925"/>
      <c r="DT38" s="925"/>
      <c r="DV38" s="925"/>
      <c r="DW38" s="925"/>
      <c r="DX38" s="925"/>
      <c r="DY38" s="925"/>
      <c r="DZ38" s="925"/>
      <c r="EA38" s="925"/>
      <c r="EB38" s="925"/>
      <c r="EC38" s="925"/>
      <c r="ED38" s="925"/>
      <c r="EE38" s="925"/>
      <c r="EF38" s="925"/>
      <c r="EG38" s="925"/>
      <c r="EH38" s="925"/>
      <c r="EI38" s="925"/>
      <c r="EJ38" s="925"/>
      <c r="EK38" s="925"/>
      <c r="EL38" s="925"/>
      <c r="EM38" s="925"/>
      <c r="EN38" s="925"/>
      <c r="EO38" s="925"/>
      <c r="EP38" s="925"/>
      <c r="EQ38" s="925"/>
      <c r="ER38" s="925"/>
      <c r="ES38" s="925"/>
      <c r="ET38" s="925"/>
      <c r="EV38" s="924"/>
      <c r="EW38" s="925"/>
      <c r="EX38" s="925"/>
      <c r="EY38" s="925"/>
    </row>
    <row r="39" spans="1:161" s="927" customFormat="1" ht="15.75" x14ac:dyDescent="0.25">
      <c r="A39" s="912" t="s">
        <v>359</v>
      </c>
      <c r="B39" s="913" t="s">
        <v>34</v>
      </c>
      <c r="C39" s="914">
        <v>1</v>
      </c>
      <c r="D39" s="914">
        <v>13132</v>
      </c>
      <c r="E39" s="915">
        <v>1.0549999999999999</v>
      </c>
      <c r="F39" s="916">
        <f t="shared" si="0"/>
        <v>13855</v>
      </c>
      <c r="G39" s="915">
        <v>1.01</v>
      </c>
      <c r="H39" s="916">
        <f t="shared" si="1"/>
        <v>13994</v>
      </c>
      <c r="I39" s="917">
        <f t="shared" si="2"/>
        <v>13994</v>
      </c>
      <c r="J39" s="918">
        <f t="shared" si="3"/>
        <v>0.25</v>
      </c>
      <c r="K39" s="919">
        <v>3283</v>
      </c>
      <c r="L39" s="917">
        <f t="shared" si="4"/>
        <v>3498.5</v>
      </c>
      <c r="M39" s="918">
        <f t="shared" si="5"/>
        <v>0</v>
      </c>
      <c r="N39" s="919"/>
      <c r="O39" s="917">
        <f t="shared" si="6"/>
        <v>0</v>
      </c>
      <c r="P39" s="918">
        <f t="shared" si="7"/>
        <v>0</v>
      </c>
      <c r="Q39" s="919"/>
      <c r="R39" s="917">
        <f t="shared" si="8"/>
        <v>0</v>
      </c>
      <c r="S39" s="918">
        <f t="shared" si="9"/>
        <v>0</v>
      </c>
      <c r="T39" s="919"/>
      <c r="U39" s="917">
        <f t="shared" si="10"/>
        <v>0</v>
      </c>
      <c r="V39" s="918">
        <f t="shared" si="11"/>
        <v>0</v>
      </c>
      <c r="W39" s="919"/>
      <c r="X39" s="917">
        <f t="shared" si="12"/>
        <v>0</v>
      </c>
      <c r="Y39" s="918">
        <f t="shared" si="13"/>
        <v>0</v>
      </c>
      <c r="Z39" s="919"/>
      <c r="AA39" s="917">
        <f t="shared" si="14"/>
        <v>0</v>
      </c>
      <c r="AB39" s="918">
        <f t="shared" si="15"/>
        <v>0.2</v>
      </c>
      <c r="AC39" s="919">
        <v>2626.4</v>
      </c>
      <c r="AD39" s="917">
        <f t="shared" si="16"/>
        <v>2798.8</v>
      </c>
      <c r="AE39" s="918">
        <f t="shared" si="17"/>
        <v>0</v>
      </c>
      <c r="AF39" s="919"/>
      <c r="AG39" s="917">
        <f t="shared" si="18"/>
        <v>0</v>
      </c>
      <c r="AH39" s="918">
        <f t="shared" si="19"/>
        <v>0</v>
      </c>
      <c r="AI39" s="919"/>
      <c r="AJ39" s="917">
        <f t="shared" si="20"/>
        <v>0</v>
      </c>
      <c r="AK39" s="918">
        <f t="shared" si="21"/>
        <v>0</v>
      </c>
      <c r="AL39" s="919"/>
      <c r="AM39" s="917">
        <f t="shared" si="22"/>
        <v>0</v>
      </c>
      <c r="AN39" s="920">
        <v>19242</v>
      </c>
      <c r="AO39" s="917">
        <f t="shared" si="23"/>
        <v>0</v>
      </c>
      <c r="AP39" s="920"/>
      <c r="AQ39" s="916">
        <f t="shared" si="24"/>
        <v>0</v>
      </c>
      <c r="AR39" s="917">
        <f t="shared" si="25"/>
        <v>20291.3</v>
      </c>
      <c r="AS39" s="916">
        <v>12</v>
      </c>
      <c r="AT39" s="921">
        <f t="shared" si="26"/>
        <v>243495.6</v>
      </c>
      <c r="AU39" s="920"/>
      <c r="AV39" s="922">
        <f t="shared" si="27"/>
        <v>2434.96</v>
      </c>
      <c r="AW39" s="921">
        <f t="shared" si="28"/>
        <v>245930.56</v>
      </c>
      <c r="AX39" s="921">
        <f t="shared" si="29"/>
        <v>74271.03</v>
      </c>
      <c r="AY39" s="921">
        <f t="shared" si="30"/>
        <v>320201.59000000003</v>
      </c>
      <c r="AZ39" s="923">
        <f t="shared" si="31"/>
        <v>245.9</v>
      </c>
      <c r="BA39" s="923">
        <f t="shared" si="32"/>
        <v>74.3</v>
      </c>
      <c r="BB39" s="923">
        <f t="shared" si="33"/>
        <v>320.2</v>
      </c>
      <c r="BC39" s="915">
        <v>0.95</v>
      </c>
      <c r="BD39" s="923">
        <f t="shared" si="34"/>
        <v>233.6</v>
      </c>
      <c r="BE39" s="923">
        <f t="shared" si="35"/>
        <v>70.5</v>
      </c>
      <c r="BF39" s="923">
        <f t="shared" si="36"/>
        <v>304.10000000000002</v>
      </c>
      <c r="BG39" s="924">
        <f>'[3]свод (2024)'!$B$116</f>
        <v>0.99758349999999996</v>
      </c>
      <c r="BH39" s="923">
        <f t="shared" si="37"/>
        <v>233</v>
      </c>
      <c r="BI39" s="923">
        <f t="shared" si="38"/>
        <v>70.400000000000006</v>
      </c>
      <c r="BJ39" s="923">
        <f t="shared" si="39"/>
        <v>303.39999999999998</v>
      </c>
      <c r="BK39" s="925">
        <f t="shared" si="40"/>
        <v>-12.9</v>
      </c>
      <c r="BL39" s="925">
        <f t="shared" si="40"/>
        <v>-3.9</v>
      </c>
      <c r="BM39" s="925">
        <f t="shared" si="41"/>
        <v>-16.8</v>
      </c>
      <c r="BN39" s="925">
        <f t="shared" si="42"/>
        <v>0</v>
      </c>
      <c r="BO39" s="925">
        <f t="shared" si="43"/>
        <v>0</v>
      </c>
      <c r="BP39" s="926"/>
      <c r="BQ39" s="925">
        <f t="shared" si="44"/>
        <v>233</v>
      </c>
      <c r="BR39" s="925">
        <f t="shared" si="44"/>
        <v>70.400000000000006</v>
      </c>
      <c r="BS39" s="925">
        <f t="shared" si="45"/>
        <v>303.39999999999998</v>
      </c>
      <c r="BU39" s="928">
        <f>C39</f>
        <v>1</v>
      </c>
      <c r="BV39" s="917"/>
      <c r="BW39" s="928"/>
      <c r="BX39" s="928">
        <f>AW39-X39</f>
        <v>245930.56</v>
      </c>
      <c r="BY39" s="928"/>
      <c r="BZ39" s="917"/>
      <c r="CA39" s="928"/>
      <c r="CB39" s="917"/>
      <c r="CC39" s="928"/>
      <c r="CD39" s="928"/>
      <c r="CE39" s="928"/>
      <c r="CF39" s="929">
        <f t="shared" si="46"/>
        <v>96429.13</v>
      </c>
      <c r="CG39" s="928"/>
      <c r="CH39" s="928"/>
      <c r="CI39" s="928"/>
      <c r="CJ39" s="925"/>
      <c r="CK39" s="925"/>
      <c r="CL39" s="925"/>
      <c r="CM39" s="925"/>
      <c r="CN39" s="925"/>
      <c r="CO39" s="925"/>
      <c r="CP39" s="925"/>
      <c r="CQ39" s="925"/>
      <c r="CR39" s="925"/>
      <c r="CS39" s="917"/>
      <c r="CT39" s="928"/>
      <c r="CU39" s="928"/>
      <c r="CV39" s="928"/>
      <c r="CX39" s="925"/>
      <c r="CY39" s="925"/>
      <c r="CZ39" s="925"/>
      <c r="DB39" s="925"/>
      <c r="DC39" s="925"/>
      <c r="DD39" s="925"/>
      <c r="DE39" s="925"/>
      <c r="DF39" s="925"/>
      <c r="DG39" s="925"/>
      <c r="DH39" s="925"/>
      <c r="DI39" s="925"/>
      <c r="DJ39" s="925"/>
      <c r="DK39" s="925"/>
      <c r="DL39" s="925"/>
      <c r="DM39" s="925"/>
      <c r="DN39" s="925"/>
      <c r="DO39" s="925"/>
      <c r="DP39" s="925"/>
      <c r="DQ39" s="924"/>
      <c r="DR39" s="925"/>
      <c r="DS39" s="925"/>
      <c r="DT39" s="925"/>
      <c r="DV39" s="925"/>
      <c r="DW39" s="925"/>
      <c r="DX39" s="925"/>
      <c r="DY39" s="925"/>
      <c r="DZ39" s="925"/>
      <c r="EA39" s="925"/>
      <c r="EB39" s="925"/>
      <c r="EC39" s="925"/>
      <c r="ED39" s="925"/>
      <c r="EE39" s="925"/>
      <c r="EF39" s="925"/>
      <c r="EG39" s="925"/>
      <c r="EH39" s="925"/>
      <c r="EI39" s="925"/>
      <c r="EJ39" s="925"/>
      <c r="EK39" s="925"/>
      <c r="EL39" s="925"/>
      <c r="EM39" s="925"/>
      <c r="EN39" s="925"/>
      <c r="EO39" s="925"/>
      <c r="EP39" s="925"/>
      <c r="EQ39" s="925"/>
      <c r="ER39" s="925"/>
      <c r="ES39" s="925"/>
      <c r="ET39" s="925"/>
      <c r="EV39" s="924"/>
      <c r="EW39" s="925"/>
      <c r="EX39" s="925"/>
      <c r="EY39" s="925"/>
    </row>
    <row r="40" spans="1:161" s="927" customFormat="1" ht="15.75" x14ac:dyDescent="0.25">
      <c r="A40" s="912" t="s">
        <v>359</v>
      </c>
      <c r="B40" s="913" t="s">
        <v>399</v>
      </c>
      <c r="C40" s="914">
        <v>0.5</v>
      </c>
      <c r="D40" s="914">
        <v>6707</v>
      </c>
      <c r="E40" s="915">
        <v>1.0549999999999999</v>
      </c>
      <c r="F40" s="916">
        <f t="shared" si="0"/>
        <v>7076</v>
      </c>
      <c r="G40" s="915">
        <v>1.01</v>
      </c>
      <c r="H40" s="916">
        <f t="shared" si="1"/>
        <v>7147</v>
      </c>
      <c r="I40" s="917">
        <f t="shared" si="2"/>
        <v>3573.5</v>
      </c>
      <c r="J40" s="918">
        <f t="shared" si="3"/>
        <v>0</v>
      </c>
      <c r="K40" s="919"/>
      <c r="L40" s="917">
        <f t="shared" si="4"/>
        <v>0</v>
      </c>
      <c r="M40" s="918">
        <f t="shared" si="5"/>
        <v>0</v>
      </c>
      <c r="N40" s="919"/>
      <c r="O40" s="917">
        <f t="shared" si="6"/>
        <v>0</v>
      </c>
      <c r="P40" s="918">
        <f t="shared" si="7"/>
        <v>0</v>
      </c>
      <c r="Q40" s="919"/>
      <c r="R40" s="917">
        <f t="shared" si="8"/>
        <v>0</v>
      </c>
      <c r="S40" s="918">
        <f t="shared" si="9"/>
        <v>0</v>
      </c>
      <c r="T40" s="919"/>
      <c r="U40" s="917">
        <f t="shared" si="10"/>
        <v>0</v>
      </c>
      <c r="V40" s="918">
        <f t="shared" si="11"/>
        <v>0</v>
      </c>
      <c r="W40" s="919"/>
      <c r="X40" s="917">
        <f t="shared" si="12"/>
        <v>0</v>
      </c>
      <c r="Y40" s="918">
        <f t="shared" si="13"/>
        <v>1.98</v>
      </c>
      <c r="Z40" s="919">
        <v>6639.93</v>
      </c>
      <c r="AA40" s="917">
        <f t="shared" si="14"/>
        <v>7075.53</v>
      </c>
      <c r="AB40" s="918">
        <f t="shared" si="15"/>
        <v>0.3</v>
      </c>
      <c r="AC40" s="919">
        <v>1006.05</v>
      </c>
      <c r="AD40" s="917">
        <f t="shared" si="16"/>
        <v>1072.05</v>
      </c>
      <c r="AE40" s="918">
        <f t="shared" si="17"/>
        <v>0</v>
      </c>
      <c r="AF40" s="919"/>
      <c r="AG40" s="917">
        <f t="shared" si="18"/>
        <v>0</v>
      </c>
      <c r="AH40" s="918">
        <f t="shared" si="19"/>
        <v>0</v>
      </c>
      <c r="AI40" s="919"/>
      <c r="AJ40" s="917">
        <f t="shared" si="20"/>
        <v>0</v>
      </c>
      <c r="AK40" s="918">
        <f t="shared" si="21"/>
        <v>0</v>
      </c>
      <c r="AL40" s="919"/>
      <c r="AM40" s="917">
        <f t="shared" si="22"/>
        <v>0</v>
      </c>
      <c r="AN40" s="920">
        <v>19242</v>
      </c>
      <c r="AO40" s="917">
        <f t="shared" si="23"/>
        <v>0</v>
      </c>
      <c r="AP40" s="920"/>
      <c r="AQ40" s="916">
        <f t="shared" si="24"/>
        <v>0</v>
      </c>
      <c r="AR40" s="917">
        <f t="shared" si="25"/>
        <v>11721.08</v>
      </c>
      <c r="AS40" s="916">
        <v>12</v>
      </c>
      <c r="AT40" s="921">
        <f t="shared" si="26"/>
        <v>140652.96</v>
      </c>
      <c r="AU40" s="920"/>
      <c r="AV40" s="922">
        <f t="shared" si="27"/>
        <v>1406.53</v>
      </c>
      <c r="AW40" s="921">
        <f t="shared" si="28"/>
        <v>142059.49</v>
      </c>
      <c r="AX40" s="921">
        <f t="shared" si="29"/>
        <v>42901.97</v>
      </c>
      <c r="AY40" s="921">
        <f t="shared" si="30"/>
        <v>184961.46</v>
      </c>
      <c r="AZ40" s="923">
        <f t="shared" si="31"/>
        <v>142.1</v>
      </c>
      <c r="BA40" s="923">
        <f t="shared" si="32"/>
        <v>42.9</v>
      </c>
      <c r="BB40" s="923">
        <f t="shared" si="33"/>
        <v>185</v>
      </c>
      <c r="BC40" s="915">
        <v>0.95</v>
      </c>
      <c r="BD40" s="923">
        <f t="shared" si="34"/>
        <v>135</v>
      </c>
      <c r="BE40" s="923">
        <f t="shared" si="35"/>
        <v>40.799999999999997</v>
      </c>
      <c r="BF40" s="923">
        <f t="shared" si="36"/>
        <v>175.8</v>
      </c>
      <c r="BG40" s="924">
        <f>'[3]свод (2024)'!$B$116</f>
        <v>0.99758349999999996</v>
      </c>
      <c r="BH40" s="923">
        <f t="shared" si="37"/>
        <v>134.69999999999999</v>
      </c>
      <c r="BI40" s="923">
        <f t="shared" si="38"/>
        <v>40.700000000000003</v>
      </c>
      <c r="BJ40" s="923">
        <f t="shared" si="39"/>
        <v>175.4</v>
      </c>
      <c r="BK40" s="925">
        <f t="shared" si="40"/>
        <v>-7.4</v>
      </c>
      <c r="BL40" s="925">
        <f t="shared" si="40"/>
        <v>-2.2000000000000002</v>
      </c>
      <c r="BM40" s="925">
        <f t="shared" si="41"/>
        <v>-9.6</v>
      </c>
      <c r="BN40" s="925">
        <f t="shared" si="42"/>
        <v>0</v>
      </c>
      <c r="BO40" s="925">
        <f t="shared" si="43"/>
        <v>0</v>
      </c>
      <c r="BP40" s="926"/>
      <c r="BQ40" s="925">
        <f t="shared" si="44"/>
        <v>134.69999999999999</v>
      </c>
      <c r="BR40" s="925">
        <f t="shared" si="44"/>
        <v>40.700000000000003</v>
      </c>
      <c r="BS40" s="925">
        <f t="shared" si="45"/>
        <v>175.4</v>
      </c>
      <c r="BU40" s="928"/>
      <c r="BV40" s="917"/>
      <c r="BW40" s="928"/>
      <c r="BX40" s="928"/>
      <c r="BY40" s="928"/>
      <c r="BZ40" s="917"/>
      <c r="CA40" s="928"/>
      <c r="CB40" s="917"/>
      <c r="CC40" s="928"/>
      <c r="CD40" s="928"/>
      <c r="CE40" s="928"/>
      <c r="CF40" s="929"/>
      <c r="CG40" s="928"/>
      <c r="CH40" s="928"/>
      <c r="CI40" s="928"/>
      <c r="CJ40" s="925"/>
      <c r="CK40" s="925"/>
      <c r="CL40" s="925"/>
      <c r="CM40" s="925"/>
      <c r="CN40" s="925"/>
      <c r="CO40" s="925"/>
      <c r="CP40" s="925"/>
      <c r="CQ40" s="925"/>
      <c r="CR40" s="925"/>
      <c r="CS40" s="917"/>
      <c r="CT40" s="928"/>
      <c r="CU40" s="928"/>
      <c r="CV40" s="928"/>
      <c r="CX40" s="925"/>
      <c r="CY40" s="925"/>
      <c r="CZ40" s="925"/>
      <c r="DB40" s="925"/>
      <c r="DC40" s="925"/>
      <c r="DD40" s="925"/>
      <c r="DE40" s="925"/>
      <c r="DF40" s="925"/>
      <c r="DG40" s="925"/>
      <c r="DH40" s="925"/>
      <c r="DI40" s="925"/>
      <c r="DJ40" s="925"/>
      <c r="DK40" s="925"/>
      <c r="DL40" s="925"/>
      <c r="DM40" s="925"/>
      <c r="DN40" s="925"/>
      <c r="DO40" s="925"/>
      <c r="DP40" s="925"/>
      <c r="DQ40" s="924"/>
      <c r="DR40" s="925"/>
      <c r="DS40" s="925"/>
      <c r="DT40" s="925"/>
      <c r="DV40" s="925"/>
      <c r="DW40" s="925"/>
      <c r="DX40" s="925"/>
      <c r="DY40" s="925"/>
      <c r="DZ40" s="925"/>
      <c r="EA40" s="925"/>
      <c r="EB40" s="925"/>
      <c r="EC40" s="925"/>
      <c r="ED40" s="925"/>
      <c r="EE40" s="925"/>
      <c r="EF40" s="925"/>
      <c r="EG40" s="925"/>
      <c r="EH40" s="925"/>
      <c r="EI40" s="925"/>
      <c r="EJ40" s="925"/>
      <c r="EK40" s="925"/>
      <c r="EL40" s="925"/>
      <c r="EM40" s="925"/>
      <c r="EN40" s="925"/>
      <c r="EO40" s="925"/>
      <c r="EP40" s="925"/>
      <c r="EQ40" s="925"/>
      <c r="ER40" s="925"/>
      <c r="ES40" s="925"/>
      <c r="ET40" s="925"/>
      <c r="EV40" s="924"/>
      <c r="EW40" s="925"/>
      <c r="EX40" s="925"/>
      <c r="EY40" s="925"/>
    </row>
    <row r="41" spans="1:161" s="927" customFormat="1" ht="15.75" x14ac:dyDescent="0.25">
      <c r="A41" s="912" t="s">
        <v>359</v>
      </c>
      <c r="B41" s="913" t="s">
        <v>1388</v>
      </c>
      <c r="C41" s="914">
        <v>0.5</v>
      </c>
      <c r="D41" s="914">
        <v>6707</v>
      </c>
      <c r="E41" s="915">
        <v>1.0549999999999999</v>
      </c>
      <c r="F41" s="916">
        <f t="shared" si="0"/>
        <v>7076</v>
      </c>
      <c r="G41" s="915">
        <v>1.01</v>
      </c>
      <c r="H41" s="916">
        <f t="shared" si="1"/>
        <v>7147</v>
      </c>
      <c r="I41" s="917">
        <f t="shared" si="2"/>
        <v>3573.5</v>
      </c>
      <c r="J41" s="918">
        <f t="shared" si="3"/>
        <v>0</v>
      </c>
      <c r="K41" s="919"/>
      <c r="L41" s="917">
        <f t="shared" si="4"/>
        <v>0</v>
      </c>
      <c r="M41" s="918">
        <f t="shared" si="5"/>
        <v>0</v>
      </c>
      <c r="N41" s="919"/>
      <c r="O41" s="917">
        <f t="shared" si="6"/>
        <v>0</v>
      </c>
      <c r="P41" s="918">
        <f t="shared" si="7"/>
        <v>0</v>
      </c>
      <c r="Q41" s="919"/>
      <c r="R41" s="917">
        <f t="shared" si="8"/>
        <v>0</v>
      </c>
      <c r="S41" s="918">
        <f t="shared" si="9"/>
        <v>0</v>
      </c>
      <c r="T41" s="919"/>
      <c r="U41" s="917">
        <f t="shared" si="10"/>
        <v>0</v>
      </c>
      <c r="V41" s="918">
        <f t="shared" si="11"/>
        <v>0</v>
      </c>
      <c r="W41" s="919"/>
      <c r="X41" s="917">
        <f t="shared" si="12"/>
        <v>0</v>
      </c>
      <c r="Y41" s="918">
        <f t="shared" si="13"/>
        <v>1.98</v>
      </c>
      <c r="Z41" s="919">
        <v>6639.93</v>
      </c>
      <c r="AA41" s="917">
        <f t="shared" si="14"/>
        <v>7075.53</v>
      </c>
      <c r="AB41" s="918">
        <f t="shared" si="15"/>
        <v>0.3</v>
      </c>
      <c r="AC41" s="919">
        <v>1006.05</v>
      </c>
      <c r="AD41" s="917">
        <f t="shared" si="16"/>
        <v>1072.05</v>
      </c>
      <c r="AE41" s="918">
        <f t="shared" si="17"/>
        <v>0</v>
      </c>
      <c r="AF41" s="919"/>
      <c r="AG41" s="917">
        <f t="shared" si="18"/>
        <v>0</v>
      </c>
      <c r="AH41" s="918">
        <f t="shared" si="19"/>
        <v>0</v>
      </c>
      <c r="AI41" s="919"/>
      <c r="AJ41" s="917">
        <f t="shared" si="20"/>
        <v>0</v>
      </c>
      <c r="AK41" s="918">
        <f t="shared" si="21"/>
        <v>0</v>
      </c>
      <c r="AL41" s="919"/>
      <c r="AM41" s="917">
        <f t="shared" si="22"/>
        <v>0</v>
      </c>
      <c r="AN41" s="920">
        <v>19242</v>
      </c>
      <c r="AO41" s="917">
        <f t="shared" si="23"/>
        <v>0</v>
      </c>
      <c r="AP41" s="920"/>
      <c r="AQ41" s="916">
        <f t="shared" si="24"/>
        <v>0</v>
      </c>
      <c r="AR41" s="917">
        <f t="shared" si="25"/>
        <v>11721.08</v>
      </c>
      <c r="AS41" s="916">
        <v>12</v>
      </c>
      <c r="AT41" s="921">
        <f t="shared" si="26"/>
        <v>140652.96</v>
      </c>
      <c r="AU41" s="920"/>
      <c r="AV41" s="922">
        <f t="shared" si="27"/>
        <v>1406.53</v>
      </c>
      <c r="AW41" s="921">
        <f t="shared" si="28"/>
        <v>142059.49</v>
      </c>
      <c r="AX41" s="921">
        <f t="shared" si="29"/>
        <v>42901.97</v>
      </c>
      <c r="AY41" s="921">
        <f t="shared" si="30"/>
        <v>184961.46</v>
      </c>
      <c r="AZ41" s="923">
        <f t="shared" si="31"/>
        <v>142.1</v>
      </c>
      <c r="BA41" s="923">
        <f t="shared" si="32"/>
        <v>42.9</v>
      </c>
      <c r="BB41" s="923">
        <f t="shared" si="33"/>
        <v>185</v>
      </c>
      <c r="BC41" s="915">
        <v>0.95</v>
      </c>
      <c r="BD41" s="923">
        <f t="shared" si="34"/>
        <v>135</v>
      </c>
      <c r="BE41" s="923">
        <f t="shared" si="35"/>
        <v>40.799999999999997</v>
      </c>
      <c r="BF41" s="923">
        <f t="shared" si="36"/>
        <v>175.8</v>
      </c>
      <c r="BG41" s="924">
        <f>'[3]свод (2024)'!$B$116</f>
        <v>0.99758349999999996</v>
      </c>
      <c r="BH41" s="923">
        <f t="shared" si="37"/>
        <v>134.69999999999999</v>
      </c>
      <c r="BI41" s="923">
        <f t="shared" si="38"/>
        <v>40.700000000000003</v>
      </c>
      <c r="BJ41" s="923">
        <f t="shared" si="39"/>
        <v>175.4</v>
      </c>
      <c r="BK41" s="925">
        <f t="shared" si="40"/>
        <v>-7.4</v>
      </c>
      <c r="BL41" s="925">
        <f t="shared" si="40"/>
        <v>-2.2000000000000002</v>
      </c>
      <c r="BM41" s="925">
        <f t="shared" si="41"/>
        <v>-9.6</v>
      </c>
      <c r="BN41" s="925">
        <f t="shared" si="42"/>
        <v>0</v>
      </c>
      <c r="BO41" s="925">
        <f t="shared" si="43"/>
        <v>0</v>
      </c>
      <c r="BP41" s="926"/>
      <c r="BQ41" s="925">
        <f t="shared" si="44"/>
        <v>134.69999999999999</v>
      </c>
      <c r="BR41" s="925">
        <f t="shared" si="44"/>
        <v>40.700000000000003</v>
      </c>
      <c r="BS41" s="925">
        <f t="shared" si="45"/>
        <v>175.4</v>
      </c>
      <c r="BU41" s="928"/>
      <c r="BV41" s="917"/>
      <c r="BW41" s="928"/>
      <c r="BX41" s="928"/>
      <c r="BY41" s="928"/>
      <c r="BZ41" s="917"/>
      <c r="CA41" s="928"/>
      <c r="CB41" s="917"/>
      <c r="CC41" s="928"/>
      <c r="CD41" s="928"/>
      <c r="CE41" s="928"/>
      <c r="CF41" s="929"/>
      <c r="CG41" s="928"/>
      <c r="CH41" s="928"/>
      <c r="CI41" s="928"/>
      <c r="CJ41" s="925"/>
      <c r="CK41" s="925"/>
      <c r="CL41" s="925"/>
      <c r="CM41" s="925"/>
      <c r="CN41" s="925"/>
      <c r="CO41" s="925"/>
      <c r="CP41" s="925"/>
      <c r="CQ41" s="925"/>
      <c r="CR41" s="925"/>
      <c r="CS41" s="917"/>
      <c r="CT41" s="928"/>
      <c r="CU41" s="928"/>
      <c r="CV41" s="928"/>
      <c r="CX41" s="925"/>
      <c r="CY41" s="925"/>
      <c r="CZ41" s="925"/>
      <c r="DB41" s="925"/>
      <c r="DC41" s="925"/>
      <c r="DD41" s="925"/>
      <c r="DE41" s="925"/>
      <c r="DF41" s="925"/>
      <c r="DG41" s="925"/>
      <c r="DH41" s="925"/>
      <c r="DI41" s="925"/>
      <c r="DJ41" s="925"/>
      <c r="DK41" s="925"/>
      <c r="DL41" s="925"/>
      <c r="DM41" s="925"/>
      <c r="DN41" s="925"/>
      <c r="DO41" s="925"/>
      <c r="DP41" s="925"/>
      <c r="DQ41" s="924"/>
      <c r="DR41" s="925"/>
      <c r="DS41" s="925"/>
      <c r="DT41" s="925"/>
      <c r="DV41" s="925"/>
      <c r="DW41" s="925"/>
      <c r="DX41" s="925"/>
      <c r="DY41" s="925"/>
      <c r="DZ41" s="925"/>
      <c r="EA41" s="925"/>
      <c r="EB41" s="925"/>
      <c r="EC41" s="925"/>
      <c r="ED41" s="925"/>
      <c r="EE41" s="925"/>
      <c r="EF41" s="925"/>
      <c r="EG41" s="925"/>
      <c r="EH41" s="925"/>
      <c r="EI41" s="925"/>
      <c r="EJ41" s="925"/>
      <c r="EK41" s="925"/>
      <c r="EL41" s="925"/>
      <c r="EM41" s="925"/>
      <c r="EN41" s="925"/>
      <c r="EO41" s="925"/>
      <c r="EP41" s="925"/>
      <c r="EQ41" s="925"/>
      <c r="ER41" s="925"/>
      <c r="ES41" s="925"/>
      <c r="ET41" s="925"/>
      <c r="EV41" s="924"/>
      <c r="EW41" s="925"/>
      <c r="EX41" s="925"/>
      <c r="EY41" s="925"/>
    </row>
    <row r="42" spans="1:161" s="927" customFormat="1" ht="15.75" x14ac:dyDescent="0.25">
      <c r="A42" s="912" t="s">
        <v>359</v>
      </c>
      <c r="B42" s="913" t="s">
        <v>1389</v>
      </c>
      <c r="C42" s="914">
        <v>6</v>
      </c>
      <c r="D42" s="914">
        <v>4336</v>
      </c>
      <c r="E42" s="915">
        <v>1.0549999999999999</v>
      </c>
      <c r="F42" s="916">
        <f t="shared" si="0"/>
        <v>4575</v>
      </c>
      <c r="G42" s="915">
        <v>1.01</v>
      </c>
      <c r="H42" s="916">
        <f t="shared" si="1"/>
        <v>4621</v>
      </c>
      <c r="I42" s="917">
        <f t="shared" si="2"/>
        <v>27726</v>
      </c>
      <c r="J42" s="918">
        <f t="shared" si="3"/>
        <v>0</v>
      </c>
      <c r="K42" s="919"/>
      <c r="L42" s="917">
        <f t="shared" si="4"/>
        <v>0</v>
      </c>
      <c r="M42" s="918">
        <f t="shared" si="5"/>
        <v>0</v>
      </c>
      <c r="N42" s="919"/>
      <c r="O42" s="917">
        <f t="shared" si="6"/>
        <v>0</v>
      </c>
      <c r="P42" s="918">
        <f t="shared" si="7"/>
        <v>0</v>
      </c>
      <c r="Q42" s="919"/>
      <c r="R42" s="917">
        <f t="shared" si="8"/>
        <v>0</v>
      </c>
      <c r="S42" s="918">
        <f t="shared" si="9"/>
        <v>0.41666999999999998</v>
      </c>
      <c r="T42" s="919">
        <v>10840</v>
      </c>
      <c r="U42" s="917">
        <f t="shared" si="10"/>
        <v>11552.59</v>
      </c>
      <c r="V42" s="918">
        <f t="shared" si="11"/>
        <v>0</v>
      </c>
      <c r="W42" s="919"/>
      <c r="X42" s="917">
        <f t="shared" si="12"/>
        <v>0</v>
      </c>
      <c r="Y42" s="918">
        <f t="shared" si="13"/>
        <v>0</v>
      </c>
      <c r="Z42" s="919"/>
      <c r="AA42" s="917">
        <f t="shared" si="14"/>
        <v>0</v>
      </c>
      <c r="AB42" s="918">
        <f t="shared" si="15"/>
        <v>0</v>
      </c>
      <c r="AC42" s="919"/>
      <c r="AD42" s="917">
        <f t="shared" si="16"/>
        <v>0</v>
      </c>
      <c r="AE42" s="918">
        <f t="shared" si="17"/>
        <v>0</v>
      </c>
      <c r="AF42" s="919"/>
      <c r="AG42" s="917">
        <f t="shared" si="18"/>
        <v>0</v>
      </c>
      <c r="AH42" s="918">
        <f t="shared" si="19"/>
        <v>0</v>
      </c>
      <c r="AI42" s="919"/>
      <c r="AJ42" s="917">
        <f t="shared" si="20"/>
        <v>0</v>
      </c>
      <c r="AK42" s="918">
        <f t="shared" si="21"/>
        <v>0</v>
      </c>
      <c r="AL42" s="919"/>
      <c r="AM42" s="917">
        <f t="shared" si="22"/>
        <v>0</v>
      </c>
      <c r="AN42" s="920">
        <v>19242</v>
      </c>
      <c r="AO42" s="917">
        <f t="shared" si="23"/>
        <v>76173.41</v>
      </c>
      <c r="AP42" s="920">
        <v>1060.29</v>
      </c>
      <c r="AQ42" s="916">
        <f t="shared" si="24"/>
        <v>6361.74</v>
      </c>
      <c r="AR42" s="917">
        <f t="shared" si="25"/>
        <v>121813.74</v>
      </c>
      <c r="AS42" s="916">
        <v>12</v>
      </c>
      <c r="AT42" s="921">
        <f t="shared" si="26"/>
        <v>1461764.88</v>
      </c>
      <c r="AU42" s="920">
        <f>AT42*0.085</f>
        <v>124250.01</v>
      </c>
      <c r="AV42" s="922">
        <f t="shared" si="27"/>
        <v>14617.65</v>
      </c>
      <c r="AW42" s="921">
        <f t="shared" si="28"/>
        <v>1600632.54</v>
      </c>
      <c r="AX42" s="921">
        <f t="shared" si="29"/>
        <v>483391.03</v>
      </c>
      <c r="AY42" s="921">
        <f t="shared" si="30"/>
        <v>2084023.57</v>
      </c>
      <c r="AZ42" s="923">
        <f t="shared" si="31"/>
        <v>1600.6</v>
      </c>
      <c r="BA42" s="923">
        <f t="shared" si="32"/>
        <v>483.4</v>
      </c>
      <c r="BB42" s="923">
        <f t="shared" si="33"/>
        <v>2084</v>
      </c>
      <c r="BC42" s="915">
        <v>0.95</v>
      </c>
      <c r="BD42" s="923">
        <f t="shared" si="34"/>
        <v>1520.6</v>
      </c>
      <c r="BE42" s="923">
        <f t="shared" si="35"/>
        <v>459.2</v>
      </c>
      <c r="BF42" s="923">
        <f t="shared" si="36"/>
        <v>1979.8</v>
      </c>
      <c r="BG42" s="924">
        <f>'[3]свод (2024)'!$B$116</f>
        <v>0.99758349999999996</v>
      </c>
      <c r="BH42" s="923">
        <f>ROUND(BD42*BG42,1)</f>
        <v>1516.9</v>
      </c>
      <c r="BI42" s="923">
        <f t="shared" si="38"/>
        <v>458.1</v>
      </c>
      <c r="BJ42" s="923">
        <f t="shared" si="39"/>
        <v>1975</v>
      </c>
      <c r="BK42" s="925">
        <f t="shared" si="40"/>
        <v>-83.7</v>
      </c>
      <c r="BL42" s="925">
        <f t="shared" si="40"/>
        <v>-25.3</v>
      </c>
      <c r="BM42" s="925">
        <f t="shared" si="41"/>
        <v>-109</v>
      </c>
      <c r="BN42" s="925">
        <f t="shared" si="42"/>
        <v>0</v>
      </c>
      <c r="BO42" s="925">
        <f t="shared" si="43"/>
        <v>0</v>
      </c>
      <c r="BP42" s="926"/>
      <c r="BQ42" s="925">
        <f t="shared" si="44"/>
        <v>1516.9</v>
      </c>
      <c r="BR42" s="925">
        <f t="shared" si="44"/>
        <v>458.1</v>
      </c>
      <c r="BS42" s="925">
        <f t="shared" si="45"/>
        <v>1975</v>
      </c>
      <c r="BU42" s="928"/>
      <c r="BV42" s="917"/>
      <c r="BW42" s="928"/>
      <c r="BX42" s="928"/>
      <c r="BY42" s="928"/>
      <c r="BZ42" s="917"/>
      <c r="CA42" s="928"/>
      <c r="CB42" s="917"/>
      <c r="CC42" s="928"/>
      <c r="CD42" s="928"/>
      <c r="CE42" s="928"/>
      <c r="CF42" s="929"/>
      <c r="CG42" s="928"/>
      <c r="CH42" s="928"/>
      <c r="CI42" s="928"/>
      <c r="CJ42" s="925"/>
      <c r="CK42" s="925"/>
      <c r="CL42" s="925"/>
      <c r="CM42" s="925"/>
      <c r="CN42" s="925"/>
      <c r="CO42" s="925"/>
      <c r="CP42" s="925"/>
      <c r="CQ42" s="925"/>
      <c r="CR42" s="925"/>
      <c r="CS42" s="917"/>
      <c r="CT42" s="928"/>
      <c r="CU42" s="928"/>
      <c r="CV42" s="928"/>
      <c r="CX42" s="925"/>
      <c r="CY42" s="925"/>
      <c r="CZ42" s="925"/>
      <c r="DB42" s="925"/>
      <c r="DC42" s="925"/>
      <c r="DD42" s="925"/>
      <c r="DE42" s="925"/>
      <c r="DF42" s="925"/>
      <c r="DG42" s="925"/>
      <c r="DH42" s="925"/>
      <c r="DI42" s="925"/>
      <c r="DJ42" s="925"/>
      <c r="DK42" s="925"/>
      <c r="DL42" s="925"/>
      <c r="DM42" s="925"/>
      <c r="DN42" s="925"/>
      <c r="DO42" s="925"/>
      <c r="DP42" s="925"/>
      <c r="DQ42" s="924"/>
      <c r="DR42" s="925"/>
      <c r="DS42" s="925"/>
      <c r="DT42" s="925"/>
      <c r="DV42" s="925"/>
      <c r="DW42" s="925"/>
      <c r="DX42" s="925"/>
      <c r="DY42" s="925"/>
      <c r="DZ42" s="925"/>
      <c r="EA42" s="925"/>
      <c r="EB42" s="925"/>
      <c r="EC42" s="925"/>
      <c r="ED42" s="925"/>
      <c r="EE42" s="925"/>
      <c r="EF42" s="925"/>
      <c r="EG42" s="925"/>
      <c r="EH42" s="925"/>
      <c r="EI42" s="925"/>
      <c r="EJ42" s="925"/>
      <c r="EK42" s="925"/>
      <c r="EL42" s="925"/>
      <c r="EM42" s="925"/>
      <c r="EN42" s="925"/>
      <c r="EO42" s="925"/>
      <c r="EP42" s="925"/>
      <c r="EQ42" s="925"/>
      <c r="ER42" s="925"/>
      <c r="ES42" s="925"/>
      <c r="ET42" s="925"/>
      <c r="EV42" s="924"/>
      <c r="EW42" s="925"/>
      <c r="EX42" s="925"/>
      <c r="EY42" s="925"/>
    </row>
    <row r="43" spans="1:161" s="927" customFormat="1" ht="15.75" x14ac:dyDescent="0.25">
      <c r="A43" s="912" t="s">
        <v>359</v>
      </c>
      <c r="B43" s="913" t="s">
        <v>493</v>
      </c>
      <c r="C43" s="914">
        <v>8.82</v>
      </c>
      <c r="D43" s="914">
        <v>13132</v>
      </c>
      <c r="E43" s="915">
        <v>1.0549999999999999</v>
      </c>
      <c r="F43" s="916">
        <f t="shared" si="0"/>
        <v>13855</v>
      </c>
      <c r="G43" s="915">
        <v>1.01</v>
      </c>
      <c r="H43" s="916">
        <f t="shared" si="1"/>
        <v>13994</v>
      </c>
      <c r="I43" s="917">
        <f t="shared" si="2"/>
        <v>123427.08</v>
      </c>
      <c r="J43" s="918">
        <f t="shared" si="3"/>
        <v>0.25</v>
      </c>
      <c r="K43" s="919">
        <v>28956.06</v>
      </c>
      <c r="L43" s="917">
        <f t="shared" si="4"/>
        <v>30856.77</v>
      </c>
      <c r="M43" s="918">
        <f t="shared" si="5"/>
        <v>0</v>
      </c>
      <c r="N43" s="919"/>
      <c r="O43" s="917">
        <f t="shared" si="6"/>
        <v>0</v>
      </c>
      <c r="P43" s="918">
        <f t="shared" si="7"/>
        <v>0</v>
      </c>
      <c r="Q43" s="919"/>
      <c r="R43" s="917">
        <f t="shared" si="8"/>
        <v>0</v>
      </c>
      <c r="S43" s="918">
        <f t="shared" si="9"/>
        <v>0</v>
      </c>
      <c r="T43" s="919"/>
      <c r="U43" s="917">
        <f t="shared" si="10"/>
        <v>0</v>
      </c>
      <c r="V43" s="918">
        <f t="shared" si="11"/>
        <v>0</v>
      </c>
      <c r="W43" s="919"/>
      <c r="X43" s="917">
        <f t="shared" si="12"/>
        <v>0</v>
      </c>
      <c r="Y43" s="918">
        <f t="shared" si="13"/>
        <v>0</v>
      </c>
      <c r="Z43" s="919"/>
      <c r="AA43" s="917">
        <f t="shared" si="14"/>
        <v>0</v>
      </c>
      <c r="AB43" s="918">
        <f t="shared" si="15"/>
        <v>0.2</v>
      </c>
      <c r="AC43" s="919">
        <v>23164.85</v>
      </c>
      <c r="AD43" s="917">
        <f t="shared" si="16"/>
        <v>24685.42</v>
      </c>
      <c r="AE43" s="918">
        <f t="shared" si="17"/>
        <v>0</v>
      </c>
      <c r="AF43" s="919"/>
      <c r="AG43" s="917">
        <f t="shared" si="18"/>
        <v>0</v>
      </c>
      <c r="AH43" s="918">
        <f t="shared" si="19"/>
        <v>0</v>
      </c>
      <c r="AI43" s="919"/>
      <c r="AJ43" s="917">
        <f t="shared" si="20"/>
        <v>0</v>
      </c>
      <c r="AK43" s="918">
        <f t="shared" si="21"/>
        <v>0</v>
      </c>
      <c r="AL43" s="919"/>
      <c r="AM43" s="917">
        <f t="shared" si="22"/>
        <v>0</v>
      </c>
      <c r="AN43" s="920">
        <v>19242</v>
      </c>
      <c r="AO43" s="917">
        <f t="shared" si="23"/>
        <v>0</v>
      </c>
      <c r="AP43" s="920"/>
      <c r="AQ43" s="916">
        <f t="shared" si="24"/>
        <v>0</v>
      </c>
      <c r="AR43" s="917">
        <f t="shared" si="25"/>
        <v>178969.27</v>
      </c>
      <c r="AS43" s="916">
        <v>12</v>
      </c>
      <c r="AT43" s="921">
        <f t="shared" si="26"/>
        <v>2147631.2400000002</v>
      </c>
      <c r="AU43" s="920"/>
      <c r="AV43" s="922">
        <f t="shared" si="27"/>
        <v>21476.31</v>
      </c>
      <c r="AW43" s="921">
        <f t="shared" si="28"/>
        <v>2169107.5499999998</v>
      </c>
      <c r="AX43" s="921">
        <f t="shared" si="29"/>
        <v>655070.48</v>
      </c>
      <c r="AY43" s="921">
        <f t="shared" si="30"/>
        <v>2824178.03</v>
      </c>
      <c r="AZ43" s="923">
        <f t="shared" si="31"/>
        <v>2169.1</v>
      </c>
      <c r="BA43" s="923">
        <f t="shared" si="32"/>
        <v>655.1</v>
      </c>
      <c r="BB43" s="923">
        <f t="shared" si="33"/>
        <v>2824.2</v>
      </c>
      <c r="BC43" s="915">
        <v>0.95</v>
      </c>
      <c r="BD43" s="923">
        <f t="shared" si="34"/>
        <v>2060.6</v>
      </c>
      <c r="BE43" s="923">
        <f t="shared" si="35"/>
        <v>622.29999999999995</v>
      </c>
      <c r="BF43" s="923">
        <f t="shared" si="36"/>
        <v>2682.9</v>
      </c>
      <c r="BG43" s="924">
        <f>'[3]свод (2024)'!$B$116</f>
        <v>0.99758349999999996</v>
      </c>
      <c r="BH43" s="923">
        <f t="shared" si="37"/>
        <v>2055.6</v>
      </c>
      <c r="BI43" s="923">
        <f t="shared" si="38"/>
        <v>620.79999999999995</v>
      </c>
      <c r="BJ43" s="923">
        <f t="shared" si="39"/>
        <v>2676.4</v>
      </c>
      <c r="BK43" s="925">
        <f t="shared" si="40"/>
        <v>-113.5</v>
      </c>
      <c r="BL43" s="925">
        <f t="shared" si="40"/>
        <v>-34.299999999999997</v>
      </c>
      <c r="BM43" s="925">
        <f t="shared" si="41"/>
        <v>-147.80000000000001</v>
      </c>
      <c r="BN43" s="925">
        <f t="shared" si="42"/>
        <v>0</v>
      </c>
      <c r="BO43" s="925">
        <f t="shared" si="43"/>
        <v>0</v>
      </c>
      <c r="BP43" s="926"/>
      <c r="BQ43" s="925">
        <f t="shared" si="44"/>
        <v>2055.6</v>
      </c>
      <c r="BR43" s="925">
        <f t="shared" si="44"/>
        <v>620.79999999999995</v>
      </c>
      <c r="BS43" s="925">
        <f t="shared" si="45"/>
        <v>2676.4</v>
      </c>
      <c r="BU43" s="928">
        <f>C43</f>
        <v>8.82</v>
      </c>
      <c r="BV43" s="917"/>
      <c r="BW43" s="928"/>
      <c r="BX43" s="928">
        <f>AW43-X43</f>
        <v>2169107.5499999998</v>
      </c>
      <c r="BY43" s="928"/>
      <c r="BZ43" s="917"/>
      <c r="CA43" s="928"/>
      <c r="CB43" s="917"/>
      <c r="CC43" s="928"/>
      <c r="CD43" s="928"/>
      <c r="CE43" s="928"/>
      <c r="CF43" s="929">
        <f t="shared" si="46"/>
        <v>850504.93</v>
      </c>
      <c r="CG43" s="928"/>
      <c r="CH43" s="928"/>
      <c r="CI43" s="928"/>
      <c r="CJ43" s="925"/>
      <c r="CK43" s="925"/>
      <c r="CL43" s="925"/>
      <c r="CM43" s="925"/>
      <c r="CN43" s="925"/>
      <c r="CO43" s="925"/>
      <c r="CP43" s="925"/>
      <c r="CQ43" s="925"/>
      <c r="CR43" s="925"/>
      <c r="CS43" s="917"/>
      <c r="CT43" s="928"/>
      <c r="CU43" s="928"/>
      <c r="CV43" s="928"/>
      <c r="CX43" s="925"/>
      <c r="CY43" s="925"/>
      <c r="CZ43" s="925"/>
      <c r="DB43" s="925"/>
      <c r="DC43" s="925"/>
      <c r="DD43" s="925"/>
      <c r="DE43" s="925"/>
      <c r="DF43" s="925"/>
      <c r="DG43" s="925"/>
      <c r="DH43" s="925"/>
      <c r="DI43" s="925"/>
      <c r="DJ43" s="925"/>
      <c r="DK43" s="925"/>
      <c r="DL43" s="925"/>
      <c r="DM43" s="925"/>
      <c r="DN43" s="925"/>
      <c r="DO43" s="925"/>
      <c r="DP43" s="925"/>
      <c r="DQ43" s="924"/>
      <c r="DR43" s="925"/>
      <c r="DS43" s="925"/>
      <c r="DT43" s="925"/>
      <c r="DV43" s="925"/>
      <c r="DW43" s="925"/>
      <c r="DX43" s="925"/>
      <c r="DY43" s="925"/>
      <c r="DZ43" s="925"/>
      <c r="EA43" s="925"/>
      <c r="EB43" s="925"/>
      <c r="EC43" s="925"/>
      <c r="ED43" s="925"/>
      <c r="EE43" s="925"/>
      <c r="EF43" s="925"/>
      <c r="EG43" s="925"/>
      <c r="EH43" s="925"/>
      <c r="EI43" s="925"/>
      <c r="EJ43" s="925"/>
      <c r="EK43" s="925"/>
      <c r="EL43" s="925"/>
      <c r="EM43" s="925"/>
      <c r="EN43" s="925"/>
      <c r="EO43" s="925"/>
      <c r="EP43" s="925"/>
      <c r="EQ43" s="925"/>
      <c r="ER43" s="925"/>
      <c r="ES43" s="925"/>
      <c r="ET43" s="925"/>
      <c r="EV43" s="924"/>
      <c r="EW43" s="925"/>
      <c r="EX43" s="925"/>
      <c r="EY43" s="925"/>
    </row>
    <row r="44" spans="1:161" s="927" customFormat="1" ht="15.75" x14ac:dyDescent="0.25">
      <c r="A44" s="912" t="s">
        <v>359</v>
      </c>
      <c r="B44" s="913" t="s">
        <v>1390</v>
      </c>
      <c r="C44" s="914">
        <v>15</v>
      </c>
      <c r="D44" s="914">
        <v>4336</v>
      </c>
      <c r="E44" s="915">
        <v>1.0549999999999999</v>
      </c>
      <c r="F44" s="916">
        <f t="shared" si="0"/>
        <v>4575</v>
      </c>
      <c r="G44" s="915">
        <v>1.01</v>
      </c>
      <c r="H44" s="916">
        <f t="shared" si="1"/>
        <v>4621</v>
      </c>
      <c r="I44" s="917">
        <f t="shared" si="2"/>
        <v>69315</v>
      </c>
      <c r="J44" s="918">
        <f t="shared" si="3"/>
        <v>0</v>
      </c>
      <c r="K44" s="919"/>
      <c r="L44" s="917">
        <f t="shared" si="4"/>
        <v>0</v>
      </c>
      <c r="M44" s="918">
        <f t="shared" si="5"/>
        <v>0</v>
      </c>
      <c r="N44" s="919"/>
      <c r="O44" s="917">
        <f t="shared" si="6"/>
        <v>0</v>
      </c>
      <c r="P44" s="918">
        <f t="shared" si="7"/>
        <v>0</v>
      </c>
      <c r="Q44" s="919"/>
      <c r="R44" s="917">
        <f t="shared" si="8"/>
        <v>0</v>
      </c>
      <c r="S44" s="918">
        <f t="shared" si="9"/>
        <v>5.1670000000000001E-2</v>
      </c>
      <c r="T44" s="919">
        <v>3360.4</v>
      </c>
      <c r="U44" s="917">
        <f t="shared" si="10"/>
        <v>3581.51</v>
      </c>
      <c r="V44" s="918">
        <f t="shared" si="11"/>
        <v>0</v>
      </c>
      <c r="W44" s="919"/>
      <c r="X44" s="917">
        <f t="shared" si="12"/>
        <v>0</v>
      </c>
      <c r="Y44" s="918">
        <f t="shared" si="13"/>
        <v>0</v>
      </c>
      <c r="Z44" s="919"/>
      <c r="AA44" s="917">
        <f t="shared" si="14"/>
        <v>0</v>
      </c>
      <c r="AB44" s="918">
        <f t="shared" si="15"/>
        <v>0</v>
      </c>
      <c r="AC44" s="919"/>
      <c r="AD44" s="917">
        <f t="shared" si="16"/>
        <v>0</v>
      </c>
      <c r="AE44" s="918">
        <f t="shared" si="17"/>
        <v>0</v>
      </c>
      <c r="AF44" s="919"/>
      <c r="AG44" s="917">
        <f t="shared" si="18"/>
        <v>0</v>
      </c>
      <c r="AH44" s="918">
        <f t="shared" si="19"/>
        <v>0</v>
      </c>
      <c r="AI44" s="919"/>
      <c r="AJ44" s="917">
        <f t="shared" si="20"/>
        <v>0</v>
      </c>
      <c r="AK44" s="918">
        <f t="shared" si="21"/>
        <v>0</v>
      </c>
      <c r="AL44" s="919"/>
      <c r="AM44" s="917">
        <f t="shared" si="22"/>
        <v>0</v>
      </c>
      <c r="AN44" s="920">
        <v>19242</v>
      </c>
      <c r="AO44" s="917">
        <f t="shared" si="23"/>
        <v>215733.49</v>
      </c>
      <c r="AP44" s="920"/>
      <c r="AQ44" s="916">
        <f t="shared" si="24"/>
        <v>0</v>
      </c>
      <c r="AR44" s="917">
        <f t="shared" si="25"/>
        <v>288630</v>
      </c>
      <c r="AS44" s="916">
        <v>12</v>
      </c>
      <c r="AT44" s="921">
        <f t="shared" si="26"/>
        <v>3463560</v>
      </c>
      <c r="AU44" s="920">
        <f>AT44*0.085</f>
        <v>294402.59999999998</v>
      </c>
      <c r="AV44" s="922">
        <f t="shared" si="27"/>
        <v>34635.599999999999</v>
      </c>
      <c r="AW44" s="921">
        <f t="shared" si="28"/>
        <v>3792598.2</v>
      </c>
      <c r="AX44" s="921">
        <f t="shared" si="29"/>
        <v>1145364.6599999999</v>
      </c>
      <c r="AY44" s="921">
        <f t="shared" si="30"/>
        <v>4937962.8600000003</v>
      </c>
      <c r="AZ44" s="923">
        <f t="shared" si="31"/>
        <v>3792.6</v>
      </c>
      <c r="BA44" s="923">
        <f t="shared" si="32"/>
        <v>1145.4000000000001</v>
      </c>
      <c r="BB44" s="923">
        <f t="shared" si="33"/>
        <v>4938</v>
      </c>
      <c r="BC44" s="915">
        <v>0.95</v>
      </c>
      <c r="BD44" s="923">
        <f t="shared" si="34"/>
        <v>3603</v>
      </c>
      <c r="BE44" s="923">
        <f t="shared" si="35"/>
        <v>1088.0999999999999</v>
      </c>
      <c r="BF44" s="923">
        <f t="shared" si="36"/>
        <v>4691.1000000000004</v>
      </c>
      <c r="BG44" s="924">
        <f>'[3]свод (2024)'!$B$116</f>
        <v>0.99758349999999996</v>
      </c>
      <c r="BH44" s="930">
        <f>ROUND(BD44*BG44,1)-44.7</f>
        <v>3549.6</v>
      </c>
      <c r="BI44" s="923">
        <f t="shared" si="38"/>
        <v>1072</v>
      </c>
      <c r="BJ44" s="923">
        <f t="shared" si="39"/>
        <v>4621.6000000000004</v>
      </c>
      <c r="BK44" s="925">
        <f t="shared" si="40"/>
        <v>-243</v>
      </c>
      <c r="BL44" s="925">
        <f t="shared" si="40"/>
        <v>-73.400000000000006</v>
      </c>
      <c r="BM44" s="925">
        <f t="shared" si="41"/>
        <v>-316.39999999999998</v>
      </c>
      <c r="BN44" s="925">
        <f t="shared" si="42"/>
        <v>0</v>
      </c>
      <c r="BO44" s="925">
        <f t="shared" si="43"/>
        <v>0</v>
      </c>
      <c r="BP44" s="926"/>
      <c r="BQ44" s="925">
        <f t="shared" si="44"/>
        <v>3549.6</v>
      </c>
      <c r="BR44" s="925">
        <f t="shared" si="44"/>
        <v>1072</v>
      </c>
      <c r="BS44" s="925">
        <f t="shared" si="45"/>
        <v>4621.6000000000004</v>
      </c>
      <c r="BU44" s="928"/>
      <c r="BV44" s="917"/>
      <c r="BW44" s="928"/>
      <c r="BX44" s="928"/>
      <c r="BY44" s="928"/>
      <c r="BZ44" s="917"/>
      <c r="CA44" s="928"/>
      <c r="CB44" s="917"/>
      <c r="CC44" s="928"/>
      <c r="CD44" s="928"/>
      <c r="CE44" s="928"/>
      <c r="CF44" s="929"/>
      <c r="CG44" s="928"/>
      <c r="CH44" s="928"/>
      <c r="CI44" s="928"/>
      <c r="CJ44" s="925"/>
      <c r="CK44" s="925"/>
      <c r="CL44" s="925"/>
      <c r="CM44" s="925"/>
      <c r="CN44" s="925"/>
      <c r="CO44" s="925"/>
      <c r="CP44" s="925"/>
      <c r="CQ44" s="925"/>
      <c r="CR44" s="925"/>
      <c r="CS44" s="917"/>
      <c r="CT44" s="928"/>
      <c r="CU44" s="928"/>
      <c r="CV44" s="928"/>
      <c r="CX44" s="925"/>
      <c r="CY44" s="925"/>
      <c r="CZ44" s="925"/>
      <c r="DB44" s="925"/>
      <c r="DC44" s="925"/>
      <c r="DD44" s="925"/>
      <c r="DE44" s="925"/>
      <c r="DF44" s="925"/>
      <c r="DG44" s="925"/>
      <c r="DH44" s="925"/>
      <c r="DI44" s="925"/>
      <c r="DJ44" s="925"/>
      <c r="DK44" s="925"/>
      <c r="DL44" s="925"/>
      <c r="DM44" s="925"/>
      <c r="DN44" s="925"/>
      <c r="DO44" s="925"/>
      <c r="DP44" s="925"/>
      <c r="DQ44" s="924"/>
      <c r="DR44" s="925"/>
      <c r="DS44" s="925"/>
      <c r="DT44" s="925"/>
      <c r="DV44" s="925"/>
      <c r="DW44" s="925"/>
      <c r="DX44" s="925"/>
      <c r="DY44" s="925"/>
      <c r="DZ44" s="925"/>
      <c r="EA44" s="925"/>
      <c r="EB44" s="925"/>
      <c r="EC44" s="925"/>
      <c r="ED44" s="925"/>
      <c r="EE44" s="925"/>
      <c r="EF44" s="925"/>
      <c r="EG44" s="925"/>
      <c r="EH44" s="925"/>
      <c r="EI44" s="925"/>
      <c r="EJ44" s="925"/>
      <c r="EK44" s="925"/>
      <c r="EL44" s="925"/>
      <c r="EM44" s="925"/>
      <c r="EN44" s="925"/>
      <c r="EO44" s="925"/>
      <c r="EP44" s="925"/>
      <c r="EQ44" s="925"/>
      <c r="ER44" s="925"/>
      <c r="ES44" s="925"/>
      <c r="ET44" s="925"/>
      <c r="EV44" s="924"/>
      <c r="EW44" s="925"/>
      <c r="EX44" s="925"/>
      <c r="EY44" s="925"/>
    </row>
    <row r="45" spans="1:161" s="927" customFormat="1" ht="15.75" x14ac:dyDescent="0.25">
      <c r="A45" s="912" t="s">
        <v>359</v>
      </c>
      <c r="B45" s="913" t="s">
        <v>398</v>
      </c>
      <c r="C45" s="914">
        <v>1</v>
      </c>
      <c r="D45" s="914">
        <v>6097</v>
      </c>
      <c r="E45" s="915">
        <v>1.0549999999999999</v>
      </c>
      <c r="F45" s="916">
        <f t="shared" si="0"/>
        <v>6433</v>
      </c>
      <c r="G45" s="915">
        <v>1.01</v>
      </c>
      <c r="H45" s="916">
        <f t="shared" si="1"/>
        <v>6498</v>
      </c>
      <c r="I45" s="917">
        <f t="shared" si="2"/>
        <v>6498</v>
      </c>
      <c r="J45" s="918">
        <f t="shared" si="3"/>
        <v>0</v>
      </c>
      <c r="K45" s="919"/>
      <c r="L45" s="917">
        <f t="shared" si="4"/>
        <v>0</v>
      </c>
      <c r="M45" s="918">
        <f t="shared" si="5"/>
        <v>0</v>
      </c>
      <c r="N45" s="919"/>
      <c r="O45" s="917">
        <f t="shared" si="6"/>
        <v>0</v>
      </c>
      <c r="P45" s="918">
        <f t="shared" si="7"/>
        <v>0</v>
      </c>
      <c r="Q45" s="919"/>
      <c r="R45" s="917">
        <f t="shared" si="8"/>
        <v>0</v>
      </c>
      <c r="S45" s="918">
        <f t="shared" si="9"/>
        <v>0</v>
      </c>
      <c r="T45" s="919"/>
      <c r="U45" s="917">
        <f t="shared" si="10"/>
        <v>0</v>
      </c>
      <c r="V45" s="918">
        <f t="shared" si="11"/>
        <v>0</v>
      </c>
      <c r="W45" s="919"/>
      <c r="X45" s="917">
        <f t="shared" si="12"/>
        <v>0</v>
      </c>
      <c r="Y45" s="918">
        <f t="shared" si="13"/>
        <v>1.98</v>
      </c>
      <c r="Z45" s="919">
        <v>12072.06</v>
      </c>
      <c r="AA45" s="917">
        <f t="shared" si="14"/>
        <v>12866.04</v>
      </c>
      <c r="AB45" s="918">
        <f t="shared" si="15"/>
        <v>0.3</v>
      </c>
      <c r="AC45" s="919">
        <v>1829.1</v>
      </c>
      <c r="AD45" s="917">
        <f t="shared" si="16"/>
        <v>1949.4</v>
      </c>
      <c r="AE45" s="918">
        <f t="shared" si="17"/>
        <v>0</v>
      </c>
      <c r="AF45" s="919"/>
      <c r="AG45" s="917">
        <f t="shared" si="18"/>
        <v>0</v>
      </c>
      <c r="AH45" s="918">
        <f t="shared" si="19"/>
        <v>0</v>
      </c>
      <c r="AI45" s="919"/>
      <c r="AJ45" s="917">
        <f t="shared" si="20"/>
        <v>0</v>
      </c>
      <c r="AK45" s="918">
        <f t="shared" si="21"/>
        <v>0</v>
      </c>
      <c r="AL45" s="919"/>
      <c r="AM45" s="917">
        <f t="shared" si="22"/>
        <v>0</v>
      </c>
      <c r="AN45" s="920">
        <v>19242</v>
      </c>
      <c r="AO45" s="917">
        <f t="shared" si="23"/>
        <v>0</v>
      </c>
      <c r="AP45" s="920"/>
      <c r="AQ45" s="916">
        <f t="shared" si="24"/>
        <v>0</v>
      </c>
      <c r="AR45" s="917">
        <f t="shared" si="25"/>
        <v>21313.439999999999</v>
      </c>
      <c r="AS45" s="916">
        <v>12</v>
      </c>
      <c r="AT45" s="921">
        <f t="shared" si="26"/>
        <v>255761.28</v>
      </c>
      <c r="AU45" s="920"/>
      <c r="AV45" s="922">
        <f t="shared" si="27"/>
        <v>2557.61</v>
      </c>
      <c r="AW45" s="921">
        <f t="shared" si="28"/>
        <v>258318.89</v>
      </c>
      <c r="AX45" s="921">
        <f t="shared" si="29"/>
        <v>78012.3</v>
      </c>
      <c r="AY45" s="921">
        <f t="shared" si="30"/>
        <v>336331.19</v>
      </c>
      <c r="AZ45" s="923">
        <f t="shared" si="31"/>
        <v>258.3</v>
      </c>
      <c r="BA45" s="923">
        <f t="shared" si="32"/>
        <v>78</v>
      </c>
      <c r="BB45" s="923">
        <f t="shared" si="33"/>
        <v>336.3</v>
      </c>
      <c r="BC45" s="915">
        <v>0.95</v>
      </c>
      <c r="BD45" s="923">
        <f t="shared" si="34"/>
        <v>245.4</v>
      </c>
      <c r="BE45" s="923">
        <f t="shared" si="35"/>
        <v>74.099999999999994</v>
      </c>
      <c r="BF45" s="923">
        <f t="shared" si="36"/>
        <v>319.5</v>
      </c>
      <c r="BG45" s="924">
        <f>'[3]свод (2024)'!$B$116</f>
        <v>0.99758349999999996</v>
      </c>
      <c r="BH45" s="923">
        <f t="shared" si="37"/>
        <v>244.8</v>
      </c>
      <c r="BI45" s="923">
        <f t="shared" si="38"/>
        <v>73.900000000000006</v>
      </c>
      <c r="BJ45" s="923">
        <f t="shared" si="39"/>
        <v>318.7</v>
      </c>
      <c r="BK45" s="925">
        <f t="shared" si="40"/>
        <v>-13.5</v>
      </c>
      <c r="BL45" s="925">
        <f t="shared" si="40"/>
        <v>-4.0999999999999996</v>
      </c>
      <c r="BM45" s="925">
        <f t="shared" si="41"/>
        <v>-17.600000000000001</v>
      </c>
      <c r="BN45" s="925">
        <f t="shared" si="42"/>
        <v>0</v>
      </c>
      <c r="BO45" s="925">
        <f t="shared" si="43"/>
        <v>0</v>
      </c>
      <c r="BP45" s="926"/>
      <c r="BQ45" s="925">
        <f t="shared" si="44"/>
        <v>244.8</v>
      </c>
      <c r="BR45" s="925">
        <f t="shared" si="44"/>
        <v>73.900000000000006</v>
      </c>
      <c r="BS45" s="925">
        <f t="shared" si="45"/>
        <v>318.7</v>
      </c>
      <c r="BU45" s="928"/>
      <c r="BV45" s="917"/>
      <c r="BW45" s="928"/>
      <c r="BX45" s="928"/>
      <c r="BY45" s="928"/>
      <c r="BZ45" s="917"/>
      <c r="CA45" s="928"/>
      <c r="CB45" s="917"/>
      <c r="CC45" s="928"/>
      <c r="CD45" s="928"/>
      <c r="CE45" s="928"/>
      <c r="CF45" s="929"/>
      <c r="CG45" s="928"/>
      <c r="CH45" s="928"/>
      <c r="CI45" s="928"/>
      <c r="CJ45" s="925"/>
      <c r="CK45" s="925"/>
      <c r="CL45" s="925"/>
      <c r="CM45" s="925"/>
      <c r="CN45" s="925"/>
      <c r="CO45" s="925"/>
      <c r="CP45" s="925"/>
      <c r="CQ45" s="925"/>
      <c r="CR45" s="925"/>
      <c r="CS45" s="917"/>
      <c r="CT45" s="928"/>
      <c r="CU45" s="928"/>
      <c r="CV45" s="928"/>
      <c r="CX45" s="925"/>
      <c r="CY45" s="925"/>
      <c r="CZ45" s="925"/>
      <c r="DB45" s="925"/>
      <c r="DC45" s="925"/>
      <c r="DD45" s="925"/>
      <c r="DE45" s="925"/>
      <c r="DF45" s="925"/>
      <c r="DG45" s="925"/>
      <c r="DH45" s="925"/>
      <c r="DI45" s="925"/>
      <c r="DJ45" s="925"/>
      <c r="DK45" s="925"/>
      <c r="DL45" s="925"/>
      <c r="DM45" s="925"/>
      <c r="DN45" s="925"/>
      <c r="DO45" s="925"/>
      <c r="DP45" s="925"/>
      <c r="DQ45" s="924"/>
      <c r="DR45" s="925"/>
      <c r="DS45" s="925"/>
      <c r="DT45" s="925"/>
      <c r="DV45" s="925"/>
      <c r="DW45" s="925"/>
      <c r="DX45" s="925"/>
      <c r="DY45" s="925"/>
      <c r="DZ45" s="925"/>
      <c r="EA45" s="925"/>
      <c r="EB45" s="925"/>
      <c r="EC45" s="925"/>
      <c r="ED45" s="925"/>
      <c r="EE45" s="925"/>
      <c r="EF45" s="925"/>
      <c r="EG45" s="925"/>
      <c r="EH45" s="925"/>
      <c r="EI45" s="925"/>
      <c r="EJ45" s="925"/>
      <c r="EK45" s="925"/>
      <c r="EL45" s="925"/>
      <c r="EM45" s="925"/>
      <c r="EN45" s="925"/>
      <c r="EO45" s="925"/>
      <c r="EP45" s="925"/>
      <c r="EQ45" s="925"/>
      <c r="ER45" s="925"/>
      <c r="ES45" s="925"/>
      <c r="ET45" s="925"/>
      <c r="EV45" s="924"/>
      <c r="EW45" s="925"/>
      <c r="EX45" s="925"/>
      <c r="EY45" s="925"/>
    </row>
    <row r="46" spans="1:161" s="927" customFormat="1" ht="15.75" x14ac:dyDescent="0.25">
      <c r="A46" s="912" t="s">
        <v>359</v>
      </c>
      <c r="B46" s="913" t="s">
        <v>1391</v>
      </c>
      <c r="C46" s="914">
        <v>0.5</v>
      </c>
      <c r="D46" s="914">
        <v>7755</v>
      </c>
      <c r="E46" s="915">
        <v>1.0549999999999999</v>
      </c>
      <c r="F46" s="916">
        <f t="shared" si="0"/>
        <v>8182</v>
      </c>
      <c r="G46" s="915">
        <v>1.01</v>
      </c>
      <c r="H46" s="916">
        <f t="shared" si="1"/>
        <v>8264</v>
      </c>
      <c r="I46" s="917">
        <f t="shared" si="2"/>
        <v>4132</v>
      </c>
      <c r="J46" s="918">
        <f t="shared" si="3"/>
        <v>0</v>
      </c>
      <c r="K46" s="919"/>
      <c r="L46" s="917">
        <f t="shared" si="4"/>
        <v>0</v>
      </c>
      <c r="M46" s="918">
        <f t="shared" si="5"/>
        <v>0</v>
      </c>
      <c r="N46" s="919"/>
      <c r="O46" s="917">
        <f t="shared" si="6"/>
        <v>0</v>
      </c>
      <c r="P46" s="918">
        <f t="shared" si="7"/>
        <v>0</v>
      </c>
      <c r="Q46" s="919"/>
      <c r="R46" s="917">
        <f t="shared" si="8"/>
        <v>0</v>
      </c>
      <c r="S46" s="918">
        <f t="shared" si="9"/>
        <v>0.46</v>
      </c>
      <c r="T46" s="919">
        <v>1783.65</v>
      </c>
      <c r="U46" s="917">
        <f t="shared" si="10"/>
        <v>1900.72</v>
      </c>
      <c r="V46" s="918">
        <f t="shared" si="11"/>
        <v>0</v>
      </c>
      <c r="W46" s="919"/>
      <c r="X46" s="917">
        <f t="shared" si="12"/>
        <v>0</v>
      </c>
      <c r="Y46" s="918">
        <f t="shared" si="13"/>
        <v>3.96</v>
      </c>
      <c r="Z46" s="919">
        <v>15354.9</v>
      </c>
      <c r="AA46" s="917">
        <f t="shared" si="14"/>
        <v>16362.72</v>
      </c>
      <c r="AB46" s="918">
        <f t="shared" si="15"/>
        <v>0.6</v>
      </c>
      <c r="AC46" s="919">
        <v>2326.5</v>
      </c>
      <c r="AD46" s="917">
        <f t="shared" si="16"/>
        <v>2479.1999999999998</v>
      </c>
      <c r="AE46" s="918">
        <f t="shared" si="17"/>
        <v>0</v>
      </c>
      <c r="AF46" s="919"/>
      <c r="AG46" s="917">
        <f t="shared" si="18"/>
        <v>0</v>
      </c>
      <c r="AH46" s="918">
        <f t="shared" si="19"/>
        <v>0</v>
      </c>
      <c r="AI46" s="919"/>
      <c r="AJ46" s="917">
        <f t="shared" si="20"/>
        <v>0</v>
      </c>
      <c r="AK46" s="918">
        <f t="shared" si="21"/>
        <v>0</v>
      </c>
      <c r="AL46" s="919"/>
      <c r="AM46" s="917">
        <f t="shared" si="22"/>
        <v>0</v>
      </c>
      <c r="AN46" s="920">
        <v>19242</v>
      </c>
      <c r="AO46" s="917">
        <f t="shared" si="23"/>
        <v>0</v>
      </c>
      <c r="AP46" s="920"/>
      <c r="AQ46" s="916">
        <f t="shared" si="24"/>
        <v>0</v>
      </c>
      <c r="AR46" s="917">
        <f t="shared" si="25"/>
        <v>24874.639999999999</v>
      </c>
      <c r="AS46" s="916">
        <v>12</v>
      </c>
      <c r="AT46" s="921">
        <f t="shared" si="26"/>
        <v>298495.68</v>
      </c>
      <c r="AU46" s="920"/>
      <c r="AV46" s="922">
        <f t="shared" si="27"/>
        <v>2984.96</v>
      </c>
      <c r="AW46" s="921">
        <f t="shared" si="28"/>
        <v>301480.64</v>
      </c>
      <c r="AX46" s="921">
        <f t="shared" si="29"/>
        <v>91047.15</v>
      </c>
      <c r="AY46" s="921">
        <f t="shared" si="30"/>
        <v>392527.79</v>
      </c>
      <c r="AZ46" s="923">
        <f t="shared" si="31"/>
        <v>301.5</v>
      </c>
      <c r="BA46" s="923">
        <f t="shared" si="32"/>
        <v>91.1</v>
      </c>
      <c r="BB46" s="923">
        <f t="shared" si="33"/>
        <v>392.6</v>
      </c>
      <c r="BC46" s="915">
        <v>0.95</v>
      </c>
      <c r="BD46" s="923">
        <f t="shared" si="34"/>
        <v>286.39999999999998</v>
      </c>
      <c r="BE46" s="923">
        <f t="shared" si="35"/>
        <v>86.5</v>
      </c>
      <c r="BF46" s="923">
        <f t="shared" si="36"/>
        <v>372.9</v>
      </c>
      <c r="BG46" s="924">
        <f>'[3]свод (2024)'!$B$116</f>
        <v>0.99758349999999996</v>
      </c>
      <c r="BH46" s="923">
        <f t="shared" si="37"/>
        <v>285.7</v>
      </c>
      <c r="BI46" s="923">
        <f t="shared" si="38"/>
        <v>86.3</v>
      </c>
      <c r="BJ46" s="923">
        <f t="shared" si="39"/>
        <v>372</v>
      </c>
      <c r="BK46" s="925">
        <f t="shared" si="40"/>
        <v>-15.8</v>
      </c>
      <c r="BL46" s="925">
        <f t="shared" si="40"/>
        <v>-4.8</v>
      </c>
      <c r="BM46" s="925">
        <f t="shared" si="41"/>
        <v>-20.6</v>
      </c>
      <c r="BN46" s="925">
        <f t="shared" si="42"/>
        <v>0</v>
      </c>
      <c r="BO46" s="925">
        <f t="shared" si="43"/>
        <v>0</v>
      </c>
      <c r="BP46" s="926"/>
      <c r="BQ46" s="925">
        <f t="shared" si="44"/>
        <v>285.7</v>
      </c>
      <c r="BR46" s="925">
        <f t="shared" si="44"/>
        <v>86.3</v>
      </c>
      <c r="BS46" s="925">
        <f t="shared" si="45"/>
        <v>372</v>
      </c>
      <c r="BU46" s="928"/>
      <c r="BV46" s="917"/>
      <c r="BW46" s="928"/>
      <c r="BX46" s="928"/>
      <c r="BY46" s="928"/>
      <c r="BZ46" s="917"/>
      <c r="CA46" s="928"/>
      <c r="CB46" s="917"/>
      <c r="CC46" s="928"/>
      <c r="CD46" s="928"/>
      <c r="CE46" s="928"/>
      <c r="CF46" s="929"/>
      <c r="CG46" s="928"/>
      <c r="CH46" s="928"/>
      <c r="CI46" s="928"/>
      <c r="CJ46" s="925"/>
      <c r="CK46" s="925"/>
      <c r="CL46" s="925"/>
      <c r="CM46" s="925"/>
      <c r="CN46" s="925"/>
      <c r="CO46" s="925"/>
      <c r="CP46" s="925"/>
      <c r="CQ46" s="925"/>
      <c r="CR46" s="925"/>
      <c r="CS46" s="917"/>
      <c r="CT46" s="928"/>
      <c r="CU46" s="928"/>
      <c r="CV46" s="928"/>
      <c r="CX46" s="925"/>
      <c r="CY46" s="925"/>
      <c r="CZ46" s="925"/>
      <c r="DB46" s="925"/>
      <c r="DC46" s="925"/>
      <c r="DD46" s="925"/>
      <c r="DE46" s="925"/>
      <c r="DF46" s="925"/>
      <c r="DG46" s="925"/>
      <c r="DH46" s="925"/>
      <c r="DI46" s="925"/>
      <c r="DJ46" s="925"/>
      <c r="DK46" s="925"/>
      <c r="DL46" s="925"/>
      <c r="DM46" s="925"/>
      <c r="DN46" s="925"/>
      <c r="DO46" s="925"/>
      <c r="DP46" s="925"/>
      <c r="DQ46" s="924"/>
      <c r="DR46" s="925"/>
      <c r="DS46" s="925"/>
      <c r="DT46" s="925"/>
      <c r="DV46" s="925"/>
      <c r="DW46" s="925"/>
      <c r="DX46" s="925"/>
      <c r="DY46" s="925"/>
      <c r="DZ46" s="925"/>
      <c r="EA46" s="925"/>
      <c r="EB46" s="925"/>
      <c r="EC46" s="925"/>
      <c r="ED46" s="925"/>
      <c r="EE46" s="925"/>
      <c r="EF46" s="925"/>
      <c r="EG46" s="925"/>
      <c r="EH46" s="925"/>
      <c r="EI46" s="925"/>
      <c r="EJ46" s="925"/>
      <c r="EK46" s="925"/>
      <c r="EL46" s="925"/>
      <c r="EM46" s="925"/>
      <c r="EN46" s="925"/>
      <c r="EO46" s="925"/>
      <c r="EP46" s="925"/>
      <c r="EQ46" s="925"/>
      <c r="ER46" s="925"/>
      <c r="ES46" s="925"/>
      <c r="ET46" s="925"/>
      <c r="EV46" s="924"/>
      <c r="EW46" s="925"/>
      <c r="EX46" s="925"/>
      <c r="EY46" s="925"/>
    </row>
    <row r="47" spans="1:161" s="927" customFormat="1" ht="24" x14ac:dyDescent="0.25">
      <c r="A47" s="912" t="s">
        <v>359</v>
      </c>
      <c r="B47" s="913" t="s">
        <v>45</v>
      </c>
      <c r="C47" s="914">
        <v>2</v>
      </c>
      <c r="D47" s="914">
        <v>5767</v>
      </c>
      <c r="E47" s="915">
        <v>1.0549999999999999</v>
      </c>
      <c r="F47" s="916">
        <f t="shared" si="0"/>
        <v>6085</v>
      </c>
      <c r="G47" s="915">
        <v>1.01</v>
      </c>
      <c r="H47" s="916">
        <f t="shared" si="1"/>
        <v>6146</v>
      </c>
      <c r="I47" s="917">
        <f t="shared" si="2"/>
        <v>12292</v>
      </c>
      <c r="J47" s="918">
        <f t="shared" si="3"/>
        <v>0</v>
      </c>
      <c r="K47" s="919"/>
      <c r="L47" s="917">
        <f t="shared" si="4"/>
        <v>0</v>
      </c>
      <c r="M47" s="918">
        <f t="shared" si="5"/>
        <v>0</v>
      </c>
      <c r="N47" s="919"/>
      <c r="O47" s="917">
        <f t="shared" si="6"/>
        <v>0</v>
      </c>
      <c r="P47" s="918">
        <f t="shared" si="7"/>
        <v>0</v>
      </c>
      <c r="Q47" s="919"/>
      <c r="R47" s="917">
        <f t="shared" si="8"/>
        <v>0</v>
      </c>
      <c r="S47" s="918">
        <f t="shared" si="9"/>
        <v>0.5</v>
      </c>
      <c r="T47" s="919">
        <v>5767</v>
      </c>
      <c r="U47" s="917">
        <f t="shared" si="10"/>
        <v>6146</v>
      </c>
      <c r="V47" s="918">
        <f t="shared" si="11"/>
        <v>0</v>
      </c>
      <c r="W47" s="919"/>
      <c r="X47" s="917">
        <f t="shared" si="12"/>
        <v>0</v>
      </c>
      <c r="Y47" s="918">
        <f t="shared" si="13"/>
        <v>0</v>
      </c>
      <c r="Z47" s="919"/>
      <c r="AA47" s="917">
        <f t="shared" si="14"/>
        <v>0</v>
      </c>
      <c r="AB47" s="918">
        <f t="shared" si="15"/>
        <v>0</v>
      </c>
      <c r="AC47" s="919"/>
      <c r="AD47" s="917">
        <f t="shared" si="16"/>
        <v>0</v>
      </c>
      <c r="AE47" s="918">
        <f t="shared" si="17"/>
        <v>0</v>
      </c>
      <c r="AF47" s="919"/>
      <c r="AG47" s="917">
        <f t="shared" si="18"/>
        <v>0</v>
      </c>
      <c r="AH47" s="918">
        <f t="shared" si="19"/>
        <v>0</v>
      </c>
      <c r="AI47" s="919"/>
      <c r="AJ47" s="917">
        <f t="shared" si="20"/>
        <v>0</v>
      </c>
      <c r="AK47" s="918">
        <f t="shared" si="21"/>
        <v>0</v>
      </c>
      <c r="AL47" s="919"/>
      <c r="AM47" s="917">
        <f t="shared" si="22"/>
        <v>0</v>
      </c>
      <c r="AN47" s="920">
        <v>19242</v>
      </c>
      <c r="AO47" s="917">
        <f t="shared" si="23"/>
        <v>20046</v>
      </c>
      <c r="AP47" s="920"/>
      <c r="AQ47" s="916">
        <f t="shared" si="24"/>
        <v>0</v>
      </c>
      <c r="AR47" s="917">
        <f t="shared" si="25"/>
        <v>38484</v>
      </c>
      <c r="AS47" s="916">
        <v>12</v>
      </c>
      <c r="AT47" s="921">
        <f t="shared" si="26"/>
        <v>461808</v>
      </c>
      <c r="AU47" s="920"/>
      <c r="AV47" s="922">
        <f t="shared" si="27"/>
        <v>4618.08</v>
      </c>
      <c r="AW47" s="921">
        <f t="shared" si="28"/>
        <v>466426.08</v>
      </c>
      <c r="AX47" s="921">
        <f t="shared" si="29"/>
        <v>140860.68</v>
      </c>
      <c r="AY47" s="921">
        <f t="shared" si="30"/>
        <v>607286.76</v>
      </c>
      <c r="AZ47" s="923">
        <f t="shared" si="31"/>
        <v>466.4</v>
      </c>
      <c r="BA47" s="923">
        <f t="shared" si="32"/>
        <v>140.9</v>
      </c>
      <c r="BB47" s="923">
        <f t="shared" si="33"/>
        <v>607.29999999999995</v>
      </c>
      <c r="BC47" s="915">
        <v>0.95</v>
      </c>
      <c r="BD47" s="923">
        <f t="shared" si="34"/>
        <v>443.1</v>
      </c>
      <c r="BE47" s="923">
        <f t="shared" si="35"/>
        <v>133.80000000000001</v>
      </c>
      <c r="BF47" s="923">
        <f t="shared" si="36"/>
        <v>576.9</v>
      </c>
      <c r="BG47" s="924">
        <f>'[3]свод (2024)'!$B$116</f>
        <v>0.99758349999999996</v>
      </c>
      <c r="BH47" s="923">
        <f t="shared" si="37"/>
        <v>442</v>
      </c>
      <c r="BI47" s="923">
        <f t="shared" si="38"/>
        <v>133.5</v>
      </c>
      <c r="BJ47" s="923">
        <f t="shared" si="39"/>
        <v>575.5</v>
      </c>
      <c r="BK47" s="925">
        <f t="shared" si="40"/>
        <v>-24.4</v>
      </c>
      <c r="BL47" s="925">
        <f t="shared" si="40"/>
        <v>-7.4</v>
      </c>
      <c r="BM47" s="925">
        <f t="shared" si="41"/>
        <v>-31.8</v>
      </c>
      <c r="BN47" s="925">
        <f t="shared" si="42"/>
        <v>0</v>
      </c>
      <c r="BO47" s="925">
        <f t="shared" si="43"/>
        <v>0</v>
      </c>
      <c r="BP47" s="926"/>
      <c r="BQ47" s="925">
        <f t="shared" si="44"/>
        <v>442</v>
      </c>
      <c r="BR47" s="925">
        <f t="shared" si="44"/>
        <v>133.5</v>
      </c>
      <c r="BS47" s="925">
        <f t="shared" si="45"/>
        <v>575.5</v>
      </c>
      <c r="BU47" s="928"/>
      <c r="BV47" s="917"/>
      <c r="BW47" s="928"/>
      <c r="BX47" s="928"/>
      <c r="BY47" s="928"/>
      <c r="BZ47" s="917"/>
      <c r="CA47" s="928"/>
      <c r="CB47" s="917"/>
      <c r="CC47" s="928"/>
      <c r="CD47" s="928"/>
      <c r="CE47" s="928"/>
      <c r="CF47" s="929"/>
      <c r="CG47" s="928"/>
      <c r="CH47" s="928"/>
      <c r="CI47" s="928"/>
      <c r="CJ47" s="925"/>
      <c r="CK47" s="925"/>
      <c r="CL47" s="925"/>
      <c r="CM47" s="925"/>
      <c r="CN47" s="925"/>
      <c r="CO47" s="925"/>
      <c r="CP47" s="925"/>
      <c r="CQ47" s="925"/>
      <c r="CR47" s="925"/>
      <c r="CS47" s="917"/>
      <c r="CT47" s="928"/>
      <c r="CU47" s="928"/>
      <c r="CV47" s="928"/>
      <c r="CX47" s="925"/>
      <c r="CY47" s="925"/>
      <c r="CZ47" s="925"/>
      <c r="DB47" s="925"/>
      <c r="DC47" s="925"/>
      <c r="DD47" s="925"/>
      <c r="DE47" s="925"/>
      <c r="DF47" s="925"/>
      <c r="DG47" s="925"/>
      <c r="DH47" s="925"/>
      <c r="DI47" s="925"/>
      <c r="DJ47" s="925"/>
      <c r="DK47" s="925"/>
      <c r="DL47" s="925"/>
      <c r="DM47" s="925"/>
      <c r="DN47" s="925"/>
      <c r="DO47" s="925"/>
      <c r="DP47" s="925"/>
      <c r="DQ47" s="924"/>
      <c r="DR47" s="925"/>
      <c r="DS47" s="925"/>
      <c r="DT47" s="925"/>
      <c r="DV47" s="925"/>
      <c r="DW47" s="925"/>
      <c r="DX47" s="925"/>
      <c r="DY47" s="925"/>
      <c r="DZ47" s="925"/>
      <c r="EA47" s="925"/>
      <c r="EB47" s="925"/>
      <c r="EC47" s="925"/>
      <c r="ED47" s="925"/>
      <c r="EE47" s="925"/>
      <c r="EF47" s="925"/>
      <c r="EG47" s="925"/>
      <c r="EH47" s="925"/>
      <c r="EI47" s="925"/>
      <c r="EJ47" s="925"/>
      <c r="EK47" s="925"/>
      <c r="EL47" s="925"/>
      <c r="EM47" s="925"/>
      <c r="EN47" s="925"/>
      <c r="EO47" s="925"/>
      <c r="EP47" s="925"/>
      <c r="EQ47" s="925"/>
      <c r="ER47" s="925"/>
      <c r="ES47" s="925"/>
      <c r="ET47" s="925"/>
      <c r="EV47" s="924"/>
      <c r="EW47" s="925"/>
      <c r="EX47" s="925"/>
      <c r="EY47" s="925"/>
    </row>
    <row r="48" spans="1:161" s="927" customFormat="1" ht="15.75" x14ac:dyDescent="0.25">
      <c r="A48" s="931" t="s">
        <v>359</v>
      </c>
      <c r="B48" s="932"/>
      <c r="C48" s="933">
        <f>SUM(C12:C47)</f>
        <v>149.76</v>
      </c>
      <c r="D48" s="933">
        <f t="shared" ref="D48:BO48" si="47">SUM(D12:D47)</f>
        <v>369963</v>
      </c>
      <c r="E48" s="934">
        <f t="shared" si="47"/>
        <v>37.979999999999997</v>
      </c>
      <c r="F48" s="935">
        <f t="shared" si="47"/>
        <v>390331</v>
      </c>
      <c r="G48" s="934">
        <f t="shared" si="47"/>
        <v>36.36</v>
      </c>
      <c r="H48" s="935">
        <f t="shared" si="47"/>
        <v>394248</v>
      </c>
      <c r="I48" s="936">
        <f t="shared" si="47"/>
        <v>1750858.19</v>
      </c>
      <c r="J48" s="937">
        <f t="shared" si="47"/>
        <v>1.9635800000000001</v>
      </c>
      <c r="K48" s="938">
        <f t="shared" si="47"/>
        <v>306151.83</v>
      </c>
      <c r="L48" s="936">
        <f t="shared" si="47"/>
        <v>326249.33</v>
      </c>
      <c r="M48" s="937">
        <f t="shared" si="47"/>
        <v>0</v>
      </c>
      <c r="N48" s="938">
        <f t="shared" si="47"/>
        <v>0</v>
      </c>
      <c r="O48" s="936">
        <f t="shared" si="47"/>
        <v>0</v>
      </c>
      <c r="P48" s="937">
        <f t="shared" si="47"/>
        <v>0.10323</v>
      </c>
      <c r="Q48" s="938">
        <f t="shared" si="47"/>
        <v>5173.22</v>
      </c>
      <c r="R48" s="936">
        <f t="shared" si="47"/>
        <v>5516.74</v>
      </c>
      <c r="S48" s="937">
        <f t="shared" si="47"/>
        <v>4.7382499999999999</v>
      </c>
      <c r="T48" s="938">
        <f t="shared" si="47"/>
        <v>55049.95</v>
      </c>
      <c r="U48" s="936">
        <f t="shared" si="47"/>
        <v>58669.56</v>
      </c>
      <c r="V48" s="937">
        <f t="shared" si="47"/>
        <v>0</v>
      </c>
      <c r="W48" s="938">
        <f t="shared" si="47"/>
        <v>0</v>
      </c>
      <c r="X48" s="936">
        <f t="shared" si="47"/>
        <v>0</v>
      </c>
      <c r="Y48" s="937">
        <f t="shared" si="47"/>
        <v>23.7</v>
      </c>
      <c r="Z48" s="938">
        <f t="shared" si="47"/>
        <v>165987.76999999999</v>
      </c>
      <c r="AA48" s="936">
        <f t="shared" si="47"/>
        <v>176886.14</v>
      </c>
      <c r="AB48" s="937">
        <f t="shared" si="47"/>
        <v>6.4708300000000003</v>
      </c>
      <c r="AC48" s="938">
        <f t="shared" si="47"/>
        <v>303696.21999999997</v>
      </c>
      <c r="AD48" s="936">
        <f t="shared" si="47"/>
        <v>323625.93</v>
      </c>
      <c r="AE48" s="937">
        <f t="shared" si="47"/>
        <v>0.10603</v>
      </c>
      <c r="AF48" s="938">
        <f t="shared" si="47"/>
        <v>6303.36</v>
      </c>
      <c r="AG48" s="936">
        <f t="shared" si="47"/>
        <v>6715.58</v>
      </c>
      <c r="AH48" s="937">
        <f t="shared" si="47"/>
        <v>0</v>
      </c>
      <c r="AI48" s="938">
        <f t="shared" si="47"/>
        <v>0</v>
      </c>
      <c r="AJ48" s="936">
        <f t="shared" si="47"/>
        <v>0</v>
      </c>
      <c r="AK48" s="937">
        <f t="shared" si="47"/>
        <v>0</v>
      </c>
      <c r="AL48" s="938">
        <f t="shared" si="47"/>
        <v>0</v>
      </c>
      <c r="AM48" s="936">
        <f t="shared" si="47"/>
        <v>0</v>
      </c>
      <c r="AN48" s="933">
        <f t="shared" si="47"/>
        <v>692712</v>
      </c>
      <c r="AO48" s="936">
        <f t="shared" si="47"/>
        <v>482939.02</v>
      </c>
      <c r="AP48" s="933">
        <f t="shared" si="47"/>
        <v>1060.29</v>
      </c>
      <c r="AQ48" s="935">
        <f t="shared" si="47"/>
        <v>6361.74</v>
      </c>
      <c r="AR48" s="936">
        <f t="shared" si="47"/>
        <v>3137822.23</v>
      </c>
      <c r="AS48" s="935">
        <f t="shared" si="47"/>
        <v>432</v>
      </c>
      <c r="AT48" s="939">
        <f t="shared" si="47"/>
        <v>37653866.759999998</v>
      </c>
      <c r="AU48" s="933">
        <f t="shared" si="47"/>
        <v>462813</v>
      </c>
      <c r="AV48" s="940">
        <f t="shared" si="47"/>
        <v>376538.67</v>
      </c>
      <c r="AW48" s="939">
        <f t="shared" si="47"/>
        <v>38493218.43</v>
      </c>
      <c r="AX48" s="939">
        <f t="shared" si="47"/>
        <v>11624952.01</v>
      </c>
      <c r="AY48" s="939">
        <f t="shared" si="47"/>
        <v>50118170.439999998</v>
      </c>
      <c r="AZ48" s="941">
        <f t="shared" si="47"/>
        <v>38492.9</v>
      </c>
      <c r="BA48" s="941">
        <f t="shared" si="47"/>
        <v>11625.1</v>
      </c>
      <c r="BB48" s="941">
        <f t="shared" si="47"/>
        <v>50118</v>
      </c>
      <c r="BC48" s="934">
        <f t="shared" si="47"/>
        <v>34.200000000000003</v>
      </c>
      <c r="BD48" s="941">
        <f t="shared" si="47"/>
        <v>36568.400000000001</v>
      </c>
      <c r="BE48" s="941">
        <f t="shared" si="47"/>
        <v>11043.7</v>
      </c>
      <c r="BF48" s="941">
        <f t="shared" si="47"/>
        <v>47612.1</v>
      </c>
      <c r="BG48" s="942">
        <f>'[3]свод (2024)'!$B$116</f>
        <v>0.99758349999999996</v>
      </c>
      <c r="BH48" s="941">
        <f t="shared" si="47"/>
        <v>36435.300000000003</v>
      </c>
      <c r="BI48" s="941">
        <f t="shared" si="47"/>
        <v>11003.5</v>
      </c>
      <c r="BJ48" s="941">
        <f t="shared" si="47"/>
        <v>47438.8</v>
      </c>
      <c r="BK48" s="943">
        <f t="shared" si="47"/>
        <v>-2057.6</v>
      </c>
      <c r="BL48" s="943">
        <f t="shared" si="47"/>
        <v>-621.6</v>
      </c>
      <c r="BM48" s="943">
        <f t="shared" si="47"/>
        <v>-2679.2</v>
      </c>
      <c r="BN48" s="943">
        <f t="shared" si="47"/>
        <v>0</v>
      </c>
      <c r="BO48" s="943">
        <f t="shared" si="47"/>
        <v>0</v>
      </c>
      <c r="BP48" s="944">
        <f t="shared" ref="BP48:BS48" si="48">SUM(BP12:BP47)</f>
        <v>0</v>
      </c>
      <c r="BQ48" s="943">
        <f t="shared" si="48"/>
        <v>36435.300000000003</v>
      </c>
      <c r="BR48" s="943">
        <f t="shared" si="48"/>
        <v>11003.5</v>
      </c>
      <c r="BS48" s="943">
        <f t="shared" si="48"/>
        <v>47438.8</v>
      </c>
      <c r="BU48" s="945">
        <f>SUM(BU12:BU47)</f>
        <v>93.01</v>
      </c>
      <c r="BV48" s="946">
        <v>8.4</v>
      </c>
      <c r="BW48" s="947">
        <f t="shared" ref="BW48" si="49">BU48-BV48</f>
        <v>84.61</v>
      </c>
      <c r="BX48" s="945">
        <f>SUM(BX12:BX47)</f>
        <v>23049801.940000001</v>
      </c>
      <c r="BY48" s="947">
        <f>BX48/BU48*BW48</f>
        <v>20968108.18</v>
      </c>
      <c r="BZ48" s="946">
        <v>59.8</v>
      </c>
      <c r="CA48" s="947">
        <f t="shared" ref="CA48" si="50">BY48/BZ48/12</f>
        <v>29219.77</v>
      </c>
      <c r="CB48" s="946">
        <v>41718.199999999997</v>
      </c>
      <c r="CC48" s="947">
        <f t="shared" ref="CC48" si="51">(CB48-CA48)*BZ48*12</f>
        <v>8968873.3699999992</v>
      </c>
      <c r="CD48" s="947">
        <f t="shared" ref="CD48:CD79" si="52">CC48*0.302</f>
        <v>2708599.76</v>
      </c>
      <c r="CE48" s="947">
        <f t="shared" ref="CE48" si="53">CC48+CD48</f>
        <v>11677473.130000001</v>
      </c>
      <c r="CF48" s="948">
        <f>SUM(CF12:CF47)</f>
        <v>8968873.3699999992</v>
      </c>
      <c r="CG48" s="949">
        <f>ROUND(CC48/1000,1)</f>
        <v>8968.9</v>
      </c>
      <c r="CH48" s="949">
        <f>ROUND(CD48/1000,1)</f>
        <v>2708.6</v>
      </c>
      <c r="CI48" s="950">
        <f>CG48+CH48</f>
        <v>11677.5</v>
      </c>
      <c r="CJ48" s="951">
        <f>BQ48+CG48</f>
        <v>45404.2</v>
      </c>
      <c r="CK48" s="951">
        <f>BR48+CH48</f>
        <v>13712.1</v>
      </c>
      <c r="CL48" s="952">
        <f>CJ48+CK48</f>
        <v>59116.3</v>
      </c>
      <c r="CM48" s="951">
        <f>395.5/6*12</f>
        <v>791</v>
      </c>
      <c r="CN48" s="951">
        <f>CM48*0.302</f>
        <v>238.9</v>
      </c>
      <c r="CO48" s="952">
        <f>CM48+CN48</f>
        <v>1029.9000000000001</v>
      </c>
      <c r="CP48" s="951">
        <f>ROUND(CJ48-CM48,1)</f>
        <v>44613.2</v>
      </c>
      <c r="CQ48" s="951">
        <f>ROUND(CK48-CN48,1)</f>
        <v>13473.2</v>
      </c>
      <c r="CR48" s="952">
        <f>CP48+CQ48</f>
        <v>58086.400000000001</v>
      </c>
      <c r="CS48" s="946">
        <v>38663.800000000003</v>
      </c>
      <c r="CT48" s="953">
        <f>(CB48-CS48)*BZ48*12/1000</f>
        <v>2191.8000000000002</v>
      </c>
      <c r="CU48" s="953">
        <f>CT48*0.302</f>
        <v>661.9</v>
      </c>
      <c r="CV48" s="953">
        <f>CT48+CU48</f>
        <v>2853.7</v>
      </c>
      <c r="CX48" s="951">
        <f>(BY48+CC48)/1000-CM48</f>
        <v>29146</v>
      </c>
      <c r="CY48" s="951">
        <f>CX48*0.302</f>
        <v>8802.1</v>
      </c>
      <c r="CZ48" s="952">
        <f>CX48+CY48</f>
        <v>37948.1</v>
      </c>
      <c r="DB48" s="954"/>
      <c r="DC48" s="954"/>
      <c r="DD48" s="921"/>
      <c r="DE48" s="954"/>
      <c r="DF48" s="954"/>
      <c r="DG48" s="921"/>
      <c r="DH48" s="954"/>
      <c r="DI48" s="954"/>
      <c r="DJ48" s="921"/>
      <c r="DK48" s="954"/>
      <c r="DL48" s="954"/>
      <c r="DM48" s="921"/>
      <c r="DN48" s="954"/>
      <c r="DO48" s="954"/>
      <c r="DP48" s="921"/>
      <c r="DQ48" s="942">
        <f>$DQ$239</f>
        <v>0.97853064899999997</v>
      </c>
      <c r="DR48" s="951">
        <f>ROUND(CP48*DQ48,1)</f>
        <v>43655.4</v>
      </c>
      <c r="DS48" s="951">
        <f>ROUND(CQ48*DQ48,1)</f>
        <v>13183.9</v>
      </c>
      <c r="DT48" s="952">
        <f>DR48+DS48</f>
        <v>56839.3</v>
      </c>
      <c r="DV48" s="921"/>
      <c r="DW48" s="921"/>
      <c r="DX48" s="921"/>
      <c r="DY48" s="921"/>
      <c r="DZ48" s="921"/>
      <c r="EA48" s="921"/>
      <c r="EB48" s="921"/>
      <c r="EC48" s="921"/>
      <c r="ED48" s="921"/>
      <c r="EE48" s="921"/>
      <c r="EF48" s="921"/>
      <c r="EG48" s="921"/>
      <c r="EH48" s="921"/>
      <c r="EI48" s="921"/>
      <c r="EJ48" s="921"/>
      <c r="EK48" s="921"/>
      <c r="EL48" s="921"/>
      <c r="EM48" s="921"/>
      <c r="EN48" s="921"/>
      <c r="EO48" s="921"/>
      <c r="EP48" s="921"/>
      <c r="EQ48" s="954"/>
      <c r="ER48" s="954"/>
      <c r="ES48" s="954"/>
      <c r="ET48" s="954"/>
      <c r="EV48" s="942">
        <f>EV239</f>
        <v>0.98076503800000003</v>
      </c>
      <c r="EW48" s="951">
        <f>ROUND(CP48*EV48,1)</f>
        <v>43755.1</v>
      </c>
      <c r="EX48" s="951">
        <f>ROUND(CQ48*EV48,1)</f>
        <v>13214</v>
      </c>
      <c r="EY48" s="952">
        <f>EW48+EX48</f>
        <v>56969.1</v>
      </c>
      <c r="FB48" s="992">
        <f>FB49+FB50+FB51+FB52</f>
        <v>50118</v>
      </c>
      <c r="FC48" s="992">
        <f>CI48</f>
        <v>11677.5</v>
      </c>
      <c r="FD48" s="992">
        <f>FB48+FC48</f>
        <v>61795.5</v>
      </c>
      <c r="FE48" s="993">
        <f>(FB51+FB52)/FD48*100</f>
        <v>32.5</v>
      </c>
    </row>
    <row r="49" spans="1:158" s="927" customFormat="1" ht="15.75" x14ac:dyDescent="0.25">
      <c r="A49" s="931"/>
      <c r="B49" s="932" t="s">
        <v>406</v>
      </c>
      <c r="C49" s="981">
        <f>C31+C43</f>
        <v>71.819999999999993</v>
      </c>
      <c r="D49" s="938"/>
      <c r="E49" s="983"/>
      <c r="F49" s="936"/>
      <c r="G49" s="983"/>
      <c r="H49" s="984">
        <f>H31+H43</f>
        <v>27988</v>
      </c>
      <c r="I49" s="984">
        <f>I31+I43</f>
        <v>1005049.08</v>
      </c>
      <c r="J49" s="937"/>
      <c r="K49" s="938"/>
      <c r="L49" s="984">
        <f>L31+L43</f>
        <v>254762.31</v>
      </c>
      <c r="M49" s="937"/>
      <c r="N49" s="938"/>
      <c r="O49" s="984">
        <f>O31+O43</f>
        <v>0</v>
      </c>
      <c r="P49" s="937"/>
      <c r="Q49" s="938"/>
      <c r="R49" s="984">
        <f>R31+R43</f>
        <v>2847.64</v>
      </c>
      <c r="S49" s="937"/>
      <c r="T49" s="938"/>
      <c r="U49" s="984">
        <f>U31+U43</f>
        <v>0</v>
      </c>
      <c r="V49" s="937"/>
      <c r="W49" s="938"/>
      <c r="X49" s="984">
        <f>X31+X43</f>
        <v>0</v>
      </c>
      <c r="Y49" s="937"/>
      <c r="Z49" s="938"/>
      <c r="AA49" s="984">
        <f>AA31+AA43</f>
        <v>0</v>
      </c>
      <c r="AB49" s="937"/>
      <c r="AC49" s="938"/>
      <c r="AD49" s="984">
        <f>AD31+AD43</f>
        <v>203804.56</v>
      </c>
      <c r="AE49" s="937"/>
      <c r="AF49" s="938"/>
      <c r="AG49" s="984">
        <f>AG31+AG43</f>
        <v>5316.18</v>
      </c>
      <c r="AH49" s="937"/>
      <c r="AI49" s="938"/>
      <c r="AJ49" s="984">
        <f>AJ31+AJ43</f>
        <v>0</v>
      </c>
      <c r="AK49" s="937"/>
      <c r="AL49" s="938"/>
      <c r="AM49" s="984">
        <f>AM31+AM43</f>
        <v>0</v>
      </c>
      <c r="AN49" s="938"/>
      <c r="AO49" s="984">
        <f>AO31+AO43</f>
        <v>0</v>
      </c>
      <c r="AP49" s="938"/>
      <c r="AQ49" s="984">
        <f>AQ31+AQ43</f>
        <v>0</v>
      </c>
      <c r="AR49" s="984">
        <f>AR31+AR43</f>
        <v>1471779.77</v>
      </c>
      <c r="AS49" s="936"/>
      <c r="AT49" s="984">
        <f t="shared" ref="AT49:AW49" si="54">AT31+AT43</f>
        <v>17661357.239999998</v>
      </c>
      <c r="AU49" s="984">
        <f t="shared" si="54"/>
        <v>0</v>
      </c>
      <c r="AV49" s="984">
        <f t="shared" si="54"/>
        <v>176613.57</v>
      </c>
      <c r="AW49" s="984">
        <f t="shared" si="54"/>
        <v>17837970.809999999</v>
      </c>
      <c r="AX49" s="939"/>
      <c r="AY49" s="939"/>
      <c r="AZ49" s="941"/>
      <c r="BA49" s="941"/>
      <c r="BB49" s="981">
        <f>BB31+BB43</f>
        <v>23225.1</v>
      </c>
      <c r="BC49" s="934"/>
      <c r="BD49" s="941"/>
      <c r="BE49" s="941"/>
      <c r="BF49" s="941"/>
      <c r="BG49" s="942"/>
      <c r="BH49" s="941"/>
      <c r="BI49" s="941"/>
      <c r="BJ49" s="941"/>
      <c r="BK49" s="943"/>
      <c r="BL49" s="943"/>
      <c r="BM49" s="943"/>
      <c r="BN49" s="943"/>
      <c r="BO49" s="943"/>
      <c r="BP49" s="944"/>
      <c r="BQ49" s="943"/>
      <c r="BR49" s="943"/>
      <c r="BS49" s="943"/>
      <c r="BU49" s="945"/>
      <c r="BV49" s="946"/>
      <c r="BW49" s="947"/>
      <c r="BX49" s="945"/>
      <c r="BY49" s="947"/>
      <c r="BZ49" s="946"/>
      <c r="CA49" s="947"/>
      <c r="CB49" s="946"/>
      <c r="CC49" s="947"/>
      <c r="CD49" s="947"/>
      <c r="CE49" s="947"/>
      <c r="CF49" s="948"/>
      <c r="CG49" s="949"/>
      <c r="CH49" s="949"/>
      <c r="CI49" s="950"/>
      <c r="CJ49" s="951"/>
      <c r="CK49" s="951"/>
      <c r="CL49" s="952"/>
      <c r="CM49" s="951"/>
      <c r="CN49" s="951"/>
      <c r="CO49" s="952"/>
      <c r="CP49" s="951"/>
      <c r="CQ49" s="951"/>
      <c r="CR49" s="952"/>
      <c r="CS49" s="946"/>
      <c r="CT49" s="953"/>
      <c r="CU49" s="953"/>
      <c r="CV49" s="953"/>
      <c r="CX49" s="951"/>
      <c r="CY49" s="951"/>
      <c r="CZ49" s="952"/>
      <c r="DB49" s="954"/>
      <c r="DC49" s="954"/>
      <c r="DD49" s="921"/>
      <c r="DE49" s="954"/>
      <c r="DF49" s="954"/>
      <c r="DG49" s="921"/>
      <c r="DH49" s="954"/>
      <c r="DI49" s="954"/>
      <c r="DJ49" s="921"/>
      <c r="DK49" s="954"/>
      <c r="DL49" s="954"/>
      <c r="DM49" s="921"/>
      <c r="DN49" s="954"/>
      <c r="DO49" s="954"/>
      <c r="DP49" s="921"/>
      <c r="DQ49" s="942"/>
      <c r="DR49" s="951"/>
      <c r="DS49" s="951"/>
      <c r="DT49" s="952"/>
      <c r="DV49" s="921"/>
      <c r="DW49" s="921"/>
      <c r="DX49" s="921"/>
      <c r="DY49" s="921"/>
      <c r="DZ49" s="921"/>
      <c r="EA49" s="921"/>
      <c r="EB49" s="921"/>
      <c r="EC49" s="921"/>
      <c r="ED49" s="921"/>
      <c r="EE49" s="921"/>
      <c r="EF49" s="921"/>
      <c r="EG49" s="921"/>
      <c r="EH49" s="921"/>
      <c r="EI49" s="921"/>
      <c r="EJ49" s="921"/>
      <c r="EK49" s="921"/>
      <c r="EL49" s="921"/>
      <c r="EM49" s="921"/>
      <c r="EN49" s="921"/>
      <c r="EO49" s="921"/>
      <c r="EP49" s="921"/>
      <c r="EQ49" s="954"/>
      <c r="ER49" s="954"/>
      <c r="ES49" s="954"/>
      <c r="ET49" s="954"/>
      <c r="EV49" s="942"/>
      <c r="EW49" s="951"/>
      <c r="EX49" s="951"/>
      <c r="EY49" s="952"/>
      <c r="FB49" s="989">
        <f t="shared" ref="FB49:FB52" si="55">BB49</f>
        <v>23225.1</v>
      </c>
    </row>
    <row r="50" spans="1:158" s="927" customFormat="1" ht="15.75" x14ac:dyDescent="0.25">
      <c r="A50" s="931"/>
      <c r="B50" s="932" t="s">
        <v>403</v>
      </c>
      <c r="C50" s="981">
        <f>C26+C27+C29+C32+C33+C39</f>
        <v>21.19</v>
      </c>
      <c r="D50" s="938"/>
      <c r="E50" s="983"/>
      <c r="F50" s="936"/>
      <c r="G50" s="983"/>
      <c r="H50" s="984">
        <f>H26+H27+H29+H32+H33+H39</f>
        <v>85328</v>
      </c>
      <c r="I50" s="984">
        <f>I26+I27+I29+I32+I33+I39</f>
        <v>299942.86</v>
      </c>
      <c r="J50" s="937"/>
      <c r="K50" s="938"/>
      <c r="L50" s="984">
        <f>L26+L27+L29+L32+L33+L39</f>
        <v>71487.02</v>
      </c>
      <c r="M50" s="937"/>
      <c r="N50" s="938"/>
      <c r="O50" s="984">
        <f>O26+O27+O29+O32+O33+O39</f>
        <v>0</v>
      </c>
      <c r="P50" s="937"/>
      <c r="Q50" s="938"/>
      <c r="R50" s="984">
        <f>R26+R27+R29+R32+R33+R39</f>
        <v>0</v>
      </c>
      <c r="S50" s="937"/>
      <c r="T50" s="938"/>
      <c r="U50" s="984">
        <f>U26+U27+U29+U32+U33+U39</f>
        <v>0</v>
      </c>
      <c r="V50" s="937"/>
      <c r="W50" s="938"/>
      <c r="X50" s="984">
        <f>X26+X27+X29+X32+X33+X39</f>
        <v>0</v>
      </c>
      <c r="Y50" s="937"/>
      <c r="Z50" s="938"/>
      <c r="AA50" s="984">
        <f>AA26+AA27+AA29+AA32+AA33+AA39</f>
        <v>0</v>
      </c>
      <c r="AB50" s="937"/>
      <c r="AC50" s="938"/>
      <c r="AD50" s="984">
        <f>AD26+AD27+AD29+AD32+AD33+AD39</f>
        <v>57189.79</v>
      </c>
      <c r="AE50" s="937"/>
      <c r="AF50" s="938"/>
      <c r="AG50" s="984">
        <f>AG26+AG27+AG29+AG32+AG33+AG39</f>
        <v>1399.4</v>
      </c>
      <c r="AH50" s="937"/>
      <c r="AI50" s="938"/>
      <c r="AJ50" s="984">
        <f>AJ26+AJ27+AJ29+AJ32+AJ33+AJ39</f>
        <v>0</v>
      </c>
      <c r="AK50" s="937"/>
      <c r="AL50" s="938"/>
      <c r="AM50" s="984">
        <f>AM26+AM27+AM29+AM32+AM33+AM39</f>
        <v>0</v>
      </c>
      <c r="AN50" s="938"/>
      <c r="AO50" s="984">
        <f>AO26+AO27+AO29+AO32+AO33+AO39</f>
        <v>0</v>
      </c>
      <c r="AP50" s="938"/>
      <c r="AQ50" s="984">
        <f>AQ26+AQ27+AQ29+AQ32+AQ33+AQ39</f>
        <v>0</v>
      </c>
      <c r="AR50" s="984">
        <f>AR26+AR27+AR29+AR32+AR33+AR39</f>
        <v>430019.07</v>
      </c>
      <c r="AS50" s="936"/>
      <c r="AT50" s="984">
        <f t="shared" ref="AT50:AW50" si="56">AT26+AT27+AT29+AT32+AT33+AT39</f>
        <v>5160228.84</v>
      </c>
      <c r="AU50" s="984">
        <f t="shared" si="56"/>
        <v>0</v>
      </c>
      <c r="AV50" s="984">
        <f t="shared" si="56"/>
        <v>51602.29</v>
      </c>
      <c r="AW50" s="984">
        <f t="shared" si="56"/>
        <v>5211831.13</v>
      </c>
      <c r="AX50" s="939"/>
      <c r="AY50" s="939"/>
      <c r="AZ50" s="941"/>
      <c r="BA50" s="941"/>
      <c r="BB50" s="981">
        <f>BB26+BB27+BB29+BB32+BB33+BB39</f>
        <v>6785.9</v>
      </c>
      <c r="BC50" s="934"/>
      <c r="BD50" s="941"/>
      <c r="BE50" s="941"/>
      <c r="BF50" s="941"/>
      <c r="BG50" s="942"/>
      <c r="BH50" s="941"/>
      <c r="BI50" s="941"/>
      <c r="BJ50" s="941"/>
      <c r="BK50" s="943"/>
      <c r="BL50" s="943"/>
      <c r="BM50" s="943"/>
      <c r="BN50" s="943"/>
      <c r="BO50" s="943"/>
      <c r="BP50" s="944"/>
      <c r="BQ50" s="943"/>
      <c r="BR50" s="943"/>
      <c r="BS50" s="943"/>
      <c r="BU50" s="945"/>
      <c r="BV50" s="946"/>
      <c r="BW50" s="947"/>
      <c r="BX50" s="945"/>
      <c r="BY50" s="947"/>
      <c r="BZ50" s="946"/>
      <c r="CA50" s="947"/>
      <c r="CB50" s="946"/>
      <c r="CC50" s="947"/>
      <c r="CD50" s="947"/>
      <c r="CE50" s="947"/>
      <c r="CF50" s="948"/>
      <c r="CG50" s="949"/>
      <c r="CH50" s="949"/>
      <c r="CI50" s="950"/>
      <c r="CJ50" s="951"/>
      <c r="CK50" s="951"/>
      <c r="CL50" s="952"/>
      <c r="CM50" s="951"/>
      <c r="CN50" s="951"/>
      <c r="CO50" s="952"/>
      <c r="CP50" s="951"/>
      <c r="CQ50" s="951"/>
      <c r="CR50" s="952"/>
      <c r="CS50" s="946"/>
      <c r="CT50" s="953"/>
      <c r="CU50" s="953"/>
      <c r="CV50" s="953"/>
      <c r="CX50" s="951"/>
      <c r="CY50" s="951"/>
      <c r="CZ50" s="952"/>
      <c r="DB50" s="954"/>
      <c r="DC50" s="954"/>
      <c r="DD50" s="921"/>
      <c r="DE50" s="954"/>
      <c r="DF50" s="954"/>
      <c r="DG50" s="921"/>
      <c r="DH50" s="954"/>
      <c r="DI50" s="954"/>
      <c r="DJ50" s="921"/>
      <c r="DK50" s="954"/>
      <c r="DL50" s="954"/>
      <c r="DM50" s="921"/>
      <c r="DN50" s="954"/>
      <c r="DO50" s="954"/>
      <c r="DP50" s="921"/>
      <c r="DQ50" s="942"/>
      <c r="DR50" s="951"/>
      <c r="DS50" s="951"/>
      <c r="DT50" s="952"/>
      <c r="DV50" s="921"/>
      <c r="DW50" s="921"/>
      <c r="DX50" s="921"/>
      <c r="DY50" s="921"/>
      <c r="DZ50" s="921"/>
      <c r="EA50" s="921"/>
      <c r="EB50" s="921"/>
      <c r="EC50" s="921"/>
      <c r="ED50" s="921"/>
      <c r="EE50" s="921"/>
      <c r="EF50" s="921"/>
      <c r="EG50" s="921"/>
      <c r="EH50" s="921"/>
      <c r="EI50" s="921"/>
      <c r="EJ50" s="921"/>
      <c r="EK50" s="921"/>
      <c r="EL50" s="921"/>
      <c r="EM50" s="921"/>
      <c r="EN50" s="921"/>
      <c r="EO50" s="921"/>
      <c r="EP50" s="921"/>
      <c r="EQ50" s="954"/>
      <c r="ER50" s="954"/>
      <c r="ES50" s="954"/>
      <c r="ET50" s="954"/>
      <c r="EV50" s="942"/>
      <c r="EW50" s="951"/>
      <c r="EX50" s="951"/>
      <c r="EY50" s="952"/>
      <c r="FB50" s="989">
        <f t="shared" si="55"/>
        <v>6785.9</v>
      </c>
    </row>
    <row r="51" spans="1:158" s="927" customFormat="1" ht="15.75" x14ac:dyDescent="0.25">
      <c r="A51" s="931"/>
      <c r="B51" s="932" t="s">
        <v>404</v>
      </c>
      <c r="C51" s="981">
        <f>C12+C13+C15+C14+C16+C17+C18+C19+C20+C21+C22+C23+C24+C25+C28+C30+C35+C36+C37+C40+C41+C44+C45+C46</f>
        <v>42.75</v>
      </c>
      <c r="D51" s="938"/>
      <c r="E51" s="983"/>
      <c r="F51" s="936"/>
      <c r="G51" s="983"/>
      <c r="H51" s="984">
        <f>H12+H13+H15+H14+H16+H17+H18+H19+H20+H21+H22+H23+H24+H25+H28+H30+H35+H36+H37+H40+H41+H44+H45+H46</f>
        <v>260385</v>
      </c>
      <c r="I51" s="984">
        <f>I12+I13+I15+I14+I16+I17+I18+I19+I20+I21+I22+I23+I24+I25+I28+I30+I35+I36+I37+I40+I41+I44+I45+I46</f>
        <v>376508.25</v>
      </c>
      <c r="J51" s="937"/>
      <c r="K51" s="938"/>
      <c r="L51" s="984">
        <f>L12+L13+L15+L14+L16+L17+L18+L19+L20+L21+L22+L23+L24+L25+L28+L30+L35+L36+L37+L40+L41+L44+L45+L46</f>
        <v>0</v>
      </c>
      <c r="M51" s="937"/>
      <c r="N51" s="938"/>
      <c r="O51" s="984">
        <f>O12+O13+O15+O14+O16+O17+O18+O19+O20+O21+O22+O23+O24+O25+O28+O30+O35+O36+O37+O40+O41+O44+O45+O46</f>
        <v>0</v>
      </c>
      <c r="P51" s="937"/>
      <c r="Q51" s="938"/>
      <c r="R51" s="984">
        <f>R12+R13+R15+R14+R16+R17+R18+R19+R20+R21+R22+R23+R24+R25+R28+R30+R35+R36+R37+R40+R41+R44+R45+R46</f>
        <v>2669.1</v>
      </c>
      <c r="S51" s="937"/>
      <c r="T51" s="938"/>
      <c r="U51" s="984">
        <f>U12+U13+U15+U14+U16+U17+U18+U19+U20+U21+U22+U23+U24+U25+U28+U30+U35+U36+U37+U40+U41+U44+U45+U46</f>
        <v>26300.97</v>
      </c>
      <c r="V51" s="937"/>
      <c r="W51" s="938"/>
      <c r="X51" s="984">
        <f>X12+X13+X15+X14+X16+X17+X18+X19+X20+X21+X22+X23+X24+X25+X28+X30+X35+X36+X37+X40+X41+X44+X45+X46</f>
        <v>0</v>
      </c>
      <c r="Y51" s="937"/>
      <c r="Z51" s="938"/>
      <c r="AA51" s="984">
        <f>AA12+AA13+AA15+AA14+AA16+AA17+AA18+AA19+AA20+AA21+AA22+AA23+AA24+AA25+AA28+AA30+AA35+AA36+AA37+AA40+AA41+AA44+AA45+AA46</f>
        <v>176886.14</v>
      </c>
      <c r="AB51" s="937"/>
      <c r="AC51" s="938"/>
      <c r="AD51" s="984">
        <f>AD12+AD13+AD15+AD14+AD16+AD17+AD18+AD19+AD20+AD21+AD22+AD23+AD24+AD25+AD28+AD30+AD35+AD36+AD37+AD40+AD41+AD44+AD45+AD46</f>
        <v>62631.58</v>
      </c>
      <c r="AE51" s="937"/>
      <c r="AF51" s="938"/>
      <c r="AG51" s="984">
        <f>AG12+AG13+AG15+AG14+AG16+AG17+AG18+AG19+AG20+AG21+AG22+AG23+AG24+AG25+AG28+AG30+AG35+AG36+AG37+AG40+AG41+AG44+AG45+AG46</f>
        <v>0</v>
      </c>
      <c r="AH51" s="937"/>
      <c r="AI51" s="938"/>
      <c r="AJ51" s="984">
        <f>AJ12+AJ13+AJ15+AJ14+AJ16+AJ17+AJ18+AJ19+AJ20+AJ21+AJ22+AJ23+AJ24+AJ25+AJ28+AJ30+AJ35+AJ36+AJ37+AJ40+AJ41+AJ44+AJ45+AJ46</f>
        <v>0</v>
      </c>
      <c r="AK51" s="937"/>
      <c r="AL51" s="938"/>
      <c r="AM51" s="984">
        <f>AM12+AM13+AM15+AM14+AM16+AM17+AM18+AM19+AM20+AM21+AM22+AM23+AM24+AM25+AM28+AM30+AM35+AM36+AM37+AM40+AM41+AM44+AM45+AM46</f>
        <v>0</v>
      </c>
      <c r="AN51" s="938"/>
      <c r="AO51" s="984">
        <f>AO12+AO13+AO15+AO14+AO16+AO17+AO18+AO19+AO20+AO21+AO22+AO23+AO24+AO25+AO28+AO30+AO35+AO36+AO37+AO40+AO41+AO44+AO45+AO46</f>
        <v>315277.61</v>
      </c>
      <c r="AP51" s="938"/>
      <c r="AQ51" s="984">
        <f>AQ12+AQ13+AQ15+AQ14+AQ16+AQ17+AQ18+AQ19+AQ20+AQ21+AQ22+AQ23+AQ24+AQ25+AQ28+AQ30+AQ35+AQ36+AQ37+AQ40+AQ41+AQ44+AQ45+AQ46</f>
        <v>0</v>
      </c>
      <c r="AR51" s="984">
        <f>AR12+AR13+AR15+AR14+AR16+AR17+AR18+AR19+AR20+AR21+AR22+AR23+AR24+AR25+AR28+AR30+AR35+AR36+AR37+AR40+AR41+AR44+AR45+AR46</f>
        <v>960273.65</v>
      </c>
      <c r="AS51" s="936"/>
      <c r="AT51" s="984">
        <f t="shared" ref="AT51:AW51" si="57">AT12+AT13+AT15+AT14+AT16+AT17+AT18+AT19+AT20+AT21+AT22+AT23+AT24+AT25+AT28+AT30+AT35+AT36+AT37+AT40+AT41+AT44+AT45+AT46</f>
        <v>11523283.800000001</v>
      </c>
      <c r="AU51" s="984">
        <f t="shared" si="57"/>
        <v>338562.99</v>
      </c>
      <c r="AV51" s="984">
        <f t="shared" si="57"/>
        <v>115232.84</v>
      </c>
      <c r="AW51" s="984">
        <f t="shared" si="57"/>
        <v>11977079.630000001</v>
      </c>
      <c r="AX51" s="939"/>
      <c r="AY51" s="939"/>
      <c r="AZ51" s="941"/>
      <c r="BA51" s="941"/>
      <c r="BB51" s="981">
        <f>BB12+BB13+BB15+BB14+BB16+BB17+BB18+BB19+BB20+BB21+BB22+BB23+BB24+BB25+BB28+BB30+BB35+BB36+BB37+BB40+BB41+BB44+BB45+BB46</f>
        <v>15593.9</v>
      </c>
      <c r="BC51" s="934"/>
      <c r="BD51" s="941"/>
      <c r="BE51" s="941"/>
      <c r="BF51" s="941"/>
      <c r="BG51" s="942"/>
      <c r="BH51" s="941"/>
      <c r="BI51" s="941"/>
      <c r="BJ51" s="941"/>
      <c r="BK51" s="943"/>
      <c r="BL51" s="943"/>
      <c r="BM51" s="943"/>
      <c r="BN51" s="943"/>
      <c r="BO51" s="943"/>
      <c r="BP51" s="944"/>
      <c r="BQ51" s="943"/>
      <c r="BR51" s="943"/>
      <c r="BS51" s="943"/>
      <c r="BU51" s="945"/>
      <c r="BV51" s="946"/>
      <c r="BW51" s="947"/>
      <c r="BX51" s="945"/>
      <c r="BY51" s="947"/>
      <c r="BZ51" s="946"/>
      <c r="CA51" s="947"/>
      <c r="CB51" s="946"/>
      <c r="CC51" s="947"/>
      <c r="CD51" s="947"/>
      <c r="CE51" s="947"/>
      <c r="CF51" s="948"/>
      <c r="CG51" s="949"/>
      <c r="CH51" s="949"/>
      <c r="CI51" s="950"/>
      <c r="CJ51" s="951"/>
      <c r="CK51" s="951"/>
      <c r="CL51" s="952"/>
      <c r="CM51" s="951"/>
      <c r="CN51" s="951"/>
      <c r="CO51" s="952"/>
      <c r="CP51" s="951"/>
      <c r="CQ51" s="951"/>
      <c r="CR51" s="952"/>
      <c r="CS51" s="946"/>
      <c r="CT51" s="953"/>
      <c r="CU51" s="953"/>
      <c r="CV51" s="953"/>
      <c r="CX51" s="951"/>
      <c r="CY51" s="951"/>
      <c r="CZ51" s="952"/>
      <c r="DB51" s="954"/>
      <c r="DC51" s="954"/>
      <c r="DD51" s="921"/>
      <c r="DE51" s="954"/>
      <c r="DF51" s="954"/>
      <c r="DG51" s="921"/>
      <c r="DH51" s="954"/>
      <c r="DI51" s="954"/>
      <c r="DJ51" s="921"/>
      <c r="DK51" s="954"/>
      <c r="DL51" s="954"/>
      <c r="DM51" s="921"/>
      <c r="DN51" s="954"/>
      <c r="DO51" s="954"/>
      <c r="DP51" s="921"/>
      <c r="DQ51" s="942"/>
      <c r="DR51" s="951"/>
      <c r="DS51" s="951"/>
      <c r="DT51" s="952"/>
      <c r="DV51" s="921"/>
      <c r="DW51" s="921"/>
      <c r="DX51" s="921"/>
      <c r="DY51" s="921"/>
      <c r="DZ51" s="921"/>
      <c r="EA51" s="921"/>
      <c r="EB51" s="921"/>
      <c r="EC51" s="921"/>
      <c r="ED51" s="921"/>
      <c r="EE51" s="921"/>
      <c r="EF51" s="921"/>
      <c r="EG51" s="921"/>
      <c r="EH51" s="921"/>
      <c r="EI51" s="921"/>
      <c r="EJ51" s="921"/>
      <c r="EK51" s="921"/>
      <c r="EL51" s="921"/>
      <c r="EM51" s="921"/>
      <c r="EN51" s="921"/>
      <c r="EO51" s="921"/>
      <c r="EP51" s="921"/>
      <c r="EQ51" s="954"/>
      <c r="ER51" s="954"/>
      <c r="ES51" s="954"/>
      <c r="ET51" s="954"/>
      <c r="EV51" s="942"/>
      <c r="EW51" s="951"/>
      <c r="EX51" s="951"/>
      <c r="EY51" s="952"/>
      <c r="FB51" s="989">
        <f t="shared" si="55"/>
        <v>15593.9</v>
      </c>
    </row>
    <row r="52" spans="1:158" s="927" customFormat="1" ht="15.75" x14ac:dyDescent="0.25">
      <c r="A52" s="931"/>
      <c r="B52" s="932" t="s">
        <v>405</v>
      </c>
      <c r="C52" s="981">
        <f>C34+C38+C42+C47</f>
        <v>14</v>
      </c>
      <c r="D52" s="938"/>
      <c r="E52" s="983"/>
      <c r="F52" s="936"/>
      <c r="G52" s="983"/>
      <c r="H52" s="984">
        <f>H34+H38+H42+H47</f>
        <v>20547</v>
      </c>
      <c r="I52" s="984">
        <f>I34+I38+I42+I47</f>
        <v>69358</v>
      </c>
      <c r="J52" s="937"/>
      <c r="K52" s="938"/>
      <c r="L52" s="984">
        <f>L34+L38+L42+L47</f>
        <v>0</v>
      </c>
      <c r="M52" s="937"/>
      <c r="N52" s="938"/>
      <c r="O52" s="984">
        <f>O34+O38+O42+O47</f>
        <v>0</v>
      </c>
      <c r="P52" s="937"/>
      <c r="Q52" s="938"/>
      <c r="R52" s="984">
        <f>R34+R38+R42+R47</f>
        <v>0</v>
      </c>
      <c r="S52" s="937"/>
      <c r="T52" s="938"/>
      <c r="U52" s="984">
        <f>U34+U38+U42+U47</f>
        <v>32368.59</v>
      </c>
      <c r="V52" s="937"/>
      <c r="W52" s="938"/>
      <c r="X52" s="984">
        <f>X34+X38+X42+X47</f>
        <v>0</v>
      </c>
      <c r="Y52" s="937"/>
      <c r="Z52" s="938"/>
      <c r="AA52" s="984">
        <f>AA34+AA38+AA42+AA47</f>
        <v>0</v>
      </c>
      <c r="AB52" s="937"/>
      <c r="AC52" s="938"/>
      <c r="AD52" s="984">
        <f>AD34+AD38+AD42+AD47</f>
        <v>0</v>
      </c>
      <c r="AE52" s="937"/>
      <c r="AF52" s="938"/>
      <c r="AG52" s="984">
        <f>AG34+AG38+AG42+AG47</f>
        <v>0</v>
      </c>
      <c r="AH52" s="937"/>
      <c r="AI52" s="938"/>
      <c r="AJ52" s="984">
        <f>AJ34+AJ38+AJ42+AJ47</f>
        <v>0</v>
      </c>
      <c r="AK52" s="937"/>
      <c r="AL52" s="938"/>
      <c r="AM52" s="984">
        <f>AM34+AM38+AM42+AM47</f>
        <v>0</v>
      </c>
      <c r="AN52" s="938"/>
      <c r="AO52" s="984">
        <f>AO34+AO38+AO42+AO47</f>
        <v>167661.41</v>
      </c>
      <c r="AP52" s="938"/>
      <c r="AQ52" s="984">
        <f>AQ34+AQ38+AQ42+AQ47</f>
        <v>6361.74</v>
      </c>
      <c r="AR52" s="984">
        <f>AR34+AR38+AR42+AR47</f>
        <v>275749.74</v>
      </c>
      <c r="AS52" s="936"/>
      <c r="AT52" s="984">
        <f t="shared" ref="AT52:AW52" si="58">AT34+AT38+AT42+AT47</f>
        <v>3308996.88</v>
      </c>
      <c r="AU52" s="984">
        <f t="shared" si="58"/>
        <v>124250.01</v>
      </c>
      <c r="AV52" s="984">
        <f t="shared" si="58"/>
        <v>33089.97</v>
      </c>
      <c r="AW52" s="984">
        <f t="shared" si="58"/>
        <v>3466336.86</v>
      </c>
      <c r="AX52" s="939"/>
      <c r="AY52" s="939"/>
      <c r="AZ52" s="941"/>
      <c r="BA52" s="941"/>
      <c r="BB52" s="981">
        <f>BB34+BB38+BB42+BB47</f>
        <v>4513.1000000000004</v>
      </c>
      <c r="BC52" s="934"/>
      <c r="BD52" s="941"/>
      <c r="BE52" s="941"/>
      <c r="BF52" s="941"/>
      <c r="BG52" s="942"/>
      <c r="BH52" s="941"/>
      <c r="BI52" s="941"/>
      <c r="BJ52" s="941"/>
      <c r="BK52" s="943"/>
      <c r="BL52" s="943"/>
      <c r="BM52" s="943"/>
      <c r="BN52" s="943"/>
      <c r="BO52" s="943"/>
      <c r="BP52" s="944"/>
      <c r="BQ52" s="943"/>
      <c r="BR52" s="943"/>
      <c r="BS52" s="943"/>
      <c r="BU52" s="945"/>
      <c r="BV52" s="946"/>
      <c r="BW52" s="947"/>
      <c r="BX52" s="945"/>
      <c r="BY52" s="947"/>
      <c r="BZ52" s="946"/>
      <c r="CA52" s="947"/>
      <c r="CB52" s="946"/>
      <c r="CC52" s="947"/>
      <c r="CD52" s="947"/>
      <c r="CE52" s="947"/>
      <c r="CF52" s="948"/>
      <c r="CG52" s="949"/>
      <c r="CH52" s="949"/>
      <c r="CI52" s="950"/>
      <c r="CJ52" s="951"/>
      <c r="CK52" s="951"/>
      <c r="CL52" s="952"/>
      <c r="CM52" s="951"/>
      <c r="CN52" s="951"/>
      <c r="CO52" s="952"/>
      <c r="CP52" s="951"/>
      <c r="CQ52" s="951"/>
      <c r="CR52" s="952"/>
      <c r="CS52" s="946"/>
      <c r="CT52" s="953"/>
      <c r="CU52" s="953"/>
      <c r="CV52" s="953"/>
      <c r="CX52" s="951"/>
      <c r="CY52" s="951"/>
      <c r="CZ52" s="952"/>
      <c r="DB52" s="954"/>
      <c r="DC52" s="954"/>
      <c r="DD52" s="921"/>
      <c r="DE52" s="954"/>
      <c r="DF52" s="954"/>
      <c r="DG52" s="921"/>
      <c r="DH52" s="954"/>
      <c r="DI52" s="954"/>
      <c r="DJ52" s="921"/>
      <c r="DK52" s="954"/>
      <c r="DL52" s="954"/>
      <c r="DM52" s="921"/>
      <c r="DN52" s="954"/>
      <c r="DO52" s="954"/>
      <c r="DP52" s="921"/>
      <c r="DQ52" s="942"/>
      <c r="DR52" s="951"/>
      <c r="DS52" s="951"/>
      <c r="DT52" s="952"/>
      <c r="DV52" s="921"/>
      <c r="DW52" s="921"/>
      <c r="DX52" s="921"/>
      <c r="DY52" s="921"/>
      <c r="DZ52" s="921"/>
      <c r="EA52" s="921"/>
      <c r="EB52" s="921"/>
      <c r="EC52" s="921"/>
      <c r="ED52" s="921"/>
      <c r="EE52" s="921"/>
      <c r="EF52" s="921"/>
      <c r="EG52" s="921"/>
      <c r="EH52" s="921"/>
      <c r="EI52" s="921"/>
      <c r="EJ52" s="921"/>
      <c r="EK52" s="921"/>
      <c r="EL52" s="921"/>
      <c r="EM52" s="921"/>
      <c r="EN52" s="921"/>
      <c r="EO52" s="921"/>
      <c r="EP52" s="921"/>
      <c r="EQ52" s="954"/>
      <c r="ER52" s="954"/>
      <c r="ES52" s="954"/>
      <c r="ET52" s="954"/>
      <c r="EV52" s="942"/>
      <c r="EW52" s="951"/>
      <c r="EX52" s="951"/>
      <c r="EY52" s="952"/>
      <c r="FB52" s="989">
        <f t="shared" si="55"/>
        <v>4513.1000000000004</v>
      </c>
    </row>
    <row r="53" spans="1:158" s="927" customFormat="1" ht="15.75" x14ac:dyDescent="0.25">
      <c r="A53" s="931"/>
      <c r="B53" s="932"/>
      <c r="C53" s="982">
        <f>C48-C49-C50-C51-C52</f>
        <v>0</v>
      </c>
      <c r="D53" s="938"/>
      <c r="E53" s="983"/>
      <c r="F53" s="936"/>
      <c r="G53" s="983"/>
      <c r="H53" s="985">
        <f>H48-H49-H50-H51-H52</f>
        <v>0</v>
      </c>
      <c r="I53" s="985">
        <f>I48-I49-I50-I51-I52</f>
        <v>0</v>
      </c>
      <c r="J53" s="937"/>
      <c r="K53" s="938"/>
      <c r="L53" s="985">
        <f>L48-L49-L50-L51-L52</f>
        <v>0</v>
      </c>
      <c r="M53" s="937"/>
      <c r="N53" s="938"/>
      <c r="O53" s="985">
        <f>O48-O49-O50-O51-O52</f>
        <v>0</v>
      </c>
      <c r="P53" s="937"/>
      <c r="Q53" s="938"/>
      <c r="R53" s="985">
        <f>R48-R49-R50-R51-R52</f>
        <v>0</v>
      </c>
      <c r="S53" s="937"/>
      <c r="T53" s="938"/>
      <c r="U53" s="985">
        <f>U48-U49-U50-U51-U52</f>
        <v>0</v>
      </c>
      <c r="V53" s="937"/>
      <c r="W53" s="938"/>
      <c r="X53" s="985">
        <f>X48-X49-X50-X51-X52</f>
        <v>0</v>
      </c>
      <c r="Y53" s="937"/>
      <c r="Z53" s="938"/>
      <c r="AA53" s="985">
        <f>AA48-AA49-AA50-AA51-AA52</f>
        <v>0</v>
      </c>
      <c r="AB53" s="937"/>
      <c r="AC53" s="938"/>
      <c r="AD53" s="985">
        <f>AD48-AD49-AD50-AD51-AD52</f>
        <v>0</v>
      </c>
      <c r="AE53" s="937"/>
      <c r="AF53" s="938"/>
      <c r="AG53" s="985">
        <f>AG48-AG49-AG50-AG51-AG52</f>
        <v>0</v>
      </c>
      <c r="AH53" s="937"/>
      <c r="AI53" s="938"/>
      <c r="AJ53" s="985">
        <f>AJ48-AJ49-AJ50-AJ51-AJ52</f>
        <v>0</v>
      </c>
      <c r="AK53" s="937"/>
      <c r="AL53" s="938"/>
      <c r="AM53" s="985">
        <f>AM48-AM49-AM50-AM51-AM52</f>
        <v>0</v>
      </c>
      <c r="AN53" s="938"/>
      <c r="AO53" s="985">
        <f>AO48-AO49-AO50-AO51-AO52</f>
        <v>0</v>
      </c>
      <c r="AP53" s="938"/>
      <c r="AQ53" s="985">
        <f>AQ48-AQ49-AQ50-AQ51-AQ52</f>
        <v>0</v>
      </c>
      <c r="AR53" s="985">
        <f>AR48-AR49-AR50-AR51-AR52</f>
        <v>0</v>
      </c>
      <c r="AS53" s="936"/>
      <c r="AT53" s="985">
        <f t="shared" ref="AT53:AW53" si="59">AT48-AT49-AT50-AT51-AT52</f>
        <v>0</v>
      </c>
      <c r="AU53" s="985">
        <f t="shared" si="59"/>
        <v>0</v>
      </c>
      <c r="AV53" s="985">
        <f t="shared" si="59"/>
        <v>0</v>
      </c>
      <c r="AW53" s="985">
        <f t="shared" si="59"/>
        <v>0</v>
      </c>
      <c r="AX53" s="939"/>
      <c r="AY53" s="939"/>
      <c r="AZ53" s="941"/>
      <c r="BA53" s="941"/>
      <c r="BB53" s="982">
        <f>BB48-BB49-BB50-BB51-BB52</f>
        <v>0</v>
      </c>
      <c r="BC53" s="934"/>
      <c r="BD53" s="941"/>
      <c r="BE53" s="941"/>
      <c r="BF53" s="941"/>
      <c r="BG53" s="942"/>
      <c r="BH53" s="941"/>
      <c r="BI53" s="941"/>
      <c r="BJ53" s="941"/>
      <c r="BK53" s="943"/>
      <c r="BL53" s="943"/>
      <c r="BM53" s="943"/>
      <c r="BN53" s="943"/>
      <c r="BO53" s="943"/>
      <c r="BP53" s="944"/>
      <c r="BQ53" s="943"/>
      <c r="BR53" s="943"/>
      <c r="BS53" s="943"/>
      <c r="BU53" s="945"/>
      <c r="BV53" s="946"/>
      <c r="BW53" s="947"/>
      <c r="BX53" s="945"/>
      <c r="BY53" s="947"/>
      <c r="BZ53" s="946"/>
      <c r="CA53" s="947"/>
      <c r="CB53" s="946"/>
      <c r="CC53" s="947"/>
      <c r="CD53" s="947"/>
      <c r="CE53" s="947"/>
      <c r="CF53" s="948"/>
      <c r="CG53" s="949"/>
      <c r="CH53" s="949"/>
      <c r="CI53" s="950"/>
      <c r="CJ53" s="951"/>
      <c r="CK53" s="951"/>
      <c r="CL53" s="952"/>
      <c r="CM53" s="951"/>
      <c r="CN53" s="951"/>
      <c r="CO53" s="952"/>
      <c r="CP53" s="951"/>
      <c r="CQ53" s="951"/>
      <c r="CR53" s="952"/>
      <c r="CS53" s="946"/>
      <c r="CT53" s="953"/>
      <c r="CU53" s="953"/>
      <c r="CV53" s="953"/>
      <c r="CX53" s="951"/>
      <c r="CY53" s="951"/>
      <c r="CZ53" s="952"/>
      <c r="DB53" s="954"/>
      <c r="DC53" s="954"/>
      <c r="DD53" s="921"/>
      <c r="DE53" s="954"/>
      <c r="DF53" s="954"/>
      <c r="DG53" s="921"/>
      <c r="DH53" s="954"/>
      <c r="DI53" s="954"/>
      <c r="DJ53" s="921"/>
      <c r="DK53" s="954"/>
      <c r="DL53" s="954"/>
      <c r="DM53" s="921"/>
      <c r="DN53" s="954"/>
      <c r="DO53" s="954"/>
      <c r="DP53" s="921"/>
      <c r="DQ53" s="942"/>
      <c r="DR53" s="951"/>
      <c r="DS53" s="951"/>
      <c r="DT53" s="952"/>
      <c r="DV53" s="921"/>
      <c r="DW53" s="921"/>
      <c r="DX53" s="921"/>
      <c r="DY53" s="921"/>
      <c r="DZ53" s="921"/>
      <c r="EA53" s="921"/>
      <c r="EB53" s="921"/>
      <c r="EC53" s="921"/>
      <c r="ED53" s="921"/>
      <c r="EE53" s="921"/>
      <c r="EF53" s="921"/>
      <c r="EG53" s="921"/>
      <c r="EH53" s="921"/>
      <c r="EI53" s="921"/>
      <c r="EJ53" s="921"/>
      <c r="EK53" s="921"/>
      <c r="EL53" s="921"/>
      <c r="EM53" s="921"/>
      <c r="EN53" s="921"/>
      <c r="EO53" s="921"/>
      <c r="EP53" s="921"/>
      <c r="EQ53" s="954"/>
      <c r="ER53" s="954"/>
      <c r="ES53" s="954"/>
      <c r="ET53" s="954"/>
      <c r="EV53" s="942"/>
      <c r="EW53" s="951"/>
      <c r="EX53" s="951"/>
      <c r="EY53" s="952"/>
    </row>
    <row r="54" spans="1:158" s="927" customFormat="1" ht="15.75" x14ac:dyDescent="0.25">
      <c r="A54" s="931"/>
      <c r="B54" s="932" t="s">
        <v>806</v>
      </c>
      <c r="C54" s="933"/>
      <c r="D54" s="933"/>
      <c r="E54" s="934"/>
      <c r="F54" s="935"/>
      <c r="G54" s="934"/>
      <c r="H54" s="935"/>
      <c r="I54" s="936"/>
      <c r="J54" s="937"/>
      <c r="K54" s="938"/>
      <c r="L54" s="936"/>
      <c r="M54" s="937"/>
      <c r="N54" s="938"/>
      <c r="O54" s="936"/>
      <c r="P54" s="937"/>
      <c r="Q54" s="938"/>
      <c r="R54" s="936"/>
      <c r="S54" s="937"/>
      <c r="T54" s="938"/>
      <c r="U54" s="936"/>
      <c r="V54" s="937"/>
      <c r="W54" s="938"/>
      <c r="X54" s="936"/>
      <c r="Y54" s="937"/>
      <c r="Z54" s="938"/>
      <c r="AA54" s="936"/>
      <c r="AB54" s="937"/>
      <c r="AC54" s="938"/>
      <c r="AD54" s="936"/>
      <c r="AE54" s="937"/>
      <c r="AF54" s="938"/>
      <c r="AG54" s="936"/>
      <c r="AH54" s="937"/>
      <c r="AI54" s="938"/>
      <c r="AJ54" s="936"/>
      <c r="AK54" s="937"/>
      <c r="AL54" s="938"/>
      <c r="AM54" s="936"/>
      <c r="AN54" s="933"/>
      <c r="AO54" s="936"/>
      <c r="AP54" s="933"/>
      <c r="AQ54" s="935"/>
      <c r="AR54" s="936"/>
      <c r="AS54" s="935"/>
      <c r="AT54" s="939"/>
      <c r="AU54" s="933"/>
      <c r="AV54" s="940"/>
      <c r="AW54" s="389">
        <f>AW48/12-AO48</f>
        <v>2724829.18</v>
      </c>
      <c r="AX54" s="939"/>
      <c r="AY54" s="939"/>
      <c r="AZ54" s="941"/>
      <c r="BA54" s="941"/>
      <c r="BB54" s="941"/>
      <c r="BC54" s="934"/>
      <c r="BD54" s="941"/>
      <c r="BE54" s="941"/>
      <c r="BF54" s="941"/>
      <c r="BG54" s="942"/>
      <c r="BH54" s="941"/>
      <c r="BI54" s="941"/>
      <c r="BJ54" s="941"/>
      <c r="BK54" s="943"/>
      <c r="BL54" s="943"/>
      <c r="BM54" s="943"/>
      <c r="BN54" s="943"/>
      <c r="BO54" s="943"/>
      <c r="BP54" s="944"/>
      <c r="BQ54" s="943"/>
      <c r="BR54" s="943"/>
      <c r="BS54" s="943"/>
      <c r="BU54" s="945"/>
      <c r="BV54" s="946"/>
      <c r="BW54" s="947"/>
      <c r="BX54" s="945"/>
      <c r="BY54" s="947"/>
      <c r="BZ54" s="946"/>
      <c r="CA54" s="947"/>
      <c r="CB54" s="946"/>
      <c r="CC54" s="947"/>
      <c r="CD54" s="947"/>
      <c r="CE54" s="947"/>
      <c r="CF54" s="948"/>
      <c r="CG54" s="949"/>
      <c r="CH54" s="949"/>
      <c r="CI54" s="950"/>
      <c r="CJ54" s="951"/>
      <c r="CK54" s="951"/>
      <c r="CL54" s="952"/>
      <c r="CM54" s="951"/>
      <c r="CN54" s="951"/>
      <c r="CO54" s="952"/>
      <c r="CP54" s="951"/>
      <c r="CQ54" s="951"/>
      <c r="CR54" s="952"/>
      <c r="CS54" s="946"/>
      <c r="CT54" s="953"/>
      <c r="CU54" s="953"/>
      <c r="CV54" s="953"/>
      <c r="CX54" s="951"/>
      <c r="CY54" s="951"/>
      <c r="CZ54" s="952"/>
      <c r="DB54" s="954"/>
      <c r="DC54" s="954"/>
      <c r="DD54" s="921"/>
      <c r="DE54" s="954"/>
      <c r="DF54" s="954"/>
      <c r="DG54" s="921"/>
      <c r="DH54" s="954"/>
      <c r="DI54" s="954"/>
      <c r="DJ54" s="921"/>
      <c r="DK54" s="954"/>
      <c r="DL54" s="954"/>
      <c r="DM54" s="921"/>
      <c r="DN54" s="954"/>
      <c r="DO54" s="954"/>
      <c r="DP54" s="921"/>
      <c r="DQ54" s="942"/>
      <c r="DR54" s="951"/>
      <c r="DS54" s="951"/>
      <c r="DT54" s="952"/>
      <c r="DV54" s="921"/>
      <c r="DW54" s="921"/>
      <c r="DX54" s="921"/>
      <c r="DY54" s="921"/>
      <c r="DZ54" s="921"/>
      <c r="EA54" s="921"/>
      <c r="EB54" s="921"/>
      <c r="EC54" s="921"/>
      <c r="ED54" s="921"/>
      <c r="EE54" s="921"/>
      <c r="EF54" s="921"/>
      <c r="EG54" s="921"/>
      <c r="EH54" s="921"/>
      <c r="EI54" s="921"/>
      <c r="EJ54" s="921"/>
      <c r="EK54" s="921"/>
      <c r="EL54" s="921"/>
      <c r="EM54" s="921"/>
      <c r="EN54" s="921"/>
      <c r="EO54" s="921"/>
      <c r="EP54" s="921"/>
      <c r="EQ54" s="954"/>
      <c r="ER54" s="954"/>
      <c r="ES54" s="954"/>
      <c r="ET54" s="954"/>
      <c r="EV54" s="942"/>
      <c r="EW54" s="951"/>
      <c r="EX54" s="951"/>
      <c r="EY54" s="952"/>
    </row>
    <row r="55" spans="1:158" s="927" customFormat="1" ht="15.75" x14ac:dyDescent="0.25">
      <c r="A55" s="931"/>
      <c r="B55" s="932" t="s">
        <v>406</v>
      </c>
      <c r="C55" s="933"/>
      <c r="D55" s="933"/>
      <c r="E55" s="934"/>
      <c r="F55" s="935"/>
      <c r="G55" s="934"/>
      <c r="H55" s="935"/>
      <c r="I55" s="936"/>
      <c r="J55" s="937"/>
      <c r="K55" s="938"/>
      <c r="L55" s="936"/>
      <c r="M55" s="937"/>
      <c r="N55" s="938"/>
      <c r="O55" s="936"/>
      <c r="P55" s="937"/>
      <c r="Q55" s="938"/>
      <c r="R55" s="936"/>
      <c r="S55" s="937"/>
      <c r="T55" s="938"/>
      <c r="U55" s="936"/>
      <c r="V55" s="937"/>
      <c r="W55" s="938"/>
      <c r="X55" s="936"/>
      <c r="Y55" s="937"/>
      <c r="Z55" s="938"/>
      <c r="AA55" s="936"/>
      <c r="AB55" s="937"/>
      <c r="AC55" s="938"/>
      <c r="AD55" s="936"/>
      <c r="AE55" s="937"/>
      <c r="AF55" s="938"/>
      <c r="AG55" s="936"/>
      <c r="AH55" s="937"/>
      <c r="AI55" s="938"/>
      <c r="AJ55" s="936"/>
      <c r="AK55" s="937"/>
      <c r="AL55" s="938"/>
      <c r="AM55" s="936"/>
      <c r="AN55" s="933"/>
      <c r="AO55" s="936"/>
      <c r="AP55" s="933"/>
      <c r="AQ55" s="935"/>
      <c r="AR55" s="936"/>
      <c r="AS55" s="935"/>
      <c r="AT55" s="939"/>
      <c r="AU55" s="933"/>
      <c r="AV55" s="940"/>
      <c r="AW55" s="389">
        <f>AW49/12-AO49</f>
        <v>1486497.57</v>
      </c>
      <c r="AX55" s="939"/>
      <c r="AY55" s="939"/>
      <c r="AZ55" s="941"/>
      <c r="BA55" s="941"/>
      <c r="BB55" s="941"/>
      <c r="BC55" s="934"/>
      <c r="BD55" s="941"/>
      <c r="BE55" s="941"/>
      <c r="BF55" s="941"/>
      <c r="BG55" s="942"/>
      <c r="BH55" s="941"/>
      <c r="BI55" s="941"/>
      <c r="BJ55" s="941"/>
      <c r="BK55" s="943"/>
      <c r="BL55" s="943"/>
      <c r="BM55" s="943"/>
      <c r="BN55" s="943"/>
      <c r="BO55" s="943"/>
      <c r="BP55" s="944"/>
      <c r="BQ55" s="943"/>
      <c r="BR55" s="943"/>
      <c r="BS55" s="943"/>
      <c r="BU55" s="945"/>
      <c r="BV55" s="946"/>
      <c r="BW55" s="947"/>
      <c r="BX55" s="945"/>
      <c r="BY55" s="947"/>
      <c r="BZ55" s="946"/>
      <c r="CA55" s="947"/>
      <c r="CB55" s="946"/>
      <c r="CC55" s="947"/>
      <c r="CD55" s="947"/>
      <c r="CE55" s="947"/>
      <c r="CF55" s="948"/>
      <c r="CG55" s="949"/>
      <c r="CH55" s="949"/>
      <c r="CI55" s="950"/>
      <c r="CJ55" s="951"/>
      <c r="CK55" s="951"/>
      <c r="CL55" s="952"/>
      <c r="CM55" s="951"/>
      <c r="CN55" s="951"/>
      <c r="CO55" s="952"/>
      <c r="CP55" s="951"/>
      <c r="CQ55" s="951"/>
      <c r="CR55" s="952"/>
      <c r="CS55" s="946"/>
      <c r="CT55" s="953"/>
      <c r="CU55" s="953"/>
      <c r="CV55" s="953"/>
      <c r="CX55" s="951"/>
      <c r="CY55" s="951"/>
      <c r="CZ55" s="952"/>
      <c r="DB55" s="954"/>
      <c r="DC55" s="954"/>
      <c r="DD55" s="921"/>
      <c r="DE55" s="954"/>
      <c r="DF55" s="954"/>
      <c r="DG55" s="921"/>
      <c r="DH55" s="954"/>
      <c r="DI55" s="954"/>
      <c r="DJ55" s="921"/>
      <c r="DK55" s="954"/>
      <c r="DL55" s="954"/>
      <c r="DM55" s="921"/>
      <c r="DN55" s="954"/>
      <c r="DO55" s="954"/>
      <c r="DP55" s="921"/>
      <c r="DQ55" s="942"/>
      <c r="DR55" s="951"/>
      <c r="DS55" s="951"/>
      <c r="DT55" s="952"/>
      <c r="DV55" s="921"/>
      <c r="DW55" s="921"/>
      <c r="DX55" s="921"/>
      <c r="DY55" s="921"/>
      <c r="DZ55" s="921"/>
      <c r="EA55" s="921"/>
      <c r="EB55" s="921"/>
      <c r="EC55" s="921"/>
      <c r="ED55" s="921"/>
      <c r="EE55" s="921"/>
      <c r="EF55" s="921"/>
      <c r="EG55" s="921"/>
      <c r="EH55" s="921"/>
      <c r="EI55" s="921"/>
      <c r="EJ55" s="921"/>
      <c r="EK55" s="921"/>
      <c r="EL55" s="921"/>
      <c r="EM55" s="921"/>
      <c r="EN55" s="921"/>
      <c r="EO55" s="921"/>
      <c r="EP55" s="921"/>
      <c r="EQ55" s="954"/>
      <c r="ER55" s="954"/>
      <c r="ES55" s="954"/>
      <c r="ET55" s="954"/>
      <c r="EV55" s="942"/>
      <c r="EW55" s="951"/>
      <c r="EX55" s="951"/>
      <c r="EY55" s="952"/>
    </row>
    <row r="56" spans="1:158" s="927" customFormat="1" ht="15.75" x14ac:dyDescent="0.25">
      <c r="A56" s="931"/>
      <c r="B56" s="932" t="s">
        <v>403</v>
      </c>
      <c r="C56" s="933"/>
      <c r="D56" s="933"/>
      <c r="E56" s="934"/>
      <c r="F56" s="935"/>
      <c r="G56" s="934"/>
      <c r="H56" s="935"/>
      <c r="I56" s="936"/>
      <c r="J56" s="937"/>
      <c r="K56" s="938"/>
      <c r="L56" s="936"/>
      <c r="M56" s="937"/>
      <c r="N56" s="938"/>
      <c r="O56" s="936"/>
      <c r="P56" s="937"/>
      <c r="Q56" s="938"/>
      <c r="R56" s="936"/>
      <c r="S56" s="937"/>
      <c r="T56" s="938"/>
      <c r="U56" s="936"/>
      <c r="V56" s="937"/>
      <c r="W56" s="938"/>
      <c r="X56" s="936"/>
      <c r="Y56" s="937"/>
      <c r="Z56" s="938"/>
      <c r="AA56" s="936"/>
      <c r="AB56" s="937"/>
      <c r="AC56" s="938"/>
      <c r="AD56" s="936"/>
      <c r="AE56" s="937"/>
      <c r="AF56" s="938"/>
      <c r="AG56" s="936"/>
      <c r="AH56" s="937"/>
      <c r="AI56" s="938"/>
      <c r="AJ56" s="936"/>
      <c r="AK56" s="937"/>
      <c r="AL56" s="938"/>
      <c r="AM56" s="936"/>
      <c r="AN56" s="933"/>
      <c r="AO56" s="936"/>
      <c r="AP56" s="933"/>
      <c r="AQ56" s="935"/>
      <c r="AR56" s="936"/>
      <c r="AS56" s="935"/>
      <c r="AT56" s="939"/>
      <c r="AU56" s="933"/>
      <c r="AV56" s="940"/>
      <c r="AW56" s="389">
        <f>AW50/12-AO50</f>
        <v>434319.26</v>
      </c>
      <c r="AX56" s="939"/>
      <c r="AY56" s="939"/>
      <c r="AZ56" s="941"/>
      <c r="BA56" s="941"/>
      <c r="BB56" s="941"/>
      <c r="BC56" s="934"/>
      <c r="BD56" s="941"/>
      <c r="BE56" s="941"/>
      <c r="BF56" s="941"/>
      <c r="BG56" s="942"/>
      <c r="BH56" s="941"/>
      <c r="BI56" s="941"/>
      <c r="BJ56" s="941"/>
      <c r="BK56" s="943"/>
      <c r="BL56" s="943"/>
      <c r="BM56" s="943"/>
      <c r="BN56" s="943"/>
      <c r="BO56" s="943"/>
      <c r="BP56" s="944"/>
      <c r="BQ56" s="943"/>
      <c r="BR56" s="943"/>
      <c r="BS56" s="943"/>
      <c r="BU56" s="945"/>
      <c r="BV56" s="946"/>
      <c r="BW56" s="947"/>
      <c r="BX56" s="945"/>
      <c r="BY56" s="947"/>
      <c r="BZ56" s="946"/>
      <c r="CA56" s="947"/>
      <c r="CB56" s="946"/>
      <c r="CC56" s="947"/>
      <c r="CD56" s="947"/>
      <c r="CE56" s="947"/>
      <c r="CF56" s="948"/>
      <c r="CG56" s="949"/>
      <c r="CH56" s="949"/>
      <c r="CI56" s="950"/>
      <c r="CJ56" s="951"/>
      <c r="CK56" s="951"/>
      <c r="CL56" s="952"/>
      <c r="CM56" s="951"/>
      <c r="CN56" s="951"/>
      <c r="CO56" s="952"/>
      <c r="CP56" s="951"/>
      <c r="CQ56" s="951"/>
      <c r="CR56" s="952"/>
      <c r="CS56" s="946"/>
      <c r="CT56" s="953"/>
      <c r="CU56" s="953"/>
      <c r="CV56" s="953"/>
      <c r="CX56" s="951"/>
      <c r="CY56" s="951"/>
      <c r="CZ56" s="952"/>
      <c r="DB56" s="954"/>
      <c r="DC56" s="954"/>
      <c r="DD56" s="921"/>
      <c r="DE56" s="954"/>
      <c r="DF56" s="954"/>
      <c r="DG56" s="921"/>
      <c r="DH56" s="954"/>
      <c r="DI56" s="954"/>
      <c r="DJ56" s="921"/>
      <c r="DK56" s="954"/>
      <c r="DL56" s="954"/>
      <c r="DM56" s="921"/>
      <c r="DN56" s="954"/>
      <c r="DO56" s="954"/>
      <c r="DP56" s="921"/>
      <c r="DQ56" s="942"/>
      <c r="DR56" s="951"/>
      <c r="DS56" s="951"/>
      <c r="DT56" s="952"/>
      <c r="DV56" s="921"/>
      <c r="DW56" s="921"/>
      <c r="DX56" s="921"/>
      <c r="DY56" s="921"/>
      <c r="DZ56" s="921"/>
      <c r="EA56" s="921"/>
      <c r="EB56" s="921"/>
      <c r="EC56" s="921"/>
      <c r="ED56" s="921"/>
      <c r="EE56" s="921"/>
      <c r="EF56" s="921"/>
      <c r="EG56" s="921"/>
      <c r="EH56" s="921"/>
      <c r="EI56" s="921"/>
      <c r="EJ56" s="921"/>
      <c r="EK56" s="921"/>
      <c r="EL56" s="921"/>
      <c r="EM56" s="921"/>
      <c r="EN56" s="921"/>
      <c r="EO56" s="921"/>
      <c r="EP56" s="921"/>
      <c r="EQ56" s="954"/>
      <c r="ER56" s="954"/>
      <c r="ES56" s="954"/>
      <c r="ET56" s="954"/>
      <c r="EV56" s="942"/>
      <c r="EW56" s="951"/>
      <c r="EX56" s="951"/>
      <c r="EY56" s="952"/>
    </row>
    <row r="57" spans="1:158" s="927" customFormat="1" ht="15.75" x14ac:dyDescent="0.25">
      <c r="A57" s="931"/>
      <c r="B57" s="932" t="s">
        <v>404</v>
      </c>
      <c r="C57" s="933"/>
      <c r="D57" s="933"/>
      <c r="E57" s="934"/>
      <c r="F57" s="935"/>
      <c r="G57" s="934"/>
      <c r="H57" s="935"/>
      <c r="I57" s="936"/>
      <c r="J57" s="937"/>
      <c r="K57" s="938"/>
      <c r="L57" s="936"/>
      <c r="M57" s="937"/>
      <c r="N57" s="938"/>
      <c r="O57" s="936"/>
      <c r="P57" s="937"/>
      <c r="Q57" s="938"/>
      <c r="R57" s="936"/>
      <c r="S57" s="937"/>
      <c r="T57" s="938"/>
      <c r="U57" s="936"/>
      <c r="V57" s="937"/>
      <c r="W57" s="938"/>
      <c r="X57" s="936"/>
      <c r="Y57" s="937"/>
      <c r="Z57" s="938"/>
      <c r="AA57" s="936"/>
      <c r="AB57" s="937"/>
      <c r="AC57" s="938"/>
      <c r="AD57" s="936"/>
      <c r="AE57" s="937"/>
      <c r="AF57" s="938"/>
      <c r="AG57" s="936"/>
      <c r="AH57" s="937"/>
      <c r="AI57" s="938"/>
      <c r="AJ57" s="936"/>
      <c r="AK57" s="937"/>
      <c r="AL57" s="938"/>
      <c r="AM57" s="936"/>
      <c r="AN57" s="933"/>
      <c r="AO57" s="936"/>
      <c r="AP57" s="933"/>
      <c r="AQ57" s="935"/>
      <c r="AR57" s="936"/>
      <c r="AS57" s="935"/>
      <c r="AT57" s="939"/>
      <c r="AU57" s="933"/>
      <c r="AV57" s="940"/>
      <c r="AW57" s="389">
        <f>AW51/12-AO51</f>
        <v>682812.36</v>
      </c>
      <c r="AX57" s="939"/>
      <c r="AY57" s="939"/>
      <c r="AZ57" s="941"/>
      <c r="BA57" s="941"/>
      <c r="BB57" s="941"/>
      <c r="BC57" s="934"/>
      <c r="BD57" s="941"/>
      <c r="BE57" s="941"/>
      <c r="BF57" s="941"/>
      <c r="BG57" s="942"/>
      <c r="BH57" s="941"/>
      <c r="BI57" s="941"/>
      <c r="BJ57" s="941"/>
      <c r="BK57" s="943"/>
      <c r="BL57" s="943"/>
      <c r="BM57" s="943"/>
      <c r="BN57" s="943"/>
      <c r="BO57" s="943"/>
      <c r="BP57" s="944"/>
      <c r="BQ57" s="943"/>
      <c r="BR57" s="943"/>
      <c r="BS57" s="943"/>
      <c r="BU57" s="945"/>
      <c r="BV57" s="946"/>
      <c r="BW57" s="947"/>
      <c r="BX57" s="945"/>
      <c r="BY57" s="947"/>
      <c r="BZ57" s="946"/>
      <c r="CA57" s="947"/>
      <c r="CB57" s="946"/>
      <c r="CC57" s="947"/>
      <c r="CD57" s="947"/>
      <c r="CE57" s="947"/>
      <c r="CF57" s="948"/>
      <c r="CG57" s="949"/>
      <c r="CH57" s="949"/>
      <c r="CI57" s="950"/>
      <c r="CJ57" s="951"/>
      <c r="CK57" s="951"/>
      <c r="CL57" s="952"/>
      <c r="CM57" s="951"/>
      <c r="CN57" s="951"/>
      <c r="CO57" s="952"/>
      <c r="CP57" s="951"/>
      <c r="CQ57" s="951"/>
      <c r="CR57" s="952"/>
      <c r="CS57" s="946"/>
      <c r="CT57" s="953"/>
      <c r="CU57" s="953"/>
      <c r="CV57" s="953"/>
      <c r="CX57" s="951"/>
      <c r="CY57" s="951"/>
      <c r="CZ57" s="952"/>
      <c r="DB57" s="954"/>
      <c r="DC57" s="954"/>
      <c r="DD57" s="921"/>
      <c r="DE57" s="954"/>
      <c r="DF57" s="954"/>
      <c r="DG57" s="921"/>
      <c r="DH57" s="954"/>
      <c r="DI57" s="954"/>
      <c r="DJ57" s="921"/>
      <c r="DK57" s="954"/>
      <c r="DL57" s="954"/>
      <c r="DM57" s="921"/>
      <c r="DN57" s="954"/>
      <c r="DO57" s="954"/>
      <c r="DP57" s="921"/>
      <c r="DQ57" s="942"/>
      <c r="DR57" s="951"/>
      <c r="DS57" s="951"/>
      <c r="DT57" s="952"/>
      <c r="DV57" s="921"/>
      <c r="DW57" s="921"/>
      <c r="DX57" s="921"/>
      <c r="DY57" s="921"/>
      <c r="DZ57" s="921"/>
      <c r="EA57" s="921"/>
      <c r="EB57" s="921"/>
      <c r="EC57" s="921"/>
      <c r="ED57" s="921"/>
      <c r="EE57" s="921"/>
      <c r="EF57" s="921"/>
      <c r="EG57" s="921"/>
      <c r="EH57" s="921"/>
      <c r="EI57" s="921"/>
      <c r="EJ57" s="921"/>
      <c r="EK57" s="921"/>
      <c r="EL57" s="921"/>
      <c r="EM57" s="921"/>
      <c r="EN57" s="921"/>
      <c r="EO57" s="921"/>
      <c r="EP57" s="921"/>
      <c r="EQ57" s="954"/>
      <c r="ER57" s="954"/>
      <c r="ES57" s="954"/>
      <c r="ET57" s="954"/>
      <c r="EV57" s="942"/>
      <c r="EW57" s="951"/>
      <c r="EX57" s="951"/>
      <c r="EY57" s="952"/>
    </row>
    <row r="58" spans="1:158" s="927" customFormat="1" ht="15.75" x14ac:dyDescent="0.25">
      <c r="A58" s="931"/>
      <c r="B58" s="932" t="s">
        <v>405</v>
      </c>
      <c r="C58" s="933"/>
      <c r="D58" s="933"/>
      <c r="E58" s="934"/>
      <c r="F58" s="935"/>
      <c r="G58" s="934"/>
      <c r="H58" s="935"/>
      <c r="I58" s="936"/>
      <c r="J58" s="937"/>
      <c r="K58" s="938"/>
      <c r="L58" s="936"/>
      <c r="M58" s="937"/>
      <c r="N58" s="938"/>
      <c r="O58" s="936"/>
      <c r="P58" s="937"/>
      <c r="Q58" s="938"/>
      <c r="R58" s="936"/>
      <c r="S58" s="937"/>
      <c r="T58" s="938"/>
      <c r="U58" s="936"/>
      <c r="V58" s="937"/>
      <c r="W58" s="938"/>
      <c r="X58" s="936"/>
      <c r="Y58" s="937"/>
      <c r="Z58" s="938"/>
      <c r="AA58" s="936"/>
      <c r="AB58" s="937"/>
      <c r="AC58" s="938"/>
      <c r="AD58" s="936"/>
      <c r="AE58" s="937"/>
      <c r="AF58" s="938"/>
      <c r="AG58" s="936"/>
      <c r="AH58" s="937"/>
      <c r="AI58" s="938"/>
      <c r="AJ58" s="936"/>
      <c r="AK58" s="937"/>
      <c r="AL58" s="938"/>
      <c r="AM58" s="936"/>
      <c r="AN58" s="933"/>
      <c r="AO58" s="936"/>
      <c r="AP58" s="933"/>
      <c r="AQ58" s="935"/>
      <c r="AR58" s="936"/>
      <c r="AS58" s="935"/>
      <c r="AT58" s="939"/>
      <c r="AU58" s="933"/>
      <c r="AV58" s="940"/>
      <c r="AW58" s="389">
        <f>AW52/12-AO52</f>
        <v>121200</v>
      </c>
      <c r="AX58" s="939"/>
      <c r="AY58" s="939"/>
      <c r="AZ58" s="941"/>
      <c r="BA58" s="941"/>
      <c r="BB58" s="941"/>
      <c r="BC58" s="934"/>
      <c r="BD58" s="941"/>
      <c r="BE58" s="941"/>
      <c r="BF58" s="941"/>
      <c r="BG58" s="942"/>
      <c r="BH58" s="941"/>
      <c r="BI58" s="941"/>
      <c r="BJ58" s="941"/>
      <c r="BK58" s="943"/>
      <c r="BL58" s="943"/>
      <c r="BM58" s="943"/>
      <c r="BN58" s="943"/>
      <c r="BO58" s="943"/>
      <c r="BP58" s="944"/>
      <c r="BQ58" s="943"/>
      <c r="BR58" s="943"/>
      <c r="BS58" s="943"/>
      <c r="BU58" s="945"/>
      <c r="BV58" s="946"/>
      <c r="BW58" s="947"/>
      <c r="BX58" s="945"/>
      <c r="BY58" s="947"/>
      <c r="BZ58" s="946"/>
      <c r="CA58" s="947"/>
      <c r="CB58" s="946"/>
      <c r="CC58" s="947"/>
      <c r="CD58" s="947"/>
      <c r="CE58" s="947"/>
      <c r="CF58" s="948"/>
      <c r="CG58" s="949"/>
      <c r="CH58" s="949"/>
      <c r="CI58" s="950"/>
      <c r="CJ58" s="951"/>
      <c r="CK58" s="951"/>
      <c r="CL58" s="952"/>
      <c r="CM58" s="951"/>
      <c r="CN58" s="951"/>
      <c r="CO58" s="952"/>
      <c r="CP58" s="951"/>
      <c r="CQ58" s="951"/>
      <c r="CR58" s="952"/>
      <c r="CS58" s="946"/>
      <c r="CT58" s="953"/>
      <c r="CU58" s="953"/>
      <c r="CV58" s="953"/>
      <c r="CX58" s="951"/>
      <c r="CY58" s="951"/>
      <c r="CZ58" s="952"/>
      <c r="DB58" s="954"/>
      <c r="DC58" s="954"/>
      <c r="DD58" s="921"/>
      <c r="DE58" s="954"/>
      <c r="DF58" s="954"/>
      <c r="DG58" s="921"/>
      <c r="DH58" s="954"/>
      <c r="DI58" s="954"/>
      <c r="DJ58" s="921"/>
      <c r="DK58" s="954"/>
      <c r="DL58" s="954"/>
      <c r="DM58" s="921"/>
      <c r="DN58" s="954"/>
      <c r="DO58" s="954"/>
      <c r="DP58" s="921"/>
      <c r="DQ58" s="942"/>
      <c r="DR58" s="951"/>
      <c r="DS58" s="951"/>
      <c r="DT58" s="952"/>
      <c r="DV58" s="921"/>
      <c r="DW58" s="921"/>
      <c r="DX58" s="921"/>
      <c r="DY58" s="921"/>
      <c r="DZ58" s="921"/>
      <c r="EA58" s="921"/>
      <c r="EB58" s="921"/>
      <c r="EC58" s="921"/>
      <c r="ED58" s="921"/>
      <c r="EE58" s="921"/>
      <c r="EF58" s="921"/>
      <c r="EG58" s="921"/>
      <c r="EH58" s="921"/>
      <c r="EI58" s="921"/>
      <c r="EJ58" s="921"/>
      <c r="EK58" s="921"/>
      <c r="EL58" s="921"/>
      <c r="EM58" s="921"/>
      <c r="EN58" s="921"/>
      <c r="EO58" s="921"/>
      <c r="EP58" s="921"/>
      <c r="EQ58" s="954"/>
      <c r="ER58" s="954"/>
      <c r="ES58" s="954"/>
      <c r="ET58" s="954"/>
      <c r="EV58" s="942"/>
      <c r="EW58" s="951"/>
      <c r="EX58" s="951"/>
      <c r="EY58" s="952"/>
    </row>
    <row r="59" spans="1:158" s="927" customFormat="1" ht="15.75" x14ac:dyDescent="0.25">
      <c r="A59" s="931"/>
      <c r="B59" s="932" t="s">
        <v>499</v>
      </c>
      <c r="C59" s="933"/>
      <c r="D59" s="933"/>
      <c r="E59" s="934"/>
      <c r="F59" s="935"/>
      <c r="G59" s="934"/>
      <c r="H59" s="935"/>
      <c r="I59" s="936"/>
      <c r="J59" s="937"/>
      <c r="K59" s="938"/>
      <c r="L59" s="936"/>
      <c r="M59" s="937"/>
      <c r="N59" s="938"/>
      <c r="O59" s="936"/>
      <c r="P59" s="937"/>
      <c r="Q59" s="938"/>
      <c r="R59" s="936"/>
      <c r="S59" s="937"/>
      <c r="T59" s="938"/>
      <c r="U59" s="936"/>
      <c r="V59" s="937"/>
      <c r="W59" s="938"/>
      <c r="X59" s="936"/>
      <c r="Y59" s="937"/>
      <c r="Z59" s="938"/>
      <c r="AA59" s="936"/>
      <c r="AB59" s="937"/>
      <c r="AC59" s="938"/>
      <c r="AD59" s="936"/>
      <c r="AE59" s="937"/>
      <c r="AF59" s="938"/>
      <c r="AG59" s="936"/>
      <c r="AH59" s="937"/>
      <c r="AI59" s="938"/>
      <c r="AJ59" s="936"/>
      <c r="AK59" s="937"/>
      <c r="AL59" s="938"/>
      <c r="AM59" s="936"/>
      <c r="AN59" s="933"/>
      <c r="AO59" s="936"/>
      <c r="AP59" s="933"/>
      <c r="AQ59" s="935"/>
      <c r="AR59" s="936"/>
      <c r="AS59" s="935"/>
      <c r="AT59" s="939"/>
      <c r="AU59" s="933"/>
      <c r="AV59" s="940"/>
      <c r="AW59" s="986"/>
      <c r="AX59" s="939"/>
      <c r="AY59" s="939"/>
      <c r="AZ59" s="941"/>
      <c r="BA59" s="941"/>
      <c r="BB59" s="941"/>
      <c r="BC59" s="934"/>
      <c r="BD59" s="941"/>
      <c r="BE59" s="941"/>
      <c r="BF59" s="941"/>
      <c r="BG59" s="942"/>
      <c r="BH59" s="941"/>
      <c r="BI59" s="941"/>
      <c r="BJ59" s="941"/>
      <c r="BK59" s="943"/>
      <c r="BL59" s="943"/>
      <c r="BM59" s="943"/>
      <c r="BN59" s="943"/>
      <c r="BO59" s="943"/>
      <c r="BP59" s="944"/>
      <c r="BQ59" s="943"/>
      <c r="BR59" s="943"/>
      <c r="BS59" s="943"/>
      <c r="BU59" s="945"/>
      <c r="BV59" s="946"/>
      <c r="BW59" s="947"/>
      <c r="BX59" s="945"/>
      <c r="BY59" s="947"/>
      <c r="BZ59" s="946"/>
      <c r="CA59" s="947"/>
      <c r="CB59" s="946"/>
      <c r="CC59" s="947"/>
      <c r="CD59" s="947"/>
      <c r="CE59" s="947"/>
      <c r="CF59" s="948"/>
      <c r="CG59" s="949"/>
      <c r="CH59" s="949"/>
      <c r="CI59" s="950"/>
      <c r="CJ59" s="951"/>
      <c r="CK59" s="951"/>
      <c r="CL59" s="952"/>
      <c r="CM59" s="951"/>
      <c r="CN59" s="951"/>
      <c r="CO59" s="952"/>
      <c r="CP59" s="951"/>
      <c r="CQ59" s="951"/>
      <c r="CR59" s="952"/>
      <c r="CS59" s="946"/>
      <c r="CT59" s="953"/>
      <c r="CU59" s="953"/>
      <c r="CV59" s="953"/>
      <c r="CX59" s="951"/>
      <c r="CY59" s="951"/>
      <c r="CZ59" s="952"/>
      <c r="DB59" s="954"/>
      <c r="DC59" s="954"/>
      <c r="DD59" s="921"/>
      <c r="DE59" s="954"/>
      <c r="DF59" s="954"/>
      <c r="DG59" s="921"/>
      <c r="DH59" s="954"/>
      <c r="DI59" s="954"/>
      <c r="DJ59" s="921"/>
      <c r="DK59" s="954"/>
      <c r="DL59" s="954"/>
      <c r="DM59" s="921"/>
      <c r="DN59" s="954"/>
      <c r="DO59" s="954"/>
      <c r="DP59" s="921"/>
      <c r="DQ59" s="942"/>
      <c r="DR59" s="951"/>
      <c r="DS59" s="951"/>
      <c r="DT59" s="952"/>
      <c r="DV59" s="921"/>
      <c r="DW59" s="921"/>
      <c r="DX59" s="921"/>
      <c r="DY59" s="921"/>
      <c r="DZ59" s="921"/>
      <c r="EA59" s="921"/>
      <c r="EB59" s="921"/>
      <c r="EC59" s="921"/>
      <c r="ED59" s="921"/>
      <c r="EE59" s="921"/>
      <c r="EF59" s="921"/>
      <c r="EG59" s="921"/>
      <c r="EH59" s="921"/>
      <c r="EI59" s="921"/>
      <c r="EJ59" s="921"/>
      <c r="EK59" s="921"/>
      <c r="EL59" s="921"/>
      <c r="EM59" s="921"/>
      <c r="EN59" s="921"/>
      <c r="EO59" s="921"/>
      <c r="EP59" s="921"/>
      <c r="EQ59" s="954"/>
      <c r="ER59" s="954"/>
      <c r="ES59" s="954"/>
      <c r="ET59" s="954"/>
      <c r="EV59" s="942"/>
      <c r="EW59" s="951"/>
      <c r="EX59" s="951"/>
      <c r="EY59" s="952"/>
    </row>
    <row r="60" spans="1:158" s="927" customFormat="1" ht="15.75" x14ac:dyDescent="0.25">
      <c r="A60" s="931"/>
      <c r="B60" s="932" t="s">
        <v>406</v>
      </c>
      <c r="C60" s="933"/>
      <c r="D60" s="933"/>
      <c r="E60" s="934"/>
      <c r="F60" s="935"/>
      <c r="G60" s="934"/>
      <c r="H60" s="935"/>
      <c r="I60" s="936"/>
      <c r="J60" s="937"/>
      <c r="K60" s="938"/>
      <c r="L60" s="936"/>
      <c r="M60" s="937"/>
      <c r="N60" s="938"/>
      <c r="O60" s="936"/>
      <c r="P60" s="937"/>
      <c r="Q60" s="938"/>
      <c r="R60" s="936"/>
      <c r="S60" s="937"/>
      <c r="T60" s="938"/>
      <c r="U60" s="936"/>
      <c r="V60" s="937"/>
      <c r="W60" s="938"/>
      <c r="X60" s="936"/>
      <c r="Y60" s="937"/>
      <c r="Z60" s="938"/>
      <c r="AA60" s="936"/>
      <c r="AB60" s="937"/>
      <c r="AC60" s="938"/>
      <c r="AD60" s="936"/>
      <c r="AE60" s="937"/>
      <c r="AF60" s="938"/>
      <c r="AG60" s="936"/>
      <c r="AH60" s="937"/>
      <c r="AI60" s="938"/>
      <c r="AJ60" s="936"/>
      <c r="AK60" s="937"/>
      <c r="AL60" s="938"/>
      <c r="AM60" s="936"/>
      <c r="AN60" s="933"/>
      <c r="AO60" s="936"/>
      <c r="AP60" s="933"/>
      <c r="AQ60" s="935"/>
      <c r="AR60" s="936"/>
      <c r="AS60" s="935"/>
      <c r="AT60" s="939"/>
      <c r="AU60" s="933"/>
      <c r="AV60" s="940"/>
      <c r="AW60" s="336">
        <f>AW55/I49</f>
        <v>1.4790300000000001</v>
      </c>
      <c r="AX60" s="939"/>
      <c r="AY60" s="939"/>
      <c r="AZ60" s="941"/>
      <c r="BA60" s="941"/>
      <c r="BB60" s="941"/>
      <c r="BC60" s="934"/>
      <c r="BD60" s="941"/>
      <c r="BE60" s="941"/>
      <c r="BF60" s="941"/>
      <c r="BG60" s="942"/>
      <c r="BH60" s="941"/>
      <c r="BI60" s="941"/>
      <c r="BJ60" s="941"/>
      <c r="BK60" s="943"/>
      <c r="BL60" s="943"/>
      <c r="BM60" s="943"/>
      <c r="BN60" s="943"/>
      <c r="BO60" s="943"/>
      <c r="BP60" s="944"/>
      <c r="BQ60" s="943"/>
      <c r="BR60" s="943"/>
      <c r="BS60" s="943"/>
      <c r="BU60" s="945"/>
      <c r="BV60" s="946"/>
      <c r="BW60" s="947"/>
      <c r="BX60" s="945"/>
      <c r="BY60" s="947"/>
      <c r="BZ60" s="946"/>
      <c r="CA60" s="947"/>
      <c r="CB60" s="946"/>
      <c r="CC60" s="947"/>
      <c r="CD60" s="947"/>
      <c r="CE60" s="947"/>
      <c r="CF60" s="948"/>
      <c r="CG60" s="949"/>
      <c r="CH60" s="949"/>
      <c r="CI60" s="950"/>
      <c r="CJ60" s="951"/>
      <c r="CK60" s="951"/>
      <c r="CL60" s="952"/>
      <c r="CM60" s="951"/>
      <c r="CN60" s="951"/>
      <c r="CO60" s="952"/>
      <c r="CP60" s="951"/>
      <c r="CQ60" s="951"/>
      <c r="CR60" s="952"/>
      <c r="CS60" s="946"/>
      <c r="CT60" s="953"/>
      <c r="CU60" s="953"/>
      <c r="CV60" s="953"/>
      <c r="CX60" s="951"/>
      <c r="CY60" s="951"/>
      <c r="CZ60" s="952"/>
      <c r="DB60" s="954"/>
      <c r="DC60" s="954"/>
      <c r="DD60" s="921"/>
      <c r="DE60" s="954"/>
      <c r="DF60" s="954"/>
      <c r="DG60" s="921"/>
      <c r="DH60" s="954"/>
      <c r="DI60" s="954"/>
      <c r="DJ60" s="921"/>
      <c r="DK60" s="954"/>
      <c r="DL60" s="954"/>
      <c r="DM60" s="921"/>
      <c r="DN60" s="954"/>
      <c r="DO60" s="954"/>
      <c r="DP60" s="921"/>
      <c r="DQ60" s="942"/>
      <c r="DR60" s="951"/>
      <c r="DS60" s="951"/>
      <c r="DT60" s="952"/>
      <c r="DV60" s="921"/>
      <c r="DW60" s="921"/>
      <c r="DX60" s="921"/>
      <c r="DY60" s="921"/>
      <c r="DZ60" s="921"/>
      <c r="EA60" s="921"/>
      <c r="EB60" s="921"/>
      <c r="EC60" s="921"/>
      <c r="ED60" s="921"/>
      <c r="EE60" s="921"/>
      <c r="EF60" s="921"/>
      <c r="EG60" s="921"/>
      <c r="EH60" s="921"/>
      <c r="EI60" s="921"/>
      <c r="EJ60" s="921"/>
      <c r="EK60" s="921"/>
      <c r="EL60" s="921"/>
      <c r="EM60" s="921"/>
      <c r="EN60" s="921"/>
      <c r="EO60" s="921"/>
      <c r="EP60" s="921"/>
      <c r="EQ60" s="954"/>
      <c r="ER60" s="954"/>
      <c r="ES60" s="954"/>
      <c r="ET60" s="954"/>
      <c r="EV60" s="942"/>
      <c r="EW60" s="951"/>
      <c r="EX60" s="951"/>
      <c r="EY60" s="952"/>
    </row>
    <row r="61" spans="1:158" s="927" customFormat="1" ht="15.75" x14ac:dyDescent="0.25">
      <c r="A61" s="931"/>
      <c r="B61" s="932" t="s">
        <v>498</v>
      </c>
      <c r="C61" s="933"/>
      <c r="D61" s="933"/>
      <c r="E61" s="934"/>
      <c r="F61" s="935"/>
      <c r="G61" s="934"/>
      <c r="H61" s="935"/>
      <c r="I61" s="936"/>
      <c r="J61" s="937"/>
      <c r="K61" s="938"/>
      <c r="L61" s="936"/>
      <c r="M61" s="937"/>
      <c r="N61" s="938"/>
      <c r="O61" s="936"/>
      <c r="P61" s="937"/>
      <c r="Q61" s="938"/>
      <c r="R61" s="936"/>
      <c r="S61" s="937"/>
      <c r="T61" s="938"/>
      <c r="U61" s="936"/>
      <c r="V61" s="937"/>
      <c r="W61" s="938"/>
      <c r="X61" s="936"/>
      <c r="Y61" s="937"/>
      <c r="Z61" s="938"/>
      <c r="AA61" s="936"/>
      <c r="AB61" s="937"/>
      <c r="AC61" s="938"/>
      <c r="AD61" s="936"/>
      <c r="AE61" s="937"/>
      <c r="AF61" s="938"/>
      <c r="AG61" s="936"/>
      <c r="AH61" s="937"/>
      <c r="AI61" s="938"/>
      <c r="AJ61" s="936"/>
      <c r="AK61" s="937"/>
      <c r="AL61" s="938"/>
      <c r="AM61" s="936"/>
      <c r="AN61" s="933"/>
      <c r="AO61" s="936"/>
      <c r="AP61" s="933"/>
      <c r="AQ61" s="935"/>
      <c r="AR61" s="936"/>
      <c r="AS61" s="935"/>
      <c r="AT61" s="939"/>
      <c r="AU61" s="933"/>
      <c r="AV61" s="940"/>
      <c r="AW61" s="986"/>
      <c r="AX61" s="939"/>
      <c r="AY61" s="939"/>
      <c r="AZ61" s="941"/>
      <c r="BA61" s="941"/>
      <c r="BB61" s="941"/>
      <c r="BC61" s="934"/>
      <c r="BD61" s="941"/>
      <c r="BE61" s="941"/>
      <c r="BF61" s="941"/>
      <c r="BG61" s="942"/>
      <c r="BH61" s="941"/>
      <c r="BI61" s="941"/>
      <c r="BJ61" s="941"/>
      <c r="BK61" s="943"/>
      <c r="BL61" s="943"/>
      <c r="BM61" s="943"/>
      <c r="BN61" s="943"/>
      <c r="BO61" s="943"/>
      <c r="BP61" s="944"/>
      <c r="BQ61" s="943"/>
      <c r="BR61" s="943"/>
      <c r="BS61" s="943"/>
      <c r="BU61" s="945"/>
      <c r="BV61" s="946"/>
      <c r="BW61" s="947"/>
      <c r="BX61" s="945"/>
      <c r="BY61" s="947"/>
      <c r="BZ61" s="946"/>
      <c r="CA61" s="947"/>
      <c r="CB61" s="946"/>
      <c r="CC61" s="947"/>
      <c r="CD61" s="947"/>
      <c r="CE61" s="947"/>
      <c r="CF61" s="948"/>
      <c r="CG61" s="949"/>
      <c r="CH61" s="949"/>
      <c r="CI61" s="950"/>
      <c r="CJ61" s="951"/>
      <c r="CK61" s="951"/>
      <c r="CL61" s="952"/>
      <c r="CM61" s="951"/>
      <c r="CN61" s="951"/>
      <c r="CO61" s="952"/>
      <c r="CP61" s="951"/>
      <c r="CQ61" s="951"/>
      <c r="CR61" s="952"/>
      <c r="CS61" s="946"/>
      <c r="CT61" s="953"/>
      <c r="CU61" s="953"/>
      <c r="CV61" s="953"/>
      <c r="CX61" s="951"/>
      <c r="CY61" s="951"/>
      <c r="CZ61" s="952"/>
      <c r="DB61" s="954"/>
      <c r="DC61" s="954"/>
      <c r="DD61" s="921"/>
      <c r="DE61" s="954"/>
      <c r="DF61" s="954"/>
      <c r="DG61" s="921"/>
      <c r="DH61" s="954"/>
      <c r="DI61" s="954"/>
      <c r="DJ61" s="921"/>
      <c r="DK61" s="954"/>
      <c r="DL61" s="954"/>
      <c r="DM61" s="921"/>
      <c r="DN61" s="954"/>
      <c r="DO61" s="954"/>
      <c r="DP61" s="921"/>
      <c r="DQ61" s="942"/>
      <c r="DR61" s="951"/>
      <c r="DS61" s="951"/>
      <c r="DT61" s="952"/>
      <c r="DV61" s="921"/>
      <c r="DW61" s="921"/>
      <c r="DX61" s="921"/>
      <c r="DY61" s="921"/>
      <c r="DZ61" s="921"/>
      <c r="EA61" s="921"/>
      <c r="EB61" s="921"/>
      <c r="EC61" s="921"/>
      <c r="ED61" s="921"/>
      <c r="EE61" s="921"/>
      <c r="EF61" s="921"/>
      <c r="EG61" s="921"/>
      <c r="EH61" s="921"/>
      <c r="EI61" s="921"/>
      <c r="EJ61" s="921"/>
      <c r="EK61" s="921"/>
      <c r="EL61" s="921"/>
      <c r="EM61" s="921"/>
      <c r="EN61" s="921"/>
      <c r="EO61" s="921"/>
      <c r="EP61" s="921"/>
      <c r="EQ61" s="954"/>
      <c r="ER61" s="954"/>
      <c r="ES61" s="954"/>
      <c r="ET61" s="954"/>
      <c r="EV61" s="942"/>
      <c r="EW61" s="951"/>
      <c r="EX61" s="951"/>
      <c r="EY61" s="952"/>
    </row>
    <row r="62" spans="1:158" s="927" customFormat="1" ht="15.75" x14ac:dyDescent="0.25">
      <c r="A62" s="931"/>
      <c r="B62" s="932" t="s">
        <v>403</v>
      </c>
      <c r="C62" s="933"/>
      <c r="D62" s="933"/>
      <c r="E62" s="934"/>
      <c r="F62" s="935"/>
      <c r="G62" s="934"/>
      <c r="H62" s="935"/>
      <c r="I62" s="936"/>
      <c r="J62" s="937"/>
      <c r="K62" s="938"/>
      <c r="L62" s="936"/>
      <c r="M62" s="937"/>
      <c r="N62" s="938"/>
      <c r="O62" s="936"/>
      <c r="P62" s="937"/>
      <c r="Q62" s="938"/>
      <c r="R62" s="936"/>
      <c r="S62" s="937"/>
      <c r="T62" s="938"/>
      <c r="U62" s="936"/>
      <c r="V62" s="937"/>
      <c r="W62" s="938"/>
      <c r="X62" s="936"/>
      <c r="Y62" s="937"/>
      <c r="Z62" s="938"/>
      <c r="AA62" s="936"/>
      <c r="AB62" s="937"/>
      <c r="AC62" s="938"/>
      <c r="AD62" s="936"/>
      <c r="AE62" s="937"/>
      <c r="AF62" s="938"/>
      <c r="AG62" s="936"/>
      <c r="AH62" s="937"/>
      <c r="AI62" s="938"/>
      <c r="AJ62" s="936"/>
      <c r="AK62" s="937"/>
      <c r="AL62" s="938"/>
      <c r="AM62" s="936"/>
      <c r="AN62" s="933"/>
      <c r="AO62" s="936"/>
      <c r="AP62" s="933"/>
      <c r="AQ62" s="935"/>
      <c r="AR62" s="936"/>
      <c r="AS62" s="935"/>
      <c r="AT62" s="939"/>
      <c r="AU62" s="933"/>
      <c r="AV62" s="940"/>
      <c r="AW62" s="337">
        <f>AW56/AW55</f>
        <v>0.29218</v>
      </c>
      <c r="AX62" s="939"/>
      <c r="AY62" s="939"/>
      <c r="AZ62" s="941"/>
      <c r="BA62" s="941"/>
      <c r="BB62" s="941"/>
      <c r="BC62" s="934"/>
      <c r="BD62" s="941"/>
      <c r="BE62" s="941"/>
      <c r="BF62" s="941"/>
      <c r="BG62" s="942"/>
      <c r="BH62" s="941"/>
      <c r="BI62" s="941"/>
      <c r="BJ62" s="941"/>
      <c r="BK62" s="943"/>
      <c r="BL62" s="943"/>
      <c r="BM62" s="943"/>
      <c r="BN62" s="943"/>
      <c r="BO62" s="943"/>
      <c r="BP62" s="944"/>
      <c r="BQ62" s="943"/>
      <c r="BR62" s="943"/>
      <c r="BS62" s="943"/>
      <c r="BU62" s="945"/>
      <c r="BV62" s="946"/>
      <c r="BW62" s="947"/>
      <c r="BX62" s="945"/>
      <c r="BY62" s="947"/>
      <c r="BZ62" s="946"/>
      <c r="CA62" s="947"/>
      <c r="CB62" s="946"/>
      <c r="CC62" s="947"/>
      <c r="CD62" s="947"/>
      <c r="CE62" s="947"/>
      <c r="CF62" s="948"/>
      <c r="CG62" s="949"/>
      <c r="CH62" s="949"/>
      <c r="CI62" s="950"/>
      <c r="CJ62" s="951"/>
      <c r="CK62" s="951"/>
      <c r="CL62" s="952"/>
      <c r="CM62" s="951"/>
      <c r="CN62" s="951"/>
      <c r="CO62" s="952"/>
      <c r="CP62" s="951"/>
      <c r="CQ62" s="951"/>
      <c r="CR62" s="952"/>
      <c r="CS62" s="946"/>
      <c r="CT62" s="953"/>
      <c r="CU62" s="953"/>
      <c r="CV62" s="953"/>
      <c r="CX62" s="951"/>
      <c r="CY62" s="951"/>
      <c r="CZ62" s="952"/>
      <c r="DB62" s="954"/>
      <c r="DC62" s="954"/>
      <c r="DD62" s="921"/>
      <c r="DE62" s="954"/>
      <c r="DF62" s="954"/>
      <c r="DG62" s="921"/>
      <c r="DH62" s="954"/>
      <c r="DI62" s="954"/>
      <c r="DJ62" s="921"/>
      <c r="DK62" s="954"/>
      <c r="DL62" s="954"/>
      <c r="DM62" s="921"/>
      <c r="DN62" s="954"/>
      <c r="DO62" s="954"/>
      <c r="DP62" s="921"/>
      <c r="DQ62" s="942"/>
      <c r="DR62" s="951"/>
      <c r="DS62" s="951"/>
      <c r="DT62" s="952"/>
      <c r="DV62" s="921"/>
      <c r="DW62" s="921"/>
      <c r="DX62" s="921"/>
      <c r="DY62" s="921"/>
      <c r="DZ62" s="921"/>
      <c r="EA62" s="921"/>
      <c r="EB62" s="921"/>
      <c r="EC62" s="921"/>
      <c r="ED62" s="921"/>
      <c r="EE62" s="921"/>
      <c r="EF62" s="921"/>
      <c r="EG62" s="921"/>
      <c r="EH62" s="921"/>
      <c r="EI62" s="921"/>
      <c r="EJ62" s="921"/>
      <c r="EK62" s="921"/>
      <c r="EL62" s="921"/>
      <c r="EM62" s="921"/>
      <c r="EN62" s="921"/>
      <c r="EO62" s="921"/>
      <c r="EP62" s="921"/>
      <c r="EQ62" s="954"/>
      <c r="ER62" s="954"/>
      <c r="ES62" s="954"/>
      <c r="ET62" s="954"/>
      <c r="EV62" s="942"/>
      <c r="EW62" s="951"/>
      <c r="EX62" s="951"/>
      <c r="EY62" s="952"/>
    </row>
    <row r="63" spans="1:158" s="927" customFormat="1" ht="15.75" x14ac:dyDescent="0.25">
      <c r="A63" s="931"/>
      <c r="B63" s="932" t="s">
        <v>404</v>
      </c>
      <c r="C63" s="933"/>
      <c r="D63" s="933"/>
      <c r="E63" s="934"/>
      <c r="F63" s="935"/>
      <c r="G63" s="934"/>
      <c r="H63" s="935"/>
      <c r="I63" s="936"/>
      <c r="J63" s="937"/>
      <c r="K63" s="938"/>
      <c r="L63" s="936"/>
      <c r="M63" s="937"/>
      <c r="N63" s="938"/>
      <c r="O63" s="936"/>
      <c r="P63" s="937"/>
      <c r="Q63" s="938"/>
      <c r="R63" s="936"/>
      <c r="S63" s="937"/>
      <c r="T63" s="938"/>
      <c r="U63" s="936"/>
      <c r="V63" s="937"/>
      <c r="W63" s="938"/>
      <c r="X63" s="936"/>
      <c r="Y63" s="937"/>
      <c r="Z63" s="938"/>
      <c r="AA63" s="936"/>
      <c r="AB63" s="937"/>
      <c r="AC63" s="938"/>
      <c r="AD63" s="936"/>
      <c r="AE63" s="937"/>
      <c r="AF63" s="938"/>
      <c r="AG63" s="936"/>
      <c r="AH63" s="937"/>
      <c r="AI63" s="938"/>
      <c r="AJ63" s="936"/>
      <c r="AK63" s="937"/>
      <c r="AL63" s="938"/>
      <c r="AM63" s="936"/>
      <c r="AN63" s="933"/>
      <c r="AO63" s="936"/>
      <c r="AP63" s="933"/>
      <c r="AQ63" s="935"/>
      <c r="AR63" s="936"/>
      <c r="AS63" s="935"/>
      <c r="AT63" s="939"/>
      <c r="AU63" s="933"/>
      <c r="AV63" s="940"/>
      <c r="AW63" s="338">
        <f>AW57/AW55</f>
        <v>0.45934000000000003</v>
      </c>
      <c r="AX63" s="939"/>
      <c r="AY63" s="939"/>
      <c r="AZ63" s="941"/>
      <c r="BA63" s="941"/>
      <c r="BB63" s="941"/>
      <c r="BC63" s="934"/>
      <c r="BD63" s="941"/>
      <c r="BE63" s="941"/>
      <c r="BF63" s="941"/>
      <c r="BG63" s="942"/>
      <c r="BH63" s="941"/>
      <c r="BI63" s="941"/>
      <c r="BJ63" s="941"/>
      <c r="BK63" s="943"/>
      <c r="BL63" s="943"/>
      <c r="BM63" s="943"/>
      <c r="BN63" s="943"/>
      <c r="BO63" s="943"/>
      <c r="BP63" s="944"/>
      <c r="BQ63" s="943"/>
      <c r="BR63" s="943"/>
      <c r="BS63" s="943"/>
      <c r="BU63" s="945"/>
      <c r="BV63" s="946"/>
      <c r="BW63" s="947"/>
      <c r="BX63" s="945"/>
      <c r="BY63" s="947"/>
      <c r="BZ63" s="946"/>
      <c r="CA63" s="947"/>
      <c r="CB63" s="946"/>
      <c r="CC63" s="947"/>
      <c r="CD63" s="947"/>
      <c r="CE63" s="947"/>
      <c r="CF63" s="948"/>
      <c r="CG63" s="949"/>
      <c r="CH63" s="949"/>
      <c r="CI63" s="950"/>
      <c r="CJ63" s="951"/>
      <c r="CK63" s="951"/>
      <c r="CL63" s="952"/>
      <c r="CM63" s="951"/>
      <c r="CN63" s="951"/>
      <c r="CO63" s="952"/>
      <c r="CP63" s="951"/>
      <c r="CQ63" s="951"/>
      <c r="CR63" s="952"/>
      <c r="CS63" s="946"/>
      <c r="CT63" s="953"/>
      <c r="CU63" s="953"/>
      <c r="CV63" s="953"/>
      <c r="CX63" s="951"/>
      <c r="CY63" s="951"/>
      <c r="CZ63" s="952"/>
      <c r="DB63" s="954"/>
      <c r="DC63" s="954"/>
      <c r="DD63" s="921"/>
      <c r="DE63" s="954"/>
      <c r="DF63" s="954"/>
      <c r="DG63" s="921"/>
      <c r="DH63" s="954"/>
      <c r="DI63" s="954"/>
      <c r="DJ63" s="921"/>
      <c r="DK63" s="954"/>
      <c r="DL63" s="954"/>
      <c r="DM63" s="921"/>
      <c r="DN63" s="954"/>
      <c r="DO63" s="954"/>
      <c r="DP63" s="921"/>
      <c r="DQ63" s="942"/>
      <c r="DR63" s="951"/>
      <c r="DS63" s="951"/>
      <c r="DT63" s="952"/>
      <c r="DV63" s="921"/>
      <c r="DW63" s="921"/>
      <c r="DX63" s="921"/>
      <c r="DY63" s="921"/>
      <c r="DZ63" s="921"/>
      <c r="EA63" s="921"/>
      <c r="EB63" s="921"/>
      <c r="EC63" s="921"/>
      <c r="ED63" s="921"/>
      <c r="EE63" s="921"/>
      <c r="EF63" s="921"/>
      <c r="EG63" s="921"/>
      <c r="EH63" s="921"/>
      <c r="EI63" s="921"/>
      <c r="EJ63" s="921"/>
      <c r="EK63" s="921"/>
      <c r="EL63" s="921"/>
      <c r="EM63" s="921"/>
      <c r="EN63" s="921"/>
      <c r="EO63" s="921"/>
      <c r="EP63" s="921"/>
      <c r="EQ63" s="954"/>
      <c r="ER63" s="954"/>
      <c r="ES63" s="954"/>
      <c r="ET63" s="954"/>
      <c r="EV63" s="942"/>
      <c r="EW63" s="951"/>
      <c r="EX63" s="951"/>
      <c r="EY63" s="952"/>
    </row>
    <row r="64" spans="1:158" s="927" customFormat="1" ht="15.75" x14ac:dyDescent="0.25">
      <c r="A64" s="931"/>
      <c r="B64" s="932" t="s">
        <v>405</v>
      </c>
      <c r="C64" s="933"/>
      <c r="D64" s="933"/>
      <c r="E64" s="934"/>
      <c r="F64" s="935"/>
      <c r="G64" s="934"/>
      <c r="H64" s="935"/>
      <c r="I64" s="936"/>
      <c r="J64" s="937"/>
      <c r="K64" s="938"/>
      <c r="L64" s="936"/>
      <c r="M64" s="937"/>
      <c r="N64" s="938"/>
      <c r="O64" s="936"/>
      <c r="P64" s="937"/>
      <c r="Q64" s="938"/>
      <c r="R64" s="936"/>
      <c r="S64" s="937"/>
      <c r="T64" s="938"/>
      <c r="U64" s="936"/>
      <c r="V64" s="937"/>
      <c r="W64" s="938"/>
      <c r="X64" s="936"/>
      <c r="Y64" s="937"/>
      <c r="Z64" s="938"/>
      <c r="AA64" s="936"/>
      <c r="AB64" s="937"/>
      <c r="AC64" s="938"/>
      <c r="AD64" s="936"/>
      <c r="AE64" s="937"/>
      <c r="AF64" s="938"/>
      <c r="AG64" s="936"/>
      <c r="AH64" s="937"/>
      <c r="AI64" s="938"/>
      <c r="AJ64" s="936"/>
      <c r="AK64" s="937"/>
      <c r="AL64" s="938"/>
      <c r="AM64" s="936"/>
      <c r="AN64" s="933"/>
      <c r="AO64" s="936"/>
      <c r="AP64" s="933"/>
      <c r="AQ64" s="935"/>
      <c r="AR64" s="936"/>
      <c r="AS64" s="935"/>
      <c r="AT64" s="939"/>
      <c r="AU64" s="933"/>
      <c r="AV64" s="940"/>
      <c r="AW64" s="339">
        <f>AW58/AW55</f>
        <v>8.1530000000000005E-2</v>
      </c>
      <c r="AX64" s="939"/>
      <c r="AY64" s="939"/>
      <c r="AZ64" s="941"/>
      <c r="BA64" s="941"/>
      <c r="BB64" s="941"/>
      <c r="BC64" s="934"/>
      <c r="BD64" s="941"/>
      <c r="BE64" s="941"/>
      <c r="BF64" s="941"/>
      <c r="BG64" s="942"/>
      <c r="BH64" s="941"/>
      <c r="BI64" s="941"/>
      <c r="BJ64" s="941"/>
      <c r="BK64" s="943"/>
      <c r="BL64" s="943"/>
      <c r="BM64" s="943"/>
      <c r="BN64" s="943"/>
      <c r="BO64" s="943"/>
      <c r="BP64" s="944"/>
      <c r="BQ64" s="943"/>
      <c r="BR64" s="943"/>
      <c r="BS64" s="943"/>
      <c r="BU64" s="945"/>
      <c r="BV64" s="946"/>
      <c r="BW64" s="947"/>
      <c r="BX64" s="945"/>
      <c r="BY64" s="947"/>
      <c r="BZ64" s="946"/>
      <c r="CA64" s="947"/>
      <c r="CB64" s="946"/>
      <c r="CC64" s="947"/>
      <c r="CD64" s="947"/>
      <c r="CE64" s="947"/>
      <c r="CF64" s="948"/>
      <c r="CG64" s="949"/>
      <c r="CH64" s="949"/>
      <c r="CI64" s="950"/>
      <c r="CJ64" s="951"/>
      <c r="CK64" s="951"/>
      <c r="CL64" s="952"/>
      <c r="CM64" s="951"/>
      <c r="CN64" s="951"/>
      <c r="CO64" s="952"/>
      <c r="CP64" s="951"/>
      <c r="CQ64" s="951"/>
      <c r="CR64" s="952"/>
      <c r="CS64" s="946"/>
      <c r="CT64" s="953"/>
      <c r="CU64" s="953"/>
      <c r="CV64" s="953"/>
      <c r="CX64" s="951"/>
      <c r="CY64" s="951"/>
      <c r="CZ64" s="952"/>
      <c r="DB64" s="954"/>
      <c r="DC64" s="954"/>
      <c r="DD64" s="921"/>
      <c r="DE64" s="954"/>
      <c r="DF64" s="954"/>
      <c r="DG64" s="921"/>
      <c r="DH64" s="954"/>
      <c r="DI64" s="954"/>
      <c r="DJ64" s="921"/>
      <c r="DK64" s="954"/>
      <c r="DL64" s="954"/>
      <c r="DM64" s="921"/>
      <c r="DN64" s="954"/>
      <c r="DO64" s="954"/>
      <c r="DP64" s="921"/>
      <c r="DQ64" s="942"/>
      <c r="DR64" s="951"/>
      <c r="DS64" s="951"/>
      <c r="DT64" s="952"/>
      <c r="DV64" s="921"/>
      <c r="DW64" s="921"/>
      <c r="DX64" s="921"/>
      <c r="DY64" s="921"/>
      <c r="DZ64" s="921"/>
      <c r="EA64" s="921"/>
      <c r="EB64" s="921"/>
      <c r="EC64" s="921"/>
      <c r="ED64" s="921"/>
      <c r="EE64" s="921"/>
      <c r="EF64" s="921"/>
      <c r="EG64" s="921"/>
      <c r="EH64" s="921"/>
      <c r="EI64" s="921"/>
      <c r="EJ64" s="921"/>
      <c r="EK64" s="921"/>
      <c r="EL64" s="921"/>
      <c r="EM64" s="921"/>
      <c r="EN64" s="921"/>
      <c r="EO64" s="921"/>
      <c r="EP64" s="921"/>
      <c r="EQ64" s="954"/>
      <c r="ER64" s="954"/>
      <c r="ES64" s="954"/>
      <c r="ET64" s="954"/>
      <c r="EV64" s="942"/>
      <c r="EW64" s="951"/>
      <c r="EX64" s="951"/>
      <c r="EY64" s="952"/>
    </row>
    <row r="65" spans="1:155" s="927" customFormat="1" ht="15.75" x14ac:dyDescent="0.25">
      <c r="A65" s="931"/>
      <c r="B65" s="932" t="s">
        <v>807</v>
      </c>
      <c r="C65" s="933"/>
      <c r="D65" s="933"/>
      <c r="E65" s="934"/>
      <c r="F65" s="935"/>
      <c r="G65" s="934"/>
      <c r="H65" s="935"/>
      <c r="I65" s="936"/>
      <c r="J65" s="937"/>
      <c r="K65" s="938"/>
      <c r="L65" s="936"/>
      <c r="M65" s="937"/>
      <c r="N65" s="938"/>
      <c r="O65" s="936"/>
      <c r="P65" s="937"/>
      <c r="Q65" s="938"/>
      <c r="R65" s="936"/>
      <c r="S65" s="937"/>
      <c r="T65" s="938"/>
      <c r="U65" s="936"/>
      <c r="V65" s="937"/>
      <c r="W65" s="938"/>
      <c r="X65" s="936"/>
      <c r="Y65" s="937"/>
      <c r="Z65" s="938"/>
      <c r="AA65" s="936"/>
      <c r="AB65" s="937"/>
      <c r="AC65" s="938"/>
      <c r="AD65" s="936"/>
      <c r="AE65" s="937"/>
      <c r="AF65" s="938"/>
      <c r="AG65" s="936"/>
      <c r="AH65" s="937"/>
      <c r="AI65" s="938"/>
      <c r="AJ65" s="936"/>
      <c r="AK65" s="937"/>
      <c r="AL65" s="938"/>
      <c r="AM65" s="936"/>
      <c r="AN65" s="933"/>
      <c r="AO65" s="936"/>
      <c r="AP65" s="933"/>
      <c r="AQ65" s="935"/>
      <c r="AR65" s="936"/>
      <c r="AS65" s="935"/>
      <c r="AT65" s="939"/>
      <c r="AU65" s="933"/>
      <c r="AV65" s="940"/>
      <c r="AW65" s="335">
        <f>(AW48/12)/AW54</f>
        <v>1.1772400000000001</v>
      </c>
      <c r="AX65" s="939"/>
      <c r="AY65" s="939"/>
      <c r="AZ65" s="941"/>
      <c r="BA65" s="941"/>
      <c r="BB65" s="941"/>
      <c r="BC65" s="934"/>
      <c r="BD65" s="941"/>
      <c r="BE65" s="941"/>
      <c r="BF65" s="941"/>
      <c r="BG65" s="942"/>
      <c r="BH65" s="941"/>
      <c r="BI65" s="941"/>
      <c r="BJ65" s="941"/>
      <c r="BK65" s="943"/>
      <c r="BL65" s="943"/>
      <c r="BM65" s="943"/>
      <c r="BN65" s="943"/>
      <c r="BO65" s="943"/>
      <c r="BP65" s="944"/>
      <c r="BQ65" s="943"/>
      <c r="BR65" s="943"/>
      <c r="BS65" s="943"/>
      <c r="BU65" s="945"/>
      <c r="BV65" s="946"/>
      <c r="BW65" s="947"/>
      <c r="BX65" s="945"/>
      <c r="BY65" s="947"/>
      <c r="BZ65" s="946"/>
      <c r="CA65" s="947"/>
      <c r="CB65" s="946"/>
      <c r="CC65" s="947"/>
      <c r="CD65" s="947"/>
      <c r="CE65" s="947"/>
      <c r="CF65" s="948"/>
      <c r="CG65" s="949"/>
      <c r="CH65" s="949"/>
      <c r="CI65" s="950"/>
      <c r="CJ65" s="951"/>
      <c r="CK65" s="951"/>
      <c r="CL65" s="952"/>
      <c r="CM65" s="951"/>
      <c r="CN65" s="951"/>
      <c r="CO65" s="952"/>
      <c r="CP65" s="951"/>
      <c r="CQ65" s="951"/>
      <c r="CR65" s="952"/>
      <c r="CS65" s="946"/>
      <c r="CT65" s="953"/>
      <c r="CU65" s="953"/>
      <c r="CV65" s="953"/>
      <c r="CX65" s="951"/>
      <c r="CY65" s="951"/>
      <c r="CZ65" s="952"/>
      <c r="DB65" s="954"/>
      <c r="DC65" s="954"/>
      <c r="DD65" s="921"/>
      <c r="DE65" s="954"/>
      <c r="DF65" s="954"/>
      <c r="DG65" s="921"/>
      <c r="DH65" s="954"/>
      <c r="DI65" s="954"/>
      <c r="DJ65" s="921"/>
      <c r="DK65" s="954"/>
      <c r="DL65" s="954"/>
      <c r="DM65" s="921"/>
      <c r="DN65" s="954"/>
      <c r="DO65" s="954"/>
      <c r="DP65" s="921"/>
      <c r="DQ65" s="942"/>
      <c r="DR65" s="951"/>
      <c r="DS65" s="951"/>
      <c r="DT65" s="952"/>
      <c r="DV65" s="921"/>
      <c r="DW65" s="921"/>
      <c r="DX65" s="921"/>
      <c r="DY65" s="921"/>
      <c r="DZ65" s="921"/>
      <c r="EA65" s="921"/>
      <c r="EB65" s="921"/>
      <c r="EC65" s="921"/>
      <c r="ED65" s="921"/>
      <c r="EE65" s="921"/>
      <c r="EF65" s="921"/>
      <c r="EG65" s="921"/>
      <c r="EH65" s="921"/>
      <c r="EI65" s="921"/>
      <c r="EJ65" s="921"/>
      <c r="EK65" s="921"/>
      <c r="EL65" s="921"/>
      <c r="EM65" s="921"/>
      <c r="EN65" s="921"/>
      <c r="EO65" s="921"/>
      <c r="EP65" s="921"/>
      <c r="EQ65" s="954"/>
      <c r="ER65" s="954"/>
      <c r="ES65" s="954"/>
      <c r="ET65" s="954"/>
      <c r="EV65" s="942"/>
      <c r="EW65" s="951"/>
      <c r="EX65" s="951"/>
      <c r="EY65" s="952"/>
    </row>
    <row r="66" spans="1:155" s="927" customFormat="1" ht="15.75" x14ac:dyDescent="0.25">
      <c r="A66" s="931"/>
      <c r="B66" s="932"/>
      <c r="C66" s="933"/>
      <c r="D66" s="933"/>
      <c r="E66" s="934"/>
      <c r="F66" s="935"/>
      <c r="G66" s="934"/>
      <c r="H66" s="935"/>
      <c r="I66" s="936"/>
      <c r="J66" s="937"/>
      <c r="K66" s="938"/>
      <c r="L66" s="936"/>
      <c r="M66" s="937"/>
      <c r="N66" s="938"/>
      <c r="O66" s="936"/>
      <c r="P66" s="937"/>
      <c r="Q66" s="938"/>
      <c r="R66" s="936"/>
      <c r="S66" s="937"/>
      <c r="T66" s="938"/>
      <c r="U66" s="936"/>
      <c r="V66" s="937"/>
      <c r="W66" s="938"/>
      <c r="X66" s="936"/>
      <c r="Y66" s="937"/>
      <c r="Z66" s="938"/>
      <c r="AA66" s="936"/>
      <c r="AB66" s="937"/>
      <c r="AC66" s="938"/>
      <c r="AD66" s="936"/>
      <c r="AE66" s="937"/>
      <c r="AF66" s="938"/>
      <c r="AG66" s="936"/>
      <c r="AH66" s="937"/>
      <c r="AI66" s="938"/>
      <c r="AJ66" s="936"/>
      <c r="AK66" s="937"/>
      <c r="AL66" s="938"/>
      <c r="AM66" s="936"/>
      <c r="AN66" s="933"/>
      <c r="AO66" s="936"/>
      <c r="AP66" s="933"/>
      <c r="AQ66" s="935"/>
      <c r="AR66" s="936"/>
      <c r="AS66" s="935"/>
      <c r="AT66" s="939"/>
      <c r="AU66" s="933"/>
      <c r="AV66" s="940"/>
      <c r="AW66" s="939"/>
      <c r="AX66" s="939"/>
      <c r="AY66" s="939"/>
      <c r="AZ66" s="941"/>
      <c r="BA66" s="941"/>
      <c r="BB66" s="941"/>
      <c r="BC66" s="934"/>
      <c r="BD66" s="941"/>
      <c r="BE66" s="941"/>
      <c r="BF66" s="941"/>
      <c r="BG66" s="942"/>
      <c r="BH66" s="941"/>
      <c r="BI66" s="941"/>
      <c r="BJ66" s="941"/>
      <c r="BK66" s="943"/>
      <c r="BL66" s="943"/>
      <c r="BM66" s="943"/>
      <c r="BN66" s="943"/>
      <c r="BO66" s="943"/>
      <c r="BP66" s="944"/>
      <c r="BQ66" s="943"/>
      <c r="BR66" s="943"/>
      <c r="BS66" s="943"/>
      <c r="BU66" s="945"/>
      <c r="BV66" s="946"/>
      <c r="BW66" s="947"/>
      <c r="BX66" s="945"/>
      <c r="BY66" s="947"/>
      <c r="BZ66" s="946"/>
      <c r="CA66" s="947"/>
      <c r="CB66" s="946"/>
      <c r="CC66" s="947"/>
      <c r="CD66" s="947"/>
      <c r="CE66" s="947"/>
      <c r="CF66" s="948"/>
      <c r="CG66" s="949"/>
      <c r="CH66" s="949"/>
      <c r="CI66" s="950"/>
      <c r="CJ66" s="951"/>
      <c r="CK66" s="951"/>
      <c r="CL66" s="952"/>
      <c r="CM66" s="951"/>
      <c r="CN66" s="951"/>
      <c r="CO66" s="952"/>
      <c r="CP66" s="951"/>
      <c r="CQ66" s="951"/>
      <c r="CR66" s="952"/>
      <c r="CS66" s="946"/>
      <c r="CT66" s="953"/>
      <c r="CU66" s="953"/>
      <c r="CV66" s="953"/>
      <c r="CX66" s="951"/>
      <c r="CY66" s="951"/>
      <c r="CZ66" s="952"/>
      <c r="DB66" s="954"/>
      <c r="DC66" s="954"/>
      <c r="DD66" s="921"/>
      <c r="DE66" s="954"/>
      <c r="DF66" s="954"/>
      <c r="DG66" s="921"/>
      <c r="DH66" s="954"/>
      <c r="DI66" s="954"/>
      <c r="DJ66" s="921"/>
      <c r="DK66" s="954"/>
      <c r="DL66" s="954"/>
      <c r="DM66" s="921"/>
      <c r="DN66" s="954"/>
      <c r="DO66" s="954"/>
      <c r="DP66" s="921"/>
      <c r="DQ66" s="942"/>
      <c r="DR66" s="951"/>
      <c r="DS66" s="951"/>
      <c r="DT66" s="952"/>
      <c r="DV66" s="921"/>
      <c r="DW66" s="921"/>
      <c r="DX66" s="921"/>
      <c r="DY66" s="921"/>
      <c r="DZ66" s="921"/>
      <c r="EA66" s="921"/>
      <c r="EB66" s="921"/>
      <c r="EC66" s="921"/>
      <c r="ED66" s="921"/>
      <c r="EE66" s="921"/>
      <c r="EF66" s="921"/>
      <c r="EG66" s="921"/>
      <c r="EH66" s="921"/>
      <c r="EI66" s="921"/>
      <c r="EJ66" s="921"/>
      <c r="EK66" s="921"/>
      <c r="EL66" s="921"/>
      <c r="EM66" s="921"/>
      <c r="EN66" s="921"/>
      <c r="EO66" s="921"/>
      <c r="EP66" s="921"/>
      <c r="EQ66" s="954"/>
      <c r="ER66" s="954"/>
      <c r="ES66" s="954"/>
      <c r="ET66" s="954"/>
      <c r="EV66" s="942"/>
      <c r="EW66" s="951"/>
      <c r="EX66" s="951"/>
      <c r="EY66" s="952"/>
    </row>
    <row r="67" spans="1:155" s="927" customFormat="1" ht="20.100000000000001" customHeight="1" x14ac:dyDescent="0.25">
      <c r="A67" s="912" t="s">
        <v>286</v>
      </c>
      <c r="B67" s="913" t="s">
        <v>701</v>
      </c>
      <c r="C67" s="914">
        <v>0.75</v>
      </c>
      <c r="D67" s="914">
        <v>7755</v>
      </c>
      <c r="E67" s="915">
        <v>1.0549999999999999</v>
      </c>
      <c r="F67" s="916">
        <f t="shared" si="0"/>
        <v>8182</v>
      </c>
      <c r="G67" s="915">
        <v>1.01</v>
      </c>
      <c r="H67" s="916">
        <f t="shared" si="1"/>
        <v>8264</v>
      </c>
      <c r="I67" s="917">
        <f t="shared" si="2"/>
        <v>6198</v>
      </c>
      <c r="J67" s="918">
        <f t="shared" si="3"/>
        <v>0</v>
      </c>
      <c r="K67" s="919"/>
      <c r="L67" s="917">
        <f t="shared" si="4"/>
        <v>0</v>
      </c>
      <c r="M67" s="918">
        <f t="shared" si="5"/>
        <v>0</v>
      </c>
      <c r="N67" s="919"/>
      <c r="O67" s="917">
        <f t="shared" si="6"/>
        <v>0</v>
      </c>
      <c r="P67" s="918">
        <f t="shared" si="7"/>
        <v>0</v>
      </c>
      <c r="Q67" s="919"/>
      <c r="R67" s="917">
        <f t="shared" si="8"/>
        <v>0</v>
      </c>
      <c r="S67" s="918">
        <f t="shared" si="9"/>
        <v>0</v>
      </c>
      <c r="T67" s="919"/>
      <c r="U67" s="917">
        <f t="shared" si="10"/>
        <v>0</v>
      </c>
      <c r="V67" s="918">
        <f t="shared" si="11"/>
        <v>0</v>
      </c>
      <c r="W67" s="919"/>
      <c r="X67" s="917">
        <f t="shared" si="12"/>
        <v>0</v>
      </c>
      <c r="Y67" s="918">
        <f t="shared" si="13"/>
        <v>1.99</v>
      </c>
      <c r="Z67" s="919">
        <v>11574.34</v>
      </c>
      <c r="AA67" s="917">
        <f t="shared" si="14"/>
        <v>12334.02</v>
      </c>
      <c r="AB67" s="918">
        <f t="shared" si="15"/>
        <v>0.1</v>
      </c>
      <c r="AC67" s="919">
        <v>581.63</v>
      </c>
      <c r="AD67" s="917">
        <f t="shared" si="16"/>
        <v>619.79999999999995</v>
      </c>
      <c r="AE67" s="918">
        <f t="shared" si="17"/>
        <v>0</v>
      </c>
      <c r="AF67" s="919"/>
      <c r="AG67" s="917">
        <f t="shared" si="18"/>
        <v>0</v>
      </c>
      <c r="AH67" s="918">
        <f t="shared" si="19"/>
        <v>0</v>
      </c>
      <c r="AI67" s="919"/>
      <c r="AJ67" s="917">
        <f t="shared" si="20"/>
        <v>0</v>
      </c>
      <c r="AK67" s="918">
        <f t="shared" si="21"/>
        <v>0</v>
      </c>
      <c r="AL67" s="919"/>
      <c r="AM67" s="917">
        <f t="shared" si="22"/>
        <v>0</v>
      </c>
      <c r="AN67" s="920">
        <v>19242</v>
      </c>
      <c r="AO67" s="917">
        <f t="shared" si="23"/>
        <v>0</v>
      </c>
      <c r="AP67" s="920"/>
      <c r="AQ67" s="916">
        <f t="shared" si="24"/>
        <v>0</v>
      </c>
      <c r="AR67" s="917">
        <f t="shared" si="25"/>
        <v>19151.82</v>
      </c>
      <c r="AS67" s="916">
        <v>12</v>
      </c>
      <c r="AT67" s="921">
        <f t="shared" si="26"/>
        <v>229821.84</v>
      </c>
      <c r="AU67" s="920"/>
      <c r="AV67" s="922">
        <f t="shared" si="27"/>
        <v>2298.2199999999998</v>
      </c>
      <c r="AW67" s="921">
        <f t="shared" si="28"/>
        <v>232120.06</v>
      </c>
      <c r="AX67" s="921">
        <f t="shared" si="29"/>
        <v>70100.259999999995</v>
      </c>
      <c r="AY67" s="921">
        <f t="shared" si="30"/>
        <v>302220.32</v>
      </c>
      <c r="AZ67" s="923">
        <f t="shared" si="31"/>
        <v>232.1</v>
      </c>
      <c r="BA67" s="923">
        <f t="shared" si="32"/>
        <v>70.099999999999994</v>
      </c>
      <c r="BB67" s="923">
        <f t="shared" si="33"/>
        <v>302.2</v>
      </c>
      <c r="BC67" s="915">
        <v>0.95</v>
      </c>
      <c r="BD67" s="923">
        <f t="shared" si="34"/>
        <v>220.5</v>
      </c>
      <c r="BE67" s="923">
        <f t="shared" si="35"/>
        <v>66.599999999999994</v>
      </c>
      <c r="BF67" s="923">
        <f t="shared" si="36"/>
        <v>287.10000000000002</v>
      </c>
      <c r="BG67" s="924">
        <f>'[3]свод (2024)'!$B$116</f>
        <v>0.99758349999999996</v>
      </c>
      <c r="BH67" s="923">
        <f t="shared" si="37"/>
        <v>220</v>
      </c>
      <c r="BI67" s="923">
        <f t="shared" si="38"/>
        <v>66.400000000000006</v>
      </c>
      <c r="BJ67" s="923">
        <f t="shared" si="39"/>
        <v>286.39999999999998</v>
      </c>
      <c r="BK67" s="925">
        <f t="shared" si="40"/>
        <v>-12.1</v>
      </c>
      <c r="BL67" s="925">
        <f t="shared" si="40"/>
        <v>-3.7</v>
      </c>
      <c r="BM67" s="925">
        <f t="shared" si="41"/>
        <v>-15.8</v>
      </c>
      <c r="BN67" s="925">
        <f t="shared" si="42"/>
        <v>0</v>
      </c>
      <c r="BO67" s="925">
        <f t="shared" si="43"/>
        <v>0</v>
      </c>
      <c r="BP67" s="926"/>
      <c r="BQ67" s="925">
        <f t="shared" si="44"/>
        <v>220</v>
      </c>
      <c r="BR67" s="925">
        <f t="shared" si="44"/>
        <v>66.400000000000006</v>
      </c>
      <c r="BS67" s="925">
        <f t="shared" si="45"/>
        <v>286.39999999999998</v>
      </c>
      <c r="BU67" s="928"/>
      <c r="BV67" s="917"/>
      <c r="BW67" s="928"/>
      <c r="BX67" s="928"/>
      <c r="BY67" s="928"/>
      <c r="BZ67" s="917"/>
      <c r="CA67" s="928"/>
      <c r="CB67" s="917"/>
      <c r="CC67" s="928"/>
      <c r="CD67" s="928"/>
      <c r="CE67" s="928"/>
      <c r="CF67" s="929"/>
      <c r="CG67" s="928"/>
      <c r="CH67" s="928"/>
      <c r="CI67" s="928"/>
      <c r="CJ67" s="925"/>
      <c r="CK67" s="925"/>
      <c r="CL67" s="925"/>
      <c r="CM67" s="925"/>
      <c r="CN67" s="925"/>
      <c r="CO67" s="925"/>
      <c r="CP67" s="925"/>
      <c r="CQ67" s="925"/>
      <c r="CR67" s="925"/>
      <c r="CS67" s="917"/>
      <c r="CT67" s="928"/>
      <c r="CU67" s="928"/>
      <c r="CV67" s="928"/>
      <c r="CX67" s="925"/>
      <c r="CY67" s="925"/>
      <c r="CZ67" s="925"/>
      <c r="DB67" s="925"/>
      <c r="DC67" s="925"/>
      <c r="DD67" s="925"/>
      <c r="DE67" s="925"/>
      <c r="DF67" s="925"/>
      <c r="DG67" s="925"/>
      <c r="DH67" s="925"/>
      <c r="DI67" s="925"/>
      <c r="DJ67" s="925"/>
      <c r="DK67" s="925"/>
      <c r="DL67" s="925"/>
      <c r="DM67" s="925"/>
      <c r="DN67" s="925"/>
      <c r="DO67" s="925"/>
      <c r="DP67" s="925"/>
      <c r="DQ67" s="924"/>
      <c r="DR67" s="925"/>
      <c r="DS67" s="925"/>
      <c r="DT67" s="925"/>
      <c r="DV67" s="925"/>
      <c r="DW67" s="925"/>
      <c r="DX67" s="925"/>
      <c r="DY67" s="925"/>
      <c r="DZ67" s="925"/>
      <c r="EA67" s="925"/>
      <c r="EB67" s="925"/>
      <c r="EC67" s="925"/>
      <c r="ED67" s="925"/>
      <c r="EE67" s="925"/>
      <c r="EF67" s="925"/>
      <c r="EG67" s="925"/>
      <c r="EH67" s="925"/>
      <c r="EI67" s="925"/>
      <c r="EJ67" s="925"/>
      <c r="EK67" s="925"/>
      <c r="EL67" s="925"/>
      <c r="EM67" s="925"/>
      <c r="EN67" s="925"/>
      <c r="EO67" s="925"/>
      <c r="EP67" s="925"/>
      <c r="EQ67" s="925"/>
      <c r="ER67" s="925"/>
      <c r="ES67" s="925"/>
      <c r="ET67" s="925"/>
      <c r="EV67" s="924"/>
      <c r="EW67" s="925"/>
      <c r="EX67" s="925"/>
      <c r="EY67" s="925"/>
    </row>
    <row r="68" spans="1:155" s="927" customFormat="1" ht="20.100000000000001" customHeight="1" x14ac:dyDescent="0.25">
      <c r="A68" s="912" t="s">
        <v>286</v>
      </c>
      <c r="B68" s="913" t="s">
        <v>32</v>
      </c>
      <c r="C68" s="914">
        <v>1</v>
      </c>
      <c r="D68" s="914">
        <v>22544</v>
      </c>
      <c r="E68" s="915">
        <v>1.0549999999999999</v>
      </c>
      <c r="F68" s="916">
        <f t="shared" si="0"/>
        <v>23784</v>
      </c>
      <c r="G68" s="915">
        <v>1.01</v>
      </c>
      <c r="H68" s="916">
        <f t="shared" si="1"/>
        <v>24022</v>
      </c>
      <c r="I68" s="917">
        <f t="shared" si="2"/>
        <v>24022</v>
      </c>
      <c r="J68" s="918">
        <f t="shared" si="3"/>
        <v>0</v>
      </c>
      <c r="K68" s="919"/>
      <c r="L68" s="917">
        <f t="shared" si="4"/>
        <v>0</v>
      </c>
      <c r="M68" s="918">
        <f t="shared" si="5"/>
        <v>0</v>
      </c>
      <c r="N68" s="919"/>
      <c r="O68" s="917">
        <f t="shared" si="6"/>
        <v>0</v>
      </c>
      <c r="P68" s="918">
        <f t="shared" si="7"/>
        <v>0</v>
      </c>
      <c r="Q68" s="919"/>
      <c r="R68" s="917">
        <f t="shared" si="8"/>
        <v>0</v>
      </c>
      <c r="S68" s="918">
        <f t="shared" si="9"/>
        <v>0</v>
      </c>
      <c r="T68" s="919"/>
      <c r="U68" s="917">
        <f t="shared" si="10"/>
        <v>0</v>
      </c>
      <c r="V68" s="918">
        <f t="shared" si="11"/>
        <v>0</v>
      </c>
      <c r="W68" s="919"/>
      <c r="X68" s="917">
        <f t="shared" si="12"/>
        <v>0</v>
      </c>
      <c r="Y68" s="918">
        <f t="shared" si="13"/>
        <v>0.28000000000000003</v>
      </c>
      <c r="Z68" s="919">
        <v>6312.32</v>
      </c>
      <c r="AA68" s="917">
        <f t="shared" si="14"/>
        <v>6726.16</v>
      </c>
      <c r="AB68" s="918">
        <f t="shared" si="15"/>
        <v>0.1</v>
      </c>
      <c r="AC68" s="919">
        <v>2254.4</v>
      </c>
      <c r="AD68" s="917">
        <f t="shared" si="16"/>
        <v>2402.1999999999998</v>
      </c>
      <c r="AE68" s="918">
        <f t="shared" si="17"/>
        <v>0</v>
      </c>
      <c r="AF68" s="919"/>
      <c r="AG68" s="917">
        <f t="shared" si="18"/>
        <v>0</v>
      </c>
      <c r="AH68" s="918">
        <f t="shared" si="19"/>
        <v>0</v>
      </c>
      <c r="AI68" s="919"/>
      <c r="AJ68" s="917">
        <f t="shared" si="20"/>
        <v>0</v>
      </c>
      <c r="AK68" s="918">
        <f t="shared" si="21"/>
        <v>0</v>
      </c>
      <c r="AL68" s="919"/>
      <c r="AM68" s="917">
        <f t="shared" si="22"/>
        <v>0</v>
      </c>
      <c r="AN68" s="920">
        <v>19242</v>
      </c>
      <c r="AO68" s="917">
        <f t="shared" si="23"/>
        <v>0</v>
      </c>
      <c r="AP68" s="920"/>
      <c r="AQ68" s="916">
        <f t="shared" si="24"/>
        <v>0</v>
      </c>
      <c r="AR68" s="917">
        <f t="shared" si="25"/>
        <v>33150.36</v>
      </c>
      <c r="AS68" s="916">
        <v>12</v>
      </c>
      <c r="AT68" s="921">
        <f t="shared" si="26"/>
        <v>397804.32</v>
      </c>
      <c r="AU68" s="920"/>
      <c r="AV68" s="922">
        <f t="shared" si="27"/>
        <v>3978.04</v>
      </c>
      <c r="AW68" s="921">
        <f t="shared" si="28"/>
        <v>401782.36</v>
      </c>
      <c r="AX68" s="921">
        <f t="shared" si="29"/>
        <v>121338.27</v>
      </c>
      <c r="AY68" s="921">
        <f t="shared" si="30"/>
        <v>523120.63</v>
      </c>
      <c r="AZ68" s="923">
        <f t="shared" si="31"/>
        <v>401.8</v>
      </c>
      <c r="BA68" s="923">
        <f t="shared" si="32"/>
        <v>121.3</v>
      </c>
      <c r="BB68" s="923">
        <f t="shared" si="33"/>
        <v>523.1</v>
      </c>
      <c r="BC68" s="915">
        <v>0.95</v>
      </c>
      <c r="BD68" s="923">
        <f t="shared" si="34"/>
        <v>381.7</v>
      </c>
      <c r="BE68" s="923">
        <f t="shared" si="35"/>
        <v>115.3</v>
      </c>
      <c r="BF68" s="923">
        <f t="shared" si="36"/>
        <v>497</v>
      </c>
      <c r="BG68" s="924">
        <f>'[3]свод (2024)'!$B$116</f>
        <v>0.99758349999999996</v>
      </c>
      <c r="BH68" s="923">
        <f t="shared" si="37"/>
        <v>380.8</v>
      </c>
      <c r="BI68" s="923">
        <f t="shared" si="38"/>
        <v>115</v>
      </c>
      <c r="BJ68" s="923">
        <f t="shared" si="39"/>
        <v>495.8</v>
      </c>
      <c r="BK68" s="925">
        <f t="shared" si="40"/>
        <v>-21</v>
      </c>
      <c r="BL68" s="925">
        <f t="shared" si="40"/>
        <v>-6.3</v>
      </c>
      <c r="BM68" s="925">
        <f t="shared" si="41"/>
        <v>-27.3</v>
      </c>
      <c r="BN68" s="925">
        <f t="shared" si="42"/>
        <v>0</v>
      </c>
      <c r="BO68" s="925">
        <f t="shared" si="43"/>
        <v>0</v>
      </c>
      <c r="BP68" s="926"/>
      <c r="BQ68" s="925">
        <f t="shared" si="44"/>
        <v>380.8</v>
      </c>
      <c r="BR68" s="925">
        <f t="shared" si="44"/>
        <v>115</v>
      </c>
      <c r="BS68" s="925">
        <f t="shared" si="45"/>
        <v>495.8</v>
      </c>
      <c r="BU68" s="928"/>
      <c r="BV68" s="917"/>
      <c r="BW68" s="928"/>
      <c r="BX68" s="928"/>
      <c r="BY68" s="928"/>
      <c r="BZ68" s="917"/>
      <c r="CA68" s="928"/>
      <c r="CB68" s="917"/>
      <c r="CC68" s="928"/>
      <c r="CD68" s="928"/>
      <c r="CE68" s="928"/>
      <c r="CF68" s="929"/>
      <c r="CG68" s="928"/>
      <c r="CH68" s="928"/>
      <c r="CI68" s="928"/>
      <c r="CJ68" s="925"/>
      <c r="CK68" s="925"/>
      <c r="CL68" s="925"/>
      <c r="CM68" s="925"/>
      <c r="CN68" s="925"/>
      <c r="CO68" s="925"/>
      <c r="CP68" s="925"/>
      <c r="CQ68" s="925"/>
      <c r="CR68" s="925"/>
      <c r="CS68" s="917"/>
      <c r="CT68" s="928"/>
      <c r="CU68" s="928"/>
      <c r="CV68" s="928"/>
      <c r="CX68" s="925"/>
      <c r="CY68" s="925"/>
      <c r="CZ68" s="925"/>
      <c r="DB68" s="925"/>
      <c r="DC68" s="925"/>
      <c r="DD68" s="925"/>
      <c r="DE68" s="925"/>
      <c r="DF68" s="925"/>
      <c r="DG68" s="925"/>
      <c r="DH68" s="925"/>
      <c r="DI68" s="925"/>
      <c r="DJ68" s="925"/>
      <c r="DK68" s="925"/>
      <c r="DL68" s="925"/>
      <c r="DM68" s="925"/>
      <c r="DN68" s="925"/>
      <c r="DO68" s="925"/>
      <c r="DP68" s="925"/>
      <c r="DQ68" s="924"/>
      <c r="DR68" s="925"/>
      <c r="DS68" s="925"/>
      <c r="DT68" s="925"/>
      <c r="DV68" s="925"/>
      <c r="DW68" s="925"/>
      <c r="DX68" s="925"/>
      <c r="DY68" s="925"/>
      <c r="DZ68" s="925"/>
      <c r="EA68" s="925"/>
      <c r="EB68" s="925"/>
      <c r="EC68" s="925"/>
      <c r="ED68" s="925"/>
      <c r="EE68" s="925"/>
      <c r="EF68" s="925"/>
      <c r="EG68" s="925"/>
      <c r="EH68" s="925"/>
      <c r="EI68" s="925"/>
      <c r="EJ68" s="925"/>
      <c r="EK68" s="925"/>
      <c r="EL68" s="925"/>
      <c r="EM68" s="925"/>
      <c r="EN68" s="925"/>
      <c r="EO68" s="925"/>
      <c r="EP68" s="925"/>
      <c r="EQ68" s="925"/>
      <c r="ER68" s="925"/>
      <c r="ES68" s="925"/>
      <c r="ET68" s="925"/>
      <c r="EV68" s="924"/>
      <c r="EW68" s="925"/>
      <c r="EX68" s="925"/>
      <c r="EY68" s="925"/>
    </row>
    <row r="69" spans="1:155" s="927" customFormat="1" ht="20.100000000000001" customHeight="1" x14ac:dyDescent="0.25">
      <c r="A69" s="912" t="s">
        <v>286</v>
      </c>
      <c r="B69" s="913" t="s">
        <v>1380</v>
      </c>
      <c r="C69" s="914">
        <v>1</v>
      </c>
      <c r="D69" s="914">
        <v>25048</v>
      </c>
      <c r="E69" s="915">
        <v>1.0549999999999999</v>
      </c>
      <c r="F69" s="916">
        <f t="shared" si="0"/>
        <v>26426</v>
      </c>
      <c r="G69" s="915">
        <v>1.01</v>
      </c>
      <c r="H69" s="916">
        <f t="shared" si="1"/>
        <v>26691</v>
      </c>
      <c r="I69" s="917">
        <f t="shared" si="2"/>
        <v>26691</v>
      </c>
      <c r="J69" s="918">
        <f t="shared" si="3"/>
        <v>0</v>
      </c>
      <c r="K69" s="919"/>
      <c r="L69" s="917">
        <f t="shared" si="4"/>
        <v>0</v>
      </c>
      <c r="M69" s="918">
        <f t="shared" si="5"/>
        <v>0</v>
      </c>
      <c r="N69" s="919"/>
      <c r="O69" s="917">
        <f t="shared" si="6"/>
        <v>0</v>
      </c>
      <c r="P69" s="918">
        <f t="shared" si="7"/>
        <v>0</v>
      </c>
      <c r="Q69" s="919"/>
      <c r="R69" s="917">
        <f t="shared" si="8"/>
        <v>0</v>
      </c>
      <c r="S69" s="918">
        <f t="shared" si="9"/>
        <v>0</v>
      </c>
      <c r="T69" s="919"/>
      <c r="U69" s="917">
        <f t="shared" si="10"/>
        <v>0</v>
      </c>
      <c r="V69" s="918">
        <f t="shared" si="11"/>
        <v>0</v>
      </c>
      <c r="W69" s="919"/>
      <c r="X69" s="917">
        <f t="shared" si="12"/>
        <v>0</v>
      </c>
      <c r="Y69" s="918">
        <f t="shared" si="13"/>
        <v>0.28499999999999998</v>
      </c>
      <c r="Z69" s="919">
        <v>7138.68</v>
      </c>
      <c r="AA69" s="917">
        <f t="shared" si="14"/>
        <v>7606.94</v>
      </c>
      <c r="AB69" s="918">
        <f t="shared" si="15"/>
        <v>0.15</v>
      </c>
      <c r="AC69" s="919">
        <v>3757.2</v>
      </c>
      <c r="AD69" s="917">
        <f t="shared" si="16"/>
        <v>4003.65</v>
      </c>
      <c r="AE69" s="918">
        <f t="shared" si="17"/>
        <v>0</v>
      </c>
      <c r="AF69" s="919"/>
      <c r="AG69" s="917">
        <f t="shared" si="18"/>
        <v>0</v>
      </c>
      <c r="AH69" s="918">
        <f t="shared" si="19"/>
        <v>0</v>
      </c>
      <c r="AI69" s="919"/>
      <c r="AJ69" s="917">
        <f t="shared" si="20"/>
        <v>0</v>
      </c>
      <c r="AK69" s="918">
        <f t="shared" si="21"/>
        <v>0</v>
      </c>
      <c r="AL69" s="919"/>
      <c r="AM69" s="917">
        <f t="shared" si="22"/>
        <v>0</v>
      </c>
      <c r="AN69" s="920">
        <v>19242</v>
      </c>
      <c r="AO69" s="917">
        <f t="shared" si="23"/>
        <v>0</v>
      </c>
      <c r="AP69" s="920"/>
      <c r="AQ69" s="916">
        <f t="shared" si="24"/>
        <v>0</v>
      </c>
      <c r="AR69" s="917">
        <f t="shared" si="25"/>
        <v>38301.589999999997</v>
      </c>
      <c r="AS69" s="916">
        <v>12</v>
      </c>
      <c r="AT69" s="921">
        <f t="shared" si="26"/>
        <v>459619.08</v>
      </c>
      <c r="AU69" s="920"/>
      <c r="AV69" s="922">
        <f t="shared" si="27"/>
        <v>4596.1899999999996</v>
      </c>
      <c r="AW69" s="921">
        <f t="shared" si="28"/>
        <v>464215.27</v>
      </c>
      <c r="AX69" s="921">
        <f t="shared" si="29"/>
        <v>140193.01</v>
      </c>
      <c r="AY69" s="921">
        <f t="shared" si="30"/>
        <v>604408.28</v>
      </c>
      <c r="AZ69" s="923">
        <f t="shared" si="31"/>
        <v>464.2</v>
      </c>
      <c r="BA69" s="923">
        <f t="shared" si="32"/>
        <v>140.19999999999999</v>
      </c>
      <c r="BB69" s="923">
        <f t="shared" si="33"/>
        <v>604.4</v>
      </c>
      <c r="BC69" s="915">
        <v>0.95</v>
      </c>
      <c r="BD69" s="923">
        <f t="shared" si="34"/>
        <v>441</v>
      </c>
      <c r="BE69" s="923">
        <f t="shared" si="35"/>
        <v>133.19999999999999</v>
      </c>
      <c r="BF69" s="923">
        <f t="shared" si="36"/>
        <v>574.20000000000005</v>
      </c>
      <c r="BG69" s="924">
        <f>'[3]свод (2024)'!$B$116</f>
        <v>0.99758349999999996</v>
      </c>
      <c r="BH69" s="923">
        <f t="shared" si="37"/>
        <v>439.9</v>
      </c>
      <c r="BI69" s="923">
        <f t="shared" si="38"/>
        <v>132.80000000000001</v>
      </c>
      <c r="BJ69" s="923">
        <f t="shared" si="39"/>
        <v>572.70000000000005</v>
      </c>
      <c r="BK69" s="925">
        <f t="shared" si="40"/>
        <v>-24.3</v>
      </c>
      <c r="BL69" s="925">
        <f t="shared" si="40"/>
        <v>-7.4</v>
      </c>
      <c r="BM69" s="925">
        <f t="shared" si="41"/>
        <v>-31.7</v>
      </c>
      <c r="BN69" s="925">
        <f t="shared" si="42"/>
        <v>0</v>
      </c>
      <c r="BO69" s="925">
        <f t="shared" si="43"/>
        <v>0</v>
      </c>
      <c r="BP69" s="926"/>
      <c r="BQ69" s="925">
        <f t="shared" si="44"/>
        <v>439.9</v>
      </c>
      <c r="BR69" s="925">
        <f t="shared" si="44"/>
        <v>132.80000000000001</v>
      </c>
      <c r="BS69" s="925">
        <f t="shared" si="45"/>
        <v>572.70000000000005</v>
      </c>
      <c r="BU69" s="928"/>
      <c r="BV69" s="917"/>
      <c r="BW69" s="928"/>
      <c r="BX69" s="928"/>
      <c r="BY69" s="928"/>
      <c r="BZ69" s="917"/>
      <c r="CA69" s="928"/>
      <c r="CB69" s="917"/>
      <c r="CC69" s="928"/>
      <c r="CD69" s="928"/>
      <c r="CE69" s="928"/>
      <c r="CF69" s="929"/>
      <c r="CG69" s="928"/>
      <c r="CH69" s="928"/>
      <c r="CI69" s="928"/>
      <c r="CJ69" s="925"/>
      <c r="CK69" s="925"/>
      <c r="CL69" s="925"/>
      <c r="CM69" s="925"/>
      <c r="CN69" s="925"/>
      <c r="CO69" s="925"/>
      <c r="CP69" s="925"/>
      <c r="CQ69" s="925"/>
      <c r="CR69" s="925"/>
      <c r="CS69" s="917"/>
      <c r="CT69" s="928"/>
      <c r="CU69" s="928"/>
      <c r="CV69" s="928"/>
      <c r="CX69" s="925"/>
      <c r="CY69" s="925"/>
      <c r="CZ69" s="925"/>
      <c r="DB69" s="925"/>
      <c r="DC69" s="925"/>
      <c r="DD69" s="925"/>
      <c r="DE69" s="925"/>
      <c r="DF69" s="925"/>
      <c r="DG69" s="925"/>
      <c r="DH69" s="925"/>
      <c r="DI69" s="925"/>
      <c r="DJ69" s="925"/>
      <c r="DK69" s="925"/>
      <c r="DL69" s="925"/>
      <c r="DM69" s="925"/>
      <c r="DN69" s="925"/>
      <c r="DO69" s="925"/>
      <c r="DP69" s="925"/>
      <c r="DQ69" s="924"/>
      <c r="DR69" s="925"/>
      <c r="DS69" s="925"/>
      <c r="DT69" s="925"/>
      <c r="DV69" s="925"/>
      <c r="DW69" s="925"/>
      <c r="DX69" s="925"/>
      <c r="DY69" s="925"/>
      <c r="DZ69" s="925"/>
      <c r="EA69" s="925"/>
      <c r="EB69" s="925"/>
      <c r="EC69" s="925"/>
      <c r="ED69" s="925"/>
      <c r="EE69" s="925"/>
      <c r="EF69" s="925"/>
      <c r="EG69" s="925"/>
      <c r="EH69" s="925"/>
      <c r="EI69" s="925"/>
      <c r="EJ69" s="925"/>
      <c r="EK69" s="925"/>
      <c r="EL69" s="925"/>
      <c r="EM69" s="925"/>
      <c r="EN69" s="925"/>
      <c r="EO69" s="925"/>
      <c r="EP69" s="925"/>
      <c r="EQ69" s="925"/>
      <c r="ER69" s="925"/>
      <c r="ES69" s="925"/>
      <c r="ET69" s="925"/>
      <c r="EV69" s="924"/>
      <c r="EW69" s="925"/>
      <c r="EX69" s="925"/>
      <c r="EY69" s="925"/>
    </row>
    <row r="70" spans="1:155" s="927" customFormat="1" ht="20.100000000000001" customHeight="1" x14ac:dyDescent="0.25">
      <c r="A70" s="912" t="s">
        <v>286</v>
      </c>
      <c r="B70" s="913" t="s">
        <v>39</v>
      </c>
      <c r="C70" s="914">
        <v>1</v>
      </c>
      <c r="D70" s="914">
        <v>6097</v>
      </c>
      <c r="E70" s="915">
        <v>1.0549999999999999</v>
      </c>
      <c r="F70" s="916">
        <f t="shared" si="0"/>
        <v>6433</v>
      </c>
      <c r="G70" s="915">
        <v>1.01</v>
      </c>
      <c r="H70" s="916">
        <f t="shared" si="1"/>
        <v>6498</v>
      </c>
      <c r="I70" s="917">
        <f t="shared" si="2"/>
        <v>6498</v>
      </c>
      <c r="J70" s="918">
        <f t="shared" si="3"/>
        <v>0</v>
      </c>
      <c r="K70" s="919"/>
      <c r="L70" s="917">
        <f t="shared" si="4"/>
        <v>0</v>
      </c>
      <c r="M70" s="918">
        <f t="shared" si="5"/>
        <v>0</v>
      </c>
      <c r="N70" s="919"/>
      <c r="O70" s="917">
        <f t="shared" si="6"/>
        <v>0</v>
      </c>
      <c r="P70" s="918">
        <f t="shared" si="7"/>
        <v>0</v>
      </c>
      <c r="Q70" s="919"/>
      <c r="R70" s="917">
        <f t="shared" si="8"/>
        <v>0</v>
      </c>
      <c r="S70" s="918">
        <f t="shared" si="9"/>
        <v>0</v>
      </c>
      <c r="T70" s="919"/>
      <c r="U70" s="917">
        <f t="shared" si="10"/>
        <v>0</v>
      </c>
      <c r="V70" s="918">
        <f t="shared" si="11"/>
        <v>0</v>
      </c>
      <c r="W70" s="919"/>
      <c r="X70" s="917">
        <f t="shared" si="12"/>
        <v>0</v>
      </c>
      <c r="Y70" s="918">
        <f t="shared" si="13"/>
        <v>1.99</v>
      </c>
      <c r="Z70" s="919">
        <v>12133.03</v>
      </c>
      <c r="AA70" s="917">
        <f t="shared" si="14"/>
        <v>12931.02</v>
      </c>
      <c r="AB70" s="918">
        <f t="shared" si="15"/>
        <v>0.1</v>
      </c>
      <c r="AC70" s="919">
        <v>609.70000000000005</v>
      </c>
      <c r="AD70" s="917">
        <f t="shared" si="16"/>
        <v>649.79999999999995</v>
      </c>
      <c r="AE70" s="918">
        <f t="shared" si="17"/>
        <v>0</v>
      </c>
      <c r="AF70" s="919"/>
      <c r="AG70" s="917">
        <f t="shared" si="18"/>
        <v>0</v>
      </c>
      <c r="AH70" s="918">
        <f t="shared" si="19"/>
        <v>0</v>
      </c>
      <c r="AI70" s="919"/>
      <c r="AJ70" s="917">
        <f t="shared" si="20"/>
        <v>0</v>
      </c>
      <c r="AK70" s="918">
        <f t="shared" si="21"/>
        <v>0</v>
      </c>
      <c r="AL70" s="919"/>
      <c r="AM70" s="917">
        <f t="shared" si="22"/>
        <v>0</v>
      </c>
      <c r="AN70" s="920">
        <v>19242</v>
      </c>
      <c r="AO70" s="917">
        <f t="shared" si="23"/>
        <v>0</v>
      </c>
      <c r="AP70" s="920"/>
      <c r="AQ70" s="916">
        <f t="shared" si="24"/>
        <v>0</v>
      </c>
      <c r="AR70" s="917">
        <f t="shared" si="25"/>
        <v>20078.82</v>
      </c>
      <c r="AS70" s="916">
        <v>12</v>
      </c>
      <c r="AT70" s="921">
        <f t="shared" si="26"/>
        <v>240945.84</v>
      </c>
      <c r="AU70" s="920"/>
      <c r="AV70" s="922">
        <f t="shared" si="27"/>
        <v>2409.46</v>
      </c>
      <c r="AW70" s="921">
        <f t="shared" si="28"/>
        <v>243355.3</v>
      </c>
      <c r="AX70" s="921">
        <f t="shared" si="29"/>
        <v>73493.3</v>
      </c>
      <c r="AY70" s="921">
        <f t="shared" si="30"/>
        <v>316848.59999999998</v>
      </c>
      <c r="AZ70" s="923">
        <f t="shared" si="31"/>
        <v>243.4</v>
      </c>
      <c r="BA70" s="923">
        <f t="shared" si="32"/>
        <v>73.5</v>
      </c>
      <c r="BB70" s="923">
        <f t="shared" si="33"/>
        <v>316.89999999999998</v>
      </c>
      <c r="BC70" s="915">
        <v>0.95</v>
      </c>
      <c r="BD70" s="923">
        <f t="shared" si="34"/>
        <v>231.2</v>
      </c>
      <c r="BE70" s="923">
        <f t="shared" si="35"/>
        <v>69.8</v>
      </c>
      <c r="BF70" s="923">
        <f t="shared" si="36"/>
        <v>301</v>
      </c>
      <c r="BG70" s="924">
        <f>'[3]свод (2024)'!$B$116</f>
        <v>0.99758349999999996</v>
      </c>
      <c r="BH70" s="923">
        <f t="shared" si="37"/>
        <v>230.6</v>
      </c>
      <c r="BI70" s="923">
        <f t="shared" si="38"/>
        <v>69.599999999999994</v>
      </c>
      <c r="BJ70" s="923">
        <f t="shared" si="39"/>
        <v>300.2</v>
      </c>
      <c r="BK70" s="925">
        <f t="shared" si="40"/>
        <v>-12.8</v>
      </c>
      <c r="BL70" s="925">
        <f t="shared" si="40"/>
        <v>-3.9</v>
      </c>
      <c r="BM70" s="925">
        <f t="shared" si="41"/>
        <v>-16.7</v>
      </c>
      <c r="BN70" s="925">
        <f t="shared" si="42"/>
        <v>0</v>
      </c>
      <c r="BO70" s="925">
        <f t="shared" si="43"/>
        <v>0</v>
      </c>
      <c r="BP70" s="926"/>
      <c r="BQ70" s="925">
        <f t="shared" si="44"/>
        <v>230.6</v>
      </c>
      <c r="BR70" s="925">
        <f t="shared" si="44"/>
        <v>69.599999999999994</v>
      </c>
      <c r="BS70" s="925">
        <f t="shared" si="45"/>
        <v>300.2</v>
      </c>
      <c r="BU70" s="928"/>
      <c r="BV70" s="917"/>
      <c r="BW70" s="928"/>
      <c r="BX70" s="928"/>
      <c r="BY70" s="928"/>
      <c r="BZ70" s="917"/>
      <c r="CA70" s="928"/>
      <c r="CB70" s="917"/>
      <c r="CC70" s="928"/>
      <c r="CD70" s="928"/>
      <c r="CE70" s="928"/>
      <c r="CF70" s="929"/>
      <c r="CG70" s="928"/>
      <c r="CH70" s="928"/>
      <c r="CI70" s="928"/>
      <c r="CJ70" s="925"/>
      <c r="CK70" s="925"/>
      <c r="CL70" s="925"/>
      <c r="CM70" s="925"/>
      <c r="CN70" s="925"/>
      <c r="CO70" s="925"/>
      <c r="CP70" s="925"/>
      <c r="CQ70" s="925"/>
      <c r="CR70" s="925"/>
      <c r="CS70" s="917"/>
      <c r="CT70" s="928"/>
      <c r="CU70" s="928"/>
      <c r="CV70" s="928"/>
      <c r="CX70" s="925"/>
      <c r="CY70" s="925"/>
      <c r="CZ70" s="925"/>
      <c r="DB70" s="925"/>
      <c r="DC70" s="925"/>
      <c r="DD70" s="925"/>
      <c r="DE70" s="925"/>
      <c r="DF70" s="925"/>
      <c r="DG70" s="925"/>
      <c r="DH70" s="925"/>
      <c r="DI70" s="925"/>
      <c r="DJ70" s="925"/>
      <c r="DK70" s="925"/>
      <c r="DL70" s="925"/>
      <c r="DM70" s="925"/>
      <c r="DN70" s="925"/>
      <c r="DO70" s="925"/>
      <c r="DP70" s="925"/>
      <c r="DQ70" s="924"/>
      <c r="DR70" s="925"/>
      <c r="DS70" s="925"/>
      <c r="DT70" s="925"/>
      <c r="DV70" s="925"/>
      <c r="DW70" s="925"/>
      <c r="DX70" s="925"/>
      <c r="DY70" s="925"/>
      <c r="DZ70" s="925"/>
      <c r="EA70" s="925"/>
      <c r="EB70" s="925"/>
      <c r="EC70" s="925"/>
      <c r="ED70" s="925"/>
      <c r="EE70" s="925"/>
      <c r="EF70" s="925"/>
      <c r="EG70" s="925"/>
      <c r="EH70" s="925"/>
      <c r="EI70" s="925"/>
      <c r="EJ70" s="925"/>
      <c r="EK70" s="925"/>
      <c r="EL70" s="925"/>
      <c r="EM70" s="925"/>
      <c r="EN70" s="925"/>
      <c r="EO70" s="925"/>
      <c r="EP70" s="925"/>
      <c r="EQ70" s="925"/>
      <c r="ER70" s="925"/>
      <c r="ES70" s="925"/>
      <c r="ET70" s="925"/>
      <c r="EV70" s="924"/>
      <c r="EW70" s="925"/>
      <c r="EX70" s="925"/>
      <c r="EY70" s="925"/>
    </row>
    <row r="71" spans="1:155" s="927" customFormat="1" ht="31.5" x14ac:dyDescent="0.25">
      <c r="A71" s="912" t="s">
        <v>286</v>
      </c>
      <c r="B71" s="913" t="s">
        <v>30</v>
      </c>
      <c r="C71" s="914">
        <v>1</v>
      </c>
      <c r="D71" s="914">
        <v>22544</v>
      </c>
      <c r="E71" s="915">
        <v>1.0549999999999999</v>
      </c>
      <c r="F71" s="916">
        <f t="shared" si="0"/>
        <v>23784</v>
      </c>
      <c r="G71" s="915">
        <v>1.01</v>
      </c>
      <c r="H71" s="916">
        <f t="shared" si="1"/>
        <v>24022</v>
      </c>
      <c r="I71" s="917">
        <f t="shared" si="2"/>
        <v>24022</v>
      </c>
      <c r="J71" s="918">
        <f t="shared" si="3"/>
        <v>0</v>
      </c>
      <c r="K71" s="919"/>
      <c r="L71" s="917">
        <f t="shared" si="4"/>
        <v>0</v>
      </c>
      <c r="M71" s="918">
        <f t="shared" si="5"/>
        <v>0</v>
      </c>
      <c r="N71" s="919"/>
      <c r="O71" s="917">
        <f t="shared" si="6"/>
        <v>0</v>
      </c>
      <c r="P71" s="918">
        <f t="shared" si="7"/>
        <v>0</v>
      </c>
      <c r="Q71" s="919"/>
      <c r="R71" s="917">
        <f t="shared" si="8"/>
        <v>0</v>
      </c>
      <c r="S71" s="918">
        <f t="shared" si="9"/>
        <v>0</v>
      </c>
      <c r="T71" s="919"/>
      <c r="U71" s="917">
        <f t="shared" si="10"/>
        <v>0</v>
      </c>
      <c r="V71" s="918">
        <f t="shared" si="11"/>
        <v>0</v>
      </c>
      <c r="W71" s="919"/>
      <c r="X71" s="917">
        <f t="shared" si="12"/>
        <v>0</v>
      </c>
      <c r="Y71" s="918">
        <f t="shared" si="13"/>
        <v>0.28000000000000003</v>
      </c>
      <c r="Z71" s="919">
        <v>6312.32</v>
      </c>
      <c r="AA71" s="917">
        <f t="shared" si="14"/>
        <v>6726.16</v>
      </c>
      <c r="AB71" s="918">
        <f t="shared" si="15"/>
        <v>0.1</v>
      </c>
      <c r="AC71" s="919">
        <v>2254.4</v>
      </c>
      <c r="AD71" s="917">
        <f t="shared" si="16"/>
        <v>2402.1999999999998</v>
      </c>
      <c r="AE71" s="918">
        <f t="shared" si="17"/>
        <v>0</v>
      </c>
      <c r="AF71" s="919"/>
      <c r="AG71" s="917">
        <f t="shared" si="18"/>
        <v>0</v>
      </c>
      <c r="AH71" s="918">
        <f t="shared" si="19"/>
        <v>0</v>
      </c>
      <c r="AI71" s="919"/>
      <c r="AJ71" s="917">
        <f t="shared" si="20"/>
        <v>0</v>
      </c>
      <c r="AK71" s="918">
        <f t="shared" si="21"/>
        <v>0</v>
      </c>
      <c r="AL71" s="919"/>
      <c r="AM71" s="917">
        <f t="shared" si="22"/>
        <v>0</v>
      </c>
      <c r="AN71" s="920">
        <v>19242</v>
      </c>
      <c r="AO71" s="917">
        <f t="shared" si="23"/>
        <v>0</v>
      </c>
      <c r="AP71" s="920"/>
      <c r="AQ71" s="916">
        <f t="shared" si="24"/>
        <v>0</v>
      </c>
      <c r="AR71" s="917">
        <f t="shared" si="25"/>
        <v>33150.36</v>
      </c>
      <c r="AS71" s="916">
        <v>12</v>
      </c>
      <c r="AT71" s="921">
        <f t="shared" si="26"/>
        <v>397804.32</v>
      </c>
      <c r="AU71" s="920"/>
      <c r="AV71" s="922">
        <f t="shared" si="27"/>
        <v>3978.04</v>
      </c>
      <c r="AW71" s="921">
        <f t="shared" si="28"/>
        <v>401782.36</v>
      </c>
      <c r="AX71" s="921">
        <f t="shared" si="29"/>
        <v>121338.27</v>
      </c>
      <c r="AY71" s="921">
        <f t="shared" si="30"/>
        <v>523120.63</v>
      </c>
      <c r="AZ71" s="923">
        <f t="shared" si="31"/>
        <v>401.8</v>
      </c>
      <c r="BA71" s="923">
        <f t="shared" si="32"/>
        <v>121.3</v>
      </c>
      <c r="BB71" s="923">
        <f t="shared" si="33"/>
        <v>523.1</v>
      </c>
      <c r="BC71" s="915">
        <v>0.95</v>
      </c>
      <c r="BD71" s="923">
        <f t="shared" si="34"/>
        <v>381.7</v>
      </c>
      <c r="BE71" s="923">
        <f t="shared" si="35"/>
        <v>115.3</v>
      </c>
      <c r="BF71" s="923">
        <f t="shared" si="36"/>
        <v>497</v>
      </c>
      <c r="BG71" s="924">
        <f>'[3]свод (2024)'!$B$116</f>
        <v>0.99758349999999996</v>
      </c>
      <c r="BH71" s="923">
        <f t="shared" si="37"/>
        <v>380.8</v>
      </c>
      <c r="BI71" s="923">
        <f t="shared" si="38"/>
        <v>115</v>
      </c>
      <c r="BJ71" s="923">
        <f t="shared" si="39"/>
        <v>495.8</v>
      </c>
      <c r="BK71" s="925">
        <f t="shared" si="40"/>
        <v>-21</v>
      </c>
      <c r="BL71" s="925">
        <f t="shared" si="40"/>
        <v>-6.3</v>
      </c>
      <c r="BM71" s="925">
        <f t="shared" si="41"/>
        <v>-27.3</v>
      </c>
      <c r="BN71" s="925">
        <f t="shared" si="42"/>
        <v>0</v>
      </c>
      <c r="BO71" s="925">
        <f t="shared" si="43"/>
        <v>0</v>
      </c>
      <c r="BP71" s="926"/>
      <c r="BQ71" s="925">
        <f t="shared" si="44"/>
        <v>380.8</v>
      </c>
      <c r="BR71" s="925">
        <f t="shared" si="44"/>
        <v>115</v>
      </c>
      <c r="BS71" s="925">
        <f t="shared" si="45"/>
        <v>495.8</v>
      </c>
      <c r="BU71" s="928"/>
      <c r="BV71" s="917"/>
      <c r="BW71" s="928"/>
      <c r="BX71" s="928"/>
      <c r="BY71" s="928"/>
      <c r="BZ71" s="917"/>
      <c r="CA71" s="928"/>
      <c r="CB71" s="917"/>
      <c r="CC71" s="928"/>
      <c r="CD71" s="928"/>
      <c r="CE71" s="928"/>
      <c r="CF71" s="929"/>
      <c r="CG71" s="928"/>
      <c r="CH71" s="928"/>
      <c r="CI71" s="928"/>
      <c r="CJ71" s="925"/>
      <c r="CK71" s="925"/>
      <c r="CL71" s="925"/>
      <c r="CM71" s="925"/>
      <c r="CN71" s="925"/>
      <c r="CO71" s="925"/>
      <c r="CP71" s="925"/>
      <c r="CQ71" s="925"/>
      <c r="CR71" s="925"/>
      <c r="CS71" s="917"/>
      <c r="CT71" s="928"/>
      <c r="CU71" s="928"/>
      <c r="CV71" s="928"/>
      <c r="CX71" s="925"/>
      <c r="CY71" s="925"/>
      <c r="CZ71" s="925"/>
      <c r="DB71" s="925"/>
      <c r="DC71" s="925"/>
      <c r="DD71" s="925"/>
      <c r="DE71" s="925"/>
      <c r="DF71" s="925"/>
      <c r="DG71" s="925"/>
      <c r="DH71" s="925"/>
      <c r="DI71" s="925"/>
      <c r="DJ71" s="925"/>
      <c r="DK71" s="925"/>
      <c r="DL71" s="925"/>
      <c r="DM71" s="925"/>
      <c r="DN71" s="925"/>
      <c r="DO71" s="925"/>
      <c r="DP71" s="925"/>
      <c r="DQ71" s="924"/>
      <c r="DR71" s="925"/>
      <c r="DS71" s="925"/>
      <c r="DT71" s="925"/>
      <c r="DV71" s="925"/>
      <c r="DW71" s="925"/>
      <c r="DX71" s="925"/>
      <c r="DY71" s="925"/>
      <c r="DZ71" s="925"/>
      <c r="EA71" s="925"/>
      <c r="EB71" s="925"/>
      <c r="EC71" s="925"/>
      <c r="ED71" s="925"/>
      <c r="EE71" s="925"/>
      <c r="EF71" s="925"/>
      <c r="EG71" s="925"/>
      <c r="EH71" s="925"/>
      <c r="EI71" s="925"/>
      <c r="EJ71" s="925"/>
      <c r="EK71" s="925"/>
      <c r="EL71" s="925"/>
      <c r="EM71" s="925"/>
      <c r="EN71" s="925"/>
      <c r="EO71" s="925"/>
      <c r="EP71" s="925"/>
      <c r="EQ71" s="925"/>
      <c r="ER71" s="925"/>
      <c r="ES71" s="925"/>
      <c r="ET71" s="925"/>
      <c r="EV71" s="924"/>
      <c r="EW71" s="925"/>
      <c r="EX71" s="925"/>
      <c r="EY71" s="925"/>
    </row>
    <row r="72" spans="1:155" s="927" customFormat="1" ht="20.100000000000001" customHeight="1" x14ac:dyDescent="0.25">
      <c r="A72" s="912" t="s">
        <v>286</v>
      </c>
      <c r="B72" s="913" t="s">
        <v>628</v>
      </c>
      <c r="C72" s="914">
        <v>0.25</v>
      </c>
      <c r="D72" s="914">
        <v>5805</v>
      </c>
      <c r="E72" s="915">
        <v>1.0549999999999999</v>
      </c>
      <c r="F72" s="916">
        <f t="shared" si="0"/>
        <v>6125</v>
      </c>
      <c r="G72" s="915">
        <v>1.01</v>
      </c>
      <c r="H72" s="916">
        <f t="shared" si="1"/>
        <v>6187</v>
      </c>
      <c r="I72" s="917">
        <f t="shared" si="2"/>
        <v>1546.75</v>
      </c>
      <c r="J72" s="918">
        <f t="shared" si="3"/>
        <v>0</v>
      </c>
      <c r="K72" s="919"/>
      <c r="L72" s="917">
        <f t="shared" si="4"/>
        <v>0</v>
      </c>
      <c r="M72" s="918">
        <f t="shared" si="5"/>
        <v>0</v>
      </c>
      <c r="N72" s="919"/>
      <c r="O72" s="917">
        <f t="shared" si="6"/>
        <v>0</v>
      </c>
      <c r="P72" s="918">
        <f t="shared" si="7"/>
        <v>0</v>
      </c>
      <c r="Q72" s="919"/>
      <c r="R72" s="917">
        <f t="shared" si="8"/>
        <v>0</v>
      </c>
      <c r="S72" s="918">
        <f t="shared" si="9"/>
        <v>0</v>
      </c>
      <c r="T72" s="919"/>
      <c r="U72" s="917">
        <f t="shared" si="10"/>
        <v>0</v>
      </c>
      <c r="V72" s="918">
        <f t="shared" si="11"/>
        <v>0</v>
      </c>
      <c r="W72" s="919"/>
      <c r="X72" s="917">
        <f t="shared" si="12"/>
        <v>0</v>
      </c>
      <c r="Y72" s="918">
        <f t="shared" si="13"/>
        <v>1.99</v>
      </c>
      <c r="Z72" s="919">
        <v>2887.99</v>
      </c>
      <c r="AA72" s="917">
        <f t="shared" si="14"/>
        <v>3078.03</v>
      </c>
      <c r="AB72" s="918">
        <f t="shared" si="15"/>
        <v>0.1</v>
      </c>
      <c r="AC72" s="919">
        <v>145.13</v>
      </c>
      <c r="AD72" s="917">
        <f t="shared" si="16"/>
        <v>154.68</v>
      </c>
      <c r="AE72" s="918">
        <f t="shared" si="17"/>
        <v>0</v>
      </c>
      <c r="AF72" s="919"/>
      <c r="AG72" s="917">
        <f t="shared" si="18"/>
        <v>0</v>
      </c>
      <c r="AH72" s="918">
        <f t="shared" si="19"/>
        <v>0</v>
      </c>
      <c r="AI72" s="919"/>
      <c r="AJ72" s="917">
        <f t="shared" si="20"/>
        <v>0</v>
      </c>
      <c r="AK72" s="918">
        <f t="shared" si="21"/>
        <v>0</v>
      </c>
      <c r="AL72" s="919"/>
      <c r="AM72" s="917">
        <f t="shared" si="22"/>
        <v>0</v>
      </c>
      <c r="AN72" s="920">
        <v>19242</v>
      </c>
      <c r="AO72" s="917">
        <f t="shared" si="23"/>
        <v>31.04</v>
      </c>
      <c r="AP72" s="920"/>
      <c r="AQ72" s="916">
        <f t="shared" si="24"/>
        <v>0</v>
      </c>
      <c r="AR72" s="917">
        <f t="shared" si="25"/>
        <v>4810.5</v>
      </c>
      <c r="AS72" s="916">
        <v>12</v>
      </c>
      <c r="AT72" s="921">
        <f t="shared" si="26"/>
        <v>57726</v>
      </c>
      <c r="AU72" s="920"/>
      <c r="AV72" s="922">
        <f t="shared" si="27"/>
        <v>577.26</v>
      </c>
      <c r="AW72" s="921">
        <f t="shared" si="28"/>
        <v>58303.26</v>
      </c>
      <c r="AX72" s="921">
        <f t="shared" si="29"/>
        <v>17607.580000000002</v>
      </c>
      <c r="AY72" s="921">
        <f t="shared" si="30"/>
        <v>75910.84</v>
      </c>
      <c r="AZ72" s="923">
        <f t="shared" si="31"/>
        <v>58.3</v>
      </c>
      <c r="BA72" s="923">
        <f t="shared" si="32"/>
        <v>17.600000000000001</v>
      </c>
      <c r="BB72" s="923">
        <f t="shared" si="33"/>
        <v>75.900000000000006</v>
      </c>
      <c r="BC72" s="915">
        <v>0.95</v>
      </c>
      <c r="BD72" s="923">
        <f t="shared" si="34"/>
        <v>55.4</v>
      </c>
      <c r="BE72" s="923">
        <f t="shared" si="35"/>
        <v>16.7</v>
      </c>
      <c r="BF72" s="923">
        <f t="shared" si="36"/>
        <v>72.099999999999994</v>
      </c>
      <c r="BG72" s="924">
        <f>'[3]свод (2024)'!$B$116</f>
        <v>0.99758349999999996</v>
      </c>
      <c r="BH72" s="923">
        <f t="shared" si="37"/>
        <v>55.3</v>
      </c>
      <c r="BI72" s="923">
        <f t="shared" si="38"/>
        <v>16.7</v>
      </c>
      <c r="BJ72" s="923">
        <f t="shared" si="39"/>
        <v>72</v>
      </c>
      <c r="BK72" s="925">
        <f t="shared" si="40"/>
        <v>-3</v>
      </c>
      <c r="BL72" s="925">
        <f t="shared" si="40"/>
        <v>-0.9</v>
      </c>
      <c r="BM72" s="925">
        <f t="shared" si="41"/>
        <v>-3.9</v>
      </c>
      <c r="BN72" s="925">
        <f t="shared" si="42"/>
        <v>0</v>
      </c>
      <c r="BO72" s="925">
        <f t="shared" si="43"/>
        <v>0</v>
      </c>
      <c r="BP72" s="926"/>
      <c r="BQ72" s="925">
        <f t="shared" si="44"/>
        <v>55.3</v>
      </c>
      <c r="BR72" s="925">
        <f t="shared" si="44"/>
        <v>16.7</v>
      </c>
      <c r="BS72" s="925">
        <f t="shared" si="45"/>
        <v>72</v>
      </c>
      <c r="BU72" s="928"/>
      <c r="BV72" s="917"/>
      <c r="BW72" s="928"/>
      <c r="BX72" s="928"/>
      <c r="BY72" s="928"/>
      <c r="BZ72" s="917"/>
      <c r="CA72" s="928"/>
      <c r="CB72" s="917"/>
      <c r="CC72" s="928"/>
      <c r="CD72" s="928"/>
      <c r="CE72" s="928"/>
      <c r="CF72" s="929"/>
      <c r="CG72" s="928"/>
      <c r="CH72" s="928"/>
      <c r="CI72" s="928"/>
      <c r="CJ72" s="925"/>
      <c r="CK72" s="925"/>
      <c r="CL72" s="925"/>
      <c r="CM72" s="925"/>
      <c r="CN72" s="925"/>
      <c r="CO72" s="925"/>
      <c r="CP72" s="925"/>
      <c r="CQ72" s="925"/>
      <c r="CR72" s="925"/>
      <c r="CS72" s="917"/>
      <c r="CT72" s="928"/>
      <c r="CU72" s="928"/>
      <c r="CV72" s="928"/>
      <c r="CX72" s="925"/>
      <c r="CY72" s="925"/>
      <c r="CZ72" s="925"/>
      <c r="DB72" s="925"/>
      <c r="DC72" s="925"/>
      <c r="DD72" s="925"/>
      <c r="DE72" s="925"/>
      <c r="DF72" s="925"/>
      <c r="DG72" s="925"/>
      <c r="DH72" s="925"/>
      <c r="DI72" s="925"/>
      <c r="DJ72" s="925"/>
      <c r="DK72" s="925"/>
      <c r="DL72" s="925"/>
      <c r="DM72" s="925"/>
      <c r="DN72" s="925"/>
      <c r="DO72" s="925"/>
      <c r="DP72" s="925"/>
      <c r="DQ72" s="924"/>
      <c r="DR72" s="925"/>
      <c r="DS72" s="925"/>
      <c r="DT72" s="925"/>
      <c r="DV72" s="925"/>
      <c r="DW72" s="925"/>
      <c r="DX72" s="925"/>
      <c r="DY72" s="925"/>
      <c r="DZ72" s="925"/>
      <c r="EA72" s="925"/>
      <c r="EB72" s="925"/>
      <c r="EC72" s="925"/>
      <c r="ED72" s="925"/>
      <c r="EE72" s="925"/>
      <c r="EF72" s="925"/>
      <c r="EG72" s="925"/>
      <c r="EH72" s="925"/>
      <c r="EI72" s="925"/>
      <c r="EJ72" s="925"/>
      <c r="EK72" s="925"/>
      <c r="EL72" s="925"/>
      <c r="EM72" s="925"/>
      <c r="EN72" s="925"/>
      <c r="EO72" s="925"/>
      <c r="EP72" s="925"/>
      <c r="EQ72" s="925"/>
      <c r="ER72" s="925"/>
      <c r="ES72" s="925"/>
      <c r="ET72" s="925"/>
      <c r="EV72" s="924"/>
      <c r="EW72" s="925"/>
      <c r="EX72" s="925"/>
      <c r="EY72" s="925"/>
    </row>
    <row r="73" spans="1:155" s="927" customFormat="1" ht="20.100000000000001" customHeight="1" x14ac:dyDescent="0.25">
      <c r="A73" s="912" t="s">
        <v>286</v>
      </c>
      <c r="B73" s="913" t="s">
        <v>36</v>
      </c>
      <c r="C73" s="914">
        <v>1</v>
      </c>
      <c r="D73" s="914">
        <v>13772</v>
      </c>
      <c r="E73" s="915">
        <v>1.0549999999999999</v>
      </c>
      <c r="F73" s="916">
        <f t="shared" si="0"/>
        <v>14530</v>
      </c>
      <c r="G73" s="915">
        <v>1.01</v>
      </c>
      <c r="H73" s="916">
        <f t="shared" si="1"/>
        <v>14676</v>
      </c>
      <c r="I73" s="917">
        <f t="shared" si="2"/>
        <v>14676</v>
      </c>
      <c r="J73" s="918">
        <f t="shared" si="3"/>
        <v>0.25</v>
      </c>
      <c r="K73" s="919">
        <v>3443</v>
      </c>
      <c r="L73" s="917">
        <f t="shared" si="4"/>
        <v>3669</v>
      </c>
      <c r="M73" s="918">
        <f t="shared" si="5"/>
        <v>0</v>
      </c>
      <c r="N73" s="919"/>
      <c r="O73" s="917">
        <f t="shared" si="6"/>
        <v>0</v>
      </c>
      <c r="P73" s="918">
        <f t="shared" si="7"/>
        <v>0</v>
      </c>
      <c r="Q73" s="919"/>
      <c r="R73" s="917">
        <f t="shared" si="8"/>
        <v>0</v>
      </c>
      <c r="S73" s="918">
        <f t="shared" si="9"/>
        <v>0</v>
      </c>
      <c r="T73" s="919"/>
      <c r="U73" s="917">
        <f t="shared" si="10"/>
        <v>0</v>
      </c>
      <c r="V73" s="918">
        <f t="shared" si="11"/>
        <v>0</v>
      </c>
      <c r="W73" s="919"/>
      <c r="X73" s="917">
        <f t="shared" si="12"/>
        <v>0</v>
      </c>
      <c r="Y73" s="918">
        <f t="shared" si="13"/>
        <v>0</v>
      </c>
      <c r="Z73" s="919"/>
      <c r="AA73" s="917">
        <f t="shared" si="14"/>
        <v>0</v>
      </c>
      <c r="AB73" s="918">
        <f t="shared" si="15"/>
        <v>0.2</v>
      </c>
      <c r="AC73" s="919">
        <v>2754.4</v>
      </c>
      <c r="AD73" s="917">
        <f t="shared" si="16"/>
        <v>2935.2</v>
      </c>
      <c r="AE73" s="918">
        <f t="shared" si="17"/>
        <v>0</v>
      </c>
      <c r="AF73" s="919"/>
      <c r="AG73" s="917">
        <f t="shared" si="18"/>
        <v>0</v>
      </c>
      <c r="AH73" s="918">
        <f t="shared" si="19"/>
        <v>0</v>
      </c>
      <c r="AI73" s="919"/>
      <c r="AJ73" s="917">
        <f t="shared" si="20"/>
        <v>0</v>
      </c>
      <c r="AK73" s="918">
        <f t="shared" si="21"/>
        <v>0</v>
      </c>
      <c r="AL73" s="919"/>
      <c r="AM73" s="917">
        <f t="shared" si="22"/>
        <v>0</v>
      </c>
      <c r="AN73" s="920">
        <v>19242</v>
      </c>
      <c r="AO73" s="917">
        <f t="shared" si="23"/>
        <v>0</v>
      </c>
      <c r="AP73" s="920"/>
      <c r="AQ73" s="916">
        <f t="shared" si="24"/>
        <v>0</v>
      </c>
      <c r="AR73" s="917">
        <f t="shared" si="25"/>
        <v>21280.2</v>
      </c>
      <c r="AS73" s="916">
        <v>12</v>
      </c>
      <c r="AT73" s="921">
        <f t="shared" si="26"/>
        <v>255362.4</v>
      </c>
      <c r="AU73" s="920"/>
      <c r="AV73" s="922">
        <f t="shared" si="27"/>
        <v>2553.62</v>
      </c>
      <c r="AW73" s="921">
        <f t="shared" si="28"/>
        <v>257916.02</v>
      </c>
      <c r="AX73" s="921">
        <f t="shared" si="29"/>
        <v>77890.64</v>
      </c>
      <c r="AY73" s="921">
        <f t="shared" si="30"/>
        <v>335806.66</v>
      </c>
      <c r="AZ73" s="923">
        <f t="shared" si="31"/>
        <v>257.89999999999998</v>
      </c>
      <c r="BA73" s="923">
        <f t="shared" si="32"/>
        <v>77.900000000000006</v>
      </c>
      <c r="BB73" s="923">
        <f t="shared" si="33"/>
        <v>335.8</v>
      </c>
      <c r="BC73" s="915">
        <v>0.95</v>
      </c>
      <c r="BD73" s="923">
        <f t="shared" si="34"/>
        <v>245</v>
      </c>
      <c r="BE73" s="923">
        <f t="shared" si="35"/>
        <v>74</v>
      </c>
      <c r="BF73" s="923">
        <f t="shared" si="36"/>
        <v>319</v>
      </c>
      <c r="BG73" s="924">
        <f>'[3]свод (2024)'!$B$116</f>
        <v>0.99758349999999996</v>
      </c>
      <c r="BH73" s="923">
        <f t="shared" si="37"/>
        <v>244.4</v>
      </c>
      <c r="BI73" s="923">
        <f t="shared" si="38"/>
        <v>73.8</v>
      </c>
      <c r="BJ73" s="923">
        <f t="shared" si="39"/>
        <v>318.2</v>
      </c>
      <c r="BK73" s="925">
        <f t="shared" si="40"/>
        <v>-13.5</v>
      </c>
      <c r="BL73" s="925">
        <f t="shared" si="40"/>
        <v>-4.0999999999999996</v>
      </c>
      <c r="BM73" s="925">
        <f t="shared" si="41"/>
        <v>-17.600000000000001</v>
      </c>
      <c r="BN73" s="925">
        <f t="shared" si="42"/>
        <v>0</v>
      </c>
      <c r="BO73" s="925">
        <f t="shared" si="43"/>
        <v>0</v>
      </c>
      <c r="BP73" s="926"/>
      <c r="BQ73" s="925">
        <f t="shared" si="44"/>
        <v>244.4</v>
      </c>
      <c r="BR73" s="925">
        <f t="shared" si="44"/>
        <v>73.8</v>
      </c>
      <c r="BS73" s="925">
        <f t="shared" si="45"/>
        <v>318.2</v>
      </c>
      <c r="BU73" s="928">
        <f>C73</f>
        <v>1</v>
      </c>
      <c r="BV73" s="917"/>
      <c r="BW73" s="928"/>
      <c r="BX73" s="928">
        <f>AW73-X73</f>
        <v>257916.02</v>
      </c>
      <c r="BY73" s="928"/>
      <c r="BZ73" s="917"/>
      <c r="CA73" s="928"/>
      <c r="CB73" s="917"/>
      <c r="CC73" s="928"/>
      <c r="CD73" s="928"/>
      <c r="CE73" s="928"/>
      <c r="CF73" s="929">
        <f>CC$79/BU$79*BU73</f>
        <v>37004.699999999997</v>
      </c>
      <c r="CG73" s="928"/>
      <c r="CH73" s="928"/>
      <c r="CI73" s="928"/>
      <c r="CJ73" s="925"/>
      <c r="CK73" s="925"/>
      <c r="CL73" s="925"/>
      <c r="CM73" s="925"/>
      <c r="CN73" s="925"/>
      <c r="CO73" s="925"/>
      <c r="CP73" s="925"/>
      <c r="CQ73" s="925"/>
      <c r="CR73" s="925"/>
      <c r="CS73" s="917"/>
      <c r="CT73" s="928"/>
      <c r="CU73" s="928"/>
      <c r="CV73" s="928"/>
      <c r="CX73" s="925"/>
      <c r="CY73" s="925"/>
      <c r="CZ73" s="925"/>
      <c r="DB73" s="925"/>
      <c r="DC73" s="925"/>
      <c r="DD73" s="925"/>
      <c r="DE73" s="925"/>
      <c r="DF73" s="925"/>
      <c r="DG73" s="925"/>
      <c r="DH73" s="925"/>
      <c r="DI73" s="925"/>
      <c r="DJ73" s="925"/>
      <c r="DK73" s="925"/>
      <c r="DL73" s="925"/>
      <c r="DM73" s="925"/>
      <c r="DN73" s="925"/>
      <c r="DO73" s="925"/>
      <c r="DP73" s="925"/>
      <c r="DQ73" s="924"/>
      <c r="DR73" s="925"/>
      <c r="DS73" s="925"/>
      <c r="DT73" s="925"/>
      <c r="DV73" s="925"/>
      <c r="DW73" s="925"/>
      <c r="DX73" s="925"/>
      <c r="DY73" s="925"/>
      <c r="DZ73" s="925"/>
      <c r="EA73" s="925"/>
      <c r="EB73" s="925"/>
      <c r="EC73" s="925"/>
      <c r="ED73" s="925"/>
      <c r="EE73" s="925"/>
      <c r="EF73" s="925"/>
      <c r="EG73" s="925"/>
      <c r="EH73" s="925"/>
      <c r="EI73" s="925"/>
      <c r="EJ73" s="925"/>
      <c r="EK73" s="925"/>
      <c r="EL73" s="925"/>
      <c r="EM73" s="925"/>
      <c r="EN73" s="925"/>
      <c r="EO73" s="925"/>
      <c r="EP73" s="925"/>
      <c r="EQ73" s="925"/>
      <c r="ER73" s="925"/>
      <c r="ES73" s="925"/>
      <c r="ET73" s="925"/>
      <c r="EV73" s="924"/>
      <c r="EW73" s="925"/>
      <c r="EX73" s="925"/>
      <c r="EY73" s="925"/>
    </row>
    <row r="74" spans="1:155" s="927" customFormat="1" ht="20.100000000000001" customHeight="1" x14ac:dyDescent="0.25">
      <c r="A74" s="912" t="s">
        <v>286</v>
      </c>
      <c r="B74" s="913" t="s">
        <v>35</v>
      </c>
      <c r="C74" s="914">
        <v>9.5</v>
      </c>
      <c r="D74" s="914">
        <v>13132</v>
      </c>
      <c r="E74" s="915">
        <v>1.0549999999999999</v>
      </c>
      <c r="F74" s="916">
        <f t="shared" si="0"/>
        <v>13855</v>
      </c>
      <c r="G74" s="915">
        <v>1.01</v>
      </c>
      <c r="H74" s="916">
        <f t="shared" si="1"/>
        <v>13994</v>
      </c>
      <c r="I74" s="917">
        <f t="shared" si="2"/>
        <v>132943</v>
      </c>
      <c r="J74" s="918">
        <f t="shared" si="3"/>
        <v>0.16841999999999999</v>
      </c>
      <c r="K74" s="919">
        <v>21011.19</v>
      </c>
      <c r="L74" s="917">
        <f t="shared" si="4"/>
        <v>22390.26</v>
      </c>
      <c r="M74" s="918">
        <f t="shared" si="5"/>
        <v>0</v>
      </c>
      <c r="N74" s="919"/>
      <c r="O74" s="917">
        <f t="shared" si="6"/>
        <v>0</v>
      </c>
      <c r="P74" s="918">
        <f t="shared" si="7"/>
        <v>0</v>
      </c>
      <c r="Q74" s="919"/>
      <c r="R74" s="917">
        <f t="shared" si="8"/>
        <v>0</v>
      </c>
      <c r="S74" s="918">
        <f t="shared" si="9"/>
        <v>0</v>
      </c>
      <c r="T74" s="919"/>
      <c r="U74" s="917">
        <f t="shared" si="10"/>
        <v>0</v>
      </c>
      <c r="V74" s="918">
        <f t="shared" si="11"/>
        <v>0</v>
      </c>
      <c r="W74" s="919"/>
      <c r="X74" s="917">
        <f t="shared" si="12"/>
        <v>0</v>
      </c>
      <c r="Y74" s="918">
        <f t="shared" si="13"/>
        <v>0</v>
      </c>
      <c r="Z74" s="919"/>
      <c r="AA74" s="917">
        <f t="shared" si="14"/>
        <v>0</v>
      </c>
      <c r="AB74" s="918">
        <f t="shared" si="15"/>
        <v>0.12836</v>
      </c>
      <c r="AC74" s="919">
        <v>16013.73</v>
      </c>
      <c r="AD74" s="917">
        <f t="shared" si="16"/>
        <v>17064.560000000001</v>
      </c>
      <c r="AE74" s="918">
        <f t="shared" si="17"/>
        <v>1.14E-2</v>
      </c>
      <c r="AF74" s="919">
        <v>1422.63</v>
      </c>
      <c r="AG74" s="917">
        <f t="shared" si="18"/>
        <v>1515.55</v>
      </c>
      <c r="AH74" s="918">
        <f t="shared" si="19"/>
        <v>0</v>
      </c>
      <c r="AI74" s="919"/>
      <c r="AJ74" s="917">
        <f t="shared" si="20"/>
        <v>0</v>
      </c>
      <c r="AK74" s="918">
        <f t="shared" si="21"/>
        <v>0</v>
      </c>
      <c r="AL74" s="919"/>
      <c r="AM74" s="917">
        <f t="shared" si="22"/>
        <v>0</v>
      </c>
      <c r="AN74" s="920">
        <v>19242</v>
      </c>
      <c r="AO74" s="917">
        <f t="shared" si="23"/>
        <v>8885.6299999999992</v>
      </c>
      <c r="AP74" s="920"/>
      <c r="AQ74" s="916">
        <f t="shared" si="24"/>
        <v>0</v>
      </c>
      <c r="AR74" s="917">
        <f t="shared" si="25"/>
        <v>182799</v>
      </c>
      <c r="AS74" s="916">
        <v>12</v>
      </c>
      <c r="AT74" s="921">
        <f t="shared" si="26"/>
        <v>2193588</v>
      </c>
      <c r="AU74" s="920"/>
      <c r="AV74" s="922">
        <f t="shared" si="27"/>
        <v>21935.88</v>
      </c>
      <c r="AW74" s="921">
        <f t="shared" si="28"/>
        <v>2215523.88</v>
      </c>
      <c r="AX74" s="921">
        <f t="shared" si="29"/>
        <v>669088.21</v>
      </c>
      <c r="AY74" s="921">
        <f t="shared" si="30"/>
        <v>2884612.09</v>
      </c>
      <c r="AZ74" s="923">
        <f t="shared" si="31"/>
        <v>2215.5</v>
      </c>
      <c r="BA74" s="923">
        <f t="shared" si="32"/>
        <v>669.1</v>
      </c>
      <c r="BB74" s="923">
        <f t="shared" si="33"/>
        <v>2884.6</v>
      </c>
      <c r="BC74" s="915">
        <v>0.95</v>
      </c>
      <c r="BD74" s="923">
        <f t="shared" si="34"/>
        <v>2104.6999999999998</v>
      </c>
      <c r="BE74" s="923">
        <f t="shared" si="35"/>
        <v>635.6</v>
      </c>
      <c r="BF74" s="923">
        <f t="shared" si="36"/>
        <v>2740.3</v>
      </c>
      <c r="BG74" s="924">
        <f>'[3]свод (2024)'!$B$116</f>
        <v>0.99758349999999996</v>
      </c>
      <c r="BH74" s="923">
        <f t="shared" si="37"/>
        <v>2099.6</v>
      </c>
      <c r="BI74" s="923">
        <f t="shared" si="38"/>
        <v>634.1</v>
      </c>
      <c r="BJ74" s="923">
        <f t="shared" si="39"/>
        <v>2733.7</v>
      </c>
      <c r="BK74" s="925">
        <f t="shared" si="40"/>
        <v>-115.9</v>
      </c>
      <c r="BL74" s="925">
        <f t="shared" si="40"/>
        <v>-35</v>
      </c>
      <c r="BM74" s="925">
        <f t="shared" si="41"/>
        <v>-150.9</v>
      </c>
      <c r="BN74" s="925">
        <f t="shared" si="42"/>
        <v>0</v>
      </c>
      <c r="BO74" s="925">
        <f t="shared" si="43"/>
        <v>0</v>
      </c>
      <c r="BP74" s="926"/>
      <c r="BQ74" s="925">
        <f t="shared" si="44"/>
        <v>2099.6</v>
      </c>
      <c r="BR74" s="925">
        <f t="shared" si="44"/>
        <v>634.1</v>
      </c>
      <c r="BS74" s="925">
        <f t="shared" si="45"/>
        <v>2733.7</v>
      </c>
      <c r="BU74" s="928">
        <f>C74</f>
        <v>9.5</v>
      </c>
      <c r="BV74" s="917"/>
      <c r="BW74" s="928"/>
      <c r="BX74" s="928">
        <f>AW74-X74</f>
        <v>2215523.88</v>
      </c>
      <c r="BY74" s="928"/>
      <c r="BZ74" s="917"/>
      <c r="CA74" s="928"/>
      <c r="CB74" s="917"/>
      <c r="CC74" s="928"/>
      <c r="CD74" s="928"/>
      <c r="CE74" s="928"/>
      <c r="CF74" s="929">
        <f t="shared" ref="CF74:CF75" si="60">CC$79/BU$79*BU74</f>
        <v>351544.67</v>
      </c>
      <c r="CG74" s="928"/>
      <c r="CH74" s="928"/>
      <c r="CI74" s="928"/>
      <c r="CJ74" s="925"/>
      <c r="CK74" s="925"/>
      <c r="CL74" s="925"/>
      <c r="CM74" s="925"/>
      <c r="CN74" s="925"/>
      <c r="CO74" s="925"/>
      <c r="CP74" s="925"/>
      <c r="CQ74" s="925"/>
      <c r="CR74" s="925"/>
      <c r="CS74" s="917"/>
      <c r="CT74" s="928"/>
      <c r="CU74" s="928"/>
      <c r="CV74" s="928"/>
      <c r="CX74" s="925"/>
      <c r="CY74" s="925"/>
      <c r="CZ74" s="925"/>
      <c r="DB74" s="925"/>
      <c r="DC74" s="925"/>
      <c r="DD74" s="925"/>
      <c r="DE74" s="925"/>
      <c r="DF74" s="925"/>
      <c r="DG74" s="925"/>
      <c r="DH74" s="925"/>
      <c r="DI74" s="925"/>
      <c r="DJ74" s="925"/>
      <c r="DK74" s="925"/>
      <c r="DL74" s="925"/>
      <c r="DM74" s="925"/>
      <c r="DN74" s="925"/>
      <c r="DO74" s="925"/>
      <c r="DP74" s="925"/>
      <c r="DQ74" s="924"/>
      <c r="DR74" s="925"/>
      <c r="DS74" s="925"/>
      <c r="DT74" s="925"/>
      <c r="DV74" s="925"/>
      <c r="DW74" s="925"/>
      <c r="DX74" s="925"/>
      <c r="DY74" s="925"/>
      <c r="DZ74" s="925"/>
      <c r="EA74" s="925"/>
      <c r="EB74" s="925"/>
      <c r="EC74" s="925"/>
      <c r="ED74" s="925"/>
      <c r="EE74" s="925"/>
      <c r="EF74" s="925"/>
      <c r="EG74" s="925"/>
      <c r="EH74" s="925"/>
      <c r="EI74" s="925"/>
      <c r="EJ74" s="925"/>
      <c r="EK74" s="925"/>
      <c r="EL74" s="925"/>
      <c r="EM74" s="925"/>
      <c r="EN74" s="925"/>
      <c r="EO74" s="925"/>
      <c r="EP74" s="925"/>
      <c r="EQ74" s="925"/>
      <c r="ER74" s="925"/>
      <c r="ES74" s="925"/>
      <c r="ET74" s="925"/>
      <c r="EV74" s="924"/>
      <c r="EW74" s="925"/>
      <c r="EX74" s="925"/>
      <c r="EY74" s="925"/>
    </row>
    <row r="75" spans="1:155" s="927" customFormat="1" ht="20.100000000000001" customHeight="1" x14ac:dyDescent="0.25">
      <c r="A75" s="912" t="s">
        <v>286</v>
      </c>
      <c r="B75" s="913" t="s">
        <v>37</v>
      </c>
      <c r="C75" s="914">
        <v>1</v>
      </c>
      <c r="D75" s="914">
        <v>13132</v>
      </c>
      <c r="E75" s="915">
        <v>1.0549999999999999</v>
      </c>
      <c r="F75" s="916">
        <f t="shared" si="0"/>
        <v>13855</v>
      </c>
      <c r="G75" s="915">
        <v>1.01</v>
      </c>
      <c r="H75" s="916">
        <f t="shared" si="1"/>
        <v>13994</v>
      </c>
      <c r="I75" s="917">
        <f t="shared" si="2"/>
        <v>13994</v>
      </c>
      <c r="J75" s="918">
        <f t="shared" si="3"/>
        <v>0.17499999999999999</v>
      </c>
      <c r="K75" s="919">
        <v>2298.1</v>
      </c>
      <c r="L75" s="917">
        <f t="shared" si="4"/>
        <v>2448.9499999999998</v>
      </c>
      <c r="M75" s="918">
        <f t="shared" si="5"/>
        <v>0</v>
      </c>
      <c r="N75" s="919"/>
      <c r="O75" s="917">
        <f t="shared" si="6"/>
        <v>0</v>
      </c>
      <c r="P75" s="918">
        <f t="shared" si="7"/>
        <v>0</v>
      </c>
      <c r="Q75" s="919"/>
      <c r="R75" s="917">
        <f t="shared" si="8"/>
        <v>0</v>
      </c>
      <c r="S75" s="918">
        <f t="shared" si="9"/>
        <v>0</v>
      </c>
      <c r="T75" s="919"/>
      <c r="U75" s="917">
        <f t="shared" si="10"/>
        <v>0</v>
      </c>
      <c r="V75" s="918">
        <f t="shared" si="11"/>
        <v>0</v>
      </c>
      <c r="W75" s="919"/>
      <c r="X75" s="917">
        <f t="shared" si="12"/>
        <v>0</v>
      </c>
      <c r="Y75" s="918">
        <f t="shared" si="13"/>
        <v>0</v>
      </c>
      <c r="Z75" s="919"/>
      <c r="AA75" s="917">
        <f t="shared" si="14"/>
        <v>0</v>
      </c>
      <c r="AB75" s="918">
        <f t="shared" si="15"/>
        <v>0</v>
      </c>
      <c r="AC75" s="919"/>
      <c r="AD75" s="917">
        <f t="shared" si="16"/>
        <v>0</v>
      </c>
      <c r="AE75" s="918">
        <f t="shared" si="17"/>
        <v>0</v>
      </c>
      <c r="AF75" s="919"/>
      <c r="AG75" s="917">
        <f t="shared" si="18"/>
        <v>0</v>
      </c>
      <c r="AH75" s="918">
        <f t="shared" si="19"/>
        <v>0</v>
      </c>
      <c r="AI75" s="919"/>
      <c r="AJ75" s="917">
        <f t="shared" si="20"/>
        <v>0</v>
      </c>
      <c r="AK75" s="918">
        <f t="shared" si="21"/>
        <v>0</v>
      </c>
      <c r="AL75" s="919"/>
      <c r="AM75" s="917">
        <f t="shared" si="22"/>
        <v>0</v>
      </c>
      <c r="AN75" s="920">
        <v>19242</v>
      </c>
      <c r="AO75" s="917">
        <f t="shared" si="23"/>
        <v>2799.05</v>
      </c>
      <c r="AP75" s="920"/>
      <c r="AQ75" s="916">
        <f t="shared" si="24"/>
        <v>0</v>
      </c>
      <c r="AR75" s="917">
        <f t="shared" si="25"/>
        <v>19242</v>
      </c>
      <c r="AS75" s="916">
        <v>12</v>
      </c>
      <c r="AT75" s="921">
        <f t="shared" si="26"/>
        <v>230904</v>
      </c>
      <c r="AU75" s="920"/>
      <c r="AV75" s="922">
        <f t="shared" si="27"/>
        <v>2309.04</v>
      </c>
      <c r="AW75" s="921">
        <f t="shared" si="28"/>
        <v>233213.04</v>
      </c>
      <c r="AX75" s="921">
        <f t="shared" si="29"/>
        <v>70430.34</v>
      </c>
      <c r="AY75" s="921">
        <f t="shared" si="30"/>
        <v>303643.38</v>
      </c>
      <c r="AZ75" s="923">
        <f t="shared" si="31"/>
        <v>233.2</v>
      </c>
      <c r="BA75" s="923">
        <f t="shared" si="32"/>
        <v>70.400000000000006</v>
      </c>
      <c r="BB75" s="923">
        <f t="shared" si="33"/>
        <v>303.60000000000002</v>
      </c>
      <c r="BC75" s="915">
        <v>0.95</v>
      </c>
      <c r="BD75" s="923">
        <f t="shared" si="34"/>
        <v>221.5</v>
      </c>
      <c r="BE75" s="923">
        <f t="shared" si="35"/>
        <v>66.900000000000006</v>
      </c>
      <c r="BF75" s="923">
        <f t="shared" si="36"/>
        <v>288.39999999999998</v>
      </c>
      <c r="BG75" s="924">
        <f>'[3]свод (2024)'!$B$116</f>
        <v>0.99758349999999996</v>
      </c>
      <c r="BH75" s="923">
        <f t="shared" si="37"/>
        <v>221</v>
      </c>
      <c r="BI75" s="923">
        <f t="shared" si="38"/>
        <v>66.7</v>
      </c>
      <c r="BJ75" s="923">
        <f t="shared" si="39"/>
        <v>287.7</v>
      </c>
      <c r="BK75" s="925">
        <f t="shared" si="40"/>
        <v>-12.2</v>
      </c>
      <c r="BL75" s="925">
        <f t="shared" si="40"/>
        <v>-3.7</v>
      </c>
      <c r="BM75" s="925">
        <f t="shared" si="41"/>
        <v>-15.9</v>
      </c>
      <c r="BN75" s="925">
        <f t="shared" si="42"/>
        <v>0</v>
      </c>
      <c r="BO75" s="925">
        <f t="shared" si="43"/>
        <v>0</v>
      </c>
      <c r="BP75" s="926"/>
      <c r="BQ75" s="925">
        <f t="shared" si="44"/>
        <v>221</v>
      </c>
      <c r="BR75" s="925">
        <f t="shared" si="44"/>
        <v>66.7</v>
      </c>
      <c r="BS75" s="925">
        <f t="shared" si="45"/>
        <v>287.7</v>
      </c>
      <c r="BU75" s="928">
        <f>C75</f>
        <v>1</v>
      </c>
      <c r="BV75" s="917"/>
      <c r="BW75" s="928"/>
      <c r="BX75" s="928">
        <f>AW75-X75</f>
        <v>233213.04</v>
      </c>
      <c r="BY75" s="928"/>
      <c r="BZ75" s="917"/>
      <c r="CA75" s="928"/>
      <c r="CB75" s="917"/>
      <c r="CC75" s="928"/>
      <c r="CD75" s="928"/>
      <c r="CE75" s="928"/>
      <c r="CF75" s="929">
        <f t="shared" si="60"/>
        <v>37004.699999999997</v>
      </c>
      <c r="CG75" s="928"/>
      <c r="CH75" s="928"/>
      <c r="CI75" s="928"/>
      <c r="CJ75" s="925"/>
      <c r="CK75" s="925"/>
      <c r="CL75" s="925"/>
      <c r="CM75" s="925"/>
      <c r="CN75" s="925"/>
      <c r="CO75" s="925"/>
      <c r="CP75" s="925"/>
      <c r="CQ75" s="925"/>
      <c r="CR75" s="925"/>
      <c r="CS75" s="917"/>
      <c r="CT75" s="928"/>
      <c r="CU75" s="928"/>
      <c r="CV75" s="928"/>
      <c r="CX75" s="925"/>
      <c r="CY75" s="925"/>
      <c r="CZ75" s="925"/>
      <c r="DB75" s="925"/>
      <c r="DC75" s="925"/>
      <c r="DD75" s="925"/>
      <c r="DE75" s="925"/>
      <c r="DF75" s="925"/>
      <c r="DG75" s="925"/>
      <c r="DH75" s="925"/>
      <c r="DI75" s="925"/>
      <c r="DJ75" s="925"/>
      <c r="DK75" s="925"/>
      <c r="DL75" s="925"/>
      <c r="DM75" s="925"/>
      <c r="DN75" s="925"/>
      <c r="DO75" s="925"/>
      <c r="DP75" s="925"/>
      <c r="DQ75" s="924"/>
      <c r="DR75" s="925"/>
      <c r="DS75" s="925"/>
      <c r="DT75" s="925"/>
      <c r="DV75" s="925"/>
      <c r="DW75" s="925"/>
      <c r="DX75" s="925"/>
      <c r="DY75" s="925"/>
      <c r="DZ75" s="925"/>
      <c r="EA75" s="925"/>
      <c r="EB75" s="925"/>
      <c r="EC75" s="925"/>
      <c r="ED75" s="925"/>
      <c r="EE75" s="925"/>
      <c r="EF75" s="925"/>
      <c r="EG75" s="925"/>
      <c r="EH75" s="925"/>
      <c r="EI75" s="925"/>
      <c r="EJ75" s="925"/>
      <c r="EK75" s="925"/>
      <c r="EL75" s="925"/>
      <c r="EM75" s="925"/>
      <c r="EN75" s="925"/>
      <c r="EO75" s="925"/>
      <c r="EP75" s="925"/>
      <c r="EQ75" s="925"/>
      <c r="ER75" s="925"/>
      <c r="ES75" s="925"/>
      <c r="ET75" s="925"/>
      <c r="EV75" s="924"/>
      <c r="EW75" s="925"/>
      <c r="EX75" s="925"/>
      <c r="EY75" s="925"/>
    </row>
    <row r="76" spans="1:155" s="927" customFormat="1" ht="20.100000000000001" customHeight="1" x14ac:dyDescent="0.25">
      <c r="A76" s="912" t="s">
        <v>286</v>
      </c>
      <c r="B76" s="913" t="s">
        <v>41</v>
      </c>
      <c r="C76" s="914">
        <v>1</v>
      </c>
      <c r="D76" s="914">
        <v>7912</v>
      </c>
      <c r="E76" s="915">
        <v>1.0549999999999999</v>
      </c>
      <c r="F76" s="916">
        <f t="shared" si="0"/>
        <v>8348</v>
      </c>
      <c r="G76" s="915">
        <v>1.01</v>
      </c>
      <c r="H76" s="916">
        <f t="shared" si="1"/>
        <v>8432</v>
      </c>
      <c r="I76" s="917">
        <f t="shared" si="2"/>
        <v>8432</v>
      </c>
      <c r="J76" s="918">
        <f t="shared" si="3"/>
        <v>0</v>
      </c>
      <c r="K76" s="919"/>
      <c r="L76" s="917">
        <f t="shared" si="4"/>
        <v>0</v>
      </c>
      <c r="M76" s="918">
        <f t="shared" si="5"/>
        <v>0</v>
      </c>
      <c r="N76" s="919"/>
      <c r="O76" s="917">
        <f t="shared" si="6"/>
        <v>0</v>
      </c>
      <c r="P76" s="918">
        <f t="shared" si="7"/>
        <v>0</v>
      </c>
      <c r="Q76" s="919"/>
      <c r="R76" s="917">
        <f t="shared" si="8"/>
        <v>0</v>
      </c>
      <c r="S76" s="918">
        <f t="shared" si="9"/>
        <v>0</v>
      </c>
      <c r="T76" s="919"/>
      <c r="U76" s="917">
        <f t="shared" si="10"/>
        <v>0</v>
      </c>
      <c r="V76" s="918">
        <f t="shared" si="11"/>
        <v>0</v>
      </c>
      <c r="W76" s="919"/>
      <c r="X76" s="917">
        <f t="shared" si="12"/>
        <v>0</v>
      </c>
      <c r="Y76" s="918">
        <f t="shared" si="13"/>
        <v>0</v>
      </c>
      <c r="Z76" s="919"/>
      <c r="AA76" s="917">
        <f t="shared" si="14"/>
        <v>0</v>
      </c>
      <c r="AB76" s="918">
        <f t="shared" si="15"/>
        <v>0.125</v>
      </c>
      <c r="AC76" s="919">
        <v>989</v>
      </c>
      <c r="AD76" s="917">
        <f t="shared" si="16"/>
        <v>1054</v>
      </c>
      <c r="AE76" s="918">
        <f t="shared" si="17"/>
        <v>0</v>
      </c>
      <c r="AF76" s="919"/>
      <c r="AG76" s="917">
        <f t="shared" si="18"/>
        <v>0</v>
      </c>
      <c r="AH76" s="918">
        <f t="shared" si="19"/>
        <v>0</v>
      </c>
      <c r="AI76" s="919"/>
      <c r="AJ76" s="917">
        <f t="shared" si="20"/>
        <v>0</v>
      </c>
      <c r="AK76" s="918">
        <f t="shared" si="21"/>
        <v>0</v>
      </c>
      <c r="AL76" s="919"/>
      <c r="AM76" s="917">
        <f t="shared" si="22"/>
        <v>0</v>
      </c>
      <c r="AN76" s="920">
        <v>19242</v>
      </c>
      <c r="AO76" s="917">
        <f t="shared" si="23"/>
        <v>9756</v>
      </c>
      <c r="AP76" s="920"/>
      <c r="AQ76" s="916">
        <f t="shared" si="24"/>
        <v>0</v>
      </c>
      <c r="AR76" s="917">
        <f t="shared" si="25"/>
        <v>19242</v>
      </c>
      <c r="AS76" s="916">
        <v>12</v>
      </c>
      <c r="AT76" s="921">
        <f t="shared" si="26"/>
        <v>230904</v>
      </c>
      <c r="AU76" s="920"/>
      <c r="AV76" s="922">
        <f t="shared" si="27"/>
        <v>2309.04</v>
      </c>
      <c r="AW76" s="921">
        <f t="shared" si="28"/>
        <v>233213.04</v>
      </c>
      <c r="AX76" s="921">
        <f t="shared" si="29"/>
        <v>70430.34</v>
      </c>
      <c r="AY76" s="921">
        <f t="shared" si="30"/>
        <v>303643.38</v>
      </c>
      <c r="AZ76" s="923">
        <f t="shared" si="31"/>
        <v>233.2</v>
      </c>
      <c r="BA76" s="923">
        <f t="shared" si="32"/>
        <v>70.400000000000006</v>
      </c>
      <c r="BB76" s="923">
        <f t="shared" si="33"/>
        <v>303.60000000000002</v>
      </c>
      <c r="BC76" s="915">
        <v>0.95</v>
      </c>
      <c r="BD76" s="923">
        <f t="shared" si="34"/>
        <v>221.5</v>
      </c>
      <c r="BE76" s="923">
        <f t="shared" si="35"/>
        <v>66.900000000000006</v>
      </c>
      <c r="BF76" s="923">
        <f t="shared" si="36"/>
        <v>288.39999999999998</v>
      </c>
      <c r="BG76" s="924">
        <f>'[3]свод (2024)'!$B$116</f>
        <v>0.99758349999999996</v>
      </c>
      <c r="BH76" s="923">
        <f t="shared" si="37"/>
        <v>221</v>
      </c>
      <c r="BI76" s="923">
        <f t="shared" si="38"/>
        <v>66.7</v>
      </c>
      <c r="BJ76" s="923">
        <f t="shared" si="39"/>
        <v>287.7</v>
      </c>
      <c r="BK76" s="925">
        <f t="shared" si="40"/>
        <v>-12.2</v>
      </c>
      <c r="BL76" s="925">
        <f t="shared" si="40"/>
        <v>-3.7</v>
      </c>
      <c r="BM76" s="925">
        <f t="shared" si="41"/>
        <v>-15.9</v>
      </c>
      <c r="BN76" s="925">
        <f t="shared" si="42"/>
        <v>0</v>
      </c>
      <c r="BO76" s="925">
        <f t="shared" si="43"/>
        <v>0</v>
      </c>
      <c r="BP76" s="926"/>
      <c r="BQ76" s="925">
        <f t="shared" si="44"/>
        <v>221</v>
      </c>
      <c r="BR76" s="925">
        <f t="shared" si="44"/>
        <v>66.7</v>
      </c>
      <c r="BS76" s="925">
        <f t="shared" si="45"/>
        <v>287.7</v>
      </c>
      <c r="BU76" s="928"/>
      <c r="BV76" s="917"/>
      <c r="BW76" s="928"/>
      <c r="BX76" s="928"/>
      <c r="BY76" s="928"/>
      <c r="BZ76" s="917"/>
      <c r="CA76" s="928"/>
      <c r="CB76" s="917"/>
      <c r="CC76" s="928"/>
      <c r="CD76" s="928"/>
      <c r="CE76" s="928"/>
      <c r="CF76" s="929"/>
      <c r="CG76" s="928"/>
      <c r="CH76" s="928"/>
      <c r="CI76" s="928"/>
      <c r="CJ76" s="925"/>
      <c r="CK76" s="925"/>
      <c r="CL76" s="925"/>
      <c r="CM76" s="925"/>
      <c r="CN76" s="925"/>
      <c r="CO76" s="925"/>
      <c r="CP76" s="925"/>
      <c r="CQ76" s="925"/>
      <c r="CR76" s="925"/>
      <c r="CS76" s="917"/>
      <c r="CT76" s="928"/>
      <c r="CU76" s="928"/>
      <c r="CV76" s="928"/>
      <c r="CX76" s="925"/>
      <c r="CY76" s="925"/>
      <c r="CZ76" s="925"/>
      <c r="DB76" s="925"/>
      <c r="DC76" s="925"/>
      <c r="DD76" s="925"/>
      <c r="DE76" s="925"/>
      <c r="DF76" s="925"/>
      <c r="DG76" s="925"/>
      <c r="DH76" s="925"/>
      <c r="DI76" s="925"/>
      <c r="DJ76" s="925"/>
      <c r="DK76" s="925"/>
      <c r="DL76" s="925"/>
      <c r="DM76" s="925"/>
      <c r="DN76" s="925"/>
      <c r="DO76" s="925"/>
      <c r="DP76" s="925"/>
      <c r="DQ76" s="924"/>
      <c r="DR76" s="925"/>
      <c r="DS76" s="925"/>
      <c r="DT76" s="925"/>
      <c r="DV76" s="925"/>
      <c r="DW76" s="925"/>
      <c r="DX76" s="925"/>
      <c r="DY76" s="925"/>
      <c r="DZ76" s="925"/>
      <c r="EA76" s="925"/>
      <c r="EB76" s="925"/>
      <c r="EC76" s="925"/>
      <c r="ED76" s="925"/>
      <c r="EE76" s="925"/>
      <c r="EF76" s="925"/>
      <c r="EG76" s="925"/>
      <c r="EH76" s="925"/>
      <c r="EI76" s="925"/>
      <c r="EJ76" s="925"/>
      <c r="EK76" s="925"/>
      <c r="EL76" s="925"/>
      <c r="EM76" s="925"/>
      <c r="EN76" s="925"/>
      <c r="EO76" s="925"/>
      <c r="EP76" s="925"/>
      <c r="EQ76" s="925"/>
      <c r="ER76" s="925"/>
      <c r="ES76" s="925"/>
      <c r="ET76" s="925"/>
      <c r="EV76" s="924"/>
      <c r="EW76" s="925"/>
      <c r="EX76" s="925"/>
      <c r="EY76" s="925"/>
    </row>
    <row r="77" spans="1:155" s="927" customFormat="1" ht="20.100000000000001" customHeight="1" x14ac:dyDescent="0.25">
      <c r="A77" s="912" t="s">
        <v>286</v>
      </c>
      <c r="B77" s="913" t="s">
        <v>399</v>
      </c>
      <c r="C77" s="914">
        <v>0.25</v>
      </c>
      <c r="D77" s="914">
        <v>6707</v>
      </c>
      <c r="E77" s="915">
        <v>1.0549999999999999</v>
      </c>
      <c r="F77" s="916">
        <f t="shared" si="0"/>
        <v>7076</v>
      </c>
      <c r="G77" s="915">
        <v>1.01</v>
      </c>
      <c r="H77" s="916">
        <f t="shared" si="1"/>
        <v>7147</v>
      </c>
      <c r="I77" s="917">
        <f t="shared" si="2"/>
        <v>1786.75</v>
      </c>
      <c r="J77" s="918">
        <f t="shared" si="3"/>
        <v>0</v>
      </c>
      <c r="K77" s="919"/>
      <c r="L77" s="917">
        <f t="shared" si="4"/>
        <v>0</v>
      </c>
      <c r="M77" s="918">
        <f t="shared" si="5"/>
        <v>0</v>
      </c>
      <c r="N77" s="919"/>
      <c r="O77" s="917">
        <f t="shared" si="6"/>
        <v>0</v>
      </c>
      <c r="P77" s="918">
        <f t="shared" si="7"/>
        <v>0</v>
      </c>
      <c r="Q77" s="919"/>
      <c r="R77" s="917">
        <f t="shared" si="8"/>
        <v>0</v>
      </c>
      <c r="S77" s="918">
        <f t="shared" si="9"/>
        <v>0</v>
      </c>
      <c r="T77" s="919"/>
      <c r="U77" s="917">
        <f t="shared" si="10"/>
        <v>0</v>
      </c>
      <c r="V77" s="918">
        <f t="shared" si="11"/>
        <v>0</v>
      </c>
      <c r="W77" s="919"/>
      <c r="X77" s="917">
        <f t="shared" si="12"/>
        <v>0</v>
      </c>
      <c r="Y77" s="918">
        <f t="shared" si="13"/>
        <v>1.99</v>
      </c>
      <c r="Z77" s="919">
        <v>3336.73</v>
      </c>
      <c r="AA77" s="917">
        <f t="shared" si="14"/>
        <v>3555.63</v>
      </c>
      <c r="AB77" s="918">
        <f t="shared" si="15"/>
        <v>0.15</v>
      </c>
      <c r="AC77" s="919">
        <v>251.51</v>
      </c>
      <c r="AD77" s="917">
        <f t="shared" si="16"/>
        <v>268.01</v>
      </c>
      <c r="AE77" s="918">
        <f t="shared" si="17"/>
        <v>0</v>
      </c>
      <c r="AF77" s="919"/>
      <c r="AG77" s="917">
        <f t="shared" si="18"/>
        <v>0</v>
      </c>
      <c r="AH77" s="918">
        <f t="shared" si="19"/>
        <v>0</v>
      </c>
      <c r="AI77" s="919"/>
      <c r="AJ77" s="917">
        <f t="shared" si="20"/>
        <v>0</v>
      </c>
      <c r="AK77" s="918">
        <f t="shared" si="21"/>
        <v>0</v>
      </c>
      <c r="AL77" s="919"/>
      <c r="AM77" s="917">
        <f t="shared" si="22"/>
        <v>0</v>
      </c>
      <c r="AN77" s="920">
        <v>19242</v>
      </c>
      <c r="AO77" s="917">
        <f t="shared" si="23"/>
        <v>0</v>
      </c>
      <c r="AP77" s="920"/>
      <c r="AQ77" s="916">
        <f t="shared" si="24"/>
        <v>0</v>
      </c>
      <c r="AR77" s="917">
        <f t="shared" si="25"/>
        <v>5610.39</v>
      </c>
      <c r="AS77" s="916">
        <v>12</v>
      </c>
      <c r="AT77" s="921">
        <f t="shared" si="26"/>
        <v>67324.679999999993</v>
      </c>
      <c r="AU77" s="920"/>
      <c r="AV77" s="922">
        <f t="shared" si="27"/>
        <v>673.25</v>
      </c>
      <c r="AW77" s="921">
        <f t="shared" si="28"/>
        <v>67997.929999999993</v>
      </c>
      <c r="AX77" s="921">
        <f t="shared" si="29"/>
        <v>20535.37</v>
      </c>
      <c r="AY77" s="921">
        <f t="shared" si="30"/>
        <v>88533.3</v>
      </c>
      <c r="AZ77" s="923">
        <f t="shared" si="31"/>
        <v>68</v>
      </c>
      <c r="BA77" s="923">
        <f t="shared" si="32"/>
        <v>20.5</v>
      </c>
      <c r="BB77" s="923">
        <f t="shared" si="33"/>
        <v>88.5</v>
      </c>
      <c r="BC77" s="915">
        <v>0.95</v>
      </c>
      <c r="BD77" s="923">
        <f t="shared" si="34"/>
        <v>64.599999999999994</v>
      </c>
      <c r="BE77" s="923">
        <f t="shared" si="35"/>
        <v>19.5</v>
      </c>
      <c r="BF77" s="923">
        <f t="shared" si="36"/>
        <v>84.1</v>
      </c>
      <c r="BG77" s="924">
        <f>'[3]свод (2024)'!$B$116</f>
        <v>0.99758349999999996</v>
      </c>
      <c r="BH77" s="923">
        <f t="shared" si="37"/>
        <v>64.400000000000006</v>
      </c>
      <c r="BI77" s="923">
        <f t="shared" si="38"/>
        <v>19.399999999999999</v>
      </c>
      <c r="BJ77" s="923">
        <f t="shared" si="39"/>
        <v>83.8</v>
      </c>
      <c r="BK77" s="925">
        <f t="shared" si="40"/>
        <v>-3.6</v>
      </c>
      <c r="BL77" s="925">
        <f t="shared" si="40"/>
        <v>-1.1000000000000001</v>
      </c>
      <c r="BM77" s="925">
        <f t="shared" si="41"/>
        <v>-4.7</v>
      </c>
      <c r="BN77" s="925">
        <f t="shared" si="42"/>
        <v>0</v>
      </c>
      <c r="BO77" s="925">
        <f t="shared" si="43"/>
        <v>0</v>
      </c>
      <c r="BP77" s="926"/>
      <c r="BQ77" s="925">
        <f t="shared" si="44"/>
        <v>64.400000000000006</v>
      </c>
      <c r="BR77" s="925">
        <f t="shared" si="44"/>
        <v>19.399999999999999</v>
      </c>
      <c r="BS77" s="925">
        <f t="shared" si="45"/>
        <v>83.8</v>
      </c>
      <c r="BU77" s="928"/>
      <c r="BV77" s="917"/>
      <c r="BW77" s="928"/>
      <c r="BX77" s="928"/>
      <c r="BY77" s="928"/>
      <c r="BZ77" s="917"/>
      <c r="CA77" s="928"/>
      <c r="CB77" s="917"/>
      <c r="CC77" s="928"/>
      <c r="CD77" s="928"/>
      <c r="CE77" s="928"/>
      <c r="CF77" s="929"/>
      <c r="CG77" s="928"/>
      <c r="CH77" s="928"/>
      <c r="CI77" s="928"/>
      <c r="CJ77" s="925"/>
      <c r="CK77" s="925"/>
      <c r="CL77" s="925"/>
      <c r="CM77" s="925"/>
      <c r="CN77" s="925"/>
      <c r="CO77" s="925"/>
      <c r="CP77" s="925"/>
      <c r="CQ77" s="925"/>
      <c r="CR77" s="925"/>
      <c r="CS77" s="917"/>
      <c r="CT77" s="928"/>
      <c r="CU77" s="928"/>
      <c r="CV77" s="928"/>
      <c r="CX77" s="925"/>
      <c r="CY77" s="925"/>
      <c r="CZ77" s="925"/>
      <c r="DB77" s="925"/>
      <c r="DC77" s="925"/>
      <c r="DD77" s="925"/>
      <c r="DE77" s="925"/>
      <c r="DF77" s="925"/>
      <c r="DG77" s="925"/>
      <c r="DH77" s="925"/>
      <c r="DI77" s="925"/>
      <c r="DJ77" s="925"/>
      <c r="DK77" s="925"/>
      <c r="DL77" s="925"/>
      <c r="DM77" s="925"/>
      <c r="DN77" s="925"/>
      <c r="DO77" s="925"/>
      <c r="DP77" s="925"/>
      <c r="DQ77" s="924"/>
      <c r="DR77" s="925"/>
      <c r="DS77" s="925"/>
      <c r="DT77" s="925"/>
      <c r="DV77" s="925"/>
      <c r="DW77" s="925"/>
      <c r="DX77" s="925"/>
      <c r="DY77" s="925"/>
      <c r="DZ77" s="925"/>
      <c r="EA77" s="925"/>
      <c r="EB77" s="925"/>
      <c r="EC77" s="925"/>
      <c r="ED77" s="925"/>
      <c r="EE77" s="925"/>
      <c r="EF77" s="925"/>
      <c r="EG77" s="925"/>
      <c r="EH77" s="925"/>
      <c r="EI77" s="925"/>
      <c r="EJ77" s="925"/>
      <c r="EK77" s="925"/>
      <c r="EL77" s="925"/>
      <c r="EM77" s="925"/>
      <c r="EN77" s="925"/>
      <c r="EO77" s="925"/>
      <c r="EP77" s="925"/>
      <c r="EQ77" s="925"/>
      <c r="ER77" s="925"/>
      <c r="ES77" s="925"/>
      <c r="ET77" s="925"/>
      <c r="EV77" s="924"/>
      <c r="EW77" s="925"/>
      <c r="EX77" s="925"/>
      <c r="EY77" s="925"/>
    </row>
    <row r="78" spans="1:155" s="927" customFormat="1" ht="20.100000000000001" customHeight="1" x14ac:dyDescent="0.25">
      <c r="A78" s="912" t="s">
        <v>286</v>
      </c>
      <c r="B78" s="913" t="s">
        <v>1390</v>
      </c>
      <c r="C78" s="914">
        <v>1</v>
      </c>
      <c r="D78" s="914">
        <v>4336</v>
      </c>
      <c r="E78" s="915">
        <v>1.0549999999999999</v>
      </c>
      <c r="F78" s="916">
        <f t="shared" si="0"/>
        <v>4575</v>
      </c>
      <c r="G78" s="915">
        <v>1.01</v>
      </c>
      <c r="H78" s="916">
        <f t="shared" si="1"/>
        <v>4621</v>
      </c>
      <c r="I78" s="917">
        <f t="shared" si="2"/>
        <v>4621</v>
      </c>
      <c r="J78" s="918">
        <f t="shared" si="3"/>
        <v>0</v>
      </c>
      <c r="K78" s="919"/>
      <c r="L78" s="917">
        <f t="shared" si="4"/>
        <v>0</v>
      </c>
      <c r="M78" s="918">
        <f t="shared" si="5"/>
        <v>0</v>
      </c>
      <c r="N78" s="919"/>
      <c r="O78" s="917">
        <f t="shared" si="6"/>
        <v>0</v>
      </c>
      <c r="P78" s="918">
        <f t="shared" si="7"/>
        <v>0</v>
      </c>
      <c r="Q78" s="919"/>
      <c r="R78" s="917">
        <f t="shared" si="8"/>
        <v>0</v>
      </c>
      <c r="S78" s="918">
        <f t="shared" si="9"/>
        <v>0</v>
      </c>
      <c r="T78" s="919"/>
      <c r="U78" s="917">
        <f t="shared" si="10"/>
        <v>0</v>
      </c>
      <c r="V78" s="918">
        <f t="shared" si="11"/>
        <v>0</v>
      </c>
      <c r="W78" s="919"/>
      <c r="X78" s="917">
        <f t="shared" si="12"/>
        <v>0</v>
      </c>
      <c r="Y78" s="918">
        <f t="shared" si="13"/>
        <v>0</v>
      </c>
      <c r="Z78" s="919"/>
      <c r="AA78" s="917">
        <f t="shared" si="14"/>
        <v>0</v>
      </c>
      <c r="AB78" s="918">
        <f t="shared" si="15"/>
        <v>0</v>
      </c>
      <c r="AC78" s="919"/>
      <c r="AD78" s="917">
        <f t="shared" si="16"/>
        <v>0</v>
      </c>
      <c r="AE78" s="918">
        <f t="shared" si="17"/>
        <v>0</v>
      </c>
      <c r="AF78" s="919"/>
      <c r="AG78" s="917">
        <f t="shared" si="18"/>
        <v>0</v>
      </c>
      <c r="AH78" s="918">
        <f t="shared" si="19"/>
        <v>0</v>
      </c>
      <c r="AI78" s="919"/>
      <c r="AJ78" s="917">
        <f t="shared" si="20"/>
        <v>0</v>
      </c>
      <c r="AK78" s="918">
        <f t="shared" si="21"/>
        <v>0</v>
      </c>
      <c r="AL78" s="919"/>
      <c r="AM78" s="917">
        <f t="shared" si="22"/>
        <v>0</v>
      </c>
      <c r="AN78" s="920">
        <v>19242</v>
      </c>
      <c r="AO78" s="917">
        <f t="shared" si="23"/>
        <v>14621</v>
      </c>
      <c r="AP78" s="920"/>
      <c r="AQ78" s="916">
        <f t="shared" si="24"/>
        <v>0</v>
      </c>
      <c r="AR78" s="917">
        <f t="shared" si="25"/>
        <v>19242</v>
      </c>
      <c r="AS78" s="916">
        <v>12</v>
      </c>
      <c r="AT78" s="921">
        <f t="shared" si="26"/>
        <v>230904</v>
      </c>
      <c r="AU78" s="920">
        <f>AT78*0.085</f>
        <v>19626.84</v>
      </c>
      <c r="AV78" s="922">
        <f t="shared" si="27"/>
        <v>2309.04</v>
      </c>
      <c r="AW78" s="921">
        <f t="shared" si="28"/>
        <v>252839.88</v>
      </c>
      <c r="AX78" s="921">
        <f t="shared" si="29"/>
        <v>76357.64</v>
      </c>
      <c r="AY78" s="921">
        <f t="shared" si="30"/>
        <v>329197.52</v>
      </c>
      <c r="AZ78" s="923">
        <f t="shared" si="31"/>
        <v>252.8</v>
      </c>
      <c r="BA78" s="923">
        <f t="shared" si="32"/>
        <v>76.3</v>
      </c>
      <c r="BB78" s="923">
        <f t="shared" si="33"/>
        <v>329.1</v>
      </c>
      <c r="BC78" s="915">
        <v>0.95</v>
      </c>
      <c r="BD78" s="923">
        <f t="shared" si="34"/>
        <v>240.2</v>
      </c>
      <c r="BE78" s="923">
        <f t="shared" si="35"/>
        <v>72.5</v>
      </c>
      <c r="BF78" s="923">
        <f t="shared" si="36"/>
        <v>312.7</v>
      </c>
      <c r="BG78" s="924">
        <f>'[3]свод (2024)'!$B$116</f>
        <v>0.99758349999999996</v>
      </c>
      <c r="BH78" s="923">
        <f t="shared" si="37"/>
        <v>239.6</v>
      </c>
      <c r="BI78" s="923">
        <f t="shared" si="38"/>
        <v>72.400000000000006</v>
      </c>
      <c r="BJ78" s="923">
        <f t="shared" si="39"/>
        <v>312</v>
      </c>
      <c r="BK78" s="925">
        <f t="shared" si="40"/>
        <v>-13.2</v>
      </c>
      <c r="BL78" s="925">
        <f t="shared" si="40"/>
        <v>-3.9</v>
      </c>
      <c r="BM78" s="925">
        <f t="shared" si="41"/>
        <v>-17.100000000000001</v>
      </c>
      <c r="BN78" s="925">
        <f t="shared" si="42"/>
        <v>0</v>
      </c>
      <c r="BO78" s="925">
        <f t="shared" si="43"/>
        <v>0</v>
      </c>
      <c r="BP78" s="926"/>
      <c r="BQ78" s="925">
        <f t="shared" si="44"/>
        <v>239.6</v>
      </c>
      <c r="BR78" s="925">
        <f t="shared" si="44"/>
        <v>72.400000000000006</v>
      </c>
      <c r="BS78" s="925">
        <f t="shared" si="45"/>
        <v>312</v>
      </c>
      <c r="BU78" s="928"/>
      <c r="BV78" s="917"/>
      <c r="BW78" s="928"/>
      <c r="BX78" s="928"/>
      <c r="BY78" s="928"/>
      <c r="BZ78" s="917"/>
      <c r="CA78" s="928"/>
      <c r="CB78" s="917"/>
      <c r="CC78" s="928"/>
      <c r="CD78" s="928"/>
      <c r="CE78" s="928"/>
      <c r="CF78" s="929"/>
      <c r="CG78" s="928"/>
      <c r="CH78" s="928"/>
      <c r="CI78" s="928"/>
      <c r="CJ78" s="925"/>
      <c r="CK78" s="925"/>
      <c r="CL78" s="925"/>
      <c r="CM78" s="925"/>
      <c r="CN78" s="925"/>
      <c r="CO78" s="925"/>
      <c r="CP78" s="925"/>
      <c r="CQ78" s="925"/>
      <c r="CR78" s="925"/>
      <c r="CS78" s="917"/>
      <c r="CT78" s="928"/>
      <c r="CU78" s="928"/>
      <c r="CV78" s="928"/>
      <c r="CX78" s="925"/>
      <c r="CY78" s="925"/>
      <c r="CZ78" s="925"/>
      <c r="DB78" s="925"/>
      <c r="DC78" s="925"/>
      <c r="DD78" s="925"/>
      <c r="DE78" s="925"/>
      <c r="DF78" s="925"/>
      <c r="DG78" s="925"/>
      <c r="DH78" s="925"/>
      <c r="DI78" s="925"/>
      <c r="DJ78" s="925"/>
      <c r="DK78" s="925"/>
      <c r="DL78" s="925"/>
      <c r="DM78" s="925"/>
      <c r="DN78" s="925"/>
      <c r="DO78" s="925"/>
      <c r="DP78" s="925"/>
      <c r="DQ78" s="924"/>
      <c r="DR78" s="925"/>
      <c r="DS78" s="925"/>
      <c r="DT78" s="925"/>
      <c r="DV78" s="925"/>
      <c r="DW78" s="925"/>
      <c r="DX78" s="925"/>
      <c r="DY78" s="925"/>
      <c r="DZ78" s="925"/>
      <c r="EA78" s="925"/>
      <c r="EB78" s="925"/>
      <c r="EC78" s="925"/>
      <c r="ED78" s="925"/>
      <c r="EE78" s="925"/>
      <c r="EF78" s="925"/>
      <c r="EG78" s="925"/>
      <c r="EH78" s="925"/>
      <c r="EI78" s="925"/>
      <c r="EJ78" s="925"/>
      <c r="EK78" s="925"/>
      <c r="EL78" s="925"/>
      <c r="EM78" s="925"/>
      <c r="EN78" s="925"/>
      <c r="EO78" s="925"/>
      <c r="EP78" s="925"/>
      <c r="EQ78" s="925"/>
      <c r="ER78" s="925"/>
      <c r="ES78" s="925"/>
      <c r="ET78" s="925"/>
      <c r="EV78" s="924"/>
      <c r="EW78" s="925"/>
      <c r="EX78" s="925"/>
      <c r="EY78" s="925"/>
    </row>
    <row r="79" spans="1:155" s="927" customFormat="1" ht="20.100000000000001" customHeight="1" x14ac:dyDescent="0.25">
      <c r="A79" s="931" t="s">
        <v>286</v>
      </c>
      <c r="B79" s="932"/>
      <c r="C79" s="933">
        <f>SUM(C67:C78)</f>
        <v>18.75</v>
      </c>
      <c r="D79" s="933">
        <f t="shared" ref="D79:BO79" si="61">SUM(D67:D78)</f>
        <v>148784</v>
      </c>
      <c r="E79" s="934">
        <f t="shared" si="61"/>
        <v>12.66</v>
      </c>
      <c r="F79" s="935">
        <f t="shared" si="61"/>
        <v>156973</v>
      </c>
      <c r="G79" s="934">
        <f t="shared" si="61"/>
        <v>12.12</v>
      </c>
      <c r="H79" s="935">
        <f t="shared" si="61"/>
        <v>158548</v>
      </c>
      <c r="I79" s="936">
        <f t="shared" si="61"/>
        <v>265430.5</v>
      </c>
      <c r="J79" s="937">
        <f t="shared" si="61"/>
        <v>0.59341999999999995</v>
      </c>
      <c r="K79" s="938">
        <f t="shared" si="61"/>
        <v>26752.29</v>
      </c>
      <c r="L79" s="936">
        <f t="shared" si="61"/>
        <v>28508.21</v>
      </c>
      <c r="M79" s="937">
        <f t="shared" si="61"/>
        <v>0</v>
      </c>
      <c r="N79" s="938">
        <f t="shared" si="61"/>
        <v>0</v>
      </c>
      <c r="O79" s="936">
        <f t="shared" si="61"/>
        <v>0</v>
      </c>
      <c r="P79" s="937">
        <f t="shared" si="61"/>
        <v>0</v>
      </c>
      <c r="Q79" s="938">
        <f t="shared" si="61"/>
        <v>0</v>
      </c>
      <c r="R79" s="936">
        <f t="shared" si="61"/>
        <v>0</v>
      </c>
      <c r="S79" s="937">
        <f t="shared" si="61"/>
        <v>0</v>
      </c>
      <c r="T79" s="938">
        <f t="shared" si="61"/>
        <v>0</v>
      </c>
      <c r="U79" s="936">
        <f t="shared" si="61"/>
        <v>0</v>
      </c>
      <c r="V79" s="937">
        <f t="shared" si="61"/>
        <v>0</v>
      </c>
      <c r="W79" s="938">
        <f t="shared" si="61"/>
        <v>0</v>
      </c>
      <c r="X79" s="936">
        <f t="shared" si="61"/>
        <v>0</v>
      </c>
      <c r="Y79" s="937">
        <f t="shared" si="61"/>
        <v>8.8049999999999997</v>
      </c>
      <c r="Z79" s="938">
        <f t="shared" si="61"/>
        <v>49695.41</v>
      </c>
      <c r="AA79" s="936">
        <f t="shared" si="61"/>
        <v>52957.96</v>
      </c>
      <c r="AB79" s="937">
        <f t="shared" si="61"/>
        <v>1.25336</v>
      </c>
      <c r="AC79" s="938">
        <f t="shared" si="61"/>
        <v>29611.1</v>
      </c>
      <c r="AD79" s="936">
        <f t="shared" si="61"/>
        <v>31554.1</v>
      </c>
      <c r="AE79" s="937">
        <f t="shared" si="61"/>
        <v>1.14E-2</v>
      </c>
      <c r="AF79" s="938">
        <f t="shared" si="61"/>
        <v>1422.63</v>
      </c>
      <c r="AG79" s="936">
        <f t="shared" si="61"/>
        <v>1515.55</v>
      </c>
      <c r="AH79" s="937">
        <f t="shared" si="61"/>
        <v>0</v>
      </c>
      <c r="AI79" s="938">
        <f t="shared" si="61"/>
        <v>0</v>
      </c>
      <c r="AJ79" s="936">
        <f t="shared" si="61"/>
        <v>0</v>
      </c>
      <c r="AK79" s="937">
        <f t="shared" si="61"/>
        <v>0</v>
      </c>
      <c r="AL79" s="938">
        <f t="shared" si="61"/>
        <v>0</v>
      </c>
      <c r="AM79" s="936">
        <f t="shared" si="61"/>
        <v>0</v>
      </c>
      <c r="AN79" s="933">
        <f t="shared" si="61"/>
        <v>230904</v>
      </c>
      <c r="AO79" s="936">
        <f t="shared" si="61"/>
        <v>36092.720000000001</v>
      </c>
      <c r="AP79" s="933">
        <f t="shared" si="61"/>
        <v>0</v>
      </c>
      <c r="AQ79" s="935">
        <f t="shared" si="61"/>
        <v>0</v>
      </c>
      <c r="AR79" s="936">
        <f t="shared" si="61"/>
        <v>416059.04</v>
      </c>
      <c r="AS79" s="935">
        <f t="shared" si="61"/>
        <v>144</v>
      </c>
      <c r="AT79" s="939">
        <f t="shared" si="61"/>
        <v>4992708.4800000004</v>
      </c>
      <c r="AU79" s="933">
        <f t="shared" si="61"/>
        <v>19626.84</v>
      </c>
      <c r="AV79" s="940">
        <f t="shared" si="61"/>
        <v>49927.08</v>
      </c>
      <c r="AW79" s="939">
        <f t="shared" si="61"/>
        <v>5062262.4000000004</v>
      </c>
      <c r="AX79" s="939">
        <f t="shared" si="61"/>
        <v>1528803.23</v>
      </c>
      <c r="AY79" s="939">
        <f t="shared" si="61"/>
        <v>6591065.6299999999</v>
      </c>
      <c r="AZ79" s="941">
        <f t="shared" si="61"/>
        <v>5062.2</v>
      </c>
      <c r="BA79" s="941">
        <f t="shared" si="61"/>
        <v>1528.6</v>
      </c>
      <c r="BB79" s="941">
        <f t="shared" si="61"/>
        <v>6590.8</v>
      </c>
      <c r="BC79" s="934">
        <f t="shared" si="61"/>
        <v>11.4</v>
      </c>
      <c r="BD79" s="941">
        <f t="shared" si="61"/>
        <v>4809</v>
      </c>
      <c r="BE79" s="941">
        <f t="shared" si="61"/>
        <v>1452.3</v>
      </c>
      <c r="BF79" s="941">
        <f t="shared" si="61"/>
        <v>6261.3</v>
      </c>
      <c r="BG79" s="942">
        <f>'[3]свод (2024)'!$B$116</f>
        <v>0.99758349999999996</v>
      </c>
      <c r="BH79" s="941">
        <f t="shared" si="61"/>
        <v>4797.3999999999996</v>
      </c>
      <c r="BI79" s="941">
        <f t="shared" si="61"/>
        <v>1448.6</v>
      </c>
      <c r="BJ79" s="941">
        <f t="shared" si="61"/>
        <v>6246</v>
      </c>
      <c r="BK79" s="943">
        <f t="shared" si="61"/>
        <v>-264.8</v>
      </c>
      <c r="BL79" s="943">
        <f t="shared" si="61"/>
        <v>-80</v>
      </c>
      <c r="BM79" s="943">
        <f t="shared" si="61"/>
        <v>-344.8</v>
      </c>
      <c r="BN79" s="943">
        <f t="shared" si="61"/>
        <v>0</v>
      </c>
      <c r="BO79" s="943">
        <f t="shared" si="61"/>
        <v>0</v>
      </c>
      <c r="BP79" s="944">
        <f t="shared" ref="BP79:BS79" si="62">SUM(BP67:BP78)</f>
        <v>0</v>
      </c>
      <c r="BQ79" s="943">
        <f t="shared" si="62"/>
        <v>4797.3999999999996</v>
      </c>
      <c r="BR79" s="943">
        <f t="shared" si="62"/>
        <v>1448.6</v>
      </c>
      <c r="BS79" s="943">
        <f t="shared" si="62"/>
        <v>6246</v>
      </c>
      <c r="BU79" s="945">
        <f>SUM(BU67:BU78)</f>
        <v>11.5</v>
      </c>
      <c r="BV79" s="946">
        <v>4.8</v>
      </c>
      <c r="BW79" s="947">
        <f t="shared" ref="BW79" si="63">BU79-BV79</f>
        <v>6.7</v>
      </c>
      <c r="BX79" s="945">
        <f>SUM(BX67:BX78)</f>
        <v>2706652.94</v>
      </c>
      <c r="BY79" s="947">
        <f>BX79/BU79*BW79</f>
        <v>1576919.54</v>
      </c>
      <c r="BZ79" s="946">
        <v>4</v>
      </c>
      <c r="CA79" s="947">
        <f t="shared" ref="CA79" si="64">BY79/BZ79/12</f>
        <v>32852.49</v>
      </c>
      <c r="CB79" s="946">
        <v>41718.199999999997</v>
      </c>
      <c r="CC79" s="947">
        <f t="shared" ref="CC79" si="65">(CB79-CA79)*BZ79*12</f>
        <v>425554.08</v>
      </c>
      <c r="CD79" s="947">
        <f t="shared" si="52"/>
        <v>128517.33</v>
      </c>
      <c r="CE79" s="947">
        <f t="shared" ref="CE79" si="66">CC79+CD79</f>
        <v>554071.41</v>
      </c>
      <c r="CF79" s="948">
        <f>SUM(CF67:CF78)</f>
        <v>425554.07</v>
      </c>
      <c r="CG79" s="949">
        <f>ROUND(CC79/1000,1)</f>
        <v>425.6</v>
      </c>
      <c r="CH79" s="949">
        <f>ROUND(CD79/1000,1)</f>
        <v>128.5</v>
      </c>
      <c r="CI79" s="950">
        <f>CG79+CH79</f>
        <v>554.1</v>
      </c>
      <c r="CJ79" s="951">
        <f>BQ79+CG79</f>
        <v>5223</v>
      </c>
      <c r="CK79" s="951">
        <f>BR79+CH79</f>
        <v>1577.1</v>
      </c>
      <c r="CL79" s="952">
        <f>CJ79+CK79</f>
        <v>6800.1</v>
      </c>
      <c r="CM79" s="951">
        <f>0/6*12</f>
        <v>0</v>
      </c>
      <c r="CN79" s="951">
        <f>CM79*0.302</f>
        <v>0</v>
      </c>
      <c r="CO79" s="952">
        <f>CM79+CN79</f>
        <v>0</v>
      </c>
      <c r="CP79" s="951">
        <f>ROUND(CJ79-CM79,1)</f>
        <v>5223</v>
      </c>
      <c r="CQ79" s="951">
        <f>ROUND(CK79-CN79,1)</f>
        <v>1577.1</v>
      </c>
      <c r="CR79" s="952">
        <f>CP79+CQ79</f>
        <v>6800.1</v>
      </c>
      <c r="CS79" s="946">
        <v>38663.800000000003</v>
      </c>
      <c r="CT79" s="953">
        <f>(CB79-CS79)*BZ79*12/1000</f>
        <v>146.6</v>
      </c>
      <c r="CU79" s="953">
        <f>CT79*0.302</f>
        <v>44.3</v>
      </c>
      <c r="CV79" s="953">
        <f>CT79+CU79</f>
        <v>190.9</v>
      </c>
      <c r="CX79" s="951">
        <f>(BY79+CC79)/1000-CM79</f>
        <v>2002.5</v>
      </c>
      <c r="CY79" s="951">
        <f>CX79*0.302</f>
        <v>604.79999999999995</v>
      </c>
      <c r="CZ79" s="952">
        <f>CX79+CY79</f>
        <v>2607.3000000000002</v>
      </c>
      <c r="DB79" s="954"/>
      <c r="DC79" s="954"/>
      <c r="DD79" s="921"/>
      <c r="DE79" s="954"/>
      <c r="DF79" s="954"/>
      <c r="DG79" s="921"/>
      <c r="DH79" s="954"/>
      <c r="DI79" s="954"/>
      <c r="DJ79" s="921"/>
      <c r="DK79" s="954"/>
      <c r="DL79" s="954"/>
      <c r="DM79" s="921"/>
      <c r="DN79" s="954"/>
      <c r="DO79" s="954"/>
      <c r="DP79" s="921"/>
      <c r="DQ79" s="942">
        <f>$DQ$239</f>
        <v>0.97853064899999997</v>
      </c>
      <c r="DR79" s="951">
        <f>ROUND(CP79*DQ79,1)</f>
        <v>5110.8999999999996</v>
      </c>
      <c r="DS79" s="951">
        <f>ROUND(CQ79*DQ79,1)</f>
        <v>1543.2</v>
      </c>
      <c r="DT79" s="952">
        <f>DR79+DS79</f>
        <v>6654.1</v>
      </c>
      <c r="DV79" s="921"/>
      <c r="DW79" s="921"/>
      <c r="DX79" s="921"/>
      <c r="DY79" s="921"/>
      <c r="DZ79" s="921"/>
      <c r="EA79" s="921"/>
      <c r="EB79" s="921"/>
      <c r="EC79" s="921"/>
      <c r="ED79" s="921"/>
      <c r="EE79" s="921"/>
      <c r="EF79" s="921"/>
      <c r="EG79" s="921"/>
      <c r="EH79" s="921"/>
      <c r="EI79" s="921"/>
      <c r="EJ79" s="921"/>
      <c r="EK79" s="921"/>
      <c r="EL79" s="921"/>
      <c r="EM79" s="921"/>
      <c r="EN79" s="921"/>
      <c r="EO79" s="921"/>
      <c r="EP79" s="921"/>
      <c r="EQ79" s="954"/>
      <c r="ER79" s="954"/>
      <c r="ES79" s="954"/>
      <c r="ET79" s="954"/>
      <c r="EV79" s="942">
        <f>EV239</f>
        <v>0.98076503800000003</v>
      </c>
      <c r="EW79" s="951">
        <f>ROUND(CP79*EV79,1)</f>
        <v>5122.5</v>
      </c>
      <c r="EX79" s="951">
        <f>ROUND(CQ79*EV79,1)</f>
        <v>1546.8</v>
      </c>
      <c r="EY79" s="952">
        <f>EW79+EX79</f>
        <v>6669.3</v>
      </c>
    </row>
    <row r="80" spans="1:155" s="927" customFormat="1" ht="15.75" x14ac:dyDescent="0.25">
      <c r="A80" s="931"/>
      <c r="B80" s="932" t="s">
        <v>406</v>
      </c>
      <c r="C80" s="981">
        <f>C74</f>
        <v>9.5</v>
      </c>
      <c r="D80" s="938"/>
      <c r="E80" s="983"/>
      <c r="F80" s="936"/>
      <c r="G80" s="983"/>
      <c r="H80" s="984">
        <f t="shared" ref="H80:I80" si="67">H74</f>
        <v>13994</v>
      </c>
      <c r="I80" s="984">
        <f t="shared" si="67"/>
        <v>132943</v>
      </c>
      <c r="J80" s="937"/>
      <c r="K80" s="938"/>
      <c r="L80" s="984">
        <f>L74</f>
        <v>22390.26</v>
      </c>
      <c r="M80" s="937"/>
      <c r="N80" s="938"/>
      <c r="O80" s="984">
        <f>O74</f>
        <v>0</v>
      </c>
      <c r="P80" s="937"/>
      <c r="Q80" s="938"/>
      <c r="R80" s="984">
        <f>R74</f>
        <v>0</v>
      </c>
      <c r="S80" s="937"/>
      <c r="T80" s="938"/>
      <c r="U80" s="984">
        <f>U74</f>
        <v>0</v>
      </c>
      <c r="V80" s="937"/>
      <c r="W80" s="938"/>
      <c r="X80" s="984">
        <f>X74</f>
        <v>0</v>
      </c>
      <c r="Y80" s="937"/>
      <c r="Z80" s="938"/>
      <c r="AA80" s="984">
        <f>AA74</f>
        <v>0</v>
      </c>
      <c r="AB80" s="937"/>
      <c r="AC80" s="938"/>
      <c r="AD80" s="984">
        <f>AD74</f>
        <v>17064.560000000001</v>
      </c>
      <c r="AE80" s="937"/>
      <c r="AF80" s="938"/>
      <c r="AG80" s="984">
        <f>AG74</f>
        <v>1515.55</v>
      </c>
      <c r="AH80" s="937"/>
      <c r="AI80" s="938"/>
      <c r="AJ80" s="984">
        <f>AJ74</f>
        <v>0</v>
      </c>
      <c r="AK80" s="937"/>
      <c r="AL80" s="938"/>
      <c r="AM80" s="984">
        <f>AM74</f>
        <v>0</v>
      </c>
      <c r="AN80" s="938"/>
      <c r="AO80" s="984">
        <f>AO74</f>
        <v>8885.6299999999992</v>
      </c>
      <c r="AP80" s="938"/>
      <c r="AQ80" s="984">
        <f t="shared" ref="AQ80:AR80" si="68">AQ74</f>
        <v>0</v>
      </c>
      <c r="AR80" s="984">
        <f t="shared" si="68"/>
        <v>182799</v>
      </c>
      <c r="AS80" s="936"/>
      <c r="AT80" s="984">
        <f t="shared" ref="AT80:AW80" si="69">AT74</f>
        <v>2193588</v>
      </c>
      <c r="AU80" s="984">
        <f t="shared" si="69"/>
        <v>0</v>
      </c>
      <c r="AV80" s="984">
        <f t="shared" si="69"/>
        <v>21935.88</v>
      </c>
      <c r="AW80" s="984">
        <f t="shared" si="69"/>
        <v>2215523.88</v>
      </c>
      <c r="AX80" s="939"/>
      <c r="AY80" s="939"/>
      <c r="AZ80" s="941"/>
      <c r="BA80" s="941"/>
      <c r="BB80" s="941"/>
      <c r="BC80" s="934"/>
      <c r="BD80" s="941"/>
      <c r="BE80" s="941"/>
      <c r="BF80" s="941"/>
      <c r="BG80" s="942"/>
      <c r="BH80" s="941"/>
      <c r="BI80" s="941"/>
      <c r="BJ80" s="941"/>
      <c r="BK80" s="943"/>
      <c r="BL80" s="943"/>
      <c r="BM80" s="943"/>
      <c r="BN80" s="943"/>
      <c r="BO80" s="943"/>
      <c r="BP80" s="944"/>
      <c r="BQ80" s="943"/>
      <c r="BR80" s="943"/>
      <c r="BS80" s="943"/>
      <c r="BU80" s="945"/>
      <c r="BV80" s="946"/>
      <c r="BW80" s="947"/>
      <c r="BX80" s="945"/>
      <c r="BY80" s="947"/>
      <c r="BZ80" s="946"/>
      <c r="CA80" s="947"/>
      <c r="CB80" s="946"/>
      <c r="CC80" s="947"/>
      <c r="CD80" s="947"/>
      <c r="CE80" s="947"/>
      <c r="CF80" s="948"/>
      <c r="CG80" s="949"/>
      <c r="CH80" s="949"/>
      <c r="CI80" s="950"/>
      <c r="CJ80" s="951"/>
      <c r="CK80" s="951"/>
      <c r="CL80" s="952"/>
      <c r="CM80" s="951"/>
      <c r="CN80" s="951"/>
      <c r="CO80" s="952"/>
      <c r="CP80" s="951"/>
      <c r="CQ80" s="951"/>
      <c r="CR80" s="952"/>
      <c r="CS80" s="946"/>
      <c r="CT80" s="953"/>
      <c r="CU80" s="953"/>
      <c r="CV80" s="953"/>
      <c r="CX80" s="951"/>
      <c r="CY80" s="951"/>
      <c r="CZ80" s="952"/>
      <c r="DB80" s="954"/>
      <c r="DC80" s="954"/>
      <c r="DD80" s="921"/>
      <c r="DE80" s="954"/>
      <c r="DF80" s="954"/>
      <c r="DG80" s="921"/>
      <c r="DH80" s="954"/>
      <c r="DI80" s="954"/>
      <c r="DJ80" s="921"/>
      <c r="DK80" s="954"/>
      <c r="DL80" s="954"/>
      <c r="DM80" s="921"/>
      <c r="DN80" s="954"/>
      <c r="DO80" s="954"/>
      <c r="DP80" s="921"/>
      <c r="DQ80" s="942"/>
      <c r="DR80" s="951"/>
      <c r="DS80" s="951"/>
      <c r="DT80" s="952"/>
      <c r="DV80" s="921"/>
      <c r="DW80" s="921"/>
      <c r="DX80" s="921"/>
      <c r="DY80" s="921"/>
      <c r="DZ80" s="921"/>
      <c r="EA80" s="921"/>
      <c r="EB80" s="921"/>
      <c r="EC80" s="921"/>
      <c r="ED80" s="921"/>
      <c r="EE80" s="921"/>
      <c r="EF80" s="921"/>
      <c r="EG80" s="921"/>
      <c r="EH80" s="921"/>
      <c r="EI80" s="921"/>
      <c r="EJ80" s="921"/>
      <c r="EK80" s="921"/>
      <c r="EL80" s="921"/>
      <c r="EM80" s="921"/>
      <c r="EN80" s="921"/>
      <c r="EO80" s="921"/>
      <c r="EP80" s="921"/>
      <c r="EQ80" s="954"/>
      <c r="ER80" s="954"/>
      <c r="ES80" s="954"/>
      <c r="ET80" s="954"/>
      <c r="EV80" s="942"/>
      <c r="EW80" s="951"/>
      <c r="EX80" s="951"/>
      <c r="EY80" s="952"/>
    </row>
    <row r="81" spans="1:155" s="927" customFormat="1" ht="15.75" x14ac:dyDescent="0.25">
      <c r="A81" s="931"/>
      <c r="B81" s="932" t="s">
        <v>403</v>
      </c>
      <c r="C81" s="981">
        <f>C73+C75</f>
        <v>2</v>
      </c>
      <c r="D81" s="938"/>
      <c r="E81" s="983"/>
      <c r="F81" s="936"/>
      <c r="G81" s="983"/>
      <c r="H81" s="984">
        <f t="shared" ref="H81:I81" si="70">H73+H75</f>
        <v>28670</v>
      </c>
      <c r="I81" s="984">
        <f t="shared" si="70"/>
        <v>28670</v>
      </c>
      <c r="J81" s="937"/>
      <c r="K81" s="938"/>
      <c r="L81" s="984">
        <f>L73+L75</f>
        <v>6117.95</v>
      </c>
      <c r="M81" s="937"/>
      <c r="N81" s="938"/>
      <c r="O81" s="984">
        <f>O73+O75</f>
        <v>0</v>
      </c>
      <c r="P81" s="937"/>
      <c r="Q81" s="938"/>
      <c r="R81" s="984">
        <f>R73+R75</f>
        <v>0</v>
      </c>
      <c r="S81" s="937"/>
      <c r="T81" s="938"/>
      <c r="U81" s="984">
        <f>U73+U75</f>
        <v>0</v>
      </c>
      <c r="V81" s="937"/>
      <c r="W81" s="938"/>
      <c r="X81" s="984">
        <f>X73+X75</f>
        <v>0</v>
      </c>
      <c r="Y81" s="937"/>
      <c r="Z81" s="938"/>
      <c r="AA81" s="984">
        <f>AA73+AA75</f>
        <v>0</v>
      </c>
      <c r="AB81" s="937"/>
      <c r="AC81" s="938"/>
      <c r="AD81" s="984">
        <f>AD73+AD75</f>
        <v>2935.2</v>
      </c>
      <c r="AE81" s="937"/>
      <c r="AF81" s="938"/>
      <c r="AG81" s="984">
        <f>AG73+AG75</f>
        <v>0</v>
      </c>
      <c r="AH81" s="937"/>
      <c r="AI81" s="938"/>
      <c r="AJ81" s="984">
        <f>AJ73+AJ75</f>
        <v>0</v>
      </c>
      <c r="AK81" s="937"/>
      <c r="AL81" s="938"/>
      <c r="AM81" s="984">
        <f>AM73+AM75</f>
        <v>0</v>
      </c>
      <c r="AN81" s="938"/>
      <c r="AO81" s="984">
        <f>AO73+AO75</f>
        <v>2799.05</v>
      </c>
      <c r="AP81" s="938"/>
      <c r="AQ81" s="984">
        <f t="shared" ref="AQ81:AR81" si="71">AQ73+AQ75</f>
        <v>0</v>
      </c>
      <c r="AR81" s="984">
        <f t="shared" si="71"/>
        <v>40522.199999999997</v>
      </c>
      <c r="AS81" s="936"/>
      <c r="AT81" s="984">
        <f t="shared" ref="AT81:AW81" si="72">AT73+AT75</f>
        <v>486266.4</v>
      </c>
      <c r="AU81" s="984">
        <f t="shared" si="72"/>
        <v>0</v>
      </c>
      <c r="AV81" s="984">
        <f t="shared" si="72"/>
        <v>4862.66</v>
      </c>
      <c r="AW81" s="984">
        <f t="shared" si="72"/>
        <v>491129.06</v>
      </c>
      <c r="AX81" s="939"/>
      <c r="AY81" s="939"/>
      <c r="AZ81" s="941"/>
      <c r="BA81" s="941"/>
      <c r="BB81" s="941"/>
      <c r="BC81" s="934"/>
      <c r="BD81" s="941"/>
      <c r="BE81" s="941"/>
      <c r="BF81" s="941"/>
      <c r="BG81" s="942"/>
      <c r="BH81" s="941"/>
      <c r="BI81" s="941"/>
      <c r="BJ81" s="941"/>
      <c r="BK81" s="943"/>
      <c r="BL81" s="943"/>
      <c r="BM81" s="943"/>
      <c r="BN81" s="943"/>
      <c r="BO81" s="943"/>
      <c r="BP81" s="944"/>
      <c r="BQ81" s="943"/>
      <c r="BR81" s="943"/>
      <c r="BS81" s="943"/>
      <c r="BU81" s="945"/>
      <c r="BV81" s="946"/>
      <c r="BW81" s="947"/>
      <c r="BX81" s="945"/>
      <c r="BY81" s="947"/>
      <c r="BZ81" s="946"/>
      <c r="CA81" s="947"/>
      <c r="CB81" s="946"/>
      <c r="CC81" s="947"/>
      <c r="CD81" s="947"/>
      <c r="CE81" s="947"/>
      <c r="CF81" s="948"/>
      <c r="CG81" s="949"/>
      <c r="CH81" s="949"/>
      <c r="CI81" s="950"/>
      <c r="CJ81" s="951"/>
      <c r="CK81" s="951"/>
      <c r="CL81" s="952"/>
      <c r="CM81" s="951"/>
      <c r="CN81" s="951"/>
      <c r="CO81" s="952"/>
      <c r="CP81" s="951"/>
      <c r="CQ81" s="951"/>
      <c r="CR81" s="952"/>
      <c r="CS81" s="946"/>
      <c r="CT81" s="953"/>
      <c r="CU81" s="953"/>
      <c r="CV81" s="953"/>
      <c r="CX81" s="951"/>
      <c r="CY81" s="951"/>
      <c r="CZ81" s="952"/>
      <c r="DB81" s="954"/>
      <c r="DC81" s="954"/>
      <c r="DD81" s="921"/>
      <c r="DE81" s="954"/>
      <c r="DF81" s="954"/>
      <c r="DG81" s="921"/>
      <c r="DH81" s="954"/>
      <c r="DI81" s="954"/>
      <c r="DJ81" s="921"/>
      <c r="DK81" s="954"/>
      <c r="DL81" s="954"/>
      <c r="DM81" s="921"/>
      <c r="DN81" s="954"/>
      <c r="DO81" s="954"/>
      <c r="DP81" s="921"/>
      <c r="DQ81" s="942"/>
      <c r="DR81" s="951"/>
      <c r="DS81" s="951"/>
      <c r="DT81" s="952"/>
      <c r="DV81" s="921"/>
      <c r="DW81" s="921"/>
      <c r="DX81" s="921"/>
      <c r="DY81" s="921"/>
      <c r="DZ81" s="921"/>
      <c r="EA81" s="921"/>
      <c r="EB81" s="921"/>
      <c r="EC81" s="921"/>
      <c r="ED81" s="921"/>
      <c r="EE81" s="921"/>
      <c r="EF81" s="921"/>
      <c r="EG81" s="921"/>
      <c r="EH81" s="921"/>
      <c r="EI81" s="921"/>
      <c r="EJ81" s="921"/>
      <c r="EK81" s="921"/>
      <c r="EL81" s="921"/>
      <c r="EM81" s="921"/>
      <c r="EN81" s="921"/>
      <c r="EO81" s="921"/>
      <c r="EP81" s="921"/>
      <c r="EQ81" s="954"/>
      <c r="ER81" s="954"/>
      <c r="ES81" s="954"/>
      <c r="ET81" s="954"/>
      <c r="EV81" s="942"/>
      <c r="EW81" s="951"/>
      <c r="EX81" s="951"/>
      <c r="EY81" s="952"/>
    </row>
    <row r="82" spans="1:155" s="927" customFormat="1" ht="15.75" x14ac:dyDescent="0.25">
      <c r="A82" s="931"/>
      <c r="B82" s="932" t="s">
        <v>404</v>
      </c>
      <c r="C82" s="981">
        <f>C67+C68+C69+C70+C71+C72+C76+C77+C78</f>
        <v>7.25</v>
      </c>
      <c r="D82" s="938"/>
      <c r="E82" s="983"/>
      <c r="F82" s="936"/>
      <c r="G82" s="983"/>
      <c r="H82" s="984">
        <f t="shared" ref="H82:I82" si="73">H67+H68+H69+H70+H71+H72+H76+H77+H78</f>
        <v>115884</v>
      </c>
      <c r="I82" s="984">
        <f t="shared" si="73"/>
        <v>103817.5</v>
      </c>
      <c r="J82" s="937"/>
      <c r="K82" s="938"/>
      <c r="L82" s="984">
        <f>L67+L68+L69+L70+L71+L72+L76+L77+L78</f>
        <v>0</v>
      </c>
      <c r="M82" s="937"/>
      <c r="N82" s="938"/>
      <c r="O82" s="984">
        <f>O67+O68+O69+O70+O71+O72+O76+O77+O78</f>
        <v>0</v>
      </c>
      <c r="P82" s="937"/>
      <c r="Q82" s="938"/>
      <c r="R82" s="984">
        <f>R67+R68+R69+R70+R71+R72+R76+R77+R78</f>
        <v>0</v>
      </c>
      <c r="S82" s="937"/>
      <c r="T82" s="938"/>
      <c r="U82" s="984">
        <f>U67+U68+U69+U70+U71+U72+U76+U77+U78</f>
        <v>0</v>
      </c>
      <c r="V82" s="937"/>
      <c r="W82" s="938"/>
      <c r="X82" s="984">
        <f>X67+X68+X69+X70+X71+X72+X76+X77+X78</f>
        <v>0</v>
      </c>
      <c r="Y82" s="937"/>
      <c r="Z82" s="938"/>
      <c r="AA82" s="984">
        <f>AA67+AA68+AA69+AA70+AA71+AA72+AA76+AA77+AA78</f>
        <v>52957.96</v>
      </c>
      <c r="AB82" s="937"/>
      <c r="AC82" s="938"/>
      <c r="AD82" s="984">
        <f>AD67+AD68+AD69+AD70+AD71+AD72+AD76+AD77+AD78</f>
        <v>11554.34</v>
      </c>
      <c r="AE82" s="937"/>
      <c r="AF82" s="938"/>
      <c r="AG82" s="984">
        <f>AG67+AG68+AG69+AG70+AG71+AG72+AG76+AG77+AG78</f>
        <v>0</v>
      </c>
      <c r="AH82" s="937"/>
      <c r="AI82" s="938"/>
      <c r="AJ82" s="984">
        <f>AJ67+AJ68+AJ69+AJ70+AJ71+AJ72+AJ76+AJ77+AJ78</f>
        <v>0</v>
      </c>
      <c r="AK82" s="937"/>
      <c r="AL82" s="938"/>
      <c r="AM82" s="984">
        <f>AM67+AM68+AM69+AM70+AM71+AM72+AM76+AM77+AM78</f>
        <v>0</v>
      </c>
      <c r="AN82" s="938"/>
      <c r="AO82" s="984">
        <f>AO67+AO68+AO69+AO70+AO71+AO72+AO76+AO77+AO78</f>
        <v>24408.04</v>
      </c>
      <c r="AP82" s="938"/>
      <c r="AQ82" s="984">
        <f t="shared" ref="AQ82:AR82" si="74">AQ67+AQ68+AQ69+AQ70+AQ71+AQ72+AQ76+AQ77+AQ78</f>
        <v>0</v>
      </c>
      <c r="AR82" s="984">
        <f t="shared" si="74"/>
        <v>192737.84</v>
      </c>
      <c r="AS82" s="936"/>
      <c r="AT82" s="984">
        <f t="shared" ref="AT82:AW82" si="75">AT67+AT68+AT69+AT70+AT71+AT72+AT76+AT77+AT78</f>
        <v>2312854.08</v>
      </c>
      <c r="AU82" s="984">
        <f t="shared" si="75"/>
        <v>19626.84</v>
      </c>
      <c r="AV82" s="984">
        <f t="shared" si="75"/>
        <v>23128.54</v>
      </c>
      <c r="AW82" s="984">
        <f t="shared" si="75"/>
        <v>2355609.46</v>
      </c>
      <c r="AX82" s="939"/>
      <c r="AY82" s="939"/>
      <c r="AZ82" s="941"/>
      <c r="BA82" s="941"/>
      <c r="BB82" s="941"/>
      <c r="BC82" s="934"/>
      <c r="BD82" s="941"/>
      <c r="BE82" s="941"/>
      <c r="BF82" s="941"/>
      <c r="BG82" s="942"/>
      <c r="BH82" s="941"/>
      <c r="BI82" s="941"/>
      <c r="BJ82" s="941"/>
      <c r="BK82" s="943"/>
      <c r="BL82" s="943"/>
      <c r="BM82" s="943"/>
      <c r="BN82" s="943"/>
      <c r="BO82" s="943"/>
      <c r="BP82" s="944"/>
      <c r="BQ82" s="943"/>
      <c r="BR82" s="943"/>
      <c r="BS82" s="943"/>
      <c r="BU82" s="945"/>
      <c r="BV82" s="946"/>
      <c r="BW82" s="947"/>
      <c r="BX82" s="945"/>
      <c r="BY82" s="947"/>
      <c r="BZ82" s="946"/>
      <c r="CA82" s="947"/>
      <c r="CB82" s="946"/>
      <c r="CC82" s="947"/>
      <c r="CD82" s="947"/>
      <c r="CE82" s="947"/>
      <c r="CF82" s="948"/>
      <c r="CG82" s="949"/>
      <c r="CH82" s="949"/>
      <c r="CI82" s="950"/>
      <c r="CJ82" s="951"/>
      <c r="CK82" s="951"/>
      <c r="CL82" s="952"/>
      <c r="CM82" s="951"/>
      <c r="CN82" s="951"/>
      <c r="CO82" s="952"/>
      <c r="CP82" s="951"/>
      <c r="CQ82" s="951"/>
      <c r="CR82" s="952"/>
      <c r="CS82" s="946"/>
      <c r="CT82" s="953"/>
      <c r="CU82" s="953"/>
      <c r="CV82" s="953"/>
      <c r="CX82" s="951"/>
      <c r="CY82" s="951"/>
      <c r="CZ82" s="952"/>
      <c r="DB82" s="954"/>
      <c r="DC82" s="954"/>
      <c r="DD82" s="921"/>
      <c r="DE82" s="954"/>
      <c r="DF82" s="954"/>
      <c r="DG82" s="921"/>
      <c r="DH82" s="954"/>
      <c r="DI82" s="954"/>
      <c r="DJ82" s="921"/>
      <c r="DK82" s="954"/>
      <c r="DL82" s="954"/>
      <c r="DM82" s="921"/>
      <c r="DN82" s="954"/>
      <c r="DO82" s="954"/>
      <c r="DP82" s="921"/>
      <c r="DQ82" s="942"/>
      <c r="DR82" s="951"/>
      <c r="DS82" s="951"/>
      <c r="DT82" s="952"/>
      <c r="DV82" s="921"/>
      <c r="DW82" s="921"/>
      <c r="DX82" s="921"/>
      <c r="DY82" s="921"/>
      <c r="DZ82" s="921"/>
      <c r="EA82" s="921"/>
      <c r="EB82" s="921"/>
      <c r="EC82" s="921"/>
      <c r="ED82" s="921"/>
      <c r="EE82" s="921"/>
      <c r="EF82" s="921"/>
      <c r="EG82" s="921"/>
      <c r="EH82" s="921"/>
      <c r="EI82" s="921"/>
      <c r="EJ82" s="921"/>
      <c r="EK82" s="921"/>
      <c r="EL82" s="921"/>
      <c r="EM82" s="921"/>
      <c r="EN82" s="921"/>
      <c r="EO82" s="921"/>
      <c r="EP82" s="921"/>
      <c r="EQ82" s="954"/>
      <c r="ER82" s="954"/>
      <c r="ES82" s="954"/>
      <c r="ET82" s="954"/>
      <c r="EV82" s="942"/>
      <c r="EW82" s="951"/>
      <c r="EX82" s="951"/>
      <c r="EY82" s="952"/>
    </row>
    <row r="83" spans="1:155" s="927" customFormat="1" ht="15.75" x14ac:dyDescent="0.25">
      <c r="A83" s="931"/>
      <c r="B83" s="932" t="s">
        <v>405</v>
      </c>
      <c r="C83" s="933">
        <v>0</v>
      </c>
      <c r="D83" s="938"/>
      <c r="E83" s="983"/>
      <c r="F83" s="936"/>
      <c r="G83" s="983"/>
      <c r="H83" s="938">
        <v>0</v>
      </c>
      <c r="I83" s="938">
        <v>0</v>
      </c>
      <c r="J83" s="937"/>
      <c r="K83" s="938"/>
      <c r="L83" s="938">
        <v>0</v>
      </c>
      <c r="M83" s="937"/>
      <c r="N83" s="938"/>
      <c r="O83" s="938">
        <v>0</v>
      </c>
      <c r="P83" s="937"/>
      <c r="Q83" s="938"/>
      <c r="R83" s="938">
        <v>0</v>
      </c>
      <c r="S83" s="937"/>
      <c r="T83" s="938"/>
      <c r="U83" s="938">
        <v>0</v>
      </c>
      <c r="V83" s="937"/>
      <c r="W83" s="938"/>
      <c r="X83" s="938">
        <v>0</v>
      </c>
      <c r="Y83" s="937"/>
      <c r="Z83" s="938"/>
      <c r="AA83" s="938">
        <v>0</v>
      </c>
      <c r="AB83" s="937"/>
      <c r="AC83" s="938"/>
      <c r="AD83" s="938">
        <v>0</v>
      </c>
      <c r="AE83" s="937"/>
      <c r="AF83" s="938"/>
      <c r="AG83" s="938">
        <v>0</v>
      </c>
      <c r="AH83" s="937"/>
      <c r="AI83" s="938"/>
      <c r="AJ83" s="938">
        <v>0</v>
      </c>
      <c r="AK83" s="937"/>
      <c r="AL83" s="938"/>
      <c r="AM83" s="938">
        <v>0</v>
      </c>
      <c r="AN83" s="938"/>
      <c r="AO83" s="938">
        <v>0</v>
      </c>
      <c r="AP83" s="938"/>
      <c r="AQ83" s="938">
        <v>0</v>
      </c>
      <c r="AR83" s="938">
        <v>0</v>
      </c>
      <c r="AS83" s="936"/>
      <c r="AT83" s="938">
        <v>0</v>
      </c>
      <c r="AU83" s="938">
        <v>0</v>
      </c>
      <c r="AV83" s="938">
        <v>0</v>
      </c>
      <c r="AW83" s="938">
        <v>0</v>
      </c>
      <c r="AX83" s="939"/>
      <c r="AY83" s="939"/>
      <c r="AZ83" s="941"/>
      <c r="BA83" s="941"/>
      <c r="BB83" s="941"/>
      <c r="BC83" s="934"/>
      <c r="BD83" s="941"/>
      <c r="BE83" s="941"/>
      <c r="BF83" s="941"/>
      <c r="BG83" s="942"/>
      <c r="BH83" s="941"/>
      <c r="BI83" s="941"/>
      <c r="BJ83" s="941"/>
      <c r="BK83" s="943"/>
      <c r="BL83" s="943"/>
      <c r="BM83" s="943"/>
      <c r="BN83" s="943"/>
      <c r="BO83" s="943"/>
      <c r="BP83" s="944"/>
      <c r="BQ83" s="943"/>
      <c r="BR83" s="943"/>
      <c r="BS83" s="943"/>
      <c r="BU83" s="945"/>
      <c r="BV83" s="946"/>
      <c r="BW83" s="947"/>
      <c r="BX83" s="945"/>
      <c r="BY83" s="947"/>
      <c r="BZ83" s="946"/>
      <c r="CA83" s="947"/>
      <c r="CB83" s="946"/>
      <c r="CC83" s="947"/>
      <c r="CD83" s="947"/>
      <c r="CE83" s="947"/>
      <c r="CF83" s="948"/>
      <c r="CG83" s="949"/>
      <c r="CH83" s="949"/>
      <c r="CI83" s="950"/>
      <c r="CJ83" s="951"/>
      <c r="CK83" s="951"/>
      <c r="CL83" s="952"/>
      <c r="CM83" s="951"/>
      <c r="CN83" s="951"/>
      <c r="CO83" s="952"/>
      <c r="CP83" s="951"/>
      <c r="CQ83" s="951"/>
      <c r="CR83" s="952"/>
      <c r="CS83" s="946"/>
      <c r="CT83" s="953"/>
      <c r="CU83" s="953"/>
      <c r="CV83" s="953"/>
      <c r="CX83" s="951"/>
      <c r="CY83" s="951"/>
      <c r="CZ83" s="952"/>
      <c r="DB83" s="954"/>
      <c r="DC83" s="954"/>
      <c r="DD83" s="921"/>
      <c r="DE83" s="954"/>
      <c r="DF83" s="954"/>
      <c r="DG83" s="921"/>
      <c r="DH83" s="954"/>
      <c r="DI83" s="954"/>
      <c r="DJ83" s="921"/>
      <c r="DK83" s="954"/>
      <c r="DL83" s="954"/>
      <c r="DM83" s="921"/>
      <c r="DN83" s="954"/>
      <c r="DO83" s="954"/>
      <c r="DP83" s="921"/>
      <c r="DQ83" s="942"/>
      <c r="DR83" s="951"/>
      <c r="DS83" s="951"/>
      <c r="DT83" s="952"/>
      <c r="DV83" s="921"/>
      <c r="DW83" s="921"/>
      <c r="DX83" s="921"/>
      <c r="DY83" s="921"/>
      <c r="DZ83" s="921"/>
      <c r="EA83" s="921"/>
      <c r="EB83" s="921"/>
      <c r="EC83" s="921"/>
      <c r="ED83" s="921"/>
      <c r="EE83" s="921"/>
      <c r="EF83" s="921"/>
      <c r="EG83" s="921"/>
      <c r="EH83" s="921"/>
      <c r="EI83" s="921"/>
      <c r="EJ83" s="921"/>
      <c r="EK83" s="921"/>
      <c r="EL83" s="921"/>
      <c r="EM83" s="921"/>
      <c r="EN83" s="921"/>
      <c r="EO83" s="921"/>
      <c r="EP83" s="921"/>
      <c r="EQ83" s="954"/>
      <c r="ER83" s="954"/>
      <c r="ES83" s="954"/>
      <c r="ET83" s="954"/>
      <c r="EV83" s="942"/>
      <c r="EW83" s="951"/>
      <c r="EX83" s="951"/>
      <c r="EY83" s="952"/>
    </row>
    <row r="84" spans="1:155" s="927" customFormat="1" ht="15.75" x14ac:dyDescent="0.25">
      <c r="A84" s="931"/>
      <c r="B84" s="932"/>
      <c r="C84" s="982">
        <f>C79-C80-C81-C82-C83</f>
        <v>0</v>
      </c>
      <c r="D84" s="938"/>
      <c r="E84" s="983"/>
      <c r="F84" s="936"/>
      <c r="G84" s="983"/>
      <c r="H84" s="985">
        <f>H79-H80-H81-H82-H83</f>
        <v>0</v>
      </c>
      <c r="I84" s="985">
        <f>I79-I80-I81-I82-I83</f>
        <v>0</v>
      </c>
      <c r="J84" s="937"/>
      <c r="K84" s="938"/>
      <c r="L84" s="985">
        <f>L79-L80-L81-L82-L83</f>
        <v>0</v>
      </c>
      <c r="M84" s="937"/>
      <c r="N84" s="938"/>
      <c r="O84" s="985">
        <f>O79-O80-O81-O82-O83</f>
        <v>0</v>
      </c>
      <c r="P84" s="937"/>
      <c r="Q84" s="938"/>
      <c r="R84" s="985">
        <f>R79-R80-R81-R82-R83</f>
        <v>0</v>
      </c>
      <c r="S84" s="937"/>
      <c r="T84" s="938"/>
      <c r="U84" s="985">
        <f>U79-U80-U81-U82-U83</f>
        <v>0</v>
      </c>
      <c r="V84" s="937"/>
      <c r="W84" s="938"/>
      <c r="X84" s="985">
        <f>X79-X80-X81-X82-X83</f>
        <v>0</v>
      </c>
      <c r="Y84" s="937"/>
      <c r="Z84" s="938"/>
      <c r="AA84" s="985">
        <f>AA79-AA80-AA81-AA82-AA83</f>
        <v>0</v>
      </c>
      <c r="AB84" s="937"/>
      <c r="AC84" s="938"/>
      <c r="AD84" s="985">
        <f>AD79-AD80-AD81-AD82-AD83</f>
        <v>0</v>
      </c>
      <c r="AE84" s="937"/>
      <c r="AF84" s="938"/>
      <c r="AG84" s="985">
        <f>AG79-AG80-AG81-AG82-AG83</f>
        <v>0</v>
      </c>
      <c r="AH84" s="937"/>
      <c r="AI84" s="938"/>
      <c r="AJ84" s="985">
        <f>AJ79-AJ80-AJ81-AJ82-AJ83</f>
        <v>0</v>
      </c>
      <c r="AK84" s="937"/>
      <c r="AL84" s="938"/>
      <c r="AM84" s="985">
        <f>AM79-AM80-AM81-AM82-AM83</f>
        <v>0</v>
      </c>
      <c r="AN84" s="938"/>
      <c r="AO84" s="985">
        <f>AO79-AO80-AO81-AO82-AO83</f>
        <v>0</v>
      </c>
      <c r="AP84" s="938"/>
      <c r="AQ84" s="985">
        <f>AQ79-AQ80-AQ81-AQ82-AQ83</f>
        <v>0</v>
      </c>
      <c r="AR84" s="985">
        <f>AR79-AR80-AR81-AR82-AR83</f>
        <v>0</v>
      </c>
      <c r="AS84" s="936"/>
      <c r="AT84" s="985">
        <f t="shared" ref="AT84" si="76">AT79-AT80-AT81-AT82-AT83</f>
        <v>0</v>
      </c>
      <c r="AU84" s="985">
        <f t="shared" ref="AU84" si="77">AU79-AU80-AU81-AU82-AU83</f>
        <v>0</v>
      </c>
      <c r="AV84" s="985">
        <f t="shared" ref="AV84" si="78">AV79-AV80-AV81-AV82-AV83</f>
        <v>0</v>
      </c>
      <c r="AW84" s="985">
        <f t="shared" ref="AW84" si="79">AW79-AW80-AW81-AW82-AW83</f>
        <v>0</v>
      </c>
      <c r="AX84" s="939"/>
      <c r="AY84" s="939"/>
      <c r="AZ84" s="941"/>
      <c r="BA84" s="941"/>
      <c r="BB84" s="941"/>
      <c r="BC84" s="934"/>
      <c r="BD84" s="941"/>
      <c r="BE84" s="941"/>
      <c r="BF84" s="941"/>
      <c r="BG84" s="942"/>
      <c r="BH84" s="941"/>
      <c r="BI84" s="941"/>
      <c r="BJ84" s="941"/>
      <c r="BK84" s="943"/>
      <c r="BL84" s="943"/>
      <c r="BM84" s="943"/>
      <c r="BN84" s="943"/>
      <c r="BO84" s="943"/>
      <c r="BP84" s="944"/>
      <c r="BQ84" s="943"/>
      <c r="BR84" s="943"/>
      <c r="BS84" s="943"/>
      <c r="BU84" s="945"/>
      <c r="BV84" s="946"/>
      <c r="BW84" s="947"/>
      <c r="BX84" s="945"/>
      <c r="BY84" s="947"/>
      <c r="BZ84" s="946"/>
      <c r="CA84" s="947"/>
      <c r="CB84" s="946"/>
      <c r="CC84" s="947"/>
      <c r="CD84" s="947"/>
      <c r="CE84" s="947"/>
      <c r="CF84" s="948"/>
      <c r="CG84" s="949"/>
      <c r="CH84" s="949"/>
      <c r="CI84" s="950"/>
      <c r="CJ84" s="951"/>
      <c r="CK84" s="951"/>
      <c r="CL84" s="952"/>
      <c r="CM84" s="951"/>
      <c r="CN84" s="951"/>
      <c r="CO84" s="952"/>
      <c r="CP84" s="951"/>
      <c r="CQ84" s="951"/>
      <c r="CR84" s="952"/>
      <c r="CS84" s="946"/>
      <c r="CT84" s="953"/>
      <c r="CU84" s="953"/>
      <c r="CV84" s="953"/>
      <c r="CX84" s="951"/>
      <c r="CY84" s="951"/>
      <c r="CZ84" s="952"/>
      <c r="DB84" s="954"/>
      <c r="DC84" s="954"/>
      <c r="DD84" s="921"/>
      <c r="DE84" s="954"/>
      <c r="DF84" s="954"/>
      <c r="DG84" s="921"/>
      <c r="DH84" s="954"/>
      <c r="DI84" s="954"/>
      <c r="DJ84" s="921"/>
      <c r="DK84" s="954"/>
      <c r="DL84" s="954"/>
      <c r="DM84" s="921"/>
      <c r="DN84" s="954"/>
      <c r="DO84" s="954"/>
      <c r="DP84" s="921"/>
      <c r="DQ84" s="942"/>
      <c r="DR84" s="951"/>
      <c r="DS84" s="951"/>
      <c r="DT84" s="952"/>
      <c r="DV84" s="921"/>
      <c r="DW84" s="921"/>
      <c r="DX84" s="921"/>
      <c r="DY84" s="921"/>
      <c r="DZ84" s="921"/>
      <c r="EA84" s="921"/>
      <c r="EB84" s="921"/>
      <c r="EC84" s="921"/>
      <c r="ED84" s="921"/>
      <c r="EE84" s="921"/>
      <c r="EF84" s="921"/>
      <c r="EG84" s="921"/>
      <c r="EH84" s="921"/>
      <c r="EI84" s="921"/>
      <c r="EJ84" s="921"/>
      <c r="EK84" s="921"/>
      <c r="EL84" s="921"/>
      <c r="EM84" s="921"/>
      <c r="EN84" s="921"/>
      <c r="EO84" s="921"/>
      <c r="EP84" s="921"/>
      <c r="EQ84" s="954"/>
      <c r="ER84" s="954"/>
      <c r="ES84" s="954"/>
      <c r="ET84" s="954"/>
      <c r="EV84" s="942"/>
      <c r="EW84" s="951"/>
      <c r="EX84" s="951"/>
      <c r="EY84" s="952"/>
    </row>
    <row r="85" spans="1:155" s="927" customFormat="1" ht="15.75" x14ac:dyDescent="0.25">
      <c r="A85" s="931"/>
      <c r="B85" s="932" t="s">
        <v>806</v>
      </c>
      <c r="C85" s="933"/>
      <c r="D85" s="933"/>
      <c r="E85" s="934"/>
      <c r="F85" s="935"/>
      <c r="G85" s="934"/>
      <c r="H85" s="935"/>
      <c r="I85" s="936"/>
      <c r="J85" s="937"/>
      <c r="K85" s="938"/>
      <c r="L85" s="936"/>
      <c r="M85" s="937"/>
      <c r="N85" s="938"/>
      <c r="O85" s="936"/>
      <c r="P85" s="937"/>
      <c r="Q85" s="938"/>
      <c r="R85" s="936"/>
      <c r="S85" s="937"/>
      <c r="T85" s="938"/>
      <c r="U85" s="936"/>
      <c r="V85" s="937"/>
      <c r="W85" s="938"/>
      <c r="X85" s="936"/>
      <c r="Y85" s="937"/>
      <c r="Z85" s="938"/>
      <c r="AA85" s="936"/>
      <c r="AB85" s="937"/>
      <c r="AC85" s="938"/>
      <c r="AD85" s="936"/>
      <c r="AE85" s="937"/>
      <c r="AF85" s="938"/>
      <c r="AG85" s="936"/>
      <c r="AH85" s="937"/>
      <c r="AI85" s="938"/>
      <c r="AJ85" s="936"/>
      <c r="AK85" s="937"/>
      <c r="AL85" s="938"/>
      <c r="AM85" s="936"/>
      <c r="AN85" s="933"/>
      <c r="AO85" s="936"/>
      <c r="AP85" s="933"/>
      <c r="AQ85" s="935"/>
      <c r="AR85" s="936"/>
      <c r="AS85" s="935"/>
      <c r="AT85" s="939"/>
      <c r="AU85" s="933"/>
      <c r="AV85" s="940"/>
      <c r="AW85" s="389">
        <f>AW79/12-AO79</f>
        <v>385762.48</v>
      </c>
      <c r="AX85" s="939"/>
      <c r="AY85" s="939"/>
      <c r="AZ85" s="941"/>
      <c r="BA85" s="941"/>
      <c r="BB85" s="941"/>
      <c r="BC85" s="934"/>
      <c r="BD85" s="941"/>
      <c r="BE85" s="941"/>
      <c r="BF85" s="941"/>
      <c r="BG85" s="942"/>
      <c r="BH85" s="941"/>
      <c r="BI85" s="941"/>
      <c r="BJ85" s="941"/>
      <c r="BK85" s="943"/>
      <c r="BL85" s="943"/>
      <c r="BM85" s="943"/>
      <c r="BN85" s="943"/>
      <c r="BO85" s="943"/>
      <c r="BP85" s="944"/>
      <c r="BQ85" s="943"/>
      <c r="BR85" s="943"/>
      <c r="BS85" s="943"/>
      <c r="BU85" s="945"/>
      <c r="BV85" s="946"/>
      <c r="BW85" s="947"/>
      <c r="BX85" s="945"/>
      <c r="BY85" s="947"/>
      <c r="BZ85" s="946"/>
      <c r="CA85" s="947"/>
      <c r="CB85" s="946"/>
      <c r="CC85" s="947"/>
      <c r="CD85" s="947"/>
      <c r="CE85" s="947"/>
      <c r="CF85" s="948"/>
      <c r="CG85" s="949"/>
      <c r="CH85" s="949"/>
      <c r="CI85" s="950"/>
      <c r="CJ85" s="951"/>
      <c r="CK85" s="951"/>
      <c r="CL85" s="952"/>
      <c r="CM85" s="951"/>
      <c r="CN85" s="951"/>
      <c r="CO85" s="952"/>
      <c r="CP85" s="951"/>
      <c r="CQ85" s="951"/>
      <c r="CR85" s="952"/>
      <c r="CS85" s="946"/>
      <c r="CT85" s="953"/>
      <c r="CU85" s="953"/>
      <c r="CV85" s="953"/>
      <c r="CX85" s="951"/>
      <c r="CY85" s="951"/>
      <c r="CZ85" s="952"/>
      <c r="DB85" s="954"/>
      <c r="DC85" s="954"/>
      <c r="DD85" s="921"/>
      <c r="DE85" s="954"/>
      <c r="DF85" s="954"/>
      <c r="DG85" s="921"/>
      <c r="DH85" s="954"/>
      <c r="DI85" s="954"/>
      <c r="DJ85" s="921"/>
      <c r="DK85" s="954"/>
      <c r="DL85" s="954"/>
      <c r="DM85" s="921"/>
      <c r="DN85" s="954"/>
      <c r="DO85" s="954"/>
      <c r="DP85" s="921"/>
      <c r="DQ85" s="942"/>
      <c r="DR85" s="951"/>
      <c r="DS85" s="951"/>
      <c r="DT85" s="952"/>
      <c r="DV85" s="921"/>
      <c r="DW85" s="921"/>
      <c r="DX85" s="921"/>
      <c r="DY85" s="921"/>
      <c r="DZ85" s="921"/>
      <c r="EA85" s="921"/>
      <c r="EB85" s="921"/>
      <c r="EC85" s="921"/>
      <c r="ED85" s="921"/>
      <c r="EE85" s="921"/>
      <c r="EF85" s="921"/>
      <c r="EG85" s="921"/>
      <c r="EH85" s="921"/>
      <c r="EI85" s="921"/>
      <c r="EJ85" s="921"/>
      <c r="EK85" s="921"/>
      <c r="EL85" s="921"/>
      <c r="EM85" s="921"/>
      <c r="EN85" s="921"/>
      <c r="EO85" s="921"/>
      <c r="EP85" s="921"/>
      <c r="EQ85" s="954"/>
      <c r="ER85" s="954"/>
      <c r="ES85" s="954"/>
      <c r="ET85" s="954"/>
      <c r="EV85" s="942"/>
      <c r="EW85" s="951"/>
      <c r="EX85" s="951"/>
      <c r="EY85" s="952"/>
    </row>
    <row r="86" spans="1:155" s="927" customFormat="1" ht="15.75" x14ac:dyDescent="0.25">
      <c r="A86" s="931"/>
      <c r="B86" s="932" t="s">
        <v>406</v>
      </c>
      <c r="C86" s="933"/>
      <c r="D86" s="933"/>
      <c r="E86" s="934"/>
      <c r="F86" s="935"/>
      <c r="G86" s="934"/>
      <c r="H86" s="935"/>
      <c r="I86" s="936"/>
      <c r="J86" s="937"/>
      <c r="K86" s="938"/>
      <c r="L86" s="936"/>
      <c r="M86" s="937"/>
      <c r="N86" s="938"/>
      <c r="O86" s="936"/>
      <c r="P86" s="937"/>
      <c r="Q86" s="938"/>
      <c r="R86" s="936"/>
      <c r="S86" s="937"/>
      <c r="T86" s="938"/>
      <c r="U86" s="936"/>
      <c r="V86" s="937"/>
      <c r="W86" s="938"/>
      <c r="X86" s="936"/>
      <c r="Y86" s="937"/>
      <c r="Z86" s="938"/>
      <c r="AA86" s="936"/>
      <c r="AB86" s="937"/>
      <c r="AC86" s="938"/>
      <c r="AD86" s="936"/>
      <c r="AE86" s="937"/>
      <c r="AF86" s="938"/>
      <c r="AG86" s="936"/>
      <c r="AH86" s="937"/>
      <c r="AI86" s="938"/>
      <c r="AJ86" s="936"/>
      <c r="AK86" s="937"/>
      <c r="AL86" s="938"/>
      <c r="AM86" s="936"/>
      <c r="AN86" s="933"/>
      <c r="AO86" s="936"/>
      <c r="AP86" s="933"/>
      <c r="AQ86" s="935"/>
      <c r="AR86" s="936"/>
      <c r="AS86" s="935"/>
      <c r="AT86" s="939"/>
      <c r="AU86" s="933"/>
      <c r="AV86" s="940"/>
      <c r="AW86" s="389">
        <f>AW80/12-AO80</f>
        <v>175741.36</v>
      </c>
      <c r="AX86" s="939"/>
      <c r="AY86" s="939"/>
      <c r="AZ86" s="941"/>
      <c r="BA86" s="941"/>
      <c r="BB86" s="941"/>
      <c r="BC86" s="934"/>
      <c r="BD86" s="941"/>
      <c r="BE86" s="941"/>
      <c r="BF86" s="941"/>
      <c r="BG86" s="942"/>
      <c r="BH86" s="941"/>
      <c r="BI86" s="941"/>
      <c r="BJ86" s="941"/>
      <c r="BK86" s="943"/>
      <c r="BL86" s="943"/>
      <c r="BM86" s="943"/>
      <c r="BN86" s="943"/>
      <c r="BO86" s="943"/>
      <c r="BP86" s="944"/>
      <c r="BQ86" s="943"/>
      <c r="BR86" s="943"/>
      <c r="BS86" s="943"/>
      <c r="BU86" s="945"/>
      <c r="BV86" s="946"/>
      <c r="BW86" s="947"/>
      <c r="BX86" s="945"/>
      <c r="BY86" s="947"/>
      <c r="BZ86" s="946"/>
      <c r="CA86" s="947"/>
      <c r="CB86" s="946"/>
      <c r="CC86" s="947"/>
      <c r="CD86" s="947"/>
      <c r="CE86" s="947"/>
      <c r="CF86" s="948"/>
      <c r="CG86" s="949"/>
      <c r="CH86" s="949"/>
      <c r="CI86" s="950"/>
      <c r="CJ86" s="951"/>
      <c r="CK86" s="951"/>
      <c r="CL86" s="952"/>
      <c r="CM86" s="951"/>
      <c r="CN86" s="951"/>
      <c r="CO86" s="952"/>
      <c r="CP86" s="951"/>
      <c r="CQ86" s="951"/>
      <c r="CR86" s="952"/>
      <c r="CS86" s="946"/>
      <c r="CT86" s="953"/>
      <c r="CU86" s="953"/>
      <c r="CV86" s="953"/>
      <c r="CX86" s="951"/>
      <c r="CY86" s="951"/>
      <c r="CZ86" s="952"/>
      <c r="DB86" s="954"/>
      <c r="DC86" s="954"/>
      <c r="DD86" s="921"/>
      <c r="DE86" s="954"/>
      <c r="DF86" s="954"/>
      <c r="DG86" s="921"/>
      <c r="DH86" s="954"/>
      <c r="DI86" s="954"/>
      <c r="DJ86" s="921"/>
      <c r="DK86" s="954"/>
      <c r="DL86" s="954"/>
      <c r="DM86" s="921"/>
      <c r="DN86" s="954"/>
      <c r="DO86" s="954"/>
      <c r="DP86" s="921"/>
      <c r="DQ86" s="942"/>
      <c r="DR86" s="951"/>
      <c r="DS86" s="951"/>
      <c r="DT86" s="952"/>
      <c r="DV86" s="921"/>
      <c r="DW86" s="921"/>
      <c r="DX86" s="921"/>
      <c r="DY86" s="921"/>
      <c r="DZ86" s="921"/>
      <c r="EA86" s="921"/>
      <c r="EB86" s="921"/>
      <c r="EC86" s="921"/>
      <c r="ED86" s="921"/>
      <c r="EE86" s="921"/>
      <c r="EF86" s="921"/>
      <c r="EG86" s="921"/>
      <c r="EH86" s="921"/>
      <c r="EI86" s="921"/>
      <c r="EJ86" s="921"/>
      <c r="EK86" s="921"/>
      <c r="EL86" s="921"/>
      <c r="EM86" s="921"/>
      <c r="EN86" s="921"/>
      <c r="EO86" s="921"/>
      <c r="EP86" s="921"/>
      <c r="EQ86" s="954"/>
      <c r="ER86" s="954"/>
      <c r="ES86" s="954"/>
      <c r="ET86" s="954"/>
      <c r="EV86" s="942"/>
      <c r="EW86" s="951"/>
      <c r="EX86" s="951"/>
      <c r="EY86" s="952"/>
    </row>
    <row r="87" spans="1:155" s="927" customFormat="1" ht="15.75" x14ac:dyDescent="0.25">
      <c r="A87" s="931"/>
      <c r="B87" s="932" t="s">
        <v>403</v>
      </c>
      <c r="C87" s="933"/>
      <c r="D87" s="933"/>
      <c r="E87" s="934"/>
      <c r="F87" s="935"/>
      <c r="G87" s="934"/>
      <c r="H87" s="935"/>
      <c r="I87" s="936"/>
      <c r="J87" s="937"/>
      <c r="K87" s="938"/>
      <c r="L87" s="936"/>
      <c r="M87" s="937"/>
      <c r="N87" s="938"/>
      <c r="O87" s="936"/>
      <c r="P87" s="937"/>
      <c r="Q87" s="938"/>
      <c r="R87" s="936"/>
      <c r="S87" s="937"/>
      <c r="T87" s="938"/>
      <c r="U87" s="936"/>
      <c r="V87" s="937"/>
      <c r="W87" s="938"/>
      <c r="X87" s="936"/>
      <c r="Y87" s="937"/>
      <c r="Z87" s="938"/>
      <c r="AA87" s="936"/>
      <c r="AB87" s="937"/>
      <c r="AC87" s="938"/>
      <c r="AD87" s="936"/>
      <c r="AE87" s="937"/>
      <c r="AF87" s="938"/>
      <c r="AG87" s="936"/>
      <c r="AH87" s="937"/>
      <c r="AI87" s="938"/>
      <c r="AJ87" s="936"/>
      <c r="AK87" s="937"/>
      <c r="AL87" s="938"/>
      <c r="AM87" s="936"/>
      <c r="AN87" s="933"/>
      <c r="AO87" s="936"/>
      <c r="AP87" s="933"/>
      <c r="AQ87" s="935"/>
      <c r="AR87" s="936"/>
      <c r="AS87" s="935"/>
      <c r="AT87" s="939"/>
      <c r="AU87" s="933"/>
      <c r="AV87" s="940"/>
      <c r="AW87" s="389">
        <f>AW81/12-AO81</f>
        <v>38128.370000000003</v>
      </c>
      <c r="AX87" s="939"/>
      <c r="AY87" s="939"/>
      <c r="AZ87" s="941"/>
      <c r="BA87" s="941"/>
      <c r="BB87" s="941"/>
      <c r="BC87" s="934"/>
      <c r="BD87" s="941"/>
      <c r="BE87" s="941"/>
      <c r="BF87" s="941"/>
      <c r="BG87" s="942"/>
      <c r="BH87" s="941"/>
      <c r="BI87" s="941"/>
      <c r="BJ87" s="941"/>
      <c r="BK87" s="943"/>
      <c r="BL87" s="943"/>
      <c r="BM87" s="943"/>
      <c r="BN87" s="943"/>
      <c r="BO87" s="943"/>
      <c r="BP87" s="944"/>
      <c r="BQ87" s="943"/>
      <c r="BR87" s="943"/>
      <c r="BS87" s="943"/>
      <c r="BU87" s="945"/>
      <c r="BV87" s="946"/>
      <c r="BW87" s="947"/>
      <c r="BX87" s="945"/>
      <c r="BY87" s="947"/>
      <c r="BZ87" s="946"/>
      <c r="CA87" s="947"/>
      <c r="CB87" s="946"/>
      <c r="CC87" s="947"/>
      <c r="CD87" s="947"/>
      <c r="CE87" s="947"/>
      <c r="CF87" s="948"/>
      <c r="CG87" s="949"/>
      <c r="CH87" s="949"/>
      <c r="CI87" s="950"/>
      <c r="CJ87" s="951"/>
      <c r="CK87" s="951"/>
      <c r="CL87" s="952"/>
      <c r="CM87" s="951"/>
      <c r="CN87" s="951"/>
      <c r="CO87" s="952"/>
      <c r="CP87" s="951"/>
      <c r="CQ87" s="951"/>
      <c r="CR87" s="952"/>
      <c r="CS87" s="946"/>
      <c r="CT87" s="953"/>
      <c r="CU87" s="953"/>
      <c r="CV87" s="953"/>
      <c r="CX87" s="951"/>
      <c r="CY87" s="951"/>
      <c r="CZ87" s="952"/>
      <c r="DB87" s="954"/>
      <c r="DC87" s="954"/>
      <c r="DD87" s="921"/>
      <c r="DE87" s="954"/>
      <c r="DF87" s="954"/>
      <c r="DG87" s="921"/>
      <c r="DH87" s="954"/>
      <c r="DI87" s="954"/>
      <c r="DJ87" s="921"/>
      <c r="DK87" s="954"/>
      <c r="DL87" s="954"/>
      <c r="DM87" s="921"/>
      <c r="DN87" s="954"/>
      <c r="DO87" s="954"/>
      <c r="DP87" s="921"/>
      <c r="DQ87" s="942"/>
      <c r="DR87" s="951"/>
      <c r="DS87" s="951"/>
      <c r="DT87" s="952"/>
      <c r="DV87" s="921"/>
      <c r="DW87" s="921"/>
      <c r="DX87" s="921"/>
      <c r="DY87" s="921"/>
      <c r="DZ87" s="921"/>
      <c r="EA87" s="921"/>
      <c r="EB87" s="921"/>
      <c r="EC87" s="921"/>
      <c r="ED87" s="921"/>
      <c r="EE87" s="921"/>
      <c r="EF87" s="921"/>
      <c r="EG87" s="921"/>
      <c r="EH87" s="921"/>
      <c r="EI87" s="921"/>
      <c r="EJ87" s="921"/>
      <c r="EK87" s="921"/>
      <c r="EL87" s="921"/>
      <c r="EM87" s="921"/>
      <c r="EN87" s="921"/>
      <c r="EO87" s="921"/>
      <c r="EP87" s="921"/>
      <c r="EQ87" s="954"/>
      <c r="ER87" s="954"/>
      <c r="ES87" s="954"/>
      <c r="ET87" s="954"/>
      <c r="EV87" s="942"/>
      <c r="EW87" s="951"/>
      <c r="EX87" s="951"/>
      <c r="EY87" s="952"/>
    </row>
    <row r="88" spans="1:155" s="927" customFormat="1" ht="15.75" x14ac:dyDescent="0.25">
      <c r="A88" s="931"/>
      <c r="B88" s="932" t="s">
        <v>404</v>
      </c>
      <c r="C88" s="933"/>
      <c r="D88" s="933"/>
      <c r="E88" s="934"/>
      <c r="F88" s="935"/>
      <c r="G88" s="934"/>
      <c r="H88" s="935"/>
      <c r="I88" s="936"/>
      <c r="J88" s="937"/>
      <c r="K88" s="938"/>
      <c r="L88" s="936"/>
      <c r="M88" s="937"/>
      <c r="N88" s="938"/>
      <c r="O88" s="936"/>
      <c r="P88" s="937"/>
      <c r="Q88" s="938"/>
      <c r="R88" s="936"/>
      <c r="S88" s="937"/>
      <c r="T88" s="938"/>
      <c r="U88" s="936"/>
      <c r="V88" s="937"/>
      <c r="W88" s="938"/>
      <c r="X88" s="936"/>
      <c r="Y88" s="937"/>
      <c r="Z88" s="938"/>
      <c r="AA88" s="936"/>
      <c r="AB88" s="937"/>
      <c r="AC88" s="938"/>
      <c r="AD88" s="936"/>
      <c r="AE88" s="937"/>
      <c r="AF88" s="938"/>
      <c r="AG88" s="936"/>
      <c r="AH88" s="937"/>
      <c r="AI88" s="938"/>
      <c r="AJ88" s="936"/>
      <c r="AK88" s="937"/>
      <c r="AL88" s="938"/>
      <c r="AM88" s="936"/>
      <c r="AN88" s="933"/>
      <c r="AO88" s="936"/>
      <c r="AP88" s="933"/>
      <c r="AQ88" s="935"/>
      <c r="AR88" s="936"/>
      <c r="AS88" s="935"/>
      <c r="AT88" s="939"/>
      <c r="AU88" s="933"/>
      <c r="AV88" s="940"/>
      <c r="AW88" s="389">
        <f>AW82/12-AO82</f>
        <v>171892.75</v>
      </c>
      <c r="AX88" s="939"/>
      <c r="AY88" s="939"/>
      <c r="AZ88" s="941"/>
      <c r="BA88" s="941"/>
      <c r="BB88" s="941"/>
      <c r="BC88" s="934"/>
      <c r="BD88" s="941"/>
      <c r="BE88" s="941"/>
      <c r="BF88" s="941"/>
      <c r="BG88" s="942"/>
      <c r="BH88" s="941"/>
      <c r="BI88" s="941"/>
      <c r="BJ88" s="941"/>
      <c r="BK88" s="943"/>
      <c r="BL88" s="943"/>
      <c r="BM88" s="943"/>
      <c r="BN88" s="943"/>
      <c r="BO88" s="943"/>
      <c r="BP88" s="944"/>
      <c r="BQ88" s="943"/>
      <c r="BR88" s="943"/>
      <c r="BS88" s="943"/>
      <c r="BU88" s="945"/>
      <c r="BV88" s="946"/>
      <c r="BW88" s="947"/>
      <c r="BX88" s="945"/>
      <c r="BY88" s="947"/>
      <c r="BZ88" s="946"/>
      <c r="CA88" s="947"/>
      <c r="CB88" s="946"/>
      <c r="CC88" s="947"/>
      <c r="CD88" s="947"/>
      <c r="CE88" s="947"/>
      <c r="CF88" s="948"/>
      <c r="CG88" s="949"/>
      <c r="CH88" s="949"/>
      <c r="CI88" s="950"/>
      <c r="CJ88" s="951"/>
      <c r="CK88" s="951"/>
      <c r="CL88" s="952"/>
      <c r="CM88" s="951"/>
      <c r="CN88" s="951"/>
      <c r="CO88" s="952"/>
      <c r="CP88" s="951"/>
      <c r="CQ88" s="951"/>
      <c r="CR88" s="952"/>
      <c r="CS88" s="946"/>
      <c r="CT88" s="953"/>
      <c r="CU88" s="953"/>
      <c r="CV88" s="953"/>
      <c r="CX88" s="951"/>
      <c r="CY88" s="951"/>
      <c r="CZ88" s="952"/>
      <c r="DB88" s="954"/>
      <c r="DC88" s="954"/>
      <c r="DD88" s="921"/>
      <c r="DE88" s="954"/>
      <c r="DF88" s="954"/>
      <c r="DG88" s="921"/>
      <c r="DH88" s="954"/>
      <c r="DI88" s="954"/>
      <c r="DJ88" s="921"/>
      <c r="DK88" s="954"/>
      <c r="DL88" s="954"/>
      <c r="DM88" s="921"/>
      <c r="DN88" s="954"/>
      <c r="DO88" s="954"/>
      <c r="DP88" s="921"/>
      <c r="DQ88" s="942"/>
      <c r="DR88" s="951"/>
      <c r="DS88" s="951"/>
      <c r="DT88" s="952"/>
      <c r="DV88" s="921"/>
      <c r="DW88" s="921"/>
      <c r="DX88" s="921"/>
      <c r="DY88" s="921"/>
      <c r="DZ88" s="921"/>
      <c r="EA88" s="921"/>
      <c r="EB88" s="921"/>
      <c r="EC88" s="921"/>
      <c r="ED88" s="921"/>
      <c r="EE88" s="921"/>
      <c r="EF88" s="921"/>
      <c r="EG88" s="921"/>
      <c r="EH88" s="921"/>
      <c r="EI88" s="921"/>
      <c r="EJ88" s="921"/>
      <c r="EK88" s="921"/>
      <c r="EL88" s="921"/>
      <c r="EM88" s="921"/>
      <c r="EN88" s="921"/>
      <c r="EO88" s="921"/>
      <c r="EP88" s="921"/>
      <c r="EQ88" s="954"/>
      <c r="ER88" s="954"/>
      <c r="ES88" s="954"/>
      <c r="ET88" s="954"/>
      <c r="EV88" s="942"/>
      <c r="EW88" s="951"/>
      <c r="EX88" s="951"/>
      <c r="EY88" s="952"/>
    </row>
    <row r="89" spans="1:155" s="927" customFormat="1" ht="15.75" x14ac:dyDescent="0.25">
      <c r="A89" s="931"/>
      <c r="B89" s="932" t="s">
        <v>405</v>
      </c>
      <c r="C89" s="933"/>
      <c r="D89" s="933"/>
      <c r="E89" s="934"/>
      <c r="F89" s="935"/>
      <c r="G89" s="934"/>
      <c r="H89" s="935"/>
      <c r="I89" s="936"/>
      <c r="J89" s="937"/>
      <c r="K89" s="938"/>
      <c r="L89" s="936"/>
      <c r="M89" s="937"/>
      <c r="N89" s="938"/>
      <c r="O89" s="936"/>
      <c r="P89" s="937"/>
      <c r="Q89" s="938"/>
      <c r="R89" s="936"/>
      <c r="S89" s="937"/>
      <c r="T89" s="938"/>
      <c r="U89" s="936"/>
      <c r="V89" s="937"/>
      <c r="W89" s="938"/>
      <c r="X89" s="936"/>
      <c r="Y89" s="937"/>
      <c r="Z89" s="938"/>
      <c r="AA89" s="936"/>
      <c r="AB89" s="937"/>
      <c r="AC89" s="938"/>
      <c r="AD89" s="936"/>
      <c r="AE89" s="937"/>
      <c r="AF89" s="938"/>
      <c r="AG89" s="936"/>
      <c r="AH89" s="937"/>
      <c r="AI89" s="938"/>
      <c r="AJ89" s="936"/>
      <c r="AK89" s="937"/>
      <c r="AL89" s="938"/>
      <c r="AM89" s="936"/>
      <c r="AN89" s="933"/>
      <c r="AO89" s="936"/>
      <c r="AP89" s="933"/>
      <c r="AQ89" s="935"/>
      <c r="AR89" s="936"/>
      <c r="AS89" s="935"/>
      <c r="AT89" s="939"/>
      <c r="AU89" s="933"/>
      <c r="AV89" s="940"/>
      <c r="AW89" s="389">
        <f>AW83/12-AO83</f>
        <v>0</v>
      </c>
      <c r="AX89" s="939"/>
      <c r="AY89" s="939"/>
      <c r="AZ89" s="941"/>
      <c r="BA89" s="941"/>
      <c r="BB89" s="941"/>
      <c r="BC89" s="934"/>
      <c r="BD89" s="941"/>
      <c r="BE89" s="941"/>
      <c r="BF89" s="941"/>
      <c r="BG89" s="942"/>
      <c r="BH89" s="941"/>
      <c r="BI89" s="941"/>
      <c r="BJ89" s="941"/>
      <c r="BK89" s="943"/>
      <c r="BL89" s="943"/>
      <c r="BM89" s="943"/>
      <c r="BN89" s="943"/>
      <c r="BO89" s="943"/>
      <c r="BP89" s="944"/>
      <c r="BQ89" s="943"/>
      <c r="BR89" s="943"/>
      <c r="BS89" s="943"/>
      <c r="BU89" s="945"/>
      <c r="BV89" s="946"/>
      <c r="BW89" s="947"/>
      <c r="BX89" s="945"/>
      <c r="BY89" s="947"/>
      <c r="BZ89" s="946"/>
      <c r="CA89" s="947"/>
      <c r="CB89" s="946"/>
      <c r="CC89" s="947"/>
      <c r="CD89" s="947"/>
      <c r="CE89" s="947"/>
      <c r="CF89" s="948"/>
      <c r="CG89" s="949"/>
      <c r="CH89" s="949"/>
      <c r="CI89" s="950"/>
      <c r="CJ89" s="951"/>
      <c r="CK89" s="951"/>
      <c r="CL89" s="952"/>
      <c r="CM89" s="951"/>
      <c r="CN89" s="951"/>
      <c r="CO89" s="952"/>
      <c r="CP89" s="951"/>
      <c r="CQ89" s="951"/>
      <c r="CR89" s="952"/>
      <c r="CS89" s="946"/>
      <c r="CT89" s="953"/>
      <c r="CU89" s="953"/>
      <c r="CV89" s="953"/>
      <c r="CX89" s="951"/>
      <c r="CY89" s="951"/>
      <c r="CZ89" s="952"/>
      <c r="DB89" s="954"/>
      <c r="DC89" s="954"/>
      <c r="DD89" s="921"/>
      <c r="DE89" s="954"/>
      <c r="DF89" s="954"/>
      <c r="DG89" s="921"/>
      <c r="DH89" s="954"/>
      <c r="DI89" s="954"/>
      <c r="DJ89" s="921"/>
      <c r="DK89" s="954"/>
      <c r="DL89" s="954"/>
      <c r="DM89" s="921"/>
      <c r="DN89" s="954"/>
      <c r="DO89" s="954"/>
      <c r="DP89" s="921"/>
      <c r="DQ89" s="942"/>
      <c r="DR89" s="951"/>
      <c r="DS89" s="951"/>
      <c r="DT89" s="952"/>
      <c r="DV89" s="921"/>
      <c r="DW89" s="921"/>
      <c r="DX89" s="921"/>
      <c r="DY89" s="921"/>
      <c r="DZ89" s="921"/>
      <c r="EA89" s="921"/>
      <c r="EB89" s="921"/>
      <c r="EC89" s="921"/>
      <c r="ED89" s="921"/>
      <c r="EE89" s="921"/>
      <c r="EF89" s="921"/>
      <c r="EG89" s="921"/>
      <c r="EH89" s="921"/>
      <c r="EI89" s="921"/>
      <c r="EJ89" s="921"/>
      <c r="EK89" s="921"/>
      <c r="EL89" s="921"/>
      <c r="EM89" s="921"/>
      <c r="EN89" s="921"/>
      <c r="EO89" s="921"/>
      <c r="EP89" s="921"/>
      <c r="EQ89" s="954"/>
      <c r="ER89" s="954"/>
      <c r="ES89" s="954"/>
      <c r="ET89" s="954"/>
      <c r="EV89" s="942"/>
      <c r="EW89" s="951"/>
      <c r="EX89" s="951"/>
      <c r="EY89" s="952"/>
    </row>
    <row r="90" spans="1:155" s="927" customFormat="1" ht="15.75" x14ac:dyDescent="0.25">
      <c r="A90" s="931"/>
      <c r="B90" s="932" t="s">
        <v>499</v>
      </c>
      <c r="C90" s="933"/>
      <c r="D90" s="933"/>
      <c r="E90" s="934"/>
      <c r="F90" s="935"/>
      <c r="G90" s="934"/>
      <c r="H90" s="935"/>
      <c r="I90" s="936"/>
      <c r="J90" s="937"/>
      <c r="K90" s="938"/>
      <c r="L90" s="936"/>
      <c r="M90" s="937"/>
      <c r="N90" s="938"/>
      <c r="O90" s="936"/>
      <c r="P90" s="937"/>
      <c r="Q90" s="938"/>
      <c r="R90" s="936"/>
      <c r="S90" s="937"/>
      <c r="T90" s="938"/>
      <c r="U90" s="936"/>
      <c r="V90" s="937"/>
      <c r="W90" s="938"/>
      <c r="X90" s="936"/>
      <c r="Y90" s="937"/>
      <c r="Z90" s="938"/>
      <c r="AA90" s="936"/>
      <c r="AB90" s="937"/>
      <c r="AC90" s="938"/>
      <c r="AD90" s="936"/>
      <c r="AE90" s="937"/>
      <c r="AF90" s="938"/>
      <c r="AG90" s="936"/>
      <c r="AH90" s="937"/>
      <c r="AI90" s="938"/>
      <c r="AJ90" s="936"/>
      <c r="AK90" s="937"/>
      <c r="AL90" s="938"/>
      <c r="AM90" s="936"/>
      <c r="AN90" s="933"/>
      <c r="AO90" s="936"/>
      <c r="AP90" s="933"/>
      <c r="AQ90" s="935"/>
      <c r="AR90" s="936"/>
      <c r="AS90" s="935"/>
      <c r="AT90" s="939"/>
      <c r="AU90" s="933"/>
      <c r="AV90" s="940"/>
      <c r="AW90" s="986"/>
      <c r="AX90" s="939"/>
      <c r="AY90" s="939"/>
      <c r="AZ90" s="941"/>
      <c r="BA90" s="941"/>
      <c r="BB90" s="941"/>
      <c r="BC90" s="934"/>
      <c r="BD90" s="941"/>
      <c r="BE90" s="941"/>
      <c r="BF90" s="941"/>
      <c r="BG90" s="942"/>
      <c r="BH90" s="941"/>
      <c r="BI90" s="941"/>
      <c r="BJ90" s="941"/>
      <c r="BK90" s="943"/>
      <c r="BL90" s="943"/>
      <c r="BM90" s="943"/>
      <c r="BN90" s="943"/>
      <c r="BO90" s="943"/>
      <c r="BP90" s="944"/>
      <c r="BQ90" s="943"/>
      <c r="BR90" s="943"/>
      <c r="BS90" s="943"/>
      <c r="BU90" s="945"/>
      <c r="BV90" s="946"/>
      <c r="BW90" s="947"/>
      <c r="BX90" s="945"/>
      <c r="BY90" s="947"/>
      <c r="BZ90" s="946"/>
      <c r="CA90" s="947"/>
      <c r="CB90" s="946"/>
      <c r="CC90" s="947"/>
      <c r="CD90" s="947"/>
      <c r="CE90" s="947"/>
      <c r="CF90" s="948"/>
      <c r="CG90" s="949"/>
      <c r="CH90" s="949"/>
      <c r="CI90" s="950"/>
      <c r="CJ90" s="951"/>
      <c r="CK90" s="951"/>
      <c r="CL90" s="952"/>
      <c r="CM90" s="951"/>
      <c r="CN90" s="951"/>
      <c r="CO90" s="952"/>
      <c r="CP90" s="951"/>
      <c r="CQ90" s="951"/>
      <c r="CR90" s="952"/>
      <c r="CS90" s="946"/>
      <c r="CT90" s="953"/>
      <c r="CU90" s="953"/>
      <c r="CV90" s="953"/>
      <c r="CX90" s="951"/>
      <c r="CY90" s="951"/>
      <c r="CZ90" s="952"/>
      <c r="DB90" s="954"/>
      <c r="DC90" s="954"/>
      <c r="DD90" s="921"/>
      <c r="DE90" s="954"/>
      <c r="DF90" s="954"/>
      <c r="DG90" s="921"/>
      <c r="DH90" s="954"/>
      <c r="DI90" s="954"/>
      <c r="DJ90" s="921"/>
      <c r="DK90" s="954"/>
      <c r="DL90" s="954"/>
      <c r="DM90" s="921"/>
      <c r="DN90" s="954"/>
      <c r="DO90" s="954"/>
      <c r="DP90" s="921"/>
      <c r="DQ90" s="942"/>
      <c r="DR90" s="951"/>
      <c r="DS90" s="951"/>
      <c r="DT90" s="952"/>
      <c r="DV90" s="921"/>
      <c r="DW90" s="921"/>
      <c r="DX90" s="921"/>
      <c r="DY90" s="921"/>
      <c r="DZ90" s="921"/>
      <c r="EA90" s="921"/>
      <c r="EB90" s="921"/>
      <c r="EC90" s="921"/>
      <c r="ED90" s="921"/>
      <c r="EE90" s="921"/>
      <c r="EF90" s="921"/>
      <c r="EG90" s="921"/>
      <c r="EH90" s="921"/>
      <c r="EI90" s="921"/>
      <c r="EJ90" s="921"/>
      <c r="EK90" s="921"/>
      <c r="EL90" s="921"/>
      <c r="EM90" s="921"/>
      <c r="EN90" s="921"/>
      <c r="EO90" s="921"/>
      <c r="EP90" s="921"/>
      <c r="EQ90" s="954"/>
      <c r="ER90" s="954"/>
      <c r="ES90" s="954"/>
      <c r="ET90" s="954"/>
      <c r="EV90" s="942"/>
      <c r="EW90" s="951"/>
      <c r="EX90" s="951"/>
      <c r="EY90" s="952"/>
    </row>
    <row r="91" spans="1:155" s="927" customFormat="1" ht="15.75" x14ac:dyDescent="0.25">
      <c r="A91" s="931"/>
      <c r="B91" s="932" t="s">
        <v>406</v>
      </c>
      <c r="C91" s="933"/>
      <c r="D91" s="933"/>
      <c r="E91" s="934"/>
      <c r="F91" s="935"/>
      <c r="G91" s="934"/>
      <c r="H91" s="935"/>
      <c r="I91" s="936"/>
      <c r="J91" s="937"/>
      <c r="K91" s="938"/>
      <c r="L91" s="936"/>
      <c r="M91" s="937"/>
      <c r="N91" s="938"/>
      <c r="O91" s="936"/>
      <c r="P91" s="937"/>
      <c r="Q91" s="938"/>
      <c r="R91" s="936"/>
      <c r="S91" s="937"/>
      <c r="T91" s="938"/>
      <c r="U91" s="936"/>
      <c r="V91" s="937"/>
      <c r="W91" s="938"/>
      <c r="X91" s="936"/>
      <c r="Y91" s="937"/>
      <c r="Z91" s="938"/>
      <c r="AA91" s="936"/>
      <c r="AB91" s="937"/>
      <c r="AC91" s="938"/>
      <c r="AD91" s="936"/>
      <c r="AE91" s="937"/>
      <c r="AF91" s="938"/>
      <c r="AG91" s="936"/>
      <c r="AH91" s="937"/>
      <c r="AI91" s="938"/>
      <c r="AJ91" s="936"/>
      <c r="AK91" s="937"/>
      <c r="AL91" s="938"/>
      <c r="AM91" s="936"/>
      <c r="AN91" s="933"/>
      <c r="AO91" s="936"/>
      <c r="AP91" s="933"/>
      <c r="AQ91" s="935"/>
      <c r="AR91" s="936"/>
      <c r="AS91" s="935"/>
      <c r="AT91" s="939"/>
      <c r="AU91" s="933"/>
      <c r="AV91" s="940"/>
      <c r="AW91" s="336">
        <f>AW86/I80</f>
        <v>1.32193</v>
      </c>
      <c r="AX91" s="939"/>
      <c r="AY91" s="939"/>
      <c r="AZ91" s="941"/>
      <c r="BA91" s="941"/>
      <c r="BB91" s="941"/>
      <c r="BC91" s="934"/>
      <c r="BD91" s="941"/>
      <c r="BE91" s="941"/>
      <c r="BF91" s="941"/>
      <c r="BG91" s="942"/>
      <c r="BH91" s="941"/>
      <c r="BI91" s="941"/>
      <c r="BJ91" s="941"/>
      <c r="BK91" s="943"/>
      <c r="BL91" s="943"/>
      <c r="BM91" s="943"/>
      <c r="BN91" s="943"/>
      <c r="BO91" s="943"/>
      <c r="BP91" s="944"/>
      <c r="BQ91" s="943"/>
      <c r="BR91" s="943"/>
      <c r="BS91" s="943"/>
      <c r="BU91" s="945"/>
      <c r="BV91" s="946"/>
      <c r="BW91" s="947"/>
      <c r="BX91" s="945"/>
      <c r="BY91" s="947"/>
      <c r="BZ91" s="946"/>
      <c r="CA91" s="947"/>
      <c r="CB91" s="946"/>
      <c r="CC91" s="947"/>
      <c r="CD91" s="947"/>
      <c r="CE91" s="947"/>
      <c r="CF91" s="948"/>
      <c r="CG91" s="949"/>
      <c r="CH91" s="949"/>
      <c r="CI91" s="950"/>
      <c r="CJ91" s="951"/>
      <c r="CK91" s="951"/>
      <c r="CL91" s="952"/>
      <c r="CM91" s="951"/>
      <c r="CN91" s="951"/>
      <c r="CO91" s="952"/>
      <c r="CP91" s="951"/>
      <c r="CQ91" s="951"/>
      <c r="CR91" s="952"/>
      <c r="CS91" s="946"/>
      <c r="CT91" s="953"/>
      <c r="CU91" s="953"/>
      <c r="CV91" s="953"/>
      <c r="CX91" s="951"/>
      <c r="CY91" s="951"/>
      <c r="CZ91" s="952"/>
      <c r="DB91" s="954"/>
      <c r="DC91" s="954"/>
      <c r="DD91" s="921"/>
      <c r="DE91" s="954"/>
      <c r="DF91" s="954"/>
      <c r="DG91" s="921"/>
      <c r="DH91" s="954"/>
      <c r="DI91" s="954"/>
      <c r="DJ91" s="921"/>
      <c r="DK91" s="954"/>
      <c r="DL91" s="954"/>
      <c r="DM91" s="921"/>
      <c r="DN91" s="954"/>
      <c r="DO91" s="954"/>
      <c r="DP91" s="921"/>
      <c r="DQ91" s="942"/>
      <c r="DR91" s="951"/>
      <c r="DS91" s="951"/>
      <c r="DT91" s="952"/>
      <c r="DV91" s="921"/>
      <c r="DW91" s="921"/>
      <c r="DX91" s="921"/>
      <c r="DY91" s="921"/>
      <c r="DZ91" s="921"/>
      <c r="EA91" s="921"/>
      <c r="EB91" s="921"/>
      <c r="EC91" s="921"/>
      <c r="ED91" s="921"/>
      <c r="EE91" s="921"/>
      <c r="EF91" s="921"/>
      <c r="EG91" s="921"/>
      <c r="EH91" s="921"/>
      <c r="EI91" s="921"/>
      <c r="EJ91" s="921"/>
      <c r="EK91" s="921"/>
      <c r="EL91" s="921"/>
      <c r="EM91" s="921"/>
      <c r="EN91" s="921"/>
      <c r="EO91" s="921"/>
      <c r="EP91" s="921"/>
      <c r="EQ91" s="954"/>
      <c r="ER91" s="954"/>
      <c r="ES91" s="954"/>
      <c r="ET91" s="954"/>
      <c r="EV91" s="942"/>
      <c r="EW91" s="951"/>
      <c r="EX91" s="951"/>
      <c r="EY91" s="952"/>
    </row>
    <row r="92" spans="1:155" s="927" customFormat="1" ht="15.75" x14ac:dyDescent="0.25">
      <c r="A92" s="931"/>
      <c r="B92" s="932" t="s">
        <v>498</v>
      </c>
      <c r="C92" s="933"/>
      <c r="D92" s="933"/>
      <c r="E92" s="934"/>
      <c r="F92" s="935"/>
      <c r="G92" s="934"/>
      <c r="H92" s="935"/>
      <c r="I92" s="936"/>
      <c r="J92" s="937"/>
      <c r="K92" s="938"/>
      <c r="L92" s="936"/>
      <c r="M92" s="937"/>
      <c r="N92" s="938"/>
      <c r="O92" s="936"/>
      <c r="P92" s="937"/>
      <c r="Q92" s="938"/>
      <c r="R92" s="936"/>
      <c r="S92" s="937"/>
      <c r="T92" s="938"/>
      <c r="U92" s="936"/>
      <c r="V92" s="937"/>
      <c r="W92" s="938"/>
      <c r="X92" s="936"/>
      <c r="Y92" s="937"/>
      <c r="Z92" s="938"/>
      <c r="AA92" s="936"/>
      <c r="AB92" s="937"/>
      <c r="AC92" s="938"/>
      <c r="AD92" s="936"/>
      <c r="AE92" s="937"/>
      <c r="AF92" s="938"/>
      <c r="AG92" s="936"/>
      <c r="AH92" s="937"/>
      <c r="AI92" s="938"/>
      <c r="AJ92" s="936"/>
      <c r="AK92" s="937"/>
      <c r="AL92" s="938"/>
      <c r="AM92" s="936"/>
      <c r="AN92" s="933"/>
      <c r="AO92" s="936"/>
      <c r="AP92" s="933"/>
      <c r="AQ92" s="935"/>
      <c r="AR92" s="936"/>
      <c r="AS92" s="935"/>
      <c r="AT92" s="939"/>
      <c r="AU92" s="933"/>
      <c r="AV92" s="940"/>
      <c r="AW92" s="986"/>
      <c r="AX92" s="939"/>
      <c r="AY92" s="939"/>
      <c r="AZ92" s="941"/>
      <c r="BA92" s="941"/>
      <c r="BB92" s="941"/>
      <c r="BC92" s="934"/>
      <c r="BD92" s="941"/>
      <c r="BE92" s="941"/>
      <c r="BF92" s="941"/>
      <c r="BG92" s="942"/>
      <c r="BH92" s="941"/>
      <c r="BI92" s="941"/>
      <c r="BJ92" s="941"/>
      <c r="BK92" s="943"/>
      <c r="BL92" s="943"/>
      <c r="BM92" s="943"/>
      <c r="BN92" s="943"/>
      <c r="BO92" s="943"/>
      <c r="BP92" s="944"/>
      <c r="BQ92" s="943"/>
      <c r="BR92" s="943"/>
      <c r="BS92" s="943"/>
      <c r="BU92" s="945"/>
      <c r="BV92" s="946"/>
      <c r="BW92" s="947"/>
      <c r="BX92" s="945"/>
      <c r="BY92" s="947"/>
      <c r="BZ92" s="946"/>
      <c r="CA92" s="947"/>
      <c r="CB92" s="946"/>
      <c r="CC92" s="947"/>
      <c r="CD92" s="947"/>
      <c r="CE92" s="947"/>
      <c r="CF92" s="948"/>
      <c r="CG92" s="949"/>
      <c r="CH92" s="949"/>
      <c r="CI92" s="950"/>
      <c r="CJ92" s="951"/>
      <c r="CK92" s="951"/>
      <c r="CL92" s="952"/>
      <c r="CM92" s="951"/>
      <c r="CN92" s="951"/>
      <c r="CO92" s="952"/>
      <c r="CP92" s="951"/>
      <c r="CQ92" s="951"/>
      <c r="CR92" s="952"/>
      <c r="CS92" s="946"/>
      <c r="CT92" s="953"/>
      <c r="CU92" s="953"/>
      <c r="CV92" s="953"/>
      <c r="CX92" s="951"/>
      <c r="CY92" s="951"/>
      <c r="CZ92" s="952"/>
      <c r="DB92" s="954"/>
      <c r="DC92" s="954"/>
      <c r="DD92" s="921"/>
      <c r="DE92" s="954"/>
      <c r="DF92" s="954"/>
      <c r="DG92" s="921"/>
      <c r="DH92" s="954"/>
      <c r="DI92" s="954"/>
      <c r="DJ92" s="921"/>
      <c r="DK92" s="954"/>
      <c r="DL92" s="954"/>
      <c r="DM92" s="921"/>
      <c r="DN92" s="954"/>
      <c r="DO92" s="954"/>
      <c r="DP92" s="921"/>
      <c r="DQ92" s="942"/>
      <c r="DR92" s="951"/>
      <c r="DS92" s="951"/>
      <c r="DT92" s="952"/>
      <c r="DV92" s="921"/>
      <c r="DW92" s="921"/>
      <c r="DX92" s="921"/>
      <c r="DY92" s="921"/>
      <c r="DZ92" s="921"/>
      <c r="EA92" s="921"/>
      <c r="EB92" s="921"/>
      <c r="EC92" s="921"/>
      <c r="ED92" s="921"/>
      <c r="EE92" s="921"/>
      <c r="EF92" s="921"/>
      <c r="EG92" s="921"/>
      <c r="EH92" s="921"/>
      <c r="EI92" s="921"/>
      <c r="EJ92" s="921"/>
      <c r="EK92" s="921"/>
      <c r="EL92" s="921"/>
      <c r="EM92" s="921"/>
      <c r="EN92" s="921"/>
      <c r="EO92" s="921"/>
      <c r="EP92" s="921"/>
      <c r="EQ92" s="954"/>
      <c r="ER92" s="954"/>
      <c r="ES92" s="954"/>
      <c r="ET92" s="954"/>
      <c r="EV92" s="942"/>
      <c r="EW92" s="951"/>
      <c r="EX92" s="951"/>
      <c r="EY92" s="952"/>
    </row>
    <row r="93" spans="1:155" s="927" customFormat="1" ht="15.75" x14ac:dyDescent="0.25">
      <c r="A93" s="931"/>
      <c r="B93" s="932" t="s">
        <v>403</v>
      </c>
      <c r="C93" s="933"/>
      <c r="D93" s="933"/>
      <c r="E93" s="934"/>
      <c r="F93" s="935"/>
      <c r="G93" s="934"/>
      <c r="H93" s="935"/>
      <c r="I93" s="936"/>
      <c r="J93" s="937"/>
      <c r="K93" s="938"/>
      <c r="L93" s="936"/>
      <c r="M93" s="937"/>
      <c r="N93" s="938"/>
      <c r="O93" s="936"/>
      <c r="P93" s="937"/>
      <c r="Q93" s="938"/>
      <c r="R93" s="936"/>
      <c r="S93" s="937"/>
      <c r="T93" s="938"/>
      <c r="U93" s="936"/>
      <c r="V93" s="937"/>
      <c r="W93" s="938"/>
      <c r="X93" s="936"/>
      <c r="Y93" s="937"/>
      <c r="Z93" s="938"/>
      <c r="AA93" s="936"/>
      <c r="AB93" s="937"/>
      <c r="AC93" s="938"/>
      <c r="AD93" s="936"/>
      <c r="AE93" s="937"/>
      <c r="AF93" s="938"/>
      <c r="AG93" s="936"/>
      <c r="AH93" s="937"/>
      <c r="AI93" s="938"/>
      <c r="AJ93" s="936"/>
      <c r="AK93" s="937"/>
      <c r="AL93" s="938"/>
      <c r="AM93" s="936"/>
      <c r="AN93" s="933"/>
      <c r="AO93" s="936"/>
      <c r="AP93" s="933"/>
      <c r="AQ93" s="935"/>
      <c r="AR93" s="936"/>
      <c r="AS93" s="935"/>
      <c r="AT93" s="939"/>
      <c r="AU93" s="933"/>
      <c r="AV93" s="940"/>
      <c r="AW93" s="337">
        <f>AW87/AW86</f>
        <v>0.21695999999999999</v>
      </c>
      <c r="AX93" s="939"/>
      <c r="AY93" s="939"/>
      <c r="AZ93" s="941"/>
      <c r="BA93" s="941"/>
      <c r="BB93" s="941"/>
      <c r="BC93" s="934"/>
      <c r="BD93" s="941"/>
      <c r="BE93" s="941"/>
      <c r="BF93" s="941"/>
      <c r="BG93" s="942"/>
      <c r="BH93" s="941"/>
      <c r="BI93" s="941"/>
      <c r="BJ93" s="941"/>
      <c r="BK93" s="943"/>
      <c r="BL93" s="943"/>
      <c r="BM93" s="943"/>
      <c r="BN93" s="943"/>
      <c r="BO93" s="943"/>
      <c r="BP93" s="944"/>
      <c r="BQ93" s="943"/>
      <c r="BR93" s="943"/>
      <c r="BS93" s="943"/>
      <c r="BU93" s="945"/>
      <c r="BV93" s="946"/>
      <c r="BW93" s="947"/>
      <c r="BX93" s="945"/>
      <c r="BY93" s="947"/>
      <c r="BZ93" s="946"/>
      <c r="CA93" s="947"/>
      <c r="CB93" s="946"/>
      <c r="CC93" s="947"/>
      <c r="CD93" s="947"/>
      <c r="CE93" s="947"/>
      <c r="CF93" s="948"/>
      <c r="CG93" s="949"/>
      <c r="CH93" s="949"/>
      <c r="CI93" s="950"/>
      <c r="CJ93" s="951"/>
      <c r="CK93" s="951"/>
      <c r="CL93" s="952"/>
      <c r="CM93" s="951"/>
      <c r="CN93" s="951"/>
      <c r="CO93" s="952"/>
      <c r="CP93" s="951"/>
      <c r="CQ93" s="951"/>
      <c r="CR93" s="952"/>
      <c r="CS93" s="946"/>
      <c r="CT93" s="953"/>
      <c r="CU93" s="953"/>
      <c r="CV93" s="953"/>
      <c r="CX93" s="951"/>
      <c r="CY93" s="951"/>
      <c r="CZ93" s="952"/>
      <c r="DB93" s="954"/>
      <c r="DC93" s="954"/>
      <c r="DD93" s="921"/>
      <c r="DE93" s="954"/>
      <c r="DF93" s="954"/>
      <c r="DG93" s="921"/>
      <c r="DH93" s="954"/>
      <c r="DI93" s="954"/>
      <c r="DJ93" s="921"/>
      <c r="DK93" s="954"/>
      <c r="DL93" s="954"/>
      <c r="DM93" s="921"/>
      <c r="DN93" s="954"/>
      <c r="DO93" s="954"/>
      <c r="DP93" s="921"/>
      <c r="DQ93" s="942"/>
      <c r="DR93" s="951"/>
      <c r="DS93" s="951"/>
      <c r="DT93" s="952"/>
      <c r="DV93" s="921"/>
      <c r="DW93" s="921"/>
      <c r="DX93" s="921"/>
      <c r="DY93" s="921"/>
      <c r="DZ93" s="921"/>
      <c r="EA93" s="921"/>
      <c r="EB93" s="921"/>
      <c r="EC93" s="921"/>
      <c r="ED93" s="921"/>
      <c r="EE93" s="921"/>
      <c r="EF93" s="921"/>
      <c r="EG93" s="921"/>
      <c r="EH93" s="921"/>
      <c r="EI93" s="921"/>
      <c r="EJ93" s="921"/>
      <c r="EK93" s="921"/>
      <c r="EL93" s="921"/>
      <c r="EM93" s="921"/>
      <c r="EN93" s="921"/>
      <c r="EO93" s="921"/>
      <c r="EP93" s="921"/>
      <c r="EQ93" s="954"/>
      <c r="ER93" s="954"/>
      <c r="ES93" s="954"/>
      <c r="ET93" s="954"/>
      <c r="EV93" s="942"/>
      <c r="EW93" s="951"/>
      <c r="EX93" s="951"/>
      <c r="EY93" s="952"/>
    </row>
    <row r="94" spans="1:155" s="927" customFormat="1" ht="15.75" x14ac:dyDescent="0.25">
      <c r="A94" s="931"/>
      <c r="B94" s="932" t="s">
        <v>404</v>
      </c>
      <c r="C94" s="933"/>
      <c r="D94" s="933"/>
      <c r="E94" s="934"/>
      <c r="F94" s="935"/>
      <c r="G94" s="934"/>
      <c r="H94" s="935"/>
      <c r="I94" s="936"/>
      <c r="J94" s="937"/>
      <c r="K94" s="938"/>
      <c r="L94" s="936"/>
      <c r="M94" s="937"/>
      <c r="N94" s="938"/>
      <c r="O94" s="936"/>
      <c r="P94" s="937"/>
      <c r="Q94" s="938"/>
      <c r="R94" s="936"/>
      <c r="S94" s="937"/>
      <c r="T94" s="938"/>
      <c r="U94" s="936"/>
      <c r="V94" s="937"/>
      <c r="W94" s="938"/>
      <c r="X94" s="936"/>
      <c r="Y94" s="937"/>
      <c r="Z94" s="938"/>
      <c r="AA94" s="936"/>
      <c r="AB94" s="937"/>
      <c r="AC94" s="938"/>
      <c r="AD94" s="936"/>
      <c r="AE94" s="937"/>
      <c r="AF94" s="938"/>
      <c r="AG94" s="936"/>
      <c r="AH94" s="937"/>
      <c r="AI94" s="938"/>
      <c r="AJ94" s="936"/>
      <c r="AK94" s="937"/>
      <c r="AL94" s="938"/>
      <c r="AM94" s="936"/>
      <c r="AN94" s="933"/>
      <c r="AO94" s="936"/>
      <c r="AP94" s="933"/>
      <c r="AQ94" s="935"/>
      <c r="AR94" s="936"/>
      <c r="AS94" s="935"/>
      <c r="AT94" s="939"/>
      <c r="AU94" s="933"/>
      <c r="AV94" s="940"/>
      <c r="AW94" s="338">
        <f>AW88/AW86</f>
        <v>0.97809999999999997</v>
      </c>
      <c r="AX94" s="939"/>
      <c r="AY94" s="939"/>
      <c r="AZ94" s="941"/>
      <c r="BA94" s="941"/>
      <c r="BB94" s="941"/>
      <c r="BC94" s="934"/>
      <c r="BD94" s="941"/>
      <c r="BE94" s="941"/>
      <c r="BF94" s="941"/>
      <c r="BG94" s="942"/>
      <c r="BH94" s="941"/>
      <c r="BI94" s="941"/>
      <c r="BJ94" s="941"/>
      <c r="BK94" s="943"/>
      <c r="BL94" s="943"/>
      <c r="BM94" s="943"/>
      <c r="BN94" s="943"/>
      <c r="BO94" s="943"/>
      <c r="BP94" s="944"/>
      <c r="BQ94" s="943"/>
      <c r="BR94" s="943"/>
      <c r="BS94" s="943"/>
      <c r="BU94" s="945"/>
      <c r="BV94" s="946"/>
      <c r="BW94" s="947"/>
      <c r="BX94" s="945"/>
      <c r="BY94" s="947"/>
      <c r="BZ94" s="946"/>
      <c r="CA94" s="947"/>
      <c r="CB94" s="946"/>
      <c r="CC94" s="947"/>
      <c r="CD94" s="947"/>
      <c r="CE94" s="947"/>
      <c r="CF94" s="948"/>
      <c r="CG94" s="949"/>
      <c r="CH94" s="949"/>
      <c r="CI94" s="950"/>
      <c r="CJ94" s="951"/>
      <c r="CK94" s="951"/>
      <c r="CL94" s="952"/>
      <c r="CM94" s="951"/>
      <c r="CN94" s="951"/>
      <c r="CO94" s="952"/>
      <c r="CP94" s="951"/>
      <c r="CQ94" s="951"/>
      <c r="CR94" s="952"/>
      <c r="CS94" s="946"/>
      <c r="CT94" s="953"/>
      <c r="CU94" s="953"/>
      <c r="CV94" s="953"/>
      <c r="CX94" s="951"/>
      <c r="CY94" s="951"/>
      <c r="CZ94" s="952"/>
      <c r="DB94" s="954"/>
      <c r="DC94" s="954"/>
      <c r="DD94" s="921"/>
      <c r="DE94" s="954"/>
      <c r="DF94" s="954"/>
      <c r="DG94" s="921"/>
      <c r="DH94" s="954"/>
      <c r="DI94" s="954"/>
      <c r="DJ94" s="921"/>
      <c r="DK94" s="954"/>
      <c r="DL94" s="954"/>
      <c r="DM94" s="921"/>
      <c r="DN94" s="954"/>
      <c r="DO94" s="954"/>
      <c r="DP94" s="921"/>
      <c r="DQ94" s="942"/>
      <c r="DR94" s="951"/>
      <c r="DS94" s="951"/>
      <c r="DT94" s="952"/>
      <c r="DV94" s="921"/>
      <c r="DW94" s="921"/>
      <c r="DX94" s="921"/>
      <c r="DY94" s="921"/>
      <c r="DZ94" s="921"/>
      <c r="EA94" s="921"/>
      <c r="EB94" s="921"/>
      <c r="EC94" s="921"/>
      <c r="ED94" s="921"/>
      <c r="EE94" s="921"/>
      <c r="EF94" s="921"/>
      <c r="EG94" s="921"/>
      <c r="EH94" s="921"/>
      <c r="EI94" s="921"/>
      <c r="EJ94" s="921"/>
      <c r="EK94" s="921"/>
      <c r="EL94" s="921"/>
      <c r="EM94" s="921"/>
      <c r="EN94" s="921"/>
      <c r="EO94" s="921"/>
      <c r="EP94" s="921"/>
      <c r="EQ94" s="954"/>
      <c r="ER94" s="954"/>
      <c r="ES94" s="954"/>
      <c r="ET94" s="954"/>
      <c r="EV94" s="942"/>
      <c r="EW94" s="951"/>
      <c r="EX94" s="951"/>
      <c r="EY94" s="952"/>
    </row>
    <row r="95" spans="1:155" s="927" customFormat="1" ht="15.75" x14ac:dyDescent="0.25">
      <c r="A95" s="931"/>
      <c r="B95" s="932" t="s">
        <v>405</v>
      </c>
      <c r="C95" s="933"/>
      <c r="D95" s="933"/>
      <c r="E95" s="934"/>
      <c r="F95" s="935"/>
      <c r="G95" s="934"/>
      <c r="H95" s="935"/>
      <c r="I95" s="936"/>
      <c r="J95" s="937"/>
      <c r="K95" s="938"/>
      <c r="L95" s="936"/>
      <c r="M95" s="937"/>
      <c r="N95" s="938"/>
      <c r="O95" s="936"/>
      <c r="P95" s="937"/>
      <c r="Q95" s="938"/>
      <c r="R95" s="936"/>
      <c r="S95" s="937"/>
      <c r="T95" s="938"/>
      <c r="U95" s="936"/>
      <c r="V95" s="937"/>
      <c r="W95" s="938"/>
      <c r="X95" s="936"/>
      <c r="Y95" s="937"/>
      <c r="Z95" s="938"/>
      <c r="AA95" s="936"/>
      <c r="AB95" s="937"/>
      <c r="AC95" s="938"/>
      <c r="AD95" s="936"/>
      <c r="AE95" s="937"/>
      <c r="AF95" s="938"/>
      <c r="AG95" s="936"/>
      <c r="AH95" s="937"/>
      <c r="AI95" s="938"/>
      <c r="AJ95" s="936"/>
      <c r="AK95" s="937"/>
      <c r="AL95" s="938"/>
      <c r="AM95" s="936"/>
      <c r="AN95" s="933"/>
      <c r="AO95" s="936"/>
      <c r="AP95" s="933"/>
      <c r="AQ95" s="935"/>
      <c r="AR95" s="936"/>
      <c r="AS95" s="935"/>
      <c r="AT95" s="939"/>
      <c r="AU95" s="933"/>
      <c r="AV95" s="940"/>
      <c r="AW95" s="339">
        <f>AW89/AW86</f>
        <v>0</v>
      </c>
      <c r="AX95" s="939"/>
      <c r="AY95" s="939"/>
      <c r="AZ95" s="941"/>
      <c r="BA95" s="941"/>
      <c r="BB95" s="941"/>
      <c r="BC95" s="934"/>
      <c r="BD95" s="941"/>
      <c r="BE95" s="941"/>
      <c r="BF95" s="941"/>
      <c r="BG95" s="942"/>
      <c r="BH95" s="941"/>
      <c r="BI95" s="941"/>
      <c r="BJ95" s="941"/>
      <c r="BK95" s="943"/>
      <c r="BL95" s="943"/>
      <c r="BM95" s="943"/>
      <c r="BN95" s="943"/>
      <c r="BO95" s="943"/>
      <c r="BP95" s="944"/>
      <c r="BQ95" s="943"/>
      <c r="BR95" s="943"/>
      <c r="BS95" s="943"/>
      <c r="BU95" s="945"/>
      <c r="BV95" s="946"/>
      <c r="BW95" s="947"/>
      <c r="BX95" s="945"/>
      <c r="BY95" s="947"/>
      <c r="BZ95" s="946"/>
      <c r="CA95" s="947"/>
      <c r="CB95" s="946"/>
      <c r="CC95" s="947"/>
      <c r="CD95" s="947"/>
      <c r="CE95" s="947"/>
      <c r="CF95" s="948"/>
      <c r="CG95" s="949"/>
      <c r="CH95" s="949"/>
      <c r="CI95" s="950"/>
      <c r="CJ95" s="951"/>
      <c r="CK95" s="951"/>
      <c r="CL95" s="952"/>
      <c r="CM95" s="951"/>
      <c r="CN95" s="951"/>
      <c r="CO95" s="952"/>
      <c r="CP95" s="951"/>
      <c r="CQ95" s="951"/>
      <c r="CR95" s="952"/>
      <c r="CS95" s="946"/>
      <c r="CT95" s="953"/>
      <c r="CU95" s="953"/>
      <c r="CV95" s="953"/>
      <c r="CX95" s="951"/>
      <c r="CY95" s="951"/>
      <c r="CZ95" s="952"/>
      <c r="DB95" s="954"/>
      <c r="DC95" s="954"/>
      <c r="DD95" s="921"/>
      <c r="DE95" s="954"/>
      <c r="DF95" s="954"/>
      <c r="DG95" s="921"/>
      <c r="DH95" s="954"/>
      <c r="DI95" s="954"/>
      <c r="DJ95" s="921"/>
      <c r="DK95" s="954"/>
      <c r="DL95" s="954"/>
      <c r="DM95" s="921"/>
      <c r="DN95" s="954"/>
      <c r="DO95" s="954"/>
      <c r="DP95" s="921"/>
      <c r="DQ95" s="942"/>
      <c r="DR95" s="951"/>
      <c r="DS95" s="951"/>
      <c r="DT95" s="952"/>
      <c r="DV95" s="921"/>
      <c r="DW95" s="921"/>
      <c r="DX95" s="921"/>
      <c r="DY95" s="921"/>
      <c r="DZ95" s="921"/>
      <c r="EA95" s="921"/>
      <c r="EB95" s="921"/>
      <c r="EC95" s="921"/>
      <c r="ED95" s="921"/>
      <c r="EE95" s="921"/>
      <c r="EF95" s="921"/>
      <c r="EG95" s="921"/>
      <c r="EH95" s="921"/>
      <c r="EI95" s="921"/>
      <c r="EJ95" s="921"/>
      <c r="EK95" s="921"/>
      <c r="EL95" s="921"/>
      <c r="EM95" s="921"/>
      <c r="EN95" s="921"/>
      <c r="EO95" s="921"/>
      <c r="EP95" s="921"/>
      <c r="EQ95" s="954"/>
      <c r="ER95" s="954"/>
      <c r="ES95" s="954"/>
      <c r="ET95" s="954"/>
      <c r="EV95" s="942"/>
      <c r="EW95" s="951"/>
      <c r="EX95" s="951"/>
      <c r="EY95" s="952"/>
    </row>
    <row r="96" spans="1:155" s="927" customFormat="1" ht="15.75" x14ac:dyDescent="0.25">
      <c r="A96" s="931"/>
      <c r="B96" s="932" t="s">
        <v>807</v>
      </c>
      <c r="C96" s="933"/>
      <c r="D96" s="933"/>
      <c r="E96" s="934"/>
      <c r="F96" s="935"/>
      <c r="G96" s="934"/>
      <c r="H96" s="935"/>
      <c r="I96" s="936"/>
      <c r="J96" s="937"/>
      <c r="K96" s="938"/>
      <c r="L96" s="936"/>
      <c r="M96" s="937"/>
      <c r="N96" s="938"/>
      <c r="O96" s="936"/>
      <c r="P96" s="937"/>
      <c r="Q96" s="938"/>
      <c r="R96" s="936"/>
      <c r="S96" s="937"/>
      <c r="T96" s="938"/>
      <c r="U96" s="936"/>
      <c r="V96" s="937"/>
      <c r="W96" s="938"/>
      <c r="X96" s="936"/>
      <c r="Y96" s="937"/>
      <c r="Z96" s="938"/>
      <c r="AA96" s="936"/>
      <c r="AB96" s="937"/>
      <c r="AC96" s="938"/>
      <c r="AD96" s="936"/>
      <c r="AE96" s="937"/>
      <c r="AF96" s="938"/>
      <c r="AG96" s="936"/>
      <c r="AH96" s="937"/>
      <c r="AI96" s="938"/>
      <c r="AJ96" s="936"/>
      <c r="AK96" s="937"/>
      <c r="AL96" s="938"/>
      <c r="AM96" s="936"/>
      <c r="AN96" s="933"/>
      <c r="AO96" s="936"/>
      <c r="AP96" s="933"/>
      <c r="AQ96" s="935"/>
      <c r="AR96" s="936"/>
      <c r="AS96" s="935"/>
      <c r="AT96" s="939"/>
      <c r="AU96" s="933"/>
      <c r="AV96" s="940"/>
      <c r="AW96" s="335">
        <f>(AW79/12)/AW85</f>
        <v>1.0935600000000001</v>
      </c>
      <c r="AX96" s="939"/>
      <c r="AY96" s="939"/>
      <c r="AZ96" s="941"/>
      <c r="BA96" s="941"/>
      <c r="BB96" s="941"/>
      <c r="BC96" s="934"/>
      <c r="BD96" s="941"/>
      <c r="BE96" s="941"/>
      <c r="BF96" s="941"/>
      <c r="BG96" s="942"/>
      <c r="BH96" s="941"/>
      <c r="BI96" s="941"/>
      <c r="BJ96" s="941"/>
      <c r="BK96" s="943"/>
      <c r="BL96" s="943"/>
      <c r="BM96" s="943"/>
      <c r="BN96" s="943"/>
      <c r="BO96" s="943"/>
      <c r="BP96" s="944"/>
      <c r="BQ96" s="943"/>
      <c r="BR96" s="943"/>
      <c r="BS96" s="943"/>
      <c r="BU96" s="945"/>
      <c r="BV96" s="946"/>
      <c r="BW96" s="947"/>
      <c r="BX96" s="945"/>
      <c r="BY96" s="947"/>
      <c r="BZ96" s="946"/>
      <c r="CA96" s="947"/>
      <c r="CB96" s="946"/>
      <c r="CC96" s="947"/>
      <c r="CD96" s="947"/>
      <c r="CE96" s="947"/>
      <c r="CF96" s="948"/>
      <c r="CG96" s="949"/>
      <c r="CH96" s="949"/>
      <c r="CI96" s="950"/>
      <c r="CJ96" s="951"/>
      <c r="CK96" s="951"/>
      <c r="CL96" s="952"/>
      <c r="CM96" s="951"/>
      <c r="CN96" s="951"/>
      <c r="CO96" s="952"/>
      <c r="CP96" s="951"/>
      <c r="CQ96" s="951"/>
      <c r="CR96" s="952"/>
      <c r="CS96" s="946"/>
      <c r="CT96" s="953"/>
      <c r="CU96" s="953"/>
      <c r="CV96" s="953"/>
      <c r="CX96" s="951"/>
      <c r="CY96" s="951"/>
      <c r="CZ96" s="952"/>
      <c r="DB96" s="954"/>
      <c r="DC96" s="954"/>
      <c r="DD96" s="921"/>
      <c r="DE96" s="954"/>
      <c r="DF96" s="954"/>
      <c r="DG96" s="921"/>
      <c r="DH96" s="954"/>
      <c r="DI96" s="954"/>
      <c r="DJ96" s="921"/>
      <c r="DK96" s="954"/>
      <c r="DL96" s="954"/>
      <c r="DM96" s="921"/>
      <c r="DN96" s="954"/>
      <c r="DO96" s="954"/>
      <c r="DP96" s="921"/>
      <c r="DQ96" s="942"/>
      <c r="DR96" s="951"/>
      <c r="DS96" s="951"/>
      <c r="DT96" s="952"/>
      <c r="DV96" s="921"/>
      <c r="DW96" s="921"/>
      <c r="DX96" s="921"/>
      <c r="DY96" s="921"/>
      <c r="DZ96" s="921"/>
      <c r="EA96" s="921"/>
      <c r="EB96" s="921"/>
      <c r="EC96" s="921"/>
      <c r="ED96" s="921"/>
      <c r="EE96" s="921"/>
      <c r="EF96" s="921"/>
      <c r="EG96" s="921"/>
      <c r="EH96" s="921"/>
      <c r="EI96" s="921"/>
      <c r="EJ96" s="921"/>
      <c r="EK96" s="921"/>
      <c r="EL96" s="921"/>
      <c r="EM96" s="921"/>
      <c r="EN96" s="921"/>
      <c r="EO96" s="921"/>
      <c r="EP96" s="921"/>
      <c r="EQ96" s="954"/>
      <c r="ER96" s="954"/>
      <c r="ES96" s="954"/>
      <c r="ET96" s="954"/>
      <c r="EV96" s="942"/>
      <c r="EW96" s="951"/>
      <c r="EX96" s="951"/>
      <c r="EY96" s="952"/>
    </row>
    <row r="97" spans="1:155" s="927" customFormat="1" ht="15.75" x14ac:dyDescent="0.25">
      <c r="A97" s="931"/>
      <c r="B97" s="932"/>
      <c r="C97" s="933"/>
      <c r="D97" s="933"/>
      <c r="E97" s="934"/>
      <c r="F97" s="935"/>
      <c r="G97" s="934"/>
      <c r="H97" s="935"/>
      <c r="I97" s="936"/>
      <c r="J97" s="937"/>
      <c r="K97" s="938"/>
      <c r="L97" s="936"/>
      <c r="M97" s="937"/>
      <c r="N97" s="938"/>
      <c r="O97" s="936"/>
      <c r="P97" s="937"/>
      <c r="Q97" s="938"/>
      <c r="R97" s="936"/>
      <c r="S97" s="937"/>
      <c r="T97" s="938"/>
      <c r="U97" s="936"/>
      <c r="V97" s="937"/>
      <c r="W97" s="938"/>
      <c r="X97" s="936"/>
      <c r="Y97" s="937"/>
      <c r="Z97" s="938"/>
      <c r="AA97" s="936"/>
      <c r="AB97" s="937"/>
      <c r="AC97" s="938"/>
      <c r="AD97" s="936"/>
      <c r="AE97" s="937"/>
      <c r="AF97" s="938"/>
      <c r="AG97" s="936"/>
      <c r="AH97" s="937"/>
      <c r="AI97" s="938"/>
      <c r="AJ97" s="936"/>
      <c r="AK97" s="937"/>
      <c r="AL97" s="938"/>
      <c r="AM97" s="936"/>
      <c r="AN97" s="933"/>
      <c r="AO97" s="936"/>
      <c r="AP97" s="933"/>
      <c r="AQ97" s="935"/>
      <c r="AR97" s="936"/>
      <c r="AS97" s="935"/>
      <c r="AT97" s="939"/>
      <c r="AU97" s="933"/>
      <c r="AV97" s="940"/>
      <c r="AW97" s="939"/>
      <c r="AX97" s="939"/>
      <c r="AY97" s="939"/>
      <c r="AZ97" s="941"/>
      <c r="BA97" s="941"/>
      <c r="BB97" s="941"/>
      <c r="BC97" s="934"/>
      <c r="BD97" s="941"/>
      <c r="BE97" s="941"/>
      <c r="BF97" s="941"/>
      <c r="BG97" s="942"/>
      <c r="BH97" s="941"/>
      <c r="BI97" s="941"/>
      <c r="BJ97" s="941"/>
      <c r="BK97" s="943"/>
      <c r="BL97" s="943"/>
      <c r="BM97" s="943"/>
      <c r="BN97" s="943"/>
      <c r="BO97" s="943"/>
      <c r="BP97" s="944"/>
      <c r="BQ97" s="943"/>
      <c r="BR97" s="943"/>
      <c r="BS97" s="943"/>
      <c r="BU97" s="945"/>
      <c r="BV97" s="946"/>
      <c r="BW97" s="947"/>
      <c r="BX97" s="945"/>
      <c r="BY97" s="947"/>
      <c r="BZ97" s="946"/>
      <c r="CA97" s="947"/>
      <c r="CB97" s="946"/>
      <c r="CC97" s="947"/>
      <c r="CD97" s="947"/>
      <c r="CE97" s="947"/>
      <c r="CF97" s="948"/>
      <c r="CG97" s="949"/>
      <c r="CH97" s="949"/>
      <c r="CI97" s="950"/>
      <c r="CJ97" s="951"/>
      <c r="CK97" s="951"/>
      <c r="CL97" s="952"/>
      <c r="CM97" s="951"/>
      <c r="CN97" s="951"/>
      <c r="CO97" s="952"/>
      <c r="CP97" s="951"/>
      <c r="CQ97" s="951"/>
      <c r="CR97" s="952"/>
      <c r="CS97" s="946"/>
      <c r="CT97" s="953"/>
      <c r="CU97" s="953"/>
      <c r="CV97" s="953"/>
      <c r="CX97" s="951"/>
      <c r="CY97" s="951"/>
      <c r="CZ97" s="952"/>
      <c r="DB97" s="954"/>
      <c r="DC97" s="954"/>
      <c r="DD97" s="921"/>
      <c r="DE97" s="954"/>
      <c r="DF97" s="954"/>
      <c r="DG97" s="921"/>
      <c r="DH97" s="954"/>
      <c r="DI97" s="954"/>
      <c r="DJ97" s="921"/>
      <c r="DK97" s="954"/>
      <c r="DL97" s="954"/>
      <c r="DM97" s="921"/>
      <c r="DN97" s="954"/>
      <c r="DO97" s="954"/>
      <c r="DP97" s="921"/>
      <c r="DQ97" s="942"/>
      <c r="DR97" s="951"/>
      <c r="DS97" s="951"/>
      <c r="DT97" s="952"/>
      <c r="DV97" s="921"/>
      <c r="DW97" s="921"/>
      <c r="DX97" s="921"/>
      <c r="DY97" s="921"/>
      <c r="DZ97" s="921"/>
      <c r="EA97" s="921"/>
      <c r="EB97" s="921"/>
      <c r="EC97" s="921"/>
      <c r="ED97" s="921"/>
      <c r="EE97" s="921"/>
      <c r="EF97" s="921"/>
      <c r="EG97" s="921"/>
      <c r="EH97" s="921"/>
      <c r="EI97" s="921"/>
      <c r="EJ97" s="921"/>
      <c r="EK97" s="921"/>
      <c r="EL97" s="921"/>
      <c r="EM97" s="921"/>
      <c r="EN97" s="921"/>
      <c r="EO97" s="921"/>
      <c r="EP97" s="921"/>
      <c r="EQ97" s="954"/>
      <c r="ER97" s="954"/>
      <c r="ES97" s="954"/>
      <c r="ET97" s="954"/>
      <c r="EV97" s="942"/>
      <c r="EW97" s="951"/>
      <c r="EX97" s="951"/>
      <c r="EY97" s="952"/>
    </row>
    <row r="98" spans="1:155" s="927" customFormat="1" ht="15.75" x14ac:dyDescent="0.25">
      <c r="A98" s="912" t="s">
        <v>61</v>
      </c>
      <c r="B98" s="913" t="s">
        <v>701</v>
      </c>
      <c r="C98" s="914">
        <v>1</v>
      </c>
      <c r="D98" s="914">
        <v>7755</v>
      </c>
      <c r="E98" s="915">
        <v>1.0549999999999999</v>
      </c>
      <c r="F98" s="916">
        <f t="shared" si="0"/>
        <v>8182</v>
      </c>
      <c r="G98" s="915">
        <v>1.01</v>
      </c>
      <c r="H98" s="916">
        <f t="shared" si="1"/>
        <v>8264</v>
      </c>
      <c r="I98" s="917">
        <f t="shared" si="2"/>
        <v>8264</v>
      </c>
      <c r="J98" s="918">
        <f t="shared" si="3"/>
        <v>0</v>
      </c>
      <c r="K98" s="919"/>
      <c r="L98" s="917">
        <f t="shared" si="4"/>
        <v>0</v>
      </c>
      <c r="M98" s="918">
        <f t="shared" si="5"/>
        <v>0.04</v>
      </c>
      <c r="N98" s="919">
        <v>310.2</v>
      </c>
      <c r="O98" s="917">
        <f t="shared" si="6"/>
        <v>330.56</v>
      </c>
      <c r="P98" s="918">
        <f t="shared" si="7"/>
        <v>0</v>
      </c>
      <c r="Q98" s="919"/>
      <c r="R98" s="917">
        <f t="shared" si="8"/>
        <v>0</v>
      </c>
      <c r="S98" s="918">
        <f t="shared" si="9"/>
        <v>0</v>
      </c>
      <c r="T98" s="919"/>
      <c r="U98" s="917">
        <f t="shared" si="10"/>
        <v>0</v>
      </c>
      <c r="V98" s="918">
        <f t="shared" si="11"/>
        <v>0</v>
      </c>
      <c r="W98" s="919"/>
      <c r="X98" s="917">
        <f t="shared" si="12"/>
        <v>0</v>
      </c>
      <c r="Y98" s="918">
        <f t="shared" si="13"/>
        <v>1.99</v>
      </c>
      <c r="Z98" s="919">
        <v>15432.45</v>
      </c>
      <c r="AA98" s="917">
        <f t="shared" si="14"/>
        <v>16445.36</v>
      </c>
      <c r="AB98" s="918">
        <f t="shared" si="15"/>
        <v>0.2</v>
      </c>
      <c r="AC98" s="919">
        <v>1551</v>
      </c>
      <c r="AD98" s="917">
        <f t="shared" si="16"/>
        <v>1652.8</v>
      </c>
      <c r="AE98" s="918">
        <f t="shared" si="17"/>
        <v>0</v>
      </c>
      <c r="AF98" s="919"/>
      <c r="AG98" s="917">
        <f t="shared" si="18"/>
        <v>0</v>
      </c>
      <c r="AH98" s="918">
        <f t="shared" si="19"/>
        <v>0</v>
      </c>
      <c r="AI98" s="919"/>
      <c r="AJ98" s="917">
        <f t="shared" si="20"/>
        <v>0</v>
      </c>
      <c r="AK98" s="918">
        <f t="shared" si="21"/>
        <v>0</v>
      </c>
      <c r="AL98" s="919"/>
      <c r="AM98" s="917">
        <f t="shared" si="22"/>
        <v>0</v>
      </c>
      <c r="AN98" s="920">
        <v>19242</v>
      </c>
      <c r="AO98" s="917">
        <f t="shared" si="23"/>
        <v>0</v>
      </c>
      <c r="AP98" s="920"/>
      <c r="AQ98" s="916">
        <f t="shared" si="24"/>
        <v>0</v>
      </c>
      <c r="AR98" s="917">
        <f t="shared" si="25"/>
        <v>26692.720000000001</v>
      </c>
      <c r="AS98" s="916">
        <v>12</v>
      </c>
      <c r="AT98" s="921">
        <f t="shared" si="26"/>
        <v>320312.64</v>
      </c>
      <c r="AU98" s="920"/>
      <c r="AV98" s="922">
        <f t="shared" si="27"/>
        <v>3203.13</v>
      </c>
      <c r="AW98" s="921">
        <f t="shared" si="28"/>
        <v>323515.77</v>
      </c>
      <c r="AX98" s="921">
        <f t="shared" si="29"/>
        <v>97701.759999999995</v>
      </c>
      <c r="AY98" s="921">
        <f t="shared" si="30"/>
        <v>421217.53</v>
      </c>
      <c r="AZ98" s="923">
        <f t="shared" si="31"/>
        <v>323.5</v>
      </c>
      <c r="BA98" s="923">
        <f t="shared" si="32"/>
        <v>97.7</v>
      </c>
      <c r="BB98" s="923">
        <f t="shared" si="33"/>
        <v>421.2</v>
      </c>
      <c r="BC98" s="915">
        <v>0.95</v>
      </c>
      <c r="BD98" s="923">
        <f t="shared" si="34"/>
        <v>307.3</v>
      </c>
      <c r="BE98" s="923">
        <f t="shared" si="35"/>
        <v>92.8</v>
      </c>
      <c r="BF98" s="923">
        <f t="shared" si="36"/>
        <v>400.1</v>
      </c>
      <c r="BG98" s="924">
        <f>'[3]свод (2024)'!$B$116</f>
        <v>0.99758349999999996</v>
      </c>
      <c r="BH98" s="923">
        <f t="shared" si="37"/>
        <v>306.60000000000002</v>
      </c>
      <c r="BI98" s="923">
        <f t="shared" si="38"/>
        <v>92.6</v>
      </c>
      <c r="BJ98" s="923">
        <f t="shared" si="39"/>
        <v>399.2</v>
      </c>
      <c r="BK98" s="925">
        <f t="shared" si="40"/>
        <v>-16.899999999999999</v>
      </c>
      <c r="BL98" s="925">
        <f t="shared" si="40"/>
        <v>-5.0999999999999996</v>
      </c>
      <c r="BM98" s="925">
        <f t="shared" si="41"/>
        <v>-22</v>
      </c>
      <c r="BN98" s="925">
        <f t="shared" si="42"/>
        <v>0</v>
      </c>
      <c r="BO98" s="925">
        <f t="shared" si="43"/>
        <v>0</v>
      </c>
      <c r="BP98" s="926"/>
      <c r="BQ98" s="925">
        <f t="shared" si="44"/>
        <v>306.60000000000002</v>
      </c>
      <c r="BR98" s="925">
        <f t="shared" si="44"/>
        <v>92.6</v>
      </c>
      <c r="BS98" s="925">
        <f t="shared" si="45"/>
        <v>399.2</v>
      </c>
      <c r="BU98" s="928"/>
      <c r="BV98" s="917"/>
      <c r="BW98" s="928"/>
      <c r="BX98" s="928"/>
      <c r="BY98" s="928"/>
      <c r="BZ98" s="917"/>
      <c r="CA98" s="928"/>
      <c r="CB98" s="917"/>
      <c r="CC98" s="928"/>
      <c r="CD98" s="928"/>
      <c r="CE98" s="928"/>
      <c r="CF98" s="929"/>
      <c r="CG98" s="928"/>
      <c r="CH98" s="928"/>
      <c r="CI98" s="928"/>
      <c r="CJ98" s="925"/>
      <c r="CK98" s="925"/>
      <c r="CL98" s="925"/>
      <c r="CM98" s="925"/>
      <c r="CN98" s="925"/>
      <c r="CO98" s="925"/>
      <c r="CP98" s="925"/>
      <c r="CQ98" s="925"/>
      <c r="CR98" s="925"/>
      <c r="CS98" s="917"/>
      <c r="CT98" s="928"/>
      <c r="CU98" s="928"/>
      <c r="CV98" s="928"/>
      <c r="CX98" s="925"/>
      <c r="CY98" s="925"/>
      <c r="CZ98" s="925"/>
      <c r="DB98" s="925"/>
      <c r="DC98" s="925"/>
      <c r="DD98" s="925"/>
      <c r="DE98" s="925"/>
      <c r="DF98" s="925"/>
      <c r="DG98" s="925"/>
      <c r="DH98" s="925"/>
      <c r="DI98" s="925"/>
      <c r="DJ98" s="925"/>
      <c r="DK98" s="925"/>
      <c r="DL98" s="925"/>
      <c r="DM98" s="925"/>
      <c r="DN98" s="925"/>
      <c r="DO98" s="925"/>
      <c r="DP98" s="925"/>
      <c r="DQ98" s="924"/>
      <c r="DR98" s="925"/>
      <c r="DS98" s="925"/>
      <c r="DT98" s="925"/>
      <c r="DV98" s="925"/>
      <c r="DW98" s="925"/>
      <c r="DX98" s="925"/>
      <c r="DY98" s="925"/>
      <c r="DZ98" s="925"/>
      <c r="EA98" s="925"/>
      <c r="EB98" s="925"/>
      <c r="EC98" s="925"/>
      <c r="ED98" s="925"/>
      <c r="EE98" s="925"/>
      <c r="EF98" s="925"/>
      <c r="EG98" s="925"/>
      <c r="EH98" s="925"/>
      <c r="EI98" s="925"/>
      <c r="EJ98" s="925"/>
      <c r="EK98" s="925"/>
      <c r="EL98" s="925"/>
      <c r="EM98" s="925"/>
      <c r="EN98" s="925"/>
      <c r="EO98" s="925"/>
      <c r="EP98" s="925"/>
      <c r="EQ98" s="925"/>
      <c r="ER98" s="925"/>
      <c r="ES98" s="925"/>
      <c r="ET98" s="925"/>
      <c r="EV98" s="924"/>
      <c r="EW98" s="925"/>
      <c r="EX98" s="925"/>
      <c r="EY98" s="925"/>
    </row>
    <row r="99" spans="1:155" s="927" customFormat="1" ht="15.75" x14ac:dyDescent="0.25">
      <c r="A99" s="912" t="s">
        <v>61</v>
      </c>
      <c r="B99" s="913" t="s">
        <v>1392</v>
      </c>
      <c r="C99" s="914">
        <v>2</v>
      </c>
      <c r="D99" s="914">
        <v>4336</v>
      </c>
      <c r="E99" s="915">
        <v>1.0549999999999999</v>
      </c>
      <c r="F99" s="916">
        <f t="shared" si="0"/>
        <v>4575</v>
      </c>
      <c r="G99" s="915">
        <v>1.01</v>
      </c>
      <c r="H99" s="916">
        <f t="shared" si="1"/>
        <v>4621</v>
      </c>
      <c r="I99" s="917">
        <f t="shared" si="2"/>
        <v>9242</v>
      </c>
      <c r="J99" s="918">
        <f t="shared" si="3"/>
        <v>0</v>
      </c>
      <c r="K99" s="919"/>
      <c r="L99" s="917">
        <f t="shared" si="4"/>
        <v>0</v>
      </c>
      <c r="M99" s="918">
        <f t="shared" si="5"/>
        <v>0</v>
      </c>
      <c r="N99" s="919"/>
      <c r="O99" s="917">
        <f t="shared" si="6"/>
        <v>0</v>
      </c>
      <c r="P99" s="918">
        <f t="shared" si="7"/>
        <v>0</v>
      </c>
      <c r="Q99" s="919"/>
      <c r="R99" s="917">
        <f t="shared" si="8"/>
        <v>0</v>
      </c>
      <c r="S99" s="918">
        <f t="shared" si="9"/>
        <v>0</v>
      </c>
      <c r="T99" s="919"/>
      <c r="U99" s="917">
        <f t="shared" si="10"/>
        <v>0</v>
      </c>
      <c r="V99" s="918">
        <f t="shared" si="11"/>
        <v>0</v>
      </c>
      <c r="W99" s="919"/>
      <c r="X99" s="917">
        <f t="shared" si="12"/>
        <v>0</v>
      </c>
      <c r="Y99" s="918">
        <f t="shared" si="13"/>
        <v>0</v>
      </c>
      <c r="Z99" s="919"/>
      <c r="AA99" s="917">
        <f t="shared" si="14"/>
        <v>0</v>
      </c>
      <c r="AB99" s="918">
        <f t="shared" si="15"/>
        <v>0</v>
      </c>
      <c r="AC99" s="919"/>
      <c r="AD99" s="917">
        <f t="shared" si="16"/>
        <v>0</v>
      </c>
      <c r="AE99" s="918">
        <f t="shared" si="17"/>
        <v>0</v>
      </c>
      <c r="AF99" s="919"/>
      <c r="AG99" s="917">
        <f t="shared" si="18"/>
        <v>0</v>
      </c>
      <c r="AH99" s="918">
        <f t="shared" si="19"/>
        <v>0</v>
      </c>
      <c r="AI99" s="919"/>
      <c r="AJ99" s="917">
        <f t="shared" si="20"/>
        <v>0</v>
      </c>
      <c r="AK99" s="918">
        <f t="shared" si="21"/>
        <v>0</v>
      </c>
      <c r="AL99" s="919"/>
      <c r="AM99" s="917">
        <f t="shared" si="22"/>
        <v>0</v>
      </c>
      <c r="AN99" s="920">
        <v>19242</v>
      </c>
      <c r="AO99" s="917">
        <f t="shared" si="23"/>
        <v>29242</v>
      </c>
      <c r="AP99" s="920"/>
      <c r="AQ99" s="916">
        <f t="shared" si="24"/>
        <v>0</v>
      </c>
      <c r="AR99" s="917">
        <f t="shared" si="25"/>
        <v>38484</v>
      </c>
      <c r="AS99" s="916">
        <v>12</v>
      </c>
      <c r="AT99" s="921">
        <f t="shared" si="26"/>
        <v>461808</v>
      </c>
      <c r="AU99" s="920">
        <f t="shared" ref="AU99:AU100" si="80">AT99*0.085</f>
        <v>39253.68</v>
      </c>
      <c r="AV99" s="922">
        <f t="shared" si="27"/>
        <v>4618.08</v>
      </c>
      <c r="AW99" s="921">
        <f t="shared" si="28"/>
        <v>505679.76</v>
      </c>
      <c r="AX99" s="921">
        <f t="shared" si="29"/>
        <v>152715.29</v>
      </c>
      <c r="AY99" s="921">
        <f t="shared" si="30"/>
        <v>658395.05000000005</v>
      </c>
      <c r="AZ99" s="923">
        <f t="shared" si="31"/>
        <v>505.7</v>
      </c>
      <c r="BA99" s="923">
        <f t="shared" si="32"/>
        <v>152.69999999999999</v>
      </c>
      <c r="BB99" s="923">
        <f t="shared" si="33"/>
        <v>658.4</v>
      </c>
      <c r="BC99" s="915">
        <v>0.95</v>
      </c>
      <c r="BD99" s="923">
        <f t="shared" si="34"/>
        <v>480.4</v>
      </c>
      <c r="BE99" s="923">
        <f t="shared" si="35"/>
        <v>145.1</v>
      </c>
      <c r="BF99" s="923">
        <f t="shared" si="36"/>
        <v>625.5</v>
      </c>
      <c r="BG99" s="924">
        <f>'[3]свод (2024)'!$B$116</f>
        <v>0.99758349999999996</v>
      </c>
      <c r="BH99" s="923">
        <f t="shared" si="37"/>
        <v>479.2</v>
      </c>
      <c r="BI99" s="923">
        <f t="shared" si="38"/>
        <v>144.69999999999999</v>
      </c>
      <c r="BJ99" s="923">
        <f t="shared" si="39"/>
        <v>623.9</v>
      </c>
      <c r="BK99" s="925">
        <f t="shared" si="40"/>
        <v>-26.5</v>
      </c>
      <c r="BL99" s="925">
        <f t="shared" si="40"/>
        <v>-8</v>
      </c>
      <c r="BM99" s="925">
        <f t="shared" si="41"/>
        <v>-34.5</v>
      </c>
      <c r="BN99" s="925">
        <f t="shared" si="42"/>
        <v>0</v>
      </c>
      <c r="BO99" s="925">
        <f t="shared" si="43"/>
        <v>0</v>
      </c>
      <c r="BP99" s="926"/>
      <c r="BQ99" s="925">
        <f t="shared" si="44"/>
        <v>479.2</v>
      </c>
      <c r="BR99" s="925">
        <f t="shared" si="44"/>
        <v>144.69999999999999</v>
      </c>
      <c r="BS99" s="925">
        <f t="shared" si="45"/>
        <v>623.9</v>
      </c>
      <c r="BU99" s="928"/>
      <c r="BV99" s="917"/>
      <c r="BW99" s="928"/>
      <c r="BX99" s="928"/>
      <c r="BY99" s="928"/>
      <c r="BZ99" s="917"/>
      <c r="CA99" s="928"/>
      <c r="CB99" s="917"/>
      <c r="CC99" s="928"/>
      <c r="CD99" s="928"/>
      <c r="CE99" s="928"/>
      <c r="CF99" s="929"/>
      <c r="CG99" s="928"/>
      <c r="CH99" s="928"/>
      <c r="CI99" s="928"/>
      <c r="CJ99" s="925"/>
      <c r="CK99" s="925"/>
      <c r="CL99" s="925"/>
      <c r="CM99" s="925"/>
      <c r="CN99" s="925"/>
      <c r="CO99" s="925"/>
      <c r="CP99" s="925"/>
      <c r="CQ99" s="925"/>
      <c r="CR99" s="925"/>
      <c r="CS99" s="917"/>
      <c r="CT99" s="928"/>
      <c r="CU99" s="928"/>
      <c r="CV99" s="928"/>
      <c r="CX99" s="925"/>
      <c r="CY99" s="925"/>
      <c r="CZ99" s="925"/>
      <c r="DB99" s="925"/>
      <c r="DC99" s="925"/>
      <c r="DD99" s="925"/>
      <c r="DE99" s="925"/>
      <c r="DF99" s="925"/>
      <c r="DG99" s="925"/>
      <c r="DH99" s="925"/>
      <c r="DI99" s="925"/>
      <c r="DJ99" s="925"/>
      <c r="DK99" s="925"/>
      <c r="DL99" s="925"/>
      <c r="DM99" s="925"/>
      <c r="DN99" s="925"/>
      <c r="DO99" s="925"/>
      <c r="DP99" s="925"/>
      <c r="DQ99" s="924"/>
      <c r="DR99" s="925"/>
      <c r="DS99" s="925"/>
      <c r="DT99" s="925"/>
      <c r="DV99" s="925"/>
      <c r="DW99" s="925"/>
      <c r="DX99" s="925"/>
      <c r="DY99" s="925"/>
      <c r="DZ99" s="925"/>
      <c r="EA99" s="925"/>
      <c r="EB99" s="925"/>
      <c r="EC99" s="925"/>
      <c r="ED99" s="925"/>
      <c r="EE99" s="925"/>
      <c r="EF99" s="925"/>
      <c r="EG99" s="925"/>
      <c r="EH99" s="925"/>
      <c r="EI99" s="925"/>
      <c r="EJ99" s="925"/>
      <c r="EK99" s="925"/>
      <c r="EL99" s="925"/>
      <c r="EM99" s="925"/>
      <c r="EN99" s="925"/>
      <c r="EO99" s="925"/>
      <c r="EP99" s="925"/>
      <c r="EQ99" s="925"/>
      <c r="ER99" s="925"/>
      <c r="ES99" s="925"/>
      <c r="ET99" s="925"/>
      <c r="EV99" s="924"/>
      <c r="EW99" s="925"/>
      <c r="EX99" s="925"/>
      <c r="EY99" s="925"/>
    </row>
    <row r="100" spans="1:155" s="927" customFormat="1" ht="15.75" x14ac:dyDescent="0.25">
      <c r="A100" s="912" t="s">
        <v>61</v>
      </c>
      <c r="B100" s="913" t="s">
        <v>42</v>
      </c>
      <c r="C100" s="914">
        <v>0.5</v>
      </c>
      <c r="D100" s="914">
        <v>6707</v>
      </c>
      <c r="E100" s="915">
        <v>1.0549999999999999</v>
      </c>
      <c r="F100" s="916">
        <f t="shared" si="0"/>
        <v>7076</v>
      </c>
      <c r="G100" s="915">
        <v>1.01</v>
      </c>
      <c r="H100" s="916">
        <f t="shared" si="1"/>
        <v>7147</v>
      </c>
      <c r="I100" s="917">
        <f t="shared" si="2"/>
        <v>3573.5</v>
      </c>
      <c r="J100" s="918">
        <f t="shared" si="3"/>
        <v>0</v>
      </c>
      <c r="K100" s="919"/>
      <c r="L100" s="917">
        <f t="shared" si="4"/>
        <v>0</v>
      </c>
      <c r="M100" s="918">
        <f t="shared" si="5"/>
        <v>0</v>
      </c>
      <c r="N100" s="919"/>
      <c r="O100" s="917">
        <f t="shared" si="6"/>
        <v>0</v>
      </c>
      <c r="P100" s="918">
        <f t="shared" si="7"/>
        <v>0</v>
      </c>
      <c r="Q100" s="919"/>
      <c r="R100" s="917">
        <f t="shared" si="8"/>
        <v>0</v>
      </c>
      <c r="S100" s="918">
        <f t="shared" si="9"/>
        <v>0</v>
      </c>
      <c r="T100" s="919"/>
      <c r="U100" s="917">
        <f t="shared" si="10"/>
        <v>0</v>
      </c>
      <c r="V100" s="918">
        <f t="shared" si="11"/>
        <v>0</v>
      </c>
      <c r="W100" s="919"/>
      <c r="X100" s="917">
        <f t="shared" si="12"/>
        <v>0</v>
      </c>
      <c r="Y100" s="918">
        <f t="shared" si="13"/>
        <v>0</v>
      </c>
      <c r="Z100" s="919"/>
      <c r="AA100" s="917">
        <f t="shared" si="14"/>
        <v>0</v>
      </c>
      <c r="AB100" s="918">
        <f t="shared" si="15"/>
        <v>0.15</v>
      </c>
      <c r="AC100" s="919">
        <v>503.03</v>
      </c>
      <c r="AD100" s="917">
        <f t="shared" si="16"/>
        <v>536.03</v>
      </c>
      <c r="AE100" s="918">
        <f t="shared" si="17"/>
        <v>0</v>
      </c>
      <c r="AF100" s="919"/>
      <c r="AG100" s="917">
        <f t="shared" si="18"/>
        <v>0</v>
      </c>
      <c r="AH100" s="918">
        <f t="shared" si="19"/>
        <v>0</v>
      </c>
      <c r="AI100" s="919"/>
      <c r="AJ100" s="917">
        <f t="shared" si="20"/>
        <v>0</v>
      </c>
      <c r="AK100" s="918">
        <f t="shared" si="21"/>
        <v>0</v>
      </c>
      <c r="AL100" s="919"/>
      <c r="AM100" s="917">
        <f t="shared" si="22"/>
        <v>0</v>
      </c>
      <c r="AN100" s="920">
        <v>19242</v>
      </c>
      <c r="AO100" s="917">
        <f t="shared" si="23"/>
        <v>5511.47</v>
      </c>
      <c r="AP100" s="920"/>
      <c r="AQ100" s="916">
        <f t="shared" si="24"/>
        <v>0</v>
      </c>
      <c r="AR100" s="917">
        <f t="shared" si="25"/>
        <v>9621</v>
      </c>
      <c r="AS100" s="916">
        <v>12</v>
      </c>
      <c r="AT100" s="921">
        <f t="shared" si="26"/>
        <v>115452</v>
      </c>
      <c r="AU100" s="920">
        <f t="shared" si="80"/>
        <v>9813.42</v>
      </c>
      <c r="AV100" s="922">
        <f t="shared" si="27"/>
        <v>1154.52</v>
      </c>
      <c r="AW100" s="921">
        <f t="shared" si="28"/>
        <v>126419.94</v>
      </c>
      <c r="AX100" s="921">
        <f t="shared" si="29"/>
        <v>38178.82</v>
      </c>
      <c r="AY100" s="921">
        <f t="shared" si="30"/>
        <v>164598.76</v>
      </c>
      <c r="AZ100" s="923">
        <f t="shared" si="31"/>
        <v>126.4</v>
      </c>
      <c r="BA100" s="923">
        <f t="shared" si="32"/>
        <v>38.200000000000003</v>
      </c>
      <c r="BB100" s="923">
        <f t="shared" si="33"/>
        <v>164.6</v>
      </c>
      <c r="BC100" s="915">
        <v>0.95</v>
      </c>
      <c r="BD100" s="923">
        <f t="shared" si="34"/>
        <v>120.1</v>
      </c>
      <c r="BE100" s="923">
        <f t="shared" si="35"/>
        <v>36.299999999999997</v>
      </c>
      <c r="BF100" s="923">
        <f t="shared" si="36"/>
        <v>156.4</v>
      </c>
      <c r="BG100" s="924">
        <f>'[3]свод (2024)'!$B$116</f>
        <v>0.99758349999999996</v>
      </c>
      <c r="BH100" s="923">
        <f t="shared" si="37"/>
        <v>119.8</v>
      </c>
      <c r="BI100" s="923">
        <f t="shared" si="38"/>
        <v>36.200000000000003</v>
      </c>
      <c r="BJ100" s="923">
        <f t="shared" si="39"/>
        <v>156</v>
      </c>
      <c r="BK100" s="925">
        <f t="shared" si="40"/>
        <v>-6.6</v>
      </c>
      <c r="BL100" s="925">
        <f t="shared" si="40"/>
        <v>-2</v>
      </c>
      <c r="BM100" s="925">
        <f t="shared" si="41"/>
        <v>-8.6</v>
      </c>
      <c r="BN100" s="925">
        <f t="shared" si="42"/>
        <v>0</v>
      </c>
      <c r="BO100" s="925">
        <f t="shared" si="43"/>
        <v>0</v>
      </c>
      <c r="BP100" s="926"/>
      <c r="BQ100" s="925">
        <f t="shared" si="44"/>
        <v>119.8</v>
      </c>
      <c r="BR100" s="925">
        <f t="shared" si="44"/>
        <v>36.200000000000003</v>
      </c>
      <c r="BS100" s="925">
        <f t="shared" si="45"/>
        <v>156</v>
      </c>
      <c r="BU100" s="928"/>
      <c r="BV100" s="917"/>
      <c r="BW100" s="928"/>
      <c r="BX100" s="928"/>
      <c r="BY100" s="928"/>
      <c r="BZ100" s="917"/>
      <c r="CA100" s="928"/>
      <c r="CB100" s="917"/>
      <c r="CC100" s="928"/>
      <c r="CD100" s="928"/>
      <c r="CE100" s="928"/>
      <c r="CF100" s="929"/>
      <c r="CG100" s="928"/>
      <c r="CH100" s="928"/>
      <c r="CI100" s="928"/>
      <c r="CJ100" s="925"/>
      <c r="CK100" s="925"/>
      <c r="CL100" s="925"/>
      <c r="CM100" s="925"/>
      <c r="CN100" s="925"/>
      <c r="CO100" s="925"/>
      <c r="CP100" s="925"/>
      <c r="CQ100" s="925"/>
      <c r="CR100" s="925"/>
      <c r="CS100" s="917"/>
      <c r="CT100" s="928"/>
      <c r="CU100" s="928"/>
      <c r="CV100" s="928"/>
      <c r="CX100" s="925"/>
      <c r="CY100" s="925"/>
      <c r="CZ100" s="925"/>
      <c r="DB100" s="925"/>
      <c r="DC100" s="925"/>
      <c r="DD100" s="925"/>
      <c r="DE100" s="925"/>
      <c r="DF100" s="925"/>
      <c r="DG100" s="925"/>
      <c r="DH100" s="925"/>
      <c r="DI100" s="925"/>
      <c r="DJ100" s="925"/>
      <c r="DK100" s="925"/>
      <c r="DL100" s="925"/>
      <c r="DM100" s="925"/>
      <c r="DN100" s="925"/>
      <c r="DO100" s="925"/>
      <c r="DP100" s="925"/>
      <c r="DQ100" s="924"/>
      <c r="DR100" s="925"/>
      <c r="DS100" s="925"/>
      <c r="DT100" s="925"/>
      <c r="DV100" s="925"/>
      <c r="DW100" s="925"/>
      <c r="DX100" s="925"/>
      <c r="DY100" s="925"/>
      <c r="DZ100" s="925"/>
      <c r="EA100" s="925"/>
      <c r="EB100" s="925"/>
      <c r="EC100" s="925"/>
      <c r="ED100" s="925"/>
      <c r="EE100" s="925"/>
      <c r="EF100" s="925"/>
      <c r="EG100" s="925"/>
      <c r="EH100" s="925"/>
      <c r="EI100" s="925"/>
      <c r="EJ100" s="925"/>
      <c r="EK100" s="925"/>
      <c r="EL100" s="925"/>
      <c r="EM100" s="925"/>
      <c r="EN100" s="925"/>
      <c r="EO100" s="925"/>
      <c r="EP100" s="925"/>
      <c r="EQ100" s="925"/>
      <c r="ER100" s="925"/>
      <c r="ES100" s="925"/>
      <c r="ET100" s="925"/>
      <c r="EV100" s="924"/>
      <c r="EW100" s="925"/>
      <c r="EX100" s="925"/>
      <c r="EY100" s="925"/>
    </row>
    <row r="101" spans="1:155" s="927" customFormat="1" ht="15.75" x14ac:dyDescent="0.25">
      <c r="A101" s="912" t="s">
        <v>61</v>
      </c>
      <c r="B101" s="913" t="s">
        <v>1393</v>
      </c>
      <c r="C101" s="914">
        <v>1</v>
      </c>
      <c r="D101" s="914">
        <v>4336</v>
      </c>
      <c r="E101" s="915">
        <v>1.0549999999999999</v>
      </c>
      <c r="F101" s="916">
        <f t="shared" si="0"/>
        <v>4575</v>
      </c>
      <c r="G101" s="915">
        <v>1.01</v>
      </c>
      <c r="H101" s="916">
        <f t="shared" si="1"/>
        <v>4621</v>
      </c>
      <c r="I101" s="917">
        <f t="shared" si="2"/>
        <v>4621</v>
      </c>
      <c r="J101" s="918">
        <f t="shared" si="3"/>
        <v>0</v>
      </c>
      <c r="K101" s="919"/>
      <c r="L101" s="917">
        <f t="shared" si="4"/>
        <v>0</v>
      </c>
      <c r="M101" s="918">
        <f t="shared" si="5"/>
        <v>0</v>
      </c>
      <c r="N101" s="919"/>
      <c r="O101" s="917">
        <f t="shared" si="6"/>
        <v>0</v>
      </c>
      <c r="P101" s="918">
        <f t="shared" si="7"/>
        <v>0</v>
      </c>
      <c r="Q101" s="919"/>
      <c r="R101" s="917">
        <f t="shared" si="8"/>
        <v>0</v>
      </c>
      <c r="S101" s="918">
        <f t="shared" si="9"/>
        <v>0</v>
      </c>
      <c r="T101" s="919"/>
      <c r="U101" s="917">
        <f t="shared" si="10"/>
        <v>0</v>
      </c>
      <c r="V101" s="918">
        <f t="shared" si="11"/>
        <v>0</v>
      </c>
      <c r="W101" s="919"/>
      <c r="X101" s="917">
        <f t="shared" si="12"/>
        <v>0</v>
      </c>
      <c r="Y101" s="918">
        <f t="shared" si="13"/>
        <v>0</v>
      </c>
      <c r="Z101" s="919"/>
      <c r="AA101" s="917">
        <f t="shared" si="14"/>
        <v>0</v>
      </c>
      <c r="AB101" s="918">
        <f t="shared" si="15"/>
        <v>0</v>
      </c>
      <c r="AC101" s="919"/>
      <c r="AD101" s="917">
        <f t="shared" si="16"/>
        <v>0</v>
      </c>
      <c r="AE101" s="918">
        <f t="shared" si="17"/>
        <v>0</v>
      </c>
      <c r="AF101" s="919"/>
      <c r="AG101" s="917">
        <f t="shared" si="18"/>
        <v>0</v>
      </c>
      <c r="AH101" s="918">
        <f t="shared" si="19"/>
        <v>0</v>
      </c>
      <c r="AI101" s="919"/>
      <c r="AJ101" s="917">
        <f t="shared" si="20"/>
        <v>0</v>
      </c>
      <c r="AK101" s="918">
        <f t="shared" si="21"/>
        <v>0</v>
      </c>
      <c r="AL101" s="919"/>
      <c r="AM101" s="917">
        <f t="shared" si="22"/>
        <v>0</v>
      </c>
      <c r="AN101" s="920">
        <v>19242</v>
      </c>
      <c r="AO101" s="917">
        <f t="shared" si="23"/>
        <v>14621</v>
      </c>
      <c r="AP101" s="920"/>
      <c r="AQ101" s="916">
        <f t="shared" si="24"/>
        <v>0</v>
      </c>
      <c r="AR101" s="917">
        <f t="shared" si="25"/>
        <v>19242</v>
      </c>
      <c r="AS101" s="916">
        <v>12</v>
      </c>
      <c r="AT101" s="921">
        <f t="shared" si="26"/>
        <v>230904</v>
      </c>
      <c r="AU101" s="920"/>
      <c r="AV101" s="922">
        <f t="shared" si="27"/>
        <v>2309.04</v>
      </c>
      <c r="AW101" s="921">
        <f t="shared" si="28"/>
        <v>233213.04</v>
      </c>
      <c r="AX101" s="921">
        <f t="shared" si="29"/>
        <v>70430.34</v>
      </c>
      <c r="AY101" s="921">
        <f t="shared" si="30"/>
        <v>303643.38</v>
      </c>
      <c r="AZ101" s="923">
        <f t="shared" si="31"/>
        <v>233.2</v>
      </c>
      <c r="BA101" s="923">
        <f t="shared" si="32"/>
        <v>70.400000000000006</v>
      </c>
      <c r="BB101" s="923">
        <f t="shared" si="33"/>
        <v>303.60000000000002</v>
      </c>
      <c r="BC101" s="915">
        <v>0.95</v>
      </c>
      <c r="BD101" s="923">
        <f t="shared" si="34"/>
        <v>221.5</v>
      </c>
      <c r="BE101" s="923">
        <f t="shared" si="35"/>
        <v>66.900000000000006</v>
      </c>
      <c r="BF101" s="923">
        <f t="shared" si="36"/>
        <v>288.39999999999998</v>
      </c>
      <c r="BG101" s="924">
        <f>'[3]свод (2024)'!$B$116</f>
        <v>0.99758349999999996</v>
      </c>
      <c r="BH101" s="923">
        <f t="shared" si="37"/>
        <v>221</v>
      </c>
      <c r="BI101" s="923">
        <f t="shared" si="38"/>
        <v>66.7</v>
      </c>
      <c r="BJ101" s="923">
        <f t="shared" si="39"/>
        <v>287.7</v>
      </c>
      <c r="BK101" s="925">
        <f t="shared" si="40"/>
        <v>-12.2</v>
      </c>
      <c r="BL101" s="925">
        <f t="shared" si="40"/>
        <v>-3.7</v>
      </c>
      <c r="BM101" s="925">
        <f t="shared" si="41"/>
        <v>-15.9</v>
      </c>
      <c r="BN101" s="925">
        <f t="shared" si="42"/>
        <v>0</v>
      </c>
      <c r="BO101" s="925">
        <f t="shared" si="43"/>
        <v>0</v>
      </c>
      <c r="BP101" s="926"/>
      <c r="BQ101" s="925">
        <f t="shared" si="44"/>
        <v>221</v>
      </c>
      <c r="BR101" s="925">
        <f t="shared" si="44"/>
        <v>66.7</v>
      </c>
      <c r="BS101" s="925">
        <f t="shared" si="45"/>
        <v>287.7</v>
      </c>
      <c r="BU101" s="928"/>
      <c r="BV101" s="917"/>
      <c r="BW101" s="928"/>
      <c r="BX101" s="928"/>
      <c r="BY101" s="928"/>
      <c r="BZ101" s="917"/>
      <c r="CA101" s="928"/>
      <c r="CB101" s="917"/>
      <c r="CC101" s="928"/>
      <c r="CD101" s="928"/>
      <c r="CE101" s="928"/>
      <c r="CF101" s="929"/>
      <c r="CG101" s="928"/>
      <c r="CH101" s="928"/>
      <c r="CI101" s="928"/>
      <c r="CJ101" s="925"/>
      <c r="CK101" s="925"/>
      <c r="CL101" s="925"/>
      <c r="CM101" s="925"/>
      <c r="CN101" s="925"/>
      <c r="CO101" s="925"/>
      <c r="CP101" s="925"/>
      <c r="CQ101" s="925"/>
      <c r="CR101" s="925"/>
      <c r="CS101" s="917"/>
      <c r="CT101" s="928"/>
      <c r="CU101" s="928"/>
      <c r="CV101" s="928"/>
      <c r="CX101" s="925"/>
      <c r="CY101" s="925"/>
      <c r="CZ101" s="925"/>
      <c r="DB101" s="925"/>
      <c r="DC101" s="925"/>
      <c r="DD101" s="925"/>
      <c r="DE101" s="925"/>
      <c r="DF101" s="925"/>
      <c r="DG101" s="925"/>
      <c r="DH101" s="925"/>
      <c r="DI101" s="925"/>
      <c r="DJ101" s="925"/>
      <c r="DK101" s="925"/>
      <c r="DL101" s="925"/>
      <c r="DM101" s="925"/>
      <c r="DN101" s="925"/>
      <c r="DO101" s="925"/>
      <c r="DP101" s="925"/>
      <c r="DQ101" s="924"/>
      <c r="DR101" s="925"/>
      <c r="DS101" s="925"/>
      <c r="DT101" s="925"/>
      <c r="DV101" s="925"/>
      <c r="DW101" s="925"/>
      <c r="DX101" s="925"/>
      <c r="DY101" s="925"/>
      <c r="DZ101" s="925"/>
      <c r="EA101" s="925"/>
      <c r="EB101" s="925"/>
      <c r="EC101" s="925"/>
      <c r="ED101" s="925"/>
      <c r="EE101" s="925"/>
      <c r="EF101" s="925"/>
      <c r="EG101" s="925"/>
      <c r="EH101" s="925"/>
      <c r="EI101" s="925"/>
      <c r="EJ101" s="925"/>
      <c r="EK101" s="925"/>
      <c r="EL101" s="925"/>
      <c r="EM101" s="925"/>
      <c r="EN101" s="925"/>
      <c r="EO101" s="925"/>
      <c r="EP101" s="925"/>
      <c r="EQ101" s="925"/>
      <c r="ER101" s="925"/>
      <c r="ES101" s="925"/>
      <c r="ET101" s="925"/>
      <c r="EV101" s="924"/>
      <c r="EW101" s="925"/>
      <c r="EX101" s="925"/>
      <c r="EY101" s="925"/>
    </row>
    <row r="102" spans="1:155" s="927" customFormat="1" ht="15.75" x14ac:dyDescent="0.25">
      <c r="A102" s="912" t="s">
        <v>61</v>
      </c>
      <c r="B102" s="913" t="s">
        <v>32</v>
      </c>
      <c r="C102" s="914">
        <v>1</v>
      </c>
      <c r="D102" s="914">
        <v>22544</v>
      </c>
      <c r="E102" s="915">
        <v>1.0549999999999999</v>
      </c>
      <c r="F102" s="916">
        <f t="shared" si="0"/>
        <v>23784</v>
      </c>
      <c r="G102" s="915">
        <v>1.01</v>
      </c>
      <c r="H102" s="916">
        <f t="shared" si="1"/>
        <v>24022</v>
      </c>
      <c r="I102" s="917">
        <f t="shared" si="2"/>
        <v>24022</v>
      </c>
      <c r="J102" s="918">
        <f t="shared" si="3"/>
        <v>0</v>
      </c>
      <c r="K102" s="919"/>
      <c r="L102" s="917">
        <f t="shared" si="4"/>
        <v>0</v>
      </c>
      <c r="M102" s="918">
        <f t="shared" si="5"/>
        <v>0.04</v>
      </c>
      <c r="N102" s="919">
        <v>901.76</v>
      </c>
      <c r="O102" s="917">
        <f t="shared" si="6"/>
        <v>960.88</v>
      </c>
      <c r="P102" s="918">
        <f t="shared" si="7"/>
        <v>0</v>
      </c>
      <c r="Q102" s="919"/>
      <c r="R102" s="917">
        <f t="shared" si="8"/>
        <v>0</v>
      </c>
      <c r="S102" s="918">
        <f t="shared" si="9"/>
        <v>0</v>
      </c>
      <c r="T102" s="919"/>
      <c r="U102" s="917">
        <f t="shared" si="10"/>
        <v>0</v>
      </c>
      <c r="V102" s="918">
        <f t="shared" si="11"/>
        <v>0</v>
      </c>
      <c r="W102" s="919"/>
      <c r="X102" s="917">
        <f t="shared" si="12"/>
        <v>0</v>
      </c>
      <c r="Y102" s="918">
        <f t="shared" si="13"/>
        <v>0.35</v>
      </c>
      <c r="Z102" s="919">
        <v>7890.4</v>
      </c>
      <c r="AA102" s="917">
        <f t="shared" si="14"/>
        <v>8407.7000000000007</v>
      </c>
      <c r="AB102" s="918">
        <f t="shared" si="15"/>
        <v>0.2</v>
      </c>
      <c r="AC102" s="919">
        <v>4508.8</v>
      </c>
      <c r="AD102" s="917">
        <f t="shared" si="16"/>
        <v>4804.3999999999996</v>
      </c>
      <c r="AE102" s="918">
        <f t="shared" si="17"/>
        <v>0</v>
      </c>
      <c r="AF102" s="919"/>
      <c r="AG102" s="917">
        <f t="shared" si="18"/>
        <v>0</v>
      </c>
      <c r="AH102" s="918">
        <f t="shared" si="19"/>
        <v>0</v>
      </c>
      <c r="AI102" s="919"/>
      <c r="AJ102" s="917">
        <f t="shared" si="20"/>
        <v>0</v>
      </c>
      <c r="AK102" s="918">
        <f t="shared" si="21"/>
        <v>0</v>
      </c>
      <c r="AL102" s="919"/>
      <c r="AM102" s="917">
        <f t="shared" si="22"/>
        <v>0</v>
      </c>
      <c r="AN102" s="920">
        <v>19242</v>
      </c>
      <c r="AO102" s="917">
        <f t="shared" si="23"/>
        <v>0</v>
      </c>
      <c r="AP102" s="920"/>
      <c r="AQ102" s="916">
        <f t="shared" si="24"/>
        <v>0</v>
      </c>
      <c r="AR102" s="917">
        <f t="shared" si="25"/>
        <v>38194.980000000003</v>
      </c>
      <c r="AS102" s="916">
        <v>12</v>
      </c>
      <c r="AT102" s="921">
        <f t="shared" si="26"/>
        <v>458339.76</v>
      </c>
      <c r="AU102" s="920"/>
      <c r="AV102" s="922">
        <f t="shared" si="27"/>
        <v>4583.3999999999996</v>
      </c>
      <c r="AW102" s="921">
        <f t="shared" si="28"/>
        <v>462923.16</v>
      </c>
      <c r="AX102" s="921">
        <f t="shared" si="29"/>
        <v>139802.79</v>
      </c>
      <c r="AY102" s="921">
        <f t="shared" si="30"/>
        <v>602725.94999999995</v>
      </c>
      <c r="AZ102" s="923">
        <f t="shared" si="31"/>
        <v>462.9</v>
      </c>
      <c r="BA102" s="923">
        <f t="shared" si="32"/>
        <v>139.80000000000001</v>
      </c>
      <c r="BB102" s="923">
        <f t="shared" si="33"/>
        <v>602.70000000000005</v>
      </c>
      <c r="BC102" s="915">
        <v>0.95</v>
      </c>
      <c r="BD102" s="923">
        <f t="shared" si="34"/>
        <v>439.8</v>
      </c>
      <c r="BE102" s="923">
        <f t="shared" si="35"/>
        <v>132.80000000000001</v>
      </c>
      <c r="BF102" s="923">
        <f t="shared" si="36"/>
        <v>572.6</v>
      </c>
      <c r="BG102" s="924">
        <f>'[3]свод (2024)'!$B$116</f>
        <v>0.99758349999999996</v>
      </c>
      <c r="BH102" s="923">
        <f t="shared" si="37"/>
        <v>438.7</v>
      </c>
      <c r="BI102" s="923">
        <f t="shared" si="38"/>
        <v>132.5</v>
      </c>
      <c r="BJ102" s="923">
        <f t="shared" si="39"/>
        <v>571.20000000000005</v>
      </c>
      <c r="BK102" s="925">
        <f t="shared" si="40"/>
        <v>-24.2</v>
      </c>
      <c r="BL102" s="925">
        <f t="shared" si="40"/>
        <v>-7.3</v>
      </c>
      <c r="BM102" s="925">
        <f t="shared" si="41"/>
        <v>-31.5</v>
      </c>
      <c r="BN102" s="925">
        <f t="shared" si="42"/>
        <v>0</v>
      </c>
      <c r="BO102" s="925">
        <f t="shared" si="43"/>
        <v>0</v>
      </c>
      <c r="BP102" s="926"/>
      <c r="BQ102" s="925">
        <f t="shared" si="44"/>
        <v>438.7</v>
      </c>
      <c r="BR102" s="925">
        <f t="shared" si="44"/>
        <v>132.5</v>
      </c>
      <c r="BS102" s="925">
        <f t="shared" si="45"/>
        <v>571.20000000000005</v>
      </c>
      <c r="BU102" s="928"/>
      <c r="BV102" s="917"/>
      <c r="BW102" s="928"/>
      <c r="BX102" s="928"/>
      <c r="BY102" s="928"/>
      <c r="BZ102" s="917"/>
      <c r="CA102" s="928"/>
      <c r="CB102" s="917"/>
      <c r="CC102" s="928"/>
      <c r="CD102" s="928"/>
      <c r="CE102" s="928"/>
      <c r="CF102" s="929"/>
      <c r="CG102" s="928"/>
      <c r="CH102" s="928"/>
      <c r="CI102" s="928"/>
      <c r="CJ102" s="925"/>
      <c r="CK102" s="925"/>
      <c r="CL102" s="925"/>
      <c r="CM102" s="925"/>
      <c r="CN102" s="925"/>
      <c r="CO102" s="925"/>
      <c r="CP102" s="925"/>
      <c r="CQ102" s="925"/>
      <c r="CR102" s="925"/>
      <c r="CS102" s="917"/>
      <c r="CT102" s="928"/>
      <c r="CU102" s="928"/>
      <c r="CV102" s="928"/>
      <c r="CX102" s="925"/>
      <c r="CY102" s="925"/>
      <c r="CZ102" s="925"/>
      <c r="DB102" s="925"/>
      <c r="DC102" s="925"/>
      <c r="DD102" s="925"/>
      <c r="DE102" s="925"/>
      <c r="DF102" s="925"/>
      <c r="DG102" s="925"/>
      <c r="DH102" s="925"/>
      <c r="DI102" s="925"/>
      <c r="DJ102" s="925"/>
      <c r="DK102" s="925"/>
      <c r="DL102" s="925"/>
      <c r="DM102" s="925"/>
      <c r="DN102" s="925"/>
      <c r="DO102" s="925"/>
      <c r="DP102" s="925"/>
      <c r="DQ102" s="924"/>
      <c r="DR102" s="925"/>
      <c r="DS102" s="925"/>
      <c r="DT102" s="925"/>
      <c r="DV102" s="925"/>
      <c r="DW102" s="925"/>
      <c r="DX102" s="925"/>
      <c r="DY102" s="925"/>
      <c r="DZ102" s="925"/>
      <c r="EA102" s="925"/>
      <c r="EB102" s="925"/>
      <c r="EC102" s="925"/>
      <c r="ED102" s="925"/>
      <c r="EE102" s="925"/>
      <c r="EF102" s="925"/>
      <c r="EG102" s="925"/>
      <c r="EH102" s="925"/>
      <c r="EI102" s="925"/>
      <c r="EJ102" s="925"/>
      <c r="EK102" s="925"/>
      <c r="EL102" s="925"/>
      <c r="EM102" s="925"/>
      <c r="EN102" s="925"/>
      <c r="EO102" s="925"/>
      <c r="EP102" s="925"/>
      <c r="EQ102" s="925"/>
      <c r="ER102" s="925"/>
      <c r="ES102" s="925"/>
      <c r="ET102" s="925"/>
      <c r="EV102" s="924"/>
      <c r="EW102" s="925"/>
      <c r="EX102" s="925"/>
      <c r="EY102" s="925"/>
    </row>
    <row r="103" spans="1:155" s="927" customFormat="1" ht="15.75" x14ac:dyDescent="0.25">
      <c r="A103" s="912" t="s">
        <v>61</v>
      </c>
      <c r="B103" s="913" t="s">
        <v>1394</v>
      </c>
      <c r="C103" s="914">
        <v>0.5</v>
      </c>
      <c r="D103" s="914">
        <v>4336</v>
      </c>
      <c r="E103" s="915">
        <v>1.0549999999999999</v>
      </c>
      <c r="F103" s="916">
        <f t="shared" si="0"/>
        <v>4575</v>
      </c>
      <c r="G103" s="915">
        <v>1.01</v>
      </c>
      <c r="H103" s="916">
        <f t="shared" si="1"/>
        <v>4621</v>
      </c>
      <c r="I103" s="917">
        <f t="shared" si="2"/>
        <v>2310.5</v>
      </c>
      <c r="J103" s="918">
        <f t="shared" si="3"/>
        <v>0</v>
      </c>
      <c r="K103" s="919"/>
      <c r="L103" s="917">
        <f t="shared" si="4"/>
        <v>0</v>
      </c>
      <c r="M103" s="918">
        <f t="shared" si="5"/>
        <v>0</v>
      </c>
      <c r="N103" s="919"/>
      <c r="O103" s="917">
        <f t="shared" si="6"/>
        <v>0</v>
      </c>
      <c r="P103" s="918">
        <f t="shared" si="7"/>
        <v>0</v>
      </c>
      <c r="Q103" s="919"/>
      <c r="R103" s="917">
        <f t="shared" si="8"/>
        <v>0</v>
      </c>
      <c r="S103" s="918">
        <f t="shared" si="9"/>
        <v>0</v>
      </c>
      <c r="T103" s="919"/>
      <c r="U103" s="917">
        <f t="shared" si="10"/>
        <v>0</v>
      </c>
      <c r="V103" s="918">
        <f t="shared" si="11"/>
        <v>0</v>
      </c>
      <c r="W103" s="919"/>
      <c r="X103" s="917">
        <f t="shared" si="12"/>
        <v>0</v>
      </c>
      <c r="Y103" s="918">
        <f t="shared" si="13"/>
        <v>0</v>
      </c>
      <c r="Z103" s="919"/>
      <c r="AA103" s="917">
        <f t="shared" si="14"/>
        <v>0</v>
      </c>
      <c r="AB103" s="918">
        <f t="shared" si="15"/>
        <v>0</v>
      </c>
      <c r="AC103" s="919"/>
      <c r="AD103" s="917">
        <f t="shared" si="16"/>
        <v>0</v>
      </c>
      <c r="AE103" s="918">
        <f t="shared" si="17"/>
        <v>0</v>
      </c>
      <c r="AF103" s="919"/>
      <c r="AG103" s="917">
        <f t="shared" si="18"/>
        <v>0</v>
      </c>
      <c r="AH103" s="918">
        <f t="shared" si="19"/>
        <v>0</v>
      </c>
      <c r="AI103" s="919"/>
      <c r="AJ103" s="917">
        <f t="shared" si="20"/>
        <v>0</v>
      </c>
      <c r="AK103" s="918">
        <f t="shared" si="21"/>
        <v>0</v>
      </c>
      <c r="AL103" s="919"/>
      <c r="AM103" s="917">
        <f t="shared" si="22"/>
        <v>0</v>
      </c>
      <c r="AN103" s="920">
        <v>19242</v>
      </c>
      <c r="AO103" s="917">
        <f t="shared" si="23"/>
        <v>7310.5</v>
      </c>
      <c r="AP103" s="920"/>
      <c r="AQ103" s="916">
        <f t="shared" si="24"/>
        <v>0</v>
      </c>
      <c r="AR103" s="917">
        <f t="shared" si="25"/>
        <v>9621</v>
      </c>
      <c r="AS103" s="916">
        <v>12</v>
      </c>
      <c r="AT103" s="921">
        <f t="shared" si="26"/>
        <v>115452</v>
      </c>
      <c r="AU103" s="920">
        <f>AT103*0.085</f>
        <v>9813.42</v>
      </c>
      <c r="AV103" s="922">
        <f t="shared" si="27"/>
        <v>1154.52</v>
      </c>
      <c r="AW103" s="921">
        <f t="shared" si="28"/>
        <v>126419.94</v>
      </c>
      <c r="AX103" s="921">
        <f t="shared" si="29"/>
        <v>38178.82</v>
      </c>
      <c r="AY103" s="921">
        <f t="shared" si="30"/>
        <v>164598.76</v>
      </c>
      <c r="AZ103" s="923">
        <f t="shared" si="31"/>
        <v>126.4</v>
      </c>
      <c r="BA103" s="923">
        <f t="shared" si="32"/>
        <v>38.200000000000003</v>
      </c>
      <c r="BB103" s="923">
        <f t="shared" si="33"/>
        <v>164.6</v>
      </c>
      <c r="BC103" s="915">
        <v>0.95</v>
      </c>
      <c r="BD103" s="923">
        <f t="shared" si="34"/>
        <v>120.1</v>
      </c>
      <c r="BE103" s="923">
        <f t="shared" si="35"/>
        <v>36.299999999999997</v>
      </c>
      <c r="BF103" s="923">
        <f t="shared" si="36"/>
        <v>156.4</v>
      </c>
      <c r="BG103" s="924">
        <f>'[3]свод (2024)'!$B$116</f>
        <v>0.99758349999999996</v>
      </c>
      <c r="BH103" s="923">
        <f t="shared" si="37"/>
        <v>119.8</v>
      </c>
      <c r="BI103" s="923">
        <f t="shared" si="38"/>
        <v>36.200000000000003</v>
      </c>
      <c r="BJ103" s="923">
        <f t="shared" si="39"/>
        <v>156</v>
      </c>
      <c r="BK103" s="925">
        <f t="shared" si="40"/>
        <v>-6.6</v>
      </c>
      <c r="BL103" s="925">
        <f t="shared" si="40"/>
        <v>-2</v>
      </c>
      <c r="BM103" s="925">
        <f t="shared" si="41"/>
        <v>-8.6</v>
      </c>
      <c r="BN103" s="925">
        <f t="shared" si="42"/>
        <v>0</v>
      </c>
      <c r="BO103" s="925">
        <f t="shared" si="43"/>
        <v>0</v>
      </c>
      <c r="BP103" s="926"/>
      <c r="BQ103" s="925">
        <f t="shared" si="44"/>
        <v>119.8</v>
      </c>
      <c r="BR103" s="925">
        <f t="shared" si="44"/>
        <v>36.200000000000003</v>
      </c>
      <c r="BS103" s="925">
        <f t="shared" si="45"/>
        <v>156</v>
      </c>
      <c r="BU103" s="928"/>
      <c r="BV103" s="917"/>
      <c r="BW103" s="928"/>
      <c r="BX103" s="928"/>
      <c r="BY103" s="928"/>
      <c r="BZ103" s="917"/>
      <c r="CA103" s="928"/>
      <c r="CB103" s="917"/>
      <c r="CC103" s="928"/>
      <c r="CD103" s="928"/>
      <c r="CE103" s="928"/>
      <c r="CF103" s="929"/>
      <c r="CG103" s="928"/>
      <c r="CH103" s="928"/>
      <c r="CI103" s="928"/>
      <c r="CJ103" s="925"/>
      <c r="CK103" s="925"/>
      <c r="CL103" s="925"/>
      <c r="CM103" s="925"/>
      <c r="CN103" s="925"/>
      <c r="CO103" s="925"/>
      <c r="CP103" s="925"/>
      <c r="CQ103" s="925"/>
      <c r="CR103" s="925"/>
      <c r="CS103" s="917"/>
      <c r="CT103" s="928"/>
      <c r="CU103" s="928"/>
      <c r="CV103" s="928"/>
      <c r="CX103" s="925"/>
      <c r="CY103" s="925"/>
      <c r="CZ103" s="925"/>
      <c r="DB103" s="925"/>
      <c r="DC103" s="925"/>
      <c r="DD103" s="925"/>
      <c r="DE103" s="925"/>
      <c r="DF103" s="925"/>
      <c r="DG103" s="925"/>
      <c r="DH103" s="925"/>
      <c r="DI103" s="925"/>
      <c r="DJ103" s="925"/>
      <c r="DK103" s="925"/>
      <c r="DL103" s="925"/>
      <c r="DM103" s="925"/>
      <c r="DN103" s="925"/>
      <c r="DO103" s="925"/>
      <c r="DP103" s="925"/>
      <c r="DQ103" s="924"/>
      <c r="DR103" s="925"/>
      <c r="DS103" s="925"/>
      <c r="DT103" s="925"/>
      <c r="DV103" s="925"/>
      <c r="DW103" s="925"/>
      <c r="DX103" s="925"/>
      <c r="DY103" s="925"/>
      <c r="DZ103" s="925"/>
      <c r="EA103" s="925"/>
      <c r="EB103" s="925"/>
      <c r="EC103" s="925"/>
      <c r="ED103" s="925"/>
      <c r="EE103" s="925"/>
      <c r="EF103" s="925"/>
      <c r="EG103" s="925"/>
      <c r="EH103" s="925"/>
      <c r="EI103" s="925"/>
      <c r="EJ103" s="925"/>
      <c r="EK103" s="925"/>
      <c r="EL103" s="925"/>
      <c r="EM103" s="925"/>
      <c r="EN103" s="925"/>
      <c r="EO103" s="925"/>
      <c r="EP103" s="925"/>
      <c r="EQ103" s="925"/>
      <c r="ER103" s="925"/>
      <c r="ES103" s="925"/>
      <c r="ET103" s="925"/>
      <c r="EV103" s="924"/>
      <c r="EW103" s="925"/>
      <c r="EX103" s="925"/>
      <c r="EY103" s="925"/>
    </row>
    <row r="104" spans="1:155" s="927" customFormat="1" ht="15.75" x14ac:dyDescent="0.25">
      <c r="A104" s="912" t="s">
        <v>61</v>
      </c>
      <c r="B104" s="913" t="s">
        <v>1380</v>
      </c>
      <c r="C104" s="914">
        <v>1</v>
      </c>
      <c r="D104" s="914">
        <v>25048</v>
      </c>
      <c r="E104" s="915">
        <v>1.0549999999999999</v>
      </c>
      <c r="F104" s="916">
        <f t="shared" si="0"/>
        <v>26426</v>
      </c>
      <c r="G104" s="915">
        <v>1.01</v>
      </c>
      <c r="H104" s="916">
        <f t="shared" si="1"/>
        <v>26691</v>
      </c>
      <c r="I104" s="917">
        <f t="shared" si="2"/>
        <v>26691</v>
      </c>
      <c r="J104" s="918">
        <f t="shared" si="3"/>
        <v>0</v>
      </c>
      <c r="K104" s="919"/>
      <c r="L104" s="917">
        <f t="shared" si="4"/>
        <v>0</v>
      </c>
      <c r="M104" s="918">
        <f t="shared" si="5"/>
        <v>0.04</v>
      </c>
      <c r="N104" s="919">
        <v>1001.92</v>
      </c>
      <c r="O104" s="917">
        <f t="shared" si="6"/>
        <v>1067.6400000000001</v>
      </c>
      <c r="P104" s="918">
        <f t="shared" si="7"/>
        <v>0.1</v>
      </c>
      <c r="Q104" s="919">
        <v>2504.8000000000002</v>
      </c>
      <c r="R104" s="917">
        <f t="shared" si="8"/>
        <v>2669.1</v>
      </c>
      <c r="S104" s="918">
        <f t="shared" si="9"/>
        <v>0</v>
      </c>
      <c r="T104" s="919"/>
      <c r="U104" s="917">
        <f t="shared" si="10"/>
        <v>0</v>
      </c>
      <c r="V104" s="918">
        <f t="shared" si="11"/>
        <v>0</v>
      </c>
      <c r="W104" s="919"/>
      <c r="X104" s="917">
        <f t="shared" si="12"/>
        <v>0</v>
      </c>
      <c r="Y104" s="918">
        <f t="shared" si="13"/>
        <v>0.38</v>
      </c>
      <c r="Z104" s="919">
        <v>9518.24</v>
      </c>
      <c r="AA104" s="917">
        <f t="shared" si="14"/>
        <v>10142.58</v>
      </c>
      <c r="AB104" s="918">
        <f t="shared" si="15"/>
        <v>0.2</v>
      </c>
      <c r="AC104" s="919">
        <v>5009.6000000000004</v>
      </c>
      <c r="AD104" s="917">
        <f t="shared" si="16"/>
        <v>5338.2</v>
      </c>
      <c r="AE104" s="918">
        <f t="shared" si="17"/>
        <v>0</v>
      </c>
      <c r="AF104" s="919"/>
      <c r="AG104" s="917">
        <f t="shared" si="18"/>
        <v>0</v>
      </c>
      <c r="AH104" s="918">
        <f t="shared" si="19"/>
        <v>0</v>
      </c>
      <c r="AI104" s="919"/>
      <c r="AJ104" s="917">
        <f t="shared" si="20"/>
        <v>0</v>
      </c>
      <c r="AK104" s="918">
        <f t="shared" si="21"/>
        <v>0</v>
      </c>
      <c r="AL104" s="919"/>
      <c r="AM104" s="917">
        <f t="shared" si="22"/>
        <v>0</v>
      </c>
      <c r="AN104" s="920">
        <v>19242</v>
      </c>
      <c r="AO104" s="917">
        <f t="shared" si="23"/>
        <v>0</v>
      </c>
      <c r="AP104" s="920"/>
      <c r="AQ104" s="916">
        <f t="shared" si="24"/>
        <v>0</v>
      </c>
      <c r="AR104" s="917">
        <f t="shared" si="25"/>
        <v>45908.52</v>
      </c>
      <c r="AS104" s="916">
        <v>12</v>
      </c>
      <c r="AT104" s="921">
        <f t="shared" si="26"/>
        <v>550902.24</v>
      </c>
      <c r="AU104" s="920"/>
      <c r="AV104" s="922">
        <f t="shared" si="27"/>
        <v>5509.02</v>
      </c>
      <c r="AW104" s="921">
        <f t="shared" si="28"/>
        <v>556411.26</v>
      </c>
      <c r="AX104" s="921">
        <f t="shared" si="29"/>
        <v>168036.2</v>
      </c>
      <c r="AY104" s="921">
        <f t="shared" si="30"/>
        <v>724447.46</v>
      </c>
      <c r="AZ104" s="923">
        <f t="shared" si="31"/>
        <v>556.4</v>
      </c>
      <c r="BA104" s="923">
        <f t="shared" si="32"/>
        <v>168</v>
      </c>
      <c r="BB104" s="923">
        <f t="shared" si="33"/>
        <v>724.4</v>
      </c>
      <c r="BC104" s="915">
        <v>0.95</v>
      </c>
      <c r="BD104" s="923">
        <f t="shared" si="34"/>
        <v>528.6</v>
      </c>
      <c r="BE104" s="923">
        <f t="shared" si="35"/>
        <v>159.6</v>
      </c>
      <c r="BF104" s="923">
        <f t="shared" si="36"/>
        <v>688.2</v>
      </c>
      <c r="BG104" s="924">
        <f>'[3]свод (2024)'!$B$116</f>
        <v>0.99758349999999996</v>
      </c>
      <c r="BH104" s="923">
        <f t="shared" si="37"/>
        <v>527.29999999999995</v>
      </c>
      <c r="BI104" s="923">
        <f t="shared" si="38"/>
        <v>159.19999999999999</v>
      </c>
      <c r="BJ104" s="923">
        <f t="shared" si="39"/>
        <v>686.5</v>
      </c>
      <c r="BK104" s="925">
        <f t="shared" si="40"/>
        <v>-29.1</v>
      </c>
      <c r="BL104" s="925">
        <f t="shared" si="40"/>
        <v>-8.8000000000000007</v>
      </c>
      <c r="BM104" s="925">
        <f t="shared" si="41"/>
        <v>-37.9</v>
      </c>
      <c r="BN104" s="925">
        <f t="shared" si="42"/>
        <v>0</v>
      </c>
      <c r="BO104" s="925">
        <f t="shared" si="43"/>
        <v>0</v>
      </c>
      <c r="BP104" s="926"/>
      <c r="BQ104" s="925">
        <f t="shared" si="44"/>
        <v>527.29999999999995</v>
      </c>
      <c r="BR104" s="925">
        <f t="shared" si="44"/>
        <v>159.19999999999999</v>
      </c>
      <c r="BS104" s="925">
        <f t="shared" si="45"/>
        <v>686.5</v>
      </c>
      <c r="BU104" s="928"/>
      <c r="BV104" s="917"/>
      <c r="BW104" s="928"/>
      <c r="BX104" s="928"/>
      <c r="BY104" s="928"/>
      <c r="BZ104" s="917"/>
      <c r="CA104" s="928"/>
      <c r="CB104" s="917"/>
      <c r="CC104" s="928"/>
      <c r="CD104" s="928"/>
      <c r="CE104" s="928"/>
      <c r="CF104" s="929"/>
      <c r="CG104" s="928"/>
      <c r="CH104" s="928"/>
      <c r="CI104" s="928"/>
      <c r="CJ104" s="925"/>
      <c r="CK104" s="925"/>
      <c r="CL104" s="925"/>
      <c r="CM104" s="925"/>
      <c r="CN104" s="925"/>
      <c r="CO104" s="925"/>
      <c r="CP104" s="925"/>
      <c r="CQ104" s="925"/>
      <c r="CR104" s="925"/>
      <c r="CS104" s="917"/>
      <c r="CT104" s="928"/>
      <c r="CU104" s="928"/>
      <c r="CV104" s="928"/>
      <c r="CX104" s="925"/>
      <c r="CY104" s="925"/>
      <c r="CZ104" s="925"/>
      <c r="DB104" s="925"/>
      <c r="DC104" s="925"/>
      <c r="DD104" s="925"/>
      <c r="DE104" s="925"/>
      <c r="DF104" s="925"/>
      <c r="DG104" s="925"/>
      <c r="DH104" s="925"/>
      <c r="DI104" s="925"/>
      <c r="DJ104" s="925"/>
      <c r="DK104" s="925"/>
      <c r="DL104" s="925"/>
      <c r="DM104" s="925"/>
      <c r="DN104" s="925"/>
      <c r="DO104" s="925"/>
      <c r="DP104" s="925"/>
      <c r="DQ104" s="924"/>
      <c r="DR104" s="925"/>
      <c r="DS104" s="925"/>
      <c r="DT104" s="925"/>
      <c r="DV104" s="925"/>
      <c r="DW104" s="925"/>
      <c r="DX104" s="925"/>
      <c r="DY104" s="925"/>
      <c r="DZ104" s="925"/>
      <c r="EA104" s="925"/>
      <c r="EB104" s="925"/>
      <c r="EC104" s="925"/>
      <c r="ED104" s="925"/>
      <c r="EE104" s="925"/>
      <c r="EF104" s="925"/>
      <c r="EG104" s="925"/>
      <c r="EH104" s="925"/>
      <c r="EI104" s="925"/>
      <c r="EJ104" s="925"/>
      <c r="EK104" s="925"/>
      <c r="EL104" s="925"/>
      <c r="EM104" s="925"/>
      <c r="EN104" s="925"/>
      <c r="EO104" s="925"/>
      <c r="EP104" s="925"/>
      <c r="EQ104" s="925"/>
      <c r="ER104" s="925"/>
      <c r="ES104" s="925"/>
      <c r="ET104" s="925"/>
      <c r="EV104" s="924"/>
      <c r="EW104" s="925"/>
      <c r="EX104" s="925"/>
      <c r="EY104" s="925"/>
    </row>
    <row r="105" spans="1:155" s="927" customFormat="1" ht="15.75" x14ac:dyDescent="0.25">
      <c r="A105" s="912" t="s">
        <v>61</v>
      </c>
      <c r="B105" s="913" t="s">
        <v>40</v>
      </c>
      <c r="C105" s="914">
        <v>1</v>
      </c>
      <c r="D105" s="914">
        <v>6707</v>
      </c>
      <c r="E105" s="915">
        <v>1.0549999999999999</v>
      </c>
      <c r="F105" s="916">
        <f t="shared" si="0"/>
        <v>7076</v>
      </c>
      <c r="G105" s="915">
        <v>1.01</v>
      </c>
      <c r="H105" s="916">
        <f t="shared" si="1"/>
        <v>7147</v>
      </c>
      <c r="I105" s="917">
        <f t="shared" si="2"/>
        <v>7147</v>
      </c>
      <c r="J105" s="918">
        <f t="shared" si="3"/>
        <v>0</v>
      </c>
      <c r="K105" s="919"/>
      <c r="L105" s="917">
        <f t="shared" si="4"/>
        <v>0</v>
      </c>
      <c r="M105" s="918">
        <f t="shared" si="5"/>
        <v>0.04</v>
      </c>
      <c r="N105" s="919">
        <v>268.27999999999997</v>
      </c>
      <c r="O105" s="917">
        <f t="shared" si="6"/>
        <v>285.88</v>
      </c>
      <c r="P105" s="918">
        <f t="shared" si="7"/>
        <v>0</v>
      </c>
      <c r="Q105" s="919"/>
      <c r="R105" s="917">
        <f t="shared" si="8"/>
        <v>0</v>
      </c>
      <c r="S105" s="918">
        <f t="shared" si="9"/>
        <v>0</v>
      </c>
      <c r="T105" s="919"/>
      <c r="U105" s="917">
        <f t="shared" si="10"/>
        <v>0</v>
      </c>
      <c r="V105" s="918">
        <f t="shared" si="11"/>
        <v>0</v>
      </c>
      <c r="W105" s="919"/>
      <c r="X105" s="917">
        <f t="shared" si="12"/>
        <v>0</v>
      </c>
      <c r="Y105" s="918">
        <f t="shared" si="13"/>
        <v>1.99</v>
      </c>
      <c r="Z105" s="919">
        <v>13346.93</v>
      </c>
      <c r="AA105" s="917">
        <f t="shared" si="14"/>
        <v>14222.53</v>
      </c>
      <c r="AB105" s="918">
        <f t="shared" si="15"/>
        <v>0.3</v>
      </c>
      <c r="AC105" s="919">
        <v>2012.1</v>
      </c>
      <c r="AD105" s="917">
        <f t="shared" si="16"/>
        <v>2144.1</v>
      </c>
      <c r="AE105" s="918">
        <f t="shared" si="17"/>
        <v>0</v>
      </c>
      <c r="AF105" s="919"/>
      <c r="AG105" s="917">
        <f t="shared" si="18"/>
        <v>0</v>
      </c>
      <c r="AH105" s="918">
        <f t="shared" si="19"/>
        <v>0</v>
      </c>
      <c r="AI105" s="919"/>
      <c r="AJ105" s="917">
        <f t="shared" si="20"/>
        <v>0</v>
      </c>
      <c r="AK105" s="918">
        <f t="shared" si="21"/>
        <v>0</v>
      </c>
      <c r="AL105" s="919"/>
      <c r="AM105" s="917">
        <f t="shared" si="22"/>
        <v>0</v>
      </c>
      <c r="AN105" s="920">
        <v>19242</v>
      </c>
      <c r="AO105" s="917">
        <f t="shared" si="23"/>
        <v>0</v>
      </c>
      <c r="AP105" s="920"/>
      <c r="AQ105" s="916">
        <f t="shared" si="24"/>
        <v>0</v>
      </c>
      <c r="AR105" s="917">
        <f t="shared" si="25"/>
        <v>23799.51</v>
      </c>
      <c r="AS105" s="916">
        <v>12</v>
      </c>
      <c r="AT105" s="921">
        <f t="shared" si="26"/>
        <v>285594.12</v>
      </c>
      <c r="AU105" s="920"/>
      <c r="AV105" s="922">
        <f t="shared" si="27"/>
        <v>2855.94</v>
      </c>
      <c r="AW105" s="921">
        <f t="shared" si="28"/>
        <v>288450.06</v>
      </c>
      <c r="AX105" s="921">
        <f t="shared" si="29"/>
        <v>87111.92</v>
      </c>
      <c r="AY105" s="921">
        <f t="shared" si="30"/>
        <v>375561.98</v>
      </c>
      <c r="AZ105" s="923">
        <f t="shared" si="31"/>
        <v>288.5</v>
      </c>
      <c r="BA105" s="923">
        <f t="shared" si="32"/>
        <v>87.1</v>
      </c>
      <c r="BB105" s="923">
        <f t="shared" si="33"/>
        <v>375.6</v>
      </c>
      <c r="BC105" s="915">
        <v>0.95</v>
      </c>
      <c r="BD105" s="923">
        <f t="shared" si="34"/>
        <v>274.10000000000002</v>
      </c>
      <c r="BE105" s="923">
        <f t="shared" si="35"/>
        <v>82.8</v>
      </c>
      <c r="BF105" s="923">
        <f t="shared" si="36"/>
        <v>356.9</v>
      </c>
      <c r="BG105" s="924">
        <f>'[3]свод (2024)'!$B$116</f>
        <v>0.99758349999999996</v>
      </c>
      <c r="BH105" s="923">
        <f t="shared" si="37"/>
        <v>273.39999999999998</v>
      </c>
      <c r="BI105" s="923">
        <f t="shared" si="38"/>
        <v>82.6</v>
      </c>
      <c r="BJ105" s="923">
        <f t="shared" si="39"/>
        <v>356</v>
      </c>
      <c r="BK105" s="925">
        <f t="shared" si="40"/>
        <v>-15.1</v>
      </c>
      <c r="BL105" s="925">
        <f t="shared" si="40"/>
        <v>-4.5</v>
      </c>
      <c r="BM105" s="925">
        <f t="shared" si="41"/>
        <v>-19.600000000000001</v>
      </c>
      <c r="BN105" s="925">
        <f t="shared" si="42"/>
        <v>0</v>
      </c>
      <c r="BO105" s="925">
        <f t="shared" si="43"/>
        <v>0</v>
      </c>
      <c r="BP105" s="926"/>
      <c r="BQ105" s="925">
        <f t="shared" si="44"/>
        <v>273.39999999999998</v>
      </c>
      <c r="BR105" s="925">
        <f t="shared" si="44"/>
        <v>82.6</v>
      </c>
      <c r="BS105" s="925">
        <f t="shared" si="45"/>
        <v>356</v>
      </c>
      <c r="BU105" s="928"/>
      <c r="BV105" s="917"/>
      <c r="BW105" s="928"/>
      <c r="BX105" s="928"/>
      <c r="BY105" s="928"/>
      <c r="BZ105" s="917"/>
      <c r="CA105" s="928"/>
      <c r="CB105" s="917"/>
      <c r="CC105" s="928"/>
      <c r="CD105" s="928"/>
      <c r="CE105" s="928"/>
      <c r="CF105" s="929"/>
      <c r="CG105" s="928"/>
      <c r="CH105" s="928"/>
      <c r="CI105" s="928"/>
      <c r="CJ105" s="925"/>
      <c r="CK105" s="925"/>
      <c r="CL105" s="925"/>
      <c r="CM105" s="925"/>
      <c r="CN105" s="925"/>
      <c r="CO105" s="925"/>
      <c r="CP105" s="925"/>
      <c r="CQ105" s="925"/>
      <c r="CR105" s="925"/>
      <c r="CS105" s="917"/>
      <c r="CT105" s="928"/>
      <c r="CU105" s="928"/>
      <c r="CV105" s="928"/>
      <c r="CX105" s="925"/>
      <c r="CY105" s="925"/>
      <c r="CZ105" s="925"/>
      <c r="DB105" s="925"/>
      <c r="DC105" s="925"/>
      <c r="DD105" s="925"/>
      <c r="DE105" s="925"/>
      <c r="DF105" s="925"/>
      <c r="DG105" s="925"/>
      <c r="DH105" s="925"/>
      <c r="DI105" s="925"/>
      <c r="DJ105" s="925"/>
      <c r="DK105" s="925"/>
      <c r="DL105" s="925"/>
      <c r="DM105" s="925"/>
      <c r="DN105" s="925"/>
      <c r="DO105" s="925"/>
      <c r="DP105" s="925"/>
      <c r="DQ105" s="924"/>
      <c r="DR105" s="925"/>
      <c r="DS105" s="925"/>
      <c r="DT105" s="925"/>
      <c r="DV105" s="925"/>
      <c r="DW105" s="925"/>
      <c r="DX105" s="925"/>
      <c r="DY105" s="925"/>
      <c r="DZ105" s="925"/>
      <c r="EA105" s="925"/>
      <c r="EB105" s="925"/>
      <c r="EC105" s="925"/>
      <c r="ED105" s="925"/>
      <c r="EE105" s="925"/>
      <c r="EF105" s="925"/>
      <c r="EG105" s="925"/>
      <c r="EH105" s="925"/>
      <c r="EI105" s="925"/>
      <c r="EJ105" s="925"/>
      <c r="EK105" s="925"/>
      <c r="EL105" s="925"/>
      <c r="EM105" s="925"/>
      <c r="EN105" s="925"/>
      <c r="EO105" s="925"/>
      <c r="EP105" s="925"/>
      <c r="EQ105" s="925"/>
      <c r="ER105" s="925"/>
      <c r="ES105" s="925"/>
      <c r="ET105" s="925"/>
      <c r="EV105" s="924"/>
      <c r="EW105" s="925"/>
      <c r="EX105" s="925"/>
      <c r="EY105" s="925"/>
    </row>
    <row r="106" spans="1:155" s="927" customFormat="1" ht="15.75" x14ac:dyDescent="0.25">
      <c r="A106" s="912" t="s">
        <v>61</v>
      </c>
      <c r="B106" s="913" t="s">
        <v>33</v>
      </c>
      <c r="C106" s="914">
        <v>4</v>
      </c>
      <c r="D106" s="914">
        <v>13466</v>
      </c>
      <c r="E106" s="915">
        <v>1.0549999999999999</v>
      </c>
      <c r="F106" s="916">
        <f t="shared" si="0"/>
        <v>14207</v>
      </c>
      <c r="G106" s="915">
        <v>1.01</v>
      </c>
      <c r="H106" s="916">
        <f t="shared" si="1"/>
        <v>14350</v>
      </c>
      <c r="I106" s="917">
        <f t="shared" si="2"/>
        <v>57400</v>
      </c>
      <c r="J106" s="918">
        <f t="shared" si="3"/>
        <v>0</v>
      </c>
      <c r="K106" s="919"/>
      <c r="L106" s="917">
        <f t="shared" si="4"/>
        <v>0</v>
      </c>
      <c r="M106" s="918">
        <f t="shared" si="5"/>
        <v>0.03</v>
      </c>
      <c r="N106" s="919">
        <v>1615.92</v>
      </c>
      <c r="O106" s="917">
        <f t="shared" si="6"/>
        <v>1722</v>
      </c>
      <c r="P106" s="918">
        <f t="shared" si="7"/>
        <v>2.5000000000000001E-2</v>
      </c>
      <c r="Q106" s="919">
        <v>1346.6</v>
      </c>
      <c r="R106" s="917">
        <f t="shared" si="8"/>
        <v>1435</v>
      </c>
      <c r="S106" s="918">
        <f t="shared" si="9"/>
        <v>7.4999999999999997E-2</v>
      </c>
      <c r="T106" s="919">
        <v>4039.8</v>
      </c>
      <c r="U106" s="917">
        <f t="shared" si="10"/>
        <v>4305</v>
      </c>
      <c r="V106" s="918">
        <f t="shared" si="11"/>
        <v>0</v>
      </c>
      <c r="W106" s="919"/>
      <c r="X106" s="917">
        <f t="shared" si="12"/>
        <v>0</v>
      </c>
      <c r="Y106" s="918">
        <f t="shared" si="13"/>
        <v>1.2</v>
      </c>
      <c r="Z106" s="919">
        <v>64636.800000000003</v>
      </c>
      <c r="AA106" s="917">
        <f t="shared" si="14"/>
        <v>68880</v>
      </c>
      <c r="AB106" s="918">
        <f t="shared" si="15"/>
        <v>0.2</v>
      </c>
      <c r="AC106" s="919">
        <v>10772.8</v>
      </c>
      <c r="AD106" s="917">
        <f t="shared" si="16"/>
        <v>11480</v>
      </c>
      <c r="AE106" s="918">
        <f t="shared" si="17"/>
        <v>0</v>
      </c>
      <c r="AF106" s="919"/>
      <c r="AG106" s="917">
        <f t="shared" si="18"/>
        <v>0</v>
      </c>
      <c r="AH106" s="918">
        <f t="shared" si="19"/>
        <v>0</v>
      </c>
      <c r="AI106" s="919"/>
      <c r="AJ106" s="917">
        <f t="shared" si="20"/>
        <v>0</v>
      </c>
      <c r="AK106" s="918">
        <f t="shared" si="21"/>
        <v>0</v>
      </c>
      <c r="AL106" s="919"/>
      <c r="AM106" s="917">
        <f t="shared" si="22"/>
        <v>0</v>
      </c>
      <c r="AN106" s="920">
        <v>19242</v>
      </c>
      <c r="AO106" s="917">
        <f t="shared" si="23"/>
        <v>0</v>
      </c>
      <c r="AP106" s="920"/>
      <c r="AQ106" s="916">
        <f t="shared" si="24"/>
        <v>0</v>
      </c>
      <c r="AR106" s="917">
        <f t="shared" si="25"/>
        <v>145222</v>
      </c>
      <c r="AS106" s="916">
        <v>12</v>
      </c>
      <c r="AT106" s="921">
        <f t="shared" si="26"/>
        <v>1742664</v>
      </c>
      <c r="AU106" s="920"/>
      <c r="AV106" s="922">
        <f t="shared" si="27"/>
        <v>17426.64</v>
      </c>
      <c r="AW106" s="921">
        <f t="shared" si="28"/>
        <v>1760090.64</v>
      </c>
      <c r="AX106" s="921">
        <f t="shared" si="29"/>
        <v>531547.37</v>
      </c>
      <c r="AY106" s="921">
        <f t="shared" si="30"/>
        <v>2291638.0099999998</v>
      </c>
      <c r="AZ106" s="923">
        <f t="shared" si="31"/>
        <v>1760.1</v>
      </c>
      <c r="BA106" s="923">
        <f t="shared" si="32"/>
        <v>531.6</v>
      </c>
      <c r="BB106" s="923">
        <f t="shared" si="33"/>
        <v>2291.6999999999998</v>
      </c>
      <c r="BC106" s="915">
        <v>0.95</v>
      </c>
      <c r="BD106" s="923">
        <f t="shared" si="34"/>
        <v>1672.1</v>
      </c>
      <c r="BE106" s="923">
        <f t="shared" si="35"/>
        <v>505</v>
      </c>
      <c r="BF106" s="923">
        <f t="shared" si="36"/>
        <v>2177.1</v>
      </c>
      <c r="BG106" s="924">
        <f>'[3]свод (2024)'!$B$116</f>
        <v>0.99758349999999996</v>
      </c>
      <c r="BH106" s="923">
        <f t="shared" si="37"/>
        <v>1668.1</v>
      </c>
      <c r="BI106" s="923">
        <f t="shared" si="38"/>
        <v>503.8</v>
      </c>
      <c r="BJ106" s="923">
        <f t="shared" si="39"/>
        <v>2171.9</v>
      </c>
      <c r="BK106" s="925">
        <f t="shared" si="40"/>
        <v>-92</v>
      </c>
      <c r="BL106" s="925">
        <f t="shared" si="40"/>
        <v>-27.8</v>
      </c>
      <c r="BM106" s="925">
        <f t="shared" si="41"/>
        <v>-119.8</v>
      </c>
      <c r="BN106" s="925">
        <f t="shared" si="42"/>
        <v>0</v>
      </c>
      <c r="BO106" s="925">
        <f t="shared" si="43"/>
        <v>0</v>
      </c>
      <c r="BP106" s="926"/>
      <c r="BQ106" s="925">
        <f t="shared" si="44"/>
        <v>1668.1</v>
      </c>
      <c r="BR106" s="925">
        <f t="shared" si="44"/>
        <v>503.8</v>
      </c>
      <c r="BS106" s="925">
        <f t="shared" si="45"/>
        <v>2171.9</v>
      </c>
      <c r="BU106" s="928"/>
      <c r="BV106" s="917"/>
      <c r="BW106" s="928"/>
      <c r="BX106" s="928"/>
      <c r="BY106" s="928"/>
      <c r="BZ106" s="917"/>
      <c r="CA106" s="928"/>
      <c r="CB106" s="917"/>
      <c r="CC106" s="928"/>
      <c r="CD106" s="928"/>
      <c r="CE106" s="928"/>
      <c r="CF106" s="929"/>
      <c r="CG106" s="928"/>
      <c r="CH106" s="928"/>
      <c r="CI106" s="928"/>
      <c r="CJ106" s="925"/>
      <c r="CK106" s="925"/>
      <c r="CL106" s="925"/>
      <c r="CM106" s="925"/>
      <c r="CN106" s="925"/>
      <c r="CO106" s="925"/>
      <c r="CP106" s="925"/>
      <c r="CQ106" s="925"/>
      <c r="CR106" s="925"/>
      <c r="CS106" s="917"/>
      <c r="CT106" s="928"/>
      <c r="CU106" s="928"/>
      <c r="CV106" s="928"/>
      <c r="CX106" s="925"/>
      <c r="CY106" s="925"/>
      <c r="CZ106" s="925"/>
      <c r="DB106" s="925"/>
      <c r="DC106" s="925"/>
      <c r="DD106" s="925"/>
      <c r="DE106" s="925"/>
      <c r="DF106" s="925"/>
      <c r="DG106" s="925"/>
      <c r="DH106" s="925"/>
      <c r="DI106" s="925"/>
      <c r="DJ106" s="925"/>
      <c r="DK106" s="925"/>
      <c r="DL106" s="925"/>
      <c r="DM106" s="925"/>
      <c r="DN106" s="925"/>
      <c r="DO106" s="925"/>
      <c r="DP106" s="925"/>
      <c r="DQ106" s="924"/>
      <c r="DR106" s="925"/>
      <c r="DS106" s="925"/>
      <c r="DT106" s="925"/>
      <c r="DV106" s="925"/>
      <c r="DW106" s="925"/>
      <c r="DX106" s="925"/>
      <c r="DY106" s="925"/>
      <c r="DZ106" s="925"/>
      <c r="EA106" s="925"/>
      <c r="EB106" s="925"/>
      <c r="EC106" s="925"/>
      <c r="ED106" s="925"/>
      <c r="EE106" s="925"/>
      <c r="EF106" s="925"/>
      <c r="EG106" s="925"/>
      <c r="EH106" s="925"/>
      <c r="EI106" s="925"/>
      <c r="EJ106" s="925"/>
      <c r="EK106" s="925"/>
      <c r="EL106" s="925"/>
      <c r="EM106" s="925"/>
      <c r="EN106" s="925"/>
      <c r="EO106" s="925"/>
      <c r="EP106" s="925"/>
      <c r="EQ106" s="925"/>
      <c r="ER106" s="925"/>
      <c r="ES106" s="925"/>
      <c r="ET106" s="925"/>
      <c r="EV106" s="924"/>
      <c r="EW106" s="925"/>
      <c r="EX106" s="925"/>
      <c r="EY106" s="925"/>
    </row>
    <row r="107" spans="1:155" s="927" customFormat="1" ht="15.75" x14ac:dyDescent="0.25">
      <c r="A107" s="912" t="s">
        <v>61</v>
      </c>
      <c r="B107" s="913" t="s">
        <v>39</v>
      </c>
      <c r="C107" s="914">
        <v>1</v>
      </c>
      <c r="D107" s="914">
        <v>6097</v>
      </c>
      <c r="E107" s="915">
        <v>1.0549999999999999</v>
      </c>
      <c r="F107" s="916">
        <f t="shared" si="0"/>
        <v>6433</v>
      </c>
      <c r="G107" s="915">
        <v>1.01</v>
      </c>
      <c r="H107" s="916">
        <f t="shared" si="1"/>
        <v>6498</v>
      </c>
      <c r="I107" s="917">
        <f t="shared" si="2"/>
        <v>6498</v>
      </c>
      <c r="J107" s="918">
        <f t="shared" si="3"/>
        <v>0</v>
      </c>
      <c r="K107" s="919"/>
      <c r="L107" s="917">
        <f t="shared" si="4"/>
        <v>0</v>
      </c>
      <c r="M107" s="918">
        <f t="shared" si="5"/>
        <v>0</v>
      </c>
      <c r="N107" s="919"/>
      <c r="O107" s="917">
        <f t="shared" si="6"/>
        <v>0</v>
      </c>
      <c r="P107" s="918">
        <f t="shared" si="7"/>
        <v>0</v>
      </c>
      <c r="Q107" s="919"/>
      <c r="R107" s="917">
        <f t="shared" si="8"/>
        <v>0</v>
      </c>
      <c r="S107" s="918">
        <f t="shared" si="9"/>
        <v>0</v>
      </c>
      <c r="T107" s="919"/>
      <c r="U107" s="917">
        <f t="shared" si="10"/>
        <v>0</v>
      </c>
      <c r="V107" s="918">
        <f t="shared" si="11"/>
        <v>0</v>
      </c>
      <c r="W107" s="919"/>
      <c r="X107" s="917">
        <f t="shared" si="12"/>
        <v>0</v>
      </c>
      <c r="Y107" s="918">
        <f t="shared" si="13"/>
        <v>0</v>
      </c>
      <c r="Z107" s="919"/>
      <c r="AA107" s="917">
        <f t="shared" si="14"/>
        <v>0</v>
      </c>
      <c r="AB107" s="918">
        <f t="shared" si="15"/>
        <v>0.3</v>
      </c>
      <c r="AC107" s="919">
        <v>1829.1</v>
      </c>
      <c r="AD107" s="917">
        <f t="shared" si="16"/>
        <v>1949.4</v>
      </c>
      <c r="AE107" s="918">
        <f t="shared" si="17"/>
        <v>0</v>
      </c>
      <c r="AF107" s="919"/>
      <c r="AG107" s="917">
        <f t="shared" si="18"/>
        <v>0</v>
      </c>
      <c r="AH107" s="918">
        <f t="shared" si="19"/>
        <v>0</v>
      </c>
      <c r="AI107" s="919"/>
      <c r="AJ107" s="917">
        <f t="shared" si="20"/>
        <v>0</v>
      </c>
      <c r="AK107" s="918">
        <f t="shared" si="21"/>
        <v>0</v>
      </c>
      <c r="AL107" s="919"/>
      <c r="AM107" s="917">
        <f t="shared" si="22"/>
        <v>0</v>
      </c>
      <c r="AN107" s="920">
        <v>19242</v>
      </c>
      <c r="AO107" s="917">
        <f t="shared" si="23"/>
        <v>10794.6</v>
      </c>
      <c r="AP107" s="920"/>
      <c r="AQ107" s="916">
        <f t="shared" si="24"/>
        <v>0</v>
      </c>
      <c r="AR107" s="917">
        <f t="shared" si="25"/>
        <v>19242</v>
      </c>
      <c r="AS107" s="916">
        <v>12</v>
      </c>
      <c r="AT107" s="921">
        <f t="shared" si="26"/>
        <v>230904</v>
      </c>
      <c r="AU107" s="920"/>
      <c r="AV107" s="922">
        <f t="shared" si="27"/>
        <v>2309.04</v>
      </c>
      <c r="AW107" s="921">
        <f t="shared" si="28"/>
        <v>233213.04</v>
      </c>
      <c r="AX107" s="921">
        <f t="shared" si="29"/>
        <v>70430.34</v>
      </c>
      <c r="AY107" s="921">
        <f t="shared" si="30"/>
        <v>303643.38</v>
      </c>
      <c r="AZ107" s="923">
        <f t="shared" si="31"/>
        <v>233.2</v>
      </c>
      <c r="BA107" s="923">
        <f t="shared" si="32"/>
        <v>70.400000000000006</v>
      </c>
      <c r="BB107" s="923">
        <f t="shared" si="33"/>
        <v>303.60000000000002</v>
      </c>
      <c r="BC107" s="915">
        <v>0.95</v>
      </c>
      <c r="BD107" s="923">
        <f t="shared" si="34"/>
        <v>221.5</v>
      </c>
      <c r="BE107" s="923">
        <f t="shared" si="35"/>
        <v>66.900000000000006</v>
      </c>
      <c r="BF107" s="923">
        <f t="shared" si="36"/>
        <v>288.39999999999998</v>
      </c>
      <c r="BG107" s="924">
        <f>'[3]свод (2024)'!$B$116</f>
        <v>0.99758349999999996</v>
      </c>
      <c r="BH107" s="923">
        <f t="shared" si="37"/>
        <v>221</v>
      </c>
      <c r="BI107" s="923">
        <f t="shared" si="38"/>
        <v>66.7</v>
      </c>
      <c r="BJ107" s="923">
        <f t="shared" si="39"/>
        <v>287.7</v>
      </c>
      <c r="BK107" s="925">
        <f t="shared" si="40"/>
        <v>-12.2</v>
      </c>
      <c r="BL107" s="925">
        <f t="shared" si="40"/>
        <v>-3.7</v>
      </c>
      <c r="BM107" s="925">
        <f t="shared" si="41"/>
        <v>-15.9</v>
      </c>
      <c r="BN107" s="925">
        <f t="shared" si="42"/>
        <v>0</v>
      </c>
      <c r="BO107" s="925">
        <f t="shared" si="43"/>
        <v>0</v>
      </c>
      <c r="BP107" s="926"/>
      <c r="BQ107" s="925">
        <f t="shared" si="44"/>
        <v>221</v>
      </c>
      <c r="BR107" s="925">
        <f t="shared" si="44"/>
        <v>66.7</v>
      </c>
      <c r="BS107" s="925">
        <f t="shared" si="45"/>
        <v>287.7</v>
      </c>
      <c r="BU107" s="928"/>
      <c r="BV107" s="917"/>
      <c r="BW107" s="928"/>
      <c r="BX107" s="928"/>
      <c r="BY107" s="928"/>
      <c r="BZ107" s="917"/>
      <c r="CA107" s="928"/>
      <c r="CB107" s="917"/>
      <c r="CC107" s="928"/>
      <c r="CD107" s="928"/>
      <c r="CE107" s="928"/>
      <c r="CF107" s="929"/>
      <c r="CG107" s="928"/>
      <c r="CH107" s="928"/>
      <c r="CI107" s="928"/>
      <c r="CJ107" s="925"/>
      <c r="CK107" s="925"/>
      <c r="CL107" s="925"/>
      <c r="CM107" s="925"/>
      <c r="CN107" s="925"/>
      <c r="CO107" s="925"/>
      <c r="CP107" s="925"/>
      <c r="CQ107" s="925"/>
      <c r="CR107" s="925"/>
      <c r="CS107" s="917"/>
      <c r="CT107" s="928"/>
      <c r="CU107" s="928"/>
      <c r="CV107" s="928"/>
      <c r="CX107" s="925"/>
      <c r="CY107" s="925"/>
      <c r="CZ107" s="925"/>
      <c r="DB107" s="925"/>
      <c r="DC107" s="925"/>
      <c r="DD107" s="925"/>
      <c r="DE107" s="925"/>
      <c r="DF107" s="925"/>
      <c r="DG107" s="925"/>
      <c r="DH107" s="925"/>
      <c r="DI107" s="925"/>
      <c r="DJ107" s="925"/>
      <c r="DK107" s="925"/>
      <c r="DL107" s="925"/>
      <c r="DM107" s="925"/>
      <c r="DN107" s="925"/>
      <c r="DO107" s="925"/>
      <c r="DP107" s="925"/>
      <c r="DQ107" s="924"/>
      <c r="DR107" s="925"/>
      <c r="DS107" s="925"/>
      <c r="DT107" s="925"/>
      <c r="DV107" s="925"/>
      <c r="DW107" s="925"/>
      <c r="DX107" s="925"/>
      <c r="DY107" s="925"/>
      <c r="DZ107" s="925"/>
      <c r="EA107" s="925"/>
      <c r="EB107" s="925"/>
      <c r="EC107" s="925"/>
      <c r="ED107" s="925"/>
      <c r="EE107" s="925"/>
      <c r="EF107" s="925"/>
      <c r="EG107" s="925"/>
      <c r="EH107" s="925"/>
      <c r="EI107" s="925"/>
      <c r="EJ107" s="925"/>
      <c r="EK107" s="925"/>
      <c r="EL107" s="925"/>
      <c r="EM107" s="925"/>
      <c r="EN107" s="925"/>
      <c r="EO107" s="925"/>
      <c r="EP107" s="925"/>
      <c r="EQ107" s="925"/>
      <c r="ER107" s="925"/>
      <c r="ES107" s="925"/>
      <c r="ET107" s="925"/>
      <c r="EV107" s="924"/>
      <c r="EW107" s="925"/>
      <c r="EX107" s="925"/>
      <c r="EY107" s="925"/>
    </row>
    <row r="108" spans="1:155" s="927" customFormat="1" ht="24" x14ac:dyDescent="0.25">
      <c r="A108" s="912" t="s">
        <v>61</v>
      </c>
      <c r="B108" s="913" t="s">
        <v>1395</v>
      </c>
      <c r="C108" s="914">
        <v>1</v>
      </c>
      <c r="D108" s="914">
        <v>22544</v>
      </c>
      <c r="E108" s="915">
        <v>1.0549999999999999</v>
      </c>
      <c r="F108" s="916">
        <f t="shared" si="0"/>
        <v>23784</v>
      </c>
      <c r="G108" s="915">
        <v>1.01</v>
      </c>
      <c r="H108" s="916">
        <f t="shared" si="1"/>
        <v>24022</v>
      </c>
      <c r="I108" s="917">
        <f t="shared" si="2"/>
        <v>24022</v>
      </c>
      <c r="J108" s="918">
        <f t="shared" si="3"/>
        <v>0</v>
      </c>
      <c r="K108" s="919"/>
      <c r="L108" s="917">
        <f t="shared" si="4"/>
        <v>0</v>
      </c>
      <c r="M108" s="918">
        <f t="shared" si="5"/>
        <v>0.04</v>
      </c>
      <c r="N108" s="919">
        <v>901.76</v>
      </c>
      <c r="O108" s="917">
        <f t="shared" si="6"/>
        <v>960.88</v>
      </c>
      <c r="P108" s="918">
        <f t="shared" si="7"/>
        <v>0.1</v>
      </c>
      <c r="Q108" s="994">
        <v>2254.4</v>
      </c>
      <c r="R108" s="917">
        <f t="shared" si="8"/>
        <v>2402.1999999999998</v>
      </c>
      <c r="S108" s="918">
        <f t="shared" si="9"/>
        <v>0</v>
      </c>
      <c r="T108" s="919"/>
      <c r="U108" s="917">
        <f t="shared" si="10"/>
        <v>0</v>
      </c>
      <c r="V108" s="918">
        <f t="shared" si="11"/>
        <v>0</v>
      </c>
      <c r="W108" s="919"/>
      <c r="X108" s="917">
        <f t="shared" si="12"/>
        <v>0</v>
      </c>
      <c r="Y108" s="918">
        <f t="shared" si="13"/>
        <v>0.34</v>
      </c>
      <c r="Z108" s="919">
        <v>7664.96</v>
      </c>
      <c r="AA108" s="917">
        <f t="shared" si="14"/>
        <v>8167.48</v>
      </c>
      <c r="AB108" s="918">
        <f t="shared" si="15"/>
        <v>0.15</v>
      </c>
      <c r="AC108" s="919">
        <v>3381.6</v>
      </c>
      <c r="AD108" s="917">
        <f t="shared" si="16"/>
        <v>3603.3</v>
      </c>
      <c r="AE108" s="918">
        <f t="shared" si="17"/>
        <v>0</v>
      </c>
      <c r="AF108" s="919"/>
      <c r="AG108" s="917">
        <f t="shared" si="18"/>
        <v>0</v>
      </c>
      <c r="AH108" s="918">
        <f t="shared" si="19"/>
        <v>0</v>
      </c>
      <c r="AI108" s="919"/>
      <c r="AJ108" s="917">
        <f t="shared" si="20"/>
        <v>0</v>
      </c>
      <c r="AK108" s="918">
        <f t="shared" si="21"/>
        <v>0</v>
      </c>
      <c r="AL108" s="919"/>
      <c r="AM108" s="917">
        <f t="shared" si="22"/>
        <v>0</v>
      </c>
      <c r="AN108" s="920">
        <v>19242</v>
      </c>
      <c r="AO108" s="917">
        <f t="shared" si="23"/>
        <v>0</v>
      </c>
      <c r="AP108" s="920"/>
      <c r="AQ108" s="916">
        <f t="shared" si="24"/>
        <v>0</v>
      </c>
      <c r="AR108" s="917">
        <f t="shared" si="25"/>
        <v>39155.86</v>
      </c>
      <c r="AS108" s="916">
        <v>12</v>
      </c>
      <c r="AT108" s="921">
        <f t="shared" si="26"/>
        <v>469870.32</v>
      </c>
      <c r="AU108" s="920"/>
      <c r="AV108" s="922">
        <f t="shared" si="27"/>
        <v>4698.7</v>
      </c>
      <c r="AW108" s="921">
        <f t="shared" si="28"/>
        <v>474569.02</v>
      </c>
      <c r="AX108" s="921">
        <f t="shared" si="29"/>
        <v>143319.84</v>
      </c>
      <c r="AY108" s="921">
        <f t="shared" si="30"/>
        <v>617888.86</v>
      </c>
      <c r="AZ108" s="923">
        <f t="shared" si="31"/>
        <v>474.6</v>
      </c>
      <c r="BA108" s="923">
        <f t="shared" si="32"/>
        <v>143.30000000000001</v>
      </c>
      <c r="BB108" s="923">
        <f t="shared" si="33"/>
        <v>617.9</v>
      </c>
      <c r="BC108" s="915">
        <v>0.95</v>
      </c>
      <c r="BD108" s="923">
        <f t="shared" si="34"/>
        <v>450.9</v>
      </c>
      <c r="BE108" s="923">
        <f t="shared" si="35"/>
        <v>136.19999999999999</v>
      </c>
      <c r="BF108" s="923">
        <f t="shared" si="36"/>
        <v>587.1</v>
      </c>
      <c r="BG108" s="924">
        <f>'[3]свод (2024)'!$B$116</f>
        <v>0.99758349999999996</v>
      </c>
      <c r="BH108" s="923">
        <f t="shared" si="37"/>
        <v>449.8</v>
      </c>
      <c r="BI108" s="923">
        <f t="shared" si="38"/>
        <v>135.80000000000001</v>
      </c>
      <c r="BJ108" s="923">
        <f t="shared" si="39"/>
        <v>585.6</v>
      </c>
      <c r="BK108" s="925">
        <f t="shared" si="40"/>
        <v>-24.8</v>
      </c>
      <c r="BL108" s="925">
        <f t="shared" si="40"/>
        <v>-7.5</v>
      </c>
      <c r="BM108" s="925">
        <f t="shared" si="41"/>
        <v>-32.299999999999997</v>
      </c>
      <c r="BN108" s="925">
        <f t="shared" si="42"/>
        <v>0</v>
      </c>
      <c r="BO108" s="925">
        <f t="shared" si="43"/>
        <v>0</v>
      </c>
      <c r="BP108" s="926"/>
      <c r="BQ108" s="925">
        <f t="shared" si="44"/>
        <v>449.8</v>
      </c>
      <c r="BR108" s="925">
        <f t="shared" si="44"/>
        <v>135.80000000000001</v>
      </c>
      <c r="BS108" s="925">
        <f t="shared" si="45"/>
        <v>585.6</v>
      </c>
      <c r="BU108" s="928"/>
      <c r="BV108" s="917"/>
      <c r="BW108" s="928"/>
      <c r="BX108" s="928"/>
      <c r="BY108" s="928"/>
      <c r="BZ108" s="917"/>
      <c r="CA108" s="928"/>
      <c r="CB108" s="917"/>
      <c r="CC108" s="928"/>
      <c r="CD108" s="928"/>
      <c r="CE108" s="928"/>
      <c r="CF108" s="929"/>
      <c r="CG108" s="928"/>
      <c r="CH108" s="928"/>
      <c r="CI108" s="928"/>
      <c r="CJ108" s="925"/>
      <c r="CK108" s="925"/>
      <c r="CL108" s="925"/>
      <c r="CM108" s="925"/>
      <c r="CN108" s="925"/>
      <c r="CO108" s="925"/>
      <c r="CP108" s="925"/>
      <c r="CQ108" s="925"/>
      <c r="CR108" s="925"/>
      <c r="CS108" s="917"/>
      <c r="CT108" s="928"/>
      <c r="CU108" s="928"/>
      <c r="CV108" s="928"/>
      <c r="CX108" s="925"/>
      <c r="CY108" s="925"/>
      <c r="CZ108" s="925"/>
      <c r="DB108" s="925"/>
      <c r="DC108" s="925"/>
      <c r="DD108" s="925"/>
      <c r="DE108" s="925"/>
      <c r="DF108" s="925"/>
      <c r="DG108" s="925"/>
      <c r="DH108" s="925"/>
      <c r="DI108" s="925"/>
      <c r="DJ108" s="925"/>
      <c r="DK108" s="925"/>
      <c r="DL108" s="925"/>
      <c r="DM108" s="925"/>
      <c r="DN108" s="925"/>
      <c r="DO108" s="925"/>
      <c r="DP108" s="925"/>
      <c r="DQ108" s="924"/>
      <c r="DR108" s="925"/>
      <c r="DS108" s="925"/>
      <c r="DT108" s="925"/>
      <c r="DV108" s="925"/>
      <c r="DW108" s="925"/>
      <c r="DX108" s="925"/>
      <c r="DY108" s="925"/>
      <c r="DZ108" s="925"/>
      <c r="EA108" s="925"/>
      <c r="EB108" s="925"/>
      <c r="EC108" s="925"/>
      <c r="ED108" s="925"/>
      <c r="EE108" s="925"/>
      <c r="EF108" s="925"/>
      <c r="EG108" s="925"/>
      <c r="EH108" s="925"/>
      <c r="EI108" s="925"/>
      <c r="EJ108" s="925"/>
      <c r="EK108" s="925"/>
      <c r="EL108" s="925"/>
      <c r="EM108" s="925"/>
      <c r="EN108" s="925"/>
      <c r="EO108" s="925"/>
      <c r="EP108" s="925"/>
      <c r="EQ108" s="925"/>
      <c r="ER108" s="925"/>
      <c r="ES108" s="925"/>
      <c r="ET108" s="925"/>
      <c r="EV108" s="924"/>
      <c r="EW108" s="925"/>
      <c r="EX108" s="925"/>
      <c r="EY108" s="925"/>
    </row>
    <row r="109" spans="1:155" s="927" customFormat="1" ht="24" x14ac:dyDescent="0.25">
      <c r="A109" s="912" t="s">
        <v>61</v>
      </c>
      <c r="B109" s="913" t="s">
        <v>1384</v>
      </c>
      <c r="C109" s="914">
        <v>1</v>
      </c>
      <c r="D109" s="914">
        <v>22544</v>
      </c>
      <c r="E109" s="915">
        <v>1.0549999999999999</v>
      </c>
      <c r="F109" s="916">
        <f t="shared" si="0"/>
        <v>23784</v>
      </c>
      <c r="G109" s="915">
        <v>1.01</v>
      </c>
      <c r="H109" s="916">
        <f t="shared" si="1"/>
        <v>24022</v>
      </c>
      <c r="I109" s="917">
        <f t="shared" si="2"/>
        <v>24022</v>
      </c>
      <c r="J109" s="918">
        <f t="shared" si="3"/>
        <v>0</v>
      </c>
      <c r="K109" s="919"/>
      <c r="L109" s="917">
        <f t="shared" si="4"/>
        <v>0</v>
      </c>
      <c r="M109" s="918">
        <f t="shared" si="5"/>
        <v>0</v>
      </c>
      <c r="N109" s="919"/>
      <c r="O109" s="917">
        <f t="shared" si="6"/>
        <v>0</v>
      </c>
      <c r="P109" s="918">
        <f t="shared" si="7"/>
        <v>0.1</v>
      </c>
      <c r="Q109" s="919">
        <v>2254.4</v>
      </c>
      <c r="R109" s="917">
        <f t="shared" si="8"/>
        <v>2402.1999999999998</v>
      </c>
      <c r="S109" s="918">
        <f t="shared" si="9"/>
        <v>0</v>
      </c>
      <c r="T109" s="919"/>
      <c r="U109" s="917">
        <f t="shared" si="10"/>
        <v>0</v>
      </c>
      <c r="V109" s="918">
        <f t="shared" si="11"/>
        <v>0</v>
      </c>
      <c r="W109" s="919"/>
      <c r="X109" s="917">
        <f t="shared" si="12"/>
        <v>0</v>
      </c>
      <c r="Y109" s="918">
        <f t="shared" si="13"/>
        <v>0.34</v>
      </c>
      <c r="Z109" s="919">
        <v>7664.96</v>
      </c>
      <c r="AA109" s="917">
        <f t="shared" si="14"/>
        <v>8167.48</v>
      </c>
      <c r="AB109" s="918">
        <f t="shared" si="15"/>
        <v>0.2</v>
      </c>
      <c r="AC109" s="919">
        <v>4508.8</v>
      </c>
      <c r="AD109" s="917">
        <f t="shared" si="16"/>
        <v>4804.3999999999996</v>
      </c>
      <c r="AE109" s="918">
        <f t="shared" si="17"/>
        <v>0</v>
      </c>
      <c r="AF109" s="919"/>
      <c r="AG109" s="917">
        <f t="shared" si="18"/>
        <v>0</v>
      </c>
      <c r="AH109" s="918">
        <f t="shared" si="19"/>
        <v>0</v>
      </c>
      <c r="AI109" s="919"/>
      <c r="AJ109" s="917">
        <f t="shared" si="20"/>
        <v>0</v>
      </c>
      <c r="AK109" s="918">
        <f t="shared" si="21"/>
        <v>0</v>
      </c>
      <c r="AL109" s="919"/>
      <c r="AM109" s="917">
        <f t="shared" si="22"/>
        <v>0</v>
      </c>
      <c r="AN109" s="920">
        <v>19242</v>
      </c>
      <c r="AO109" s="917">
        <f t="shared" si="23"/>
        <v>0</v>
      </c>
      <c r="AP109" s="920"/>
      <c r="AQ109" s="916">
        <f t="shared" si="24"/>
        <v>0</v>
      </c>
      <c r="AR109" s="917">
        <f t="shared" si="25"/>
        <v>39396.080000000002</v>
      </c>
      <c r="AS109" s="916">
        <v>12</v>
      </c>
      <c r="AT109" s="921">
        <f t="shared" si="26"/>
        <v>472752.96</v>
      </c>
      <c r="AU109" s="920"/>
      <c r="AV109" s="922">
        <f t="shared" si="27"/>
        <v>4727.53</v>
      </c>
      <c r="AW109" s="921">
        <f t="shared" si="28"/>
        <v>477480.49</v>
      </c>
      <c r="AX109" s="921">
        <f t="shared" si="29"/>
        <v>144199.10999999999</v>
      </c>
      <c r="AY109" s="921">
        <f t="shared" si="30"/>
        <v>621679.6</v>
      </c>
      <c r="AZ109" s="923">
        <f t="shared" si="31"/>
        <v>477.5</v>
      </c>
      <c r="BA109" s="923">
        <f t="shared" si="32"/>
        <v>144.19999999999999</v>
      </c>
      <c r="BB109" s="923">
        <f t="shared" si="33"/>
        <v>621.70000000000005</v>
      </c>
      <c r="BC109" s="915">
        <v>0.95</v>
      </c>
      <c r="BD109" s="923">
        <f t="shared" si="34"/>
        <v>453.6</v>
      </c>
      <c r="BE109" s="923">
        <f t="shared" si="35"/>
        <v>137</v>
      </c>
      <c r="BF109" s="923">
        <f t="shared" si="36"/>
        <v>590.6</v>
      </c>
      <c r="BG109" s="924">
        <f>'[3]свод (2024)'!$B$116</f>
        <v>0.99758349999999996</v>
      </c>
      <c r="BH109" s="923">
        <f t="shared" si="37"/>
        <v>452.5</v>
      </c>
      <c r="BI109" s="923">
        <f t="shared" si="38"/>
        <v>136.69999999999999</v>
      </c>
      <c r="BJ109" s="923">
        <f t="shared" si="39"/>
        <v>589.20000000000005</v>
      </c>
      <c r="BK109" s="925">
        <f t="shared" si="40"/>
        <v>-25</v>
      </c>
      <c r="BL109" s="925">
        <f t="shared" si="40"/>
        <v>-7.5</v>
      </c>
      <c r="BM109" s="925">
        <f t="shared" si="41"/>
        <v>-32.5</v>
      </c>
      <c r="BN109" s="925">
        <f t="shared" si="42"/>
        <v>0</v>
      </c>
      <c r="BO109" s="925">
        <f t="shared" si="43"/>
        <v>0</v>
      </c>
      <c r="BP109" s="926"/>
      <c r="BQ109" s="925">
        <f t="shared" si="44"/>
        <v>452.5</v>
      </c>
      <c r="BR109" s="925">
        <f t="shared" si="44"/>
        <v>136.69999999999999</v>
      </c>
      <c r="BS109" s="925">
        <f t="shared" si="45"/>
        <v>589.20000000000005</v>
      </c>
      <c r="BU109" s="928"/>
      <c r="BV109" s="917"/>
      <c r="BW109" s="928"/>
      <c r="BX109" s="928"/>
      <c r="BY109" s="928"/>
      <c r="BZ109" s="917"/>
      <c r="CA109" s="928"/>
      <c r="CB109" s="917"/>
      <c r="CC109" s="928"/>
      <c r="CD109" s="928"/>
      <c r="CE109" s="928"/>
      <c r="CF109" s="929"/>
      <c r="CG109" s="928"/>
      <c r="CH109" s="928"/>
      <c r="CI109" s="928"/>
      <c r="CJ109" s="925"/>
      <c r="CK109" s="925"/>
      <c r="CL109" s="925"/>
      <c r="CM109" s="925"/>
      <c r="CN109" s="925"/>
      <c r="CO109" s="925"/>
      <c r="CP109" s="925"/>
      <c r="CQ109" s="925"/>
      <c r="CR109" s="925"/>
      <c r="CS109" s="917"/>
      <c r="CT109" s="928"/>
      <c r="CU109" s="928"/>
      <c r="CV109" s="928"/>
      <c r="CX109" s="925"/>
      <c r="CY109" s="925"/>
      <c r="CZ109" s="925"/>
      <c r="DB109" s="925"/>
      <c r="DC109" s="925"/>
      <c r="DD109" s="925"/>
      <c r="DE109" s="925"/>
      <c r="DF109" s="925"/>
      <c r="DG109" s="925"/>
      <c r="DH109" s="925"/>
      <c r="DI109" s="925"/>
      <c r="DJ109" s="925"/>
      <c r="DK109" s="925"/>
      <c r="DL109" s="925"/>
      <c r="DM109" s="925"/>
      <c r="DN109" s="925"/>
      <c r="DO109" s="925"/>
      <c r="DP109" s="925"/>
      <c r="DQ109" s="924"/>
      <c r="DR109" s="925"/>
      <c r="DS109" s="925"/>
      <c r="DT109" s="925"/>
      <c r="DV109" s="925"/>
      <c r="DW109" s="925"/>
      <c r="DX109" s="925"/>
      <c r="DY109" s="925"/>
      <c r="DZ109" s="925"/>
      <c r="EA109" s="925"/>
      <c r="EB109" s="925"/>
      <c r="EC109" s="925"/>
      <c r="ED109" s="925"/>
      <c r="EE109" s="925"/>
      <c r="EF109" s="925"/>
      <c r="EG109" s="925"/>
      <c r="EH109" s="925"/>
      <c r="EI109" s="925"/>
      <c r="EJ109" s="925"/>
      <c r="EK109" s="925"/>
      <c r="EL109" s="925"/>
      <c r="EM109" s="925"/>
      <c r="EN109" s="925"/>
      <c r="EO109" s="925"/>
      <c r="EP109" s="925"/>
      <c r="EQ109" s="925"/>
      <c r="ER109" s="925"/>
      <c r="ES109" s="925"/>
      <c r="ET109" s="925"/>
      <c r="EV109" s="924"/>
      <c r="EW109" s="925"/>
      <c r="EX109" s="925"/>
      <c r="EY109" s="925"/>
    </row>
    <row r="110" spans="1:155" s="927" customFormat="1" ht="24" x14ac:dyDescent="0.25">
      <c r="A110" s="912" t="s">
        <v>61</v>
      </c>
      <c r="B110" s="913" t="s">
        <v>30</v>
      </c>
      <c r="C110" s="914">
        <v>1</v>
      </c>
      <c r="D110" s="914">
        <v>22544</v>
      </c>
      <c r="E110" s="915">
        <v>1.0549999999999999</v>
      </c>
      <c r="F110" s="916">
        <f t="shared" si="0"/>
        <v>23784</v>
      </c>
      <c r="G110" s="915">
        <v>1.01</v>
      </c>
      <c r="H110" s="916">
        <f t="shared" si="1"/>
        <v>24022</v>
      </c>
      <c r="I110" s="917">
        <f t="shared" si="2"/>
        <v>24022</v>
      </c>
      <c r="J110" s="918">
        <f t="shared" si="3"/>
        <v>0</v>
      </c>
      <c r="K110" s="919"/>
      <c r="L110" s="917">
        <f t="shared" si="4"/>
        <v>0</v>
      </c>
      <c r="M110" s="918">
        <f t="shared" si="5"/>
        <v>0.04</v>
      </c>
      <c r="N110" s="919">
        <v>901.76</v>
      </c>
      <c r="O110" s="917">
        <f t="shared" si="6"/>
        <v>960.88</v>
      </c>
      <c r="P110" s="918">
        <f t="shared" si="7"/>
        <v>0.1</v>
      </c>
      <c r="Q110" s="919">
        <v>2254.4</v>
      </c>
      <c r="R110" s="917">
        <f t="shared" si="8"/>
        <v>2402.1999999999998</v>
      </c>
      <c r="S110" s="918">
        <f t="shared" si="9"/>
        <v>0</v>
      </c>
      <c r="T110" s="919"/>
      <c r="U110" s="917">
        <f t="shared" si="10"/>
        <v>0</v>
      </c>
      <c r="V110" s="918">
        <f t="shared" si="11"/>
        <v>0</v>
      </c>
      <c r="W110" s="919"/>
      <c r="X110" s="917">
        <f t="shared" si="12"/>
        <v>0</v>
      </c>
      <c r="Y110" s="918">
        <f t="shared" si="13"/>
        <v>0.34</v>
      </c>
      <c r="Z110" s="919">
        <v>7664.96</v>
      </c>
      <c r="AA110" s="917">
        <f t="shared" si="14"/>
        <v>8167.48</v>
      </c>
      <c r="AB110" s="918">
        <f t="shared" si="15"/>
        <v>0.2</v>
      </c>
      <c r="AC110" s="919">
        <v>4508.8</v>
      </c>
      <c r="AD110" s="917">
        <f t="shared" si="16"/>
        <v>4804.3999999999996</v>
      </c>
      <c r="AE110" s="918">
        <f t="shared" si="17"/>
        <v>0.1</v>
      </c>
      <c r="AF110" s="919">
        <v>2254.4</v>
      </c>
      <c r="AG110" s="917">
        <f t="shared" si="18"/>
        <v>2402.1999999999998</v>
      </c>
      <c r="AH110" s="918">
        <f t="shared" si="19"/>
        <v>0</v>
      </c>
      <c r="AI110" s="919"/>
      <c r="AJ110" s="917">
        <f t="shared" si="20"/>
        <v>0</v>
      </c>
      <c r="AK110" s="918">
        <f t="shared" si="21"/>
        <v>0</v>
      </c>
      <c r="AL110" s="919"/>
      <c r="AM110" s="917">
        <f t="shared" si="22"/>
        <v>0</v>
      </c>
      <c r="AN110" s="920">
        <v>19242</v>
      </c>
      <c r="AO110" s="917">
        <f t="shared" si="23"/>
        <v>0</v>
      </c>
      <c r="AP110" s="920"/>
      <c r="AQ110" s="916">
        <f t="shared" si="24"/>
        <v>0</v>
      </c>
      <c r="AR110" s="917">
        <f t="shared" si="25"/>
        <v>42759.16</v>
      </c>
      <c r="AS110" s="916">
        <v>12</v>
      </c>
      <c r="AT110" s="921">
        <f t="shared" si="26"/>
        <v>513109.92</v>
      </c>
      <c r="AU110" s="920"/>
      <c r="AV110" s="922">
        <f t="shared" si="27"/>
        <v>5131.1000000000004</v>
      </c>
      <c r="AW110" s="921">
        <f t="shared" si="28"/>
        <v>518241.02</v>
      </c>
      <c r="AX110" s="921">
        <f t="shared" si="29"/>
        <v>156508.79</v>
      </c>
      <c r="AY110" s="921">
        <f t="shared" si="30"/>
        <v>674749.81</v>
      </c>
      <c r="AZ110" s="923">
        <f t="shared" si="31"/>
        <v>518.20000000000005</v>
      </c>
      <c r="BA110" s="923">
        <f t="shared" si="32"/>
        <v>156.5</v>
      </c>
      <c r="BB110" s="923">
        <f t="shared" si="33"/>
        <v>674.7</v>
      </c>
      <c r="BC110" s="915">
        <v>0.95</v>
      </c>
      <c r="BD110" s="923">
        <f t="shared" si="34"/>
        <v>492.3</v>
      </c>
      <c r="BE110" s="923">
        <f t="shared" si="35"/>
        <v>148.69999999999999</v>
      </c>
      <c r="BF110" s="923">
        <f t="shared" si="36"/>
        <v>641</v>
      </c>
      <c r="BG110" s="924">
        <f>'[3]свод (2024)'!$B$116</f>
        <v>0.99758349999999996</v>
      </c>
      <c r="BH110" s="923">
        <f t="shared" si="37"/>
        <v>491.1</v>
      </c>
      <c r="BI110" s="923">
        <f t="shared" si="38"/>
        <v>148.30000000000001</v>
      </c>
      <c r="BJ110" s="923">
        <f t="shared" si="39"/>
        <v>639.4</v>
      </c>
      <c r="BK110" s="925">
        <f t="shared" si="40"/>
        <v>-27.1</v>
      </c>
      <c r="BL110" s="925">
        <f t="shared" si="40"/>
        <v>-8.1999999999999993</v>
      </c>
      <c r="BM110" s="925">
        <f t="shared" si="41"/>
        <v>-35.299999999999997</v>
      </c>
      <c r="BN110" s="925">
        <f t="shared" si="42"/>
        <v>0</v>
      </c>
      <c r="BO110" s="925">
        <f t="shared" si="43"/>
        <v>0</v>
      </c>
      <c r="BP110" s="926"/>
      <c r="BQ110" s="925">
        <f t="shared" si="44"/>
        <v>491.1</v>
      </c>
      <c r="BR110" s="925">
        <f t="shared" si="44"/>
        <v>148.30000000000001</v>
      </c>
      <c r="BS110" s="925">
        <f t="shared" si="45"/>
        <v>639.4</v>
      </c>
      <c r="BU110" s="928"/>
      <c r="BV110" s="917"/>
      <c r="BW110" s="928"/>
      <c r="BX110" s="928"/>
      <c r="BY110" s="928"/>
      <c r="BZ110" s="917"/>
      <c r="CA110" s="928"/>
      <c r="CB110" s="917"/>
      <c r="CC110" s="928"/>
      <c r="CD110" s="928"/>
      <c r="CE110" s="928"/>
      <c r="CF110" s="929"/>
      <c r="CG110" s="928"/>
      <c r="CH110" s="928"/>
      <c r="CI110" s="928"/>
      <c r="CJ110" s="925"/>
      <c r="CK110" s="925"/>
      <c r="CL110" s="925"/>
      <c r="CM110" s="925"/>
      <c r="CN110" s="925"/>
      <c r="CO110" s="925"/>
      <c r="CP110" s="925"/>
      <c r="CQ110" s="925"/>
      <c r="CR110" s="925"/>
      <c r="CS110" s="917"/>
      <c r="CT110" s="928"/>
      <c r="CU110" s="928"/>
      <c r="CV110" s="928"/>
      <c r="CX110" s="925"/>
      <c r="CY110" s="925"/>
      <c r="CZ110" s="925"/>
      <c r="DB110" s="925"/>
      <c r="DC110" s="925"/>
      <c r="DD110" s="925"/>
      <c r="DE110" s="925"/>
      <c r="DF110" s="925"/>
      <c r="DG110" s="925"/>
      <c r="DH110" s="925"/>
      <c r="DI110" s="925"/>
      <c r="DJ110" s="925"/>
      <c r="DK110" s="925"/>
      <c r="DL110" s="925"/>
      <c r="DM110" s="925"/>
      <c r="DN110" s="925"/>
      <c r="DO110" s="925"/>
      <c r="DP110" s="925"/>
      <c r="DQ110" s="924"/>
      <c r="DR110" s="925"/>
      <c r="DS110" s="925"/>
      <c r="DT110" s="925"/>
      <c r="DV110" s="925"/>
      <c r="DW110" s="925"/>
      <c r="DX110" s="925"/>
      <c r="DY110" s="925"/>
      <c r="DZ110" s="925"/>
      <c r="EA110" s="925"/>
      <c r="EB110" s="925"/>
      <c r="EC110" s="925"/>
      <c r="ED110" s="925"/>
      <c r="EE110" s="925"/>
      <c r="EF110" s="925"/>
      <c r="EG110" s="925"/>
      <c r="EH110" s="925"/>
      <c r="EI110" s="925"/>
      <c r="EJ110" s="925"/>
      <c r="EK110" s="925"/>
      <c r="EL110" s="925"/>
      <c r="EM110" s="925"/>
      <c r="EN110" s="925"/>
      <c r="EO110" s="925"/>
      <c r="EP110" s="925"/>
      <c r="EQ110" s="925"/>
      <c r="ER110" s="925"/>
      <c r="ES110" s="925"/>
      <c r="ET110" s="925"/>
      <c r="EV110" s="924"/>
      <c r="EW110" s="925"/>
      <c r="EX110" s="925"/>
      <c r="EY110" s="925"/>
    </row>
    <row r="111" spans="1:155" s="927" customFormat="1" ht="15.75" x14ac:dyDescent="0.25">
      <c r="A111" s="912" t="s">
        <v>61</v>
      </c>
      <c r="B111" s="913" t="s">
        <v>1396</v>
      </c>
      <c r="C111" s="914">
        <v>0.5</v>
      </c>
      <c r="D111" s="914">
        <v>7755</v>
      </c>
      <c r="E111" s="915">
        <v>1.0549999999999999</v>
      </c>
      <c r="F111" s="916">
        <f t="shared" si="0"/>
        <v>8182</v>
      </c>
      <c r="G111" s="915">
        <v>1.01</v>
      </c>
      <c r="H111" s="916">
        <f t="shared" si="1"/>
        <v>8264</v>
      </c>
      <c r="I111" s="917">
        <f t="shared" si="2"/>
        <v>4132</v>
      </c>
      <c r="J111" s="918">
        <f t="shared" si="3"/>
        <v>0</v>
      </c>
      <c r="K111" s="919"/>
      <c r="L111" s="917">
        <f t="shared" si="4"/>
        <v>0</v>
      </c>
      <c r="M111" s="918">
        <f t="shared" si="5"/>
        <v>0</v>
      </c>
      <c r="N111" s="919"/>
      <c r="O111" s="917">
        <f t="shared" si="6"/>
        <v>0</v>
      </c>
      <c r="P111" s="918">
        <f t="shared" si="7"/>
        <v>0</v>
      </c>
      <c r="Q111" s="919"/>
      <c r="R111" s="917">
        <f t="shared" si="8"/>
        <v>0</v>
      </c>
      <c r="S111" s="918">
        <f t="shared" si="9"/>
        <v>0</v>
      </c>
      <c r="T111" s="919"/>
      <c r="U111" s="917">
        <f t="shared" si="10"/>
        <v>0</v>
      </c>
      <c r="V111" s="918">
        <f t="shared" si="11"/>
        <v>0</v>
      </c>
      <c r="W111" s="919"/>
      <c r="X111" s="917">
        <f t="shared" si="12"/>
        <v>0</v>
      </c>
      <c r="Y111" s="918">
        <f t="shared" si="13"/>
        <v>1.99</v>
      </c>
      <c r="Z111" s="919">
        <v>7716.23</v>
      </c>
      <c r="AA111" s="917">
        <f t="shared" si="14"/>
        <v>8222.68</v>
      </c>
      <c r="AB111" s="918">
        <f t="shared" si="15"/>
        <v>0.2</v>
      </c>
      <c r="AC111" s="919">
        <v>775.5</v>
      </c>
      <c r="AD111" s="917">
        <f t="shared" si="16"/>
        <v>826.4</v>
      </c>
      <c r="AE111" s="918">
        <f t="shared" si="17"/>
        <v>0</v>
      </c>
      <c r="AF111" s="919"/>
      <c r="AG111" s="917">
        <f t="shared" si="18"/>
        <v>0</v>
      </c>
      <c r="AH111" s="918">
        <f t="shared" si="19"/>
        <v>0</v>
      </c>
      <c r="AI111" s="919"/>
      <c r="AJ111" s="917">
        <f t="shared" si="20"/>
        <v>0</v>
      </c>
      <c r="AK111" s="918">
        <f t="shared" si="21"/>
        <v>0</v>
      </c>
      <c r="AL111" s="919"/>
      <c r="AM111" s="917">
        <f t="shared" si="22"/>
        <v>0</v>
      </c>
      <c r="AN111" s="920">
        <v>19242</v>
      </c>
      <c r="AO111" s="917">
        <f t="shared" si="23"/>
        <v>0</v>
      </c>
      <c r="AP111" s="920"/>
      <c r="AQ111" s="916">
        <f t="shared" si="24"/>
        <v>0</v>
      </c>
      <c r="AR111" s="917">
        <f t="shared" si="25"/>
        <v>13181.08</v>
      </c>
      <c r="AS111" s="916">
        <v>12</v>
      </c>
      <c r="AT111" s="921">
        <f t="shared" si="26"/>
        <v>158172.96</v>
      </c>
      <c r="AU111" s="920"/>
      <c r="AV111" s="922">
        <f t="shared" si="27"/>
        <v>1581.73</v>
      </c>
      <c r="AW111" s="921">
        <f t="shared" si="28"/>
        <v>159754.69</v>
      </c>
      <c r="AX111" s="921">
        <f t="shared" si="29"/>
        <v>48245.919999999998</v>
      </c>
      <c r="AY111" s="921">
        <f t="shared" si="30"/>
        <v>208000.61</v>
      </c>
      <c r="AZ111" s="923">
        <f t="shared" si="31"/>
        <v>159.80000000000001</v>
      </c>
      <c r="BA111" s="923">
        <f t="shared" si="32"/>
        <v>48.3</v>
      </c>
      <c r="BB111" s="923">
        <f t="shared" si="33"/>
        <v>208.1</v>
      </c>
      <c r="BC111" s="915">
        <v>0.95</v>
      </c>
      <c r="BD111" s="923">
        <f t="shared" si="34"/>
        <v>151.80000000000001</v>
      </c>
      <c r="BE111" s="923">
        <f t="shared" si="35"/>
        <v>45.8</v>
      </c>
      <c r="BF111" s="923">
        <f t="shared" si="36"/>
        <v>197.6</v>
      </c>
      <c r="BG111" s="924">
        <f>'[3]свод (2024)'!$B$116</f>
        <v>0.99758349999999996</v>
      </c>
      <c r="BH111" s="923">
        <f t="shared" si="37"/>
        <v>151.4</v>
      </c>
      <c r="BI111" s="923">
        <f t="shared" si="38"/>
        <v>45.7</v>
      </c>
      <c r="BJ111" s="923">
        <f t="shared" si="39"/>
        <v>197.1</v>
      </c>
      <c r="BK111" s="925">
        <f t="shared" si="40"/>
        <v>-8.4</v>
      </c>
      <c r="BL111" s="925">
        <f t="shared" si="40"/>
        <v>-2.6</v>
      </c>
      <c r="BM111" s="925">
        <f t="shared" si="41"/>
        <v>-11</v>
      </c>
      <c r="BN111" s="925">
        <f t="shared" si="42"/>
        <v>0</v>
      </c>
      <c r="BO111" s="925">
        <f t="shared" si="43"/>
        <v>0</v>
      </c>
      <c r="BP111" s="926"/>
      <c r="BQ111" s="925">
        <f t="shared" si="44"/>
        <v>151.4</v>
      </c>
      <c r="BR111" s="925">
        <f t="shared" si="44"/>
        <v>45.7</v>
      </c>
      <c r="BS111" s="925">
        <f t="shared" si="45"/>
        <v>197.1</v>
      </c>
      <c r="BU111" s="928"/>
      <c r="BV111" s="917"/>
      <c r="BW111" s="928"/>
      <c r="BX111" s="928"/>
      <c r="BY111" s="928"/>
      <c r="BZ111" s="917"/>
      <c r="CA111" s="928"/>
      <c r="CB111" s="917"/>
      <c r="CC111" s="928"/>
      <c r="CD111" s="928"/>
      <c r="CE111" s="928"/>
      <c r="CF111" s="929"/>
      <c r="CG111" s="928"/>
      <c r="CH111" s="928"/>
      <c r="CI111" s="928"/>
      <c r="CJ111" s="925"/>
      <c r="CK111" s="925"/>
      <c r="CL111" s="925"/>
      <c r="CM111" s="925"/>
      <c r="CN111" s="925"/>
      <c r="CO111" s="925"/>
      <c r="CP111" s="925"/>
      <c r="CQ111" s="925"/>
      <c r="CR111" s="925"/>
      <c r="CS111" s="917"/>
      <c r="CT111" s="928"/>
      <c r="CU111" s="928"/>
      <c r="CV111" s="928"/>
      <c r="CX111" s="925"/>
      <c r="CY111" s="925"/>
      <c r="CZ111" s="925"/>
      <c r="DB111" s="925"/>
      <c r="DC111" s="925"/>
      <c r="DD111" s="925"/>
      <c r="DE111" s="925"/>
      <c r="DF111" s="925"/>
      <c r="DG111" s="925"/>
      <c r="DH111" s="925"/>
      <c r="DI111" s="925"/>
      <c r="DJ111" s="925"/>
      <c r="DK111" s="925"/>
      <c r="DL111" s="925"/>
      <c r="DM111" s="925"/>
      <c r="DN111" s="925"/>
      <c r="DO111" s="925"/>
      <c r="DP111" s="925"/>
      <c r="DQ111" s="924"/>
      <c r="DR111" s="925"/>
      <c r="DS111" s="925"/>
      <c r="DT111" s="925"/>
      <c r="DV111" s="925"/>
      <c r="DW111" s="925"/>
      <c r="DX111" s="925"/>
      <c r="DY111" s="925"/>
      <c r="DZ111" s="925"/>
      <c r="EA111" s="925"/>
      <c r="EB111" s="925"/>
      <c r="EC111" s="925"/>
      <c r="ED111" s="925"/>
      <c r="EE111" s="925"/>
      <c r="EF111" s="925"/>
      <c r="EG111" s="925"/>
      <c r="EH111" s="925"/>
      <c r="EI111" s="925"/>
      <c r="EJ111" s="925"/>
      <c r="EK111" s="925"/>
      <c r="EL111" s="925"/>
      <c r="EM111" s="925"/>
      <c r="EN111" s="925"/>
      <c r="EO111" s="925"/>
      <c r="EP111" s="925"/>
      <c r="EQ111" s="925"/>
      <c r="ER111" s="925"/>
      <c r="ES111" s="925"/>
      <c r="ET111" s="925"/>
      <c r="EV111" s="924"/>
      <c r="EW111" s="925"/>
      <c r="EX111" s="925"/>
      <c r="EY111" s="925"/>
    </row>
    <row r="112" spans="1:155" s="927" customFormat="1" ht="15.75" x14ac:dyDescent="0.25">
      <c r="A112" s="912" t="s">
        <v>61</v>
      </c>
      <c r="B112" s="913" t="s">
        <v>1397</v>
      </c>
      <c r="C112" s="914">
        <v>1</v>
      </c>
      <c r="D112" s="914">
        <v>6707</v>
      </c>
      <c r="E112" s="915">
        <v>1.0549999999999999</v>
      </c>
      <c r="F112" s="916">
        <f t="shared" si="0"/>
        <v>7076</v>
      </c>
      <c r="G112" s="915">
        <v>1.01</v>
      </c>
      <c r="H112" s="916">
        <f t="shared" si="1"/>
        <v>7147</v>
      </c>
      <c r="I112" s="917">
        <f t="shared" si="2"/>
        <v>7147</v>
      </c>
      <c r="J112" s="918">
        <f t="shared" si="3"/>
        <v>0</v>
      </c>
      <c r="K112" s="919"/>
      <c r="L112" s="917">
        <f t="shared" si="4"/>
        <v>0</v>
      </c>
      <c r="M112" s="918">
        <f t="shared" si="5"/>
        <v>0.04</v>
      </c>
      <c r="N112" s="919">
        <v>268.27999999999997</v>
      </c>
      <c r="O112" s="917">
        <f t="shared" si="6"/>
        <v>285.88</v>
      </c>
      <c r="P112" s="918">
        <f t="shared" si="7"/>
        <v>0</v>
      </c>
      <c r="Q112" s="919"/>
      <c r="R112" s="917">
        <f t="shared" si="8"/>
        <v>0</v>
      </c>
      <c r="S112" s="918">
        <f t="shared" si="9"/>
        <v>0.2</v>
      </c>
      <c r="T112" s="919">
        <v>1341.4</v>
      </c>
      <c r="U112" s="917">
        <f t="shared" si="10"/>
        <v>1429.4</v>
      </c>
      <c r="V112" s="918">
        <f t="shared" si="11"/>
        <v>0</v>
      </c>
      <c r="W112" s="919"/>
      <c r="X112" s="917">
        <f t="shared" si="12"/>
        <v>0</v>
      </c>
      <c r="Y112" s="918">
        <f t="shared" si="13"/>
        <v>1.99</v>
      </c>
      <c r="Z112" s="919">
        <v>13346.93</v>
      </c>
      <c r="AA112" s="917">
        <f t="shared" si="14"/>
        <v>14222.53</v>
      </c>
      <c r="AB112" s="918">
        <f t="shared" si="15"/>
        <v>0.3</v>
      </c>
      <c r="AC112" s="919">
        <v>2012.1</v>
      </c>
      <c r="AD112" s="917">
        <f t="shared" si="16"/>
        <v>2144.1</v>
      </c>
      <c r="AE112" s="918">
        <f t="shared" si="17"/>
        <v>0</v>
      </c>
      <c r="AF112" s="919"/>
      <c r="AG112" s="917">
        <f t="shared" si="18"/>
        <v>0</v>
      </c>
      <c r="AH112" s="918">
        <f t="shared" si="19"/>
        <v>0</v>
      </c>
      <c r="AI112" s="919"/>
      <c r="AJ112" s="917">
        <f t="shared" si="20"/>
        <v>0</v>
      </c>
      <c r="AK112" s="918">
        <f t="shared" si="21"/>
        <v>0</v>
      </c>
      <c r="AL112" s="919"/>
      <c r="AM112" s="917">
        <f t="shared" si="22"/>
        <v>0</v>
      </c>
      <c r="AN112" s="920">
        <v>19242</v>
      </c>
      <c r="AO112" s="917">
        <f t="shared" si="23"/>
        <v>0</v>
      </c>
      <c r="AP112" s="920"/>
      <c r="AQ112" s="916">
        <f t="shared" si="24"/>
        <v>0</v>
      </c>
      <c r="AR112" s="917">
        <f t="shared" si="25"/>
        <v>25228.91</v>
      </c>
      <c r="AS112" s="916">
        <v>12</v>
      </c>
      <c r="AT112" s="921">
        <f t="shared" si="26"/>
        <v>302746.92</v>
      </c>
      <c r="AU112" s="920"/>
      <c r="AV112" s="922">
        <f t="shared" si="27"/>
        <v>3027.47</v>
      </c>
      <c r="AW112" s="921">
        <f t="shared" si="28"/>
        <v>305774.39</v>
      </c>
      <c r="AX112" s="921">
        <f t="shared" si="29"/>
        <v>92343.87</v>
      </c>
      <c r="AY112" s="921">
        <f t="shared" si="30"/>
        <v>398118.26</v>
      </c>
      <c r="AZ112" s="923">
        <f t="shared" si="31"/>
        <v>305.8</v>
      </c>
      <c r="BA112" s="923">
        <f t="shared" si="32"/>
        <v>92.4</v>
      </c>
      <c r="BB112" s="923">
        <f t="shared" si="33"/>
        <v>398.2</v>
      </c>
      <c r="BC112" s="915">
        <v>0.95</v>
      </c>
      <c r="BD112" s="923">
        <f t="shared" si="34"/>
        <v>290.5</v>
      </c>
      <c r="BE112" s="923">
        <f t="shared" si="35"/>
        <v>87.7</v>
      </c>
      <c r="BF112" s="923">
        <f t="shared" si="36"/>
        <v>378.2</v>
      </c>
      <c r="BG112" s="924">
        <f>'[3]свод (2024)'!$B$116</f>
        <v>0.99758349999999996</v>
      </c>
      <c r="BH112" s="923">
        <f t="shared" si="37"/>
        <v>289.8</v>
      </c>
      <c r="BI112" s="923">
        <f t="shared" si="38"/>
        <v>87.5</v>
      </c>
      <c r="BJ112" s="923">
        <f t="shared" si="39"/>
        <v>377.3</v>
      </c>
      <c r="BK112" s="925">
        <f t="shared" si="40"/>
        <v>-16</v>
      </c>
      <c r="BL112" s="925">
        <f t="shared" si="40"/>
        <v>-4.9000000000000004</v>
      </c>
      <c r="BM112" s="925">
        <f t="shared" si="41"/>
        <v>-20.9</v>
      </c>
      <c r="BN112" s="925">
        <f t="shared" si="42"/>
        <v>0</v>
      </c>
      <c r="BO112" s="925">
        <f t="shared" si="43"/>
        <v>0</v>
      </c>
      <c r="BP112" s="926"/>
      <c r="BQ112" s="925">
        <f t="shared" si="44"/>
        <v>289.8</v>
      </c>
      <c r="BR112" s="925">
        <f t="shared" si="44"/>
        <v>87.5</v>
      </c>
      <c r="BS112" s="925">
        <f t="shared" si="45"/>
        <v>377.3</v>
      </c>
      <c r="BU112" s="928"/>
      <c r="BV112" s="917"/>
      <c r="BW112" s="928"/>
      <c r="BX112" s="928"/>
      <c r="BY112" s="928"/>
      <c r="BZ112" s="917"/>
      <c r="CA112" s="928"/>
      <c r="CB112" s="917"/>
      <c r="CC112" s="928"/>
      <c r="CD112" s="928"/>
      <c r="CE112" s="928"/>
      <c r="CF112" s="929"/>
      <c r="CG112" s="928"/>
      <c r="CH112" s="928"/>
      <c r="CI112" s="928"/>
      <c r="CJ112" s="925"/>
      <c r="CK112" s="925"/>
      <c r="CL112" s="925"/>
      <c r="CM112" s="925"/>
      <c r="CN112" s="925"/>
      <c r="CO112" s="925"/>
      <c r="CP112" s="925"/>
      <c r="CQ112" s="925"/>
      <c r="CR112" s="925"/>
      <c r="CS112" s="917"/>
      <c r="CT112" s="928"/>
      <c r="CU112" s="928"/>
      <c r="CV112" s="928"/>
      <c r="CX112" s="925"/>
      <c r="CY112" s="925"/>
      <c r="CZ112" s="925"/>
      <c r="DB112" s="925"/>
      <c r="DC112" s="925"/>
      <c r="DD112" s="925"/>
      <c r="DE112" s="925"/>
      <c r="DF112" s="925"/>
      <c r="DG112" s="925"/>
      <c r="DH112" s="925"/>
      <c r="DI112" s="925"/>
      <c r="DJ112" s="925"/>
      <c r="DK112" s="925"/>
      <c r="DL112" s="925"/>
      <c r="DM112" s="925"/>
      <c r="DN112" s="925"/>
      <c r="DO112" s="925"/>
      <c r="DP112" s="925"/>
      <c r="DQ112" s="924"/>
      <c r="DR112" s="925"/>
      <c r="DS112" s="925"/>
      <c r="DT112" s="925"/>
      <c r="DV112" s="925"/>
      <c r="DW112" s="925"/>
      <c r="DX112" s="925"/>
      <c r="DY112" s="925"/>
      <c r="DZ112" s="925"/>
      <c r="EA112" s="925"/>
      <c r="EB112" s="925"/>
      <c r="EC112" s="925"/>
      <c r="ED112" s="925"/>
      <c r="EE112" s="925"/>
      <c r="EF112" s="925"/>
      <c r="EG112" s="925"/>
      <c r="EH112" s="925"/>
      <c r="EI112" s="925"/>
      <c r="EJ112" s="925"/>
      <c r="EK112" s="925"/>
      <c r="EL112" s="925"/>
      <c r="EM112" s="925"/>
      <c r="EN112" s="925"/>
      <c r="EO112" s="925"/>
      <c r="EP112" s="925"/>
      <c r="EQ112" s="925"/>
      <c r="ER112" s="925"/>
      <c r="ES112" s="925"/>
      <c r="ET112" s="925"/>
      <c r="EV112" s="924"/>
      <c r="EW112" s="925"/>
      <c r="EX112" s="925"/>
      <c r="EY112" s="925"/>
    </row>
    <row r="113" spans="1:155" s="927" customFormat="1" ht="15.75" x14ac:dyDescent="0.25">
      <c r="A113" s="912" t="s">
        <v>61</v>
      </c>
      <c r="B113" s="913" t="s">
        <v>38</v>
      </c>
      <c r="C113" s="914">
        <v>6.25</v>
      </c>
      <c r="D113" s="914">
        <v>13132</v>
      </c>
      <c r="E113" s="915">
        <v>1.0549999999999999</v>
      </c>
      <c r="F113" s="916">
        <f t="shared" ref="F113:F212" si="81">ROUNDUP(D113*E113,0)</f>
        <v>13855</v>
      </c>
      <c r="G113" s="915">
        <v>1.01</v>
      </c>
      <c r="H113" s="916">
        <f t="shared" ref="H113:H212" si="82">ROUNDUP(F113*G113,0)</f>
        <v>13994</v>
      </c>
      <c r="I113" s="917">
        <f t="shared" ref="I113:I212" si="83">ROUND(C113*H113,2)</f>
        <v>87462.5</v>
      </c>
      <c r="J113" s="918">
        <f t="shared" ref="J113:J212" si="84">IF(K113&gt;0,(ROUND(K113/($C113*$D113),5)),0)</f>
        <v>0.21</v>
      </c>
      <c r="K113" s="919">
        <v>17235.75</v>
      </c>
      <c r="L113" s="917">
        <f t="shared" ref="L113:L212" si="85">ROUND($I113*J113,2)</f>
        <v>18367.13</v>
      </c>
      <c r="M113" s="918">
        <f t="shared" ref="M113:M212" si="86">IF(N113&gt;0,(ROUND(N113/($C113*$D113),5)),0)</f>
        <v>0</v>
      </c>
      <c r="N113" s="919"/>
      <c r="O113" s="917">
        <f t="shared" ref="O113:O212" si="87">ROUND($I113*M113,2)</f>
        <v>0</v>
      </c>
      <c r="P113" s="918">
        <f t="shared" ref="P113:P212" si="88">IF(Q113&gt;0,(ROUND(Q113/($C113*$D113),5)),0)</f>
        <v>0</v>
      </c>
      <c r="Q113" s="919"/>
      <c r="R113" s="917">
        <f t="shared" ref="R113:R212" si="89">ROUND($I113*P113,2)</f>
        <v>0</v>
      </c>
      <c r="S113" s="918">
        <f t="shared" ref="S113:S212" si="90">IF(T113&gt;0,(ROUND(T113/($C113*$D113),5)),0)</f>
        <v>0</v>
      </c>
      <c r="T113" s="919"/>
      <c r="U113" s="917">
        <f t="shared" ref="U113:U212" si="91">ROUND($I113*S113,2)</f>
        <v>0</v>
      </c>
      <c r="V113" s="918">
        <f t="shared" ref="V113:V212" si="92">IF(W113&gt;0,(ROUND(W113/($C113*$D113),5)),0)</f>
        <v>0</v>
      </c>
      <c r="W113" s="919"/>
      <c r="X113" s="917">
        <f t="shared" ref="X113:X212" si="93">ROUND($I113*V113,2)</f>
        <v>0</v>
      </c>
      <c r="Y113" s="918">
        <f t="shared" ref="Y113:Y212" si="94">IF(Z113&gt;0,(ROUND(Z113/($C113*$D113),5)),0)</f>
        <v>0</v>
      </c>
      <c r="Z113" s="919"/>
      <c r="AA113" s="917">
        <f t="shared" ref="AA113:AA212" si="95">ROUND($I113*Y113,2)</f>
        <v>0</v>
      </c>
      <c r="AB113" s="918">
        <f t="shared" ref="AB113:AB212" si="96">IF(AC113&gt;0,(ROUND(AC113/($C113*$D113),5)),0)</f>
        <v>0.18667</v>
      </c>
      <c r="AC113" s="919">
        <v>15320.67</v>
      </c>
      <c r="AD113" s="917">
        <f t="shared" ref="AD113:AD212" si="97">ROUND($I113*AB113,2)</f>
        <v>16326.62</v>
      </c>
      <c r="AE113" s="918">
        <f t="shared" ref="AE113:AE212" si="98">IF(AF113&gt;0,(ROUND(AF113/($C113*$D113),5)),0)</f>
        <v>0</v>
      </c>
      <c r="AF113" s="919"/>
      <c r="AG113" s="917">
        <f t="shared" ref="AG113:AG212" si="99">ROUND($I113*AE113,2)</f>
        <v>0</v>
      </c>
      <c r="AH113" s="918">
        <f t="shared" ref="AH113:AH212" si="100">IF(AI113&gt;0,(ROUND(AI113/($C113*$D113),5)),0)</f>
        <v>0</v>
      </c>
      <c r="AI113" s="919"/>
      <c r="AJ113" s="917">
        <f t="shared" ref="AJ113:AJ212" si="101">ROUND($I113*AH113,2)</f>
        <v>0</v>
      </c>
      <c r="AK113" s="918">
        <f t="shared" ref="AK113:AK212" si="102">IF(AL113&gt;0,(ROUND(AL113/($C113*$D113),5)),0)</f>
        <v>0</v>
      </c>
      <c r="AL113" s="919"/>
      <c r="AM113" s="917">
        <f t="shared" ref="AM113:AM212" si="103">ROUND($I113*AK113,2)</f>
        <v>0</v>
      </c>
      <c r="AN113" s="920">
        <v>19242</v>
      </c>
      <c r="AO113" s="917">
        <f t="shared" ref="AO113:AO212" si="104">ROUND(IF(((I113+L113+O113+R113+U113+X113+AA113+AD113+AG113+AJ113+AM113)&gt;(AN113*C113)),0,((AN113*C113)-(I113+L113+O113+R113+U113+X113+AA113+AD113+AG113+AJ113+AM113))),2)</f>
        <v>0</v>
      </c>
      <c r="AP113" s="920"/>
      <c r="AQ113" s="916">
        <f t="shared" ref="AQ113:AQ212" si="105">ROUND(C113*AP113,2)</f>
        <v>0</v>
      </c>
      <c r="AR113" s="917">
        <f t="shared" ref="AR113:AR212" si="106">ROUND((I113+L113+O113+R113+U113+X113+AA113+AD113+AG113+AJ113+AM113+AO113+AQ113),2)</f>
        <v>122156.25</v>
      </c>
      <c r="AS113" s="916">
        <v>12</v>
      </c>
      <c r="AT113" s="921">
        <f t="shared" ref="AT113:AT212" si="107">ROUND(AR113*AS113,2)</f>
        <v>1465875</v>
      </c>
      <c r="AU113" s="920"/>
      <c r="AV113" s="922">
        <f t="shared" ref="AV113:AV212" si="108">ROUND(AT113*0.01,2)</f>
        <v>14658.75</v>
      </c>
      <c r="AW113" s="921">
        <f t="shared" ref="AW113:AW212" si="109">ROUND((AT113+AU113+AV113),2)</f>
        <v>1480533.75</v>
      </c>
      <c r="AX113" s="921">
        <f t="shared" ref="AX113:AX212" si="110">ROUND(AW113*0.302,2)</f>
        <v>447121.19</v>
      </c>
      <c r="AY113" s="921">
        <f t="shared" ref="AY113:AY212" si="111">ROUND((AW113+AX113),2)</f>
        <v>1927654.94</v>
      </c>
      <c r="AZ113" s="923">
        <f t="shared" ref="AZ113:AZ212" si="112">ROUND(AW113/1000,1)</f>
        <v>1480.5</v>
      </c>
      <c r="BA113" s="923">
        <f t="shared" ref="BA113:BA212" si="113">ROUND(AZ113*0.302,1)</f>
        <v>447.1</v>
      </c>
      <c r="BB113" s="923">
        <f t="shared" ref="BB113:BB212" si="114">ROUND((AZ113+BA113),1)</f>
        <v>1927.6</v>
      </c>
      <c r="BC113" s="915">
        <v>0.95</v>
      </c>
      <c r="BD113" s="923">
        <f t="shared" ref="BD113:BD212" si="115">ROUND(AZ113*BC113,1)</f>
        <v>1406.5</v>
      </c>
      <c r="BE113" s="923">
        <f t="shared" ref="BE113:BE212" si="116">ROUND(BD113*0.302,1)</f>
        <v>424.8</v>
      </c>
      <c r="BF113" s="923">
        <f t="shared" ref="BF113:BF212" si="117">ROUND((BD113+BE113),1)</f>
        <v>1831.3</v>
      </c>
      <c r="BG113" s="924">
        <f>'[3]свод (2024)'!$B$116</f>
        <v>0.99758349999999996</v>
      </c>
      <c r="BH113" s="923">
        <f t="shared" ref="BH113:BH212" si="118">ROUND(BD113*BG113,1)</f>
        <v>1403.1</v>
      </c>
      <c r="BI113" s="923">
        <f t="shared" ref="BI113:BI212" si="119">ROUND(BH113*0.302,1)</f>
        <v>423.7</v>
      </c>
      <c r="BJ113" s="923">
        <f t="shared" ref="BJ113:BJ212" si="120">ROUND((BH113+BI113),1)</f>
        <v>1826.8</v>
      </c>
      <c r="BK113" s="925">
        <f t="shared" ref="BK113:BL212" si="121">ROUND((BH113-AZ113),1)</f>
        <v>-77.400000000000006</v>
      </c>
      <c r="BL113" s="925">
        <f t="shared" si="121"/>
        <v>-23.4</v>
      </c>
      <c r="BM113" s="925">
        <f t="shared" ref="BM113:BM212" si="122">ROUND((BK113+BL113),1)</f>
        <v>-100.8</v>
      </c>
      <c r="BN113" s="925">
        <f t="shared" ref="BN113:BN212" si="123">ROUND(BP113/1.302,1)</f>
        <v>0</v>
      </c>
      <c r="BO113" s="925">
        <f t="shared" ref="BO113:BO212" si="124">ROUND((BP113-BN113),1)</f>
        <v>0</v>
      </c>
      <c r="BP113" s="926"/>
      <c r="BQ113" s="925">
        <f t="shared" ref="BQ113:BR212" si="125">ROUND((BH113-BN113),1)</f>
        <v>1403.1</v>
      </c>
      <c r="BR113" s="925">
        <f t="shared" si="125"/>
        <v>423.7</v>
      </c>
      <c r="BS113" s="925">
        <f t="shared" ref="BS113:BS212" si="126">ROUND((BQ113+BR113),1)</f>
        <v>1826.8</v>
      </c>
      <c r="BU113" s="928">
        <f t="shared" ref="BU113:BU212" si="127">C113</f>
        <v>6.25</v>
      </c>
      <c r="BV113" s="917"/>
      <c r="BW113" s="928"/>
      <c r="BX113" s="928">
        <f t="shared" ref="BX113:BX212" si="128">AW113-X113</f>
        <v>1480533.75</v>
      </c>
      <c r="BY113" s="928"/>
      <c r="BZ113" s="917"/>
      <c r="CA113" s="928"/>
      <c r="CB113" s="917"/>
      <c r="CC113" s="928"/>
      <c r="CD113" s="928"/>
      <c r="CE113" s="928"/>
      <c r="CF113" s="929">
        <f>CC$134/BU$134*BU113</f>
        <v>533590.27</v>
      </c>
      <c r="CG113" s="928"/>
      <c r="CH113" s="928"/>
      <c r="CI113" s="928"/>
      <c r="CJ113" s="925"/>
      <c r="CK113" s="925"/>
      <c r="CL113" s="925"/>
      <c r="CM113" s="925"/>
      <c r="CN113" s="925"/>
      <c r="CO113" s="925"/>
      <c r="CP113" s="925"/>
      <c r="CQ113" s="925"/>
      <c r="CR113" s="925"/>
      <c r="CS113" s="917"/>
      <c r="CT113" s="928"/>
      <c r="CU113" s="928"/>
      <c r="CV113" s="928"/>
      <c r="CX113" s="925"/>
      <c r="CY113" s="925"/>
      <c r="CZ113" s="925"/>
      <c r="DB113" s="925"/>
      <c r="DC113" s="925"/>
      <c r="DD113" s="925"/>
      <c r="DE113" s="925"/>
      <c r="DF113" s="925"/>
      <c r="DG113" s="925"/>
      <c r="DH113" s="925"/>
      <c r="DI113" s="925"/>
      <c r="DJ113" s="925"/>
      <c r="DK113" s="925"/>
      <c r="DL113" s="925"/>
      <c r="DM113" s="925"/>
      <c r="DN113" s="925"/>
      <c r="DO113" s="925"/>
      <c r="DP113" s="925"/>
      <c r="DQ113" s="924"/>
      <c r="DR113" s="925"/>
      <c r="DS113" s="925"/>
      <c r="DT113" s="925"/>
      <c r="DV113" s="925"/>
      <c r="DW113" s="925"/>
      <c r="DX113" s="925"/>
      <c r="DY113" s="925"/>
      <c r="DZ113" s="925"/>
      <c r="EA113" s="925"/>
      <c r="EB113" s="925"/>
      <c r="EC113" s="925"/>
      <c r="ED113" s="925"/>
      <c r="EE113" s="925"/>
      <c r="EF113" s="925"/>
      <c r="EG113" s="925"/>
      <c r="EH113" s="925"/>
      <c r="EI113" s="925"/>
      <c r="EJ113" s="925"/>
      <c r="EK113" s="925"/>
      <c r="EL113" s="925"/>
      <c r="EM113" s="925"/>
      <c r="EN113" s="925"/>
      <c r="EO113" s="925"/>
      <c r="EP113" s="925"/>
      <c r="EQ113" s="925"/>
      <c r="ER113" s="925"/>
      <c r="ES113" s="925"/>
      <c r="ET113" s="925"/>
      <c r="EV113" s="924"/>
      <c r="EW113" s="925"/>
      <c r="EX113" s="925"/>
      <c r="EY113" s="925"/>
    </row>
    <row r="114" spans="1:155" s="927" customFormat="1" ht="15.75" x14ac:dyDescent="0.25">
      <c r="A114" s="912" t="s">
        <v>61</v>
      </c>
      <c r="B114" s="913" t="s">
        <v>1398</v>
      </c>
      <c r="C114" s="914">
        <v>4</v>
      </c>
      <c r="D114" s="914">
        <v>4588</v>
      </c>
      <c r="E114" s="915">
        <v>1.0549999999999999</v>
      </c>
      <c r="F114" s="916">
        <f t="shared" si="81"/>
        <v>4841</v>
      </c>
      <c r="G114" s="915">
        <v>1.01</v>
      </c>
      <c r="H114" s="916">
        <f t="shared" si="82"/>
        <v>4890</v>
      </c>
      <c r="I114" s="917">
        <f t="shared" si="83"/>
        <v>19560</v>
      </c>
      <c r="J114" s="918">
        <f t="shared" si="84"/>
        <v>0</v>
      </c>
      <c r="K114" s="919"/>
      <c r="L114" s="917">
        <f t="shared" si="85"/>
        <v>0</v>
      </c>
      <c r="M114" s="918">
        <f t="shared" si="86"/>
        <v>0</v>
      </c>
      <c r="N114" s="919"/>
      <c r="O114" s="917">
        <f t="shared" si="87"/>
        <v>0</v>
      </c>
      <c r="P114" s="918">
        <f t="shared" si="88"/>
        <v>0</v>
      </c>
      <c r="Q114" s="919"/>
      <c r="R114" s="917">
        <f t="shared" si="89"/>
        <v>0</v>
      </c>
      <c r="S114" s="918">
        <f t="shared" si="90"/>
        <v>0</v>
      </c>
      <c r="T114" s="919"/>
      <c r="U114" s="917">
        <f t="shared" si="91"/>
        <v>0</v>
      </c>
      <c r="V114" s="918">
        <f t="shared" si="92"/>
        <v>0</v>
      </c>
      <c r="W114" s="919"/>
      <c r="X114" s="917">
        <f t="shared" si="93"/>
        <v>0</v>
      </c>
      <c r="Y114" s="918">
        <f t="shared" si="94"/>
        <v>0</v>
      </c>
      <c r="Z114" s="919"/>
      <c r="AA114" s="917">
        <f t="shared" si="95"/>
        <v>0</v>
      </c>
      <c r="AB114" s="918">
        <f t="shared" si="96"/>
        <v>0</v>
      </c>
      <c r="AC114" s="919"/>
      <c r="AD114" s="917">
        <f t="shared" si="97"/>
        <v>0</v>
      </c>
      <c r="AE114" s="918">
        <f t="shared" si="98"/>
        <v>0</v>
      </c>
      <c r="AF114" s="919"/>
      <c r="AG114" s="917">
        <f t="shared" si="99"/>
        <v>0</v>
      </c>
      <c r="AH114" s="918">
        <f t="shared" si="100"/>
        <v>0</v>
      </c>
      <c r="AI114" s="919"/>
      <c r="AJ114" s="917">
        <f t="shared" si="101"/>
        <v>0</v>
      </c>
      <c r="AK114" s="918">
        <f t="shared" si="102"/>
        <v>0</v>
      </c>
      <c r="AL114" s="919"/>
      <c r="AM114" s="917">
        <f t="shared" si="103"/>
        <v>0</v>
      </c>
      <c r="AN114" s="920">
        <v>19242</v>
      </c>
      <c r="AO114" s="917">
        <f t="shared" si="104"/>
        <v>57408</v>
      </c>
      <c r="AP114" s="920">
        <v>1060.29</v>
      </c>
      <c r="AQ114" s="916">
        <f t="shared" si="105"/>
        <v>4241.16</v>
      </c>
      <c r="AR114" s="917">
        <f t="shared" si="106"/>
        <v>81209.16</v>
      </c>
      <c r="AS114" s="916">
        <v>12</v>
      </c>
      <c r="AT114" s="921">
        <f t="shared" si="107"/>
        <v>974509.92</v>
      </c>
      <c r="AU114" s="920">
        <f t="shared" ref="AU114:AU115" si="129">AT114*0.085</f>
        <v>82833.34</v>
      </c>
      <c r="AV114" s="922">
        <f t="shared" si="108"/>
        <v>9745.1</v>
      </c>
      <c r="AW114" s="921">
        <f t="shared" si="109"/>
        <v>1067088.3600000001</v>
      </c>
      <c r="AX114" s="921">
        <f t="shared" si="110"/>
        <v>322260.68</v>
      </c>
      <c r="AY114" s="921">
        <f t="shared" si="111"/>
        <v>1389349.04</v>
      </c>
      <c r="AZ114" s="923">
        <f t="shared" si="112"/>
        <v>1067.0999999999999</v>
      </c>
      <c r="BA114" s="923">
        <f t="shared" si="113"/>
        <v>322.3</v>
      </c>
      <c r="BB114" s="923">
        <f t="shared" si="114"/>
        <v>1389.4</v>
      </c>
      <c r="BC114" s="915">
        <v>0.95</v>
      </c>
      <c r="BD114" s="923">
        <f t="shared" si="115"/>
        <v>1013.7</v>
      </c>
      <c r="BE114" s="923">
        <f t="shared" si="116"/>
        <v>306.10000000000002</v>
      </c>
      <c r="BF114" s="923">
        <f t="shared" si="117"/>
        <v>1319.8</v>
      </c>
      <c r="BG114" s="924">
        <f>'[3]свод (2024)'!$B$116</f>
        <v>0.99758349999999996</v>
      </c>
      <c r="BH114" s="923">
        <f t="shared" si="118"/>
        <v>1011.3</v>
      </c>
      <c r="BI114" s="923">
        <f t="shared" si="119"/>
        <v>305.39999999999998</v>
      </c>
      <c r="BJ114" s="923">
        <f t="shared" si="120"/>
        <v>1316.7</v>
      </c>
      <c r="BK114" s="925">
        <f t="shared" si="121"/>
        <v>-55.8</v>
      </c>
      <c r="BL114" s="925">
        <f t="shared" si="121"/>
        <v>-16.899999999999999</v>
      </c>
      <c r="BM114" s="925">
        <f t="shared" si="122"/>
        <v>-72.7</v>
      </c>
      <c r="BN114" s="925">
        <f t="shared" si="123"/>
        <v>0</v>
      </c>
      <c r="BO114" s="925">
        <f t="shared" si="124"/>
        <v>0</v>
      </c>
      <c r="BP114" s="926"/>
      <c r="BQ114" s="925">
        <f t="shared" si="125"/>
        <v>1011.3</v>
      </c>
      <c r="BR114" s="925">
        <f t="shared" si="125"/>
        <v>305.39999999999998</v>
      </c>
      <c r="BS114" s="925">
        <f t="shared" si="126"/>
        <v>1316.7</v>
      </c>
      <c r="BU114" s="928"/>
      <c r="BV114" s="917"/>
      <c r="BW114" s="928"/>
      <c r="BX114" s="928"/>
      <c r="BY114" s="928"/>
      <c r="BZ114" s="917"/>
      <c r="CA114" s="928"/>
      <c r="CB114" s="917"/>
      <c r="CC114" s="928"/>
      <c r="CD114" s="928"/>
      <c r="CE114" s="928"/>
      <c r="CF114" s="929"/>
      <c r="CG114" s="928"/>
      <c r="CH114" s="928"/>
      <c r="CI114" s="928"/>
      <c r="CJ114" s="925"/>
      <c r="CK114" s="925"/>
      <c r="CL114" s="925"/>
      <c r="CM114" s="925"/>
      <c r="CN114" s="925"/>
      <c r="CO114" s="925"/>
      <c r="CP114" s="925"/>
      <c r="CQ114" s="925"/>
      <c r="CR114" s="925"/>
      <c r="CS114" s="917"/>
      <c r="CT114" s="928"/>
      <c r="CU114" s="928"/>
      <c r="CV114" s="928"/>
      <c r="CX114" s="925"/>
      <c r="CY114" s="925"/>
      <c r="CZ114" s="925"/>
      <c r="DB114" s="925"/>
      <c r="DC114" s="925"/>
      <c r="DD114" s="925"/>
      <c r="DE114" s="925"/>
      <c r="DF114" s="925"/>
      <c r="DG114" s="925"/>
      <c r="DH114" s="925"/>
      <c r="DI114" s="925"/>
      <c r="DJ114" s="925"/>
      <c r="DK114" s="925"/>
      <c r="DL114" s="925"/>
      <c r="DM114" s="925"/>
      <c r="DN114" s="925"/>
      <c r="DO114" s="925"/>
      <c r="DP114" s="925"/>
      <c r="DQ114" s="924"/>
      <c r="DR114" s="925"/>
      <c r="DS114" s="925"/>
      <c r="DT114" s="925"/>
      <c r="DV114" s="925"/>
      <c r="DW114" s="925"/>
      <c r="DX114" s="925"/>
      <c r="DY114" s="925"/>
      <c r="DZ114" s="925"/>
      <c r="EA114" s="925"/>
      <c r="EB114" s="925"/>
      <c r="EC114" s="925"/>
      <c r="ED114" s="925"/>
      <c r="EE114" s="925"/>
      <c r="EF114" s="925"/>
      <c r="EG114" s="925"/>
      <c r="EH114" s="925"/>
      <c r="EI114" s="925"/>
      <c r="EJ114" s="925"/>
      <c r="EK114" s="925"/>
      <c r="EL114" s="925"/>
      <c r="EM114" s="925"/>
      <c r="EN114" s="925"/>
      <c r="EO114" s="925"/>
      <c r="EP114" s="925"/>
      <c r="EQ114" s="925"/>
      <c r="ER114" s="925"/>
      <c r="ES114" s="925"/>
      <c r="ET114" s="925"/>
      <c r="EV114" s="924"/>
      <c r="EW114" s="925"/>
      <c r="EX114" s="925"/>
      <c r="EY114" s="925"/>
    </row>
    <row r="115" spans="1:155" s="927" customFormat="1" ht="15.75" x14ac:dyDescent="0.25">
      <c r="A115" s="912" t="s">
        <v>61</v>
      </c>
      <c r="B115" s="913" t="s">
        <v>1399</v>
      </c>
      <c r="C115" s="914">
        <v>1</v>
      </c>
      <c r="D115" s="914">
        <v>4588</v>
      </c>
      <c r="E115" s="915">
        <v>1.0549999999999999</v>
      </c>
      <c r="F115" s="916">
        <f t="shared" si="81"/>
        <v>4841</v>
      </c>
      <c r="G115" s="915">
        <v>1.01</v>
      </c>
      <c r="H115" s="916">
        <f t="shared" si="82"/>
        <v>4890</v>
      </c>
      <c r="I115" s="917">
        <f t="shared" si="83"/>
        <v>4890</v>
      </c>
      <c r="J115" s="918">
        <f t="shared" si="84"/>
        <v>0</v>
      </c>
      <c r="K115" s="919"/>
      <c r="L115" s="917">
        <f t="shared" si="85"/>
        <v>0</v>
      </c>
      <c r="M115" s="918">
        <f t="shared" si="86"/>
        <v>0</v>
      </c>
      <c r="N115" s="919"/>
      <c r="O115" s="917">
        <f t="shared" si="87"/>
        <v>0</v>
      </c>
      <c r="P115" s="918">
        <f t="shared" si="88"/>
        <v>0</v>
      </c>
      <c r="Q115" s="919"/>
      <c r="R115" s="917">
        <f t="shared" si="89"/>
        <v>0</v>
      </c>
      <c r="S115" s="918">
        <f t="shared" si="90"/>
        <v>0</v>
      </c>
      <c r="T115" s="919"/>
      <c r="U115" s="917">
        <f t="shared" si="91"/>
        <v>0</v>
      </c>
      <c r="V115" s="918">
        <f t="shared" si="92"/>
        <v>0</v>
      </c>
      <c r="W115" s="919"/>
      <c r="X115" s="917">
        <f t="shared" si="93"/>
        <v>0</v>
      </c>
      <c r="Y115" s="918">
        <f t="shared" si="94"/>
        <v>0</v>
      </c>
      <c r="Z115" s="919"/>
      <c r="AA115" s="917">
        <f t="shared" si="95"/>
        <v>0</v>
      </c>
      <c r="AB115" s="918">
        <f t="shared" si="96"/>
        <v>0</v>
      </c>
      <c r="AC115" s="919"/>
      <c r="AD115" s="917">
        <f t="shared" si="97"/>
        <v>0</v>
      </c>
      <c r="AE115" s="918">
        <f t="shared" si="98"/>
        <v>0</v>
      </c>
      <c r="AF115" s="919"/>
      <c r="AG115" s="917">
        <f t="shared" si="99"/>
        <v>0</v>
      </c>
      <c r="AH115" s="918">
        <f t="shared" si="100"/>
        <v>0</v>
      </c>
      <c r="AI115" s="919"/>
      <c r="AJ115" s="917">
        <f t="shared" si="101"/>
        <v>0</v>
      </c>
      <c r="AK115" s="918">
        <f t="shared" si="102"/>
        <v>0</v>
      </c>
      <c r="AL115" s="919"/>
      <c r="AM115" s="917">
        <f t="shared" si="103"/>
        <v>0</v>
      </c>
      <c r="AN115" s="920">
        <v>19242</v>
      </c>
      <c r="AO115" s="917">
        <f t="shared" si="104"/>
        <v>14352</v>
      </c>
      <c r="AP115" s="920"/>
      <c r="AQ115" s="916">
        <f t="shared" si="105"/>
        <v>0</v>
      </c>
      <c r="AR115" s="917">
        <f t="shared" si="106"/>
        <v>19242</v>
      </c>
      <c r="AS115" s="916">
        <v>12</v>
      </c>
      <c r="AT115" s="921">
        <f t="shared" si="107"/>
        <v>230904</v>
      </c>
      <c r="AU115" s="920">
        <f t="shared" si="129"/>
        <v>19626.84</v>
      </c>
      <c r="AV115" s="922">
        <f t="shared" si="108"/>
        <v>2309.04</v>
      </c>
      <c r="AW115" s="921">
        <f t="shared" si="109"/>
        <v>252839.88</v>
      </c>
      <c r="AX115" s="921">
        <f t="shared" si="110"/>
        <v>76357.64</v>
      </c>
      <c r="AY115" s="921">
        <f t="shared" si="111"/>
        <v>329197.52</v>
      </c>
      <c r="AZ115" s="923">
        <f t="shared" si="112"/>
        <v>252.8</v>
      </c>
      <c r="BA115" s="923">
        <f t="shared" si="113"/>
        <v>76.3</v>
      </c>
      <c r="BB115" s="923">
        <f t="shared" si="114"/>
        <v>329.1</v>
      </c>
      <c r="BC115" s="915">
        <v>0.95</v>
      </c>
      <c r="BD115" s="923">
        <f t="shared" si="115"/>
        <v>240.2</v>
      </c>
      <c r="BE115" s="923">
        <f t="shared" si="116"/>
        <v>72.5</v>
      </c>
      <c r="BF115" s="923">
        <f t="shared" si="117"/>
        <v>312.7</v>
      </c>
      <c r="BG115" s="924">
        <f>'[3]свод (2024)'!$B$116</f>
        <v>0.99758349999999996</v>
      </c>
      <c r="BH115" s="923">
        <f t="shared" si="118"/>
        <v>239.6</v>
      </c>
      <c r="BI115" s="923">
        <f t="shared" si="119"/>
        <v>72.400000000000006</v>
      </c>
      <c r="BJ115" s="923">
        <f t="shared" si="120"/>
        <v>312</v>
      </c>
      <c r="BK115" s="925">
        <f t="shared" si="121"/>
        <v>-13.2</v>
      </c>
      <c r="BL115" s="925">
        <f t="shared" si="121"/>
        <v>-3.9</v>
      </c>
      <c r="BM115" s="925">
        <f t="shared" si="122"/>
        <v>-17.100000000000001</v>
      </c>
      <c r="BN115" s="925">
        <f t="shared" si="123"/>
        <v>0</v>
      </c>
      <c r="BO115" s="925">
        <f t="shared" si="124"/>
        <v>0</v>
      </c>
      <c r="BP115" s="926"/>
      <c r="BQ115" s="925">
        <f t="shared" si="125"/>
        <v>239.6</v>
      </c>
      <c r="BR115" s="925">
        <f t="shared" si="125"/>
        <v>72.400000000000006</v>
      </c>
      <c r="BS115" s="925">
        <f t="shared" si="126"/>
        <v>312</v>
      </c>
      <c r="BU115" s="928"/>
      <c r="BV115" s="917"/>
      <c r="BW115" s="928"/>
      <c r="BX115" s="928"/>
      <c r="BY115" s="928"/>
      <c r="BZ115" s="917"/>
      <c r="CA115" s="928"/>
      <c r="CB115" s="917"/>
      <c r="CC115" s="928"/>
      <c r="CD115" s="928"/>
      <c r="CE115" s="928"/>
      <c r="CF115" s="929"/>
      <c r="CG115" s="928"/>
      <c r="CH115" s="928"/>
      <c r="CI115" s="928"/>
      <c r="CJ115" s="925"/>
      <c r="CK115" s="925"/>
      <c r="CL115" s="925"/>
      <c r="CM115" s="925"/>
      <c r="CN115" s="925"/>
      <c r="CO115" s="925"/>
      <c r="CP115" s="925"/>
      <c r="CQ115" s="925"/>
      <c r="CR115" s="925"/>
      <c r="CS115" s="917"/>
      <c r="CT115" s="928"/>
      <c r="CU115" s="928"/>
      <c r="CV115" s="928"/>
      <c r="CX115" s="925"/>
      <c r="CY115" s="925"/>
      <c r="CZ115" s="925"/>
      <c r="DB115" s="925"/>
      <c r="DC115" s="925"/>
      <c r="DD115" s="925"/>
      <c r="DE115" s="925"/>
      <c r="DF115" s="925"/>
      <c r="DG115" s="925"/>
      <c r="DH115" s="925"/>
      <c r="DI115" s="925"/>
      <c r="DJ115" s="925"/>
      <c r="DK115" s="925"/>
      <c r="DL115" s="925"/>
      <c r="DM115" s="925"/>
      <c r="DN115" s="925"/>
      <c r="DO115" s="925"/>
      <c r="DP115" s="925"/>
      <c r="DQ115" s="924"/>
      <c r="DR115" s="925"/>
      <c r="DS115" s="925"/>
      <c r="DT115" s="925"/>
      <c r="DV115" s="925"/>
      <c r="DW115" s="925"/>
      <c r="DX115" s="925"/>
      <c r="DY115" s="925"/>
      <c r="DZ115" s="925"/>
      <c r="EA115" s="925"/>
      <c r="EB115" s="925"/>
      <c r="EC115" s="925"/>
      <c r="ED115" s="925"/>
      <c r="EE115" s="925"/>
      <c r="EF115" s="925"/>
      <c r="EG115" s="925"/>
      <c r="EH115" s="925"/>
      <c r="EI115" s="925"/>
      <c r="EJ115" s="925"/>
      <c r="EK115" s="925"/>
      <c r="EL115" s="925"/>
      <c r="EM115" s="925"/>
      <c r="EN115" s="925"/>
      <c r="EO115" s="925"/>
      <c r="EP115" s="925"/>
      <c r="EQ115" s="925"/>
      <c r="ER115" s="925"/>
      <c r="ES115" s="925"/>
      <c r="ET115" s="925"/>
      <c r="EV115" s="924"/>
      <c r="EW115" s="925"/>
      <c r="EX115" s="925"/>
      <c r="EY115" s="925"/>
    </row>
    <row r="116" spans="1:155" s="927" customFormat="1" ht="15.75" x14ac:dyDescent="0.25">
      <c r="A116" s="912" t="s">
        <v>61</v>
      </c>
      <c r="B116" s="913" t="s">
        <v>36</v>
      </c>
      <c r="C116" s="914">
        <v>7</v>
      </c>
      <c r="D116" s="914">
        <v>13772</v>
      </c>
      <c r="E116" s="915">
        <v>1.0549999999999999</v>
      </c>
      <c r="F116" s="916">
        <f t="shared" si="81"/>
        <v>14530</v>
      </c>
      <c r="G116" s="915">
        <v>1.01</v>
      </c>
      <c r="H116" s="916">
        <f t="shared" si="82"/>
        <v>14676</v>
      </c>
      <c r="I116" s="917">
        <f t="shared" si="83"/>
        <v>102732</v>
      </c>
      <c r="J116" s="918">
        <f t="shared" si="84"/>
        <v>0.15714</v>
      </c>
      <c r="K116" s="919">
        <v>15149.2</v>
      </c>
      <c r="L116" s="917">
        <f t="shared" si="85"/>
        <v>16143.31</v>
      </c>
      <c r="M116" s="918">
        <f t="shared" si="86"/>
        <v>0</v>
      </c>
      <c r="N116" s="919"/>
      <c r="O116" s="917">
        <f t="shared" si="87"/>
        <v>0</v>
      </c>
      <c r="P116" s="918">
        <f t="shared" si="88"/>
        <v>0</v>
      </c>
      <c r="Q116" s="919"/>
      <c r="R116" s="917">
        <f t="shared" si="89"/>
        <v>0</v>
      </c>
      <c r="S116" s="918">
        <f t="shared" si="90"/>
        <v>0</v>
      </c>
      <c r="T116" s="919"/>
      <c r="U116" s="917">
        <f t="shared" si="91"/>
        <v>0</v>
      </c>
      <c r="V116" s="918">
        <f t="shared" si="92"/>
        <v>0</v>
      </c>
      <c r="W116" s="919"/>
      <c r="X116" s="917">
        <f t="shared" si="93"/>
        <v>0</v>
      </c>
      <c r="Y116" s="918">
        <f t="shared" si="94"/>
        <v>0</v>
      </c>
      <c r="Z116" s="919"/>
      <c r="AA116" s="917">
        <f t="shared" si="95"/>
        <v>0</v>
      </c>
      <c r="AB116" s="918">
        <f t="shared" si="96"/>
        <v>0.10357</v>
      </c>
      <c r="AC116" s="919">
        <v>9984.7000000000007</v>
      </c>
      <c r="AD116" s="917">
        <f t="shared" si="97"/>
        <v>10639.95</v>
      </c>
      <c r="AE116" s="918">
        <f t="shared" si="98"/>
        <v>0</v>
      </c>
      <c r="AF116" s="919"/>
      <c r="AG116" s="917">
        <f t="shared" si="99"/>
        <v>0</v>
      </c>
      <c r="AH116" s="918">
        <f t="shared" si="100"/>
        <v>0</v>
      </c>
      <c r="AI116" s="919"/>
      <c r="AJ116" s="917">
        <f t="shared" si="101"/>
        <v>0</v>
      </c>
      <c r="AK116" s="918">
        <f t="shared" si="102"/>
        <v>0</v>
      </c>
      <c r="AL116" s="919"/>
      <c r="AM116" s="917">
        <f t="shared" si="103"/>
        <v>0</v>
      </c>
      <c r="AN116" s="920">
        <v>19242</v>
      </c>
      <c r="AO116" s="917">
        <f t="shared" si="104"/>
        <v>5178.74</v>
      </c>
      <c r="AP116" s="920"/>
      <c r="AQ116" s="916">
        <f t="shared" si="105"/>
        <v>0</v>
      </c>
      <c r="AR116" s="917">
        <f t="shared" si="106"/>
        <v>134694</v>
      </c>
      <c r="AS116" s="916">
        <v>12</v>
      </c>
      <c r="AT116" s="921">
        <f t="shared" si="107"/>
        <v>1616328</v>
      </c>
      <c r="AU116" s="920"/>
      <c r="AV116" s="922">
        <f t="shared" si="108"/>
        <v>16163.28</v>
      </c>
      <c r="AW116" s="921">
        <f t="shared" si="109"/>
        <v>1632491.28</v>
      </c>
      <c r="AX116" s="921">
        <f t="shared" si="110"/>
        <v>493012.37</v>
      </c>
      <c r="AY116" s="921">
        <f t="shared" si="111"/>
        <v>2125503.65</v>
      </c>
      <c r="AZ116" s="923">
        <f t="shared" si="112"/>
        <v>1632.5</v>
      </c>
      <c r="BA116" s="923">
        <f t="shared" si="113"/>
        <v>493</v>
      </c>
      <c r="BB116" s="923">
        <f t="shared" si="114"/>
        <v>2125.5</v>
      </c>
      <c r="BC116" s="915">
        <v>0.95</v>
      </c>
      <c r="BD116" s="923">
        <f t="shared" si="115"/>
        <v>1550.9</v>
      </c>
      <c r="BE116" s="923">
        <f t="shared" si="116"/>
        <v>468.4</v>
      </c>
      <c r="BF116" s="923">
        <f t="shared" si="117"/>
        <v>2019.3</v>
      </c>
      <c r="BG116" s="924">
        <f>'[3]свод (2024)'!$B$116</f>
        <v>0.99758349999999996</v>
      </c>
      <c r="BH116" s="923">
        <f t="shared" si="118"/>
        <v>1547.2</v>
      </c>
      <c r="BI116" s="923">
        <f t="shared" si="119"/>
        <v>467.3</v>
      </c>
      <c r="BJ116" s="923">
        <f t="shared" si="120"/>
        <v>2014.5</v>
      </c>
      <c r="BK116" s="925">
        <f t="shared" si="121"/>
        <v>-85.3</v>
      </c>
      <c r="BL116" s="925">
        <f t="shared" si="121"/>
        <v>-25.7</v>
      </c>
      <c r="BM116" s="925">
        <f t="shared" si="122"/>
        <v>-111</v>
      </c>
      <c r="BN116" s="925">
        <f t="shared" si="123"/>
        <v>0</v>
      </c>
      <c r="BO116" s="925">
        <f t="shared" si="124"/>
        <v>0</v>
      </c>
      <c r="BP116" s="926"/>
      <c r="BQ116" s="925">
        <f t="shared" si="125"/>
        <v>1547.2</v>
      </c>
      <c r="BR116" s="925">
        <f t="shared" si="125"/>
        <v>467.3</v>
      </c>
      <c r="BS116" s="925">
        <f t="shared" si="126"/>
        <v>2014.5</v>
      </c>
      <c r="BU116" s="928">
        <f t="shared" si="127"/>
        <v>7</v>
      </c>
      <c r="BV116" s="917"/>
      <c r="BW116" s="928"/>
      <c r="BX116" s="928">
        <f t="shared" si="128"/>
        <v>1632491.28</v>
      </c>
      <c r="BY116" s="928"/>
      <c r="BZ116" s="917"/>
      <c r="CA116" s="928"/>
      <c r="CB116" s="917"/>
      <c r="CC116" s="928"/>
      <c r="CD116" s="928"/>
      <c r="CE116" s="928"/>
      <c r="CF116" s="929">
        <f t="shared" ref="CF116:CF124" si="130">CC$134/BU$134*BU116</f>
        <v>597621.1</v>
      </c>
      <c r="CG116" s="928"/>
      <c r="CH116" s="928"/>
      <c r="CI116" s="928"/>
      <c r="CJ116" s="925"/>
      <c r="CK116" s="925"/>
      <c r="CL116" s="925"/>
      <c r="CM116" s="925"/>
      <c r="CN116" s="925"/>
      <c r="CO116" s="925"/>
      <c r="CP116" s="925"/>
      <c r="CQ116" s="925"/>
      <c r="CR116" s="925"/>
      <c r="CS116" s="917"/>
      <c r="CT116" s="928"/>
      <c r="CU116" s="928"/>
      <c r="CV116" s="928"/>
      <c r="CX116" s="925"/>
      <c r="CY116" s="925"/>
      <c r="CZ116" s="925"/>
      <c r="DB116" s="925"/>
      <c r="DC116" s="925"/>
      <c r="DD116" s="925"/>
      <c r="DE116" s="925"/>
      <c r="DF116" s="925"/>
      <c r="DG116" s="925"/>
      <c r="DH116" s="925"/>
      <c r="DI116" s="925"/>
      <c r="DJ116" s="925"/>
      <c r="DK116" s="925"/>
      <c r="DL116" s="925"/>
      <c r="DM116" s="925"/>
      <c r="DN116" s="925"/>
      <c r="DO116" s="925"/>
      <c r="DP116" s="925"/>
      <c r="DQ116" s="924"/>
      <c r="DR116" s="925"/>
      <c r="DS116" s="925"/>
      <c r="DT116" s="925"/>
      <c r="DV116" s="925"/>
      <c r="DW116" s="925"/>
      <c r="DX116" s="925"/>
      <c r="DY116" s="925"/>
      <c r="DZ116" s="925"/>
      <c r="EA116" s="925"/>
      <c r="EB116" s="925"/>
      <c r="EC116" s="925"/>
      <c r="ED116" s="925"/>
      <c r="EE116" s="925"/>
      <c r="EF116" s="925"/>
      <c r="EG116" s="925"/>
      <c r="EH116" s="925"/>
      <c r="EI116" s="925"/>
      <c r="EJ116" s="925"/>
      <c r="EK116" s="925"/>
      <c r="EL116" s="925"/>
      <c r="EM116" s="925"/>
      <c r="EN116" s="925"/>
      <c r="EO116" s="925"/>
      <c r="EP116" s="925"/>
      <c r="EQ116" s="925"/>
      <c r="ER116" s="925"/>
      <c r="ES116" s="925"/>
      <c r="ET116" s="925"/>
      <c r="EV116" s="924"/>
      <c r="EW116" s="925"/>
      <c r="EX116" s="925"/>
      <c r="EY116" s="925"/>
    </row>
    <row r="117" spans="1:155" s="927" customFormat="1" ht="15.75" x14ac:dyDescent="0.25">
      <c r="A117" s="912" t="s">
        <v>61</v>
      </c>
      <c r="B117" s="913" t="s">
        <v>35</v>
      </c>
      <c r="C117" s="914">
        <v>46.67</v>
      </c>
      <c r="D117" s="914">
        <v>13132</v>
      </c>
      <c r="E117" s="915">
        <v>1.0549999999999999</v>
      </c>
      <c r="F117" s="916">
        <f t="shared" si="81"/>
        <v>13855</v>
      </c>
      <c r="G117" s="915">
        <v>1.01</v>
      </c>
      <c r="H117" s="916">
        <f t="shared" si="82"/>
        <v>13994</v>
      </c>
      <c r="I117" s="917">
        <f t="shared" si="83"/>
        <v>653099.98</v>
      </c>
      <c r="J117" s="918">
        <f t="shared" si="84"/>
        <v>0.19855999999999999</v>
      </c>
      <c r="K117" s="919">
        <v>121689.87</v>
      </c>
      <c r="L117" s="917">
        <f t="shared" si="85"/>
        <v>129679.53</v>
      </c>
      <c r="M117" s="918">
        <f t="shared" si="86"/>
        <v>0</v>
      </c>
      <c r="N117" s="919"/>
      <c r="O117" s="917">
        <f t="shared" si="87"/>
        <v>0</v>
      </c>
      <c r="P117" s="918">
        <f t="shared" si="88"/>
        <v>6.43E-3</v>
      </c>
      <c r="Q117" s="919">
        <v>3939.6</v>
      </c>
      <c r="R117" s="917">
        <f t="shared" si="89"/>
        <v>4199.43</v>
      </c>
      <c r="S117" s="918">
        <f t="shared" si="90"/>
        <v>0</v>
      </c>
      <c r="T117" s="919"/>
      <c r="U117" s="917">
        <f t="shared" si="91"/>
        <v>0</v>
      </c>
      <c r="V117" s="918">
        <f t="shared" si="92"/>
        <v>0</v>
      </c>
      <c r="W117" s="919"/>
      <c r="X117" s="917">
        <f t="shared" si="93"/>
        <v>0</v>
      </c>
      <c r="Y117" s="918">
        <f t="shared" si="94"/>
        <v>0</v>
      </c>
      <c r="Z117" s="919"/>
      <c r="AA117" s="917">
        <f t="shared" si="95"/>
        <v>0</v>
      </c>
      <c r="AB117" s="918">
        <f t="shared" si="96"/>
        <v>0.16200999999999999</v>
      </c>
      <c r="AC117" s="919">
        <v>99292.51</v>
      </c>
      <c r="AD117" s="917">
        <f t="shared" si="97"/>
        <v>105808.73</v>
      </c>
      <c r="AE117" s="918">
        <f t="shared" si="98"/>
        <v>4.2900000000000004E-3</v>
      </c>
      <c r="AF117" s="919">
        <v>2626.4</v>
      </c>
      <c r="AG117" s="917">
        <f t="shared" si="99"/>
        <v>2801.8</v>
      </c>
      <c r="AH117" s="918">
        <f t="shared" si="100"/>
        <v>0</v>
      </c>
      <c r="AI117" s="919"/>
      <c r="AJ117" s="917">
        <f t="shared" si="101"/>
        <v>0</v>
      </c>
      <c r="AK117" s="918">
        <f t="shared" si="102"/>
        <v>0</v>
      </c>
      <c r="AL117" s="919"/>
      <c r="AM117" s="917">
        <f t="shared" si="103"/>
        <v>0</v>
      </c>
      <c r="AN117" s="920">
        <v>19242</v>
      </c>
      <c r="AO117" s="917">
        <f t="shared" si="104"/>
        <v>2434.67</v>
      </c>
      <c r="AP117" s="920"/>
      <c r="AQ117" s="916">
        <f t="shared" si="105"/>
        <v>0</v>
      </c>
      <c r="AR117" s="917">
        <f t="shared" si="106"/>
        <v>898024.14</v>
      </c>
      <c r="AS117" s="916">
        <v>12</v>
      </c>
      <c r="AT117" s="921">
        <f t="shared" si="107"/>
        <v>10776289.68</v>
      </c>
      <c r="AU117" s="920"/>
      <c r="AV117" s="922">
        <f t="shared" si="108"/>
        <v>107762.9</v>
      </c>
      <c r="AW117" s="921">
        <f t="shared" si="109"/>
        <v>10884052.58</v>
      </c>
      <c r="AX117" s="921">
        <f t="shared" si="110"/>
        <v>3286983.88</v>
      </c>
      <c r="AY117" s="921">
        <f t="shared" si="111"/>
        <v>14171036.460000001</v>
      </c>
      <c r="AZ117" s="923">
        <f t="shared" si="112"/>
        <v>10884.1</v>
      </c>
      <c r="BA117" s="923">
        <f t="shared" si="113"/>
        <v>3287</v>
      </c>
      <c r="BB117" s="923">
        <f t="shared" si="114"/>
        <v>14171.1</v>
      </c>
      <c r="BC117" s="915">
        <v>0.95</v>
      </c>
      <c r="BD117" s="923">
        <f t="shared" si="115"/>
        <v>10339.9</v>
      </c>
      <c r="BE117" s="923">
        <f t="shared" si="116"/>
        <v>3122.6</v>
      </c>
      <c r="BF117" s="923">
        <f t="shared" si="117"/>
        <v>13462.5</v>
      </c>
      <c r="BG117" s="924">
        <f>'[3]свод (2024)'!$B$116</f>
        <v>0.99758349999999996</v>
      </c>
      <c r="BH117" s="923">
        <f t="shared" si="118"/>
        <v>10314.9</v>
      </c>
      <c r="BI117" s="923">
        <f t="shared" si="119"/>
        <v>3115.1</v>
      </c>
      <c r="BJ117" s="923">
        <f t="shared" si="120"/>
        <v>13430</v>
      </c>
      <c r="BK117" s="925">
        <f t="shared" si="121"/>
        <v>-569.20000000000005</v>
      </c>
      <c r="BL117" s="925">
        <f t="shared" si="121"/>
        <v>-171.9</v>
      </c>
      <c r="BM117" s="925">
        <f t="shared" si="122"/>
        <v>-741.1</v>
      </c>
      <c r="BN117" s="925">
        <f t="shared" si="123"/>
        <v>0</v>
      </c>
      <c r="BO117" s="925">
        <f t="shared" si="124"/>
        <v>0</v>
      </c>
      <c r="BP117" s="926"/>
      <c r="BQ117" s="925">
        <f t="shared" si="125"/>
        <v>10314.9</v>
      </c>
      <c r="BR117" s="925">
        <f t="shared" si="125"/>
        <v>3115.1</v>
      </c>
      <c r="BS117" s="925">
        <f t="shared" si="126"/>
        <v>13430</v>
      </c>
      <c r="BU117" s="928">
        <f t="shared" si="127"/>
        <v>46.67</v>
      </c>
      <c r="BV117" s="917"/>
      <c r="BW117" s="928"/>
      <c r="BX117" s="928">
        <f t="shared" si="128"/>
        <v>10884052.58</v>
      </c>
      <c r="BY117" s="928"/>
      <c r="BZ117" s="917"/>
      <c r="CA117" s="928"/>
      <c r="CB117" s="917"/>
      <c r="CC117" s="928"/>
      <c r="CD117" s="928"/>
      <c r="CE117" s="928"/>
      <c r="CF117" s="929">
        <f t="shared" si="130"/>
        <v>3984425.26</v>
      </c>
      <c r="CG117" s="928"/>
      <c r="CH117" s="928"/>
      <c r="CI117" s="928"/>
      <c r="CJ117" s="925"/>
      <c r="CK117" s="925"/>
      <c r="CL117" s="925"/>
      <c r="CM117" s="925"/>
      <c r="CN117" s="925"/>
      <c r="CO117" s="925"/>
      <c r="CP117" s="925"/>
      <c r="CQ117" s="925"/>
      <c r="CR117" s="925"/>
      <c r="CS117" s="917"/>
      <c r="CT117" s="928"/>
      <c r="CU117" s="928"/>
      <c r="CV117" s="928"/>
      <c r="CX117" s="925"/>
      <c r="CY117" s="925"/>
      <c r="CZ117" s="925"/>
      <c r="DB117" s="925"/>
      <c r="DC117" s="925"/>
      <c r="DD117" s="925"/>
      <c r="DE117" s="925"/>
      <c r="DF117" s="925"/>
      <c r="DG117" s="925"/>
      <c r="DH117" s="925"/>
      <c r="DI117" s="925"/>
      <c r="DJ117" s="925"/>
      <c r="DK117" s="925"/>
      <c r="DL117" s="925"/>
      <c r="DM117" s="925"/>
      <c r="DN117" s="925"/>
      <c r="DO117" s="925"/>
      <c r="DP117" s="925"/>
      <c r="DQ117" s="924"/>
      <c r="DR117" s="925"/>
      <c r="DS117" s="925"/>
      <c r="DT117" s="925"/>
      <c r="DV117" s="925"/>
      <c r="DW117" s="925"/>
      <c r="DX117" s="925"/>
      <c r="DY117" s="925"/>
      <c r="DZ117" s="925"/>
      <c r="EA117" s="925"/>
      <c r="EB117" s="925"/>
      <c r="EC117" s="925"/>
      <c r="ED117" s="925"/>
      <c r="EE117" s="925"/>
      <c r="EF117" s="925"/>
      <c r="EG117" s="925"/>
      <c r="EH117" s="925"/>
      <c r="EI117" s="925"/>
      <c r="EJ117" s="925"/>
      <c r="EK117" s="925"/>
      <c r="EL117" s="925"/>
      <c r="EM117" s="925"/>
      <c r="EN117" s="925"/>
      <c r="EO117" s="925"/>
      <c r="EP117" s="925"/>
      <c r="EQ117" s="925"/>
      <c r="ER117" s="925"/>
      <c r="ES117" s="925"/>
      <c r="ET117" s="925"/>
      <c r="EV117" s="924"/>
      <c r="EW117" s="925"/>
      <c r="EX117" s="925"/>
      <c r="EY117" s="925"/>
    </row>
    <row r="118" spans="1:155" s="927" customFormat="1" ht="15.75" x14ac:dyDescent="0.25">
      <c r="A118" s="912" t="s">
        <v>61</v>
      </c>
      <c r="B118" s="913" t="s">
        <v>37</v>
      </c>
      <c r="C118" s="914">
        <v>7</v>
      </c>
      <c r="D118" s="914">
        <v>13132</v>
      </c>
      <c r="E118" s="915">
        <v>1.0549999999999999</v>
      </c>
      <c r="F118" s="916">
        <f t="shared" si="81"/>
        <v>13855</v>
      </c>
      <c r="G118" s="915">
        <v>1.01</v>
      </c>
      <c r="H118" s="916">
        <f t="shared" si="82"/>
        <v>13994</v>
      </c>
      <c r="I118" s="917">
        <f t="shared" si="83"/>
        <v>97958</v>
      </c>
      <c r="J118" s="918">
        <f t="shared" si="84"/>
        <v>0.11214</v>
      </c>
      <c r="K118" s="919">
        <v>10308.620000000001</v>
      </c>
      <c r="L118" s="917">
        <f t="shared" si="85"/>
        <v>10985.01</v>
      </c>
      <c r="M118" s="918">
        <f t="shared" si="86"/>
        <v>0</v>
      </c>
      <c r="N118" s="919"/>
      <c r="O118" s="917">
        <f t="shared" si="87"/>
        <v>0</v>
      </c>
      <c r="P118" s="918">
        <f t="shared" si="88"/>
        <v>0</v>
      </c>
      <c r="Q118" s="919"/>
      <c r="R118" s="917">
        <f t="shared" si="89"/>
        <v>0</v>
      </c>
      <c r="S118" s="918">
        <f t="shared" si="90"/>
        <v>0</v>
      </c>
      <c r="T118" s="919"/>
      <c r="U118" s="917">
        <f t="shared" si="91"/>
        <v>0</v>
      </c>
      <c r="V118" s="918">
        <f t="shared" si="92"/>
        <v>0</v>
      </c>
      <c r="W118" s="919"/>
      <c r="X118" s="917">
        <f t="shared" si="93"/>
        <v>0</v>
      </c>
      <c r="Y118" s="918">
        <f t="shared" si="94"/>
        <v>0</v>
      </c>
      <c r="Z118" s="919"/>
      <c r="AA118" s="917">
        <f t="shared" si="95"/>
        <v>0</v>
      </c>
      <c r="AB118" s="918">
        <f t="shared" si="96"/>
        <v>9.2859999999999998E-2</v>
      </c>
      <c r="AC118" s="919">
        <v>8535.7999999999993</v>
      </c>
      <c r="AD118" s="917">
        <f t="shared" si="97"/>
        <v>9096.3799999999992</v>
      </c>
      <c r="AE118" s="918">
        <f t="shared" si="98"/>
        <v>0</v>
      </c>
      <c r="AF118" s="919"/>
      <c r="AG118" s="917">
        <f t="shared" si="99"/>
        <v>0</v>
      </c>
      <c r="AH118" s="918">
        <f t="shared" si="100"/>
        <v>0</v>
      </c>
      <c r="AI118" s="919"/>
      <c r="AJ118" s="917">
        <f t="shared" si="101"/>
        <v>0</v>
      </c>
      <c r="AK118" s="918">
        <f t="shared" si="102"/>
        <v>0</v>
      </c>
      <c r="AL118" s="919"/>
      <c r="AM118" s="917">
        <f t="shared" si="103"/>
        <v>0</v>
      </c>
      <c r="AN118" s="920">
        <v>19242</v>
      </c>
      <c r="AO118" s="917">
        <f t="shared" si="104"/>
        <v>16654.61</v>
      </c>
      <c r="AP118" s="920"/>
      <c r="AQ118" s="916">
        <f t="shared" si="105"/>
        <v>0</v>
      </c>
      <c r="AR118" s="917">
        <f t="shared" si="106"/>
        <v>134694</v>
      </c>
      <c r="AS118" s="916">
        <v>12</v>
      </c>
      <c r="AT118" s="921">
        <f t="shared" si="107"/>
        <v>1616328</v>
      </c>
      <c r="AU118" s="920"/>
      <c r="AV118" s="922">
        <f t="shared" si="108"/>
        <v>16163.28</v>
      </c>
      <c r="AW118" s="921">
        <f t="shared" si="109"/>
        <v>1632491.28</v>
      </c>
      <c r="AX118" s="921">
        <f t="shared" si="110"/>
        <v>493012.37</v>
      </c>
      <c r="AY118" s="921">
        <f t="shared" si="111"/>
        <v>2125503.65</v>
      </c>
      <c r="AZ118" s="923">
        <f t="shared" si="112"/>
        <v>1632.5</v>
      </c>
      <c r="BA118" s="923">
        <f t="shared" si="113"/>
        <v>493</v>
      </c>
      <c r="BB118" s="923">
        <f t="shared" si="114"/>
        <v>2125.5</v>
      </c>
      <c r="BC118" s="915">
        <v>0.95</v>
      </c>
      <c r="BD118" s="923">
        <f t="shared" si="115"/>
        <v>1550.9</v>
      </c>
      <c r="BE118" s="923">
        <f t="shared" si="116"/>
        <v>468.4</v>
      </c>
      <c r="BF118" s="923">
        <f t="shared" si="117"/>
        <v>2019.3</v>
      </c>
      <c r="BG118" s="924">
        <f>'[3]свод (2024)'!$B$116</f>
        <v>0.99758349999999996</v>
      </c>
      <c r="BH118" s="923">
        <f t="shared" si="118"/>
        <v>1547.2</v>
      </c>
      <c r="BI118" s="923">
        <f t="shared" si="119"/>
        <v>467.3</v>
      </c>
      <c r="BJ118" s="923">
        <f t="shared" si="120"/>
        <v>2014.5</v>
      </c>
      <c r="BK118" s="925">
        <f t="shared" si="121"/>
        <v>-85.3</v>
      </c>
      <c r="BL118" s="925">
        <f t="shared" si="121"/>
        <v>-25.7</v>
      </c>
      <c r="BM118" s="925">
        <f t="shared" si="122"/>
        <v>-111</v>
      </c>
      <c r="BN118" s="925">
        <f t="shared" si="123"/>
        <v>0</v>
      </c>
      <c r="BO118" s="925">
        <f t="shared" si="124"/>
        <v>0</v>
      </c>
      <c r="BP118" s="926"/>
      <c r="BQ118" s="925">
        <f t="shared" si="125"/>
        <v>1547.2</v>
      </c>
      <c r="BR118" s="925">
        <f t="shared" si="125"/>
        <v>467.3</v>
      </c>
      <c r="BS118" s="925">
        <f t="shared" si="126"/>
        <v>2014.5</v>
      </c>
      <c r="BU118" s="928">
        <f t="shared" si="127"/>
        <v>7</v>
      </c>
      <c r="BV118" s="917"/>
      <c r="BW118" s="928"/>
      <c r="BX118" s="928">
        <f t="shared" si="128"/>
        <v>1632491.28</v>
      </c>
      <c r="BY118" s="928"/>
      <c r="BZ118" s="917"/>
      <c r="CA118" s="928"/>
      <c r="CB118" s="917"/>
      <c r="CC118" s="928"/>
      <c r="CD118" s="928"/>
      <c r="CE118" s="928"/>
      <c r="CF118" s="929">
        <f t="shared" si="130"/>
        <v>597621.1</v>
      </c>
      <c r="CG118" s="928"/>
      <c r="CH118" s="928"/>
      <c r="CI118" s="928"/>
      <c r="CJ118" s="925"/>
      <c r="CK118" s="925"/>
      <c r="CL118" s="925"/>
      <c r="CM118" s="925"/>
      <c r="CN118" s="925"/>
      <c r="CO118" s="925"/>
      <c r="CP118" s="925"/>
      <c r="CQ118" s="925"/>
      <c r="CR118" s="925"/>
      <c r="CS118" s="917"/>
      <c r="CT118" s="928"/>
      <c r="CU118" s="928"/>
      <c r="CV118" s="928"/>
      <c r="CX118" s="925"/>
      <c r="CY118" s="925"/>
      <c r="CZ118" s="925"/>
      <c r="DB118" s="925"/>
      <c r="DC118" s="925"/>
      <c r="DD118" s="925"/>
      <c r="DE118" s="925"/>
      <c r="DF118" s="925"/>
      <c r="DG118" s="925"/>
      <c r="DH118" s="925"/>
      <c r="DI118" s="925"/>
      <c r="DJ118" s="925"/>
      <c r="DK118" s="925"/>
      <c r="DL118" s="925"/>
      <c r="DM118" s="925"/>
      <c r="DN118" s="925"/>
      <c r="DO118" s="925"/>
      <c r="DP118" s="925"/>
      <c r="DQ118" s="924"/>
      <c r="DR118" s="925"/>
      <c r="DS118" s="925"/>
      <c r="DT118" s="925"/>
      <c r="DV118" s="925"/>
      <c r="DW118" s="925"/>
      <c r="DX118" s="925"/>
      <c r="DY118" s="925"/>
      <c r="DZ118" s="925"/>
      <c r="EA118" s="925"/>
      <c r="EB118" s="925"/>
      <c r="EC118" s="925"/>
      <c r="ED118" s="925"/>
      <c r="EE118" s="925"/>
      <c r="EF118" s="925"/>
      <c r="EG118" s="925"/>
      <c r="EH118" s="925"/>
      <c r="EI118" s="925"/>
      <c r="EJ118" s="925"/>
      <c r="EK118" s="925"/>
      <c r="EL118" s="925"/>
      <c r="EM118" s="925"/>
      <c r="EN118" s="925"/>
      <c r="EO118" s="925"/>
      <c r="EP118" s="925"/>
      <c r="EQ118" s="925"/>
      <c r="ER118" s="925"/>
      <c r="ES118" s="925"/>
      <c r="ET118" s="925"/>
      <c r="EV118" s="924"/>
      <c r="EW118" s="925"/>
      <c r="EX118" s="925"/>
      <c r="EY118" s="925"/>
    </row>
    <row r="119" spans="1:155" s="927" customFormat="1" ht="15.75" x14ac:dyDescent="0.25">
      <c r="A119" s="912" t="s">
        <v>61</v>
      </c>
      <c r="B119" s="913" t="s">
        <v>1386</v>
      </c>
      <c r="C119" s="914">
        <v>1</v>
      </c>
      <c r="D119" s="914">
        <v>13772</v>
      </c>
      <c r="E119" s="915">
        <v>1.0549999999999999</v>
      </c>
      <c r="F119" s="916">
        <f t="shared" si="81"/>
        <v>14530</v>
      </c>
      <c r="G119" s="915">
        <v>1.01</v>
      </c>
      <c r="H119" s="916">
        <f t="shared" si="82"/>
        <v>14676</v>
      </c>
      <c r="I119" s="917">
        <f t="shared" si="83"/>
        <v>14676</v>
      </c>
      <c r="J119" s="918">
        <f t="shared" si="84"/>
        <v>0.25</v>
      </c>
      <c r="K119" s="919">
        <v>3443</v>
      </c>
      <c r="L119" s="917">
        <f t="shared" si="85"/>
        <v>3669</v>
      </c>
      <c r="M119" s="918">
        <f t="shared" si="86"/>
        <v>0</v>
      </c>
      <c r="N119" s="919"/>
      <c r="O119" s="917">
        <f t="shared" si="87"/>
        <v>0</v>
      </c>
      <c r="P119" s="918">
        <f t="shared" si="88"/>
        <v>0</v>
      </c>
      <c r="Q119" s="919"/>
      <c r="R119" s="917">
        <f t="shared" si="89"/>
        <v>0</v>
      </c>
      <c r="S119" s="918">
        <f t="shared" si="90"/>
        <v>0</v>
      </c>
      <c r="T119" s="919"/>
      <c r="U119" s="917">
        <f t="shared" si="91"/>
        <v>0</v>
      </c>
      <c r="V119" s="918">
        <f t="shared" si="92"/>
        <v>0</v>
      </c>
      <c r="W119" s="919"/>
      <c r="X119" s="917">
        <f t="shared" si="93"/>
        <v>0</v>
      </c>
      <c r="Y119" s="918">
        <f t="shared" si="94"/>
        <v>0</v>
      </c>
      <c r="Z119" s="919"/>
      <c r="AA119" s="917">
        <f t="shared" si="95"/>
        <v>0</v>
      </c>
      <c r="AB119" s="918">
        <f t="shared" si="96"/>
        <v>0.2</v>
      </c>
      <c r="AC119" s="919">
        <v>2754.4</v>
      </c>
      <c r="AD119" s="917">
        <f t="shared" si="97"/>
        <v>2935.2</v>
      </c>
      <c r="AE119" s="918">
        <f t="shared" si="98"/>
        <v>0</v>
      </c>
      <c r="AF119" s="919"/>
      <c r="AG119" s="917">
        <f t="shared" si="99"/>
        <v>0</v>
      </c>
      <c r="AH119" s="918">
        <f t="shared" si="100"/>
        <v>0</v>
      </c>
      <c r="AI119" s="919"/>
      <c r="AJ119" s="917">
        <f t="shared" si="101"/>
        <v>0</v>
      </c>
      <c r="AK119" s="918">
        <f t="shared" si="102"/>
        <v>0</v>
      </c>
      <c r="AL119" s="919"/>
      <c r="AM119" s="917">
        <f t="shared" si="103"/>
        <v>0</v>
      </c>
      <c r="AN119" s="920">
        <v>19242</v>
      </c>
      <c r="AO119" s="917">
        <f t="shared" si="104"/>
        <v>0</v>
      </c>
      <c r="AP119" s="920"/>
      <c r="AQ119" s="916">
        <f t="shared" si="105"/>
        <v>0</v>
      </c>
      <c r="AR119" s="917">
        <f t="shared" si="106"/>
        <v>21280.2</v>
      </c>
      <c r="AS119" s="916">
        <v>12</v>
      </c>
      <c r="AT119" s="921">
        <f t="shared" si="107"/>
        <v>255362.4</v>
      </c>
      <c r="AU119" s="920"/>
      <c r="AV119" s="922">
        <f t="shared" si="108"/>
        <v>2553.62</v>
      </c>
      <c r="AW119" s="921">
        <f t="shared" si="109"/>
        <v>257916.02</v>
      </c>
      <c r="AX119" s="921">
        <f t="shared" si="110"/>
        <v>77890.64</v>
      </c>
      <c r="AY119" s="921">
        <f t="shared" si="111"/>
        <v>335806.66</v>
      </c>
      <c r="AZ119" s="923">
        <f t="shared" si="112"/>
        <v>257.89999999999998</v>
      </c>
      <c r="BA119" s="923">
        <f t="shared" si="113"/>
        <v>77.900000000000006</v>
      </c>
      <c r="BB119" s="923">
        <f t="shared" si="114"/>
        <v>335.8</v>
      </c>
      <c r="BC119" s="915">
        <v>0.95</v>
      </c>
      <c r="BD119" s="923">
        <f t="shared" si="115"/>
        <v>245</v>
      </c>
      <c r="BE119" s="923">
        <f t="shared" si="116"/>
        <v>74</v>
      </c>
      <c r="BF119" s="923">
        <f t="shared" si="117"/>
        <v>319</v>
      </c>
      <c r="BG119" s="924">
        <f>'[3]свод (2024)'!$B$116</f>
        <v>0.99758349999999996</v>
      </c>
      <c r="BH119" s="923">
        <f t="shared" si="118"/>
        <v>244.4</v>
      </c>
      <c r="BI119" s="923">
        <f t="shared" si="119"/>
        <v>73.8</v>
      </c>
      <c r="BJ119" s="923">
        <f t="shared" si="120"/>
        <v>318.2</v>
      </c>
      <c r="BK119" s="925">
        <f t="shared" si="121"/>
        <v>-13.5</v>
      </c>
      <c r="BL119" s="925">
        <f t="shared" si="121"/>
        <v>-4.0999999999999996</v>
      </c>
      <c r="BM119" s="925">
        <f t="shared" si="122"/>
        <v>-17.600000000000001</v>
      </c>
      <c r="BN119" s="925">
        <f t="shared" si="123"/>
        <v>0</v>
      </c>
      <c r="BO119" s="925">
        <f t="shared" si="124"/>
        <v>0</v>
      </c>
      <c r="BP119" s="926"/>
      <c r="BQ119" s="925">
        <f t="shared" si="125"/>
        <v>244.4</v>
      </c>
      <c r="BR119" s="925">
        <f t="shared" si="125"/>
        <v>73.8</v>
      </c>
      <c r="BS119" s="925">
        <f t="shared" si="126"/>
        <v>318.2</v>
      </c>
      <c r="BU119" s="928">
        <f t="shared" si="127"/>
        <v>1</v>
      </c>
      <c r="BV119" s="917"/>
      <c r="BW119" s="928"/>
      <c r="BX119" s="928">
        <f t="shared" si="128"/>
        <v>257916.02</v>
      </c>
      <c r="BY119" s="928"/>
      <c r="BZ119" s="917"/>
      <c r="CA119" s="928"/>
      <c r="CB119" s="917"/>
      <c r="CC119" s="928"/>
      <c r="CD119" s="928"/>
      <c r="CE119" s="928"/>
      <c r="CF119" s="929">
        <f t="shared" si="130"/>
        <v>85374.44</v>
      </c>
      <c r="CG119" s="928"/>
      <c r="CH119" s="928"/>
      <c r="CI119" s="928"/>
      <c r="CJ119" s="925"/>
      <c r="CK119" s="925"/>
      <c r="CL119" s="925"/>
      <c r="CM119" s="925"/>
      <c r="CN119" s="925"/>
      <c r="CO119" s="925"/>
      <c r="CP119" s="925"/>
      <c r="CQ119" s="925"/>
      <c r="CR119" s="925"/>
      <c r="CS119" s="917"/>
      <c r="CT119" s="928"/>
      <c r="CU119" s="928"/>
      <c r="CV119" s="928"/>
      <c r="CX119" s="925"/>
      <c r="CY119" s="925"/>
      <c r="CZ119" s="925"/>
      <c r="DB119" s="925"/>
      <c r="DC119" s="925"/>
      <c r="DD119" s="925"/>
      <c r="DE119" s="925"/>
      <c r="DF119" s="925"/>
      <c r="DG119" s="925"/>
      <c r="DH119" s="925"/>
      <c r="DI119" s="925"/>
      <c r="DJ119" s="925"/>
      <c r="DK119" s="925"/>
      <c r="DL119" s="925"/>
      <c r="DM119" s="925"/>
      <c r="DN119" s="925"/>
      <c r="DO119" s="925"/>
      <c r="DP119" s="925"/>
      <c r="DQ119" s="924"/>
      <c r="DR119" s="925"/>
      <c r="DS119" s="925"/>
      <c r="DT119" s="925"/>
      <c r="DV119" s="925"/>
      <c r="DW119" s="925"/>
      <c r="DX119" s="925"/>
      <c r="DY119" s="925"/>
      <c r="DZ119" s="925"/>
      <c r="EA119" s="925"/>
      <c r="EB119" s="925"/>
      <c r="EC119" s="925"/>
      <c r="ED119" s="925"/>
      <c r="EE119" s="925"/>
      <c r="EF119" s="925"/>
      <c r="EG119" s="925"/>
      <c r="EH119" s="925"/>
      <c r="EI119" s="925"/>
      <c r="EJ119" s="925"/>
      <c r="EK119" s="925"/>
      <c r="EL119" s="925"/>
      <c r="EM119" s="925"/>
      <c r="EN119" s="925"/>
      <c r="EO119" s="925"/>
      <c r="EP119" s="925"/>
      <c r="EQ119" s="925"/>
      <c r="ER119" s="925"/>
      <c r="ES119" s="925"/>
      <c r="ET119" s="925"/>
      <c r="EV119" s="924"/>
      <c r="EW119" s="925"/>
      <c r="EX119" s="925"/>
      <c r="EY119" s="925"/>
    </row>
    <row r="120" spans="1:155" s="927" customFormat="1" ht="24" x14ac:dyDescent="0.25">
      <c r="A120" s="912" t="s">
        <v>61</v>
      </c>
      <c r="B120" s="913" t="s">
        <v>1400</v>
      </c>
      <c r="C120" s="914">
        <v>3</v>
      </c>
      <c r="D120" s="914">
        <v>4588</v>
      </c>
      <c r="E120" s="915">
        <v>1.0549999999999999</v>
      </c>
      <c r="F120" s="916">
        <f t="shared" si="81"/>
        <v>4841</v>
      </c>
      <c r="G120" s="915">
        <v>1.01</v>
      </c>
      <c r="H120" s="916">
        <f t="shared" si="82"/>
        <v>4890</v>
      </c>
      <c r="I120" s="917">
        <f t="shared" si="83"/>
        <v>14670</v>
      </c>
      <c r="J120" s="918">
        <f t="shared" si="84"/>
        <v>0</v>
      </c>
      <c r="K120" s="919"/>
      <c r="L120" s="917">
        <f t="shared" si="85"/>
        <v>0</v>
      </c>
      <c r="M120" s="918">
        <f t="shared" si="86"/>
        <v>0</v>
      </c>
      <c r="N120" s="919"/>
      <c r="O120" s="917">
        <f t="shared" si="87"/>
        <v>0</v>
      </c>
      <c r="P120" s="918">
        <f t="shared" si="88"/>
        <v>0</v>
      </c>
      <c r="Q120" s="919"/>
      <c r="R120" s="917">
        <f t="shared" si="89"/>
        <v>0</v>
      </c>
      <c r="S120" s="918">
        <f t="shared" si="90"/>
        <v>0</v>
      </c>
      <c r="T120" s="919"/>
      <c r="U120" s="917">
        <f t="shared" si="91"/>
        <v>0</v>
      </c>
      <c r="V120" s="918">
        <f t="shared" si="92"/>
        <v>0</v>
      </c>
      <c r="W120" s="919"/>
      <c r="X120" s="917">
        <f t="shared" si="93"/>
        <v>0</v>
      </c>
      <c r="Y120" s="918">
        <f t="shared" si="94"/>
        <v>0</v>
      </c>
      <c r="Z120" s="919"/>
      <c r="AA120" s="917">
        <f t="shared" si="95"/>
        <v>0</v>
      </c>
      <c r="AB120" s="918">
        <f t="shared" si="96"/>
        <v>0</v>
      </c>
      <c r="AC120" s="919"/>
      <c r="AD120" s="917">
        <f t="shared" si="97"/>
        <v>0</v>
      </c>
      <c r="AE120" s="918">
        <f t="shared" si="98"/>
        <v>0</v>
      </c>
      <c r="AF120" s="919"/>
      <c r="AG120" s="917">
        <f t="shared" si="99"/>
        <v>0</v>
      </c>
      <c r="AH120" s="918">
        <f t="shared" si="100"/>
        <v>0</v>
      </c>
      <c r="AI120" s="919"/>
      <c r="AJ120" s="917">
        <f t="shared" si="101"/>
        <v>0</v>
      </c>
      <c r="AK120" s="918">
        <f t="shared" si="102"/>
        <v>0</v>
      </c>
      <c r="AL120" s="919"/>
      <c r="AM120" s="917">
        <f t="shared" si="103"/>
        <v>0</v>
      </c>
      <c r="AN120" s="920">
        <v>19242</v>
      </c>
      <c r="AO120" s="917">
        <f t="shared" si="104"/>
        <v>43056</v>
      </c>
      <c r="AP120" s="920"/>
      <c r="AQ120" s="916">
        <f t="shared" si="105"/>
        <v>0</v>
      </c>
      <c r="AR120" s="917">
        <f t="shared" si="106"/>
        <v>57726</v>
      </c>
      <c r="AS120" s="916">
        <v>12</v>
      </c>
      <c r="AT120" s="921">
        <f t="shared" si="107"/>
        <v>692712</v>
      </c>
      <c r="AU120" s="920"/>
      <c r="AV120" s="922">
        <f t="shared" si="108"/>
        <v>6927.12</v>
      </c>
      <c r="AW120" s="921">
        <f t="shared" si="109"/>
        <v>699639.12</v>
      </c>
      <c r="AX120" s="921">
        <f t="shared" si="110"/>
        <v>211291.01</v>
      </c>
      <c r="AY120" s="921">
        <f t="shared" si="111"/>
        <v>910930.13</v>
      </c>
      <c r="AZ120" s="923">
        <f t="shared" si="112"/>
        <v>699.6</v>
      </c>
      <c r="BA120" s="923">
        <f t="shared" si="113"/>
        <v>211.3</v>
      </c>
      <c r="BB120" s="923">
        <f t="shared" si="114"/>
        <v>910.9</v>
      </c>
      <c r="BC120" s="915">
        <v>0.95</v>
      </c>
      <c r="BD120" s="923">
        <f t="shared" si="115"/>
        <v>664.6</v>
      </c>
      <c r="BE120" s="923">
        <f t="shared" si="116"/>
        <v>200.7</v>
      </c>
      <c r="BF120" s="923">
        <f t="shared" si="117"/>
        <v>865.3</v>
      </c>
      <c r="BG120" s="924">
        <f>'[3]свод (2024)'!$B$116</f>
        <v>0.99758349999999996</v>
      </c>
      <c r="BH120" s="923">
        <f t="shared" si="118"/>
        <v>663</v>
      </c>
      <c r="BI120" s="923">
        <f t="shared" si="119"/>
        <v>200.2</v>
      </c>
      <c r="BJ120" s="923">
        <f t="shared" si="120"/>
        <v>863.2</v>
      </c>
      <c r="BK120" s="925">
        <f t="shared" si="121"/>
        <v>-36.6</v>
      </c>
      <c r="BL120" s="925">
        <f t="shared" si="121"/>
        <v>-11.1</v>
      </c>
      <c r="BM120" s="925">
        <f t="shared" si="122"/>
        <v>-47.7</v>
      </c>
      <c r="BN120" s="925">
        <f t="shared" si="123"/>
        <v>0</v>
      </c>
      <c r="BO120" s="925">
        <f t="shared" si="124"/>
        <v>0</v>
      </c>
      <c r="BP120" s="926"/>
      <c r="BQ120" s="925">
        <f t="shared" si="125"/>
        <v>663</v>
      </c>
      <c r="BR120" s="925">
        <f t="shared" si="125"/>
        <v>200.2</v>
      </c>
      <c r="BS120" s="925">
        <f t="shared" si="126"/>
        <v>863.2</v>
      </c>
      <c r="BU120" s="928"/>
      <c r="BV120" s="917"/>
      <c r="BW120" s="928"/>
      <c r="BX120" s="928"/>
      <c r="BY120" s="928"/>
      <c r="BZ120" s="917"/>
      <c r="CA120" s="928"/>
      <c r="CB120" s="917"/>
      <c r="CC120" s="928"/>
      <c r="CD120" s="928"/>
      <c r="CE120" s="928"/>
      <c r="CF120" s="929"/>
      <c r="CG120" s="928"/>
      <c r="CH120" s="928"/>
      <c r="CI120" s="928"/>
      <c r="CJ120" s="925"/>
      <c r="CK120" s="925"/>
      <c r="CL120" s="925"/>
      <c r="CM120" s="925"/>
      <c r="CN120" s="925"/>
      <c r="CO120" s="925"/>
      <c r="CP120" s="925"/>
      <c r="CQ120" s="925"/>
      <c r="CR120" s="925"/>
      <c r="CS120" s="917"/>
      <c r="CT120" s="928"/>
      <c r="CU120" s="928"/>
      <c r="CV120" s="928"/>
      <c r="CX120" s="925"/>
      <c r="CY120" s="925"/>
      <c r="CZ120" s="925"/>
      <c r="DB120" s="925"/>
      <c r="DC120" s="925"/>
      <c r="DD120" s="925"/>
      <c r="DE120" s="925"/>
      <c r="DF120" s="925"/>
      <c r="DG120" s="925"/>
      <c r="DH120" s="925"/>
      <c r="DI120" s="925"/>
      <c r="DJ120" s="925"/>
      <c r="DK120" s="925"/>
      <c r="DL120" s="925"/>
      <c r="DM120" s="925"/>
      <c r="DN120" s="925"/>
      <c r="DO120" s="925"/>
      <c r="DP120" s="925"/>
      <c r="DQ120" s="924"/>
      <c r="DR120" s="925"/>
      <c r="DS120" s="925"/>
      <c r="DT120" s="925"/>
      <c r="DV120" s="925"/>
      <c r="DW120" s="925"/>
      <c r="DX120" s="925"/>
      <c r="DY120" s="925"/>
      <c r="DZ120" s="925"/>
      <c r="EA120" s="925"/>
      <c r="EB120" s="925"/>
      <c r="EC120" s="925"/>
      <c r="ED120" s="925"/>
      <c r="EE120" s="925"/>
      <c r="EF120" s="925"/>
      <c r="EG120" s="925"/>
      <c r="EH120" s="925"/>
      <c r="EI120" s="925"/>
      <c r="EJ120" s="925"/>
      <c r="EK120" s="925"/>
      <c r="EL120" s="925"/>
      <c r="EM120" s="925"/>
      <c r="EN120" s="925"/>
      <c r="EO120" s="925"/>
      <c r="EP120" s="925"/>
      <c r="EQ120" s="925"/>
      <c r="ER120" s="925"/>
      <c r="ES120" s="925"/>
      <c r="ET120" s="925"/>
      <c r="EV120" s="924"/>
      <c r="EW120" s="925"/>
      <c r="EX120" s="925"/>
      <c r="EY120" s="925"/>
    </row>
    <row r="121" spans="1:155" s="927" customFormat="1" ht="15.75" x14ac:dyDescent="0.25">
      <c r="A121" s="912" t="s">
        <v>61</v>
      </c>
      <c r="B121" s="913" t="s">
        <v>1401</v>
      </c>
      <c r="C121" s="914">
        <v>2</v>
      </c>
      <c r="D121" s="914">
        <v>4588</v>
      </c>
      <c r="E121" s="915">
        <v>1.0549999999999999</v>
      </c>
      <c r="F121" s="916">
        <f t="shared" si="81"/>
        <v>4841</v>
      </c>
      <c r="G121" s="915">
        <v>1.01</v>
      </c>
      <c r="H121" s="916">
        <f t="shared" si="82"/>
        <v>4890</v>
      </c>
      <c r="I121" s="917">
        <f t="shared" si="83"/>
        <v>9780</v>
      </c>
      <c r="J121" s="918">
        <f t="shared" si="84"/>
        <v>0</v>
      </c>
      <c r="K121" s="919"/>
      <c r="L121" s="917">
        <f t="shared" si="85"/>
        <v>0</v>
      </c>
      <c r="M121" s="918">
        <f t="shared" si="86"/>
        <v>0</v>
      </c>
      <c r="N121" s="919"/>
      <c r="O121" s="917">
        <f t="shared" si="87"/>
        <v>0</v>
      </c>
      <c r="P121" s="918">
        <f t="shared" si="88"/>
        <v>0</v>
      </c>
      <c r="Q121" s="919"/>
      <c r="R121" s="917">
        <f t="shared" si="89"/>
        <v>0</v>
      </c>
      <c r="S121" s="918">
        <f t="shared" si="90"/>
        <v>0</v>
      </c>
      <c r="T121" s="919"/>
      <c r="U121" s="917">
        <f t="shared" si="91"/>
        <v>0</v>
      </c>
      <c r="V121" s="918">
        <f t="shared" si="92"/>
        <v>0</v>
      </c>
      <c r="W121" s="919"/>
      <c r="X121" s="917">
        <f t="shared" si="93"/>
        <v>0</v>
      </c>
      <c r="Y121" s="918">
        <f t="shared" si="94"/>
        <v>0</v>
      </c>
      <c r="Z121" s="919"/>
      <c r="AA121" s="917">
        <f t="shared" si="95"/>
        <v>0</v>
      </c>
      <c r="AB121" s="918">
        <f t="shared" si="96"/>
        <v>0</v>
      </c>
      <c r="AC121" s="919"/>
      <c r="AD121" s="917">
        <f t="shared" si="97"/>
        <v>0</v>
      </c>
      <c r="AE121" s="918">
        <f t="shared" si="98"/>
        <v>0</v>
      </c>
      <c r="AF121" s="919"/>
      <c r="AG121" s="917">
        <f t="shared" si="99"/>
        <v>0</v>
      </c>
      <c r="AH121" s="918">
        <f t="shared" si="100"/>
        <v>0</v>
      </c>
      <c r="AI121" s="919"/>
      <c r="AJ121" s="917">
        <f t="shared" si="101"/>
        <v>0</v>
      </c>
      <c r="AK121" s="918">
        <f t="shared" si="102"/>
        <v>0</v>
      </c>
      <c r="AL121" s="919"/>
      <c r="AM121" s="917">
        <f t="shared" si="103"/>
        <v>0</v>
      </c>
      <c r="AN121" s="920">
        <v>19242</v>
      </c>
      <c r="AO121" s="917">
        <f t="shared" si="104"/>
        <v>28704</v>
      </c>
      <c r="AP121" s="920"/>
      <c r="AQ121" s="916">
        <f t="shared" si="105"/>
        <v>0</v>
      </c>
      <c r="AR121" s="917">
        <f t="shared" si="106"/>
        <v>38484</v>
      </c>
      <c r="AS121" s="916">
        <v>12</v>
      </c>
      <c r="AT121" s="921">
        <f t="shared" si="107"/>
        <v>461808</v>
      </c>
      <c r="AU121" s="920">
        <f>AT121*0.085</f>
        <v>39253.68</v>
      </c>
      <c r="AV121" s="922">
        <f t="shared" si="108"/>
        <v>4618.08</v>
      </c>
      <c r="AW121" s="921">
        <f t="shared" si="109"/>
        <v>505679.76</v>
      </c>
      <c r="AX121" s="921">
        <f t="shared" si="110"/>
        <v>152715.29</v>
      </c>
      <c r="AY121" s="921">
        <f t="shared" si="111"/>
        <v>658395.05000000005</v>
      </c>
      <c r="AZ121" s="923">
        <f t="shared" si="112"/>
        <v>505.7</v>
      </c>
      <c r="BA121" s="923">
        <f t="shared" si="113"/>
        <v>152.69999999999999</v>
      </c>
      <c r="BB121" s="923">
        <f t="shared" si="114"/>
        <v>658.4</v>
      </c>
      <c r="BC121" s="915">
        <v>0.95</v>
      </c>
      <c r="BD121" s="923">
        <f t="shared" si="115"/>
        <v>480.4</v>
      </c>
      <c r="BE121" s="923">
        <f t="shared" si="116"/>
        <v>145.1</v>
      </c>
      <c r="BF121" s="923">
        <f t="shared" si="117"/>
        <v>625.5</v>
      </c>
      <c r="BG121" s="924">
        <f>'[3]свод (2024)'!$B$116</f>
        <v>0.99758349999999996</v>
      </c>
      <c r="BH121" s="923">
        <f t="shared" si="118"/>
        <v>479.2</v>
      </c>
      <c r="BI121" s="923">
        <f t="shared" si="119"/>
        <v>144.69999999999999</v>
      </c>
      <c r="BJ121" s="923">
        <f t="shared" si="120"/>
        <v>623.9</v>
      </c>
      <c r="BK121" s="925">
        <f t="shared" si="121"/>
        <v>-26.5</v>
      </c>
      <c r="BL121" s="925">
        <f t="shared" si="121"/>
        <v>-8</v>
      </c>
      <c r="BM121" s="925">
        <f t="shared" si="122"/>
        <v>-34.5</v>
      </c>
      <c r="BN121" s="925">
        <f t="shared" si="123"/>
        <v>0</v>
      </c>
      <c r="BO121" s="925">
        <f t="shared" si="124"/>
        <v>0</v>
      </c>
      <c r="BP121" s="926"/>
      <c r="BQ121" s="925">
        <f t="shared" si="125"/>
        <v>479.2</v>
      </c>
      <c r="BR121" s="925">
        <f t="shared" si="125"/>
        <v>144.69999999999999</v>
      </c>
      <c r="BS121" s="925">
        <f t="shared" si="126"/>
        <v>623.9</v>
      </c>
      <c r="BU121" s="928"/>
      <c r="BV121" s="917"/>
      <c r="BW121" s="928"/>
      <c r="BX121" s="928"/>
      <c r="BY121" s="928"/>
      <c r="BZ121" s="917"/>
      <c r="CA121" s="928"/>
      <c r="CB121" s="917"/>
      <c r="CC121" s="928"/>
      <c r="CD121" s="928"/>
      <c r="CE121" s="928"/>
      <c r="CF121" s="929"/>
      <c r="CG121" s="928"/>
      <c r="CH121" s="928"/>
      <c r="CI121" s="928"/>
      <c r="CJ121" s="925"/>
      <c r="CK121" s="925"/>
      <c r="CL121" s="925"/>
      <c r="CM121" s="925"/>
      <c r="CN121" s="925"/>
      <c r="CO121" s="925"/>
      <c r="CP121" s="925"/>
      <c r="CQ121" s="925"/>
      <c r="CR121" s="925"/>
      <c r="CS121" s="917"/>
      <c r="CT121" s="928"/>
      <c r="CU121" s="928"/>
      <c r="CV121" s="928"/>
      <c r="CX121" s="925"/>
      <c r="CY121" s="925"/>
      <c r="CZ121" s="925"/>
      <c r="DB121" s="925"/>
      <c r="DC121" s="925"/>
      <c r="DD121" s="925"/>
      <c r="DE121" s="925"/>
      <c r="DF121" s="925"/>
      <c r="DG121" s="925"/>
      <c r="DH121" s="925"/>
      <c r="DI121" s="925"/>
      <c r="DJ121" s="925"/>
      <c r="DK121" s="925"/>
      <c r="DL121" s="925"/>
      <c r="DM121" s="925"/>
      <c r="DN121" s="925"/>
      <c r="DO121" s="925"/>
      <c r="DP121" s="925"/>
      <c r="DQ121" s="924"/>
      <c r="DR121" s="925"/>
      <c r="DS121" s="925"/>
      <c r="DT121" s="925"/>
      <c r="DV121" s="925"/>
      <c r="DW121" s="925"/>
      <c r="DX121" s="925"/>
      <c r="DY121" s="925"/>
      <c r="DZ121" s="925"/>
      <c r="EA121" s="925"/>
      <c r="EB121" s="925"/>
      <c r="EC121" s="925"/>
      <c r="ED121" s="925"/>
      <c r="EE121" s="925"/>
      <c r="EF121" s="925"/>
      <c r="EG121" s="925"/>
      <c r="EH121" s="925"/>
      <c r="EI121" s="925"/>
      <c r="EJ121" s="925"/>
      <c r="EK121" s="925"/>
      <c r="EL121" s="925"/>
      <c r="EM121" s="925"/>
      <c r="EN121" s="925"/>
      <c r="EO121" s="925"/>
      <c r="EP121" s="925"/>
      <c r="EQ121" s="925"/>
      <c r="ER121" s="925"/>
      <c r="ES121" s="925"/>
      <c r="ET121" s="925"/>
      <c r="EV121" s="924"/>
      <c r="EW121" s="925"/>
      <c r="EX121" s="925"/>
      <c r="EY121" s="925"/>
    </row>
    <row r="122" spans="1:155" s="927" customFormat="1" ht="15.75" x14ac:dyDescent="0.25">
      <c r="A122" s="912" t="s">
        <v>61</v>
      </c>
      <c r="B122" s="913" t="s">
        <v>41</v>
      </c>
      <c r="C122" s="914">
        <v>1</v>
      </c>
      <c r="D122" s="914">
        <v>7912</v>
      </c>
      <c r="E122" s="915">
        <v>1.0549999999999999</v>
      </c>
      <c r="F122" s="916">
        <f t="shared" si="81"/>
        <v>8348</v>
      </c>
      <c r="G122" s="915">
        <v>1.01</v>
      </c>
      <c r="H122" s="916">
        <f t="shared" si="82"/>
        <v>8432</v>
      </c>
      <c r="I122" s="917">
        <f t="shared" si="83"/>
        <v>8432</v>
      </c>
      <c r="J122" s="918">
        <f t="shared" si="84"/>
        <v>0</v>
      </c>
      <c r="K122" s="919"/>
      <c r="L122" s="917">
        <f t="shared" si="85"/>
        <v>0</v>
      </c>
      <c r="M122" s="918">
        <f t="shared" si="86"/>
        <v>0.04</v>
      </c>
      <c r="N122" s="919">
        <v>316.48</v>
      </c>
      <c r="O122" s="917">
        <f t="shared" si="87"/>
        <v>337.28</v>
      </c>
      <c r="P122" s="918">
        <f t="shared" si="88"/>
        <v>0</v>
      </c>
      <c r="Q122" s="919"/>
      <c r="R122" s="917">
        <f t="shared" si="89"/>
        <v>0</v>
      </c>
      <c r="S122" s="918">
        <f t="shared" si="90"/>
        <v>0.15</v>
      </c>
      <c r="T122" s="919">
        <v>1186.8</v>
      </c>
      <c r="U122" s="917">
        <f t="shared" si="91"/>
        <v>1264.8</v>
      </c>
      <c r="V122" s="918">
        <f t="shared" si="92"/>
        <v>0</v>
      </c>
      <c r="W122" s="919"/>
      <c r="X122" s="917">
        <f t="shared" si="93"/>
        <v>0</v>
      </c>
      <c r="Y122" s="918">
        <f t="shared" si="94"/>
        <v>1.99</v>
      </c>
      <c r="Z122" s="919">
        <v>15744.88</v>
      </c>
      <c r="AA122" s="917">
        <f t="shared" si="95"/>
        <v>16779.68</v>
      </c>
      <c r="AB122" s="918">
        <f t="shared" si="96"/>
        <v>0.15</v>
      </c>
      <c r="AC122" s="919">
        <v>1186.8</v>
      </c>
      <c r="AD122" s="917">
        <f t="shared" si="97"/>
        <v>1264.8</v>
      </c>
      <c r="AE122" s="918">
        <f t="shared" si="98"/>
        <v>0</v>
      </c>
      <c r="AF122" s="919"/>
      <c r="AG122" s="917">
        <f t="shared" si="99"/>
        <v>0</v>
      </c>
      <c r="AH122" s="918">
        <f t="shared" si="100"/>
        <v>0</v>
      </c>
      <c r="AI122" s="919"/>
      <c r="AJ122" s="917">
        <f t="shared" si="101"/>
        <v>0</v>
      </c>
      <c r="AK122" s="918">
        <f t="shared" si="102"/>
        <v>0</v>
      </c>
      <c r="AL122" s="919"/>
      <c r="AM122" s="917">
        <f t="shared" si="103"/>
        <v>0</v>
      </c>
      <c r="AN122" s="920">
        <v>19242</v>
      </c>
      <c r="AO122" s="917">
        <f t="shared" si="104"/>
        <v>0</v>
      </c>
      <c r="AP122" s="920"/>
      <c r="AQ122" s="916">
        <f t="shared" si="105"/>
        <v>0</v>
      </c>
      <c r="AR122" s="917">
        <f t="shared" si="106"/>
        <v>28078.560000000001</v>
      </c>
      <c r="AS122" s="916">
        <v>12</v>
      </c>
      <c r="AT122" s="921">
        <f t="shared" si="107"/>
        <v>336942.72</v>
      </c>
      <c r="AU122" s="920"/>
      <c r="AV122" s="922">
        <f t="shared" si="108"/>
        <v>3369.43</v>
      </c>
      <c r="AW122" s="921">
        <f t="shared" si="109"/>
        <v>340312.15</v>
      </c>
      <c r="AX122" s="921">
        <f t="shared" si="110"/>
        <v>102774.27</v>
      </c>
      <c r="AY122" s="921">
        <f t="shared" si="111"/>
        <v>443086.42</v>
      </c>
      <c r="AZ122" s="923">
        <f t="shared" si="112"/>
        <v>340.3</v>
      </c>
      <c r="BA122" s="923">
        <f t="shared" si="113"/>
        <v>102.8</v>
      </c>
      <c r="BB122" s="923">
        <f t="shared" si="114"/>
        <v>443.1</v>
      </c>
      <c r="BC122" s="915">
        <v>0.95</v>
      </c>
      <c r="BD122" s="923">
        <f t="shared" si="115"/>
        <v>323.3</v>
      </c>
      <c r="BE122" s="923">
        <f t="shared" si="116"/>
        <v>97.6</v>
      </c>
      <c r="BF122" s="923">
        <f t="shared" si="117"/>
        <v>420.9</v>
      </c>
      <c r="BG122" s="924">
        <f>'[3]свод (2024)'!$B$116</f>
        <v>0.99758349999999996</v>
      </c>
      <c r="BH122" s="923">
        <f t="shared" si="118"/>
        <v>322.5</v>
      </c>
      <c r="BI122" s="923">
        <f t="shared" si="119"/>
        <v>97.4</v>
      </c>
      <c r="BJ122" s="923">
        <f t="shared" si="120"/>
        <v>419.9</v>
      </c>
      <c r="BK122" s="925">
        <f t="shared" si="121"/>
        <v>-17.8</v>
      </c>
      <c r="BL122" s="925">
        <f t="shared" si="121"/>
        <v>-5.4</v>
      </c>
      <c r="BM122" s="925">
        <f t="shared" si="122"/>
        <v>-23.2</v>
      </c>
      <c r="BN122" s="925">
        <f t="shared" si="123"/>
        <v>0</v>
      </c>
      <c r="BO122" s="925">
        <f t="shared" si="124"/>
        <v>0</v>
      </c>
      <c r="BP122" s="926"/>
      <c r="BQ122" s="925">
        <f t="shared" si="125"/>
        <v>322.5</v>
      </c>
      <c r="BR122" s="925">
        <f t="shared" si="125"/>
        <v>97.4</v>
      </c>
      <c r="BS122" s="925">
        <f t="shared" si="126"/>
        <v>419.9</v>
      </c>
      <c r="BU122" s="928"/>
      <c r="BV122" s="917"/>
      <c r="BW122" s="928"/>
      <c r="BX122" s="928"/>
      <c r="BY122" s="928"/>
      <c r="BZ122" s="917"/>
      <c r="CA122" s="928"/>
      <c r="CB122" s="917"/>
      <c r="CC122" s="928"/>
      <c r="CD122" s="928"/>
      <c r="CE122" s="928"/>
      <c r="CF122" s="929"/>
      <c r="CG122" s="928"/>
      <c r="CH122" s="928"/>
      <c r="CI122" s="928"/>
      <c r="CJ122" s="925"/>
      <c r="CK122" s="925"/>
      <c r="CL122" s="925"/>
      <c r="CM122" s="925"/>
      <c r="CN122" s="925"/>
      <c r="CO122" s="925"/>
      <c r="CP122" s="925"/>
      <c r="CQ122" s="925"/>
      <c r="CR122" s="925"/>
      <c r="CS122" s="917"/>
      <c r="CT122" s="928"/>
      <c r="CU122" s="928"/>
      <c r="CV122" s="928"/>
      <c r="CX122" s="925"/>
      <c r="CY122" s="925"/>
      <c r="CZ122" s="925"/>
      <c r="DB122" s="925"/>
      <c r="DC122" s="925"/>
      <c r="DD122" s="925"/>
      <c r="DE122" s="925"/>
      <c r="DF122" s="925"/>
      <c r="DG122" s="925"/>
      <c r="DH122" s="925"/>
      <c r="DI122" s="925"/>
      <c r="DJ122" s="925"/>
      <c r="DK122" s="925"/>
      <c r="DL122" s="925"/>
      <c r="DM122" s="925"/>
      <c r="DN122" s="925"/>
      <c r="DO122" s="925"/>
      <c r="DP122" s="925"/>
      <c r="DQ122" s="924"/>
      <c r="DR122" s="925"/>
      <c r="DS122" s="925"/>
      <c r="DT122" s="925"/>
      <c r="DV122" s="925"/>
      <c r="DW122" s="925"/>
      <c r="DX122" s="925"/>
      <c r="DY122" s="925"/>
      <c r="DZ122" s="925"/>
      <c r="EA122" s="925"/>
      <c r="EB122" s="925"/>
      <c r="EC122" s="925"/>
      <c r="ED122" s="925"/>
      <c r="EE122" s="925"/>
      <c r="EF122" s="925"/>
      <c r="EG122" s="925"/>
      <c r="EH122" s="925"/>
      <c r="EI122" s="925"/>
      <c r="EJ122" s="925"/>
      <c r="EK122" s="925"/>
      <c r="EL122" s="925"/>
      <c r="EM122" s="925"/>
      <c r="EN122" s="925"/>
      <c r="EO122" s="925"/>
      <c r="EP122" s="925"/>
      <c r="EQ122" s="925"/>
      <c r="ER122" s="925"/>
      <c r="ES122" s="925"/>
      <c r="ET122" s="925"/>
      <c r="EV122" s="924"/>
      <c r="EW122" s="925"/>
      <c r="EX122" s="925"/>
      <c r="EY122" s="925"/>
    </row>
    <row r="123" spans="1:155" s="927" customFormat="1" ht="15.75" x14ac:dyDescent="0.25">
      <c r="A123" s="912" t="s">
        <v>61</v>
      </c>
      <c r="B123" s="913" t="s">
        <v>1402</v>
      </c>
      <c r="C123" s="914">
        <v>1.5</v>
      </c>
      <c r="D123" s="914">
        <v>5454</v>
      </c>
      <c r="E123" s="915">
        <v>1.0549999999999999</v>
      </c>
      <c r="F123" s="916">
        <f t="shared" si="81"/>
        <v>5754</v>
      </c>
      <c r="G123" s="915">
        <v>1.01</v>
      </c>
      <c r="H123" s="916">
        <f t="shared" si="82"/>
        <v>5812</v>
      </c>
      <c r="I123" s="917">
        <f t="shared" si="83"/>
        <v>8718</v>
      </c>
      <c r="J123" s="918">
        <f t="shared" si="84"/>
        <v>0</v>
      </c>
      <c r="K123" s="919"/>
      <c r="L123" s="917">
        <f t="shared" si="85"/>
        <v>0</v>
      </c>
      <c r="M123" s="918">
        <f t="shared" si="86"/>
        <v>0</v>
      </c>
      <c r="N123" s="919"/>
      <c r="O123" s="917">
        <f t="shared" si="87"/>
        <v>0</v>
      </c>
      <c r="P123" s="918">
        <f t="shared" si="88"/>
        <v>0</v>
      </c>
      <c r="Q123" s="919"/>
      <c r="R123" s="917">
        <f t="shared" si="89"/>
        <v>0</v>
      </c>
      <c r="S123" s="918">
        <f t="shared" si="90"/>
        <v>0</v>
      </c>
      <c r="T123" s="919"/>
      <c r="U123" s="917">
        <f t="shared" si="91"/>
        <v>0</v>
      </c>
      <c r="V123" s="918">
        <f t="shared" si="92"/>
        <v>0</v>
      </c>
      <c r="W123" s="919"/>
      <c r="X123" s="917">
        <f t="shared" si="93"/>
        <v>0</v>
      </c>
      <c r="Y123" s="918">
        <f t="shared" si="94"/>
        <v>0</v>
      </c>
      <c r="Z123" s="919"/>
      <c r="AA123" s="917">
        <f t="shared" si="95"/>
        <v>0</v>
      </c>
      <c r="AB123" s="918">
        <f t="shared" si="96"/>
        <v>0</v>
      </c>
      <c r="AC123" s="919"/>
      <c r="AD123" s="917">
        <f t="shared" si="97"/>
        <v>0</v>
      </c>
      <c r="AE123" s="918">
        <f t="shared" si="98"/>
        <v>0</v>
      </c>
      <c r="AF123" s="919"/>
      <c r="AG123" s="917">
        <f t="shared" si="99"/>
        <v>0</v>
      </c>
      <c r="AH123" s="918">
        <f t="shared" si="100"/>
        <v>0</v>
      </c>
      <c r="AI123" s="919"/>
      <c r="AJ123" s="917">
        <f t="shared" si="101"/>
        <v>0</v>
      </c>
      <c r="AK123" s="918">
        <f t="shared" si="102"/>
        <v>0</v>
      </c>
      <c r="AL123" s="919"/>
      <c r="AM123" s="917">
        <f t="shared" si="103"/>
        <v>0</v>
      </c>
      <c r="AN123" s="920">
        <v>19242</v>
      </c>
      <c r="AO123" s="917">
        <f t="shared" si="104"/>
        <v>20145</v>
      </c>
      <c r="AP123" s="920"/>
      <c r="AQ123" s="916">
        <f t="shared" si="105"/>
        <v>0</v>
      </c>
      <c r="AR123" s="917">
        <f t="shared" si="106"/>
        <v>28863</v>
      </c>
      <c r="AS123" s="916">
        <v>12</v>
      </c>
      <c r="AT123" s="921">
        <f t="shared" si="107"/>
        <v>346356</v>
      </c>
      <c r="AU123" s="920"/>
      <c r="AV123" s="922">
        <f t="shared" si="108"/>
        <v>3463.56</v>
      </c>
      <c r="AW123" s="921">
        <f t="shared" si="109"/>
        <v>349819.56</v>
      </c>
      <c r="AX123" s="921">
        <f t="shared" si="110"/>
        <v>105645.51</v>
      </c>
      <c r="AY123" s="921">
        <f t="shared" si="111"/>
        <v>455465.07</v>
      </c>
      <c r="AZ123" s="923">
        <f t="shared" si="112"/>
        <v>349.8</v>
      </c>
      <c r="BA123" s="923">
        <f t="shared" si="113"/>
        <v>105.6</v>
      </c>
      <c r="BB123" s="923">
        <f t="shared" si="114"/>
        <v>455.4</v>
      </c>
      <c r="BC123" s="915">
        <v>0.95</v>
      </c>
      <c r="BD123" s="923">
        <f t="shared" si="115"/>
        <v>332.3</v>
      </c>
      <c r="BE123" s="923">
        <f t="shared" si="116"/>
        <v>100.4</v>
      </c>
      <c r="BF123" s="923">
        <f t="shared" si="117"/>
        <v>432.7</v>
      </c>
      <c r="BG123" s="924">
        <f>'[3]свод (2024)'!$B$116</f>
        <v>0.99758349999999996</v>
      </c>
      <c r="BH123" s="923">
        <f t="shared" si="118"/>
        <v>331.5</v>
      </c>
      <c r="BI123" s="923">
        <f t="shared" si="119"/>
        <v>100.1</v>
      </c>
      <c r="BJ123" s="923">
        <f t="shared" si="120"/>
        <v>431.6</v>
      </c>
      <c r="BK123" s="925">
        <f t="shared" si="121"/>
        <v>-18.3</v>
      </c>
      <c r="BL123" s="925">
        <f t="shared" si="121"/>
        <v>-5.5</v>
      </c>
      <c r="BM123" s="925">
        <f t="shared" si="122"/>
        <v>-23.8</v>
      </c>
      <c r="BN123" s="925">
        <f t="shared" si="123"/>
        <v>0</v>
      </c>
      <c r="BO123" s="925">
        <f t="shared" si="124"/>
        <v>0</v>
      </c>
      <c r="BP123" s="926"/>
      <c r="BQ123" s="925">
        <f t="shared" si="125"/>
        <v>331.5</v>
      </c>
      <c r="BR123" s="925">
        <f t="shared" si="125"/>
        <v>100.1</v>
      </c>
      <c r="BS123" s="925">
        <f t="shared" si="126"/>
        <v>431.6</v>
      </c>
      <c r="BU123" s="928"/>
      <c r="BV123" s="917"/>
      <c r="BW123" s="928"/>
      <c r="BX123" s="928"/>
      <c r="BY123" s="928"/>
      <c r="BZ123" s="917"/>
      <c r="CA123" s="928"/>
      <c r="CB123" s="917"/>
      <c r="CC123" s="928"/>
      <c r="CD123" s="928"/>
      <c r="CE123" s="928"/>
      <c r="CF123" s="929"/>
      <c r="CG123" s="928"/>
      <c r="CH123" s="928"/>
      <c r="CI123" s="928"/>
      <c r="CJ123" s="925"/>
      <c r="CK123" s="925"/>
      <c r="CL123" s="925"/>
      <c r="CM123" s="925"/>
      <c r="CN123" s="925"/>
      <c r="CO123" s="925"/>
      <c r="CP123" s="925"/>
      <c r="CQ123" s="925"/>
      <c r="CR123" s="925"/>
      <c r="CS123" s="917"/>
      <c r="CT123" s="928"/>
      <c r="CU123" s="928"/>
      <c r="CV123" s="928"/>
      <c r="CX123" s="925"/>
      <c r="CY123" s="925"/>
      <c r="CZ123" s="925"/>
      <c r="DB123" s="925"/>
      <c r="DC123" s="925"/>
      <c r="DD123" s="925"/>
      <c r="DE123" s="925"/>
      <c r="DF123" s="925"/>
      <c r="DG123" s="925"/>
      <c r="DH123" s="925"/>
      <c r="DI123" s="925"/>
      <c r="DJ123" s="925"/>
      <c r="DK123" s="925"/>
      <c r="DL123" s="925"/>
      <c r="DM123" s="925"/>
      <c r="DN123" s="925"/>
      <c r="DO123" s="925"/>
      <c r="DP123" s="925"/>
      <c r="DQ123" s="924"/>
      <c r="DR123" s="925"/>
      <c r="DS123" s="925"/>
      <c r="DT123" s="925"/>
      <c r="DV123" s="925"/>
      <c r="DW123" s="925"/>
      <c r="DX123" s="925"/>
      <c r="DY123" s="925"/>
      <c r="DZ123" s="925"/>
      <c r="EA123" s="925"/>
      <c r="EB123" s="925"/>
      <c r="EC123" s="925"/>
      <c r="ED123" s="925"/>
      <c r="EE123" s="925"/>
      <c r="EF123" s="925"/>
      <c r="EG123" s="925"/>
      <c r="EH123" s="925"/>
      <c r="EI123" s="925"/>
      <c r="EJ123" s="925"/>
      <c r="EK123" s="925"/>
      <c r="EL123" s="925"/>
      <c r="EM123" s="925"/>
      <c r="EN123" s="925"/>
      <c r="EO123" s="925"/>
      <c r="EP123" s="925"/>
      <c r="EQ123" s="925"/>
      <c r="ER123" s="925"/>
      <c r="ES123" s="925"/>
      <c r="ET123" s="925"/>
      <c r="EV123" s="924"/>
      <c r="EW123" s="925"/>
      <c r="EX123" s="925"/>
      <c r="EY123" s="925"/>
    </row>
    <row r="124" spans="1:155" s="927" customFormat="1" ht="15.75" x14ac:dyDescent="0.25">
      <c r="A124" s="912" t="s">
        <v>61</v>
      </c>
      <c r="B124" s="913" t="s">
        <v>34</v>
      </c>
      <c r="C124" s="914">
        <v>1</v>
      </c>
      <c r="D124" s="914">
        <v>13132</v>
      </c>
      <c r="E124" s="915">
        <v>1.0549999999999999</v>
      </c>
      <c r="F124" s="916">
        <f t="shared" si="81"/>
        <v>13855</v>
      </c>
      <c r="G124" s="915">
        <v>1.01</v>
      </c>
      <c r="H124" s="916">
        <f t="shared" si="82"/>
        <v>13994</v>
      </c>
      <c r="I124" s="917">
        <f t="shared" si="83"/>
        <v>13994</v>
      </c>
      <c r="J124" s="918">
        <f t="shared" si="84"/>
        <v>0.25</v>
      </c>
      <c r="K124" s="919">
        <v>3283</v>
      </c>
      <c r="L124" s="917">
        <f t="shared" si="85"/>
        <v>3498.5</v>
      </c>
      <c r="M124" s="918">
        <f t="shared" si="86"/>
        <v>0</v>
      </c>
      <c r="N124" s="919"/>
      <c r="O124" s="917">
        <f t="shared" si="87"/>
        <v>0</v>
      </c>
      <c r="P124" s="918">
        <f t="shared" si="88"/>
        <v>0</v>
      </c>
      <c r="Q124" s="919"/>
      <c r="R124" s="917">
        <f t="shared" si="89"/>
        <v>0</v>
      </c>
      <c r="S124" s="918">
        <f t="shared" si="90"/>
        <v>0</v>
      </c>
      <c r="T124" s="919"/>
      <c r="U124" s="917">
        <f t="shared" si="91"/>
        <v>0</v>
      </c>
      <c r="V124" s="918">
        <f t="shared" si="92"/>
        <v>0</v>
      </c>
      <c r="W124" s="919"/>
      <c r="X124" s="917">
        <f t="shared" si="93"/>
        <v>0</v>
      </c>
      <c r="Y124" s="918">
        <f t="shared" si="94"/>
        <v>0</v>
      </c>
      <c r="Z124" s="919"/>
      <c r="AA124" s="917">
        <f t="shared" si="95"/>
        <v>0</v>
      </c>
      <c r="AB124" s="918">
        <f t="shared" si="96"/>
        <v>0.2</v>
      </c>
      <c r="AC124" s="919">
        <v>2626.4</v>
      </c>
      <c r="AD124" s="917">
        <f t="shared" si="97"/>
        <v>2798.8</v>
      </c>
      <c r="AE124" s="918">
        <f t="shared" si="98"/>
        <v>0</v>
      </c>
      <c r="AF124" s="919"/>
      <c r="AG124" s="917">
        <f t="shared" si="99"/>
        <v>0</v>
      </c>
      <c r="AH124" s="918">
        <f t="shared" si="100"/>
        <v>0</v>
      </c>
      <c r="AI124" s="919"/>
      <c r="AJ124" s="917">
        <f t="shared" si="101"/>
        <v>0</v>
      </c>
      <c r="AK124" s="918">
        <f t="shared" si="102"/>
        <v>0</v>
      </c>
      <c r="AL124" s="919"/>
      <c r="AM124" s="917">
        <f t="shared" si="103"/>
        <v>0</v>
      </c>
      <c r="AN124" s="920">
        <v>19242</v>
      </c>
      <c r="AO124" s="917">
        <f t="shared" si="104"/>
        <v>0</v>
      </c>
      <c r="AP124" s="920"/>
      <c r="AQ124" s="916">
        <f t="shared" si="105"/>
        <v>0</v>
      </c>
      <c r="AR124" s="917">
        <f t="shared" si="106"/>
        <v>20291.3</v>
      </c>
      <c r="AS124" s="916">
        <v>12</v>
      </c>
      <c r="AT124" s="921">
        <f t="shared" si="107"/>
        <v>243495.6</v>
      </c>
      <c r="AU124" s="920"/>
      <c r="AV124" s="922">
        <f t="shared" si="108"/>
        <v>2434.96</v>
      </c>
      <c r="AW124" s="921">
        <f t="shared" si="109"/>
        <v>245930.56</v>
      </c>
      <c r="AX124" s="921">
        <f t="shared" si="110"/>
        <v>74271.03</v>
      </c>
      <c r="AY124" s="921">
        <f t="shared" si="111"/>
        <v>320201.59000000003</v>
      </c>
      <c r="AZ124" s="923">
        <f t="shared" si="112"/>
        <v>245.9</v>
      </c>
      <c r="BA124" s="923">
        <f t="shared" si="113"/>
        <v>74.3</v>
      </c>
      <c r="BB124" s="923">
        <f t="shared" si="114"/>
        <v>320.2</v>
      </c>
      <c r="BC124" s="915">
        <v>0.95</v>
      </c>
      <c r="BD124" s="923">
        <f t="shared" si="115"/>
        <v>233.6</v>
      </c>
      <c r="BE124" s="923">
        <f t="shared" si="116"/>
        <v>70.5</v>
      </c>
      <c r="BF124" s="923">
        <f t="shared" si="117"/>
        <v>304.10000000000002</v>
      </c>
      <c r="BG124" s="924">
        <f>'[3]свод (2024)'!$B$116</f>
        <v>0.99758349999999996</v>
      </c>
      <c r="BH124" s="923">
        <f t="shared" si="118"/>
        <v>233</v>
      </c>
      <c r="BI124" s="923">
        <f t="shared" si="119"/>
        <v>70.400000000000006</v>
      </c>
      <c r="BJ124" s="923">
        <f t="shared" si="120"/>
        <v>303.39999999999998</v>
      </c>
      <c r="BK124" s="925">
        <f t="shared" si="121"/>
        <v>-12.9</v>
      </c>
      <c r="BL124" s="925">
        <f t="shared" si="121"/>
        <v>-3.9</v>
      </c>
      <c r="BM124" s="925">
        <f t="shared" si="122"/>
        <v>-16.8</v>
      </c>
      <c r="BN124" s="925">
        <f t="shared" si="123"/>
        <v>0</v>
      </c>
      <c r="BO124" s="925">
        <f t="shared" si="124"/>
        <v>0</v>
      </c>
      <c r="BP124" s="926"/>
      <c r="BQ124" s="925">
        <f t="shared" si="125"/>
        <v>233</v>
      </c>
      <c r="BR124" s="925">
        <f t="shared" si="125"/>
        <v>70.400000000000006</v>
      </c>
      <c r="BS124" s="925">
        <f t="shared" si="126"/>
        <v>303.39999999999998</v>
      </c>
      <c r="BU124" s="928">
        <f t="shared" si="127"/>
        <v>1</v>
      </c>
      <c r="BV124" s="917"/>
      <c r="BW124" s="928"/>
      <c r="BX124" s="928">
        <f t="shared" si="128"/>
        <v>245930.56</v>
      </c>
      <c r="BY124" s="928"/>
      <c r="BZ124" s="917"/>
      <c r="CA124" s="928"/>
      <c r="CB124" s="917"/>
      <c r="CC124" s="928"/>
      <c r="CD124" s="928"/>
      <c r="CE124" s="928"/>
      <c r="CF124" s="929">
        <f t="shared" si="130"/>
        <v>85374.44</v>
      </c>
      <c r="CG124" s="928"/>
      <c r="CH124" s="928"/>
      <c r="CI124" s="928"/>
      <c r="CJ124" s="925"/>
      <c r="CK124" s="925"/>
      <c r="CL124" s="925"/>
      <c r="CM124" s="925"/>
      <c r="CN124" s="925"/>
      <c r="CO124" s="925"/>
      <c r="CP124" s="925"/>
      <c r="CQ124" s="925"/>
      <c r="CR124" s="925"/>
      <c r="CS124" s="917"/>
      <c r="CT124" s="928"/>
      <c r="CU124" s="928"/>
      <c r="CV124" s="928"/>
      <c r="CX124" s="925"/>
      <c r="CY124" s="925"/>
      <c r="CZ124" s="925"/>
      <c r="DB124" s="925"/>
      <c r="DC124" s="925"/>
      <c r="DD124" s="925"/>
      <c r="DE124" s="925"/>
      <c r="DF124" s="925"/>
      <c r="DG124" s="925"/>
      <c r="DH124" s="925"/>
      <c r="DI124" s="925"/>
      <c r="DJ124" s="925"/>
      <c r="DK124" s="925"/>
      <c r="DL124" s="925"/>
      <c r="DM124" s="925"/>
      <c r="DN124" s="925"/>
      <c r="DO124" s="925"/>
      <c r="DP124" s="925"/>
      <c r="DQ124" s="924"/>
      <c r="DR124" s="925"/>
      <c r="DS124" s="925"/>
      <c r="DT124" s="925"/>
      <c r="DV124" s="925"/>
      <c r="DW124" s="925"/>
      <c r="DX124" s="925"/>
      <c r="DY124" s="925"/>
      <c r="DZ124" s="925"/>
      <c r="EA124" s="925"/>
      <c r="EB124" s="925"/>
      <c r="EC124" s="925"/>
      <c r="ED124" s="925"/>
      <c r="EE124" s="925"/>
      <c r="EF124" s="925"/>
      <c r="EG124" s="925"/>
      <c r="EH124" s="925"/>
      <c r="EI124" s="925"/>
      <c r="EJ124" s="925"/>
      <c r="EK124" s="925"/>
      <c r="EL124" s="925"/>
      <c r="EM124" s="925"/>
      <c r="EN124" s="925"/>
      <c r="EO124" s="925"/>
      <c r="EP124" s="925"/>
      <c r="EQ124" s="925"/>
      <c r="ER124" s="925"/>
      <c r="ES124" s="925"/>
      <c r="ET124" s="925"/>
      <c r="EV124" s="924"/>
      <c r="EW124" s="925"/>
      <c r="EX124" s="925"/>
      <c r="EY124" s="925"/>
    </row>
    <row r="125" spans="1:155" s="927" customFormat="1" ht="15.75" x14ac:dyDescent="0.25">
      <c r="A125" s="912" t="s">
        <v>61</v>
      </c>
      <c r="B125" s="913" t="s">
        <v>399</v>
      </c>
      <c r="C125" s="914">
        <v>0.5</v>
      </c>
      <c r="D125" s="914">
        <v>6707</v>
      </c>
      <c r="E125" s="915">
        <v>1.0549999999999999</v>
      </c>
      <c r="F125" s="916">
        <f t="shared" si="81"/>
        <v>7076</v>
      </c>
      <c r="G125" s="915">
        <v>1.01</v>
      </c>
      <c r="H125" s="916">
        <f t="shared" si="82"/>
        <v>7147</v>
      </c>
      <c r="I125" s="917">
        <f t="shared" si="83"/>
        <v>3573.5</v>
      </c>
      <c r="J125" s="918">
        <f t="shared" si="84"/>
        <v>0</v>
      </c>
      <c r="K125" s="919"/>
      <c r="L125" s="917">
        <f t="shared" si="85"/>
        <v>0</v>
      </c>
      <c r="M125" s="918">
        <f t="shared" si="86"/>
        <v>0</v>
      </c>
      <c r="N125" s="919"/>
      <c r="O125" s="917">
        <f t="shared" si="87"/>
        <v>0</v>
      </c>
      <c r="P125" s="918">
        <f t="shared" si="88"/>
        <v>0</v>
      </c>
      <c r="Q125" s="919"/>
      <c r="R125" s="917">
        <f t="shared" si="89"/>
        <v>0</v>
      </c>
      <c r="S125" s="918">
        <f t="shared" si="90"/>
        <v>0</v>
      </c>
      <c r="T125" s="919"/>
      <c r="U125" s="917">
        <f t="shared" si="91"/>
        <v>0</v>
      </c>
      <c r="V125" s="918">
        <f t="shared" si="92"/>
        <v>0</v>
      </c>
      <c r="W125" s="919"/>
      <c r="X125" s="917">
        <f t="shared" si="93"/>
        <v>0</v>
      </c>
      <c r="Y125" s="918">
        <f t="shared" si="94"/>
        <v>1.99</v>
      </c>
      <c r="Z125" s="919">
        <v>6673.47</v>
      </c>
      <c r="AA125" s="917">
        <f t="shared" si="95"/>
        <v>7111.27</v>
      </c>
      <c r="AB125" s="918">
        <f t="shared" si="96"/>
        <v>0.2</v>
      </c>
      <c r="AC125" s="919">
        <v>670.7</v>
      </c>
      <c r="AD125" s="917">
        <f t="shared" si="97"/>
        <v>714.7</v>
      </c>
      <c r="AE125" s="918">
        <f t="shared" si="98"/>
        <v>0</v>
      </c>
      <c r="AF125" s="919"/>
      <c r="AG125" s="917">
        <f t="shared" si="99"/>
        <v>0</v>
      </c>
      <c r="AH125" s="918">
        <f t="shared" si="100"/>
        <v>0</v>
      </c>
      <c r="AI125" s="919"/>
      <c r="AJ125" s="917">
        <f t="shared" si="101"/>
        <v>0</v>
      </c>
      <c r="AK125" s="918">
        <f t="shared" si="102"/>
        <v>0</v>
      </c>
      <c r="AL125" s="919"/>
      <c r="AM125" s="917">
        <f t="shared" si="103"/>
        <v>0</v>
      </c>
      <c r="AN125" s="920">
        <v>19242</v>
      </c>
      <c r="AO125" s="917">
        <f t="shared" si="104"/>
        <v>0</v>
      </c>
      <c r="AP125" s="920"/>
      <c r="AQ125" s="916">
        <f t="shared" si="105"/>
        <v>0</v>
      </c>
      <c r="AR125" s="917">
        <f t="shared" si="106"/>
        <v>11399.47</v>
      </c>
      <c r="AS125" s="916">
        <v>12</v>
      </c>
      <c r="AT125" s="921">
        <f t="shared" si="107"/>
        <v>136793.64000000001</v>
      </c>
      <c r="AU125" s="920"/>
      <c r="AV125" s="922">
        <f t="shared" si="108"/>
        <v>1367.94</v>
      </c>
      <c r="AW125" s="921">
        <f t="shared" si="109"/>
        <v>138161.57999999999</v>
      </c>
      <c r="AX125" s="921">
        <f t="shared" si="110"/>
        <v>41724.800000000003</v>
      </c>
      <c r="AY125" s="921">
        <f t="shared" si="111"/>
        <v>179886.38</v>
      </c>
      <c r="AZ125" s="923">
        <f t="shared" si="112"/>
        <v>138.19999999999999</v>
      </c>
      <c r="BA125" s="923">
        <f t="shared" si="113"/>
        <v>41.7</v>
      </c>
      <c r="BB125" s="923">
        <f t="shared" si="114"/>
        <v>179.9</v>
      </c>
      <c r="BC125" s="915">
        <v>0.95</v>
      </c>
      <c r="BD125" s="923">
        <f t="shared" si="115"/>
        <v>131.30000000000001</v>
      </c>
      <c r="BE125" s="923">
        <f t="shared" si="116"/>
        <v>39.700000000000003</v>
      </c>
      <c r="BF125" s="923">
        <f t="shared" si="117"/>
        <v>171</v>
      </c>
      <c r="BG125" s="924">
        <f>'[3]свод (2024)'!$B$116</f>
        <v>0.99758349999999996</v>
      </c>
      <c r="BH125" s="923">
        <f t="shared" si="118"/>
        <v>131</v>
      </c>
      <c r="BI125" s="923">
        <f t="shared" si="119"/>
        <v>39.6</v>
      </c>
      <c r="BJ125" s="923">
        <f t="shared" si="120"/>
        <v>170.6</v>
      </c>
      <c r="BK125" s="925">
        <f t="shared" si="121"/>
        <v>-7.2</v>
      </c>
      <c r="BL125" s="925">
        <f t="shared" si="121"/>
        <v>-2.1</v>
      </c>
      <c r="BM125" s="925">
        <f t="shared" si="122"/>
        <v>-9.3000000000000007</v>
      </c>
      <c r="BN125" s="925">
        <f t="shared" si="123"/>
        <v>0</v>
      </c>
      <c r="BO125" s="925">
        <f t="shared" si="124"/>
        <v>0</v>
      </c>
      <c r="BP125" s="926"/>
      <c r="BQ125" s="925">
        <f t="shared" si="125"/>
        <v>131</v>
      </c>
      <c r="BR125" s="925">
        <f t="shared" si="125"/>
        <v>39.6</v>
      </c>
      <c r="BS125" s="925">
        <f t="shared" si="126"/>
        <v>170.6</v>
      </c>
      <c r="BU125" s="928"/>
      <c r="BV125" s="917"/>
      <c r="BW125" s="928"/>
      <c r="BX125" s="928"/>
      <c r="BY125" s="928"/>
      <c r="BZ125" s="917"/>
      <c r="CA125" s="928"/>
      <c r="CB125" s="917"/>
      <c r="CC125" s="928"/>
      <c r="CD125" s="928"/>
      <c r="CE125" s="928"/>
      <c r="CF125" s="929"/>
      <c r="CG125" s="928"/>
      <c r="CH125" s="928"/>
      <c r="CI125" s="928"/>
      <c r="CJ125" s="925"/>
      <c r="CK125" s="925"/>
      <c r="CL125" s="925"/>
      <c r="CM125" s="925"/>
      <c r="CN125" s="925"/>
      <c r="CO125" s="925"/>
      <c r="CP125" s="925"/>
      <c r="CQ125" s="925"/>
      <c r="CR125" s="925"/>
      <c r="CS125" s="917"/>
      <c r="CT125" s="928"/>
      <c r="CU125" s="928"/>
      <c r="CV125" s="928"/>
      <c r="CX125" s="925"/>
      <c r="CY125" s="925"/>
      <c r="CZ125" s="925"/>
      <c r="DB125" s="925"/>
      <c r="DC125" s="925"/>
      <c r="DD125" s="925"/>
      <c r="DE125" s="925"/>
      <c r="DF125" s="925"/>
      <c r="DG125" s="925"/>
      <c r="DH125" s="925"/>
      <c r="DI125" s="925"/>
      <c r="DJ125" s="925"/>
      <c r="DK125" s="925"/>
      <c r="DL125" s="925"/>
      <c r="DM125" s="925"/>
      <c r="DN125" s="925"/>
      <c r="DO125" s="925"/>
      <c r="DP125" s="925"/>
      <c r="DQ125" s="924"/>
      <c r="DR125" s="925"/>
      <c r="DS125" s="925"/>
      <c r="DT125" s="925"/>
      <c r="DV125" s="925"/>
      <c r="DW125" s="925"/>
      <c r="DX125" s="925"/>
      <c r="DY125" s="925"/>
      <c r="DZ125" s="925"/>
      <c r="EA125" s="925"/>
      <c r="EB125" s="925"/>
      <c r="EC125" s="925"/>
      <c r="ED125" s="925"/>
      <c r="EE125" s="925"/>
      <c r="EF125" s="925"/>
      <c r="EG125" s="925"/>
      <c r="EH125" s="925"/>
      <c r="EI125" s="925"/>
      <c r="EJ125" s="925"/>
      <c r="EK125" s="925"/>
      <c r="EL125" s="925"/>
      <c r="EM125" s="925"/>
      <c r="EN125" s="925"/>
      <c r="EO125" s="925"/>
      <c r="EP125" s="925"/>
      <c r="EQ125" s="925"/>
      <c r="ER125" s="925"/>
      <c r="ES125" s="925"/>
      <c r="ET125" s="925"/>
      <c r="EV125" s="924"/>
      <c r="EW125" s="925"/>
      <c r="EX125" s="925"/>
      <c r="EY125" s="925"/>
    </row>
    <row r="126" spans="1:155" s="927" customFormat="1" ht="15.75" x14ac:dyDescent="0.25">
      <c r="A126" s="912" t="s">
        <v>61</v>
      </c>
      <c r="B126" s="913" t="s">
        <v>1388</v>
      </c>
      <c r="C126" s="914">
        <v>0.5</v>
      </c>
      <c r="D126" s="914">
        <v>6707</v>
      </c>
      <c r="E126" s="915">
        <v>1.0549999999999999</v>
      </c>
      <c r="F126" s="916">
        <f t="shared" si="81"/>
        <v>7076</v>
      </c>
      <c r="G126" s="915">
        <v>1.01</v>
      </c>
      <c r="H126" s="916">
        <f t="shared" si="82"/>
        <v>7147</v>
      </c>
      <c r="I126" s="917">
        <f t="shared" si="83"/>
        <v>3573.5</v>
      </c>
      <c r="J126" s="918">
        <f t="shared" si="84"/>
        <v>0</v>
      </c>
      <c r="K126" s="919"/>
      <c r="L126" s="917">
        <f t="shared" si="85"/>
        <v>0</v>
      </c>
      <c r="M126" s="918">
        <f t="shared" si="86"/>
        <v>0</v>
      </c>
      <c r="N126" s="919"/>
      <c r="O126" s="917">
        <f t="shared" si="87"/>
        <v>0</v>
      </c>
      <c r="P126" s="918">
        <f t="shared" si="88"/>
        <v>0</v>
      </c>
      <c r="Q126" s="919"/>
      <c r="R126" s="917">
        <f t="shared" si="89"/>
        <v>0</v>
      </c>
      <c r="S126" s="918">
        <f t="shared" si="90"/>
        <v>0</v>
      </c>
      <c r="T126" s="919"/>
      <c r="U126" s="917">
        <f t="shared" si="91"/>
        <v>0</v>
      </c>
      <c r="V126" s="918">
        <f t="shared" si="92"/>
        <v>0</v>
      </c>
      <c r="W126" s="919"/>
      <c r="X126" s="917">
        <f t="shared" si="93"/>
        <v>0</v>
      </c>
      <c r="Y126" s="918">
        <f t="shared" si="94"/>
        <v>1.99</v>
      </c>
      <c r="Z126" s="919">
        <v>6673.47</v>
      </c>
      <c r="AA126" s="917">
        <f t="shared" si="95"/>
        <v>7111.27</v>
      </c>
      <c r="AB126" s="918">
        <f t="shared" si="96"/>
        <v>0.3</v>
      </c>
      <c r="AC126" s="919">
        <v>1006.05</v>
      </c>
      <c r="AD126" s="917">
        <f t="shared" si="97"/>
        <v>1072.05</v>
      </c>
      <c r="AE126" s="918">
        <f t="shared" si="98"/>
        <v>0</v>
      </c>
      <c r="AF126" s="919"/>
      <c r="AG126" s="917">
        <f t="shared" si="99"/>
        <v>0</v>
      </c>
      <c r="AH126" s="918">
        <f t="shared" si="100"/>
        <v>0</v>
      </c>
      <c r="AI126" s="919"/>
      <c r="AJ126" s="917">
        <f t="shared" si="101"/>
        <v>0</v>
      </c>
      <c r="AK126" s="918">
        <f t="shared" si="102"/>
        <v>0</v>
      </c>
      <c r="AL126" s="919"/>
      <c r="AM126" s="917">
        <f t="shared" si="103"/>
        <v>0</v>
      </c>
      <c r="AN126" s="920">
        <v>19242</v>
      </c>
      <c r="AO126" s="917">
        <f t="shared" si="104"/>
        <v>0</v>
      </c>
      <c r="AP126" s="920"/>
      <c r="AQ126" s="916">
        <f t="shared" si="105"/>
        <v>0</v>
      </c>
      <c r="AR126" s="917">
        <f t="shared" si="106"/>
        <v>11756.82</v>
      </c>
      <c r="AS126" s="916">
        <v>12</v>
      </c>
      <c r="AT126" s="921">
        <f t="shared" si="107"/>
        <v>141081.84</v>
      </c>
      <c r="AU126" s="920"/>
      <c r="AV126" s="922">
        <f t="shared" si="108"/>
        <v>1410.82</v>
      </c>
      <c r="AW126" s="921">
        <f t="shared" si="109"/>
        <v>142492.66</v>
      </c>
      <c r="AX126" s="921">
        <f t="shared" si="110"/>
        <v>43032.78</v>
      </c>
      <c r="AY126" s="921">
        <f t="shared" si="111"/>
        <v>185525.44</v>
      </c>
      <c r="AZ126" s="923">
        <f t="shared" si="112"/>
        <v>142.5</v>
      </c>
      <c r="BA126" s="923">
        <f t="shared" si="113"/>
        <v>43</v>
      </c>
      <c r="BB126" s="923">
        <f t="shared" si="114"/>
        <v>185.5</v>
      </c>
      <c r="BC126" s="915">
        <v>0.95</v>
      </c>
      <c r="BD126" s="923">
        <f t="shared" si="115"/>
        <v>135.4</v>
      </c>
      <c r="BE126" s="923">
        <f t="shared" si="116"/>
        <v>40.9</v>
      </c>
      <c r="BF126" s="923">
        <f t="shared" si="117"/>
        <v>176.3</v>
      </c>
      <c r="BG126" s="924">
        <f>'[3]свод (2024)'!$B$116</f>
        <v>0.99758349999999996</v>
      </c>
      <c r="BH126" s="923">
        <f t="shared" si="118"/>
        <v>135.1</v>
      </c>
      <c r="BI126" s="923">
        <f t="shared" si="119"/>
        <v>40.799999999999997</v>
      </c>
      <c r="BJ126" s="923">
        <f t="shared" si="120"/>
        <v>175.9</v>
      </c>
      <c r="BK126" s="925">
        <f t="shared" si="121"/>
        <v>-7.4</v>
      </c>
      <c r="BL126" s="925">
        <f t="shared" si="121"/>
        <v>-2.2000000000000002</v>
      </c>
      <c r="BM126" s="925">
        <f t="shared" si="122"/>
        <v>-9.6</v>
      </c>
      <c r="BN126" s="925">
        <f t="shared" si="123"/>
        <v>0</v>
      </c>
      <c r="BO126" s="925">
        <f t="shared" si="124"/>
        <v>0</v>
      </c>
      <c r="BP126" s="926"/>
      <c r="BQ126" s="925">
        <f t="shared" si="125"/>
        <v>135.1</v>
      </c>
      <c r="BR126" s="925">
        <f t="shared" si="125"/>
        <v>40.799999999999997</v>
      </c>
      <c r="BS126" s="925">
        <f t="shared" si="126"/>
        <v>175.9</v>
      </c>
      <c r="BU126" s="928"/>
      <c r="BV126" s="917"/>
      <c r="BW126" s="928"/>
      <c r="BX126" s="928"/>
      <c r="BY126" s="928"/>
      <c r="BZ126" s="917"/>
      <c r="CA126" s="928"/>
      <c r="CB126" s="917"/>
      <c r="CC126" s="928"/>
      <c r="CD126" s="928"/>
      <c r="CE126" s="928"/>
      <c r="CF126" s="929"/>
      <c r="CG126" s="928"/>
      <c r="CH126" s="928"/>
      <c r="CI126" s="928"/>
      <c r="CJ126" s="925"/>
      <c r="CK126" s="925"/>
      <c r="CL126" s="925"/>
      <c r="CM126" s="925"/>
      <c r="CN126" s="925"/>
      <c r="CO126" s="925"/>
      <c r="CP126" s="925"/>
      <c r="CQ126" s="925"/>
      <c r="CR126" s="925"/>
      <c r="CS126" s="917"/>
      <c r="CT126" s="928"/>
      <c r="CU126" s="928"/>
      <c r="CV126" s="928"/>
      <c r="CX126" s="925"/>
      <c r="CY126" s="925"/>
      <c r="CZ126" s="925"/>
      <c r="DB126" s="925"/>
      <c r="DC126" s="925"/>
      <c r="DD126" s="925"/>
      <c r="DE126" s="925"/>
      <c r="DF126" s="925"/>
      <c r="DG126" s="925"/>
      <c r="DH126" s="925"/>
      <c r="DI126" s="925"/>
      <c r="DJ126" s="925"/>
      <c r="DK126" s="925"/>
      <c r="DL126" s="925"/>
      <c r="DM126" s="925"/>
      <c r="DN126" s="925"/>
      <c r="DO126" s="925"/>
      <c r="DP126" s="925"/>
      <c r="DQ126" s="924"/>
      <c r="DR126" s="925"/>
      <c r="DS126" s="925"/>
      <c r="DT126" s="925"/>
      <c r="DV126" s="925"/>
      <c r="DW126" s="925"/>
      <c r="DX126" s="925"/>
      <c r="DY126" s="925"/>
      <c r="DZ126" s="925"/>
      <c r="EA126" s="925"/>
      <c r="EB126" s="925"/>
      <c r="EC126" s="925"/>
      <c r="ED126" s="925"/>
      <c r="EE126" s="925"/>
      <c r="EF126" s="925"/>
      <c r="EG126" s="925"/>
      <c r="EH126" s="925"/>
      <c r="EI126" s="925"/>
      <c r="EJ126" s="925"/>
      <c r="EK126" s="925"/>
      <c r="EL126" s="925"/>
      <c r="EM126" s="925"/>
      <c r="EN126" s="925"/>
      <c r="EO126" s="925"/>
      <c r="EP126" s="925"/>
      <c r="EQ126" s="925"/>
      <c r="ER126" s="925"/>
      <c r="ES126" s="925"/>
      <c r="ET126" s="925"/>
      <c r="EV126" s="924"/>
      <c r="EW126" s="925"/>
      <c r="EX126" s="925"/>
      <c r="EY126" s="925"/>
    </row>
    <row r="127" spans="1:155" s="927" customFormat="1" ht="15.75" x14ac:dyDescent="0.25">
      <c r="A127" s="912" t="s">
        <v>61</v>
      </c>
      <c r="B127" s="913" t="s">
        <v>1403</v>
      </c>
      <c r="C127" s="914">
        <v>7</v>
      </c>
      <c r="D127" s="914">
        <v>4336</v>
      </c>
      <c r="E127" s="915">
        <v>1.0549999999999999</v>
      </c>
      <c r="F127" s="916">
        <f t="shared" si="81"/>
        <v>4575</v>
      </c>
      <c r="G127" s="915">
        <v>1.01</v>
      </c>
      <c r="H127" s="916">
        <f t="shared" si="82"/>
        <v>4621</v>
      </c>
      <c r="I127" s="917">
        <f t="shared" si="83"/>
        <v>32347</v>
      </c>
      <c r="J127" s="918">
        <f t="shared" si="84"/>
        <v>0</v>
      </c>
      <c r="K127" s="919"/>
      <c r="L127" s="917">
        <f t="shared" si="85"/>
        <v>0</v>
      </c>
      <c r="M127" s="918">
        <f t="shared" si="86"/>
        <v>0</v>
      </c>
      <c r="N127" s="919"/>
      <c r="O127" s="917">
        <f t="shared" si="87"/>
        <v>0</v>
      </c>
      <c r="P127" s="918">
        <f t="shared" si="88"/>
        <v>0</v>
      </c>
      <c r="Q127" s="919"/>
      <c r="R127" s="917">
        <f t="shared" si="89"/>
        <v>0</v>
      </c>
      <c r="S127" s="918">
        <f t="shared" si="90"/>
        <v>0</v>
      </c>
      <c r="T127" s="919"/>
      <c r="U127" s="917">
        <f t="shared" si="91"/>
        <v>0</v>
      </c>
      <c r="V127" s="918">
        <f t="shared" si="92"/>
        <v>0</v>
      </c>
      <c r="W127" s="919"/>
      <c r="X127" s="917">
        <f t="shared" si="93"/>
        <v>0</v>
      </c>
      <c r="Y127" s="918">
        <f t="shared" si="94"/>
        <v>0</v>
      </c>
      <c r="Z127" s="919"/>
      <c r="AA127" s="917">
        <f t="shared" si="95"/>
        <v>0</v>
      </c>
      <c r="AB127" s="918">
        <f t="shared" si="96"/>
        <v>0</v>
      </c>
      <c r="AC127" s="919"/>
      <c r="AD127" s="917">
        <f t="shared" si="97"/>
        <v>0</v>
      </c>
      <c r="AE127" s="918">
        <f t="shared" si="98"/>
        <v>0</v>
      </c>
      <c r="AF127" s="919"/>
      <c r="AG127" s="917">
        <f t="shared" si="99"/>
        <v>0</v>
      </c>
      <c r="AH127" s="918">
        <f t="shared" si="100"/>
        <v>0</v>
      </c>
      <c r="AI127" s="919"/>
      <c r="AJ127" s="917">
        <f t="shared" si="101"/>
        <v>0</v>
      </c>
      <c r="AK127" s="918">
        <f t="shared" si="102"/>
        <v>0</v>
      </c>
      <c r="AL127" s="919"/>
      <c r="AM127" s="917">
        <f t="shared" si="103"/>
        <v>0</v>
      </c>
      <c r="AN127" s="920">
        <v>19242</v>
      </c>
      <c r="AO127" s="917">
        <f t="shared" si="104"/>
        <v>102347</v>
      </c>
      <c r="AP127" s="920">
        <v>1060.29</v>
      </c>
      <c r="AQ127" s="916">
        <f t="shared" si="105"/>
        <v>7422.03</v>
      </c>
      <c r="AR127" s="917">
        <f t="shared" si="106"/>
        <v>142116.03</v>
      </c>
      <c r="AS127" s="916">
        <v>12</v>
      </c>
      <c r="AT127" s="921">
        <f t="shared" si="107"/>
        <v>1705392.36</v>
      </c>
      <c r="AU127" s="920">
        <f>AT127*0.085</f>
        <v>144958.35</v>
      </c>
      <c r="AV127" s="922">
        <f t="shared" si="108"/>
        <v>17053.919999999998</v>
      </c>
      <c r="AW127" s="921">
        <f t="shared" si="109"/>
        <v>1867404.63</v>
      </c>
      <c r="AX127" s="921">
        <f t="shared" si="110"/>
        <v>563956.19999999995</v>
      </c>
      <c r="AY127" s="921">
        <f t="shared" si="111"/>
        <v>2431360.83</v>
      </c>
      <c r="AZ127" s="923">
        <f t="shared" si="112"/>
        <v>1867.4</v>
      </c>
      <c r="BA127" s="923">
        <f t="shared" si="113"/>
        <v>564</v>
      </c>
      <c r="BB127" s="923">
        <f t="shared" si="114"/>
        <v>2431.4</v>
      </c>
      <c r="BC127" s="915">
        <v>0.95</v>
      </c>
      <c r="BD127" s="923">
        <f t="shared" si="115"/>
        <v>1774</v>
      </c>
      <c r="BE127" s="923">
        <f t="shared" si="116"/>
        <v>535.70000000000005</v>
      </c>
      <c r="BF127" s="923">
        <f t="shared" si="117"/>
        <v>2309.6999999999998</v>
      </c>
      <c r="BG127" s="924">
        <f>'[3]свод (2024)'!$B$116</f>
        <v>0.99758349999999996</v>
      </c>
      <c r="BH127" s="923">
        <f t="shared" si="118"/>
        <v>1769.7</v>
      </c>
      <c r="BI127" s="923">
        <f t="shared" si="119"/>
        <v>534.4</v>
      </c>
      <c r="BJ127" s="923">
        <f t="shared" si="120"/>
        <v>2304.1</v>
      </c>
      <c r="BK127" s="925">
        <f t="shared" si="121"/>
        <v>-97.7</v>
      </c>
      <c r="BL127" s="925">
        <f t="shared" si="121"/>
        <v>-29.6</v>
      </c>
      <c r="BM127" s="925">
        <f t="shared" si="122"/>
        <v>-127.3</v>
      </c>
      <c r="BN127" s="925">
        <f t="shared" si="123"/>
        <v>0</v>
      </c>
      <c r="BO127" s="925">
        <f t="shared" si="124"/>
        <v>0</v>
      </c>
      <c r="BP127" s="926"/>
      <c r="BQ127" s="925">
        <f t="shared" si="125"/>
        <v>1769.7</v>
      </c>
      <c r="BR127" s="925">
        <f t="shared" si="125"/>
        <v>534.4</v>
      </c>
      <c r="BS127" s="925">
        <f t="shared" si="126"/>
        <v>2304.1</v>
      </c>
      <c r="BU127" s="928"/>
      <c r="BV127" s="917"/>
      <c r="BW127" s="928"/>
      <c r="BX127" s="928"/>
      <c r="BY127" s="928"/>
      <c r="BZ127" s="917"/>
      <c r="CA127" s="928"/>
      <c r="CB127" s="917"/>
      <c r="CC127" s="928"/>
      <c r="CD127" s="928"/>
      <c r="CE127" s="928"/>
      <c r="CF127" s="929"/>
      <c r="CG127" s="928"/>
      <c r="CH127" s="928"/>
      <c r="CI127" s="928"/>
      <c r="CJ127" s="925"/>
      <c r="CK127" s="925"/>
      <c r="CL127" s="925"/>
      <c r="CM127" s="925"/>
      <c r="CN127" s="925"/>
      <c r="CO127" s="925"/>
      <c r="CP127" s="925"/>
      <c r="CQ127" s="925"/>
      <c r="CR127" s="925"/>
      <c r="CS127" s="917"/>
      <c r="CT127" s="928"/>
      <c r="CU127" s="928"/>
      <c r="CV127" s="928"/>
      <c r="CX127" s="925"/>
      <c r="CY127" s="925"/>
      <c r="CZ127" s="925"/>
      <c r="DB127" s="925"/>
      <c r="DC127" s="925"/>
      <c r="DD127" s="925"/>
      <c r="DE127" s="925"/>
      <c r="DF127" s="925"/>
      <c r="DG127" s="925"/>
      <c r="DH127" s="925"/>
      <c r="DI127" s="925"/>
      <c r="DJ127" s="925"/>
      <c r="DK127" s="925"/>
      <c r="DL127" s="925"/>
      <c r="DM127" s="925"/>
      <c r="DN127" s="925"/>
      <c r="DO127" s="925"/>
      <c r="DP127" s="925"/>
      <c r="DQ127" s="924"/>
      <c r="DR127" s="925"/>
      <c r="DS127" s="925"/>
      <c r="DT127" s="925"/>
      <c r="DV127" s="925"/>
      <c r="DW127" s="925"/>
      <c r="DX127" s="925"/>
      <c r="DY127" s="925"/>
      <c r="DZ127" s="925"/>
      <c r="EA127" s="925"/>
      <c r="EB127" s="925"/>
      <c r="EC127" s="925"/>
      <c r="ED127" s="925"/>
      <c r="EE127" s="925"/>
      <c r="EF127" s="925"/>
      <c r="EG127" s="925"/>
      <c r="EH127" s="925"/>
      <c r="EI127" s="925"/>
      <c r="EJ127" s="925"/>
      <c r="EK127" s="925"/>
      <c r="EL127" s="925"/>
      <c r="EM127" s="925"/>
      <c r="EN127" s="925"/>
      <c r="EO127" s="925"/>
      <c r="EP127" s="925"/>
      <c r="EQ127" s="925"/>
      <c r="ER127" s="925"/>
      <c r="ES127" s="925"/>
      <c r="ET127" s="925"/>
      <c r="EV127" s="924"/>
      <c r="EW127" s="925"/>
      <c r="EX127" s="925"/>
      <c r="EY127" s="925"/>
    </row>
    <row r="128" spans="1:155" s="927" customFormat="1" ht="15.75" x14ac:dyDescent="0.25">
      <c r="A128" s="912" t="s">
        <v>61</v>
      </c>
      <c r="B128" s="913" t="s">
        <v>1404</v>
      </c>
      <c r="C128" s="914">
        <v>1</v>
      </c>
      <c r="D128" s="914">
        <v>6404</v>
      </c>
      <c r="E128" s="915">
        <v>1.0549999999999999</v>
      </c>
      <c r="F128" s="916">
        <f t="shared" si="81"/>
        <v>6757</v>
      </c>
      <c r="G128" s="915">
        <v>1.01</v>
      </c>
      <c r="H128" s="916">
        <f t="shared" si="82"/>
        <v>6825</v>
      </c>
      <c r="I128" s="917">
        <f t="shared" si="83"/>
        <v>6825</v>
      </c>
      <c r="J128" s="918">
        <f t="shared" si="84"/>
        <v>0</v>
      </c>
      <c r="K128" s="919"/>
      <c r="L128" s="917">
        <f t="shared" si="85"/>
        <v>0</v>
      </c>
      <c r="M128" s="918">
        <f t="shared" si="86"/>
        <v>0.04</v>
      </c>
      <c r="N128" s="919">
        <v>256.16000000000003</v>
      </c>
      <c r="O128" s="917">
        <f t="shared" si="87"/>
        <v>273</v>
      </c>
      <c r="P128" s="918">
        <f t="shared" si="88"/>
        <v>0</v>
      </c>
      <c r="Q128" s="919"/>
      <c r="R128" s="917">
        <f t="shared" si="89"/>
        <v>0</v>
      </c>
      <c r="S128" s="918">
        <f t="shared" si="90"/>
        <v>0</v>
      </c>
      <c r="T128" s="919"/>
      <c r="U128" s="917">
        <f t="shared" si="91"/>
        <v>0</v>
      </c>
      <c r="V128" s="918">
        <f t="shared" si="92"/>
        <v>0</v>
      </c>
      <c r="W128" s="919"/>
      <c r="X128" s="917">
        <f t="shared" si="93"/>
        <v>0</v>
      </c>
      <c r="Y128" s="918">
        <f t="shared" si="94"/>
        <v>1.99</v>
      </c>
      <c r="Z128" s="919">
        <v>12743.96</v>
      </c>
      <c r="AA128" s="917">
        <f t="shared" si="95"/>
        <v>13581.75</v>
      </c>
      <c r="AB128" s="918">
        <f t="shared" si="96"/>
        <v>0.3</v>
      </c>
      <c r="AC128" s="919">
        <v>1921.2</v>
      </c>
      <c r="AD128" s="917">
        <f t="shared" si="97"/>
        <v>2047.5</v>
      </c>
      <c r="AE128" s="918">
        <f t="shared" si="98"/>
        <v>0</v>
      </c>
      <c r="AF128" s="919"/>
      <c r="AG128" s="917">
        <f t="shared" si="99"/>
        <v>0</v>
      </c>
      <c r="AH128" s="918">
        <f t="shared" si="100"/>
        <v>0</v>
      </c>
      <c r="AI128" s="919"/>
      <c r="AJ128" s="917">
        <f t="shared" si="101"/>
        <v>0</v>
      </c>
      <c r="AK128" s="918">
        <f t="shared" si="102"/>
        <v>0</v>
      </c>
      <c r="AL128" s="919"/>
      <c r="AM128" s="917">
        <f t="shared" si="103"/>
        <v>0</v>
      </c>
      <c r="AN128" s="920">
        <v>19242</v>
      </c>
      <c r="AO128" s="917">
        <f t="shared" si="104"/>
        <v>0</v>
      </c>
      <c r="AP128" s="920"/>
      <c r="AQ128" s="916">
        <f t="shared" si="105"/>
        <v>0</v>
      </c>
      <c r="AR128" s="917">
        <f t="shared" si="106"/>
        <v>22727.25</v>
      </c>
      <c r="AS128" s="916">
        <v>12</v>
      </c>
      <c r="AT128" s="921">
        <f t="shared" si="107"/>
        <v>272727</v>
      </c>
      <c r="AU128" s="920"/>
      <c r="AV128" s="922">
        <f t="shared" si="108"/>
        <v>2727.27</v>
      </c>
      <c r="AW128" s="921">
        <f t="shared" si="109"/>
        <v>275454.27</v>
      </c>
      <c r="AX128" s="921">
        <f t="shared" si="110"/>
        <v>83187.19</v>
      </c>
      <c r="AY128" s="921">
        <f t="shared" si="111"/>
        <v>358641.46</v>
      </c>
      <c r="AZ128" s="923">
        <f t="shared" si="112"/>
        <v>275.5</v>
      </c>
      <c r="BA128" s="923">
        <f t="shared" si="113"/>
        <v>83.2</v>
      </c>
      <c r="BB128" s="923">
        <f t="shared" si="114"/>
        <v>358.7</v>
      </c>
      <c r="BC128" s="915">
        <v>0.95</v>
      </c>
      <c r="BD128" s="923">
        <f t="shared" si="115"/>
        <v>261.7</v>
      </c>
      <c r="BE128" s="923">
        <f t="shared" si="116"/>
        <v>79</v>
      </c>
      <c r="BF128" s="923">
        <f t="shared" si="117"/>
        <v>340.7</v>
      </c>
      <c r="BG128" s="924">
        <f>'[3]свод (2024)'!$B$116</f>
        <v>0.99758349999999996</v>
      </c>
      <c r="BH128" s="923">
        <f t="shared" si="118"/>
        <v>261.10000000000002</v>
      </c>
      <c r="BI128" s="923">
        <f t="shared" si="119"/>
        <v>78.900000000000006</v>
      </c>
      <c r="BJ128" s="923">
        <f t="shared" si="120"/>
        <v>340</v>
      </c>
      <c r="BK128" s="925">
        <f t="shared" si="121"/>
        <v>-14.4</v>
      </c>
      <c r="BL128" s="925">
        <f t="shared" si="121"/>
        <v>-4.3</v>
      </c>
      <c r="BM128" s="925">
        <f t="shared" si="122"/>
        <v>-18.7</v>
      </c>
      <c r="BN128" s="925">
        <f t="shared" si="123"/>
        <v>0</v>
      </c>
      <c r="BO128" s="925">
        <f t="shared" si="124"/>
        <v>0</v>
      </c>
      <c r="BP128" s="926"/>
      <c r="BQ128" s="925">
        <f t="shared" si="125"/>
        <v>261.10000000000002</v>
      </c>
      <c r="BR128" s="925">
        <f t="shared" si="125"/>
        <v>78.900000000000006</v>
      </c>
      <c r="BS128" s="925">
        <f t="shared" si="126"/>
        <v>340</v>
      </c>
      <c r="BU128" s="928"/>
      <c r="BV128" s="917"/>
      <c r="BW128" s="928"/>
      <c r="BX128" s="928"/>
      <c r="BY128" s="928"/>
      <c r="BZ128" s="917"/>
      <c r="CA128" s="928"/>
      <c r="CB128" s="917"/>
      <c r="CC128" s="928"/>
      <c r="CD128" s="928"/>
      <c r="CE128" s="928"/>
      <c r="CF128" s="929"/>
      <c r="CG128" s="928"/>
      <c r="CH128" s="928"/>
      <c r="CI128" s="928"/>
      <c r="CJ128" s="925"/>
      <c r="CK128" s="925"/>
      <c r="CL128" s="925"/>
      <c r="CM128" s="925"/>
      <c r="CN128" s="925"/>
      <c r="CO128" s="925"/>
      <c r="CP128" s="925"/>
      <c r="CQ128" s="925"/>
      <c r="CR128" s="925"/>
      <c r="CS128" s="917"/>
      <c r="CT128" s="928"/>
      <c r="CU128" s="928"/>
      <c r="CV128" s="928"/>
      <c r="CX128" s="925"/>
      <c r="CY128" s="925"/>
      <c r="CZ128" s="925"/>
      <c r="DB128" s="925"/>
      <c r="DC128" s="925"/>
      <c r="DD128" s="925"/>
      <c r="DE128" s="925"/>
      <c r="DF128" s="925"/>
      <c r="DG128" s="925"/>
      <c r="DH128" s="925"/>
      <c r="DI128" s="925"/>
      <c r="DJ128" s="925"/>
      <c r="DK128" s="925"/>
      <c r="DL128" s="925"/>
      <c r="DM128" s="925"/>
      <c r="DN128" s="925"/>
      <c r="DO128" s="925"/>
      <c r="DP128" s="925"/>
      <c r="DQ128" s="924"/>
      <c r="DR128" s="925"/>
      <c r="DS128" s="925"/>
      <c r="DT128" s="925"/>
      <c r="DV128" s="925"/>
      <c r="DW128" s="925"/>
      <c r="DX128" s="925"/>
      <c r="DY128" s="925"/>
      <c r="DZ128" s="925"/>
      <c r="EA128" s="925"/>
      <c r="EB128" s="925"/>
      <c r="EC128" s="925"/>
      <c r="ED128" s="925"/>
      <c r="EE128" s="925"/>
      <c r="EF128" s="925"/>
      <c r="EG128" s="925"/>
      <c r="EH128" s="925"/>
      <c r="EI128" s="925"/>
      <c r="EJ128" s="925"/>
      <c r="EK128" s="925"/>
      <c r="EL128" s="925"/>
      <c r="EM128" s="925"/>
      <c r="EN128" s="925"/>
      <c r="EO128" s="925"/>
      <c r="EP128" s="925"/>
      <c r="EQ128" s="925"/>
      <c r="ER128" s="925"/>
      <c r="ES128" s="925"/>
      <c r="ET128" s="925"/>
      <c r="EV128" s="924"/>
      <c r="EW128" s="925"/>
      <c r="EX128" s="925"/>
      <c r="EY128" s="925"/>
    </row>
    <row r="129" spans="1:155" s="927" customFormat="1" ht="15.75" x14ac:dyDescent="0.25">
      <c r="A129" s="912" t="s">
        <v>61</v>
      </c>
      <c r="B129" s="913" t="s">
        <v>493</v>
      </c>
      <c r="C129" s="914">
        <v>3.22</v>
      </c>
      <c r="D129" s="914">
        <v>13132</v>
      </c>
      <c r="E129" s="915">
        <v>1.0549999999999999</v>
      </c>
      <c r="F129" s="916">
        <f t="shared" si="81"/>
        <v>13855</v>
      </c>
      <c r="G129" s="915">
        <v>1.01</v>
      </c>
      <c r="H129" s="916">
        <f t="shared" si="82"/>
        <v>13994</v>
      </c>
      <c r="I129" s="917">
        <f t="shared" si="83"/>
        <v>45060.68</v>
      </c>
      <c r="J129" s="918">
        <f t="shared" si="84"/>
        <v>0.19324</v>
      </c>
      <c r="K129" s="919">
        <v>8171.02</v>
      </c>
      <c r="L129" s="917">
        <f t="shared" si="85"/>
        <v>8707.5300000000007</v>
      </c>
      <c r="M129" s="918">
        <f t="shared" si="86"/>
        <v>0</v>
      </c>
      <c r="N129" s="919"/>
      <c r="O129" s="917">
        <f t="shared" si="87"/>
        <v>0</v>
      </c>
      <c r="P129" s="918">
        <f t="shared" si="88"/>
        <v>1.035E-2</v>
      </c>
      <c r="Q129" s="919">
        <v>437.73</v>
      </c>
      <c r="R129" s="917">
        <f t="shared" si="89"/>
        <v>466.38</v>
      </c>
      <c r="S129" s="918">
        <f t="shared" si="90"/>
        <v>0</v>
      </c>
      <c r="T129" s="919"/>
      <c r="U129" s="917">
        <f t="shared" si="91"/>
        <v>0</v>
      </c>
      <c r="V129" s="918">
        <f t="shared" si="92"/>
        <v>0</v>
      </c>
      <c r="W129" s="919"/>
      <c r="X129" s="917">
        <f t="shared" si="93"/>
        <v>0</v>
      </c>
      <c r="Y129" s="918">
        <f t="shared" si="94"/>
        <v>0</v>
      </c>
      <c r="Z129" s="919"/>
      <c r="AA129" s="917">
        <f t="shared" si="95"/>
        <v>0</v>
      </c>
      <c r="AB129" s="918">
        <f t="shared" si="96"/>
        <v>0.20014000000000001</v>
      </c>
      <c r="AC129" s="919">
        <v>8462.84</v>
      </c>
      <c r="AD129" s="917">
        <f t="shared" si="97"/>
        <v>9018.44</v>
      </c>
      <c r="AE129" s="918">
        <f t="shared" si="98"/>
        <v>0</v>
      </c>
      <c r="AF129" s="919"/>
      <c r="AG129" s="917">
        <f t="shared" si="99"/>
        <v>0</v>
      </c>
      <c r="AH129" s="918">
        <f t="shared" si="100"/>
        <v>0</v>
      </c>
      <c r="AI129" s="919"/>
      <c r="AJ129" s="917">
        <f t="shared" si="101"/>
        <v>0</v>
      </c>
      <c r="AK129" s="918">
        <f t="shared" si="102"/>
        <v>0</v>
      </c>
      <c r="AL129" s="919"/>
      <c r="AM129" s="917">
        <f t="shared" si="103"/>
        <v>0</v>
      </c>
      <c r="AN129" s="920">
        <v>19242</v>
      </c>
      <c r="AO129" s="917">
        <f t="shared" si="104"/>
        <v>0</v>
      </c>
      <c r="AP129" s="920"/>
      <c r="AQ129" s="916">
        <f t="shared" si="105"/>
        <v>0</v>
      </c>
      <c r="AR129" s="917">
        <f t="shared" si="106"/>
        <v>63253.03</v>
      </c>
      <c r="AS129" s="916">
        <v>12</v>
      </c>
      <c r="AT129" s="921">
        <f t="shared" si="107"/>
        <v>759036.36</v>
      </c>
      <c r="AU129" s="920"/>
      <c r="AV129" s="922">
        <f t="shared" si="108"/>
        <v>7590.36</v>
      </c>
      <c r="AW129" s="921">
        <f t="shared" si="109"/>
        <v>766626.72</v>
      </c>
      <c r="AX129" s="921">
        <f t="shared" si="110"/>
        <v>231521.27</v>
      </c>
      <c r="AY129" s="921">
        <f t="shared" si="111"/>
        <v>998147.99</v>
      </c>
      <c r="AZ129" s="923">
        <f t="shared" si="112"/>
        <v>766.6</v>
      </c>
      <c r="BA129" s="923">
        <f t="shared" si="113"/>
        <v>231.5</v>
      </c>
      <c r="BB129" s="923">
        <f t="shared" si="114"/>
        <v>998.1</v>
      </c>
      <c r="BC129" s="915">
        <v>0.95</v>
      </c>
      <c r="BD129" s="923">
        <f t="shared" si="115"/>
        <v>728.3</v>
      </c>
      <c r="BE129" s="923">
        <f t="shared" si="116"/>
        <v>219.9</v>
      </c>
      <c r="BF129" s="923">
        <f t="shared" si="117"/>
        <v>948.2</v>
      </c>
      <c r="BG129" s="924">
        <f>'[3]свод (2024)'!$B$116</f>
        <v>0.99758349999999996</v>
      </c>
      <c r="BH129" s="923">
        <f t="shared" si="118"/>
        <v>726.5</v>
      </c>
      <c r="BI129" s="923">
        <f t="shared" si="119"/>
        <v>219.4</v>
      </c>
      <c r="BJ129" s="923">
        <f t="shared" si="120"/>
        <v>945.9</v>
      </c>
      <c r="BK129" s="925">
        <f t="shared" si="121"/>
        <v>-40.1</v>
      </c>
      <c r="BL129" s="925">
        <f t="shared" si="121"/>
        <v>-12.1</v>
      </c>
      <c r="BM129" s="925">
        <f t="shared" si="122"/>
        <v>-52.2</v>
      </c>
      <c r="BN129" s="925">
        <f t="shared" si="123"/>
        <v>0</v>
      </c>
      <c r="BO129" s="925">
        <f t="shared" si="124"/>
        <v>0</v>
      </c>
      <c r="BP129" s="926"/>
      <c r="BQ129" s="925">
        <f t="shared" si="125"/>
        <v>726.5</v>
      </c>
      <c r="BR129" s="925">
        <f t="shared" si="125"/>
        <v>219.4</v>
      </c>
      <c r="BS129" s="925">
        <f t="shared" si="126"/>
        <v>945.9</v>
      </c>
      <c r="BU129" s="928">
        <f t="shared" si="127"/>
        <v>3.22</v>
      </c>
      <c r="BV129" s="917"/>
      <c r="BW129" s="928"/>
      <c r="BX129" s="928">
        <f t="shared" si="128"/>
        <v>766626.72</v>
      </c>
      <c r="BY129" s="928"/>
      <c r="BZ129" s="917"/>
      <c r="CA129" s="928"/>
      <c r="CB129" s="917"/>
      <c r="CC129" s="928"/>
      <c r="CD129" s="928"/>
      <c r="CE129" s="928"/>
      <c r="CF129" s="929">
        <f>CC$134/BU$134*BU129</f>
        <v>274905.71000000002</v>
      </c>
      <c r="CG129" s="928"/>
      <c r="CH129" s="928"/>
      <c r="CI129" s="928"/>
      <c r="CJ129" s="925"/>
      <c r="CK129" s="925"/>
      <c r="CL129" s="925"/>
      <c r="CM129" s="925"/>
      <c r="CN129" s="925"/>
      <c r="CO129" s="925"/>
      <c r="CP129" s="925"/>
      <c r="CQ129" s="925"/>
      <c r="CR129" s="925"/>
      <c r="CS129" s="917"/>
      <c r="CT129" s="928"/>
      <c r="CU129" s="928"/>
      <c r="CV129" s="928"/>
      <c r="CX129" s="925"/>
      <c r="CY129" s="925"/>
      <c r="CZ129" s="925"/>
      <c r="DB129" s="925"/>
      <c r="DC129" s="925"/>
      <c r="DD129" s="925"/>
      <c r="DE129" s="925"/>
      <c r="DF129" s="925"/>
      <c r="DG129" s="925"/>
      <c r="DH129" s="925"/>
      <c r="DI129" s="925"/>
      <c r="DJ129" s="925"/>
      <c r="DK129" s="925"/>
      <c r="DL129" s="925"/>
      <c r="DM129" s="925"/>
      <c r="DN129" s="925"/>
      <c r="DO129" s="925"/>
      <c r="DP129" s="925"/>
      <c r="DQ129" s="924"/>
      <c r="DR129" s="925"/>
      <c r="DS129" s="925"/>
      <c r="DT129" s="925"/>
      <c r="DV129" s="925"/>
      <c r="DW129" s="925"/>
      <c r="DX129" s="925"/>
      <c r="DY129" s="925"/>
      <c r="DZ129" s="925"/>
      <c r="EA129" s="925"/>
      <c r="EB129" s="925"/>
      <c r="EC129" s="925"/>
      <c r="ED129" s="925"/>
      <c r="EE129" s="925"/>
      <c r="EF129" s="925"/>
      <c r="EG129" s="925"/>
      <c r="EH129" s="925"/>
      <c r="EI129" s="925"/>
      <c r="EJ129" s="925"/>
      <c r="EK129" s="925"/>
      <c r="EL129" s="925"/>
      <c r="EM129" s="925"/>
      <c r="EN129" s="925"/>
      <c r="EO129" s="925"/>
      <c r="EP129" s="925"/>
      <c r="EQ129" s="925"/>
      <c r="ER129" s="925"/>
      <c r="ES129" s="925"/>
      <c r="ET129" s="925"/>
      <c r="EV129" s="924"/>
      <c r="EW129" s="925"/>
      <c r="EX129" s="925"/>
      <c r="EY129" s="925"/>
    </row>
    <row r="130" spans="1:155" s="927" customFormat="1" ht="24" x14ac:dyDescent="0.25">
      <c r="A130" s="912" t="s">
        <v>61</v>
      </c>
      <c r="B130" s="913" t="s">
        <v>1405</v>
      </c>
      <c r="C130" s="914">
        <v>6</v>
      </c>
      <c r="D130" s="914">
        <v>4336</v>
      </c>
      <c r="E130" s="915">
        <v>1.0549999999999999</v>
      </c>
      <c r="F130" s="916">
        <f t="shared" si="81"/>
        <v>4575</v>
      </c>
      <c r="G130" s="915">
        <v>1.01</v>
      </c>
      <c r="H130" s="916">
        <f t="shared" si="82"/>
        <v>4621</v>
      </c>
      <c r="I130" s="917">
        <f t="shared" si="83"/>
        <v>27726</v>
      </c>
      <c r="J130" s="918">
        <f t="shared" si="84"/>
        <v>0</v>
      </c>
      <c r="K130" s="919"/>
      <c r="L130" s="917">
        <f t="shared" si="85"/>
        <v>0</v>
      </c>
      <c r="M130" s="918">
        <f t="shared" si="86"/>
        <v>0</v>
      </c>
      <c r="N130" s="919"/>
      <c r="O130" s="917">
        <f t="shared" si="87"/>
        <v>0</v>
      </c>
      <c r="P130" s="918">
        <f t="shared" si="88"/>
        <v>0</v>
      </c>
      <c r="Q130" s="919"/>
      <c r="R130" s="917">
        <f t="shared" si="89"/>
        <v>0</v>
      </c>
      <c r="S130" s="918">
        <f t="shared" si="90"/>
        <v>0</v>
      </c>
      <c r="T130" s="919"/>
      <c r="U130" s="917">
        <f t="shared" si="91"/>
        <v>0</v>
      </c>
      <c r="V130" s="918">
        <f t="shared" si="92"/>
        <v>0</v>
      </c>
      <c r="W130" s="919"/>
      <c r="X130" s="917">
        <f t="shared" si="93"/>
        <v>0</v>
      </c>
      <c r="Y130" s="918">
        <f t="shared" si="94"/>
        <v>0</v>
      </c>
      <c r="Z130" s="919"/>
      <c r="AA130" s="917">
        <f t="shared" si="95"/>
        <v>0</v>
      </c>
      <c r="AB130" s="918">
        <f t="shared" si="96"/>
        <v>0</v>
      </c>
      <c r="AC130" s="919"/>
      <c r="AD130" s="917">
        <f t="shared" si="97"/>
        <v>0</v>
      </c>
      <c r="AE130" s="918">
        <f t="shared" si="98"/>
        <v>0</v>
      </c>
      <c r="AF130" s="919"/>
      <c r="AG130" s="917">
        <f t="shared" si="99"/>
        <v>0</v>
      </c>
      <c r="AH130" s="918">
        <f t="shared" si="100"/>
        <v>0</v>
      </c>
      <c r="AI130" s="919"/>
      <c r="AJ130" s="917">
        <f t="shared" si="101"/>
        <v>0</v>
      </c>
      <c r="AK130" s="918">
        <f t="shared" si="102"/>
        <v>0</v>
      </c>
      <c r="AL130" s="919"/>
      <c r="AM130" s="917">
        <f t="shared" si="103"/>
        <v>0</v>
      </c>
      <c r="AN130" s="920">
        <v>19242</v>
      </c>
      <c r="AO130" s="917">
        <f t="shared" si="104"/>
        <v>87726</v>
      </c>
      <c r="AP130" s="920"/>
      <c r="AQ130" s="916">
        <f t="shared" si="105"/>
        <v>0</v>
      </c>
      <c r="AR130" s="917">
        <f t="shared" si="106"/>
        <v>115452</v>
      </c>
      <c r="AS130" s="916">
        <v>12</v>
      </c>
      <c r="AT130" s="921">
        <f t="shared" si="107"/>
        <v>1385424</v>
      </c>
      <c r="AU130" s="920">
        <f>AT130*0.085</f>
        <v>117761.04</v>
      </c>
      <c r="AV130" s="922">
        <f t="shared" si="108"/>
        <v>13854.24</v>
      </c>
      <c r="AW130" s="921">
        <f t="shared" si="109"/>
        <v>1517039.28</v>
      </c>
      <c r="AX130" s="921">
        <f t="shared" si="110"/>
        <v>458145.86</v>
      </c>
      <c r="AY130" s="921">
        <f t="shared" si="111"/>
        <v>1975185.14</v>
      </c>
      <c r="AZ130" s="923">
        <f t="shared" si="112"/>
        <v>1517</v>
      </c>
      <c r="BA130" s="923">
        <f t="shared" si="113"/>
        <v>458.1</v>
      </c>
      <c r="BB130" s="923">
        <f t="shared" si="114"/>
        <v>1975.1</v>
      </c>
      <c r="BC130" s="915">
        <v>0.95</v>
      </c>
      <c r="BD130" s="923">
        <f t="shared" si="115"/>
        <v>1441.2</v>
      </c>
      <c r="BE130" s="923">
        <f t="shared" si="116"/>
        <v>435.2</v>
      </c>
      <c r="BF130" s="923">
        <f t="shared" si="117"/>
        <v>1876.4</v>
      </c>
      <c r="BG130" s="924">
        <f>'[3]свод (2024)'!$B$116</f>
        <v>0.99758349999999996</v>
      </c>
      <c r="BH130" s="923">
        <f t="shared" si="118"/>
        <v>1437.7</v>
      </c>
      <c r="BI130" s="923">
        <f t="shared" si="119"/>
        <v>434.2</v>
      </c>
      <c r="BJ130" s="923">
        <f t="shared" si="120"/>
        <v>1871.9</v>
      </c>
      <c r="BK130" s="925">
        <f t="shared" si="121"/>
        <v>-79.3</v>
      </c>
      <c r="BL130" s="925">
        <f t="shared" si="121"/>
        <v>-23.9</v>
      </c>
      <c r="BM130" s="925">
        <f t="shared" si="122"/>
        <v>-103.2</v>
      </c>
      <c r="BN130" s="925">
        <f t="shared" si="123"/>
        <v>0</v>
      </c>
      <c r="BO130" s="925">
        <f t="shared" si="124"/>
        <v>0</v>
      </c>
      <c r="BP130" s="926"/>
      <c r="BQ130" s="925">
        <f t="shared" si="125"/>
        <v>1437.7</v>
      </c>
      <c r="BR130" s="925">
        <f t="shared" si="125"/>
        <v>434.2</v>
      </c>
      <c r="BS130" s="925">
        <f t="shared" si="126"/>
        <v>1871.9</v>
      </c>
      <c r="BU130" s="928"/>
      <c r="BV130" s="917"/>
      <c r="BW130" s="928"/>
      <c r="BX130" s="928"/>
      <c r="BY130" s="928"/>
      <c r="BZ130" s="917"/>
      <c r="CA130" s="928"/>
      <c r="CB130" s="917"/>
      <c r="CC130" s="928"/>
      <c r="CD130" s="928"/>
      <c r="CE130" s="928"/>
      <c r="CF130" s="929"/>
      <c r="CG130" s="928"/>
      <c r="CH130" s="928"/>
      <c r="CI130" s="928"/>
      <c r="CJ130" s="925"/>
      <c r="CK130" s="925"/>
      <c r="CL130" s="925"/>
      <c r="CM130" s="925"/>
      <c r="CN130" s="925"/>
      <c r="CO130" s="925"/>
      <c r="CP130" s="925"/>
      <c r="CQ130" s="925"/>
      <c r="CR130" s="925"/>
      <c r="CS130" s="917"/>
      <c r="CT130" s="928"/>
      <c r="CU130" s="928"/>
      <c r="CV130" s="928"/>
      <c r="CX130" s="925"/>
      <c r="CY130" s="925"/>
      <c r="CZ130" s="925"/>
      <c r="DB130" s="925"/>
      <c r="DC130" s="925"/>
      <c r="DD130" s="925"/>
      <c r="DE130" s="925"/>
      <c r="DF130" s="925"/>
      <c r="DG130" s="925"/>
      <c r="DH130" s="925"/>
      <c r="DI130" s="925"/>
      <c r="DJ130" s="925"/>
      <c r="DK130" s="925"/>
      <c r="DL130" s="925"/>
      <c r="DM130" s="925"/>
      <c r="DN130" s="925"/>
      <c r="DO130" s="925"/>
      <c r="DP130" s="925"/>
      <c r="DQ130" s="924"/>
      <c r="DR130" s="925"/>
      <c r="DS130" s="925"/>
      <c r="DT130" s="925"/>
      <c r="DV130" s="925"/>
      <c r="DW130" s="925"/>
      <c r="DX130" s="925"/>
      <c r="DY130" s="925"/>
      <c r="DZ130" s="925"/>
      <c r="EA130" s="925"/>
      <c r="EB130" s="925"/>
      <c r="EC130" s="925"/>
      <c r="ED130" s="925"/>
      <c r="EE130" s="925"/>
      <c r="EF130" s="925"/>
      <c r="EG130" s="925"/>
      <c r="EH130" s="925"/>
      <c r="EI130" s="925"/>
      <c r="EJ130" s="925"/>
      <c r="EK130" s="925"/>
      <c r="EL130" s="925"/>
      <c r="EM130" s="925"/>
      <c r="EN130" s="925"/>
      <c r="EO130" s="925"/>
      <c r="EP130" s="925"/>
      <c r="EQ130" s="925"/>
      <c r="ER130" s="925"/>
      <c r="ES130" s="925"/>
      <c r="ET130" s="925"/>
      <c r="EV130" s="924"/>
      <c r="EW130" s="925"/>
      <c r="EX130" s="925"/>
      <c r="EY130" s="925"/>
    </row>
    <row r="131" spans="1:155" s="927" customFormat="1" ht="15.75" x14ac:dyDescent="0.25">
      <c r="A131" s="912" t="s">
        <v>61</v>
      </c>
      <c r="B131" s="913" t="s">
        <v>1406</v>
      </c>
      <c r="C131" s="914">
        <v>0.5</v>
      </c>
      <c r="D131" s="914">
        <v>6707</v>
      </c>
      <c r="E131" s="915">
        <v>1.0549999999999999</v>
      </c>
      <c r="F131" s="916">
        <f t="shared" si="81"/>
        <v>7076</v>
      </c>
      <c r="G131" s="915">
        <v>1.01</v>
      </c>
      <c r="H131" s="916">
        <f t="shared" si="82"/>
        <v>7147</v>
      </c>
      <c r="I131" s="917">
        <f t="shared" si="83"/>
        <v>3573.5</v>
      </c>
      <c r="J131" s="918">
        <f t="shared" si="84"/>
        <v>0</v>
      </c>
      <c r="K131" s="919"/>
      <c r="L131" s="917">
        <f t="shared" si="85"/>
        <v>0</v>
      </c>
      <c r="M131" s="918">
        <f t="shared" si="86"/>
        <v>0</v>
      </c>
      <c r="N131" s="919"/>
      <c r="O131" s="917">
        <f t="shared" si="87"/>
        <v>0</v>
      </c>
      <c r="P131" s="918">
        <f t="shared" si="88"/>
        <v>0</v>
      </c>
      <c r="Q131" s="919"/>
      <c r="R131" s="917">
        <f t="shared" si="89"/>
        <v>0</v>
      </c>
      <c r="S131" s="918">
        <f t="shared" si="90"/>
        <v>0</v>
      </c>
      <c r="T131" s="919"/>
      <c r="U131" s="917">
        <f t="shared" si="91"/>
        <v>0</v>
      </c>
      <c r="V131" s="918">
        <f t="shared" si="92"/>
        <v>0</v>
      </c>
      <c r="W131" s="919"/>
      <c r="X131" s="917">
        <f t="shared" si="93"/>
        <v>0</v>
      </c>
      <c r="Y131" s="918">
        <f t="shared" si="94"/>
        <v>0</v>
      </c>
      <c r="Z131" s="919"/>
      <c r="AA131" s="917">
        <f t="shared" si="95"/>
        <v>0</v>
      </c>
      <c r="AB131" s="918">
        <f t="shared" si="96"/>
        <v>0.2</v>
      </c>
      <c r="AC131" s="919">
        <v>670.7</v>
      </c>
      <c r="AD131" s="917">
        <f t="shared" si="97"/>
        <v>714.7</v>
      </c>
      <c r="AE131" s="918">
        <f t="shared" si="98"/>
        <v>0</v>
      </c>
      <c r="AF131" s="919"/>
      <c r="AG131" s="917">
        <f t="shared" si="99"/>
        <v>0</v>
      </c>
      <c r="AH131" s="918">
        <f t="shared" si="100"/>
        <v>0</v>
      </c>
      <c r="AI131" s="919"/>
      <c r="AJ131" s="917">
        <f t="shared" si="101"/>
        <v>0</v>
      </c>
      <c r="AK131" s="918">
        <f t="shared" si="102"/>
        <v>0</v>
      </c>
      <c r="AL131" s="919"/>
      <c r="AM131" s="917">
        <f t="shared" si="103"/>
        <v>0</v>
      </c>
      <c r="AN131" s="920">
        <v>19242</v>
      </c>
      <c r="AO131" s="917">
        <f t="shared" si="104"/>
        <v>5332.8</v>
      </c>
      <c r="AP131" s="920"/>
      <c r="AQ131" s="916">
        <f t="shared" si="105"/>
        <v>0</v>
      </c>
      <c r="AR131" s="917">
        <f t="shared" si="106"/>
        <v>9621</v>
      </c>
      <c r="AS131" s="916">
        <v>12</v>
      </c>
      <c r="AT131" s="921">
        <f t="shared" si="107"/>
        <v>115452</v>
      </c>
      <c r="AU131" s="920"/>
      <c r="AV131" s="922">
        <f t="shared" si="108"/>
        <v>1154.52</v>
      </c>
      <c r="AW131" s="921">
        <f t="shared" si="109"/>
        <v>116606.52</v>
      </c>
      <c r="AX131" s="921">
        <f t="shared" si="110"/>
        <v>35215.17</v>
      </c>
      <c r="AY131" s="921">
        <f t="shared" si="111"/>
        <v>151821.69</v>
      </c>
      <c r="AZ131" s="923">
        <f t="shared" si="112"/>
        <v>116.6</v>
      </c>
      <c r="BA131" s="923">
        <f t="shared" si="113"/>
        <v>35.200000000000003</v>
      </c>
      <c r="BB131" s="923">
        <f t="shared" si="114"/>
        <v>151.80000000000001</v>
      </c>
      <c r="BC131" s="915">
        <v>0.95</v>
      </c>
      <c r="BD131" s="923">
        <f t="shared" si="115"/>
        <v>110.8</v>
      </c>
      <c r="BE131" s="923">
        <f t="shared" si="116"/>
        <v>33.5</v>
      </c>
      <c r="BF131" s="923">
        <f t="shared" si="117"/>
        <v>144.30000000000001</v>
      </c>
      <c r="BG131" s="924">
        <f>'[3]свод (2024)'!$B$116</f>
        <v>0.99758349999999996</v>
      </c>
      <c r="BH131" s="923">
        <f t="shared" si="118"/>
        <v>110.5</v>
      </c>
      <c r="BI131" s="923">
        <f t="shared" si="119"/>
        <v>33.4</v>
      </c>
      <c r="BJ131" s="923">
        <f t="shared" si="120"/>
        <v>143.9</v>
      </c>
      <c r="BK131" s="925">
        <f t="shared" si="121"/>
        <v>-6.1</v>
      </c>
      <c r="BL131" s="925">
        <f t="shared" si="121"/>
        <v>-1.8</v>
      </c>
      <c r="BM131" s="925">
        <f t="shared" si="122"/>
        <v>-7.9</v>
      </c>
      <c r="BN131" s="925">
        <f t="shared" si="123"/>
        <v>0</v>
      </c>
      <c r="BO131" s="925">
        <f t="shared" si="124"/>
        <v>0</v>
      </c>
      <c r="BP131" s="926"/>
      <c r="BQ131" s="925">
        <f t="shared" si="125"/>
        <v>110.5</v>
      </c>
      <c r="BR131" s="925">
        <f t="shared" si="125"/>
        <v>33.4</v>
      </c>
      <c r="BS131" s="925">
        <f t="shared" si="126"/>
        <v>143.9</v>
      </c>
      <c r="BU131" s="928"/>
      <c r="BV131" s="917"/>
      <c r="BW131" s="928"/>
      <c r="BX131" s="928"/>
      <c r="BY131" s="928"/>
      <c r="BZ131" s="917"/>
      <c r="CA131" s="928"/>
      <c r="CB131" s="917"/>
      <c r="CC131" s="928"/>
      <c r="CD131" s="928"/>
      <c r="CE131" s="928"/>
      <c r="CF131" s="929"/>
      <c r="CG131" s="928"/>
      <c r="CH131" s="928"/>
      <c r="CI131" s="928"/>
      <c r="CJ131" s="925"/>
      <c r="CK131" s="925"/>
      <c r="CL131" s="925"/>
      <c r="CM131" s="925"/>
      <c r="CN131" s="925"/>
      <c r="CO131" s="925"/>
      <c r="CP131" s="925"/>
      <c r="CQ131" s="925"/>
      <c r="CR131" s="925"/>
      <c r="CS131" s="917"/>
      <c r="CT131" s="928"/>
      <c r="CU131" s="928"/>
      <c r="CV131" s="928"/>
      <c r="CX131" s="925"/>
      <c r="CY131" s="925"/>
      <c r="CZ131" s="925"/>
      <c r="DB131" s="925"/>
      <c r="DC131" s="925"/>
      <c r="DD131" s="925"/>
      <c r="DE131" s="925"/>
      <c r="DF131" s="925"/>
      <c r="DG131" s="925"/>
      <c r="DH131" s="925"/>
      <c r="DI131" s="925"/>
      <c r="DJ131" s="925"/>
      <c r="DK131" s="925"/>
      <c r="DL131" s="925"/>
      <c r="DM131" s="925"/>
      <c r="DN131" s="925"/>
      <c r="DO131" s="925"/>
      <c r="DP131" s="925"/>
      <c r="DQ131" s="924"/>
      <c r="DR131" s="925"/>
      <c r="DS131" s="925"/>
      <c r="DT131" s="925"/>
      <c r="DV131" s="925"/>
      <c r="DW131" s="925"/>
      <c r="DX131" s="925"/>
      <c r="DY131" s="925"/>
      <c r="DZ131" s="925"/>
      <c r="EA131" s="925"/>
      <c r="EB131" s="925"/>
      <c r="EC131" s="925"/>
      <c r="ED131" s="925"/>
      <c r="EE131" s="925"/>
      <c r="EF131" s="925"/>
      <c r="EG131" s="925"/>
      <c r="EH131" s="925"/>
      <c r="EI131" s="925"/>
      <c r="EJ131" s="925"/>
      <c r="EK131" s="925"/>
      <c r="EL131" s="925"/>
      <c r="EM131" s="925"/>
      <c r="EN131" s="925"/>
      <c r="EO131" s="925"/>
      <c r="EP131" s="925"/>
      <c r="EQ131" s="925"/>
      <c r="ER131" s="925"/>
      <c r="ES131" s="925"/>
      <c r="ET131" s="925"/>
      <c r="EV131" s="924"/>
      <c r="EW131" s="925"/>
      <c r="EX131" s="925"/>
      <c r="EY131" s="925"/>
    </row>
    <row r="132" spans="1:155" s="927" customFormat="1" ht="15.75" x14ac:dyDescent="0.25">
      <c r="A132" s="912" t="s">
        <v>61</v>
      </c>
      <c r="B132" s="913" t="s">
        <v>702</v>
      </c>
      <c r="C132" s="914">
        <v>0.5</v>
      </c>
      <c r="D132" s="914">
        <v>7755</v>
      </c>
      <c r="E132" s="915">
        <v>1.0549999999999999</v>
      </c>
      <c r="F132" s="916">
        <f t="shared" si="81"/>
        <v>8182</v>
      </c>
      <c r="G132" s="915">
        <v>1.01</v>
      </c>
      <c r="H132" s="916">
        <f t="shared" si="82"/>
        <v>8264</v>
      </c>
      <c r="I132" s="917">
        <f t="shared" si="83"/>
        <v>4132</v>
      </c>
      <c r="J132" s="918">
        <f t="shared" si="84"/>
        <v>0</v>
      </c>
      <c r="K132" s="919"/>
      <c r="L132" s="917">
        <f t="shared" si="85"/>
        <v>0</v>
      </c>
      <c r="M132" s="918">
        <f t="shared" si="86"/>
        <v>0</v>
      </c>
      <c r="N132" s="919"/>
      <c r="O132" s="917">
        <f t="shared" si="87"/>
        <v>0</v>
      </c>
      <c r="P132" s="918">
        <f t="shared" si="88"/>
        <v>0</v>
      </c>
      <c r="Q132" s="919"/>
      <c r="R132" s="917">
        <f t="shared" si="89"/>
        <v>0</v>
      </c>
      <c r="S132" s="918">
        <f t="shared" si="90"/>
        <v>0</v>
      </c>
      <c r="T132" s="919"/>
      <c r="U132" s="917">
        <f t="shared" si="91"/>
        <v>0</v>
      </c>
      <c r="V132" s="918">
        <f t="shared" si="92"/>
        <v>0</v>
      </c>
      <c r="W132" s="919"/>
      <c r="X132" s="917">
        <f t="shared" si="93"/>
        <v>0</v>
      </c>
      <c r="Y132" s="918">
        <f t="shared" si="94"/>
        <v>1.99</v>
      </c>
      <c r="Z132" s="919">
        <v>7716.23</v>
      </c>
      <c r="AA132" s="917">
        <f t="shared" si="95"/>
        <v>8222.68</v>
      </c>
      <c r="AB132" s="918">
        <f t="shared" si="96"/>
        <v>0.3</v>
      </c>
      <c r="AC132" s="919">
        <v>1163.25</v>
      </c>
      <c r="AD132" s="917">
        <f t="shared" si="97"/>
        <v>1239.5999999999999</v>
      </c>
      <c r="AE132" s="918">
        <f t="shared" si="98"/>
        <v>0</v>
      </c>
      <c r="AF132" s="919"/>
      <c r="AG132" s="917">
        <f t="shared" si="99"/>
        <v>0</v>
      </c>
      <c r="AH132" s="918">
        <f t="shared" si="100"/>
        <v>0</v>
      </c>
      <c r="AI132" s="919"/>
      <c r="AJ132" s="917">
        <f t="shared" si="101"/>
        <v>0</v>
      </c>
      <c r="AK132" s="918">
        <f t="shared" si="102"/>
        <v>0</v>
      </c>
      <c r="AL132" s="919"/>
      <c r="AM132" s="917">
        <f t="shared" si="103"/>
        <v>0</v>
      </c>
      <c r="AN132" s="920">
        <v>19242</v>
      </c>
      <c r="AO132" s="917">
        <f t="shared" si="104"/>
        <v>0</v>
      </c>
      <c r="AP132" s="920"/>
      <c r="AQ132" s="916">
        <f t="shared" si="105"/>
        <v>0</v>
      </c>
      <c r="AR132" s="917">
        <f t="shared" si="106"/>
        <v>13594.28</v>
      </c>
      <c r="AS132" s="916">
        <v>12</v>
      </c>
      <c r="AT132" s="921">
        <f t="shared" si="107"/>
        <v>163131.35999999999</v>
      </c>
      <c r="AU132" s="920"/>
      <c r="AV132" s="922">
        <f t="shared" si="108"/>
        <v>1631.31</v>
      </c>
      <c r="AW132" s="921">
        <f t="shared" si="109"/>
        <v>164762.67000000001</v>
      </c>
      <c r="AX132" s="921">
        <f t="shared" si="110"/>
        <v>49758.33</v>
      </c>
      <c r="AY132" s="921">
        <f t="shared" si="111"/>
        <v>214521</v>
      </c>
      <c r="AZ132" s="923">
        <f t="shared" si="112"/>
        <v>164.8</v>
      </c>
      <c r="BA132" s="923">
        <f t="shared" si="113"/>
        <v>49.8</v>
      </c>
      <c r="BB132" s="923">
        <f t="shared" si="114"/>
        <v>214.6</v>
      </c>
      <c r="BC132" s="915">
        <v>0.95</v>
      </c>
      <c r="BD132" s="923">
        <f t="shared" si="115"/>
        <v>156.6</v>
      </c>
      <c r="BE132" s="923">
        <f t="shared" si="116"/>
        <v>47.3</v>
      </c>
      <c r="BF132" s="923">
        <f t="shared" si="117"/>
        <v>203.9</v>
      </c>
      <c r="BG132" s="924">
        <f>'[3]свод (2024)'!$B$116</f>
        <v>0.99758349999999996</v>
      </c>
      <c r="BH132" s="923">
        <f t="shared" si="118"/>
        <v>156.19999999999999</v>
      </c>
      <c r="BI132" s="923">
        <f t="shared" si="119"/>
        <v>47.2</v>
      </c>
      <c r="BJ132" s="923">
        <f t="shared" si="120"/>
        <v>203.4</v>
      </c>
      <c r="BK132" s="925">
        <f t="shared" si="121"/>
        <v>-8.6</v>
      </c>
      <c r="BL132" s="925">
        <f t="shared" si="121"/>
        <v>-2.6</v>
      </c>
      <c r="BM132" s="925">
        <f t="shared" si="122"/>
        <v>-11.2</v>
      </c>
      <c r="BN132" s="925">
        <f t="shared" si="123"/>
        <v>0</v>
      </c>
      <c r="BO132" s="925">
        <f t="shared" si="124"/>
        <v>0</v>
      </c>
      <c r="BP132" s="926"/>
      <c r="BQ132" s="925">
        <f t="shared" si="125"/>
        <v>156.19999999999999</v>
      </c>
      <c r="BR132" s="925">
        <f t="shared" si="125"/>
        <v>47.2</v>
      </c>
      <c r="BS132" s="925">
        <f t="shared" si="126"/>
        <v>203.4</v>
      </c>
      <c r="BU132" s="928"/>
      <c r="BV132" s="917"/>
      <c r="BW132" s="928"/>
      <c r="BX132" s="928"/>
      <c r="BY132" s="928"/>
      <c r="BZ132" s="917"/>
      <c r="CA132" s="928"/>
      <c r="CB132" s="917"/>
      <c r="CC132" s="928"/>
      <c r="CD132" s="928"/>
      <c r="CE132" s="928"/>
      <c r="CF132" s="929"/>
      <c r="CG132" s="928"/>
      <c r="CH132" s="928"/>
      <c r="CI132" s="928"/>
      <c r="CJ132" s="925"/>
      <c r="CK132" s="925"/>
      <c r="CL132" s="925"/>
      <c r="CM132" s="925"/>
      <c r="CN132" s="925"/>
      <c r="CO132" s="925"/>
      <c r="CP132" s="925"/>
      <c r="CQ132" s="925"/>
      <c r="CR132" s="925"/>
      <c r="CS132" s="917"/>
      <c r="CT132" s="928"/>
      <c r="CU132" s="928"/>
      <c r="CV132" s="928"/>
      <c r="CX132" s="925"/>
      <c r="CY132" s="925"/>
      <c r="CZ132" s="925"/>
      <c r="DB132" s="925"/>
      <c r="DC132" s="925"/>
      <c r="DD132" s="925"/>
      <c r="DE132" s="925"/>
      <c r="DF132" s="925"/>
      <c r="DG132" s="925"/>
      <c r="DH132" s="925"/>
      <c r="DI132" s="925"/>
      <c r="DJ132" s="925"/>
      <c r="DK132" s="925"/>
      <c r="DL132" s="925"/>
      <c r="DM132" s="925"/>
      <c r="DN132" s="925"/>
      <c r="DO132" s="925"/>
      <c r="DP132" s="925"/>
      <c r="DQ132" s="924"/>
      <c r="DR132" s="925"/>
      <c r="DS132" s="925"/>
      <c r="DT132" s="925"/>
      <c r="DV132" s="925"/>
      <c r="DW132" s="925"/>
      <c r="DX132" s="925"/>
      <c r="DY132" s="925"/>
      <c r="DZ132" s="925"/>
      <c r="EA132" s="925"/>
      <c r="EB132" s="925"/>
      <c r="EC132" s="925"/>
      <c r="ED132" s="925"/>
      <c r="EE132" s="925"/>
      <c r="EF132" s="925"/>
      <c r="EG132" s="925"/>
      <c r="EH132" s="925"/>
      <c r="EI132" s="925"/>
      <c r="EJ132" s="925"/>
      <c r="EK132" s="925"/>
      <c r="EL132" s="925"/>
      <c r="EM132" s="925"/>
      <c r="EN132" s="925"/>
      <c r="EO132" s="925"/>
      <c r="EP132" s="925"/>
      <c r="EQ132" s="925"/>
      <c r="ER132" s="925"/>
      <c r="ES132" s="925"/>
      <c r="ET132" s="925"/>
      <c r="EV132" s="924"/>
      <c r="EW132" s="925"/>
      <c r="EX132" s="925"/>
      <c r="EY132" s="925"/>
    </row>
    <row r="133" spans="1:155" s="927" customFormat="1" ht="36" x14ac:dyDescent="0.25">
      <c r="A133" s="912" t="s">
        <v>61</v>
      </c>
      <c r="B133" s="913" t="s">
        <v>1407</v>
      </c>
      <c r="C133" s="914">
        <v>1.5</v>
      </c>
      <c r="D133" s="914">
        <v>5454</v>
      </c>
      <c r="E133" s="915">
        <v>1.0549999999999999</v>
      </c>
      <c r="F133" s="916">
        <f t="shared" si="81"/>
        <v>5754</v>
      </c>
      <c r="G133" s="915">
        <v>1.01</v>
      </c>
      <c r="H133" s="916">
        <f t="shared" si="82"/>
        <v>5812</v>
      </c>
      <c r="I133" s="917">
        <f t="shared" si="83"/>
        <v>8718</v>
      </c>
      <c r="J133" s="918">
        <f t="shared" si="84"/>
        <v>0</v>
      </c>
      <c r="K133" s="919"/>
      <c r="L133" s="917">
        <f t="shared" si="85"/>
        <v>0</v>
      </c>
      <c r="M133" s="918">
        <f t="shared" si="86"/>
        <v>0</v>
      </c>
      <c r="N133" s="919"/>
      <c r="O133" s="917">
        <f t="shared" si="87"/>
        <v>0</v>
      </c>
      <c r="P133" s="918">
        <f t="shared" si="88"/>
        <v>0</v>
      </c>
      <c r="Q133" s="919"/>
      <c r="R133" s="917">
        <f t="shared" si="89"/>
        <v>0</v>
      </c>
      <c r="S133" s="918">
        <f t="shared" si="90"/>
        <v>0</v>
      </c>
      <c r="T133" s="919"/>
      <c r="U133" s="917">
        <f t="shared" si="91"/>
        <v>0</v>
      </c>
      <c r="V133" s="918">
        <f t="shared" si="92"/>
        <v>0</v>
      </c>
      <c r="W133" s="919"/>
      <c r="X133" s="917">
        <f t="shared" si="93"/>
        <v>0</v>
      </c>
      <c r="Y133" s="918">
        <f t="shared" si="94"/>
        <v>0</v>
      </c>
      <c r="Z133" s="919"/>
      <c r="AA133" s="917">
        <f t="shared" si="95"/>
        <v>0</v>
      </c>
      <c r="AB133" s="918">
        <f t="shared" si="96"/>
        <v>0</v>
      </c>
      <c r="AC133" s="919"/>
      <c r="AD133" s="917">
        <f t="shared" si="97"/>
        <v>0</v>
      </c>
      <c r="AE133" s="918">
        <f t="shared" si="98"/>
        <v>0</v>
      </c>
      <c r="AF133" s="919"/>
      <c r="AG133" s="917">
        <f t="shared" si="99"/>
        <v>0</v>
      </c>
      <c r="AH133" s="918">
        <f t="shared" si="100"/>
        <v>0</v>
      </c>
      <c r="AI133" s="919"/>
      <c r="AJ133" s="917">
        <f t="shared" si="101"/>
        <v>0</v>
      </c>
      <c r="AK133" s="918">
        <f t="shared" si="102"/>
        <v>0</v>
      </c>
      <c r="AL133" s="919"/>
      <c r="AM133" s="917">
        <f t="shared" si="103"/>
        <v>0</v>
      </c>
      <c r="AN133" s="920">
        <v>19242</v>
      </c>
      <c r="AO133" s="917">
        <f t="shared" si="104"/>
        <v>20145</v>
      </c>
      <c r="AP133" s="920"/>
      <c r="AQ133" s="916">
        <f t="shared" si="105"/>
        <v>0</v>
      </c>
      <c r="AR133" s="917">
        <f t="shared" si="106"/>
        <v>28863</v>
      </c>
      <c r="AS133" s="916">
        <v>12</v>
      </c>
      <c r="AT133" s="921">
        <f t="shared" si="107"/>
        <v>346356</v>
      </c>
      <c r="AU133" s="920"/>
      <c r="AV133" s="922">
        <f t="shared" si="108"/>
        <v>3463.56</v>
      </c>
      <c r="AW133" s="921">
        <f t="shared" si="109"/>
        <v>349819.56</v>
      </c>
      <c r="AX133" s="921">
        <f t="shared" si="110"/>
        <v>105645.51</v>
      </c>
      <c r="AY133" s="921">
        <f t="shared" si="111"/>
        <v>455465.07</v>
      </c>
      <c r="AZ133" s="923">
        <f t="shared" si="112"/>
        <v>349.8</v>
      </c>
      <c r="BA133" s="923">
        <f t="shared" si="113"/>
        <v>105.6</v>
      </c>
      <c r="BB133" s="923">
        <f t="shared" si="114"/>
        <v>455.4</v>
      </c>
      <c r="BC133" s="915">
        <v>0.95</v>
      </c>
      <c r="BD133" s="923">
        <f t="shared" si="115"/>
        <v>332.3</v>
      </c>
      <c r="BE133" s="923">
        <f t="shared" si="116"/>
        <v>100.4</v>
      </c>
      <c r="BF133" s="923">
        <f t="shared" si="117"/>
        <v>432.7</v>
      </c>
      <c r="BG133" s="924">
        <f>'[3]свод (2024)'!$B$116</f>
        <v>0.99758349999999996</v>
      </c>
      <c r="BH133" s="923">
        <f t="shared" si="118"/>
        <v>331.5</v>
      </c>
      <c r="BI133" s="923">
        <f t="shared" si="119"/>
        <v>100.1</v>
      </c>
      <c r="BJ133" s="923">
        <f t="shared" si="120"/>
        <v>431.6</v>
      </c>
      <c r="BK133" s="925">
        <f t="shared" si="121"/>
        <v>-18.3</v>
      </c>
      <c r="BL133" s="925">
        <f t="shared" si="121"/>
        <v>-5.5</v>
      </c>
      <c r="BM133" s="925">
        <f t="shared" si="122"/>
        <v>-23.8</v>
      </c>
      <c r="BN133" s="925">
        <f t="shared" si="123"/>
        <v>0</v>
      </c>
      <c r="BO133" s="925">
        <f t="shared" si="124"/>
        <v>0</v>
      </c>
      <c r="BP133" s="926"/>
      <c r="BQ133" s="925">
        <f t="shared" si="125"/>
        <v>331.5</v>
      </c>
      <c r="BR133" s="925">
        <f t="shared" si="125"/>
        <v>100.1</v>
      </c>
      <c r="BS133" s="925">
        <f t="shared" si="126"/>
        <v>431.6</v>
      </c>
      <c r="BU133" s="928"/>
      <c r="BV133" s="917"/>
      <c r="BW133" s="928"/>
      <c r="BX133" s="928"/>
      <c r="BY133" s="928"/>
      <c r="BZ133" s="917"/>
      <c r="CA133" s="928"/>
      <c r="CB133" s="917"/>
      <c r="CC133" s="928"/>
      <c r="CD133" s="928"/>
      <c r="CE133" s="928"/>
      <c r="CF133" s="929"/>
      <c r="CG133" s="928"/>
      <c r="CH133" s="928"/>
      <c r="CI133" s="928"/>
      <c r="CJ133" s="925"/>
      <c r="CK133" s="925"/>
      <c r="CL133" s="925"/>
      <c r="CM133" s="925"/>
      <c r="CN133" s="925"/>
      <c r="CO133" s="925"/>
      <c r="CP133" s="925"/>
      <c r="CQ133" s="925"/>
      <c r="CR133" s="925"/>
      <c r="CS133" s="917"/>
      <c r="CT133" s="928"/>
      <c r="CU133" s="928"/>
      <c r="CV133" s="928"/>
      <c r="CX133" s="925"/>
      <c r="CY133" s="925"/>
      <c r="CZ133" s="925"/>
      <c r="DB133" s="925"/>
      <c r="DC133" s="925"/>
      <c r="DD133" s="925"/>
      <c r="DE133" s="925"/>
      <c r="DF133" s="925"/>
      <c r="DG133" s="925"/>
      <c r="DH133" s="925"/>
      <c r="DI133" s="925"/>
      <c r="DJ133" s="925"/>
      <c r="DK133" s="925"/>
      <c r="DL133" s="925"/>
      <c r="DM133" s="925"/>
      <c r="DN133" s="925"/>
      <c r="DO133" s="925"/>
      <c r="DP133" s="925"/>
      <c r="DQ133" s="924"/>
      <c r="DR133" s="925"/>
      <c r="DS133" s="925"/>
      <c r="DT133" s="925"/>
      <c r="DV133" s="925"/>
      <c r="DW133" s="925"/>
      <c r="DX133" s="925"/>
      <c r="DY133" s="925"/>
      <c r="DZ133" s="925"/>
      <c r="EA133" s="925"/>
      <c r="EB133" s="925"/>
      <c r="EC133" s="925"/>
      <c r="ED133" s="925"/>
      <c r="EE133" s="925"/>
      <c r="EF133" s="925"/>
      <c r="EG133" s="925"/>
      <c r="EH133" s="925"/>
      <c r="EI133" s="925"/>
      <c r="EJ133" s="925"/>
      <c r="EK133" s="925"/>
      <c r="EL133" s="925"/>
      <c r="EM133" s="925"/>
      <c r="EN133" s="925"/>
      <c r="EO133" s="925"/>
      <c r="EP133" s="925"/>
      <c r="EQ133" s="925"/>
      <c r="ER133" s="925"/>
      <c r="ES133" s="925"/>
      <c r="ET133" s="925"/>
      <c r="EV133" s="924"/>
      <c r="EW133" s="925"/>
      <c r="EX133" s="925"/>
      <c r="EY133" s="925"/>
    </row>
    <row r="134" spans="1:155" s="927" customFormat="1" ht="15.75" x14ac:dyDescent="0.25">
      <c r="A134" s="931" t="s">
        <v>61</v>
      </c>
      <c r="B134" s="932"/>
      <c r="C134" s="933">
        <f>SUM(C98:C133)</f>
        <v>119.64</v>
      </c>
      <c r="D134" s="933">
        <f t="shared" ref="D134:BO134" si="131">SUM(D98:D133)</f>
        <v>356754</v>
      </c>
      <c r="E134" s="934">
        <f t="shared" si="131"/>
        <v>37.979999999999997</v>
      </c>
      <c r="F134" s="935">
        <f t="shared" si="131"/>
        <v>376391</v>
      </c>
      <c r="G134" s="934">
        <f t="shared" si="131"/>
        <v>36.36</v>
      </c>
      <c r="H134" s="935">
        <f t="shared" si="131"/>
        <v>380169</v>
      </c>
      <c r="I134" s="936">
        <f t="shared" si="131"/>
        <v>1404615.66</v>
      </c>
      <c r="J134" s="937">
        <f t="shared" si="131"/>
        <v>1.3710800000000001</v>
      </c>
      <c r="K134" s="938">
        <f t="shared" si="131"/>
        <v>179280.46</v>
      </c>
      <c r="L134" s="936">
        <f t="shared" si="131"/>
        <v>191050.01</v>
      </c>
      <c r="M134" s="937">
        <f t="shared" si="131"/>
        <v>0.39</v>
      </c>
      <c r="N134" s="938">
        <f t="shared" si="131"/>
        <v>6742.52</v>
      </c>
      <c r="O134" s="936">
        <f t="shared" si="131"/>
        <v>7184.88</v>
      </c>
      <c r="P134" s="937">
        <f t="shared" si="131"/>
        <v>0.44178000000000001</v>
      </c>
      <c r="Q134" s="938">
        <f t="shared" si="131"/>
        <v>14991.93</v>
      </c>
      <c r="R134" s="936">
        <f t="shared" si="131"/>
        <v>15976.51</v>
      </c>
      <c r="S134" s="937">
        <f t="shared" si="131"/>
        <v>0.42499999999999999</v>
      </c>
      <c r="T134" s="938">
        <f t="shared" si="131"/>
        <v>6568</v>
      </c>
      <c r="U134" s="936">
        <f t="shared" si="131"/>
        <v>6999.2</v>
      </c>
      <c r="V134" s="937">
        <f t="shared" si="131"/>
        <v>0</v>
      </c>
      <c r="W134" s="938">
        <f t="shared" si="131"/>
        <v>0</v>
      </c>
      <c r="X134" s="936">
        <f t="shared" si="131"/>
        <v>0</v>
      </c>
      <c r="Y134" s="937">
        <f t="shared" si="131"/>
        <v>20.86</v>
      </c>
      <c r="Z134" s="938">
        <f t="shared" si="131"/>
        <v>204434.87</v>
      </c>
      <c r="AA134" s="936">
        <f t="shared" si="131"/>
        <v>217852.47</v>
      </c>
      <c r="AB134" s="937">
        <f t="shared" si="131"/>
        <v>5.1952499999999997</v>
      </c>
      <c r="AC134" s="938">
        <f t="shared" si="131"/>
        <v>194969.25</v>
      </c>
      <c r="AD134" s="936">
        <f t="shared" si="131"/>
        <v>207765</v>
      </c>
      <c r="AE134" s="937">
        <f t="shared" si="131"/>
        <v>0.10428999999999999</v>
      </c>
      <c r="AF134" s="938">
        <f t="shared" si="131"/>
        <v>4880.8</v>
      </c>
      <c r="AG134" s="936">
        <f t="shared" si="131"/>
        <v>5204</v>
      </c>
      <c r="AH134" s="937">
        <f t="shared" si="131"/>
        <v>0</v>
      </c>
      <c r="AI134" s="938">
        <f t="shared" si="131"/>
        <v>0</v>
      </c>
      <c r="AJ134" s="936">
        <f t="shared" si="131"/>
        <v>0</v>
      </c>
      <c r="AK134" s="937">
        <f t="shared" si="131"/>
        <v>0</v>
      </c>
      <c r="AL134" s="938">
        <f t="shared" si="131"/>
        <v>0</v>
      </c>
      <c r="AM134" s="936">
        <f t="shared" si="131"/>
        <v>0</v>
      </c>
      <c r="AN134" s="933">
        <f t="shared" si="131"/>
        <v>692712</v>
      </c>
      <c r="AO134" s="936">
        <f t="shared" si="131"/>
        <v>470963.39</v>
      </c>
      <c r="AP134" s="933">
        <f t="shared" si="131"/>
        <v>2120.58</v>
      </c>
      <c r="AQ134" s="935">
        <f t="shared" si="131"/>
        <v>11663.19</v>
      </c>
      <c r="AR134" s="936">
        <f t="shared" si="131"/>
        <v>2539274.31</v>
      </c>
      <c r="AS134" s="935">
        <f t="shared" si="131"/>
        <v>432</v>
      </c>
      <c r="AT134" s="939">
        <f t="shared" si="131"/>
        <v>30471291.719999999</v>
      </c>
      <c r="AU134" s="933">
        <f t="shared" si="131"/>
        <v>463313.77</v>
      </c>
      <c r="AV134" s="940">
        <f t="shared" si="131"/>
        <v>304712.92</v>
      </c>
      <c r="AW134" s="939">
        <f t="shared" si="131"/>
        <v>31239318.41</v>
      </c>
      <c r="AX134" s="939">
        <f t="shared" si="131"/>
        <v>9434274.1699999999</v>
      </c>
      <c r="AY134" s="939">
        <f t="shared" si="131"/>
        <v>40673592.579999998</v>
      </c>
      <c r="AZ134" s="941">
        <f t="shared" si="131"/>
        <v>31239.3</v>
      </c>
      <c r="BA134" s="941">
        <f t="shared" si="131"/>
        <v>9434.2000000000007</v>
      </c>
      <c r="BB134" s="941">
        <f t="shared" si="131"/>
        <v>40673.5</v>
      </c>
      <c r="BC134" s="934">
        <f t="shared" si="131"/>
        <v>34.200000000000003</v>
      </c>
      <c r="BD134" s="941">
        <f t="shared" si="131"/>
        <v>29677.5</v>
      </c>
      <c r="BE134" s="941">
        <f t="shared" si="131"/>
        <v>8962.6</v>
      </c>
      <c r="BF134" s="941">
        <f t="shared" si="131"/>
        <v>38640.1</v>
      </c>
      <c r="BG134" s="942">
        <f>'[3]свод (2024)'!$B$116</f>
        <v>0.99758349999999996</v>
      </c>
      <c r="BH134" s="941">
        <f t="shared" si="131"/>
        <v>29605.7</v>
      </c>
      <c r="BI134" s="941">
        <f t="shared" si="131"/>
        <v>8941</v>
      </c>
      <c r="BJ134" s="941">
        <f t="shared" si="131"/>
        <v>38546.699999999997</v>
      </c>
      <c r="BK134" s="943">
        <f t="shared" si="131"/>
        <v>-1633.6</v>
      </c>
      <c r="BL134" s="943">
        <f t="shared" si="131"/>
        <v>-493.2</v>
      </c>
      <c r="BM134" s="943">
        <f t="shared" si="131"/>
        <v>-2126.8000000000002</v>
      </c>
      <c r="BN134" s="943">
        <f t="shared" si="131"/>
        <v>0</v>
      </c>
      <c r="BO134" s="943">
        <f t="shared" si="131"/>
        <v>0</v>
      </c>
      <c r="BP134" s="944">
        <f t="shared" ref="BP134:BS134" si="132">SUM(BP98:BP133)</f>
        <v>0</v>
      </c>
      <c r="BQ134" s="943">
        <f t="shared" si="132"/>
        <v>29605.7</v>
      </c>
      <c r="BR134" s="943">
        <f t="shared" si="132"/>
        <v>8941</v>
      </c>
      <c r="BS134" s="943">
        <f t="shared" si="132"/>
        <v>38546.699999999997</v>
      </c>
      <c r="BU134" s="945">
        <f>SUM(BU98:BU133)</f>
        <v>72.14</v>
      </c>
      <c r="BV134" s="946">
        <v>5.9</v>
      </c>
      <c r="BW134" s="947">
        <f t="shared" ref="BW134" si="133">BU134-BV134</f>
        <v>66.239999999999995</v>
      </c>
      <c r="BX134" s="945">
        <f>SUM(BX98:BX133)</f>
        <v>16900042.190000001</v>
      </c>
      <c r="BY134" s="947">
        <f>BX134/BU134*BW134</f>
        <v>15517865.189999999</v>
      </c>
      <c r="BZ134" s="946">
        <v>43.3</v>
      </c>
      <c r="CA134" s="947">
        <f t="shared" ref="CA134" si="134">BY134/BZ134/12</f>
        <v>29865.02</v>
      </c>
      <c r="CB134" s="946">
        <v>41718.199999999997</v>
      </c>
      <c r="CC134" s="947">
        <f t="shared" ref="CC134" si="135">(CB134-CA134)*BZ134*12</f>
        <v>6158912.3300000001</v>
      </c>
      <c r="CD134" s="947">
        <f t="shared" ref="CD134" si="136">CC134*0.302</f>
        <v>1859991.52</v>
      </c>
      <c r="CE134" s="947">
        <f t="shared" ref="CE134" si="137">CC134+CD134</f>
        <v>8018903.8499999996</v>
      </c>
      <c r="CF134" s="948">
        <f>SUM(CF98:CF133)</f>
        <v>6158912.3200000003</v>
      </c>
      <c r="CG134" s="949">
        <f>ROUND(CC134/1000,1)</f>
        <v>6158.9</v>
      </c>
      <c r="CH134" s="949">
        <f>ROUND(CD134/1000,1)</f>
        <v>1860</v>
      </c>
      <c r="CI134" s="950">
        <f>CG134+CH134</f>
        <v>8018.9</v>
      </c>
      <c r="CJ134" s="951">
        <f>BQ134+CG134</f>
        <v>35764.6</v>
      </c>
      <c r="CK134" s="951">
        <f>BR134+CH134</f>
        <v>10801</v>
      </c>
      <c r="CL134" s="952">
        <f>CJ134+CK134</f>
        <v>46565.599999999999</v>
      </c>
      <c r="CM134" s="951">
        <f>361.7/6*12</f>
        <v>723.4</v>
      </c>
      <c r="CN134" s="951">
        <f>CM134*0.302</f>
        <v>218.5</v>
      </c>
      <c r="CO134" s="952">
        <f>CM134+CN134</f>
        <v>941.9</v>
      </c>
      <c r="CP134" s="951">
        <f>ROUND(CJ134-CM134,1)</f>
        <v>35041.199999999997</v>
      </c>
      <c r="CQ134" s="951">
        <f>ROUND(CK134-CN134,1)</f>
        <v>10582.5</v>
      </c>
      <c r="CR134" s="952">
        <f>CP134+CQ134</f>
        <v>45623.7</v>
      </c>
      <c r="CS134" s="946">
        <v>38663.800000000003</v>
      </c>
      <c r="CT134" s="953">
        <f>(CB134-CS134)*BZ134*12/1000</f>
        <v>1587.1</v>
      </c>
      <c r="CU134" s="953">
        <f>CT134*0.302</f>
        <v>479.3</v>
      </c>
      <c r="CV134" s="953">
        <f>CT134+CU134</f>
        <v>2066.4</v>
      </c>
      <c r="CX134" s="951">
        <f>(BY134+CC134)/1000-CM134</f>
        <v>20953.400000000001</v>
      </c>
      <c r="CY134" s="951">
        <f>CX134*0.302</f>
        <v>6327.9</v>
      </c>
      <c r="CZ134" s="952">
        <f>CX134+CY134</f>
        <v>27281.3</v>
      </c>
      <c r="DB134" s="954"/>
      <c r="DC134" s="954"/>
      <c r="DD134" s="921"/>
      <c r="DE134" s="954"/>
      <c r="DF134" s="954"/>
      <c r="DG134" s="921"/>
      <c r="DH134" s="954"/>
      <c r="DI134" s="954"/>
      <c r="DJ134" s="921"/>
      <c r="DK134" s="954"/>
      <c r="DL134" s="954"/>
      <c r="DM134" s="921"/>
      <c r="DN134" s="954"/>
      <c r="DO134" s="954"/>
      <c r="DP134" s="921"/>
      <c r="DQ134" s="942">
        <f>$DQ$239</f>
        <v>0.97853064899999997</v>
      </c>
      <c r="DR134" s="951">
        <f>ROUND(CP134*DQ134,1)</f>
        <v>34288.9</v>
      </c>
      <c r="DS134" s="951">
        <f>ROUND(CQ134*DQ134,1)</f>
        <v>10355.299999999999</v>
      </c>
      <c r="DT134" s="952">
        <f>DR134+DS134</f>
        <v>44644.2</v>
      </c>
      <c r="DV134" s="921"/>
      <c r="DW134" s="921"/>
      <c r="DX134" s="921"/>
      <c r="DY134" s="921"/>
      <c r="DZ134" s="921"/>
      <c r="EA134" s="921"/>
      <c r="EB134" s="921"/>
      <c r="EC134" s="921"/>
      <c r="ED134" s="921"/>
      <c r="EE134" s="921"/>
      <c r="EF134" s="921"/>
      <c r="EG134" s="921"/>
      <c r="EH134" s="921"/>
      <c r="EI134" s="921"/>
      <c r="EJ134" s="921"/>
      <c r="EK134" s="921"/>
      <c r="EL134" s="921"/>
      <c r="EM134" s="921"/>
      <c r="EN134" s="921"/>
      <c r="EO134" s="921"/>
      <c r="EP134" s="921"/>
      <c r="EQ134" s="954"/>
      <c r="ER134" s="954"/>
      <c r="ES134" s="954"/>
      <c r="ET134" s="954"/>
      <c r="EV134" s="942">
        <f>EV239</f>
        <v>0.98076503800000003</v>
      </c>
      <c r="EW134" s="951">
        <f>ROUND(CP134*EV134,1)</f>
        <v>34367.199999999997</v>
      </c>
      <c r="EX134" s="951">
        <f>ROUND(CQ134*EV134,1)</f>
        <v>10378.9</v>
      </c>
      <c r="EY134" s="952">
        <f>EW134+EX134</f>
        <v>44746.1</v>
      </c>
    </row>
    <row r="135" spans="1:155" s="927" customFormat="1" ht="15.75" x14ac:dyDescent="0.25">
      <c r="A135" s="931"/>
      <c r="B135" s="932" t="s">
        <v>406</v>
      </c>
      <c r="C135" s="981">
        <f>C117+C129</f>
        <v>49.89</v>
      </c>
      <c r="D135" s="938"/>
      <c r="E135" s="983"/>
      <c r="F135" s="936"/>
      <c r="G135" s="983"/>
      <c r="H135" s="984">
        <f>H117+H129</f>
        <v>27988</v>
      </c>
      <c r="I135" s="984">
        <f>I117+I129</f>
        <v>698160.66</v>
      </c>
      <c r="J135" s="937"/>
      <c r="K135" s="938"/>
      <c r="L135" s="984">
        <f>L117+L129</f>
        <v>138387.06</v>
      </c>
      <c r="M135" s="937"/>
      <c r="N135" s="938"/>
      <c r="O135" s="984">
        <f>O117+O129</f>
        <v>0</v>
      </c>
      <c r="P135" s="937"/>
      <c r="Q135" s="938"/>
      <c r="R135" s="984">
        <f>R117+R129</f>
        <v>4665.8100000000004</v>
      </c>
      <c r="S135" s="937"/>
      <c r="T135" s="938"/>
      <c r="U135" s="984">
        <f>U117+U129</f>
        <v>0</v>
      </c>
      <c r="V135" s="937"/>
      <c r="W135" s="938"/>
      <c r="X135" s="984">
        <f>X117+X129</f>
        <v>0</v>
      </c>
      <c r="Y135" s="937"/>
      <c r="Z135" s="938"/>
      <c r="AA135" s="984">
        <f>AA117+AA129</f>
        <v>0</v>
      </c>
      <c r="AB135" s="937"/>
      <c r="AC135" s="938"/>
      <c r="AD135" s="984">
        <f>AD117+AD129</f>
        <v>114827.17</v>
      </c>
      <c r="AE135" s="937"/>
      <c r="AF135" s="938"/>
      <c r="AG135" s="984">
        <f>AG117+AG129</f>
        <v>2801.8</v>
      </c>
      <c r="AH135" s="937"/>
      <c r="AI135" s="938"/>
      <c r="AJ135" s="984">
        <f>AJ117+AJ129</f>
        <v>0</v>
      </c>
      <c r="AK135" s="937"/>
      <c r="AL135" s="938"/>
      <c r="AM135" s="984">
        <f>AM117+AM129</f>
        <v>0</v>
      </c>
      <c r="AN135" s="938"/>
      <c r="AO135" s="984">
        <f>AO117+AO129</f>
        <v>2434.67</v>
      </c>
      <c r="AP135" s="938"/>
      <c r="AQ135" s="984">
        <f t="shared" ref="AQ135:AR135" si="138">AQ117+AQ129</f>
        <v>0</v>
      </c>
      <c r="AR135" s="984">
        <f t="shared" si="138"/>
        <v>961277.17</v>
      </c>
      <c r="AS135" s="936"/>
      <c r="AT135" s="984">
        <f t="shared" ref="AT135:AW135" si="139">AT117+AT129</f>
        <v>11535326.039999999</v>
      </c>
      <c r="AU135" s="984">
        <f t="shared" si="139"/>
        <v>0</v>
      </c>
      <c r="AV135" s="984">
        <f t="shared" si="139"/>
        <v>115353.26</v>
      </c>
      <c r="AW135" s="984">
        <f t="shared" si="139"/>
        <v>11650679.300000001</v>
      </c>
      <c r="AX135" s="939"/>
      <c r="AY135" s="939"/>
      <c r="AZ135" s="941"/>
      <c r="BA135" s="941"/>
      <c r="BB135" s="941"/>
      <c r="BC135" s="934"/>
      <c r="BD135" s="941"/>
      <c r="BE135" s="941"/>
      <c r="BF135" s="941"/>
      <c r="BG135" s="942"/>
      <c r="BH135" s="941"/>
      <c r="BI135" s="941"/>
      <c r="BJ135" s="941"/>
      <c r="BK135" s="943"/>
      <c r="BL135" s="943"/>
      <c r="BM135" s="943"/>
      <c r="BN135" s="943"/>
      <c r="BO135" s="943"/>
      <c r="BP135" s="944"/>
      <c r="BQ135" s="943"/>
      <c r="BR135" s="943"/>
      <c r="BS135" s="943"/>
      <c r="BU135" s="945"/>
      <c r="BV135" s="946"/>
      <c r="BW135" s="947"/>
      <c r="BX135" s="945"/>
      <c r="BY135" s="947"/>
      <c r="BZ135" s="946"/>
      <c r="CA135" s="947"/>
      <c r="CB135" s="946"/>
      <c r="CC135" s="947"/>
      <c r="CD135" s="947"/>
      <c r="CE135" s="947"/>
      <c r="CF135" s="948"/>
      <c r="CG135" s="949"/>
      <c r="CH135" s="949"/>
      <c r="CI135" s="950"/>
      <c r="CJ135" s="951"/>
      <c r="CK135" s="951"/>
      <c r="CL135" s="952"/>
      <c r="CM135" s="951"/>
      <c r="CN135" s="951"/>
      <c r="CO135" s="952"/>
      <c r="CP135" s="951"/>
      <c r="CQ135" s="951"/>
      <c r="CR135" s="952"/>
      <c r="CS135" s="946"/>
      <c r="CT135" s="953"/>
      <c r="CU135" s="953"/>
      <c r="CV135" s="953"/>
      <c r="CX135" s="951"/>
      <c r="CY135" s="951"/>
      <c r="CZ135" s="952"/>
      <c r="DB135" s="954"/>
      <c r="DC135" s="954"/>
      <c r="DD135" s="921"/>
      <c r="DE135" s="954"/>
      <c r="DF135" s="954"/>
      <c r="DG135" s="921"/>
      <c r="DH135" s="954"/>
      <c r="DI135" s="954"/>
      <c r="DJ135" s="921"/>
      <c r="DK135" s="954"/>
      <c r="DL135" s="954"/>
      <c r="DM135" s="921"/>
      <c r="DN135" s="954"/>
      <c r="DO135" s="954"/>
      <c r="DP135" s="921"/>
      <c r="DQ135" s="942"/>
      <c r="DR135" s="951"/>
      <c r="DS135" s="951"/>
      <c r="DT135" s="952"/>
      <c r="DV135" s="921"/>
      <c r="DW135" s="921"/>
      <c r="DX135" s="921"/>
      <c r="DY135" s="921"/>
      <c r="DZ135" s="921"/>
      <c r="EA135" s="921"/>
      <c r="EB135" s="921"/>
      <c r="EC135" s="921"/>
      <c r="ED135" s="921"/>
      <c r="EE135" s="921"/>
      <c r="EF135" s="921"/>
      <c r="EG135" s="921"/>
      <c r="EH135" s="921"/>
      <c r="EI135" s="921"/>
      <c r="EJ135" s="921"/>
      <c r="EK135" s="921"/>
      <c r="EL135" s="921"/>
      <c r="EM135" s="921"/>
      <c r="EN135" s="921"/>
      <c r="EO135" s="921"/>
      <c r="EP135" s="921"/>
      <c r="EQ135" s="954"/>
      <c r="ER135" s="954"/>
      <c r="ES135" s="954"/>
      <c r="ET135" s="954"/>
      <c r="EV135" s="942"/>
      <c r="EW135" s="951"/>
      <c r="EX135" s="951"/>
      <c r="EY135" s="952"/>
    </row>
    <row r="136" spans="1:155" s="927" customFormat="1" ht="15.75" x14ac:dyDescent="0.25">
      <c r="A136" s="931"/>
      <c r="B136" s="932" t="s">
        <v>403</v>
      </c>
      <c r="C136" s="981">
        <f>C113+C116+C118+C119+C124</f>
        <v>22.25</v>
      </c>
      <c r="D136" s="938"/>
      <c r="E136" s="983"/>
      <c r="F136" s="936"/>
      <c r="G136" s="983"/>
      <c r="H136" s="984">
        <f>H113+H116+H118+H119+H124</f>
        <v>71334</v>
      </c>
      <c r="I136" s="984">
        <f>I113+I116+I118+I119+I124</f>
        <v>316822.5</v>
      </c>
      <c r="J136" s="937"/>
      <c r="K136" s="938"/>
      <c r="L136" s="984">
        <f>L113+L116+L118+L119+L124</f>
        <v>52662.95</v>
      </c>
      <c r="M136" s="937"/>
      <c r="N136" s="938"/>
      <c r="O136" s="984">
        <f>O113+O116+O118+O119+O124</f>
        <v>0</v>
      </c>
      <c r="P136" s="937"/>
      <c r="Q136" s="938"/>
      <c r="R136" s="984">
        <f>R113+R116+R118+R119+R124</f>
        <v>0</v>
      </c>
      <c r="S136" s="937"/>
      <c r="T136" s="938"/>
      <c r="U136" s="984">
        <f>U113+U116+U118+U119+U124</f>
        <v>0</v>
      </c>
      <c r="V136" s="937"/>
      <c r="W136" s="938"/>
      <c r="X136" s="984">
        <f>X113+X116+X118+X119+X124</f>
        <v>0</v>
      </c>
      <c r="Y136" s="937"/>
      <c r="Z136" s="938"/>
      <c r="AA136" s="984">
        <f>AA113+AA116+AA118+AA119+AA124</f>
        <v>0</v>
      </c>
      <c r="AB136" s="937"/>
      <c r="AC136" s="938"/>
      <c r="AD136" s="984">
        <f>AD113+AD116+AD118+AD119+AD124</f>
        <v>41796.949999999997</v>
      </c>
      <c r="AE136" s="937"/>
      <c r="AF136" s="938"/>
      <c r="AG136" s="984">
        <f>AG113+AG116+AG118+AG119+AG124</f>
        <v>0</v>
      </c>
      <c r="AH136" s="937"/>
      <c r="AI136" s="938"/>
      <c r="AJ136" s="984">
        <f>AJ113+AJ116+AJ118+AJ119+AJ124</f>
        <v>0</v>
      </c>
      <c r="AK136" s="937"/>
      <c r="AL136" s="938"/>
      <c r="AM136" s="984">
        <f>AM113+AM116+AM118+AM119+AM124</f>
        <v>0</v>
      </c>
      <c r="AN136" s="938"/>
      <c r="AO136" s="984">
        <f>AO113+AO116+AO118+AO119+AO124</f>
        <v>21833.35</v>
      </c>
      <c r="AP136" s="938"/>
      <c r="AQ136" s="984">
        <f t="shared" ref="AQ136:AR136" si="140">AQ113+AQ116+AQ118+AQ119+AQ124</f>
        <v>0</v>
      </c>
      <c r="AR136" s="984">
        <f t="shared" si="140"/>
        <v>433115.75</v>
      </c>
      <c r="AS136" s="936"/>
      <c r="AT136" s="984">
        <f t="shared" ref="AT136:AW136" si="141">AT113+AT116+AT118+AT119+AT124</f>
        <v>5197389</v>
      </c>
      <c r="AU136" s="984">
        <f t="shared" si="141"/>
        <v>0</v>
      </c>
      <c r="AV136" s="984">
        <f t="shared" si="141"/>
        <v>51973.89</v>
      </c>
      <c r="AW136" s="984">
        <f t="shared" si="141"/>
        <v>5249362.8899999997</v>
      </c>
      <c r="AX136" s="939"/>
      <c r="AY136" s="939"/>
      <c r="AZ136" s="941"/>
      <c r="BA136" s="941"/>
      <c r="BB136" s="941"/>
      <c r="BC136" s="934"/>
      <c r="BD136" s="941"/>
      <c r="BE136" s="941"/>
      <c r="BF136" s="941"/>
      <c r="BG136" s="942"/>
      <c r="BH136" s="941"/>
      <c r="BI136" s="941"/>
      <c r="BJ136" s="941"/>
      <c r="BK136" s="943"/>
      <c r="BL136" s="943"/>
      <c r="BM136" s="943"/>
      <c r="BN136" s="943"/>
      <c r="BO136" s="943"/>
      <c r="BP136" s="944"/>
      <c r="BQ136" s="943"/>
      <c r="BR136" s="943"/>
      <c r="BS136" s="943"/>
      <c r="BU136" s="945"/>
      <c r="BV136" s="946"/>
      <c r="BW136" s="947"/>
      <c r="BX136" s="945"/>
      <c r="BY136" s="947"/>
      <c r="BZ136" s="946"/>
      <c r="CA136" s="947"/>
      <c r="CB136" s="946"/>
      <c r="CC136" s="947"/>
      <c r="CD136" s="947"/>
      <c r="CE136" s="947"/>
      <c r="CF136" s="948"/>
      <c r="CG136" s="949"/>
      <c r="CH136" s="949"/>
      <c r="CI136" s="950"/>
      <c r="CJ136" s="951"/>
      <c r="CK136" s="951"/>
      <c r="CL136" s="952"/>
      <c r="CM136" s="951"/>
      <c r="CN136" s="951"/>
      <c r="CO136" s="952"/>
      <c r="CP136" s="951"/>
      <c r="CQ136" s="951"/>
      <c r="CR136" s="952"/>
      <c r="CS136" s="946"/>
      <c r="CT136" s="953"/>
      <c r="CU136" s="953"/>
      <c r="CV136" s="953"/>
      <c r="CX136" s="951"/>
      <c r="CY136" s="951"/>
      <c r="CZ136" s="952"/>
      <c r="DB136" s="954"/>
      <c r="DC136" s="954"/>
      <c r="DD136" s="921"/>
      <c r="DE136" s="954"/>
      <c r="DF136" s="954"/>
      <c r="DG136" s="921"/>
      <c r="DH136" s="954"/>
      <c r="DI136" s="954"/>
      <c r="DJ136" s="921"/>
      <c r="DK136" s="954"/>
      <c r="DL136" s="954"/>
      <c r="DM136" s="921"/>
      <c r="DN136" s="954"/>
      <c r="DO136" s="954"/>
      <c r="DP136" s="921"/>
      <c r="DQ136" s="942"/>
      <c r="DR136" s="951"/>
      <c r="DS136" s="951"/>
      <c r="DT136" s="952"/>
      <c r="DV136" s="921"/>
      <c r="DW136" s="921"/>
      <c r="DX136" s="921"/>
      <c r="DY136" s="921"/>
      <c r="DZ136" s="921"/>
      <c r="EA136" s="921"/>
      <c r="EB136" s="921"/>
      <c r="EC136" s="921"/>
      <c r="ED136" s="921"/>
      <c r="EE136" s="921"/>
      <c r="EF136" s="921"/>
      <c r="EG136" s="921"/>
      <c r="EH136" s="921"/>
      <c r="EI136" s="921"/>
      <c r="EJ136" s="921"/>
      <c r="EK136" s="921"/>
      <c r="EL136" s="921"/>
      <c r="EM136" s="921"/>
      <c r="EN136" s="921"/>
      <c r="EO136" s="921"/>
      <c r="EP136" s="921"/>
      <c r="EQ136" s="954"/>
      <c r="ER136" s="954"/>
      <c r="ES136" s="954"/>
      <c r="ET136" s="954"/>
      <c r="EV136" s="942"/>
      <c r="EW136" s="951"/>
      <c r="EX136" s="951"/>
      <c r="EY136" s="952"/>
    </row>
    <row r="137" spans="1:155" s="927" customFormat="1" ht="15.75" x14ac:dyDescent="0.25">
      <c r="A137" s="931"/>
      <c r="B137" s="932" t="s">
        <v>404</v>
      </c>
      <c r="C137" s="981">
        <f>C98+C100+C101+C102+C103+C104+C105+C106+C107+C108+C109+C110+C111+C112+C114+C115+C121+C122+C125+C126+C128+C130+C131+C132</f>
        <v>32.5</v>
      </c>
      <c r="D137" s="938"/>
      <c r="E137" s="983"/>
      <c r="F137" s="936"/>
      <c r="G137" s="983"/>
      <c r="H137" s="984">
        <f>H98+H100+H101+H102+H103+H104+H105+H106+H107+H108+H109+H110+H111+H112+H114+H115+H121+H122+H125+H126+H128+H130+H131+H132</f>
        <v>255091</v>
      </c>
      <c r="I137" s="984">
        <f>I98+I100+I101+I102+I103+I104+I105+I106+I107+I108+I109+I110+I111+I112+I114+I115+I121+I122+I125+I126+I128+I130+I131+I132</f>
        <v>315937.5</v>
      </c>
      <c r="J137" s="937"/>
      <c r="K137" s="938"/>
      <c r="L137" s="984">
        <f>L98+L100+L101+L102+L103+L104+L105+L106+L107+L108+L109+L110+L111+L112+L114+L115+L121+L122+L125+L126+L128+L130+L131+L132</f>
        <v>0</v>
      </c>
      <c r="M137" s="937"/>
      <c r="N137" s="938"/>
      <c r="O137" s="984">
        <f>O98+O100+O101+O102+O103+O104+O105+O106+O107+O108+O109+O110+O111+O112+O114+O115+O121+O122+O125+O126+O128+O130+O131+O132</f>
        <v>7184.88</v>
      </c>
      <c r="P137" s="937"/>
      <c r="Q137" s="938"/>
      <c r="R137" s="984">
        <f>R98+R100+R101+R102+R103+R104+R105+R106+R107+R108+R109+R110+R111+R112+R114+R115+R121+R122+R125+R126+R128+R130+R131+R132</f>
        <v>11310.7</v>
      </c>
      <c r="S137" s="937"/>
      <c r="T137" s="938"/>
      <c r="U137" s="984">
        <f>U98+U100+U101+U102+U103+U104+U105+U106+U107+U108+U109+U110+U111+U112+U114+U115+U121+U122+U125+U126+U128+U130+U131+U132</f>
        <v>6999.2</v>
      </c>
      <c r="V137" s="937"/>
      <c r="W137" s="938"/>
      <c r="X137" s="984">
        <f>X98+X100+X101+X102+X103+X104+X105+X106+X107+X108+X109+X110+X111+X112+X114+X115+X121+X122+X125+X126+X128+X130+X131+X132</f>
        <v>0</v>
      </c>
      <c r="Y137" s="937"/>
      <c r="Z137" s="938"/>
      <c r="AA137" s="984">
        <f>AA98+AA100+AA101+AA102+AA103+AA104+AA105+AA106+AA107+AA108+AA109+AA110+AA111+AA112+AA114+AA115+AA121+AA122+AA125+AA126+AA128+AA130+AA131+AA132</f>
        <v>217852.47</v>
      </c>
      <c r="AB137" s="937"/>
      <c r="AC137" s="938"/>
      <c r="AD137" s="984">
        <f>AD98+AD100+AD101+AD102+AD103+AD104+AD105+AD106+AD107+AD108+AD109+AD110+AD111+AD112+AD114+AD115+AD121+AD122+AD125+AD126+AD128+AD130+AD131+AD132</f>
        <v>51140.88</v>
      </c>
      <c r="AE137" s="937"/>
      <c r="AF137" s="938"/>
      <c r="AG137" s="984">
        <f>AG98+AG100+AG101+AG102+AG103+AG104+AG105+AG106+AG107+AG108+AG109+AG110+AG111+AG112+AG114+AG115+AG121+AG122+AG125+AG126+AG128+AG130+AG131+AG132</f>
        <v>2402.1999999999998</v>
      </c>
      <c r="AH137" s="937"/>
      <c r="AI137" s="938"/>
      <c r="AJ137" s="984">
        <f>AJ98+AJ100+AJ101+AJ102+AJ103+AJ104+AJ105+AJ106+AJ107+AJ108+AJ109+AJ110+AJ111+AJ112+AJ114+AJ115+AJ121+AJ122+AJ125+AJ126+AJ128+AJ130+AJ131+AJ132</f>
        <v>0</v>
      </c>
      <c r="AK137" s="937"/>
      <c r="AL137" s="938"/>
      <c r="AM137" s="984">
        <f>AM98+AM100+AM101+AM102+AM103+AM104+AM105+AM106+AM107+AM108+AM109+AM110+AM111+AM112+AM114+AM115+AM121+AM122+AM125+AM126+AM128+AM130+AM131+AM132</f>
        <v>0</v>
      </c>
      <c r="AN137" s="938"/>
      <c r="AO137" s="984">
        <f>AO98+AO100+AO101+AO102+AO103+AO104+AO105+AO106+AO107+AO108+AO109+AO110+AO111+AO112+AO114+AO115+AO121+AO122+AO125+AO126+AO128+AO130+AO131+AO132</f>
        <v>231760.37</v>
      </c>
      <c r="AP137" s="938"/>
      <c r="AQ137" s="984">
        <f t="shared" ref="AQ137:AR137" si="142">AQ98+AQ100+AQ101+AQ102+AQ103+AQ104+AQ105+AQ106+AQ107+AQ108+AQ109+AQ110+AQ111+AQ112+AQ114+AQ115+AQ121+AQ122+AQ125+AQ126+AQ128+AQ130+AQ131+AQ132</f>
        <v>4241.16</v>
      </c>
      <c r="AR137" s="984">
        <f t="shared" si="142"/>
        <v>848829.36</v>
      </c>
      <c r="AS137" s="936"/>
      <c r="AT137" s="984">
        <f t="shared" ref="AT137:AW137" si="143">AT98+AT100+AT101+AT102+AT103+AT104+AT105+AT106+AT107+AT108+AT109+AT110+AT111+AT112+AT114+AT115+AT121+AT122+AT125+AT126+AT128+AT130+AT131+AT132</f>
        <v>10185952.32</v>
      </c>
      <c r="AU137" s="984">
        <f t="shared" si="143"/>
        <v>279101.74</v>
      </c>
      <c r="AV137" s="984">
        <f t="shared" si="143"/>
        <v>101859.53</v>
      </c>
      <c r="AW137" s="984">
        <f t="shared" si="143"/>
        <v>10566913.59</v>
      </c>
      <c r="AX137" s="939"/>
      <c r="AY137" s="939"/>
      <c r="AZ137" s="941"/>
      <c r="BA137" s="941"/>
      <c r="BB137" s="941"/>
      <c r="BC137" s="934"/>
      <c r="BD137" s="941"/>
      <c r="BE137" s="941"/>
      <c r="BF137" s="941"/>
      <c r="BG137" s="942"/>
      <c r="BH137" s="941"/>
      <c r="BI137" s="941"/>
      <c r="BJ137" s="941"/>
      <c r="BK137" s="943"/>
      <c r="BL137" s="943"/>
      <c r="BM137" s="943"/>
      <c r="BN137" s="943"/>
      <c r="BO137" s="943"/>
      <c r="BP137" s="944"/>
      <c r="BQ137" s="943"/>
      <c r="BR137" s="943"/>
      <c r="BS137" s="943"/>
      <c r="BU137" s="945"/>
      <c r="BV137" s="946"/>
      <c r="BW137" s="947"/>
      <c r="BX137" s="945"/>
      <c r="BY137" s="947"/>
      <c r="BZ137" s="946"/>
      <c r="CA137" s="947"/>
      <c r="CB137" s="946"/>
      <c r="CC137" s="947"/>
      <c r="CD137" s="947"/>
      <c r="CE137" s="947"/>
      <c r="CF137" s="948"/>
      <c r="CG137" s="949"/>
      <c r="CH137" s="949"/>
      <c r="CI137" s="950"/>
      <c r="CJ137" s="951"/>
      <c r="CK137" s="951"/>
      <c r="CL137" s="952"/>
      <c r="CM137" s="951"/>
      <c r="CN137" s="951"/>
      <c r="CO137" s="952"/>
      <c r="CP137" s="951"/>
      <c r="CQ137" s="951"/>
      <c r="CR137" s="952"/>
      <c r="CS137" s="946"/>
      <c r="CT137" s="953"/>
      <c r="CU137" s="953"/>
      <c r="CV137" s="953"/>
      <c r="CX137" s="951"/>
      <c r="CY137" s="951"/>
      <c r="CZ137" s="952"/>
      <c r="DB137" s="954"/>
      <c r="DC137" s="954"/>
      <c r="DD137" s="921"/>
      <c r="DE137" s="954"/>
      <c r="DF137" s="954"/>
      <c r="DG137" s="921"/>
      <c r="DH137" s="954"/>
      <c r="DI137" s="954"/>
      <c r="DJ137" s="921"/>
      <c r="DK137" s="954"/>
      <c r="DL137" s="954"/>
      <c r="DM137" s="921"/>
      <c r="DN137" s="954"/>
      <c r="DO137" s="954"/>
      <c r="DP137" s="921"/>
      <c r="DQ137" s="942"/>
      <c r="DR137" s="951"/>
      <c r="DS137" s="951"/>
      <c r="DT137" s="952"/>
      <c r="DV137" s="921"/>
      <c r="DW137" s="921"/>
      <c r="DX137" s="921"/>
      <c r="DY137" s="921"/>
      <c r="DZ137" s="921"/>
      <c r="EA137" s="921"/>
      <c r="EB137" s="921"/>
      <c r="EC137" s="921"/>
      <c r="ED137" s="921"/>
      <c r="EE137" s="921"/>
      <c r="EF137" s="921"/>
      <c r="EG137" s="921"/>
      <c r="EH137" s="921"/>
      <c r="EI137" s="921"/>
      <c r="EJ137" s="921"/>
      <c r="EK137" s="921"/>
      <c r="EL137" s="921"/>
      <c r="EM137" s="921"/>
      <c r="EN137" s="921"/>
      <c r="EO137" s="921"/>
      <c r="EP137" s="921"/>
      <c r="EQ137" s="954"/>
      <c r="ER137" s="954"/>
      <c r="ES137" s="954"/>
      <c r="ET137" s="954"/>
      <c r="EV137" s="942"/>
      <c r="EW137" s="951"/>
      <c r="EX137" s="951"/>
      <c r="EY137" s="952"/>
    </row>
    <row r="138" spans="1:155" s="927" customFormat="1" ht="15.75" x14ac:dyDescent="0.25">
      <c r="A138" s="931"/>
      <c r="B138" s="932" t="s">
        <v>405</v>
      </c>
      <c r="C138" s="981">
        <f>C99+C120+C123+C127+C133</f>
        <v>15</v>
      </c>
      <c r="D138" s="938"/>
      <c r="E138" s="983"/>
      <c r="F138" s="936"/>
      <c r="G138" s="983"/>
      <c r="H138" s="984">
        <f>H99+H120+H123+H127+H133</f>
        <v>25756</v>
      </c>
      <c r="I138" s="984">
        <f>I99+I120+I123+I127+I133</f>
        <v>73695</v>
      </c>
      <c r="J138" s="937"/>
      <c r="K138" s="938"/>
      <c r="L138" s="984">
        <f>L99+L120+L123+L127+L133</f>
        <v>0</v>
      </c>
      <c r="M138" s="937"/>
      <c r="N138" s="938"/>
      <c r="O138" s="984">
        <f>O99+O120+O123+O127+O133</f>
        <v>0</v>
      </c>
      <c r="P138" s="937"/>
      <c r="Q138" s="938"/>
      <c r="R138" s="984">
        <f>R99+R120+R123+R127+R133</f>
        <v>0</v>
      </c>
      <c r="S138" s="937"/>
      <c r="T138" s="938"/>
      <c r="U138" s="984">
        <f>U99+U120+U123+U127+U133</f>
        <v>0</v>
      </c>
      <c r="V138" s="937"/>
      <c r="W138" s="938"/>
      <c r="X138" s="984">
        <f>X99+X120+X123+X127+X133</f>
        <v>0</v>
      </c>
      <c r="Y138" s="937"/>
      <c r="Z138" s="938"/>
      <c r="AA138" s="984">
        <f>AA99+AA120+AA123+AA127+AA133</f>
        <v>0</v>
      </c>
      <c r="AB138" s="937"/>
      <c r="AC138" s="938"/>
      <c r="AD138" s="984">
        <f>AD99+AD120+AD123+AD127+AD133</f>
        <v>0</v>
      </c>
      <c r="AE138" s="937"/>
      <c r="AF138" s="938"/>
      <c r="AG138" s="984">
        <f>AG99+AG120+AG123+AG127+AG133</f>
        <v>0</v>
      </c>
      <c r="AH138" s="937"/>
      <c r="AI138" s="938"/>
      <c r="AJ138" s="984">
        <f>AJ99+AJ120+AJ123+AJ127+AJ133</f>
        <v>0</v>
      </c>
      <c r="AK138" s="937"/>
      <c r="AL138" s="938"/>
      <c r="AM138" s="984">
        <f>AM99+AM120+AM123+AM127+AM133</f>
        <v>0</v>
      </c>
      <c r="AN138" s="938"/>
      <c r="AO138" s="984">
        <f>AO99+AO120+AO123+AO127+AO133</f>
        <v>214935</v>
      </c>
      <c r="AP138" s="938"/>
      <c r="AQ138" s="984">
        <f t="shared" ref="AQ138:AR138" si="144">AQ99+AQ120+AQ123+AQ127+AQ133</f>
        <v>7422.03</v>
      </c>
      <c r="AR138" s="984">
        <f t="shared" si="144"/>
        <v>296052.03000000003</v>
      </c>
      <c r="AS138" s="936"/>
      <c r="AT138" s="984">
        <f t="shared" ref="AT138:AW138" si="145">AT99+AT120+AT123+AT127+AT133</f>
        <v>3552624.36</v>
      </c>
      <c r="AU138" s="984">
        <f t="shared" si="145"/>
        <v>184212.03</v>
      </c>
      <c r="AV138" s="984">
        <f t="shared" si="145"/>
        <v>35526.239999999998</v>
      </c>
      <c r="AW138" s="984">
        <f t="shared" si="145"/>
        <v>3772362.63</v>
      </c>
      <c r="AX138" s="939"/>
      <c r="AY138" s="939"/>
      <c r="AZ138" s="941"/>
      <c r="BA138" s="941"/>
      <c r="BB138" s="941"/>
      <c r="BC138" s="934"/>
      <c r="BD138" s="941"/>
      <c r="BE138" s="941"/>
      <c r="BF138" s="941"/>
      <c r="BG138" s="942"/>
      <c r="BH138" s="941"/>
      <c r="BI138" s="941"/>
      <c r="BJ138" s="941"/>
      <c r="BK138" s="943"/>
      <c r="BL138" s="943"/>
      <c r="BM138" s="943"/>
      <c r="BN138" s="943"/>
      <c r="BO138" s="943"/>
      <c r="BP138" s="944"/>
      <c r="BQ138" s="943"/>
      <c r="BR138" s="943"/>
      <c r="BS138" s="943"/>
      <c r="BU138" s="945"/>
      <c r="BV138" s="946"/>
      <c r="BW138" s="947"/>
      <c r="BX138" s="945"/>
      <c r="BY138" s="947"/>
      <c r="BZ138" s="946"/>
      <c r="CA138" s="947"/>
      <c r="CB138" s="946"/>
      <c r="CC138" s="947"/>
      <c r="CD138" s="947"/>
      <c r="CE138" s="947"/>
      <c r="CF138" s="948"/>
      <c r="CG138" s="949"/>
      <c r="CH138" s="949"/>
      <c r="CI138" s="950"/>
      <c r="CJ138" s="951"/>
      <c r="CK138" s="951"/>
      <c r="CL138" s="952"/>
      <c r="CM138" s="951"/>
      <c r="CN138" s="951"/>
      <c r="CO138" s="952"/>
      <c r="CP138" s="951"/>
      <c r="CQ138" s="951"/>
      <c r="CR138" s="952"/>
      <c r="CS138" s="946"/>
      <c r="CT138" s="953"/>
      <c r="CU138" s="953"/>
      <c r="CV138" s="953"/>
      <c r="CX138" s="951"/>
      <c r="CY138" s="951"/>
      <c r="CZ138" s="952"/>
      <c r="DB138" s="954"/>
      <c r="DC138" s="954"/>
      <c r="DD138" s="921"/>
      <c r="DE138" s="954"/>
      <c r="DF138" s="954"/>
      <c r="DG138" s="921"/>
      <c r="DH138" s="954"/>
      <c r="DI138" s="954"/>
      <c r="DJ138" s="921"/>
      <c r="DK138" s="954"/>
      <c r="DL138" s="954"/>
      <c r="DM138" s="921"/>
      <c r="DN138" s="954"/>
      <c r="DO138" s="954"/>
      <c r="DP138" s="921"/>
      <c r="DQ138" s="942"/>
      <c r="DR138" s="951"/>
      <c r="DS138" s="951"/>
      <c r="DT138" s="952"/>
      <c r="DV138" s="921"/>
      <c r="DW138" s="921"/>
      <c r="DX138" s="921"/>
      <c r="DY138" s="921"/>
      <c r="DZ138" s="921"/>
      <c r="EA138" s="921"/>
      <c r="EB138" s="921"/>
      <c r="EC138" s="921"/>
      <c r="ED138" s="921"/>
      <c r="EE138" s="921"/>
      <c r="EF138" s="921"/>
      <c r="EG138" s="921"/>
      <c r="EH138" s="921"/>
      <c r="EI138" s="921"/>
      <c r="EJ138" s="921"/>
      <c r="EK138" s="921"/>
      <c r="EL138" s="921"/>
      <c r="EM138" s="921"/>
      <c r="EN138" s="921"/>
      <c r="EO138" s="921"/>
      <c r="EP138" s="921"/>
      <c r="EQ138" s="954"/>
      <c r="ER138" s="954"/>
      <c r="ES138" s="954"/>
      <c r="ET138" s="954"/>
      <c r="EV138" s="942"/>
      <c r="EW138" s="951"/>
      <c r="EX138" s="951"/>
      <c r="EY138" s="952"/>
    </row>
    <row r="139" spans="1:155" s="927" customFormat="1" ht="15.75" x14ac:dyDescent="0.25">
      <c r="A139" s="931"/>
      <c r="B139" s="932"/>
      <c r="C139" s="982">
        <f>C134-C135-C136-C137-C138</f>
        <v>0</v>
      </c>
      <c r="D139" s="938"/>
      <c r="E139" s="983"/>
      <c r="F139" s="936"/>
      <c r="G139" s="983"/>
      <c r="H139" s="985">
        <f>H134-H135-H136-H137-H138</f>
        <v>0</v>
      </c>
      <c r="I139" s="985">
        <f>I134-I135-I136-I137-I138</f>
        <v>0</v>
      </c>
      <c r="J139" s="937"/>
      <c r="K139" s="938"/>
      <c r="L139" s="985">
        <f>L134-L135-L136-L137-L138</f>
        <v>0</v>
      </c>
      <c r="M139" s="937"/>
      <c r="N139" s="938"/>
      <c r="O139" s="985">
        <f>O134-O135-O136-O137-O138</f>
        <v>0</v>
      </c>
      <c r="P139" s="937"/>
      <c r="Q139" s="938"/>
      <c r="R139" s="985">
        <f>R134-R135-R136-R137-R138</f>
        <v>0</v>
      </c>
      <c r="S139" s="937"/>
      <c r="T139" s="938"/>
      <c r="U139" s="985">
        <f>U134-U135-U136-U137-U138</f>
        <v>0</v>
      </c>
      <c r="V139" s="937"/>
      <c r="W139" s="938"/>
      <c r="X139" s="985">
        <f>X134-X135-X136-X137-X138</f>
        <v>0</v>
      </c>
      <c r="Y139" s="937"/>
      <c r="Z139" s="938"/>
      <c r="AA139" s="985">
        <f>AA134-AA135-AA136-AA137-AA138</f>
        <v>0</v>
      </c>
      <c r="AB139" s="937"/>
      <c r="AC139" s="938"/>
      <c r="AD139" s="985">
        <f>AD134-AD135-AD136-AD137-AD138</f>
        <v>0</v>
      </c>
      <c r="AE139" s="937"/>
      <c r="AF139" s="938"/>
      <c r="AG139" s="985">
        <f>AG134-AG135-AG136-AG137-AG138</f>
        <v>0</v>
      </c>
      <c r="AH139" s="937"/>
      <c r="AI139" s="938"/>
      <c r="AJ139" s="985">
        <f>AJ134-AJ135-AJ136-AJ137-AJ138</f>
        <v>0</v>
      </c>
      <c r="AK139" s="937"/>
      <c r="AL139" s="938"/>
      <c r="AM139" s="985">
        <f>AM134-AM135-AM136-AM137-AM138</f>
        <v>0</v>
      </c>
      <c r="AN139" s="938"/>
      <c r="AO139" s="985">
        <f>AO134-AO135-AO136-AO137-AO138</f>
        <v>0</v>
      </c>
      <c r="AP139" s="938"/>
      <c r="AQ139" s="985">
        <f t="shared" ref="AQ139:AR139" si="146">AQ134-AQ135-AQ136-AQ137-AQ138</f>
        <v>0</v>
      </c>
      <c r="AR139" s="985">
        <f t="shared" si="146"/>
        <v>0</v>
      </c>
      <c r="AS139" s="936"/>
      <c r="AT139" s="985">
        <f t="shared" ref="AT139:AW139" si="147">AT134-AT135-AT136-AT137-AT138</f>
        <v>0</v>
      </c>
      <c r="AU139" s="985">
        <f t="shared" si="147"/>
        <v>0</v>
      </c>
      <c r="AV139" s="985">
        <f t="shared" si="147"/>
        <v>0</v>
      </c>
      <c r="AW139" s="985">
        <f t="shared" si="147"/>
        <v>0</v>
      </c>
      <c r="AX139" s="939"/>
      <c r="AY139" s="939"/>
      <c r="AZ139" s="941"/>
      <c r="BA139" s="941"/>
      <c r="BB139" s="941"/>
      <c r="BC139" s="934"/>
      <c r="BD139" s="941"/>
      <c r="BE139" s="941"/>
      <c r="BF139" s="941"/>
      <c r="BG139" s="942"/>
      <c r="BH139" s="941"/>
      <c r="BI139" s="941"/>
      <c r="BJ139" s="941"/>
      <c r="BK139" s="943"/>
      <c r="BL139" s="943"/>
      <c r="BM139" s="943"/>
      <c r="BN139" s="943"/>
      <c r="BO139" s="943"/>
      <c r="BP139" s="944"/>
      <c r="BQ139" s="943"/>
      <c r="BR139" s="943"/>
      <c r="BS139" s="943"/>
      <c r="BU139" s="945"/>
      <c r="BV139" s="946"/>
      <c r="BW139" s="947"/>
      <c r="BX139" s="945"/>
      <c r="BY139" s="947"/>
      <c r="BZ139" s="946"/>
      <c r="CA139" s="947"/>
      <c r="CB139" s="946"/>
      <c r="CC139" s="947"/>
      <c r="CD139" s="947"/>
      <c r="CE139" s="947"/>
      <c r="CF139" s="948"/>
      <c r="CG139" s="949"/>
      <c r="CH139" s="949"/>
      <c r="CI139" s="950"/>
      <c r="CJ139" s="951"/>
      <c r="CK139" s="951"/>
      <c r="CL139" s="952"/>
      <c r="CM139" s="951"/>
      <c r="CN139" s="951"/>
      <c r="CO139" s="952"/>
      <c r="CP139" s="951"/>
      <c r="CQ139" s="951"/>
      <c r="CR139" s="952"/>
      <c r="CS139" s="946"/>
      <c r="CT139" s="953"/>
      <c r="CU139" s="953"/>
      <c r="CV139" s="953"/>
      <c r="CX139" s="951"/>
      <c r="CY139" s="951"/>
      <c r="CZ139" s="952"/>
      <c r="DB139" s="954"/>
      <c r="DC139" s="954"/>
      <c r="DD139" s="921"/>
      <c r="DE139" s="954"/>
      <c r="DF139" s="954"/>
      <c r="DG139" s="921"/>
      <c r="DH139" s="954"/>
      <c r="DI139" s="954"/>
      <c r="DJ139" s="921"/>
      <c r="DK139" s="954"/>
      <c r="DL139" s="954"/>
      <c r="DM139" s="921"/>
      <c r="DN139" s="954"/>
      <c r="DO139" s="954"/>
      <c r="DP139" s="921"/>
      <c r="DQ139" s="942"/>
      <c r="DR139" s="951"/>
      <c r="DS139" s="951"/>
      <c r="DT139" s="952"/>
      <c r="DV139" s="921"/>
      <c r="DW139" s="921"/>
      <c r="DX139" s="921"/>
      <c r="DY139" s="921"/>
      <c r="DZ139" s="921"/>
      <c r="EA139" s="921"/>
      <c r="EB139" s="921"/>
      <c r="EC139" s="921"/>
      <c r="ED139" s="921"/>
      <c r="EE139" s="921"/>
      <c r="EF139" s="921"/>
      <c r="EG139" s="921"/>
      <c r="EH139" s="921"/>
      <c r="EI139" s="921"/>
      <c r="EJ139" s="921"/>
      <c r="EK139" s="921"/>
      <c r="EL139" s="921"/>
      <c r="EM139" s="921"/>
      <c r="EN139" s="921"/>
      <c r="EO139" s="921"/>
      <c r="EP139" s="921"/>
      <c r="EQ139" s="954"/>
      <c r="ER139" s="954"/>
      <c r="ES139" s="954"/>
      <c r="ET139" s="954"/>
      <c r="EV139" s="942"/>
      <c r="EW139" s="951"/>
      <c r="EX139" s="951"/>
      <c r="EY139" s="952"/>
    </row>
    <row r="140" spans="1:155" s="927" customFormat="1" ht="15.75" x14ac:dyDescent="0.25">
      <c r="A140" s="931"/>
      <c r="B140" s="932" t="s">
        <v>806</v>
      </c>
      <c r="C140" s="933"/>
      <c r="D140" s="933"/>
      <c r="E140" s="934"/>
      <c r="F140" s="935"/>
      <c r="G140" s="934"/>
      <c r="H140" s="935"/>
      <c r="I140" s="936"/>
      <c r="J140" s="937"/>
      <c r="K140" s="938"/>
      <c r="L140" s="936"/>
      <c r="M140" s="937"/>
      <c r="N140" s="938"/>
      <c r="O140" s="936"/>
      <c r="P140" s="937"/>
      <c r="Q140" s="938"/>
      <c r="R140" s="936"/>
      <c r="S140" s="937"/>
      <c r="T140" s="938"/>
      <c r="U140" s="936"/>
      <c r="V140" s="937"/>
      <c r="W140" s="938"/>
      <c r="X140" s="936"/>
      <c r="Y140" s="937"/>
      <c r="Z140" s="938"/>
      <c r="AA140" s="936"/>
      <c r="AB140" s="937"/>
      <c r="AC140" s="938"/>
      <c r="AD140" s="936"/>
      <c r="AE140" s="937"/>
      <c r="AF140" s="938"/>
      <c r="AG140" s="936"/>
      <c r="AH140" s="937"/>
      <c r="AI140" s="938"/>
      <c r="AJ140" s="936"/>
      <c r="AK140" s="937"/>
      <c r="AL140" s="938"/>
      <c r="AM140" s="936"/>
      <c r="AN140" s="933"/>
      <c r="AO140" s="936"/>
      <c r="AP140" s="933"/>
      <c r="AQ140" s="935"/>
      <c r="AR140" s="936"/>
      <c r="AS140" s="935"/>
      <c r="AT140" s="939"/>
      <c r="AU140" s="933"/>
      <c r="AV140" s="940"/>
      <c r="AW140" s="389">
        <f>AW134/12-AO134</f>
        <v>2132313.14</v>
      </c>
      <c r="AX140" s="939"/>
      <c r="AY140" s="939"/>
      <c r="AZ140" s="941"/>
      <c r="BA140" s="941"/>
      <c r="BB140" s="941"/>
      <c r="BC140" s="934"/>
      <c r="BD140" s="941"/>
      <c r="BE140" s="941"/>
      <c r="BF140" s="941"/>
      <c r="BG140" s="942"/>
      <c r="BH140" s="941"/>
      <c r="BI140" s="941"/>
      <c r="BJ140" s="941"/>
      <c r="BK140" s="943"/>
      <c r="BL140" s="943"/>
      <c r="BM140" s="943"/>
      <c r="BN140" s="943"/>
      <c r="BO140" s="943"/>
      <c r="BP140" s="944"/>
      <c r="BQ140" s="943"/>
      <c r="BR140" s="943"/>
      <c r="BS140" s="943"/>
      <c r="BU140" s="945"/>
      <c r="BV140" s="946"/>
      <c r="BW140" s="947"/>
      <c r="BX140" s="945"/>
      <c r="BY140" s="947"/>
      <c r="BZ140" s="946"/>
      <c r="CA140" s="947"/>
      <c r="CB140" s="946"/>
      <c r="CC140" s="947"/>
      <c r="CD140" s="947"/>
      <c r="CE140" s="947"/>
      <c r="CF140" s="948"/>
      <c r="CG140" s="949"/>
      <c r="CH140" s="949"/>
      <c r="CI140" s="950"/>
      <c r="CJ140" s="951"/>
      <c r="CK140" s="951"/>
      <c r="CL140" s="952"/>
      <c r="CM140" s="951"/>
      <c r="CN140" s="951"/>
      <c r="CO140" s="952"/>
      <c r="CP140" s="951"/>
      <c r="CQ140" s="951"/>
      <c r="CR140" s="952"/>
      <c r="CS140" s="946"/>
      <c r="CT140" s="953"/>
      <c r="CU140" s="953"/>
      <c r="CV140" s="953"/>
      <c r="CX140" s="951"/>
      <c r="CY140" s="951"/>
      <c r="CZ140" s="952"/>
      <c r="DB140" s="954"/>
      <c r="DC140" s="954"/>
      <c r="DD140" s="921"/>
      <c r="DE140" s="954"/>
      <c r="DF140" s="954"/>
      <c r="DG140" s="921"/>
      <c r="DH140" s="954"/>
      <c r="DI140" s="954"/>
      <c r="DJ140" s="921"/>
      <c r="DK140" s="954"/>
      <c r="DL140" s="954"/>
      <c r="DM140" s="921"/>
      <c r="DN140" s="954"/>
      <c r="DO140" s="954"/>
      <c r="DP140" s="921"/>
      <c r="DQ140" s="942"/>
      <c r="DR140" s="951"/>
      <c r="DS140" s="951"/>
      <c r="DT140" s="952"/>
      <c r="DV140" s="921"/>
      <c r="DW140" s="921"/>
      <c r="DX140" s="921"/>
      <c r="DY140" s="921"/>
      <c r="DZ140" s="921"/>
      <c r="EA140" s="921"/>
      <c r="EB140" s="921"/>
      <c r="EC140" s="921"/>
      <c r="ED140" s="921"/>
      <c r="EE140" s="921"/>
      <c r="EF140" s="921"/>
      <c r="EG140" s="921"/>
      <c r="EH140" s="921"/>
      <c r="EI140" s="921"/>
      <c r="EJ140" s="921"/>
      <c r="EK140" s="921"/>
      <c r="EL140" s="921"/>
      <c r="EM140" s="921"/>
      <c r="EN140" s="921"/>
      <c r="EO140" s="921"/>
      <c r="EP140" s="921"/>
      <c r="EQ140" s="954"/>
      <c r="ER140" s="954"/>
      <c r="ES140" s="954"/>
      <c r="ET140" s="954"/>
      <c r="EV140" s="942"/>
      <c r="EW140" s="951"/>
      <c r="EX140" s="951"/>
      <c r="EY140" s="952"/>
    </row>
    <row r="141" spans="1:155" s="927" customFormat="1" ht="15.75" x14ac:dyDescent="0.25">
      <c r="A141" s="931"/>
      <c r="B141" s="932" t="s">
        <v>406</v>
      </c>
      <c r="C141" s="933"/>
      <c r="D141" s="933"/>
      <c r="E141" s="934"/>
      <c r="F141" s="935"/>
      <c r="G141" s="934"/>
      <c r="H141" s="935"/>
      <c r="I141" s="936"/>
      <c r="J141" s="937"/>
      <c r="K141" s="938"/>
      <c r="L141" s="936"/>
      <c r="M141" s="937"/>
      <c r="N141" s="938"/>
      <c r="O141" s="936"/>
      <c r="P141" s="937"/>
      <c r="Q141" s="938"/>
      <c r="R141" s="936"/>
      <c r="S141" s="937"/>
      <c r="T141" s="938"/>
      <c r="U141" s="936"/>
      <c r="V141" s="937"/>
      <c r="W141" s="938"/>
      <c r="X141" s="936"/>
      <c r="Y141" s="937"/>
      <c r="Z141" s="938"/>
      <c r="AA141" s="936"/>
      <c r="AB141" s="937"/>
      <c r="AC141" s="938"/>
      <c r="AD141" s="936"/>
      <c r="AE141" s="937"/>
      <c r="AF141" s="938"/>
      <c r="AG141" s="936"/>
      <c r="AH141" s="937"/>
      <c r="AI141" s="938"/>
      <c r="AJ141" s="936"/>
      <c r="AK141" s="937"/>
      <c r="AL141" s="938"/>
      <c r="AM141" s="936"/>
      <c r="AN141" s="933"/>
      <c r="AO141" s="936"/>
      <c r="AP141" s="933"/>
      <c r="AQ141" s="935"/>
      <c r="AR141" s="936"/>
      <c r="AS141" s="935"/>
      <c r="AT141" s="939"/>
      <c r="AU141" s="933"/>
      <c r="AV141" s="940"/>
      <c r="AW141" s="389">
        <f>AW135/12-AO135</f>
        <v>968455.27</v>
      </c>
      <c r="AX141" s="939"/>
      <c r="AY141" s="939"/>
      <c r="AZ141" s="941"/>
      <c r="BA141" s="941"/>
      <c r="BB141" s="941"/>
      <c r="BC141" s="934"/>
      <c r="BD141" s="941"/>
      <c r="BE141" s="941"/>
      <c r="BF141" s="941"/>
      <c r="BG141" s="942"/>
      <c r="BH141" s="941"/>
      <c r="BI141" s="941"/>
      <c r="BJ141" s="941"/>
      <c r="BK141" s="943"/>
      <c r="BL141" s="943"/>
      <c r="BM141" s="943"/>
      <c r="BN141" s="943"/>
      <c r="BO141" s="943"/>
      <c r="BP141" s="944"/>
      <c r="BQ141" s="943"/>
      <c r="BR141" s="943"/>
      <c r="BS141" s="943"/>
      <c r="BU141" s="945"/>
      <c r="BV141" s="946"/>
      <c r="BW141" s="947"/>
      <c r="BX141" s="945"/>
      <c r="BY141" s="947"/>
      <c r="BZ141" s="946"/>
      <c r="CA141" s="947"/>
      <c r="CB141" s="946"/>
      <c r="CC141" s="947"/>
      <c r="CD141" s="947"/>
      <c r="CE141" s="947"/>
      <c r="CF141" s="948"/>
      <c r="CG141" s="949"/>
      <c r="CH141" s="949"/>
      <c r="CI141" s="950"/>
      <c r="CJ141" s="951"/>
      <c r="CK141" s="951"/>
      <c r="CL141" s="952"/>
      <c r="CM141" s="951"/>
      <c r="CN141" s="951"/>
      <c r="CO141" s="952"/>
      <c r="CP141" s="951"/>
      <c r="CQ141" s="951"/>
      <c r="CR141" s="952"/>
      <c r="CS141" s="946"/>
      <c r="CT141" s="953"/>
      <c r="CU141" s="953"/>
      <c r="CV141" s="953"/>
      <c r="CX141" s="951"/>
      <c r="CY141" s="951"/>
      <c r="CZ141" s="952"/>
      <c r="DB141" s="954"/>
      <c r="DC141" s="954"/>
      <c r="DD141" s="921"/>
      <c r="DE141" s="954"/>
      <c r="DF141" s="954"/>
      <c r="DG141" s="921"/>
      <c r="DH141" s="954"/>
      <c r="DI141" s="954"/>
      <c r="DJ141" s="921"/>
      <c r="DK141" s="954"/>
      <c r="DL141" s="954"/>
      <c r="DM141" s="921"/>
      <c r="DN141" s="954"/>
      <c r="DO141" s="954"/>
      <c r="DP141" s="921"/>
      <c r="DQ141" s="942"/>
      <c r="DR141" s="951"/>
      <c r="DS141" s="951"/>
      <c r="DT141" s="952"/>
      <c r="DV141" s="921"/>
      <c r="DW141" s="921"/>
      <c r="DX141" s="921"/>
      <c r="DY141" s="921"/>
      <c r="DZ141" s="921"/>
      <c r="EA141" s="921"/>
      <c r="EB141" s="921"/>
      <c r="EC141" s="921"/>
      <c r="ED141" s="921"/>
      <c r="EE141" s="921"/>
      <c r="EF141" s="921"/>
      <c r="EG141" s="921"/>
      <c r="EH141" s="921"/>
      <c r="EI141" s="921"/>
      <c r="EJ141" s="921"/>
      <c r="EK141" s="921"/>
      <c r="EL141" s="921"/>
      <c r="EM141" s="921"/>
      <c r="EN141" s="921"/>
      <c r="EO141" s="921"/>
      <c r="EP141" s="921"/>
      <c r="EQ141" s="954"/>
      <c r="ER141" s="954"/>
      <c r="ES141" s="954"/>
      <c r="ET141" s="954"/>
      <c r="EV141" s="942"/>
      <c r="EW141" s="951"/>
      <c r="EX141" s="951"/>
      <c r="EY141" s="952"/>
    </row>
    <row r="142" spans="1:155" s="927" customFormat="1" ht="15.75" x14ac:dyDescent="0.25">
      <c r="A142" s="931"/>
      <c r="B142" s="932" t="s">
        <v>403</v>
      </c>
      <c r="C142" s="933"/>
      <c r="D142" s="933"/>
      <c r="E142" s="934"/>
      <c r="F142" s="935"/>
      <c r="G142" s="934"/>
      <c r="H142" s="935"/>
      <c r="I142" s="936"/>
      <c r="J142" s="937"/>
      <c r="K142" s="938"/>
      <c r="L142" s="936"/>
      <c r="M142" s="937"/>
      <c r="N142" s="938"/>
      <c r="O142" s="936"/>
      <c r="P142" s="937"/>
      <c r="Q142" s="938"/>
      <c r="R142" s="936"/>
      <c r="S142" s="937"/>
      <c r="T142" s="938"/>
      <c r="U142" s="936"/>
      <c r="V142" s="937"/>
      <c r="W142" s="938"/>
      <c r="X142" s="936"/>
      <c r="Y142" s="937"/>
      <c r="Z142" s="938"/>
      <c r="AA142" s="936"/>
      <c r="AB142" s="937"/>
      <c r="AC142" s="938"/>
      <c r="AD142" s="936"/>
      <c r="AE142" s="937"/>
      <c r="AF142" s="938"/>
      <c r="AG142" s="936"/>
      <c r="AH142" s="937"/>
      <c r="AI142" s="938"/>
      <c r="AJ142" s="936"/>
      <c r="AK142" s="937"/>
      <c r="AL142" s="938"/>
      <c r="AM142" s="936"/>
      <c r="AN142" s="933"/>
      <c r="AO142" s="936"/>
      <c r="AP142" s="933"/>
      <c r="AQ142" s="935"/>
      <c r="AR142" s="936"/>
      <c r="AS142" s="935"/>
      <c r="AT142" s="939"/>
      <c r="AU142" s="933"/>
      <c r="AV142" s="940"/>
      <c r="AW142" s="389">
        <f>AW136/12-AO136</f>
        <v>415613.56</v>
      </c>
      <c r="AX142" s="939"/>
      <c r="AY142" s="939"/>
      <c r="AZ142" s="941"/>
      <c r="BA142" s="941"/>
      <c r="BB142" s="941"/>
      <c r="BC142" s="934"/>
      <c r="BD142" s="941"/>
      <c r="BE142" s="941"/>
      <c r="BF142" s="941"/>
      <c r="BG142" s="942"/>
      <c r="BH142" s="941"/>
      <c r="BI142" s="941"/>
      <c r="BJ142" s="941"/>
      <c r="BK142" s="943"/>
      <c r="BL142" s="943"/>
      <c r="BM142" s="943"/>
      <c r="BN142" s="943"/>
      <c r="BO142" s="943"/>
      <c r="BP142" s="944"/>
      <c r="BQ142" s="943"/>
      <c r="BR142" s="943"/>
      <c r="BS142" s="943"/>
      <c r="BU142" s="945"/>
      <c r="BV142" s="946"/>
      <c r="BW142" s="947"/>
      <c r="BX142" s="945"/>
      <c r="BY142" s="947"/>
      <c r="BZ142" s="946"/>
      <c r="CA142" s="947"/>
      <c r="CB142" s="946"/>
      <c r="CC142" s="947"/>
      <c r="CD142" s="947"/>
      <c r="CE142" s="947"/>
      <c r="CF142" s="948"/>
      <c r="CG142" s="949"/>
      <c r="CH142" s="949"/>
      <c r="CI142" s="950"/>
      <c r="CJ142" s="951"/>
      <c r="CK142" s="951"/>
      <c r="CL142" s="952"/>
      <c r="CM142" s="951"/>
      <c r="CN142" s="951"/>
      <c r="CO142" s="952"/>
      <c r="CP142" s="951"/>
      <c r="CQ142" s="951"/>
      <c r="CR142" s="952"/>
      <c r="CS142" s="946"/>
      <c r="CT142" s="953"/>
      <c r="CU142" s="953"/>
      <c r="CV142" s="953"/>
      <c r="CX142" s="951"/>
      <c r="CY142" s="951"/>
      <c r="CZ142" s="952"/>
      <c r="DB142" s="954"/>
      <c r="DC142" s="954"/>
      <c r="DD142" s="921"/>
      <c r="DE142" s="954"/>
      <c r="DF142" s="954"/>
      <c r="DG142" s="921"/>
      <c r="DH142" s="954"/>
      <c r="DI142" s="954"/>
      <c r="DJ142" s="921"/>
      <c r="DK142" s="954"/>
      <c r="DL142" s="954"/>
      <c r="DM142" s="921"/>
      <c r="DN142" s="954"/>
      <c r="DO142" s="954"/>
      <c r="DP142" s="921"/>
      <c r="DQ142" s="942"/>
      <c r="DR142" s="951"/>
      <c r="DS142" s="951"/>
      <c r="DT142" s="952"/>
      <c r="DV142" s="921"/>
      <c r="DW142" s="921"/>
      <c r="DX142" s="921"/>
      <c r="DY142" s="921"/>
      <c r="DZ142" s="921"/>
      <c r="EA142" s="921"/>
      <c r="EB142" s="921"/>
      <c r="EC142" s="921"/>
      <c r="ED142" s="921"/>
      <c r="EE142" s="921"/>
      <c r="EF142" s="921"/>
      <c r="EG142" s="921"/>
      <c r="EH142" s="921"/>
      <c r="EI142" s="921"/>
      <c r="EJ142" s="921"/>
      <c r="EK142" s="921"/>
      <c r="EL142" s="921"/>
      <c r="EM142" s="921"/>
      <c r="EN142" s="921"/>
      <c r="EO142" s="921"/>
      <c r="EP142" s="921"/>
      <c r="EQ142" s="954"/>
      <c r="ER142" s="954"/>
      <c r="ES142" s="954"/>
      <c r="ET142" s="954"/>
      <c r="EV142" s="942"/>
      <c r="EW142" s="951"/>
      <c r="EX142" s="951"/>
      <c r="EY142" s="952"/>
    </row>
    <row r="143" spans="1:155" s="927" customFormat="1" ht="15.75" x14ac:dyDescent="0.25">
      <c r="A143" s="931"/>
      <c r="B143" s="932" t="s">
        <v>404</v>
      </c>
      <c r="C143" s="933"/>
      <c r="D143" s="933"/>
      <c r="E143" s="934"/>
      <c r="F143" s="935"/>
      <c r="G143" s="934"/>
      <c r="H143" s="935"/>
      <c r="I143" s="936"/>
      <c r="J143" s="937"/>
      <c r="K143" s="938"/>
      <c r="L143" s="936"/>
      <c r="M143" s="937"/>
      <c r="N143" s="938"/>
      <c r="O143" s="936"/>
      <c r="P143" s="937"/>
      <c r="Q143" s="938"/>
      <c r="R143" s="936"/>
      <c r="S143" s="937"/>
      <c r="T143" s="938"/>
      <c r="U143" s="936"/>
      <c r="V143" s="937"/>
      <c r="W143" s="938"/>
      <c r="X143" s="936"/>
      <c r="Y143" s="937"/>
      <c r="Z143" s="938"/>
      <c r="AA143" s="936"/>
      <c r="AB143" s="937"/>
      <c r="AC143" s="938"/>
      <c r="AD143" s="936"/>
      <c r="AE143" s="937"/>
      <c r="AF143" s="938"/>
      <c r="AG143" s="936"/>
      <c r="AH143" s="937"/>
      <c r="AI143" s="938"/>
      <c r="AJ143" s="936"/>
      <c r="AK143" s="937"/>
      <c r="AL143" s="938"/>
      <c r="AM143" s="936"/>
      <c r="AN143" s="933"/>
      <c r="AO143" s="936"/>
      <c r="AP143" s="933"/>
      <c r="AQ143" s="935"/>
      <c r="AR143" s="936"/>
      <c r="AS143" s="935"/>
      <c r="AT143" s="939"/>
      <c r="AU143" s="933"/>
      <c r="AV143" s="940"/>
      <c r="AW143" s="389">
        <f>AW137/12-AO137</f>
        <v>648815.76</v>
      </c>
      <c r="AX143" s="939"/>
      <c r="AY143" s="939"/>
      <c r="AZ143" s="941"/>
      <c r="BA143" s="941"/>
      <c r="BB143" s="941"/>
      <c r="BC143" s="934"/>
      <c r="BD143" s="941"/>
      <c r="BE143" s="941"/>
      <c r="BF143" s="941"/>
      <c r="BG143" s="942"/>
      <c r="BH143" s="941"/>
      <c r="BI143" s="941"/>
      <c r="BJ143" s="941"/>
      <c r="BK143" s="943"/>
      <c r="BL143" s="943"/>
      <c r="BM143" s="943"/>
      <c r="BN143" s="943"/>
      <c r="BO143" s="943"/>
      <c r="BP143" s="944"/>
      <c r="BQ143" s="943"/>
      <c r="BR143" s="943"/>
      <c r="BS143" s="943"/>
      <c r="BU143" s="945"/>
      <c r="BV143" s="946"/>
      <c r="BW143" s="947"/>
      <c r="BX143" s="945"/>
      <c r="BY143" s="947"/>
      <c r="BZ143" s="946"/>
      <c r="CA143" s="947"/>
      <c r="CB143" s="946"/>
      <c r="CC143" s="947"/>
      <c r="CD143" s="947"/>
      <c r="CE143" s="947"/>
      <c r="CF143" s="948"/>
      <c r="CG143" s="949"/>
      <c r="CH143" s="949"/>
      <c r="CI143" s="950"/>
      <c r="CJ143" s="951"/>
      <c r="CK143" s="951"/>
      <c r="CL143" s="952"/>
      <c r="CM143" s="951"/>
      <c r="CN143" s="951"/>
      <c r="CO143" s="952"/>
      <c r="CP143" s="951"/>
      <c r="CQ143" s="951"/>
      <c r="CR143" s="952"/>
      <c r="CS143" s="946"/>
      <c r="CT143" s="953"/>
      <c r="CU143" s="953"/>
      <c r="CV143" s="953"/>
      <c r="CX143" s="951"/>
      <c r="CY143" s="951"/>
      <c r="CZ143" s="952"/>
      <c r="DB143" s="954"/>
      <c r="DC143" s="954"/>
      <c r="DD143" s="921"/>
      <c r="DE143" s="954"/>
      <c r="DF143" s="954"/>
      <c r="DG143" s="921"/>
      <c r="DH143" s="954"/>
      <c r="DI143" s="954"/>
      <c r="DJ143" s="921"/>
      <c r="DK143" s="954"/>
      <c r="DL143" s="954"/>
      <c r="DM143" s="921"/>
      <c r="DN143" s="954"/>
      <c r="DO143" s="954"/>
      <c r="DP143" s="921"/>
      <c r="DQ143" s="942"/>
      <c r="DR143" s="951"/>
      <c r="DS143" s="951"/>
      <c r="DT143" s="952"/>
      <c r="DV143" s="921"/>
      <c r="DW143" s="921"/>
      <c r="DX143" s="921"/>
      <c r="DY143" s="921"/>
      <c r="DZ143" s="921"/>
      <c r="EA143" s="921"/>
      <c r="EB143" s="921"/>
      <c r="EC143" s="921"/>
      <c r="ED143" s="921"/>
      <c r="EE143" s="921"/>
      <c r="EF143" s="921"/>
      <c r="EG143" s="921"/>
      <c r="EH143" s="921"/>
      <c r="EI143" s="921"/>
      <c r="EJ143" s="921"/>
      <c r="EK143" s="921"/>
      <c r="EL143" s="921"/>
      <c r="EM143" s="921"/>
      <c r="EN143" s="921"/>
      <c r="EO143" s="921"/>
      <c r="EP143" s="921"/>
      <c r="EQ143" s="954"/>
      <c r="ER143" s="954"/>
      <c r="ES143" s="954"/>
      <c r="ET143" s="954"/>
      <c r="EV143" s="942"/>
      <c r="EW143" s="951"/>
      <c r="EX143" s="951"/>
      <c r="EY143" s="952"/>
    </row>
    <row r="144" spans="1:155" s="927" customFormat="1" ht="15.75" x14ac:dyDescent="0.25">
      <c r="A144" s="931"/>
      <c r="B144" s="932" t="s">
        <v>405</v>
      </c>
      <c r="C144" s="933"/>
      <c r="D144" s="933"/>
      <c r="E144" s="934"/>
      <c r="F144" s="935"/>
      <c r="G144" s="934"/>
      <c r="H144" s="935"/>
      <c r="I144" s="936"/>
      <c r="J144" s="937"/>
      <c r="K144" s="938"/>
      <c r="L144" s="936"/>
      <c r="M144" s="937"/>
      <c r="N144" s="938"/>
      <c r="O144" s="936"/>
      <c r="P144" s="937"/>
      <c r="Q144" s="938"/>
      <c r="R144" s="936"/>
      <c r="S144" s="937"/>
      <c r="T144" s="938"/>
      <c r="U144" s="936"/>
      <c r="V144" s="937"/>
      <c r="W144" s="938"/>
      <c r="X144" s="936"/>
      <c r="Y144" s="937"/>
      <c r="Z144" s="938"/>
      <c r="AA144" s="936"/>
      <c r="AB144" s="937"/>
      <c r="AC144" s="938"/>
      <c r="AD144" s="936"/>
      <c r="AE144" s="937"/>
      <c r="AF144" s="938"/>
      <c r="AG144" s="936"/>
      <c r="AH144" s="937"/>
      <c r="AI144" s="938"/>
      <c r="AJ144" s="936"/>
      <c r="AK144" s="937"/>
      <c r="AL144" s="938"/>
      <c r="AM144" s="936"/>
      <c r="AN144" s="933"/>
      <c r="AO144" s="936"/>
      <c r="AP144" s="933"/>
      <c r="AQ144" s="935"/>
      <c r="AR144" s="936"/>
      <c r="AS144" s="935"/>
      <c r="AT144" s="939"/>
      <c r="AU144" s="933"/>
      <c r="AV144" s="940"/>
      <c r="AW144" s="389">
        <f>AW138/12-AO138</f>
        <v>99428.55</v>
      </c>
      <c r="AX144" s="939"/>
      <c r="AY144" s="939"/>
      <c r="AZ144" s="941"/>
      <c r="BA144" s="941"/>
      <c r="BB144" s="941"/>
      <c r="BC144" s="934"/>
      <c r="BD144" s="941"/>
      <c r="BE144" s="941"/>
      <c r="BF144" s="941"/>
      <c r="BG144" s="942"/>
      <c r="BH144" s="941"/>
      <c r="BI144" s="941"/>
      <c r="BJ144" s="941"/>
      <c r="BK144" s="943"/>
      <c r="BL144" s="943"/>
      <c r="BM144" s="943"/>
      <c r="BN144" s="943"/>
      <c r="BO144" s="943"/>
      <c r="BP144" s="944"/>
      <c r="BQ144" s="943"/>
      <c r="BR144" s="943"/>
      <c r="BS144" s="943"/>
      <c r="BU144" s="945"/>
      <c r="BV144" s="946"/>
      <c r="BW144" s="947"/>
      <c r="BX144" s="945"/>
      <c r="BY144" s="947"/>
      <c r="BZ144" s="946"/>
      <c r="CA144" s="947"/>
      <c r="CB144" s="946"/>
      <c r="CC144" s="947"/>
      <c r="CD144" s="947"/>
      <c r="CE144" s="947"/>
      <c r="CF144" s="948"/>
      <c r="CG144" s="949"/>
      <c r="CH144" s="949"/>
      <c r="CI144" s="950"/>
      <c r="CJ144" s="951"/>
      <c r="CK144" s="951"/>
      <c r="CL144" s="952"/>
      <c r="CM144" s="951"/>
      <c r="CN144" s="951"/>
      <c r="CO144" s="952"/>
      <c r="CP144" s="951"/>
      <c r="CQ144" s="951"/>
      <c r="CR144" s="952"/>
      <c r="CS144" s="946"/>
      <c r="CT144" s="953"/>
      <c r="CU144" s="953"/>
      <c r="CV144" s="953"/>
      <c r="CX144" s="951"/>
      <c r="CY144" s="951"/>
      <c r="CZ144" s="952"/>
      <c r="DB144" s="954"/>
      <c r="DC144" s="954"/>
      <c r="DD144" s="921"/>
      <c r="DE144" s="954"/>
      <c r="DF144" s="954"/>
      <c r="DG144" s="921"/>
      <c r="DH144" s="954"/>
      <c r="DI144" s="954"/>
      <c r="DJ144" s="921"/>
      <c r="DK144" s="954"/>
      <c r="DL144" s="954"/>
      <c r="DM144" s="921"/>
      <c r="DN144" s="954"/>
      <c r="DO144" s="954"/>
      <c r="DP144" s="921"/>
      <c r="DQ144" s="942"/>
      <c r="DR144" s="951"/>
      <c r="DS144" s="951"/>
      <c r="DT144" s="952"/>
      <c r="DV144" s="921"/>
      <c r="DW144" s="921"/>
      <c r="DX144" s="921"/>
      <c r="DY144" s="921"/>
      <c r="DZ144" s="921"/>
      <c r="EA144" s="921"/>
      <c r="EB144" s="921"/>
      <c r="EC144" s="921"/>
      <c r="ED144" s="921"/>
      <c r="EE144" s="921"/>
      <c r="EF144" s="921"/>
      <c r="EG144" s="921"/>
      <c r="EH144" s="921"/>
      <c r="EI144" s="921"/>
      <c r="EJ144" s="921"/>
      <c r="EK144" s="921"/>
      <c r="EL144" s="921"/>
      <c r="EM144" s="921"/>
      <c r="EN144" s="921"/>
      <c r="EO144" s="921"/>
      <c r="EP144" s="921"/>
      <c r="EQ144" s="954"/>
      <c r="ER144" s="954"/>
      <c r="ES144" s="954"/>
      <c r="ET144" s="954"/>
      <c r="EV144" s="942"/>
      <c r="EW144" s="951"/>
      <c r="EX144" s="951"/>
      <c r="EY144" s="952"/>
    </row>
    <row r="145" spans="1:155" s="927" customFormat="1" ht="15.75" x14ac:dyDescent="0.25">
      <c r="A145" s="931"/>
      <c r="B145" s="932" t="s">
        <v>499</v>
      </c>
      <c r="C145" s="933"/>
      <c r="D145" s="933"/>
      <c r="E145" s="934"/>
      <c r="F145" s="935"/>
      <c r="G145" s="934"/>
      <c r="H145" s="935"/>
      <c r="I145" s="936"/>
      <c r="J145" s="937"/>
      <c r="K145" s="938"/>
      <c r="L145" s="936"/>
      <c r="M145" s="937"/>
      <c r="N145" s="938"/>
      <c r="O145" s="936"/>
      <c r="P145" s="937"/>
      <c r="Q145" s="938"/>
      <c r="R145" s="936"/>
      <c r="S145" s="937"/>
      <c r="T145" s="938"/>
      <c r="U145" s="936"/>
      <c r="V145" s="937"/>
      <c r="W145" s="938"/>
      <c r="X145" s="936"/>
      <c r="Y145" s="937"/>
      <c r="Z145" s="938"/>
      <c r="AA145" s="936"/>
      <c r="AB145" s="937"/>
      <c r="AC145" s="938"/>
      <c r="AD145" s="936"/>
      <c r="AE145" s="937"/>
      <c r="AF145" s="938"/>
      <c r="AG145" s="936"/>
      <c r="AH145" s="937"/>
      <c r="AI145" s="938"/>
      <c r="AJ145" s="936"/>
      <c r="AK145" s="937"/>
      <c r="AL145" s="938"/>
      <c r="AM145" s="936"/>
      <c r="AN145" s="933"/>
      <c r="AO145" s="936"/>
      <c r="AP145" s="933"/>
      <c r="AQ145" s="935"/>
      <c r="AR145" s="936"/>
      <c r="AS145" s="935"/>
      <c r="AT145" s="939"/>
      <c r="AU145" s="933"/>
      <c r="AV145" s="940"/>
      <c r="AW145" s="986"/>
      <c r="AX145" s="939"/>
      <c r="AY145" s="939"/>
      <c r="AZ145" s="941"/>
      <c r="BA145" s="941"/>
      <c r="BB145" s="941"/>
      <c r="BC145" s="934"/>
      <c r="BD145" s="941"/>
      <c r="BE145" s="941"/>
      <c r="BF145" s="941"/>
      <c r="BG145" s="942"/>
      <c r="BH145" s="941"/>
      <c r="BI145" s="941"/>
      <c r="BJ145" s="941"/>
      <c r="BK145" s="943"/>
      <c r="BL145" s="943"/>
      <c r="BM145" s="943"/>
      <c r="BN145" s="943"/>
      <c r="BO145" s="943"/>
      <c r="BP145" s="944"/>
      <c r="BQ145" s="943"/>
      <c r="BR145" s="943"/>
      <c r="BS145" s="943"/>
      <c r="BU145" s="945"/>
      <c r="BV145" s="946"/>
      <c r="BW145" s="947"/>
      <c r="BX145" s="945"/>
      <c r="BY145" s="947"/>
      <c r="BZ145" s="946"/>
      <c r="CA145" s="947"/>
      <c r="CB145" s="946"/>
      <c r="CC145" s="947"/>
      <c r="CD145" s="947"/>
      <c r="CE145" s="947"/>
      <c r="CF145" s="948"/>
      <c r="CG145" s="949"/>
      <c r="CH145" s="949"/>
      <c r="CI145" s="950"/>
      <c r="CJ145" s="951"/>
      <c r="CK145" s="951"/>
      <c r="CL145" s="952"/>
      <c r="CM145" s="951"/>
      <c r="CN145" s="951"/>
      <c r="CO145" s="952"/>
      <c r="CP145" s="951"/>
      <c r="CQ145" s="951"/>
      <c r="CR145" s="952"/>
      <c r="CS145" s="946"/>
      <c r="CT145" s="953"/>
      <c r="CU145" s="953"/>
      <c r="CV145" s="953"/>
      <c r="CX145" s="951"/>
      <c r="CY145" s="951"/>
      <c r="CZ145" s="952"/>
      <c r="DB145" s="954"/>
      <c r="DC145" s="954"/>
      <c r="DD145" s="921"/>
      <c r="DE145" s="954"/>
      <c r="DF145" s="954"/>
      <c r="DG145" s="921"/>
      <c r="DH145" s="954"/>
      <c r="DI145" s="954"/>
      <c r="DJ145" s="921"/>
      <c r="DK145" s="954"/>
      <c r="DL145" s="954"/>
      <c r="DM145" s="921"/>
      <c r="DN145" s="954"/>
      <c r="DO145" s="954"/>
      <c r="DP145" s="921"/>
      <c r="DQ145" s="942"/>
      <c r="DR145" s="951"/>
      <c r="DS145" s="951"/>
      <c r="DT145" s="952"/>
      <c r="DV145" s="921"/>
      <c r="DW145" s="921"/>
      <c r="DX145" s="921"/>
      <c r="DY145" s="921"/>
      <c r="DZ145" s="921"/>
      <c r="EA145" s="921"/>
      <c r="EB145" s="921"/>
      <c r="EC145" s="921"/>
      <c r="ED145" s="921"/>
      <c r="EE145" s="921"/>
      <c r="EF145" s="921"/>
      <c r="EG145" s="921"/>
      <c r="EH145" s="921"/>
      <c r="EI145" s="921"/>
      <c r="EJ145" s="921"/>
      <c r="EK145" s="921"/>
      <c r="EL145" s="921"/>
      <c r="EM145" s="921"/>
      <c r="EN145" s="921"/>
      <c r="EO145" s="921"/>
      <c r="EP145" s="921"/>
      <c r="EQ145" s="954"/>
      <c r="ER145" s="954"/>
      <c r="ES145" s="954"/>
      <c r="ET145" s="954"/>
      <c r="EV145" s="942"/>
      <c r="EW145" s="951"/>
      <c r="EX145" s="951"/>
      <c r="EY145" s="952"/>
    </row>
    <row r="146" spans="1:155" s="927" customFormat="1" ht="15.75" x14ac:dyDescent="0.25">
      <c r="A146" s="931"/>
      <c r="B146" s="932" t="s">
        <v>406</v>
      </c>
      <c r="C146" s="933"/>
      <c r="D146" s="933"/>
      <c r="E146" s="934"/>
      <c r="F146" s="935"/>
      <c r="G146" s="934"/>
      <c r="H146" s="935"/>
      <c r="I146" s="936"/>
      <c r="J146" s="937"/>
      <c r="K146" s="938"/>
      <c r="L146" s="936"/>
      <c r="M146" s="937"/>
      <c r="N146" s="938"/>
      <c r="O146" s="936"/>
      <c r="P146" s="937"/>
      <c r="Q146" s="938"/>
      <c r="R146" s="936"/>
      <c r="S146" s="937"/>
      <c r="T146" s="938"/>
      <c r="U146" s="936"/>
      <c r="V146" s="937"/>
      <c r="W146" s="938"/>
      <c r="X146" s="936"/>
      <c r="Y146" s="937"/>
      <c r="Z146" s="938"/>
      <c r="AA146" s="936"/>
      <c r="AB146" s="937"/>
      <c r="AC146" s="938"/>
      <c r="AD146" s="936"/>
      <c r="AE146" s="937"/>
      <c r="AF146" s="938"/>
      <c r="AG146" s="936"/>
      <c r="AH146" s="937"/>
      <c r="AI146" s="938"/>
      <c r="AJ146" s="936"/>
      <c r="AK146" s="937"/>
      <c r="AL146" s="938"/>
      <c r="AM146" s="936"/>
      <c r="AN146" s="933"/>
      <c r="AO146" s="936"/>
      <c r="AP146" s="933"/>
      <c r="AQ146" s="935"/>
      <c r="AR146" s="936"/>
      <c r="AS146" s="935"/>
      <c r="AT146" s="939"/>
      <c r="AU146" s="933"/>
      <c r="AV146" s="940"/>
      <c r="AW146" s="336">
        <f>AW141/I135</f>
        <v>1.3871500000000001</v>
      </c>
      <c r="AX146" s="939"/>
      <c r="AY146" s="939"/>
      <c r="AZ146" s="941"/>
      <c r="BA146" s="941"/>
      <c r="BB146" s="941"/>
      <c r="BC146" s="934"/>
      <c r="BD146" s="941"/>
      <c r="BE146" s="941"/>
      <c r="BF146" s="941"/>
      <c r="BG146" s="942"/>
      <c r="BH146" s="941"/>
      <c r="BI146" s="941"/>
      <c r="BJ146" s="941"/>
      <c r="BK146" s="943"/>
      <c r="BL146" s="943"/>
      <c r="BM146" s="943"/>
      <c r="BN146" s="943"/>
      <c r="BO146" s="943"/>
      <c r="BP146" s="944"/>
      <c r="BQ146" s="943"/>
      <c r="BR146" s="943"/>
      <c r="BS146" s="943"/>
      <c r="BU146" s="945"/>
      <c r="BV146" s="946"/>
      <c r="BW146" s="947"/>
      <c r="BX146" s="945"/>
      <c r="BY146" s="947"/>
      <c r="BZ146" s="946"/>
      <c r="CA146" s="947"/>
      <c r="CB146" s="946"/>
      <c r="CC146" s="947"/>
      <c r="CD146" s="947"/>
      <c r="CE146" s="947"/>
      <c r="CF146" s="948"/>
      <c r="CG146" s="949"/>
      <c r="CH146" s="949"/>
      <c r="CI146" s="950"/>
      <c r="CJ146" s="951"/>
      <c r="CK146" s="951"/>
      <c r="CL146" s="952"/>
      <c r="CM146" s="951"/>
      <c r="CN146" s="951"/>
      <c r="CO146" s="952"/>
      <c r="CP146" s="951"/>
      <c r="CQ146" s="951"/>
      <c r="CR146" s="952"/>
      <c r="CS146" s="946"/>
      <c r="CT146" s="953"/>
      <c r="CU146" s="953"/>
      <c r="CV146" s="953"/>
      <c r="CX146" s="951"/>
      <c r="CY146" s="951"/>
      <c r="CZ146" s="952"/>
      <c r="DB146" s="954"/>
      <c r="DC146" s="954"/>
      <c r="DD146" s="921"/>
      <c r="DE146" s="954"/>
      <c r="DF146" s="954"/>
      <c r="DG146" s="921"/>
      <c r="DH146" s="954"/>
      <c r="DI146" s="954"/>
      <c r="DJ146" s="921"/>
      <c r="DK146" s="954"/>
      <c r="DL146" s="954"/>
      <c r="DM146" s="921"/>
      <c r="DN146" s="954"/>
      <c r="DO146" s="954"/>
      <c r="DP146" s="921"/>
      <c r="DQ146" s="942"/>
      <c r="DR146" s="951"/>
      <c r="DS146" s="951"/>
      <c r="DT146" s="952"/>
      <c r="DV146" s="921"/>
      <c r="DW146" s="921"/>
      <c r="DX146" s="921"/>
      <c r="DY146" s="921"/>
      <c r="DZ146" s="921"/>
      <c r="EA146" s="921"/>
      <c r="EB146" s="921"/>
      <c r="EC146" s="921"/>
      <c r="ED146" s="921"/>
      <c r="EE146" s="921"/>
      <c r="EF146" s="921"/>
      <c r="EG146" s="921"/>
      <c r="EH146" s="921"/>
      <c r="EI146" s="921"/>
      <c r="EJ146" s="921"/>
      <c r="EK146" s="921"/>
      <c r="EL146" s="921"/>
      <c r="EM146" s="921"/>
      <c r="EN146" s="921"/>
      <c r="EO146" s="921"/>
      <c r="EP146" s="921"/>
      <c r="EQ146" s="954"/>
      <c r="ER146" s="954"/>
      <c r="ES146" s="954"/>
      <c r="ET146" s="954"/>
      <c r="EV146" s="942"/>
      <c r="EW146" s="951"/>
      <c r="EX146" s="951"/>
      <c r="EY146" s="952"/>
    </row>
    <row r="147" spans="1:155" s="927" customFormat="1" ht="15.75" x14ac:dyDescent="0.25">
      <c r="A147" s="931"/>
      <c r="B147" s="932" t="s">
        <v>498</v>
      </c>
      <c r="C147" s="933"/>
      <c r="D147" s="933"/>
      <c r="E147" s="934"/>
      <c r="F147" s="935"/>
      <c r="G147" s="934"/>
      <c r="H147" s="935"/>
      <c r="I147" s="936"/>
      <c r="J147" s="937"/>
      <c r="K147" s="938"/>
      <c r="L147" s="936"/>
      <c r="M147" s="937"/>
      <c r="N147" s="938"/>
      <c r="O147" s="936"/>
      <c r="P147" s="937"/>
      <c r="Q147" s="938"/>
      <c r="R147" s="936"/>
      <c r="S147" s="937"/>
      <c r="T147" s="938"/>
      <c r="U147" s="936"/>
      <c r="V147" s="937"/>
      <c r="W147" s="938"/>
      <c r="X147" s="936"/>
      <c r="Y147" s="937"/>
      <c r="Z147" s="938"/>
      <c r="AA147" s="936"/>
      <c r="AB147" s="937"/>
      <c r="AC147" s="938"/>
      <c r="AD147" s="936"/>
      <c r="AE147" s="937"/>
      <c r="AF147" s="938"/>
      <c r="AG147" s="936"/>
      <c r="AH147" s="937"/>
      <c r="AI147" s="938"/>
      <c r="AJ147" s="936"/>
      <c r="AK147" s="937"/>
      <c r="AL147" s="938"/>
      <c r="AM147" s="936"/>
      <c r="AN147" s="933"/>
      <c r="AO147" s="936"/>
      <c r="AP147" s="933"/>
      <c r="AQ147" s="935"/>
      <c r="AR147" s="936"/>
      <c r="AS147" s="935"/>
      <c r="AT147" s="939"/>
      <c r="AU147" s="933"/>
      <c r="AV147" s="940"/>
      <c r="AW147" s="986"/>
      <c r="AX147" s="939"/>
      <c r="AY147" s="939"/>
      <c r="AZ147" s="941"/>
      <c r="BA147" s="941"/>
      <c r="BB147" s="941"/>
      <c r="BC147" s="934"/>
      <c r="BD147" s="941"/>
      <c r="BE147" s="941"/>
      <c r="BF147" s="941"/>
      <c r="BG147" s="942"/>
      <c r="BH147" s="941"/>
      <c r="BI147" s="941"/>
      <c r="BJ147" s="941"/>
      <c r="BK147" s="943"/>
      <c r="BL147" s="943"/>
      <c r="BM147" s="943"/>
      <c r="BN147" s="943"/>
      <c r="BO147" s="943"/>
      <c r="BP147" s="944"/>
      <c r="BQ147" s="943"/>
      <c r="BR147" s="943"/>
      <c r="BS147" s="943"/>
      <c r="BU147" s="945"/>
      <c r="BV147" s="946"/>
      <c r="BW147" s="947"/>
      <c r="BX147" s="945"/>
      <c r="BY147" s="947"/>
      <c r="BZ147" s="946"/>
      <c r="CA147" s="947"/>
      <c r="CB147" s="946"/>
      <c r="CC147" s="947"/>
      <c r="CD147" s="947"/>
      <c r="CE147" s="947"/>
      <c r="CF147" s="948"/>
      <c r="CG147" s="949"/>
      <c r="CH147" s="949"/>
      <c r="CI147" s="950"/>
      <c r="CJ147" s="951"/>
      <c r="CK147" s="951"/>
      <c r="CL147" s="952"/>
      <c r="CM147" s="951"/>
      <c r="CN147" s="951"/>
      <c r="CO147" s="952"/>
      <c r="CP147" s="951"/>
      <c r="CQ147" s="951"/>
      <c r="CR147" s="952"/>
      <c r="CS147" s="946"/>
      <c r="CT147" s="953"/>
      <c r="CU147" s="953"/>
      <c r="CV147" s="953"/>
      <c r="CX147" s="951"/>
      <c r="CY147" s="951"/>
      <c r="CZ147" s="952"/>
      <c r="DB147" s="954"/>
      <c r="DC147" s="954"/>
      <c r="DD147" s="921"/>
      <c r="DE147" s="954"/>
      <c r="DF147" s="954"/>
      <c r="DG147" s="921"/>
      <c r="DH147" s="954"/>
      <c r="DI147" s="954"/>
      <c r="DJ147" s="921"/>
      <c r="DK147" s="954"/>
      <c r="DL147" s="954"/>
      <c r="DM147" s="921"/>
      <c r="DN147" s="954"/>
      <c r="DO147" s="954"/>
      <c r="DP147" s="921"/>
      <c r="DQ147" s="942"/>
      <c r="DR147" s="951"/>
      <c r="DS147" s="951"/>
      <c r="DT147" s="952"/>
      <c r="DV147" s="921"/>
      <c r="DW147" s="921"/>
      <c r="DX147" s="921"/>
      <c r="DY147" s="921"/>
      <c r="DZ147" s="921"/>
      <c r="EA147" s="921"/>
      <c r="EB147" s="921"/>
      <c r="EC147" s="921"/>
      <c r="ED147" s="921"/>
      <c r="EE147" s="921"/>
      <c r="EF147" s="921"/>
      <c r="EG147" s="921"/>
      <c r="EH147" s="921"/>
      <c r="EI147" s="921"/>
      <c r="EJ147" s="921"/>
      <c r="EK147" s="921"/>
      <c r="EL147" s="921"/>
      <c r="EM147" s="921"/>
      <c r="EN147" s="921"/>
      <c r="EO147" s="921"/>
      <c r="EP147" s="921"/>
      <c r="EQ147" s="954"/>
      <c r="ER147" s="954"/>
      <c r="ES147" s="954"/>
      <c r="ET147" s="954"/>
      <c r="EV147" s="942"/>
      <c r="EW147" s="951"/>
      <c r="EX147" s="951"/>
      <c r="EY147" s="952"/>
    </row>
    <row r="148" spans="1:155" s="927" customFormat="1" ht="15.75" x14ac:dyDescent="0.25">
      <c r="A148" s="931"/>
      <c r="B148" s="932" t="s">
        <v>403</v>
      </c>
      <c r="C148" s="933"/>
      <c r="D148" s="933"/>
      <c r="E148" s="934"/>
      <c r="F148" s="935"/>
      <c r="G148" s="934"/>
      <c r="H148" s="935"/>
      <c r="I148" s="936"/>
      <c r="J148" s="937"/>
      <c r="K148" s="938"/>
      <c r="L148" s="936"/>
      <c r="M148" s="937"/>
      <c r="N148" s="938"/>
      <c r="O148" s="936"/>
      <c r="P148" s="937"/>
      <c r="Q148" s="938"/>
      <c r="R148" s="936"/>
      <c r="S148" s="937"/>
      <c r="T148" s="938"/>
      <c r="U148" s="936"/>
      <c r="V148" s="937"/>
      <c r="W148" s="938"/>
      <c r="X148" s="936"/>
      <c r="Y148" s="937"/>
      <c r="Z148" s="938"/>
      <c r="AA148" s="936"/>
      <c r="AB148" s="937"/>
      <c r="AC148" s="938"/>
      <c r="AD148" s="936"/>
      <c r="AE148" s="937"/>
      <c r="AF148" s="938"/>
      <c r="AG148" s="936"/>
      <c r="AH148" s="937"/>
      <c r="AI148" s="938"/>
      <c r="AJ148" s="936"/>
      <c r="AK148" s="937"/>
      <c r="AL148" s="938"/>
      <c r="AM148" s="936"/>
      <c r="AN148" s="933"/>
      <c r="AO148" s="936"/>
      <c r="AP148" s="933"/>
      <c r="AQ148" s="935"/>
      <c r="AR148" s="936"/>
      <c r="AS148" s="935"/>
      <c r="AT148" s="939"/>
      <c r="AU148" s="933"/>
      <c r="AV148" s="940"/>
      <c r="AW148" s="337">
        <f>AW142/AW141</f>
        <v>0.42914999999999998</v>
      </c>
      <c r="AX148" s="939"/>
      <c r="AY148" s="939"/>
      <c r="AZ148" s="941"/>
      <c r="BA148" s="941"/>
      <c r="BB148" s="941"/>
      <c r="BC148" s="934"/>
      <c r="BD148" s="941"/>
      <c r="BE148" s="941"/>
      <c r="BF148" s="941"/>
      <c r="BG148" s="942"/>
      <c r="BH148" s="941"/>
      <c r="BI148" s="941"/>
      <c r="BJ148" s="941"/>
      <c r="BK148" s="943"/>
      <c r="BL148" s="943"/>
      <c r="BM148" s="943"/>
      <c r="BN148" s="943"/>
      <c r="BO148" s="943"/>
      <c r="BP148" s="944"/>
      <c r="BQ148" s="943"/>
      <c r="BR148" s="943"/>
      <c r="BS148" s="943"/>
      <c r="BU148" s="945"/>
      <c r="BV148" s="946"/>
      <c r="BW148" s="947"/>
      <c r="BX148" s="945"/>
      <c r="BY148" s="947"/>
      <c r="BZ148" s="946"/>
      <c r="CA148" s="947"/>
      <c r="CB148" s="946"/>
      <c r="CC148" s="947"/>
      <c r="CD148" s="947"/>
      <c r="CE148" s="947"/>
      <c r="CF148" s="948"/>
      <c r="CG148" s="949"/>
      <c r="CH148" s="949"/>
      <c r="CI148" s="950"/>
      <c r="CJ148" s="951"/>
      <c r="CK148" s="951"/>
      <c r="CL148" s="952"/>
      <c r="CM148" s="951"/>
      <c r="CN148" s="951"/>
      <c r="CO148" s="952"/>
      <c r="CP148" s="951"/>
      <c r="CQ148" s="951"/>
      <c r="CR148" s="952"/>
      <c r="CS148" s="946"/>
      <c r="CT148" s="953"/>
      <c r="CU148" s="953"/>
      <c r="CV148" s="953"/>
      <c r="CX148" s="951"/>
      <c r="CY148" s="951"/>
      <c r="CZ148" s="952"/>
      <c r="DB148" s="954"/>
      <c r="DC148" s="954"/>
      <c r="DD148" s="921"/>
      <c r="DE148" s="954"/>
      <c r="DF148" s="954"/>
      <c r="DG148" s="921"/>
      <c r="DH148" s="954"/>
      <c r="DI148" s="954"/>
      <c r="DJ148" s="921"/>
      <c r="DK148" s="954"/>
      <c r="DL148" s="954"/>
      <c r="DM148" s="921"/>
      <c r="DN148" s="954"/>
      <c r="DO148" s="954"/>
      <c r="DP148" s="921"/>
      <c r="DQ148" s="942"/>
      <c r="DR148" s="951"/>
      <c r="DS148" s="951"/>
      <c r="DT148" s="952"/>
      <c r="DV148" s="921"/>
      <c r="DW148" s="921"/>
      <c r="DX148" s="921"/>
      <c r="DY148" s="921"/>
      <c r="DZ148" s="921"/>
      <c r="EA148" s="921"/>
      <c r="EB148" s="921"/>
      <c r="EC148" s="921"/>
      <c r="ED148" s="921"/>
      <c r="EE148" s="921"/>
      <c r="EF148" s="921"/>
      <c r="EG148" s="921"/>
      <c r="EH148" s="921"/>
      <c r="EI148" s="921"/>
      <c r="EJ148" s="921"/>
      <c r="EK148" s="921"/>
      <c r="EL148" s="921"/>
      <c r="EM148" s="921"/>
      <c r="EN148" s="921"/>
      <c r="EO148" s="921"/>
      <c r="EP148" s="921"/>
      <c r="EQ148" s="954"/>
      <c r="ER148" s="954"/>
      <c r="ES148" s="954"/>
      <c r="ET148" s="954"/>
      <c r="EV148" s="942"/>
      <c r="EW148" s="951"/>
      <c r="EX148" s="951"/>
      <c r="EY148" s="952"/>
    </row>
    <row r="149" spans="1:155" s="927" customFormat="1" ht="15.75" x14ac:dyDescent="0.25">
      <c r="A149" s="931"/>
      <c r="B149" s="932" t="s">
        <v>404</v>
      </c>
      <c r="C149" s="933"/>
      <c r="D149" s="933"/>
      <c r="E149" s="934"/>
      <c r="F149" s="935"/>
      <c r="G149" s="934"/>
      <c r="H149" s="935"/>
      <c r="I149" s="936"/>
      <c r="J149" s="937"/>
      <c r="K149" s="938"/>
      <c r="L149" s="936"/>
      <c r="M149" s="937"/>
      <c r="N149" s="938"/>
      <c r="O149" s="936"/>
      <c r="P149" s="937"/>
      <c r="Q149" s="938"/>
      <c r="R149" s="936"/>
      <c r="S149" s="937"/>
      <c r="T149" s="938"/>
      <c r="U149" s="936"/>
      <c r="V149" s="937"/>
      <c r="W149" s="938"/>
      <c r="X149" s="936"/>
      <c r="Y149" s="937"/>
      <c r="Z149" s="938"/>
      <c r="AA149" s="936"/>
      <c r="AB149" s="937"/>
      <c r="AC149" s="938"/>
      <c r="AD149" s="936"/>
      <c r="AE149" s="937"/>
      <c r="AF149" s="938"/>
      <c r="AG149" s="936"/>
      <c r="AH149" s="937"/>
      <c r="AI149" s="938"/>
      <c r="AJ149" s="936"/>
      <c r="AK149" s="937"/>
      <c r="AL149" s="938"/>
      <c r="AM149" s="936"/>
      <c r="AN149" s="933"/>
      <c r="AO149" s="936"/>
      <c r="AP149" s="933"/>
      <c r="AQ149" s="935"/>
      <c r="AR149" s="936"/>
      <c r="AS149" s="935"/>
      <c r="AT149" s="939"/>
      <c r="AU149" s="933"/>
      <c r="AV149" s="940"/>
      <c r="AW149" s="338">
        <f>AW143/AW141</f>
        <v>0.66995000000000005</v>
      </c>
      <c r="AX149" s="939"/>
      <c r="AY149" s="939"/>
      <c r="AZ149" s="941"/>
      <c r="BA149" s="941"/>
      <c r="BB149" s="941"/>
      <c r="BC149" s="934"/>
      <c r="BD149" s="941"/>
      <c r="BE149" s="941"/>
      <c r="BF149" s="941"/>
      <c r="BG149" s="942"/>
      <c r="BH149" s="941"/>
      <c r="BI149" s="941"/>
      <c r="BJ149" s="941"/>
      <c r="BK149" s="943"/>
      <c r="BL149" s="943"/>
      <c r="BM149" s="943"/>
      <c r="BN149" s="943"/>
      <c r="BO149" s="943"/>
      <c r="BP149" s="944"/>
      <c r="BQ149" s="943"/>
      <c r="BR149" s="943"/>
      <c r="BS149" s="943"/>
      <c r="BU149" s="945"/>
      <c r="BV149" s="946"/>
      <c r="BW149" s="947"/>
      <c r="BX149" s="945"/>
      <c r="BY149" s="947"/>
      <c r="BZ149" s="946"/>
      <c r="CA149" s="947"/>
      <c r="CB149" s="946"/>
      <c r="CC149" s="947"/>
      <c r="CD149" s="947"/>
      <c r="CE149" s="947"/>
      <c r="CF149" s="948"/>
      <c r="CG149" s="949"/>
      <c r="CH149" s="949"/>
      <c r="CI149" s="950"/>
      <c r="CJ149" s="951"/>
      <c r="CK149" s="951"/>
      <c r="CL149" s="952"/>
      <c r="CM149" s="951"/>
      <c r="CN149" s="951"/>
      <c r="CO149" s="952"/>
      <c r="CP149" s="951"/>
      <c r="CQ149" s="951"/>
      <c r="CR149" s="952"/>
      <c r="CS149" s="946"/>
      <c r="CT149" s="953"/>
      <c r="CU149" s="953"/>
      <c r="CV149" s="953"/>
      <c r="CX149" s="951"/>
      <c r="CY149" s="951"/>
      <c r="CZ149" s="952"/>
      <c r="DB149" s="954"/>
      <c r="DC149" s="954"/>
      <c r="DD149" s="921"/>
      <c r="DE149" s="954"/>
      <c r="DF149" s="954"/>
      <c r="DG149" s="921"/>
      <c r="DH149" s="954"/>
      <c r="DI149" s="954"/>
      <c r="DJ149" s="921"/>
      <c r="DK149" s="954"/>
      <c r="DL149" s="954"/>
      <c r="DM149" s="921"/>
      <c r="DN149" s="954"/>
      <c r="DO149" s="954"/>
      <c r="DP149" s="921"/>
      <c r="DQ149" s="942"/>
      <c r="DR149" s="951"/>
      <c r="DS149" s="951"/>
      <c r="DT149" s="952"/>
      <c r="DV149" s="921"/>
      <c r="DW149" s="921"/>
      <c r="DX149" s="921"/>
      <c r="DY149" s="921"/>
      <c r="DZ149" s="921"/>
      <c r="EA149" s="921"/>
      <c r="EB149" s="921"/>
      <c r="EC149" s="921"/>
      <c r="ED149" s="921"/>
      <c r="EE149" s="921"/>
      <c r="EF149" s="921"/>
      <c r="EG149" s="921"/>
      <c r="EH149" s="921"/>
      <c r="EI149" s="921"/>
      <c r="EJ149" s="921"/>
      <c r="EK149" s="921"/>
      <c r="EL149" s="921"/>
      <c r="EM149" s="921"/>
      <c r="EN149" s="921"/>
      <c r="EO149" s="921"/>
      <c r="EP149" s="921"/>
      <c r="EQ149" s="954"/>
      <c r="ER149" s="954"/>
      <c r="ES149" s="954"/>
      <c r="ET149" s="954"/>
      <c r="EV149" s="942"/>
      <c r="EW149" s="951"/>
      <c r="EX149" s="951"/>
      <c r="EY149" s="952"/>
    </row>
    <row r="150" spans="1:155" s="927" customFormat="1" ht="15.75" x14ac:dyDescent="0.25">
      <c r="A150" s="931"/>
      <c r="B150" s="932" t="s">
        <v>405</v>
      </c>
      <c r="C150" s="933"/>
      <c r="D150" s="933"/>
      <c r="E150" s="934"/>
      <c r="F150" s="935"/>
      <c r="G150" s="934"/>
      <c r="H150" s="935"/>
      <c r="I150" s="936"/>
      <c r="J150" s="937"/>
      <c r="K150" s="938"/>
      <c r="L150" s="936"/>
      <c r="M150" s="937"/>
      <c r="N150" s="938"/>
      <c r="O150" s="936"/>
      <c r="P150" s="937"/>
      <c r="Q150" s="938"/>
      <c r="R150" s="936"/>
      <c r="S150" s="937"/>
      <c r="T150" s="938"/>
      <c r="U150" s="936"/>
      <c r="V150" s="937"/>
      <c r="W150" s="938"/>
      <c r="X150" s="936"/>
      <c r="Y150" s="937"/>
      <c r="Z150" s="938"/>
      <c r="AA150" s="936"/>
      <c r="AB150" s="937"/>
      <c r="AC150" s="938"/>
      <c r="AD150" s="936"/>
      <c r="AE150" s="937"/>
      <c r="AF150" s="938"/>
      <c r="AG150" s="936"/>
      <c r="AH150" s="937"/>
      <c r="AI150" s="938"/>
      <c r="AJ150" s="936"/>
      <c r="AK150" s="937"/>
      <c r="AL150" s="938"/>
      <c r="AM150" s="936"/>
      <c r="AN150" s="933"/>
      <c r="AO150" s="936"/>
      <c r="AP150" s="933"/>
      <c r="AQ150" s="935"/>
      <c r="AR150" s="936"/>
      <c r="AS150" s="935"/>
      <c r="AT150" s="939"/>
      <c r="AU150" s="933"/>
      <c r="AV150" s="940"/>
      <c r="AW150" s="339">
        <f>AW144/AW141</f>
        <v>0.10267</v>
      </c>
      <c r="AX150" s="939"/>
      <c r="AY150" s="939"/>
      <c r="AZ150" s="941"/>
      <c r="BA150" s="941"/>
      <c r="BB150" s="941"/>
      <c r="BC150" s="934"/>
      <c r="BD150" s="941"/>
      <c r="BE150" s="941"/>
      <c r="BF150" s="941"/>
      <c r="BG150" s="942"/>
      <c r="BH150" s="941"/>
      <c r="BI150" s="941"/>
      <c r="BJ150" s="941"/>
      <c r="BK150" s="943"/>
      <c r="BL150" s="943"/>
      <c r="BM150" s="943"/>
      <c r="BN150" s="943"/>
      <c r="BO150" s="943"/>
      <c r="BP150" s="944"/>
      <c r="BQ150" s="943"/>
      <c r="BR150" s="943"/>
      <c r="BS150" s="943"/>
      <c r="BU150" s="945"/>
      <c r="BV150" s="946"/>
      <c r="BW150" s="947"/>
      <c r="BX150" s="945"/>
      <c r="BY150" s="947"/>
      <c r="BZ150" s="946"/>
      <c r="CA150" s="947"/>
      <c r="CB150" s="946"/>
      <c r="CC150" s="947"/>
      <c r="CD150" s="947"/>
      <c r="CE150" s="947"/>
      <c r="CF150" s="948"/>
      <c r="CG150" s="949"/>
      <c r="CH150" s="949"/>
      <c r="CI150" s="950"/>
      <c r="CJ150" s="951"/>
      <c r="CK150" s="951"/>
      <c r="CL150" s="952"/>
      <c r="CM150" s="951"/>
      <c r="CN150" s="951"/>
      <c r="CO150" s="952"/>
      <c r="CP150" s="951"/>
      <c r="CQ150" s="951"/>
      <c r="CR150" s="952"/>
      <c r="CS150" s="946"/>
      <c r="CT150" s="953"/>
      <c r="CU150" s="953"/>
      <c r="CV150" s="953"/>
      <c r="CX150" s="951"/>
      <c r="CY150" s="951"/>
      <c r="CZ150" s="952"/>
      <c r="DB150" s="954"/>
      <c r="DC150" s="954"/>
      <c r="DD150" s="921"/>
      <c r="DE150" s="954"/>
      <c r="DF150" s="954"/>
      <c r="DG150" s="921"/>
      <c r="DH150" s="954"/>
      <c r="DI150" s="954"/>
      <c r="DJ150" s="921"/>
      <c r="DK150" s="954"/>
      <c r="DL150" s="954"/>
      <c r="DM150" s="921"/>
      <c r="DN150" s="954"/>
      <c r="DO150" s="954"/>
      <c r="DP150" s="921"/>
      <c r="DQ150" s="942"/>
      <c r="DR150" s="951"/>
      <c r="DS150" s="951"/>
      <c r="DT150" s="952"/>
      <c r="DV150" s="921"/>
      <c r="DW150" s="921"/>
      <c r="DX150" s="921"/>
      <c r="DY150" s="921"/>
      <c r="DZ150" s="921"/>
      <c r="EA150" s="921"/>
      <c r="EB150" s="921"/>
      <c r="EC150" s="921"/>
      <c r="ED150" s="921"/>
      <c r="EE150" s="921"/>
      <c r="EF150" s="921"/>
      <c r="EG150" s="921"/>
      <c r="EH150" s="921"/>
      <c r="EI150" s="921"/>
      <c r="EJ150" s="921"/>
      <c r="EK150" s="921"/>
      <c r="EL150" s="921"/>
      <c r="EM150" s="921"/>
      <c r="EN150" s="921"/>
      <c r="EO150" s="921"/>
      <c r="EP150" s="921"/>
      <c r="EQ150" s="954"/>
      <c r="ER150" s="954"/>
      <c r="ES150" s="954"/>
      <c r="ET150" s="954"/>
      <c r="EV150" s="942"/>
      <c r="EW150" s="951"/>
      <c r="EX150" s="951"/>
      <c r="EY150" s="952"/>
    </row>
    <row r="151" spans="1:155" s="927" customFormat="1" ht="15.75" x14ac:dyDescent="0.25">
      <c r="A151" s="931"/>
      <c r="B151" s="932" t="s">
        <v>807</v>
      </c>
      <c r="C151" s="933"/>
      <c r="D151" s="933"/>
      <c r="E151" s="934"/>
      <c r="F151" s="935"/>
      <c r="G151" s="934"/>
      <c r="H151" s="935"/>
      <c r="I151" s="936"/>
      <c r="J151" s="937"/>
      <c r="K151" s="938"/>
      <c r="L151" s="936"/>
      <c r="M151" s="937"/>
      <c r="N151" s="938"/>
      <c r="O151" s="936"/>
      <c r="P151" s="937"/>
      <c r="Q151" s="938"/>
      <c r="R151" s="936"/>
      <c r="S151" s="937"/>
      <c r="T151" s="938"/>
      <c r="U151" s="936"/>
      <c r="V151" s="937"/>
      <c r="W151" s="938"/>
      <c r="X151" s="936"/>
      <c r="Y151" s="937"/>
      <c r="Z151" s="938"/>
      <c r="AA151" s="936"/>
      <c r="AB151" s="937"/>
      <c r="AC151" s="938"/>
      <c r="AD151" s="936"/>
      <c r="AE151" s="937"/>
      <c r="AF151" s="938"/>
      <c r="AG151" s="936"/>
      <c r="AH151" s="937"/>
      <c r="AI151" s="938"/>
      <c r="AJ151" s="936"/>
      <c r="AK151" s="937"/>
      <c r="AL151" s="938"/>
      <c r="AM151" s="936"/>
      <c r="AN151" s="933"/>
      <c r="AO151" s="936"/>
      <c r="AP151" s="933"/>
      <c r="AQ151" s="935"/>
      <c r="AR151" s="936"/>
      <c r="AS151" s="935"/>
      <c r="AT151" s="939"/>
      <c r="AU151" s="933"/>
      <c r="AV151" s="940"/>
      <c r="AW151" s="335">
        <f>(AW134/12)/AW140</f>
        <v>1.2208699999999999</v>
      </c>
      <c r="AX151" s="939"/>
      <c r="AY151" s="939"/>
      <c r="AZ151" s="941"/>
      <c r="BA151" s="941"/>
      <c r="BB151" s="941"/>
      <c r="BC151" s="934"/>
      <c r="BD151" s="941"/>
      <c r="BE151" s="941"/>
      <c r="BF151" s="941"/>
      <c r="BG151" s="942"/>
      <c r="BH151" s="941"/>
      <c r="BI151" s="941"/>
      <c r="BJ151" s="941"/>
      <c r="BK151" s="943"/>
      <c r="BL151" s="943"/>
      <c r="BM151" s="943"/>
      <c r="BN151" s="943"/>
      <c r="BO151" s="943"/>
      <c r="BP151" s="944"/>
      <c r="BQ151" s="943"/>
      <c r="BR151" s="943"/>
      <c r="BS151" s="943"/>
      <c r="BU151" s="945"/>
      <c r="BV151" s="946"/>
      <c r="BW151" s="947"/>
      <c r="BX151" s="945"/>
      <c r="BY151" s="947"/>
      <c r="BZ151" s="946"/>
      <c r="CA151" s="947"/>
      <c r="CB151" s="946"/>
      <c r="CC151" s="947"/>
      <c r="CD151" s="947"/>
      <c r="CE151" s="947"/>
      <c r="CF151" s="948"/>
      <c r="CG151" s="949"/>
      <c r="CH151" s="949"/>
      <c r="CI151" s="950"/>
      <c r="CJ151" s="951"/>
      <c r="CK151" s="951"/>
      <c r="CL151" s="952"/>
      <c r="CM151" s="951"/>
      <c r="CN151" s="951"/>
      <c r="CO151" s="952"/>
      <c r="CP151" s="951"/>
      <c r="CQ151" s="951"/>
      <c r="CR151" s="952"/>
      <c r="CS151" s="946"/>
      <c r="CT151" s="953"/>
      <c r="CU151" s="953"/>
      <c r="CV151" s="953"/>
      <c r="CX151" s="951"/>
      <c r="CY151" s="951"/>
      <c r="CZ151" s="952"/>
      <c r="DB151" s="954"/>
      <c r="DC151" s="954"/>
      <c r="DD151" s="921"/>
      <c r="DE151" s="954"/>
      <c r="DF151" s="954"/>
      <c r="DG151" s="921"/>
      <c r="DH151" s="954"/>
      <c r="DI151" s="954"/>
      <c r="DJ151" s="921"/>
      <c r="DK151" s="954"/>
      <c r="DL151" s="954"/>
      <c r="DM151" s="921"/>
      <c r="DN151" s="954"/>
      <c r="DO151" s="954"/>
      <c r="DP151" s="921"/>
      <c r="DQ151" s="942"/>
      <c r="DR151" s="951"/>
      <c r="DS151" s="951"/>
      <c r="DT151" s="952"/>
      <c r="DV151" s="921"/>
      <c r="DW151" s="921"/>
      <c r="DX151" s="921"/>
      <c r="DY151" s="921"/>
      <c r="DZ151" s="921"/>
      <c r="EA151" s="921"/>
      <c r="EB151" s="921"/>
      <c r="EC151" s="921"/>
      <c r="ED151" s="921"/>
      <c r="EE151" s="921"/>
      <c r="EF151" s="921"/>
      <c r="EG151" s="921"/>
      <c r="EH151" s="921"/>
      <c r="EI151" s="921"/>
      <c r="EJ151" s="921"/>
      <c r="EK151" s="921"/>
      <c r="EL151" s="921"/>
      <c r="EM151" s="921"/>
      <c r="EN151" s="921"/>
      <c r="EO151" s="921"/>
      <c r="EP151" s="921"/>
      <c r="EQ151" s="954"/>
      <c r="ER151" s="954"/>
      <c r="ES151" s="954"/>
      <c r="ET151" s="954"/>
      <c r="EV151" s="942"/>
      <c r="EW151" s="951"/>
      <c r="EX151" s="951"/>
      <c r="EY151" s="952"/>
    </row>
    <row r="152" spans="1:155" s="927" customFormat="1" ht="15.75" x14ac:dyDescent="0.25">
      <c r="A152" s="931"/>
      <c r="B152" s="932"/>
      <c r="C152" s="933"/>
      <c r="D152" s="933"/>
      <c r="E152" s="934"/>
      <c r="F152" s="935"/>
      <c r="G152" s="934"/>
      <c r="H152" s="935"/>
      <c r="I152" s="936"/>
      <c r="J152" s="937"/>
      <c r="K152" s="938"/>
      <c r="L152" s="936"/>
      <c r="M152" s="937"/>
      <c r="N152" s="938"/>
      <c r="O152" s="936"/>
      <c r="P152" s="937"/>
      <c r="Q152" s="938"/>
      <c r="R152" s="936"/>
      <c r="S152" s="937"/>
      <c r="T152" s="938"/>
      <c r="U152" s="936"/>
      <c r="V152" s="937"/>
      <c r="W152" s="938"/>
      <c r="X152" s="936"/>
      <c r="Y152" s="937"/>
      <c r="Z152" s="938"/>
      <c r="AA152" s="936"/>
      <c r="AB152" s="937"/>
      <c r="AC152" s="938"/>
      <c r="AD152" s="936"/>
      <c r="AE152" s="937"/>
      <c r="AF152" s="938"/>
      <c r="AG152" s="936"/>
      <c r="AH152" s="937"/>
      <c r="AI152" s="938"/>
      <c r="AJ152" s="936"/>
      <c r="AK152" s="937"/>
      <c r="AL152" s="938"/>
      <c r="AM152" s="936"/>
      <c r="AN152" s="933"/>
      <c r="AO152" s="936"/>
      <c r="AP152" s="933"/>
      <c r="AQ152" s="935"/>
      <c r="AR152" s="936"/>
      <c r="AS152" s="935"/>
      <c r="AT152" s="939"/>
      <c r="AU152" s="933"/>
      <c r="AV152" s="940"/>
      <c r="AW152" s="939"/>
      <c r="AX152" s="939"/>
      <c r="AY152" s="939"/>
      <c r="AZ152" s="941"/>
      <c r="BA152" s="941"/>
      <c r="BB152" s="941"/>
      <c r="BC152" s="934"/>
      <c r="BD152" s="941"/>
      <c r="BE152" s="941"/>
      <c r="BF152" s="941"/>
      <c r="BG152" s="942"/>
      <c r="BH152" s="941"/>
      <c r="BI152" s="941"/>
      <c r="BJ152" s="941"/>
      <c r="BK152" s="943"/>
      <c r="BL152" s="943"/>
      <c r="BM152" s="943"/>
      <c r="BN152" s="943"/>
      <c r="BO152" s="943"/>
      <c r="BP152" s="944"/>
      <c r="BQ152" s="943"/>
      <c r="BR152" s="943"/>
      <c r="BS152" s="943"/>
      <c r="BU152" s="945"/>
      <c r="BV152" s="946"/>
      <c r="BW152" s="947"/>
      <c r="BX152" s="945"/>
      <c r="BY152" s="947"/>
      <c r="BZ152" s="946"/>
      <c r="CA152" s="947"/>
      <c r="CB152" s="946"/>
      <c r="CC152" s="947"/>
      <c r="CD152" s="947"/>
      <c r="CE152" s="947"/>
      <c r="CF152" s="948"/>
      <c r="CG152" s="949"/>
      <c r="CH152" s="949"/>
      <c r="CI152" s="950"/>
      <c r="CJ152" s="951"/>
      <c r="CK152" s="951"/>
      <c r="CL152" s="952"/>
      <c r="CM152" s="951"/>
      <c r="CN152" s="951"/>
      <c r="CO152" s="952"/>
      <c r="CP152" s="951"/>
      <c r="CQ152" s="951"/>
      <c r="CR152" s="952"/>
      <c r="CS152" s="946"/>
      <c r="CT152" s="953"/>
      <c r="CU152" s="953"/>
      <c r="CV152" s="953"/>
      <c r="CX152" s="951"/>
      <c r="CY152" s="951"/>
      <c r="CZ152" s="952"/>
      <c r="DB152" s="954"/>
      <c r="DC152" s="954"/>
      <c r="DD152" s="921"/>
      <c r="DE152" s="954"/>
      <c r="DF152" s="954"/>
      <c r="DG152" s="921"/>
      <c r="DH152" s="954"/>
      <c r="DI152" s="954"/>
      <c r="DJ152" s="921"/>
      <c r="DK152" s="954"/>
      <c r="DL152" s="954"/>
      <c r="DM152" s="921"/>
      <c r="DN152" s="954"/>
      <c r="DO152" s="954"/>
      <c r="DP152" s="921"/>
      <c r="DQ152" s="942"/>
      <c r="DR152" s="951"/>
      <c r="DS152" s="951"/>
      <c r="DT152" s="952"/>
      <c r="DV152" s="921"/>
      <c r="DW152" s="921"/>
      <c r="DX152" s="921"/>
      <c r="DY152" s="921"/>
      <c r="DZ152" s="921"/>
      <c r="EA152" s="921"/>
      <c r="EB152" s="921"/>
      <c r="EC152" s="921"/>
      <c r="ED152" s="921"/>
      <c r="EE152" s="921"/>
      <c r="EF152" s="921"/>
      <c r="EG152" s="921"/>
      <c r="EH152" s="921"/>
      <c r="EI152" s="921"/>
      <c r="EJ152" s="921"/>
      <c r="EK152" s="921"/>
      <c r="EL152" s="921"/>
      <c r="EM152" s="921"/>
      <c r="EN152" s="921"/>
      <c r="EO152" s="921"/>
      <c r="EP152" s="921"/>
      <c r="EQ152" s="954"/>
      <c r="ER152" s="954"/>
      <c r="ES152" s="954"/>
      <c r="ET152" s="954"/>
      <c r="EV152" s="942"/>
      <c r="EW152" s="951"/>
      <c r="EX152" s="951"/>
      <c r="EY152" s="952"/>
    </row>
    <row r="153" spans="1:155" s="927" customFormat="1" ht="15.75" x14ac:dyDescent="0.25">
      <c r="A153" s="912" t="s">
        <v>360</v>
      </c>
      <c r="B153" s="913" t="s">
        <v>1378</v>
      </c>
      <c r="C153" s="914">
        <v>2</v>
      </c>
      <c r="D153" s="914">
        <v>7755</v>
      </c>
      <c r="E153" s="915">
        <v>1.0549999999999999</v>
      </c>
      <c r="F153" s="916">
        <f t="shared" si="81"/>
        <v>8182</v>
      </c>
      <c r="G153" s="915">
        <v>1.01</v>
      </c>
      <c r="H153" s="916">
        <f t="shared" si="82"/>
        <v>8264</v>
      </c>
      <c r="I153" s="917">
        <f t="shared" si="83"/>
        <v>16528</v>
      </c>
      <c r="J153" s="918">
        <f t="shared" si="84"/>
        <v>0</v>
      </c>
      <c r="K153" s="919"/>
      <c r="L153" s="917">
        <f t="shared" si="85"/>
        <v>0</v>
      </c>
      <c r="M153" s="918">
        <f t="shared" si="86"/>
        <v>0</v>
      </c>
      <c r="N153" s="919"/>
      <c r="O153" s="917">
        <f t="shared" si="87"/>
        <v>0</v>
      </c>
      <c r="P153" s="918">
        <f t="shared" si="88"/>
        <v>0</v>
      </c>
      <c r="Q153" s="919"/>
      <c r="R153" s="917">
        <f t="shared" si="89"/>
        <v>0</v>
      </c>
      <c r="S153" s="918">
        <f t="shared" si="90"/>
        <v>0</v>
      </c>
      <c r="T153" s="919"/>
      <c r="U153" s="917">
        <f t="shared" si="91"/>
        <v>0</v>
      </c>
      <c r="V153" s="918">
        <f t="shared" si="92"/>
        <v>0</v>
      </c>
      <c r="W153" s="919"/>
      <c r="X153" s="917">
        <f t="shared" si="93"/>
        <v>0</v>
      </c>
      <c r="Y153" s="918">
        <f t="shared" si="94"/>
        <v>0.8</v>
      </c>
      <c r="Z153" s="919">
        <v>12408</v>
      </c>
      <c r="AA153" s="917">
        <f t="shared" si="95"/>
        <v>13222.4</v>
      </c>
      <c r="AB153" s="918">
        <f t="shared" si="96"/>
        <v>0.45</v>
      </c>
      <c r="AC153" s="919">
        <v>6979.5</v>
      </c>
      <c r="AD153" s="917">
        <f t="shared" si="97"/>
        <v>7437.6</v>
      </c>
      <c r="AE153" s="918">
        <f t="shared" si="98"/>
        <v>0</v>
      </c>
      <c r="AF153" s="919"/>
      <c r="AG153" s="917">
        <f t="shared" si="99"/>
        <v>0</v>
      </c>
      <c r="AH153" s="918">
        <f t="shared" si="100"/>
        <v>0</v>
      </c>
      <c r="AI153" s="919"/>
      <c r="AJ153" s="917">
        <f t="shared" si="101"/>
        <v>0</v>
      </c>
      <c r="AK153" s="918">
        <f t="shared" si="102"/>
        <v>0</v>
      </c>
      <c r="AL153" s="919"/>
      <c r="AM153" s="917">
        <f t="shared" si="103"/>
        <v>0</v>
      </c>
      <c r="AN153" s="920">
        <v>19242</v>
      </c>
      <c r="AO153" s="917">
        <f t="shared" si="104"/>
        <v>1296</v>
      </c>
      <c r="AP153" s="920"/>
      <c r="AQ153" s="916">
        <f t="shared" si="105"/>
        <v>0</v>
      </c>
      <c r="AR153" s="917">
        <f t="shared" si="106"/>
        <v>38484</v>
      </c>
      <c r="AS153" s="916">
        <v>12</v>
      </c>
      <c r="AT153" s="921">
        <f t="shared" si="107"/>
        <v>461808</v>
      </c>
      <c r="AU153" s="920"/>
      <c r="AV153" s="922">
        <f t="shared" si="108"/>
        <v>4618.08</v>
      </c>
      <c r="AW153" s="921">
        <f t="shared" si="109"/>
        <v>466426.08</v>
      </c>
      <c r="AX153" s="921">
        <f t="shared" si="110"/>
        <v>140860.68</v>
      </c>
      <c r="AY153" s="921">
        <f t="shared" si="111"/>
        <v>607286.76</v>
      </c>
      <c r="AZ153" s="923">
        <f t="shared" si="112"/>
        <v>466.4</v>
      </c>
      <c r="BA153" s="923">
        <f t="shared" si="113"/>
        <v>140.9</v>
      </c>
      <c r="BB153" s="923">
        <f t="shared" si="114"/>
        <v>607.29999999999995</v>
      </c>
      <c r="BC153" s="915">
        <v>0.95</v>
      </c>
      <c r="BD153" s="923">
        <f t="shared" si="115"/>
        <v>443.1</v>
      </c>
      <c r="BE153" s="923">
        <f t="shared" si="116"/>
        <v>133.80000000000001</v>
      </c>
      <c r="BF153" s="923">
        <f t="shared" si="117"/>
        <v>576.9</v>
      </c>
      <c r="BG153" s="924">
        <f>'[3]свод (2024)'!$B$116</f>
        <v>0.99758349999999996</v>
      </c>
      <c r="BH153" s="923">
        <f t="shared" si="118"/>
        <v>442</v>
      </c>
      <c r="BI153" s="923">
        <f t="shared" si="119"/>
        <v>133.5</v>
      </c>
      <c r="BJ153" s="923">
        <f t="shared" si="120"/>
        <v>575.5</v>
      </c>
      <c r="BK153" s="925">
        <f t="shared" si="121"/>
        <v>-24.4</v>
      </c>
      <c r="BL153" s="925">
        <f t="shared" si="121"/>
        <v>-7.4</v>
      </c>
      <c r="BM153" s="925">
        <f t="shared" si="122"/>
        <v>-31.8</v>
      </c>
      <c r="BN153" s="925">
        <f t="shared" si="123"/>
        <v>0</v>
      </c>
      <c r="BO153" s="925">
        <f t="shared" si="124"/>
        <v>0</v>
      </c>
      <c r="BP153" s="926"/>
      <c r="BQ153" s="925">
        <f t="shared" si="125"/>
        <v>442</v>
      </c>
      <c r="BR153" s="925">
        <f t="shared" si="125"/>
        <v>133.5</v>
      </c>
      <c r="BS153" s="925">
        <f t="shared" si="126"/>
        <v>575.5</v>
      </c>
      <c r="BU153" s="928"/>
      <c r="BV153" s="917"/>
      <c r="BW153" s="928"/>
      <c r="BX153" s="928"/>
      <c r="BY153" s="928"/>
      <c r="BZ153" s="917"/>
      <c r="CA153" s="928"/>
      <c r="CB153" s="917"/>
      <c r="CC153" s="928"/>
      <c r="CD153" s="928"/>
      <c r="CE153" s="928"/>
      <c r="CF153" s="929"/>
      <c r="CG153" s="928"/>
      <c r="CH153" s="928"/>
      <c r="CI153" s="928"/>
      <c r="CJ153" s="925"/>
      <c r="CK153" s="925"/>
      <c r="CL153" s="925"/>
      <c r="CM153" s="925"/>
      <c r="CN153" s="925"/>
      <c r="CO153" s="925"/>
      <c r="CP153" s="925"/>
      <c r="CQ153" s="925"/>
      <c r="CR153" s="925"/>
      <c r="CS153" s="917"/>
      <c r="CT153" s="928"/>
      <c r="CU153" s="928"/>
      <c r="CV153" s="928"/>
      <c r="CX153" s="925"/>
      <c r="CY153" s="925"/>
      <c r="CZ153" s="925"/>
      <c r="DB153" s="925"/>
      <c r="DC153" s="925"/>
      <c r="DD153" s="925"/>
      <c r="DE153" s="925"/>
      <c r="DF153" s="925"/>
      <c r="DG153" s="925"/>
      <c r="DH153" s="925"/>
      <c r="DI153" s="925"/>
      <c r="DJ153" s="925"/>
      <c r="DK153" s="925"/>
      <c r="DL153" s="925"/>
      <c r="DM153" s="925"/>
      <c r="DN153" s="925"/>
      <c r="DO153" s="925"/>
      <c r="DP153" s="925"/>
      <c r="DQ153" s="924"/>
      <c r="DR153" s="925"/>
      <c r="DS153" s="925"/>
      <c r="DT153" s="925"/>
      <c r="DV153" s="925"/>
      <c r="DW153" s="925"/>
      <c r="DX153" s="925"/>
      <c r="DY153" s="925"/>
      <c r="DZ153" s="925"/>
      <c r="EA153" s="925"/>
      <c r="EB153" s="925"/>
      <c r="EC153" s="925"/>
      <c r="ED153" s="925"/>
      <c r="EE153" s="925"/>
      <c r="EF153" s="925"/>
      <c r="EG153" s="925"/>
      <c r="EH153" s="925"/>
      <c r="EI153" s="925"/>
      <c r="EJ153" s="925"/>
      <c r="EK153" s="925"/>
      <c r="EL153" s="925"/>
      <c r="EM153" s="925"/>
      <c r="EN153" s="925"/>
      <c r="EO153" s="925"/>
      <c r="EP153" s="925"/>
      <c r="EQ153" s="925"/>
      <c r="ER153" s="925"/>
      <c r="ES153" s="925"/>
      <c r="ET153" s="925"/>
      <c r="EV153" s="924"/>
      <c r="EW153" s="925"/>
      <c r="EX153" s="925"/>
      <c r="EY153" s="925"/>
    </row>
    <row r="154" spans="1:155" s="927" customFormat="1" ht="15.75" x14ac:dyDescent="0.25">
      <c r="A154" s="912" t="s">
        <v>360</v>
      </c>
      <c r="B154" s="913" t="s">
        <v>1408</v>
      </c>
      <c r="C154" s="914">
        <v>1</v>
      </c>
      <c r="D154" s="914">
        <v>4588</v>
      </c>
      <c r="E154" s="915">
        <v>1.0549999999999999</v>
      </c>
      <c r="F154" s="916">
        <f t="shared" si="81"/>
        <v>4841</v>
      </c>
      <c r="G154" s="915">
        <v>1.01</v>
      </c>
      <c r="H154" s="916">
        <f t="shared" si="82"/>
        <v>4890</v>
      </c>
      <c r="I154" s="917">
        <f t="shared" si="83"/>
        <v>4890</v>
      </c>
      <c r="J154" s="918">
        <f t="shared" si="84"/>
        <v>0</v>
      </c>
      <c r="K154" s="919"/>
      <c r="L154" s="917">
        <f t="shared" si="85"/>
        <v>0</v>
      </c>
      <c r="M154" s="918">
        <f t="shared" si="86"/>
        <v>0</v>
      </c>
      <c r="N154" s="919"/>
      <c r="O154" s="917">
        <f t="shared" si="87"/>
        <v>0</v>
      </c>
      <c r="P154" s="918">
        <f t="shared" si="88"/>
        <v>0</v>
      </c>
      <c r="Q154" s="919"/>
      <c r="R154" s="917">
        <f t="shared" si="89"/>
        <v>0</v>
      </c>
      <c r="S154" s="918">
        <f t="shared" si="90"/>
        <v>0</v>
      </c>
      <c r="T154" s="919"/>
      <c r="U154" s="917">
        <f t="shared" si="91"/>
        <v>0</v>
      </c>
      <c r="V154" s="918">
        <f t="shared" si="92"/>
        <v>0</v>
      </c>
      <c r="W154" s="919"/>
      <c r="X154" s="917">
        <f t="shared" si="93"/>
        <v>0</v>
      </c>
      <c r="Y154" s="918">
        <f t="shared" si="94"/>
        <v>0</v>
      </c>
      <c r="Z154" s="919"/>
      <c r="AA154" s="917">
        <f t="shared" si="95"/>
        <v>0</v>
      </c>
      <c r="AB154" s="918">
        <f t="shared" si="96"/>
        <v>0</v>
      </c>
      <c r="AC154" s="919"/>
      <c r="AD154" s="917">
        <f t="shared" si="97"/>
        <v>0</v>
      </c>
      <c r="AE154" s="918">
        <f t="shared" si="98"/>
        <v>0</v>
      </c>
      <c r="AF154" s="919"/>
      <c r="AG154" s="917">
        <f t="shared" si="99"/>
        <v>0</v>
      </c>
      <c r="AH154" s="918">
        <f t="shared" si="100"/>
        <v>0</v>
      </c>
      <c r="AI154" s="919"/>
      <c r="AJ154" s="917">
        <f t="shared" si="101"/>
        <v>0</v>
      </c>
      <c r="AK154" s="918">
        <f t="shared" si="102"/>
        <v>0</v>
      </c>
      <c r="AL154" s="919"/>
      <c r="AM154" s="917">
        <f t="shared" si="103"/>
        <v>0</v>
      </c>
      <c r="AN154" s="920">
        <v>19242</v>
      </c>
      <c r="AO154" s="917">
        <f t="shared" si="104"/>
        <v>14352</v>
      </c>
      <c r="AP154" s="920"/>
      <c r="AQ154" s="916">
        <f t="shared" si="105"/>
        <v>0</v>
      </c>
      <c r="AR154" s="917">
        <f t="shared" si="106"/>
        <v>19242</v>
      </c>
      <c r="AS154" s="916">
        <v>12</v>
      </c>
      <c r="AT154" s="921">
        <f t="shared" si="107"/>
        <v>230904</v>
      </c>
      <c r="AU154" s="920"/>
      <c r="AV154" s="922">
        <f t="shared" si="108"/>
        <v>2309.04</v>
      </c>
      <c r="AW154" s="921">
        <f t="shared" si="109"/>
        <v>233213.04</v>
      </c>
      <c r="AX154" s="921">
        <f t="shared" si="110"/>
        <v>70430.34</v>
      </c>
      <c r="AY154" s="921">
        <f t="shared" si="111"/>
        <v>303643.38</v>
      </c>
      <c r="AZ154" s="923">
        <f t="shared" si="112"/>
        <v>233.2</v>
      </c>
      <c r="BA154" s="923">
        <f t="shared" si="113"/>
        <v>70.400000000000006</v>
      </c>
      <c r="BB154" s="923">
        <f t="shared" si="114"/>
        <v>303.60000000000002</v>
      </c>
      <c r="BC154" s="915">
        <v>0.95</v>
      </c>
      <c r="BD154" s="923">
        <f t="shared" si="115"/>
        <v>221.5</v>
      </c>
      <c r="BE154" s="923">
        <f t="shared" si="116"/>
        <v>66.900000000000006</v>
      </c>
      <c r="BF154" s="923">
        <f t="shared" si="117"/>
        <v>288.39999999999998</v>
      </c>
      <c r="BG154" s="924">
        <f>'[3]свод (2024)'!$B$116</f>
        <v>0.99758349999999996</v>
      </c>
      <c r="BH154" s="923">
        <f t="shared" si="118"/>
        <v>221</v>
      </c>
      <c r="BI154" s="923">
        <f t="shared" si="119"/>
        <v>66.7</v>
      </c>
      <c r="BJ154" s="923">
        <f t="shared" si="120"/>
        <v>287.7</v>
      </c>
      <c r="BK154" s="925">
        <f t="shared" si="121"/>
        <v>-12.2</v>
      </c>
      <c r="BL154" s="925">
        <f t="shared" si="121"/>
        <v>-3.7</v>
      </c>
      <c r="BM154" s="925">
        <f t="shared" si="122"/>
        <v>-15.9</v>
      </c>
      <c r="BN154" s="925">
        <f t="shared" si="123"/>
        <v>0</v>
      </c>
      <c r="BO154" s="925">
        <f t="shared" si="124"/>
        <v>0</v>
      </c>
      <c r="BP154" s="926"/>
      <c r="BQ154" s="925">
        <f t="shared" si="125"/>
        <v>221</v>
      </c>
      <c r="BR154" s="925">
        <f t="shared" si="125"/>
        <v>66.7</v>
      </c>
      <c r="BS154" s="925">
        <f t="shared" si="126"/>
        <v>287.7</v>
      </c>
      <c r="BU154" s="928"/>
      <c r="BV154" s="917"/>
      <c r="BW154" s="928"/>
      <c r="BX154" s="928"/>
      <c r="BY154" s="928"/>
      <c r="BZ154" s="917"/>
      <c r="CA154" s="928"/>
      <c r="CB154" s="917"/>
      <c r="CC154" s="928"/>
      <c r="CD154" s="928"/>
      <c r="CE154" s="928"/>
      <c r="CF154" s="929"/>
      <c r="CG154" s="928"/>
      <c r="CH154" s="928"/>
      <c r="CI154" s="928"/>
      <c r="CJ154" s="925"/>
      <c r="CK154" s="925"/>
      <c r="CL154" s="925"/>
      <c r="CM154" s="925"/>
      <c r="CN154" s="925"/>
      <c r="CO154" s="925"/>
      <c r="CP154" s="925"/>
      <c r="CQ154" s="925"/>
      <c r="CR154" s="925"/>
      <c r="CS154" s="917"/>
      <c r="CT154" s="928"/>
      <c r="CU154" s="928"/>
      <c r="CV154" s="928"/>
      <c r="CX154" s="925"/>
      <c r="CY154" s="925"/>
      <c r="CZ154" s="925"/>
      <c r="DB154" s="925"/>
      <c r="DC154" s="925"/>
      <c r="DD154" s="925"/>
      <c r="DE154" s="925"/>
      <c r="DF154" s="925"/>
      <c r="DG154" s="925"/>
      <c r="DH154" s="925"/>
      <c r="DI154" s="925"/>
      <c r="DJ154" s="925"/>
      <c r="DK154" s="925"/>
      <c r="DL154" s="925"/>
      <c r="DM154" s="925"/>
      <c r="DN154" s="925"/>
      <c r="DO154" s="925"/>
      <c r="DP154" s="925"/>
      <c r="DQ154" s="924"/>
      <c r="DR154" s="925"/>
      <c r="DS154" s="925"/>
      <c r="DT154" s="925"/>
      <c r="DV154" s="925"/>
      <c r="DW154" s="925"/>
      <c r="DX154" s="925"/>
      <c r="DY154" s="925"/>
      <c r="DZ154" s="925"/>
      <c r="EA154" s="925"/>
      <c r="EB154" s="925"/>
      <c r="EC154" s="925"/>
      <c r="ED154" s="925"/>
      <c r="EE154" s="925"/>
      <c r="EF154" s="925"/>
      <c r="EG154" s="925"/>
      <c r="EH154" s="925"/>
      <c r="EI154" s="925"/>
      <c r="EJ154" s="925"/>
      <c r="EK154" s="925"/>
      <c r="EL154" s="925"/>
      <c r="EM154" s="925"/>
      <c r="EN154" s="925"/>
      <c r="EO154" s="925"/>
      <c r="EP154" s="925"/>
      <c r="EQ154" s="925"/>
      <c r="ER154" s="925"/>
      <c r="ES154" s="925"/>
      <c r="ET154" s="925"/>
      <c r="EV154" s="924"/>
      <c r="EW154" s="925"/>
      <c r="EX154" s="925"/>
      <c r="EY154" s="925"/>
    </row>
    <row r="155" spans="1:155" s="927" customFormat="1" ht="15.75" x14ac:dyDescent="0.25">
      <c r="A155" s="912" t="s">
        <v>360</v>
      </c>
      <c r="B155" s="913" t="s">
        <v>32</v>
      </c>
      <c r="C155" s="914">
        <v>1</v>
      </c>
      <c r="D155" s="914">
        <v>22544</v>
      </c>
      <c r="E155" s="915">
        <v>1.0549999999999999</v>
      </c>
      <c r="F155" s="916">
        <f t="shared" si="81"/>
        <v>23784</v>
      </c>
      <c r="G155" s="915">
        <v>1.01</v>
      </c>
      <c r="H155" s="916">
        <f t="shared" si="82"/>
        <v>24022</v>
      </c>
      <c r="I155" s="917">
        <f t="shared" si="83"/>
        <v>24022</v>
      </c>
      <c r="J155" s="918">
        <f t="shared" si="84"/>
        <v>0</v>
      </c>
      <c r="K155" s="919"/>
      <c r="L155" s="917">
        <f t="shared" si="85"/>
        <v>0</v>
      </c>
      <c r="M155" s="918">
        <f t="shared" si="86"/>
        <v>0</v>
      </c>
      <c r="N155" s="919"/>
      <c r="O155" s="917">
        <f t="shared" si="87"/>
        <v>0</v>
      </c>
      <c r="P155" s="918">
        <f t="shared" si="88"/>
        <v>0</v>
      </c>
      <c r="Q155" s="919"/>
      <c r="R155" s="917">
        <f t="shared" si="89"/>
        <v>0</v>
      </c>
      <c r="S155" s="918">
        <f t="shared" si="90"/>
        <v>0</v>
      </c>
      <c r="T155" s="919"/>
      <c r="U155" s="917">
        <f t="shared" si="91"/>
        <v>0</v>
      </c>
      <c r="V155" s="918">
        <f t="shared" si="92"/>
        <v>0</v>
      </c>
      <c r="W155" s="919"/>
      <c r="X155" s="917">
        <f t="shared" si="93"/>
        <v>0</v>
      </c>
      <c r="Y155" s="918">
        <f t="shared" si="94"/>
        <v>0</v>
      </c>
      <c r="Z155" s="919"/>
      <c r="AA155" s="917">
        <f t="shared" si="95"/>
        <v>0</v>
      </c>
      <c r="AB155" s="918">
        <f t="shared" si="96"/>
        <v>0.2</v>
      </c>
      <c r="AC155" s="919">
        <v>4508.8</v>
      </c>
      <c r="AD155" s="917">
        <f t="shared" si="97"/>
        <v>4804.3999999999996</v>
      </c>
      <c r="AE155" s="918">
        <f t="shared" si="98"/>
        <v>0</v>
      </c>
      <c r="AF155" s="919"/>
      <c r="AG155" s="917">
        <f t="shared" si="99"/>
        <v>0</v>
      </c>
      <c r="AH155" s="918">
        <f t="shared" si="100"/>
        <v>0</v>
      </c>
      <c r="AI155" s="919"/>
      <c r="AJ155" s="917">
        <f t="shared" si="101"/>
        <v>0</v>
      </c>
      <c r="AK155" s="918">
        <f t="shared" si="102"/>
        <v>0</v>
      </c>
      <c r="AL155" s="919"/>
      <c r="AM155" s="917">
        <f t="shared" si="103"/>
        <v>0</v>
      </c>
      <c r="AN155" s="920">
        <v>19242</v>
      </c>
      <c r="AO155" s="917">
        <f t="shared" si="104"/>
        <v>0</v>
      </c>
      <c r="AP155" s="920"/>
      <c r="AQ155" s="916">
        <f t="shared" si="105"/>
        <v>0</v>
      </c>
      <c r="AR155" s="917">
        <f t="shared" si="106"/>
        <v>28826.400000000001</v>
      </c>
      <c r="AS155" s="916">
        <v>12</v>
      </c>
      <c r="AT155" s="921">
        <f t="shared" si="107"/>
        <v>345916.8</v>
      </c>
      <c r="AU155" s="920"/>
      <c r="AV155" s="922">
        <f t="shared" si="108"/>
        <v>3459.17</v>
      </c>
      <c r="AW155" s="921">
        <f t="shared" si="109"/>
        <v>349375.97</v>
      </c>
      <c r="AX155" s="921">
        <f t="shared" si="110"/>
        <v>105511.54</v>
      </c>
      <c r="AY155" s="921">
        <f t="shared" si="111"/>
        <v>454887.51</v>
      </c>
      <c r="AZ155" s="923">
        <f t="shared" si="112"/>
        <v>349.4</v>
      </c>
      <c r="BA155" s="923">
        <f t="shared" si="113"/>
        <v>105.5</v>
      </c>
      <c r="BB155" s="923">
        <f t="shared" si="114"/>
        <v>454.9</v>
      </c>
      <c r="BC155" s="915">
        <v>0.95</v>
      </c>
      <c r="BD155" s="923">
        <f t="shared" si="115"/>
        <v>331.9</v>
      </c>
      <c r="BE155" s="923">
        <f t="shared" si="116"/>
        <v>100.2</v>
      </c>
      <c r="BF155" s="923">
        <f t="shared" si="117"/>
        <v>432.1</v>
      </c>
      <c r="BG155" s="924">
        <f>'[3]свод (2024)'!$B$116</f>
        <v>0.99758349999999996</v>
      </c>
      <c r="BH155" s="923">
        <f t="shared" si="118"/>
        <v>331.1</v>
      </c>
      <c r="BI155" s="923">
        <f t="shared" si="119"/>
        <v>100</v>
      </c>
      <c r="BJ155" s="923">
        <f t="shared" si="120"/>
        <v>431.1</v>
      </c>
      <c r="BK155" s="925">
        <f t="shared" si="121"/>
        <v>-18.3</v>
      </c>
      <c r="BL155" s="925">
        <f t="shared" si="121"/>
        <v>-5.5</v>
      </c>
      <c r="BM155" s="925">
        <f t="shared" si="122"/>
        <v>-23.8</v>
      </c>
      <c r="BN155" s="925">
        <f t="shared" si="123"/>
        <v>0</v>
      </c>
      <c r="BO155" s="925">
        <f t="shared" si="124"/>
        <v>0</v>
      </c>
      <c r="BP155" s="926"/>
      <c r="BQ155" s="925">
        <f t="shared" si="125"/>
        <v>331.1</v>
      </c>
      <c r="BR155" s="925">
        <f t="shared" si="125"/>
        <v>100</v>
      </c>
      <c r="BS155" s="925">
        <f t="shared" si="126"/>
        <v>431.1</v>
      </c>
      <c r="BU155" s="928"/>
      <c r="BV155" s="917"/>
      <c r="BW155" s="928"/>
      <c r="BX155" s="928"/>
      <c r="BY155" s="928"/>
      <c r="BZ155" s="917"/>
      <c r="CA155" s="928"/>
      <c r="CB155" s="917"/>
      <c r="CC155" s="928"/>
      <c r="CD155" s="928"/>
      <c r="CE155" s="928"/>
      <c r="CF155" s="929"/>
      <c r="CG155" s="928"/>
      <c r="CH155" s="928"/>
      <c r="CI155" s="928"/>
      <c r="CJ155" s="925"/>
      <c r="CK155" s="925"/>
      <c r="CL155" s="925"/>
      <c r="CM155" s="925"/>
      <c r="CN155" s="925"/>
      <c r="CO155" s="925"/>
      <c r="CP155" s="925"/>
      <c r="CQ155" s="925"/>
      <c r="CR155" s="925"/>
      <c r="CS155" s="917"/>
      <c r="CT155" s="928"/>
      <c r="CU155" s="928"/>
      <c r="CV155" s="928"/>
      <c r="CX155" s="925"/>
      <c r="CY155" s="925"/>
      <c r="CZ155" s="925"/>
      <c r="DB155" s="925"/>
      <c r="DC155" s="925"/>
      <c r="DD155" s="925"/>
      <c r="DE155" s="925"/>
      <c r="DF155" s="925"/>
      <c r="DG155" s="925"/>
      <c r="DH155" s="925"/>
      <c r="DI155" s="925"/>
      <c r="DJ155" s="925"/>
      <c r="DK155" s="925"/>
      <c r="DL155" s="925"/>
      <c r="DM155" s="925"/>
      <c r="DN155" s="925"/>
      <c r="DO155" s="925"/>
      <c r="DP155" s="925"/>
      <c r="DQ155" s="924"/>
      <c r="DR155" s="925"/>
      <c r="DS155" s="925"/>
      <c r="DT155" s="925"/>
      <c r="DV155" s="925"/>
      <c r="DW155" s="925"/>
      <c r="DX155" s="925"/>
      <c r="DY155" s="925"/>
      <c r="DZ155" s="925"/>
      <c r="EA155" s="925"/>
      <c r="EB155" s="925"/>
      <c r="EC155" s="925"/>
      <c r="ED155" s="925"/>
      <c r="EE155" s="925"/>
      <c r="EF155" s="925"/>
      <c r="EG155" s="925"/>
      <c r="EH155" s="925"/>
      <c r="EI155" s="925"/>
      <c r="EJ155" s="925"/>
      <c r="EK155" s="925"/>
      <c r="EL155" s="925"/>
      <c r="EM155" s="925"/>
      <c r="EN155" s="925"/>
      <c r="EO155" s="925"/>
      <c r="EP155" s="925"/>
      <c r="EQ155" s="925"/>
      <c r="ER155" s="925"/>
      <c r="ES155" s="925"/>
      <c r="ET155" s="925"/>
      <c r="EV155" s="924"/>
      <c r="EW155" s="925"/>
      <c r="EX155" s="925"/>
      <c r="EY155" s="925"/>
    </row>
    <row r="156" spans="1:155" s="927" customFormat="1" ht="15.75" x14ac:dyDescent="0.25">
      <c r="A156" s="912" t="s">
        <v>360</v>
      </c>
      <c r="B156" s="913" t="s">
        <v>1379</v>
      </c>
      <c r="C156" s="914">
        <v>1</v>
      </c>
      <c r="D156" s="914">
        <v>4336</v>
      </c>
      <c r="E156" s="915">
        <v>1.0549999999999999</v>
      </c>
      <c r="F156" s="916">
        <f t="shared" si="81"/>
        <v>4575</v>
      </c>
      <c r="G156" s="915">
        <v>1.01</v>
      </c>
      <c r="H156" s="916">
        <f t="shared" si="82"/>
        <v>4621</v>
      </c>
      <c r="I156" s="917">
        <f t="shared" si="83"/>
        <v>4621</v>
      </c>
      <c r="J156" s="918">
        <f t="shared" si="84"/>
        <v>0</v>
      </c>
      <c r="K156" s="919"/>
      <c r="L156" s="917">
        <f t="shared" si="85"/>
        <v>0</v>
      </c>
      <c r="M156" s="918">
        <f t="shared" si="86"/>
        <v>0</v>
      </c>
      <c r="N156" s="919"/>
      <c r="O156" s="917">
        <f t="shared" si="87"/>
        <v>0</v>
      </c>
      <c r="P156" s="918">
        <f t="shared" si="88"/>
        <v>0</v>
      </c>
      <c r="Q156" s="919"/>
      <c r="R156" s="917">
        <f t="shared" si="89"/>
        <v>0</v>
      </c>
      <c r="S156" s="918">
        <f t="shared" si="90"/>
        <v>0</v>
      </c>
      <c r="T156" s="919"/>
      <c r="U156" s="917">
        <f t="shared" si="91"/>
        <v>0</v>
      </c>
      <c r="V156" s="918">
        <f t="shared" si="92"/>
        <v>0</v>
      </c>
      <c r="W156" s="919"/>
      <c r="X156" s="917">
        <f t="shared" si="93"/>
        <v>0</v>
      </c>
      <c r="Y156" s="918">
        <f t="shared" si="94"/>
        <v>0</v>
      </c>
      <c r="Z156" s="919"/>
      <c r="AA156" s="917">
        <f t="shared" si="95"/>
        <v>0</v>
      </c>
      <c r="AB156" s="918">
        <f t="shared" si="96"/>
        <v>0</v>
      </c>
      <c r="AC156" s="919"/>
      <c r="AD156" s="917">
        <f t="shared" si="97"/>
        <v>0</v>
      </c>
      <c r="AE156" s="918">
        <f t="shared" si="98"/>
        <v>0</v>
      </c>
      <c r="AF156" s="919"/>
      <c r="AG156" s="917">
        <f t="shared" si="99"/>
        <v>0</v>
      </c>
      <c r="AH156" s="918">
        <f t="shared" si="100"/>
        <v>0</v>
      </c>
      <c r="AI156" s="919"/>
      <c r="AJ156" s="917">
        <f t="shared" si="101"/>
        <v>0</v>
      </c>
      <c r="AK156" s="918">
        <f t="shared" si="102"/>
        <v>0</v>
      </c>
      <c r="AL156" s="919"/>
      <c r="AM156" s="917">
        <f t="shared" si="103"/>
        <v>0</v>
      </c>
      <c r="AN156" s="920">
        <v>19242</v>
      </c>
      <c r="AO156" s="917">
        <f t="shared" si="104"/>
        <v>14621</v>
      </c>
      <c r="AP156" s="920"/>
      <c r="AQ156" s="916">
        <f t="shared" si="105"/>
        <v>0</v>
      </c>
      <c r="AR156" s="917">
        <f t="shared" si="106"/>
        <v>19242</v>
      </c>
      <c r="AS156" s="916">
        <v>12</v>
      </c>
      <c r="AT156" s="921">
        <f t="shared" si="107"/>
        <v>230904</v>
      </c>
      <c r="AU156" s="920">
        <f>AT156*0.085</f>
        <v>19626.84</v>
      </c>
      <c r="AV156" s="922">
        <f t="shared" si="108"/>
        <v>2309.04</v>
      </c>
      <c r="AW156" s="921">
        <f t="shared" si="109"/>
        <v>252839.88</v>
      </c>
      <c r="AX156" s="921">
        <f t="shared" si="110"/>
        <v>76357.64</v>
      </c>
      <c r="AY156" s="921">
        <f t="shared" si="111"/>
        <v>329197.52</v>
      </c>
      <c r="AZ156" s="923">
        <f t="shared" si="112"/>
        <v>252.8</v>
      </c>
      <c r="BA156" s="923">
        <f t="shared" si="113"/>
        <v>76.3</v>
      </c>
      <c r="BB156" s="923">
        <f t="shared" si="114"/>
        <v>329.1</v>
      </c>
      <c r="BC156" s="915">
        <v>0.95</v>
      </c>
      <c r="BD156" s="923">
        <f t="shared" si="115"/>
        <v>240.2</v>
      </c>
      <c r="BE156" s="923">
        <f t="shared" si="116"/>
        <v>72.5</v>
      </c>
      <c r="BF156" s="923">
        <f t="shared" si="117"/>
        <v>312.7</v>
      </c>
      <c r="BG156" s="924">
        <f>'[3]свод (2024)'!$B$116</f>
        <v>0.99758349999999996</v>
      </c>
      <c r="BH156" s="923">
        <f t="shared" si="118"/>
        <v>239.6</v>
      </c>
      <c r="BI156" s="923">
        <f t="shared" si="119"/>
        <v>72.400000000000006</v>
      </c>
      <c r="BJ156" s="923">
        <f t="shared" si="120"/>
        <v>312</v>
      </c>
      <c r="BK156" s="925">
        <f t="shared" si="121"/>
        <v>-13.2</v>
      </c>
      <c r="BL156" s="925">
        <f t="shared" si="121"/>
        <v>-3.9</v>
      </c>
      <c r="BM156" s="925">
        <f t="shared" si="122"/>
        <v>-17.100000000000001</v>
      </c>
      <c r="BN156" s="925">
        <f t="shared" si="123"/>
        <v>0</v>
      </c>
      <c r="BO156" s="925">
        <f t="shared" si="124"/>
        <v>0</v>
      </c>
      <c r="BP156" s="926"/>
      <c r="BQ156" s="925">
        <f t="shared" si="125"/>
        <v>239.6</v>
      </c>
      <c r="BR156" s="925">
        <f t="shared" si="125"/>
        <v>72.400000000000006</v>
      </c>
      <c r="BS156" s="925">
        <f t="shared" si="126"/>
        <v>312</v>
      </c>
      <c r="BU156" s="928"/>
      <c r="BV156" s="917"/>
      <c r="BW156" s="928"/>
      <c r="BX156" s="928"/>
      <c r="BY156" s="928"/>
      <c r="BZ156" s="917"/>
      <c r="CA156" s="928"/>
      <c r="CB156" s="917"/>
      <c r="CC156" s="928"/>
      <c r="CD156" s="928"/>
      <c r="CE156" s="928"/>
      <c r="CF156" s="929"/>
      <c r="CG156" s="928"/>
      <c r="CH156" s="928"/>
      <c r="CI156" s="928"/>
      <c r="CJ156" s="925"/>
      <c r="CK156" s="925"/>
      <c r="CL156" s="925"/>
      <c r="CM156" s="925"/>
      <c r="CN156" s="925"/>
      <c r="CO156" s="925"/>
      <c r="CP156" s="925"/>
      <c r="CQ156" s="925"/>
      <c r="CR156" s="925"/>
      <c r="CS156" s="917"/>
      <c r="CT156" s="928"/>
      <c r="CU156" s="928"/>
      <c r="CV156" s="928"/>
      <c r="CX156" s="925"/>
      <c r="CY156" s="925"/>
      <c r="CZ156" s="925"/>
      <c r="DB156" s="925"/>
      <c r="DC156" s="925"/>
      <c r="DD156" s="925"/>
      <c r="DE156" s="925"/>
      <c r="DF156" s="925"/>
      <c r="DG156" s="925"/>
      <c r="DH156" s="925"/>
      <c r="DI156" s="925"/>
      <c r="DJ156" s="925"/>
      <c r="DK156" s="925"/>
      <c r="DL156" s="925"/>
      <c r="DM156" s="925"/>
      <c r="DN156" s="925"/>
      <c r="DO156" s="925"/>
      <c r="DP156" s="925"/>
      <c r="DQ156" s="924"/>
      <c r="DR156" s="925"/>
      <c r="DS156" s="925"/>
      <c r="DT156" s="925"/>
      <c r="DV156" s="925"/>
      <c r="DW156" s="925"/>
      <c r="DX156" s="925"/>
      <c r="DY156" s="925"/>
      <c r="DZ156" s="925"/>
      <c r="EA156" s="925"/>
      <c r="EB156" s="925"/>
      <c r="EC156" s="925"/>
      <c r="ED156" s="925"/>
      <c r="EE156" s="925"/>
      <c r="EF156" s="925"/>
      <c r="EG156" s="925"/>
      <c r="EH156" s="925"/>
      <c r="EI156" s="925"/>
      <c r="EJ156" s="925"/>
      <c r="EK156" s="925"/>
      <c r="EL156" s="925"/>
      <c r="EM156" s="925"/>
      <c r="EN156" s="925"/>
      <c r="EO156" s="925"/>
      <c r="EP156" s="925"/>
      <c r="EQ156" s="925"/>
      <c r="ER156" s="925"/>
      <c r="ES156" s="925"/>
      <c r="ET156" s="925"/>
      <c r="EV156" s="924"/>
      <c r="EW156" s="925"/>
      <c r="EX156" s="925"/>
      <c r="EY156" s="925"/>
    </row>
    <row r="157" spans="1:155" s="927" customFormat="1" ht="15.75" x14ac:dyDescent="0.25">
      <c r="A157" s="912" t="s">
        <v>360</v>
      </c>
      <c r="B157" s="913" t="s">
        <v>358</v>
      </c>
      <c r="C157" s="914">
        <v>0.5</v>
      </c>
      <c r="D157" s="914">
        <v>5274</v>
      </c>
      <c r="E157" s="915">
        <v>1.0549999999999999</v>
      </c>
      <c r="F157" s="916">
        <f t="shared" si="81"/>
        <v>5565</v>
      </c>
      <c r="G157" s="915">
        <v>1.01</v>
      </c>
      <c r="H157" s="916">
        <f t="shared" si="82"/>
        <v>5621</v>
      </c>
      <c r="I157" s="917">
        <f t="shared" si="83"/>
        <v>2810.5</v>
      </c>
      <c r="J157" s="918">
        <f t="shared" si="84"/>
        <v>0</v>
      </c>
      <c r="K157" s="919"/>
      <c r="L157" s="917">
        <f t="shared" si="85"/>
        <v>0</v>
      </c>
      <c r="M157" s="918">
        <f t="shared" si="86"/>
        <v>0</v>
      </c>
      <c r="N157" s="919"/>
      <c r="O157" s="917">
        <f t="shared" si="87"/>
        <v>0</v>
      </c>
      <c r="P157" s="918">
        <f t="shared" si="88"/>
        <v>0</v>
      </c>
      <c r="Q157" s="919"/>
      <c r="R157" s="917">
        <f t="shared" si="89"/>
        <v>0</v>
      </c>
      <c r="S157" s="918">
        <f t="shared" si="90"/>
        <v>0</v>
      </c>
      <c r="T157" s="919"/>
      <c r="U157" s="917">
        <f t="shared" si="91"/>
        <v>0</v>
      </c>
      <c r="V157" s="918">
        <f t="shared" si="92"/>
        <v>0</v>
      </c>
      <c r="W157" s="919"/>
      <c r="X157" s="917">
        <f t="shared" si="93"/>
        <v>0</v>
      </c>
      <c r="Y157" s="918">
        <f t="shared" si="94"/>
        <v>0</v>
      </c>
      <c r="Z157" s="919"/>
      <c r="AA157" s="917">
        <f t="shared" si="95"/>
        <v>0</v>
      </c>
      <c r="AB157" s="918">
        <f t="shared" si="96"/>
        <v>0</v>
      </c>
      <c r="AC157" s="919"/>
      <c r="AD157" s="917">
        <f t="shared" si="97"/>
        <v>0</v>
      </c>
      <c r="AE157" s="918">
        <f t="shared" si="98"/>
        <v>0</v>
      </c>
      <c r="AF157" s="919"/>
      <c r="AG157" s="917">
        <f t="shared" si="99"/>
        <v>0</v>
      </c>
      <c r="AH157" s="918">
        <f t="shared" si="100"/>
        <v>0</v>
      </c>
      <c r="AI157" s="919"/>
      <c r="AJ157" s="917">
        <f t="shared" si="101"/>
        <v>0</v>
      </c>
      <c r="AK157" s="918">
        <f t="shared" si="102"/>
        <v>0</v>
      </c>
      <c r="AL157" s="919"/>
      <c r="AM157" s="917">
        <f t="shared" si="103"/>
        <v>0</v>
      </c>
      <c r="AN157" s="920">
        <v>19242</v>
      </c>
      <c r="AO157" s="917">
        <f t="shared" si="104"/>
        <v>6810.5</v>
      </c>
      <c r="AP157" s="920"/>
      <c r="AQ157" s="916">
        <f t="shared" si="105"/>
        <v>0</v>
      </c>
      <c r="AR157" s="917">
        <f t="shared" si="106"/>
        <v>9621</v>
      </c>
      <c r="AS157" s="916">
        <v>12</v>
      </c>
      <c r="AT157" s="921">
        <f t="shared" si="107"/>
        <v>115452</v>
      </c>
      <c r="AU157" s="920"/>
      <c r="AV157" s="922">
        <f t="shared" si="108"/>
        <v>1154.52</v>
      </c>
      <c r="AW157" s="921">
        <f t="shared" si="109"/>
        <v>116606.52</v>
      </c>
      <c r="AX157" s="921">
        <f t="shared" si="110"/>
        <v>35215.17</v>
      </c>
      <c r="AY157" s="921">
        <f t="shared" si="111"/>
        <v>151821.69</v>
      </c>
      <c r="AZ157" s="923">
        <f t="shared" si="112"/>
        <v>116.6</v>
      </c>
      <c r="BA157" s="923">
        <f t="shared" si="113"/>
        <v>35.200000000000003</v>
      </c>
      <c r="BB157" s="923">
        <f t="shared" si="114"/>
        <v>151.80000000000001</v>
      </c>
      <c r="BC157" s="915">
        <v>0.95</v>
      </c>
      <c r="BD157" s="923">
        <f t="shared" si="115"/>
        <v>110.8</v>
      </c>
      <c r="BE157" s="923">
        <f t="shared" si="116"/>
        <v>33.5</v>
      </c>
      <c r="BF157" s="923">
        <f t="shared" si="117"/>
        <v>144.30000000000001</v>
      </c>
      <c r="BG157" s="924">
        <f>'[3]свод (2024)'!$B$116</f>
        <v>0.99758349999999996</v>
      </c>
      <c r="BH157" s="923">
        <f t="shared" si="118"/>
        <v>110.5</v>
      </c>
      <c r="BI157" s="923">
        <f t="shared" si="119"/>
        <v>33.4</v>
      </c>
      <c r="BJ157" s="923">
        <f t="shared" si="120"/>
        <v>143.9</v>
      </c>
      <c r="BK157" s="925">
        <f t="shared" si="121"/>
        <v>-6.1</v>
      </c>
      <c r="BL157" s="925">
        <f t="shared" si="121"/>
        <v>-1.8</v>
      </c>
      <c r="BM157" s="925">
        <f t="shared" si="122"/>
        <v>-7.9</v>
      </c>
      <c r="BN157" s="925">
        <f t="shared" si="123"/>
        <v>0</v>
      </c>
      <c r="BO157" s="925">
        <f t="shared" si="124"/>
        <v>0</v>
      </c>
      <c r="BP157" s="926"/>
      <c r="BQ157" s="925">
        <f t="shared" si="125"/>
        <v>110.5</v>
      </c>
      <c r="BR157" s="925">
        <f t="shared" si="125"/>
        <v>33.4</v>
      </c>
      <c r="BS157" s="925">
        <f t="shared" si="126"/>
        <v>143.9</v>
      </c>
      <c r="BU157" s="928"/>
      <c r="BV157" s="917"/>
      <c r="BW157" s="928"/>
      <c r="BX157" s="928"/>
      <c r="BY157" s="928"/>
      <c r="BZ157" s="917"/>
      <c r="CA157" s="928"/>
      <c r="CB157" s="917"/>
      <c r="CC157" s="928"/>
      <c r="CD157" s="928"/>
      <c r="CE157" s="928"/>
      <c r="CF157" s="929"/>
      <c r="CG157" s="928"/>
      <c r="CH157" s="928"/>
      <c r="CI157" s="928"/>
      <c r="CJ157" s="925"/>
      <c r="CK157" s="925"/>
      <c r="CL157" s="925"/>
      <c r="CM157" s="925"/>
      <c r="CN157" s="925"/>
      <c r="CO157" s="925"/>
      <c r="CP157" s="925"/>
      <c r="CQ157" s="925"/>
      <c r="CR157" s="925"/>
      <c r="CS157" s="917"/>
      <c r="CT157" s="928"/>
      <c r="CU157" s="928"/>
      <c r="CV157" s="928"/>
      <c r="CX157" s="925"/>
      <c r="CY157" s="925"/>
      <c r="CZ157" s="925"/>
      <c r="DB157" s="925"/>
      <c r="DC157" s="925"/>
      <c r="DD157" s="925"/>
      <c r="DE157" s="925"/>
      <c r="DF157" s="925"/>
      <c r="DG157" s="925"/>
      <c r="DH157" s="925"/>
      <c r="DI157" s="925"/>
      <c r="DJ157" s="925"/>
      <c r="DK157" s="925"/>
      <c r="DL157" s="925"/>
      <c r="DM157" s="925"/>
      <c r="DN157" s="925"/>
      <c r="DO157" s="925"/>
      <c r="DP157" s="925"/>
      <c r="DQ157" s="924"/>
      <c r="DR157" s="925"/>
      <c r="DS157" s="925"/>
      <c r="DT157" s="925"/>
      <c r="DV157" s="925"/>
      <c r="DW157" s="925"/>
      <c r="DX157" s="925"/>
      <c r="DY157" s="925"/>
      <c r="DZ157" s="925"/>
      <c r="EA157" s="925"/>
      <c r="EB157" s="925"/>
      <c r="EC157" s="925"/>
      <c r="ED157" s="925"/>
      <c r="EE157" s="925"/>
      <c r="EF157" s="925"/>
      <c r="EG157" s="925"/>
      <c r="EH157" s="925"/>
      <c r="EI157" s="925"/>
      <c r="EJ157" s="925"/>
      <c r="EK157" s="925"/>
      <c r="EL157" s="925"/>
      <c r="EM157" s="925"/>
      <c r="EN157" s="925"/>
      <c r="EO157" s="925"/>
      <c r="EP157" s="925"/>
      <c r="EQ157" s="925"/>
      <c r="ER157" s="925"/>
      <c r="ES157" s="925"/>
      <c r="ET157" s="925"/>
      <c r="EV157" s="924"/>
      <c r="EW157" s="925"/>
      <c r="EX157" s="925"/>
      <c r="EY157" s="925"/>
    </row>
    <row r="158" spans="1:155" s="927" customFormat="1" ht="15.75" x14ac:dyDescent="0.25">
      <c r="A158" s="912" t="s">
        <v>360</v>
      </c>
      <c r="B158" s="913" t="s">
        <v>1380</v>
      </c>
      <c r="C158" s="914">
        <v>1</v>
      </c>
      <c r="D158" s="914">
        <v>25048</v>
      </c>
      <c r="E158" s="915">
        <v>1.0549999999999999</v>
      </c>
      <c r="F158" s="916">
        <f t="shared" si="81"/>
        <v>26426</v>
      </c>
      <c r="G158" s="915">
        <v>1.01</v>
      </c>
      <c r="H158" s="916">
        <f t="shared" si="82"/>
        <v>26691</v>
      </c>
      <c r="I158" s="917">
        <f t="shared" si="83"/>
        <v>26691</v>
      </c>
      <c r="J158" s="918">
        <f t="shared" si="84"/>
        <v>0</v>
      </c>
      <c r="K158" s="919"/>
      <c r="L158" s="917">
        <f t="shared" si="85"/>
        <v>0</v>
      </c>
      <c r="M158" s="918">
        <f t="shared" si="86"/>
        <v>0</v>
      </c>
      <c r="N158" s="919"/>
      <c r="O158" s="917">
        <f t="shared" si="87"/>
        <v>0</v>
      </c>
      <c r="P158" s="918">
        <f t="shared" si="88"/>
        <v>0</v>
      </c>
      <c r="Q158" s="919"/>
      <c r="R158" s="917">
        <f t="shared" si="89"/>
        <v>0</v>
      </c>
      <c r="S158" s="918">
        <f t="shared" si="90"/>
        <v>0.23068</v>
      </c>
      <c r="T158" s="919">
        <v>5778.08</v>
      </c>
      <c r="U158" s="917">
        <f t="shared" si="91"/>
        <v>6157.08</v>
      </c>
      <c r="V158" s="918">
        <f t="shared" si="92"/>
        <v>0</v>
      </c>
      <c r="W158" s="919"/>
      <c r="X158" s="917">
        <f t="shared" si="93"/>
        <v>0</v>
      </c>
      <c r="Y158" s="918">
        <f t="shared" si="94"/>
        <v>0.24</v>
      </c>
      <c r="Z158" s="919">
        <v>6011.52</v>
      </c>
      <c r="AA158" s="917">
        <f t="shared" si="95"/>
        <v>6405.84</v>
      </c>
      <c r="AB158" s="918">
        <f t="shared" si="96"/>
        <v>0.1</v>
      </c>
      <c r="AC158" s="919">
        <v>2504.8000000000002</v>
      </c>
      <c r="AD158" s="917">
        <f t="shared" si="97"/>
        <v>2669.1</v>
      </c>
      <c r="AE158" s="918">
        <f t="shared" si="98"/>
        <v>0</v>
      </c>
      <c r="AF158" s="919"/>
      <c r="AG158" s="917">
        <f t="shared" si="99"/>
        <v>0</v>
      </c>
      <c r="AH158" s="918">
        <f t="shared" si="100"/>
        <v>0</v>
      </c>
      <c r="AI158" s="919"/>
      <c r="AJ158" s="917">
        <f t="shared" si="101"/>
        <v>0</v>
      </c>
      <c r="AK158" s="918">
        <f t="shared" si="102"/>
        <v>0</v>
      </c>
      <c r="AL158" s="919"/>
      <c r="AM158" s="917">
        <f t="shared" si="103"/>
        <v>0</v>
      </c>
      <c r="AN158" s="920">
        <v>19242</v>
      </c>
      <c r="AO158" s="917">
        <f t="shared" si="104"/>
        <v>0</v>
      </c>
      <c r="AP158" s="920"/>
      <c r="AQ158" s="916">
        <f t="shared" si="105"/>
        <v>0</v>
      </c>
      <c r="AR158" s="917">
        <f t="shared" si="106"/>
        <v>41923.019999999997</v>
      </c>
      <c r="AS158" s="916">
        <v>12</v>
      </c>
      <c r="AT158" s="921">
        <f t="shared" si="107"/>
        <v>503076.24</v>
      </c>
      <c r="AU158" s="920"/>
      <c r="AV158" s="922">
        <f t="shared" si="108"/>
        <v>5030.76</v>
      </c>
      <c r="AW158" s="921">
        <f t="shared" si="109"/>
        <v>508107</v>
      </c>
      <c r="AX158" s="921">
        <f t="shared" si="110"/>
        <v>153448.31</v>
      </c>
      <c r="AY158" s="921">
        <f t="shared" si="111"/>
        <v>661555.31000000006</v>
      </c>
      <c r="AZ158" s="923">
        <f t="shared" si="112"/>
        <v>508.1</v>
      </c>
      <c r="BA158" s="923">
        <f t="shared" si="113"/>
        <v>153.4</v>
      </c>
      <c r="BB158" s="923">
        <f t="shared" si="114"/>
        <v>661.5</v>
      </c>
      <c r="BC158" s="915">
        <v>0.95</v>
      </c>
      <c r="BD158" s="923">
        <f t="shared" si="115"/>
        <v>482.7</v>
      </c>
      <c r="BE158" s="923">
        <f t="shared" si="116"/>
        <v>145.80000000000001</v>
      </c>
      <c r="BF158" s="923">
        <f t="shared" si="117"/>
        <v>628.5</v>
      </c>
      <c r="BG158" s="924">
        <f>'[3]свод (2024)'!$B$116</f>
        <v>0.99758349999999996</v>
      </c>
      <c r="BH158" s="923">
        <f t="shared" si="118"/>
        <v>481.5</v>
      </c>
      <c r="BI158" s="923">
        <f t="shared" si="119"/>
        <v>145.4</v>
      </c>
      <c r="BJ158" s="923">
        <f t="shared" si="120"/>
        <v>626.9</v>
      </c>
      <c r="BK158" s="925">
        <f t="shared" si="121"/>
        <v>-26.6</v>
      </c>
      <c r="BL158" s="925">
        <f t="shared" si="121"/>
        <v>-8</v>
      </c>
      <c r="BM158" s="925">
        <f t="shared" si="122"/>
        <v>-34.6</v>
      </c>
      <c r="BN158" s="925">
        <f t="shared" si="123"/>
        <v>0</v>
      </c>
      <c r="BO158" s="925">
        <f t="shared" si="124"/>
        <v>0</v>
      </c>
      <c r="BP158" s="926"/>
      <c r="BQ158" s="925">
        <f t="shared" si="125"/>
        <v>481.5</v>
      </c>
      <c r="BR158" s="925">
        <f t="shared" si="125"/>
        <v>145.4</v>
      </c>
      <c r="BS158" s="925">
        <f t="shared" si="126"/>
        <v>626.9</v>
      </c>
      <c r="BU158" s="928"/>
      <c r="BV158" s="917"/>
      <c r="BW158" s="928"/>
      <c r="BX158" s="928"/>
      <c r="BY158" s="928"/>
      <c r="BZ158" s="917"/>
      <c r="CA158" s="928"/>
      <c r="CB158" s="917"/>
      <c r="CC158" s="928"/>
      <c r="CD158" s="928"/>
      <c r="CE158" s="928"/>
      <c r="CF158" s="929"/>
      <c r="CG158" s="928"/>
      <c r="CH158" s="928"/>
      <c r="CI158" s="928"/>
      <c r="CJ158" s="925"/>
      <c r="CK158" s="925"/>
      <c r="CL158" s="925"/>
      <c r="CM158" s="925"/>
      <c r="CN158" s="925"/>
      <c r="CO158" s="925"/>
      <c r="CP158" s="925"/>
      <c r="CQ158" s="925"/>
      <c r="CR158" s="925"/>
      <c r="CS158" s="917"/>
      <c r="CT158" s="928"/>
      <c r="CU158" s="928"/>
      <c r="CV158" s="928"/>
      <c r="CX158" s="925"/>
      <c r="CY158" s="925"/>
      <c r="CZ158" s="925"/>
      <c r="DB158" s="925"/>
      <c r="DC158" s="925"/>
      <c r="DD158" s="925"/>
      <c r="DE158" s="925"/>
      <c r="DF158" s="925"/>
      <c r="DG158" s="925"/>
      <c r="DH158" s="925"/>
      <c r="DI158" s="925"/>
      <c r="DJ158" s="925"/>
      <c r="DK158" s="925"/>
      <c r="DL158" s="925"/>
      <c r="DM158" s="925"/>
      <c r="DN158" s="925"/>
      <c r="DO158" s="925"/>
      <c r="DP158" s="925"/>
      <c r="DQ158" s="924"/>
      <c r="DR158" s="925"/>
      <c r="DS158" s="925"/>
      <c r="DT158" s="925"/>
      <c r="DV158" s="925"/>
      <c r="DW158" s="925"/>
      <c r="DX158" s="925"/>
      <c r="DY158" s="925"/>
      <c r="DZ158" s="925"/>
      <c r="EA158" s="925"/>
      <c r="EB158" s="925"/>
      <c r="EC158" s="925"/>
      <c r="ED158" s="925"/>
      <c r="EE158" s="925"/>
      <c r="EF158" s="925"/>
      <c r="EG158" s="925"/>
      <c r="EH158" s="925"/>
      <c r="EI158" s="925"/>
      <c r="EJ158" s="925"/>
      <c r="EK158" s="925"/>
      <c r="EL158" s="925"/>
      <c r="EM158" s="925"/>
      <c r="EN158" s="925"/>
      <c r="EO158" s="925"/>
      <c r="EP158" s="925"/>
      <c r="EQ158" s="925"/>
      <c r="ER158" s="925"/>
      <c r="ES158" s="925"/>
      <c r="ET158" s="925"/>
      <c r="EV158" s="924"/>
      <c r="EW158" s="925"/>
      <c r="EX158" s="925"/>
      <c r="EY158" s="925"/>
    </row>
    <row r="159" spans="1:155" s="927" customFormat="1" ht="15.75" x14ac:dyDescent="0.25">
      <c r="A159" s="912" t="s">
        <v>360</v>
      </c>
      <c r="B159" s="913" t="s">
        <v>33</v>
      </c>
      <c r="C159" s="914">
        <v>4</v>
      </c>
      <c r="D159" s="914">
        <v>13466</v>
      </c>
      <c r="E159" s="915">
        <v>1.0549999999999999</v>
      </c>
      <c r="F159" s="916">
        <f t="shared" si="81"/>
        <v>14207</v>
      </c>
      <c r="G159" s="915">
        <v>1.01</v>
      </c>
      <c r="H159" s="916">
        <f t="shared" si="82"/>
        <v>14350</v>
      </c>
      <c r="I159" s="917">
        <f t="shared" si="83"/>
        <v>57400</v>
      </c>
      <c r="J159" s="918">
        <f t="shared" si="84"/>
        <v>0</v>
      </c>
      <c r="K159" s="919"/>
      <c r="L159" s="917">
        <f t="shared" si="85"/>
        <v>0</v>
      </c>
      <c r="M159" s="918">
        <f t="shared" si="86"/>
        <v>0</v>
      </c>
      <c r="N159" s="919"/>
      <c r="O159" s="917">
        <f t="shared" si="87"/>
        <v>0</v>
      </c>
      <c r="P159" s="918">
        <f t="shared" si="88"/>
        <v>0</v>
      </c>
      <c r="Q159" s="919"/>
      <c r="R159" s="917">
        <f t="shared" si="89"/>
        <v>0</v>
      </c>
      <c r="S159" s="918">
        <f t="shared" si="90"/>
        <v>0.1598</v>
      </c>
      <c r="T159" s="919">
        <v>8607.5</v>
      </c>
      <c r="U159" s="917">
        <f t="shared" si="91"/>
        <v>9172.52</v>
      </c>
      <c r="V159" s="918">
        <f t="shared" si="92"/>
        <v>0</v>
      </c>
      <c r="W159" s="919"/>
      <c r="X159" s="917">
        <f t="shared" si="93"/>
        <v>0</v>
      </c>
      <c r="Y159" s="918">
        <f t="shared" si="94"/>
        <v>0</v>
      </c>
      <c r="Z159" s="919"/>
      <c r="AA159" s="917">
        <f t="shared" si="95"/>
        <v>0</v>
      </c>
      <c r="AB159" s="918">
        <f t="shared" si="96"/>
        <v>0.18124999999999999</v>
      </c>
      <c r="AC159" s="919">
        <v>9762.85</v>
      </c>
      <c r="AD159" s="917">
        <f t="shared" si="97"/>
        <v>10403.75</v>
      </c>
      <c r="AE159" s="918">
        <f t="shared" si="98"/>
        <v>2.5000000000000001E-2</v>
      </c>
      <c r="AF159" s="919">
        <v>1346.6</v>
      </c>
      <c r="AG159" s="917">
        <f t="shared" si="99"/>
        <v>1435</v>
      </c>
      <c r="AH159" s="918">
        <f t="shared" si="100"/>
        <v>0</v>
      </c>
      <c r="AI159" s="919"/>
      <c r="AJ159" s="917">
        <f t="shared" si="101"/>
        <v>0</v>
      </c>
      <c r="AK159" s="918">
        <f t="shared" si="102"/>
        <v>0</v>
      </c>
      <c r="AL159" s="919"/>
      <c r="AM159" s="917">
        <f t="shared" si="103"/>
        <v>0</v>
      </c>
      <c r="AN159" s="920">
        <v>19242</v>
      </c>
      <c r="AO159" s="917">
        <f t="shared" si="104"/>
        <v>0</v>
      </c>
      <c r="AP159" s="920"/>
      <c r="AQ159" s="916">
        <f t="shared" si="105"/>
        <v>0</v>
      </c>
      <c r="AR159" s="917">
        <f t="shared" si="106"/>
        <v>78411.27</v>
      </c>
      <c r="AS159" s="916">
        <v>12</v>
      </c>
      <c r="AT159" s="921">
        <f t="shared" si="107"/>
        <v>940935.24</v>
      </c>
      <c r="AU159" s="920"/>
      <c r="AV159" s="922">
        <f t="shared" si="108"/>
        <v>9409.35</v>
      </c>
      <c r="AW159" s="921">
        <f t="shared" si="109"/>
        <v>950344.59</v>
      </c>
      <c r="AX159" s="921">
        <f t="shared" si="110"/>
        <v>287004.07</v>
      </c>
      <c r="AY159" s="921">
        <f t="shared" si="111"/>
        <v>1237348.6599999999</v>
      </c>
      <c r="AZ159" s="923">
        <f t="shared" si="112"/>
        <v>950.3</v>
      </c>
      <c r="BA159" s="923">
        <f t="shared" si="113"/>
        <v>287</v>
      </c>
      <c r="BB159" s="923">
        <f t="shared" si="114"/>
        <v>1237.3</v>
      </c>
      <c r="BC159" s="915">
        <v>0.95</v>
      </c>
      <c r="BD159" s="923">
        <f t="shared" si="115"/>
        <v>902.8</v>
      </c>
      <c r="BE159" s="923">
        <f t="shared" si="116"/>
        <v>272.60000000000002</v>
      </c>
      <c r="BF159" s="923">
        <f t="shared" si="117"/>
        <v>1175.4000000000001</v>
      </c>
      <c r="BG159" s="924">
        <f>'[3]свод (2024)'!$B$116</f>
        <v>0.99758349999999996</v>
      </c>
      <c r="BH159" s="923">
        <f t="shared" si="118"/>
        <v>900.6</v>
      </c>
      <c r="BI159" s="923">
        <f t="shared" si="119"/>
        <v>272</v>
      </c>
      <c r="BJ159" s="923">
        <f t="shared" si="120"/>
        <v>1172.5999999999999</v>
      </c>
      <c r="BK159" s="925">
        <f t="shared" si="121"/>
        <v>-49.7</v>
      </c>
      <c r="BL159" s="925">
        <f t="shared" si="121"/>
        <v>-15</v>
      </c>
      <c r="BM159" s="925">
        <f t="shared" si="122"/>
        <v>-64.7</v>
      </c>
      <c r="BN159" s="925">
        <f t="shared" si="123"/>
        <v>0</v>
      </c>
      <c r="BO159" s="925">
        <f t="shared" si="124"/>
        <v>0</v>
      </c>
      <c r="BP159" s="926"/>
      <c r="BQ159" s="925">
        <f t="shared" si="125"/>
        <v>900.6</v>
      </c>
      <c r="BR159" s="925">
        <f t="shared" si="125"/>
        <v>272</v>
      </c>
      <c r="BS159" s="925">
        <f t="shared" si="126"/>
        <v>1172.5999999999999</v>
      </c>
      <c r="BU159" s="928"/>
      <c r="BV159" s="917"/>
      <c r="BW159" s="928"/>
      <c r="BX159" s="928"/>
      <c r="BY159" s="928"/>
      <c r="BZ159" s="917"/>
      <c r="CA159" s="928"/>
      <c r="CB159" s="917"/>
      <c r="CC159" s="928"/>
      <c r="CD159" s="928"/>
      <c r="CE159" s="928"/>
      <c r="CF159" s="929"/>
      <c r="CG159" s="928"/>
      <c r="CH159" s="928"/>
      <c r="CI159" s="928"/>
      <c r="CJ159" s="925"/>
      <c r="CK159" s="925"/>
      <c r="CL159" s="925"/>
      <c r="CM159" s="925"/>
      <c r="CN159" s="925"/>
      <c r="CO159" s="925"/>
      <c r="CP159" s="925"/>
      <c r="CQ159" s="925"/>
      <c r="CR159" s="925"/>
      <c r="CS159" s="917"/>
      <c r="CT159" s="928"/>
      <c r="CU159" s="928"/>
      <c r="CV159" s="928"/>
      <c r="CX159" s="925"/>
      <c r="CY159" s="925"/>
      <c r="CZ159" s="925"/>
      <c r="DB159" s="925"/>
      <c r="DC159" s="925"/>
      <c r="DD159" s="925"/>
      <c r="DE159" s="925"/>
      <c r="DF159" s="925"/>
      <c r="DG159" s="925"/>
      <c r="DH159" s="925"/>
      <c r="DI159" s="925"/>
      <c r="DJ159" s="925"/>
      <c r="DK159" s="925"/>
      <c r="DL159" s="925"/>
      <c r="DM159" s="925"/>
      <c r="DN159" s="925"/>
      <c r="DO159" s="925"/>
      <c r="DP159" s="925"/>
      <c r="DQ159" s="924"/>
      <c r="DR159" s="925"/>
      <c r="DS159" s="925"/>
      <c r="DT159" s="925"/>
      <c r="DV159" s="925"/>
      <c r="DW159" s="925"/>
      <c r="DX159" s="925"/>
      <c r="DY159" s="925"/>
      <c r="DZ159" s="925"/>
      <c r="EA159" s="925"/>
      <c r="EB159" s="925"/>
      <c r="EC159" s="925"/>
      <c r="ED159" s="925"/>
      <c r="EE159" s="925"/>
      <c r="EF159" s="925"/>
      <c r="EG159" s="925"/>
      <c r="EH159" s="925"/>
      <c r="EI159" s="925"/>
      <c r="EJ159" s="925"/>
      <c r="EK159" s="925"/>
      <c r="EL159" s="925"/>
      <c r="EM159" s="925"/>
      <c r="EN159" s="925"/>
      <c r="EO159" s="925"/>
      <c r="EP159" s="925"/>
      <c r="EQ159" s="925"/>
      <c r="ER159" s="925"/>
      <c r="ES159" s="925"/>
      <c r="ET159" s="925"/>
      <c r="EV159" s="924"/>
      <c r="EW159" s="925"/>
      <c r="EX159" s="925"/>
      <c r="EY159" s="925"/>
    </row>
    <row r="160" spans="1:155" s="927" customFormat="1" ht="15.75" x14ac:dyDescent="0.25">
      <c r="A160" s="912" t="s">
        <v>360</v>
      </c>
      <c r="B160" s="913" t="s">
        <v>39</v>
      </c>
      <c r="C160" s="914">
        <v>1</v>
      </c>
      <c r="D160" s="914">
        <v>6097</v>
      </c>
      <c r="E160" s="915">
        <v>1.0549999999999999</v>
      </c>
      <c r="F160" s="916">
        <f t="shared" si="81"/>
        <v>6433</v>
      </c>
      <c r="G160" s="915">
        <v>1.01</v>
      </c>
      <c r="H160" s="916">
        <f t="shared" si="82"/>
        <v>6498</v>
      </c>
      <c r="I160" s="917">
        <f t="shared" si="83"/>
        <v>6498</v>
      </c>
      <c r="J160" s="918">
        <f t="shared" si="84"/>
        <v>0</v>
      </c>
      <c r="K160" s="919"/>
      <c r="L160" s="917">
        <f t="shared" si="85"/>
        <v>0</v>
      </c>
      <c r="M160" s="918">
        <f t="shared" si="86"/>
        <v>0</v>
      </c>
      <c r="N160" s="919"/>
      <c r="O160" s="917">
        <f t="shared" si="87"/>
        <v>0</v>
      </c>
      <c r="P160" s="918">
        <f t="shared" si="88"/>
        <v>0</v>
      </c>
      <c r="Q160" s="919"/>
      <c r="R160" s="917">
        <f t="shared" si="89"/>
        <v>0</v>
      </c>
      <c r="S160" s="918">
        <f t="shared" si="90"/>
        <v>0</v>
      </c>
      <c r="T160" s="919"/>
      <c r="U160" s="917">
        <f t="shared" si="91"/>
        <v>0</v>
      </c>
      <c r="V160" s="918">
        <f t="shared" si="92"/>
        <v>0</v>
      </c>
      <c r="W160" s="919"/>
      <c r="X160" s="917">
        <f t="shared" si="93"/>
        <v>0</v>
      </c>
      <c r="Y160" s="918">
        <f t="shared" si="94"/>
        <v>0</v>
      </c>
      <c r="Z160" s="919"/>
      <c r="AA160" s="917">
        <f t="shared" si="95"/>
        <v>0</v>
      </c>
      <c r="AB160" s="918">
        <f t="shared" si="96"/>
        <v>0</v>
      </c>
      <c r="AC160" s="919"/>
      <c r="AD160" s="917">
        <f t="shared" si="97"/>
        <v>0</v>
      </c>
      <c r="AE160" s="918">
        <f t="shared" si="98"/>
        <v>0</v>
      </c>
      <c r="AF160" s="919"/>
      <c r="AG160" s="917">
        <f t="shared" si="99"/>
        <v>0</v>
      </c>
      <c r="AH160" s="918">
        <f t="shared" si="100"/>
        <v>0</v>
      </c>
      <c r="AI160" s="919"/>
      <c r="AJ160" s="917">
        <f t="shared" si="101"/>
        <v>0</v>
      </c>
      <c r="AK160" s="918">
        <f t="shared" si="102"/>
        <v>0</v>
      </c>
      <c r="AL160" s="919"/>
      <c r="AM160" s="917">
        <f t="shared" si="103"/>
        <v>0</v>
      </c>
      <c r="AN160" s="920">
        <v>19242</v>
      </c>
      <c r="AO160" s="917">
        <f t="shared" si="104"/>
        <v>12744</v>
      </c>
      <c r="AP160" s="920"/>
      <c r="AQ160" s="916">
        <f t="shared" si="105"/>
        <v>0</v>
      </c>
      <c r="AR160" s="917">
        <f t="shared" si="106"/>
        <v>19242</v>
      </c>
      <c r="AS160" s="916">
        <v>12</v>
      </c>
      <c r="AT160" s="921">
        <f t="shared" si="107"/>
        <v>230904</v>
      </c>
      <c r="AU160" s="920"/>
      <c r="AV160" s="922">
        <f t="shared" si="108"/>
        <v>2309.04</v>
      </c>
      <c r="AW160" s="921">
        <f t="shared" si="109"/>
        <v>233213.04</v>
      </c>
      <c r="AX160" s="921">
        <f t="shared" si="110"/>
        <v>70430.34</v>
      </c>
      <c r="AY160" s="921">
        <f t="shared" si="111"/>
        <v>303643.38</v>
      </c>
      <c r="AZ160" s="923">
        <f t="shared" si="112"/>
        <v>233.2</v>
      </c>
      <c r="BA160" s="923">
        <f t="shared" si="113"/>
        <v>70.400000000000006</v>
      </c>
      <c r="BB160" s="923">
        <f t="shared" si="114"/>
        <v>303.60000000000002</v>
      </c>
      <c r="BC160" s="915">
        <v>0.95</v>
      </c>
      <c r="BD160" s="923">
        <f t="shared" si="115"/>
        <v>221.5</v>
      </c>
      <c r="BE160" s="923">
        <f t="shared" si="116"/>
        <v>66.900000000000006</v>
      </c>
      <c r="BF160" s="923">
        <f t="shared" si="117"/>
        <v>288.39999999999998</v>
      </c>
      <c r="BG160" s="924">
        <f>'[3]свод (2024)'!$B$116</f>
        <v>0.99758349999999996</v>
      </c>
      <c r="BH160" s="923">
        <f t="shared" si="118"/>
        <v>221</v>
      </c>
      <c r="BI160" s="923">
        <f t="shared" si="119"/>
        <v>66.7</v>
      </c>
      <c r="BJ160" s="923">
        <f t="shared" si="120"/>
        <v>287.7</v>
      </c>
      <c r="BK160" s="925">
        <f t="shared" si="121"/>
        <v>-12.2</v>
      </c>
      <c r="BL160" s="925">
        <f t="shared" si="121"/>
        <v>-3.7</v>
      </c>
      <c r="BM160" s="925">
        <f t="shared" si="122"/>
        <v>-15.9</v>
      </c>
      <c r="BN160" s="925">
        <f t="shared" si="123"/>
        <v>0</v>
      </c>
      <c r="BO160" s="925">
        <f t="shared" si="124"/>
        <v>0</v>
      </c>
      <c r="BP160" s="926"/>
      <c r="BQ160" s="925">
        <f t="shared" si="125"/>
        <v>221</v>
      </c>
      <c r="BR160" s="925">
        <f t="shared" si="125"/>
        <v>66.7</v>
      </c>
      <c r="BS160" s="925">
        <f t="shared" si="126"/>
        <v>287.7</v>
      </c>
      <c r="BU160" s="928"/>
      <c r="BV160" s="917"/>
      <c r="BW160" s="928"/>
      <c r="BX160" s="928"/>
      <c r="BY160" s="928"/>
      <c r="BZ160" s="917"/>
      <c r="CA160" s="928"/>
      <c r="CB160" s="917"/>
      <c r="CC160" s="928"/>
      <c r="CD160" s="928"/>
      <c r="CE160" s="928"/>
      <c r="CF160" s="929"/>
      <c r="CG160" s="928"/>
      <c r="CH160" s="928"/>
      <c r="CI160" s="928"/>
      <c r="CJ160" s="925"/>
      <c r="CK160" s="925"/>
      <c r="CL160" s="925"/>
      <c r="CM160" s="925"/>
      <c r="CN160" s="925"/>
      <c r="CO160" s="925"/>
      <c r="CP160" s="925"/>
      <c r="CQ160" s="925"/>
      <c r="CR160" s="925"/>
      <c r="CS160" s="917"/>
      <c r="CT160" s="928"/>
      <c r="CU160" s="928"/>
      <c r="CV160" s="928"/>
      <c r="CX160" s="925"/>
      <c r="CY160" s="925"/>
      <c r="CZ160" s="925"/>
      <c r="DB160" s="925"/>
      <c r="DC160" s="925"/>
      <c r="DD160" s="925"/>
      <c r="DE160" s="925"/>
      <c r="DF160" s="925"/>
      <c r="DG160" s="925"/>
      <c r="DH160" s="925"/>
      <c r="DI160" s="925"/>
      <c r="DJ160" s="925"/>
      <c r="DK160" s="925"/>
      <c r="DL160" s="925"/>
      <c r="DM160" s="925"/>
      <c r="DN160" s="925"/>
      <c r="DO160" s="925"/>
      <c r="DP160" s="925"/>
      <c r="DQ160" s="924"/>
      <c r="DR160" s="925"/>
      <c r="DS160" s="925"/>
      <c r="DT160" s="925"/>
      <c r="DV160" s="925"/>
      <c r="DW160" s="925"/>
      <c r="DX160" s="925"/>
      <c r="DY160" s="925"/>
      <c r="DZ160" s="925"/>
      <c r="EA160" s="925"/>
      <c r="EB160" s="925"/>
      <c r="EC160" s="925"/>
      <c r="ED160" s="925"/>
      <c r="EE160" s="925"/>
      <c r="EF160" s="925"/>
      <c r="EG160" s="925"/>
      <c r="EH160" s="925"/>
      <c r="EI160" s="925"/>
      <c r="EJ160" s="925"/>
      <c r="EK160" s="925"/>
      <c r="EL160" s="925"/>
      <c r="EM160" s="925"/>
      <c r="EN160" s="925"/>
      <c r="EO160" s="925"/>
      <c r="EP160" s="925"/>
      <c r="EQ160" s="925"/>
      <c r="ER160" s="925"/>
      <c r="ES160" s="925"/>
      <c r="ET160" s="925"/>
      <c r="EV160" s="924"/>
      <c r="EW160" s="925"/>
      <c r="EX160" s="925"/>
      <c r="EY160" s="925"/>
    </row>
    <row r="161" spans="1:155" s="927" customFormat="1" ht="24" x14ac:dyDescent="0.25">
      <c r="A161" s="912" t="s">
        <v>360</v>
      </c>
      <c r="B161" s="913" t="s">
        <v>1395</v>
      </c>
      <c r="C161" s="914">
        <v>1</v>
      </c>
      <c r="D161" s="914">
        <v>22544</v>
      </c>
      <c r="E161" s="915">
        <v>1.0549999999999999</v>
      </c>
      <c r="F161" s="916">
        <f t="shared" si="81"/>
        <v>23784</v>
      </c>
      <c r="G161" s="915">
        <v>1.01</v>
      </c>
      <c r="H161" s="916">
        <f t="shared" si="82"/>
        <v>24022</v>
      </c>
      <c r="I161" s="917">
        <f t="shared" si="83"/>
        <v>24022</v>
      </c>
      <c r="J161" s="918">
        <f t="shared" si="84"/>
        <v>0</v>
      </c>
      <c r="K161" s="919"/>
      <c r="L161" s="917">
        <f t="shared" si="85"/>
        <v>0</v>
      </c>
      <c r="M161" s="918">
        <f t="shared" si="86"/>
        <v>0</v>
      </c>
      <c r="N161" s="919"/>
      <c r="O161" s="917">
        <f t="shared" si="87"/>
        <v>0</v>
      </c>
      <c r="P161" s="918">
        <f t="shared" si="88"/>
        <v>0</v>
      </c>
      <c r="Q161" s="919"/>
      <c r="R161" s="917">
        <f t="shared" si="89"/>
        <v>0</v>
      </c>
      <c r="S161" s="918">
        <f t="shared" si="90"/>
        <v>0.27045000000000002</v>
      </c>
      <c r="T161" s="919">
        <v>6097</v>
      </c>
      <c r="U161" s="917">
        <f t="shared" si="91"/>
        <v>6496.75</v>
      </c>
      <c r="V161" s="918">
        <f t="shared" si="92"/>
        <v>0</v>
      </c>
      <c r="W161" s="919"/>
      <c r="X161" s="917">
        <f t="shared" si="93"/>
        <v>0</v>
      </c>
      <c r="Y161" s="918">
        <f t="shared" si="94"/>
        <v>0</v>
      </c>
      <c r="Z161" s="919"/>
      <c r="AA161" s="917">
        <f t="shared" si="95"/>
        <v>0</v>
      </c>
      <c r="AB161" s="918">
        <f t="shared" si="96"/>
        <v>0.2</v>
      </c>
      <c r="AC161" s="919">
        <v>4508.8</v>
      </c>
      <c r="AD161" s="917">
        <f t="shared" si="97"/>
        <v>4804.3999999999996</v>
      </c>
      <c r="AE161" s="918">
        <f t="shared" si="98"/>
        <v>0.1</v>
      </c>
      <c r="AF161" s="919">
        <v>2254.4</v>
      </c>
      <c r="AG161" s="917">
        <f t="shared" si="99"/>
        <v>2402.1999999999998</v>
      </c>
      <c r="AH161" s="918">
        <f t="shared" si="100"/>
        <v>0</v>
      </c>
      <c r="AI161" s="919"/>
      <c r="AJ161" s="917">
        <f t="shared" si="101"/>
        <v>0</v>
      </c>
      <c r="AK161" s="918">
        <f t="shared" si="102"/>
        <v>0</v>
      </c>
      <c r="AL161" s="919"/>
      <c r="AM161" s="917">
        <f t="shared" si="103"/>
        <v>0</v>
      </c>
      <c r="AN161" s="920">
        <v>19242</v>
      </c>
      <c r="AO161" s="917">
        <f t="shared" si="104"/>
        <v>0</v>
      </c>
      <c r="AP161" s="920"/>
      <c r="AQ161" s="916">
        <f t="shared" si="105"/>
        <v>0</v>
      </c>
      <c r="AR161" s="917">
        <f t="shared" si="106"/>
        <v>37725.35</v>
      </c>
      <c r="AS161" s="916">
        <v>12</v>
      </c>
      <c r="AT161" s="921">
        <f t="shared" si="107"/>
        <v>452704.2</v>
      </c>
      <c r="AU161" s="920"/>
      <c r="AV161" s="922">
        <f t="shared" si="108"/>
        <v>4527.04</v>
      </c>
      <c r="AW161" s="921">
        <f t="shared" si="109"/>
        <v>457231.24</v>
      </c>
      <c r="AX161" s="921">
        <f t="shared" si="110"/>
        <v>138083.82999999999</v>
      </c>
      <c r="AY161" s="921">
        <f t="shared" si="111"/>
        <v>595315.06999999995</v>
      </c>
      <c r="AZ161" s="923">
        <f t="shared" si="112"/>
        <v>457.2</v>
      </c>
      <c r="BA161" s="923">
        <f t="shared" si="113"/>
        <v>138.1</v>
      </c>
      <c r="BB161" s="923">
        <f t="shared" si="114"/>
        <v>595.29999999999995</v>
      </c>
      <c r="BC161" s="915">
        <v>0.95</v>
      </c>
      <c r="BD161" s="923">
        <f t="shared" si="115"/>
        <v>434.3</v>
      </c>
      <c r="BE161" s="923">
        <f t="shared" si="116"/>
        <v>131.19999999999999</v>
      </c>
      <c r="BF161" s="923">
        <f t="shared" si="117"/>
        <v>565.5</v>
      </c>
      <c r="BG161" s="924">
        <f>'[3]свод (2024)'!$B$116</f>
        <v>0.99758349999999996</v>
      </c>
      <c r="BH161" s="923">
        <f t="shared" si="118"/>
        <v>433.3</v>
      </c>
      <c r="BI161" s="923">
        <f t="shared" si="119"/>
        <v>130.9</v>
      </c>
      <c r="BJ161" s="923">
        <f t="shared" si="120"/>
        <v>564.20000000000005</v>
      </c>
      <c r="BK161" s="925">
        <f t="shared" si="121"/>
        <v>-23.9</v>
      </c>
      <c r="BL161" s="925">
        <f t="shared" si="121"/>
        <v>-7.2</v>
      </c>
      <c r="BM161" s="925">
        <f t="shared" si="122"/>
        <v>-31.1</v>
      </c>
      <c r="BN161" s="925">
        <f t="shared" si="123"/>
        <v>0</v>
      </c>
      <c r="BO161" s="925">
        <f t="shared" si="124"/>
        <v>0</v>
      </c>
      <c r="BP161" s="926"/>
      <c r="BQ161" s="925">
        <f t="shared" si="125"/>
        <v>433.3</v>
      </c>
      <c r="BR161" s="925">
        <f t="shared" si="125"/>
        <v>130.9</v>
      </c>
      <c r="BS161" s="925">
        <f t="shared" si="126"/>
        <v>564.20000000000005</v>
      </c>
      <c r="BU161" s="928"/>
      <c r="BV161" s="917"/>
      <c r="BW161" s="928"/>
      <c r="BX161" s="928"/>
      <c r="BY161" s="928"/>
      <c r="BZ161" s="917"/>
      <c r="CA161" s="928"/>
      <c r="CB161" s="917"/>
      <c r="CC161" s="928"/>
      <c r="CD161" s="928"/>
      <c r="CE161" s="928"/>
      <c r="CF161" s="929"/>
      <c r="CG161" s="928"/>
      <c r="CH161" s="928"/>
      <c r="CI161" s="928"/>
      <c r="CJ161" s="925"/>
      <c r="CK161" s="925"/>
      <c r="CL161" s="925"/>
      <c r="CM161" s="925"/>
      <c r="CN161" s="925"/>
      <c r="CO161" s="925"/>
      <c r="CP161" s="925"/>
      <c r="CQ161" s="925"/>
      <c r="CR161" s="925"/>
      <c r="CS161" s="917"/>
      <c r="CT161" s="928"/>
      <c r="CU161" s="928"/>
      <c r="CV161" s="928"/>
      <c r="CX161" s="925"/>
      <c r="CY161" s="925"/>
      <c r="CZ161" s="925"/>
      <c r="DB161" s="925"/>
      <c r="DC161" s="925"/>
      <c r="DD161" s="925"/>
      <c r="DE161" s="925"/>
      <c r="DF161" s="925"/>
      <c r="DG161" s="925"/>
      <c r="DH161" s="925"/>
      <c r="DI161" s="925"/>
      <c r="DJ161" s="925"/>
      <c r="DK161" s="925"/>
      <c r="DL161" s="925"/>
      <c r="DM161" s="925"/>
      <c r="DN161" s="925"/>
      <c r="DO161" s="925"/>
      <c r="DP161" s="925"/>
      <c r="DQ161" s="924"/>
      <c r="DR161" s="925"/>
      <c r="DS161" s="925"/>
      <c r="DT161" s="925"/>
      <c r="DV161" s="925"/>
      <c r="DW161" s="925"/>
      <c r="DX161" s="925"/>
      <c r="DY161" s="925"/>
      <c r="DZ161" s="925"/>
      <c r="EA161" s="925"/>
      <c r="EB161" s="925"/>
      <c r="EC161" s="925"/>
      <c r="ED161" s="925"/>
      <c r="EE161" s="925"/>
      <c r="EF161" s="925"/>
      <c r="EG161" s="925"/>
      <c r="EH161" s="925"/>
      <c r="EI161" s="925"/>
      <c r="EJ161" s="925"/>
      <c r="EK161" s="925"/>
      <c r="EL161" s="925"/>
      <c r="EM161" s="925"/>
      <c r="EN161" s="925"/>
      <c r="EO161" s="925"/>
      <c r="EP161" s="925"/>
      <c r="EQ161" s="925"/>
      <c r="ER161" s="925"/>
      <c r="ES161" s="925"/>
      <c r="ET161" s="925"/>
      <c r="EV161" s="924"/>
      <c r="EW161" s="925"/>
      <c r="EX161" s="925"/>
      <c r="EY161" s="925"/>
    </row>
    <row r="162" spans="1:155" s="927" customFormat="1" ht="24" x14ac:dyDescent="0.25">
      <c r="A162" s="912" t="s">
        <v>360</v>
      </c>
      <c r="B162" s="913" t="s">
        <v>1409</v>
      </c>
      <c r="C162" s="914">
        <v>1</v>
      </c>
      <c r="D162" s="914">
        <v>22544</v>
      </c>
      <c r="E162" s="915">
        <v>1.0549999999999999</v>
      </c>
      <c r="F162" s="916">
        <f t="shared" si="81"/>
        <v>23784</v>
      </c>
      <c r="G162" s="915">
        <v>1.01</v>
      </c>
      <c r="H162" s="916">
        <f t="shared" si="82"/>
        <v>24022</v>
      </c>
      <c r="I162" s="917">
        <f t="shared" si="83"/>
        <v>24022</v>
      </c>
      <c r="J162" s="918">
        <f t="shared" si="84"/>
        <v>0</v>
      </c>
      <c r="K162" s="919"/>
      <c r="L162" s="917">
        <f t="shared" si="85"/>
        <v>0</v>
      </c>
      <c r="M162" s="918">
        <f t="shared" si="86"/>
        <v>0</v>
      </c>
      <c r="N162" s="919"/>
      <c r="O162" s="917">
        <f t="shared" si="87"/>
        <v>0</v>
      </c>
      <c r="P162" s="918">
        <f t="shared" si="88"/>
        <v>0</v>
      </c>
      <c r="Q162" s="919"/>
      <c r="R162" s="917">
        <f t="shared" si="89"/>
        <v>0</v>
      </c>
      <c r="S162" s="918">
        <f t="shared" si="90"/>
        <v>0</v>
      </c>
      <c r="T162" s="919"/>
      <c r="U162" s="917">
        <f t="shared" si="91"/>
        <v>0</v>
      </c>
      <c r="V162" s="918">
        <f t="shared" si="92"/>
        <v>0</v>
      </c>
      <c r="W162" s="919"/>
      <c r="X162" s="917">
        <f t="shared" si="93"/>
        <v>0</v>
      </c>
      <c r="Y162" s="918">
        <f t="shared" si="94"/>
        <v>0</v>
      </c>
      <c r="Z162" s="919"/>
      <c r="AA162" s="917">
        <f t="shared" si="95"/>
        <v>0</v>
      </c>
      <c r="AB162" s="918">
        <f t="shared" si="96"/>
        <v>0.2</v>
      </c>
      <c r="AC162" s="919">
        <v>4508.8</v>
      </c>
      <c r="AD162" s="917">
        <f t="shared" si="97"/>
        <v>4804.3999999999996</v>
      </c>
      <c r="AE162" s="918">
        <f t="shared" si="98"/>
        <v>0.1</v>
      </c>
      <c r="AF162" s="919">
        <v>2254.4</v>
      </c>
      <c r="AG162" s="917">
        <f t="shared" si="99"/>
        <v>2402.1999999999998</v>
      </c>
      <c r="AH162" s="918">
        <f t="shared" si="100"/>
        <v>0</v>
      </c>
      <c r="AI162" s="919"/>
      <c r="AJ162" s="917">
        <f t="shared" si="101"/>
        <v>0</v>
      </c>
      <c r="AK162" s="918">
        <f t="shared" si="102"/>
        <v>0</v>
      </c>
      <c r="AL162" s="919"/>
      <c r="AM162" s="917">
        <f t="shared" si="103"/>
        <v>0</v>
      </c>
      <c r="AN162" s="920">
        <v>19242</v>
      </c>
      <c r="AO162" s="917">
        <f t="shared" si="104"/>
        <v>0</v>
      </c>
      <c r="AP162" s="920"/>
      <c r="AQ162" s="916">
        <f t="shared" si="105"/>
        <v>0</v>
      </c>
      <c r="AR162" s="917">
        <f t="shared" si="106"/>
        <v>31228.6</v>
      </c>
      <c r="AS162" s="916">
        <v>12</v>
      </c>
      <c r="AT162" s="921">
        <f t="shared" si="107"/>
        <v>374743.2</v>
      </c>
      <c r="AU162" s="920"/>
      <c r="AV162" s="922">
        <f t="shared" si="108"/>
        <v>3747.43</v>
      </c>
      <c r="AW162" s="921">
        <f t="shared" si="109"/>
        <v>378490.63</v>
      </c>
      <c r="AX162" s="921">
        <f t="shared" si="110"/>
        <v>114304.17</v>
      </c>
      <c r="AY162" s="921">
        <f t="shared" si="111"/>
        <v>492794.8</v>
      </c>
      <c r="AZ162" s="923">
        <f t="shared" si="112"/>
        <v>378.5</v>
      </c>
      <c r="BA162" s="923">
        <f t="shared" si="113"/>
        <v>114.3</v>
      </c>
      <c r="BB162" s="923">
        <f t="shared" si="114"/>
        <v>492.8</v>
      </c>
      <c r="BC162" s="915">
        <v>0.95</v>
      </c>
      <c r="BD162" s="923">
        <f t="shared" si="115"/>
        <v>359.6</v>
      </c>
      <c r="BE162" s="923">
        <f t="shared" si="116"/>
        <v>108.6</v>
      </c>
      <c r="BF162" s="923">
        <f t="shared" si="117"/>
        <v>468.2</v>
      </c>
      <c r="BG162" s="924">
        <f>'[3]свод (2024)'!$B$116</f>
        <v>0.99758349999999996</v>
      </c>
      <c r="BH162" s="923">
        <f t="shared" si="118"/>
        <v>358.7</v>
      </c>
      <c r="BI162" s="923">
        <f t="shared" si="119"/>
        <v>108.3</v>
      </c>
      <c r="BJ162" s="923">
        <f t="shared" si="120"/>
        <v>467</v>
      </c>
      <c r="BK162" s="925">
        <f t="shared" si="121"/>
        <v>-19.8</v>
      </c>
      <c r="BL162" s="925">
        <f t="shared" si="121"/>
        <v>-6</v>
      </c>
      <c r="BM162" s="925">
        <f t="shared" si="122"/>
        <v>-25.8</v>
      </c>
      <c r="BN162" s="925">
        <f t="shared" si="123"/>
        <v>0</v>
      </c>
      <c r="BO162" s="925">
        <f t="shared" si="124"/>
        <v>0</v>
      </c>
      <c r="BP162" s="926"/>
      <c r="BQ162" s="925">
        <f t="shared" si="125"/>
        <v>358.7</v>
      </c>
      <c r="BR162" s="925">
        <f t="shared" si="125"/>
        <v>108.3</v>
      </c>
      <c r="BS162" s="925">
        <f t="shared" si="126"/>
        <v>467</v>
      </c>
      <c r="BU162" s="928"/>
      <c r="BV162" s="917"/>
      <c r="BW162" s="928"/>
      <c r="BX162" s="928"/>
      <c r="BY162" s="928"/>
      <c r="BZ162" s="917"/>
      <c r="CA162" s="928"/>
      <c r="CB162" s="917"/>
      <c r="CC162" s="928"/>
      <c r="CD162" s="928"/>
      <c r="CE162" s="928"/>
      <c r="CF162" s="929"/>
      <c r="CG162" s="928"/>
      <c r="CH162" s="928"/>
      <c r="CI162" s="928"/>
      <c r="CJ162" s="925"/>
      <c r="CK162" s="925"/>
      <c r="CL162" s="925"/>
      <c r="CM162" s="925"/>
      <c r="CN162" s="925"/>
      <c r="CO162" s="925"/>
      <c r="CP162" s="925"/>
      <c r="CQ162" s="925"/>
      <c r="CR162" s="925"/>
      <c r="CS162" s="917"/>
      <c r="CT162" s="928"/>
      <c r="CU162" s="928"/>
      <c r="CV162" s="928"/>
      <c r="CX162" s="925"/>
      <c r="CY162" s="925"/>
      <c r="CZ162" s="925"/>
      <c r="DB162" s="925"/>
      <c r="DC162" s="925"/>
      <c r="DD162" s="925"/>
      <c r="DE162" s="925"/>
      <c r="DF162" s="925"/>
      <c r="DG162" s="925"/>
      <c r="DH162" s="925"/>
      <c r="DI162" s="925"/>
      <c r="DJ162" s="925"/>
      <c r="DK162" s="925"/>
      <c r="DL162" s="925"/>
      <c r="DM162" s="925"/>
      <c r="DN162" s="925"/>
      <c r="DO162" s="925"/>
      <c r="DP162" s="925"/>
      <c r="DQ162" s="924"/>
      <c r="DR162" s="925"/>
      <c r="DS162" s="925"/>
      <c r="DT162" s="925"/>
      <c r="DV162" s="925"/>
      <c r="DW162" s="925"/>
      <c r="DX162" s="925"/>
      <c r="DY162" s="925"/>
      <c r="DZ162" s="925"/>
      <c r="EA162" s="925"/>
      <c r="EB162" s="925"/>
      <c r="EC162" s="925"/>
      <c r="ED162" s="925"/>
      <c r="EE162" s="925"/>
      <c r="EF162" s="925"/>
      <c r="EG162" s="925"/>
      <c r="EH162" s="925"/>
      <c r="EI162" s="925"/>
      <c r="EJ162" s="925"/>
      <c r="EK162" s="925"/>
      <c r="EL162" s="925"/>
      <c r="EM162" s="925"/>
      <c r="EN162" s="925"/>
      <c r="EO162" s="925"/>
      <c r="EP162" s="925"/>
      <c r="EQ162" s="925"/>
      <c r="ER162" s="925"/>
      <c r="ES162" s="925"/>
      <c r="ET162" s="925"/>
      <c r="EV162" s="924"/>
      <c r="EW162" s="925"/>
      <c r="EX162" s="925"/>
      <c r="EY162" s="925"/>
    </row>
    <row r="163" spans="1:155" s="927" customFormat="1" ht="24" x14ac:dyDescent="0.25">
      <c r="A163" s="912" t="s">
        <v>360</v>
      </c>
      <c r="B163" s="913" t="s">
        <v>1384</v>
      </c>
      <c r="C163" s="914">
        <v>1</v>
      </c>
      <c r="D163" s="914">
        <v>22544</v>
      </c>
      <c r="E163" s="915">
        <v>1.0549999999999999</v>
      </c>
      <c r="F163" s="916">
        <f t="shared" si="81"/>
        <v>23784</v>
      </c>
      <c r="G163" s="915">
        <v>1.01</v>
      </c>
      <c r="H163" s="916">
        <f t="shared" si="82"/>
        <v>24022</v>
      </c>
      <c r="I163" s="917">
        <f t="shared" si="83"/>
        <v>24022</v>
      </c>
      <c r="J163" s="918">
        <f t="shared" si="84"/>
        <v>0</v>
      </c>
      <c r="K163" s="919"/>
      <c r="L163" s="917">
        <f t="shared" si="85"/>
        <v>0</v>
      </c>
      <c r="M163" s="918">
        <f t="shared" si="86"/>
        <v>0</v>
      </c>
      <c r="N163" s="919"/>
      <c r="O163" s="917">
        <f t="shared" si="87"/>
        <v>0</v>
      </c>
      <c r="P163" s="918">
        <f t="shared" si="88"/>
        <v>0</v>
      </c>
      <c r="Q163" s="919"/>
      <c r="R163" s="917">
        <f t="shared" si="89"/>
        <v>0</v>
      </c>
      <c r="S163" s="918">
        <f t="shared" si="90"/>
        <v>0</v>
      </c>
      <c r="T163" s="919"/>
      <c r="U163" s="917">
        <f t="shared" si="91"/>
        <v>0</v>
      </c>
      <c r="V163" s="918">
        <f t="shared" si="92"/>
        <v>0</v>
      </c>
      <c r="W163" s="919"/>
      <c r="X163" s="917">
        <f t="shared" si="93"/>
        <v>0</v>
      </c>
      <c r="Y163" s="918">
        <f t="shared" si="94"/>
        <v>0.14000000000000001</v>
      </c>
      <c r="Z163" s="919">
        <v>3156.16</v>
      </c>
      <c r="AA163" s="917">
        <f t="shared" si="95"/>
        <v>3363.08</v>
      </c>
      <c r="AB163" s="918">
        <f t="shared" si="96"/>
        <v>0.2</v>
      </c>
      <c r="AC163" s="919">
        <v>4508.8</v>
      </c>
      <c r="AD163" s="917">
        <f t="shared" si="97"/>
        <v>4804.3999999999996</v>
      </c>
      <c r="AE163" s="918">
        <f t="shared" si="98"/>
        <v>0</v>
      </c>
      <c r="AF163" s="919"/>
      <c r="AG163" s="917">
        <f t="shared" si="99"/>
        <v>0</v>
      </c>
      <c r="AH163" s="918">
        <f t="shared" si="100"/>
        <v>0</v>
      </c>
      <c r="AI163" s="919"/>
      <c r="AJ163" s="917">
        <f t="shared" si="101"/>
        <v>0</v>
      </c>
      <c r="AK163" s="918">
        <f t="shared" si="102"/>
        <v>0</v>
      </c>
      <c r="AL163" s="919"/>
      <c r="AM163" s="917">
        <f t="shared" si="103"/>
        <v>0</v>
      </c>
      <c r="AN163" s="920">
        <v>19242</v>
      </c>
      <c r="AO163" s="917">
        <f t="shared" si="104"/>
        <v>0</v>
      </c>
      <c r="AP163" s="920"/>
      <c r="AQ163" s="916">
        <f t="shared" si="105"/>
        <v>0</v>
      </c>
      <c r="AR163" s="917">
        <f t="shared" si="106"/>
        <v>32189.48</v>
      </c>
      <c r="AS163" s="916">
        <v>12</v>
      </c>
      <c r="AT163" s="921">
        <f t="shared" si="107"/>
        <v>386273.76</v>
      </c>
      <c r="AU163" s="920"/>
      <c r="AV163" s="922">
        <f t="shared" si="108"/>
        <v>3862.74</v>
      </c>
      <c r="AW163" s="921">
        <f t="shared" si="109"/>
        <v>390136.5</v>
      </c>
      <c r="AX163" s="921">
        <f t="shared" si="110"/>
        <v>117821.22</v>
      </c>
      <c r="AY163" s="921">
        <f t="shared" si="111"/>
        <v>507957.72</v>
      </c>
      <c r="AZ163" s="923">
        <f t="shared" si="112"/>
        <v>390.1</v>
      </c>
      <c r="BA163" s="923">
        <f t="shared" si="113"/>
        <v>117.8</v>
      </c>
      <c r="BB163" s="923">
        <f t="shared" si="114"/>
        <v>507.9</v>
      </c>
      <c r="BC163" s="915">
        <v>0.95</v>
      </c>
      <c r="BD163" s="923">
        <f t="shared" si="115"/>
        <v>370.6</v>
      </c>
      <c r="BE163" s="923">
        <f t="shared" si="116"/>
        <v>111.9</v>
      </c>
      <c r="BF163" s="923">
        <f t="shared" si="117"/>
        <v>482.5</v>
      </c>
      <c r="BG163" s="924">
        <f>'[3]свод (2024)'!$B$116</f>
        <v>0.99758349999999996</v>
      </c>
      <c r="BH163" s="923">
        <f t="shared" si="118"/>
        <v>369.7</v>
      </c>
      <c r="BI163" s="923">
        <f t="shared" si="119"/>
        <v>111.6</v>
      </c>
      <c r="BJ163" s="923">
        <f t="shared" si="120"/>
        <v>481.3</v>
      </c>
      <c r="BK163" s="925">
        <f t="shared" si="121"/>
        <v>-20.399999999999999</v>
      </c>
      <c r="BL163" s="925">
        <f t="shared" si="121"/>
        <v>-6.2</v>
      </c>
      <c r="BM163" s="925">
        <f t="shared" si="122"/>
        <v>-26.6</v>
      </c>
      <c r="BN163" s="925">
        <f t="shared" si="123"/>
        <v>0</v>
      </c>
      <c r="BO163" s="925">
        <f t="shared" si="124"/>
        <v>0</v>
      </c>
      <c r="BP163" s="926"/>
      <c r="BQ163" s="925">
        <f t="shared" si="125"/>
        <v>369.7</v>
      </c>
      <c r="BR163" s="925">
        <f t="shared" si="125"/>
        <v>111.6</v>
      </c>
      <c r="BS163" s="925">
        <f t="shared" si="126"/>
        <v>481.3</v>
      </c>
      <c r="BU163" s="928"/>
      <c r="BV163" s="917"/>
      <c r="BW163" s="928"/>
      <c r="BX163" s="928"/>
      <c r="BY163" s="928"/>
      <c r="BZ163" s="917"/>
      <c r="CA163" s="928"/>
      <c r="CB163" s="917"/>
      <c r="CC163" s="928"/>
      <c r="CD163" s="928"/>
      <c r="CE163" s="928"/>
      <c r="CF163" s="929"/>
      <c r="CG163" s="928"/>
      <c r="CH163" s="928"/>
      <c r="CI163" s="928"/>
      <c r="CJ163" s="925"/>
      <c r="CK163" s="925"/>
      <c r="CL163" s="925"/>
      <c r="CM163" s="925"/>
      <c r="CN163" s="925"/>
      <c r="CO163" s="925"/>
      <c r="CP163" s="925"/>
      <c r="CQ163" s="925"/>
      <c r="CR163" s="925"/>
      <c r="CS163" s="917"/>
      <c r="CT163" s="928"/>
      <c r="CU163" s="928"/>
      <c r="CV163" s="928"/>
      <c r="CX163" s="925"/>
      <c r="CY163" s="925"/>
      <c r="CZ163" s="925"/>
      <c r="DB163" s="925"/>
      <c r="DC163" s="925"/>
      <c r="DD163" s="925"/>
      <c r="DE163" s="925"/>
      <c r="DF163" s="925"/>
      <c r="DG163" s="925"/>
      <c r="DH163" s="925"/>
      <c r="DI163" s="925"/>
      <c r="DJ163" s="925"/>
      <c r="DK163" s="925"/>
      <c r="DL163" s="925"/>
      <c r="DM163" s="925"/>
      <c r="DN163" s="925"/>
      <c r="DO163" s="925"/>
      <c r="DP163" s="925"/>
      <c r="DQ163" s="924"/>
      <c r="DR163" s="925"/>
      <c r="DS163" s="925"/>
      <c r="DT163" s="925"/>
      <c r="DV163" s="925"/>
      <c r="DW163" s="925"/>
      <c r="DX163" s="925"/>
      <c r="DY163" s="925"/>
      <c r="DZ163" s="925"/>
      <c r="EA163" s="925"/>
      <c r="EB163" s="925"/>
      <c r="EC163" s="925"/>
      <c r="ED163" s="925"/>
      <c r="EE163" s="925"/>
      <c r="EF163" s="925"/>
      <c r="EG163" s="925"/>
      <c r="EH163" s="925"/>
      <c r="EI163" s="925"/>
      <c r="EJ163" s="925"/>
      <c r="EK163" s="925"/>
      <c r="EL163" s="925"/>
      <c r="EM163" s="925"/>
      <c r="EN163" s="925"/>
      <c r="EO163" s="925"/>
      <c r="EP163" s="925"/>
      <c r="EQ163" s="925"/>
      <c r="ER163" s="925"/>
      <c r="ES163" s="925"/>
      <c r="ET163" s="925"/>
      <c r="EV163" s="924"/>
      <c r="EW163" s="925"/>
      <c r="EX163" s="925"/>
      <c r="EY163" s="925"/>
    </row>
    <row r="164" spans="1:155" s="927" customFormat="1" ht="24" x14ac:dyDescent="0.25">
      <c r="A164" s="912" t="s">
        <v>360</v>
      </c>
      <c r="B164" s="913" t="s">
        <v>30</v>
      </c>
      <c r="C164" s="914">
        <v>1</v>
      </c>
      <c r="D164" s="914">
        <v>22544</v>
      </c>
      <c r="E164" s="915">
        <v>1.0549999999999999</v>
      </c>
      <c r="F164" s="916">
        <f t="shared" si="81"/>
        <v>23784</v>
      </c>
      <c r="G164" s="915">
        <v>1.01</v>
      </c>
      <c r="H164" s="916">
        <f t="shared" si="82"/>
        <v>24022</v>
      </c>
      <c r="I164" s="917">
        <f t="shared" si="83"/>
        <v>24022</v>
      </c>
      <c r="J164" s="918">
        <f t="shared" si="84"/>
        <v>0</v>
      </c>
      <c r="K164" s="919"/>
      <c r="L164" s="917">
        <f t="shared" si="85"/>
        <v>0</v>
      </c>
      <c r="M164" s="918">
        <f t="shared" si="86"/>
        <v>0</v>
      </c>
      <c r="N164" s="919"/>
      <c r="O164" s="917">
        <f t="shared" si="87"/>
        <v>0</v>
      </c>
      <c r="P164" s="918">
        <f t="shared" si="88"/>
        <v>0</v>
      </c>
      <c r="Q164" s="919"/>
      <c r="R164" s="917">
        <f t="shared" si="89"/>
        <v>0</v>
      </c>
      <c r="S164" s="918">
        <f t="shared" si="90"/>
        <v>0</v>
      </c>
      <c r="T164" s="919"/>
      <c r="U164" s="917">
        <f t="shared" si="91"/>
        <v>0</v>
      </c>
      <c r="V164" s="918">
        <f t="shared" si="92"/>
        <v>0</v>
      </c>
      <c r="W164" s="919"/>
      <c r="X164" s="917">
        <f t="shared" si="93"/>
        <v>0</v>
      </c>
      <c r="Y164" s="918">
        <f t="shared" si="94"/>
        <v>0.1</v>
      </c>
      <c r="Z164" s="919">
        <v>2254.4</v>
      </c>
      <c r="AA164" s="917">
        <f t="shared" si="95"/>
        <v>2402.1999999999998</v>
      </c>
      <c r="AB164" s="918">
        <f t="shared" si="96"/>
        <v>0.2</v>
      </c>
      <c r="AC164" s="919">
        <v>4508.8</v>
      </c>
      <c r="AD164" s="917">
        <f t="shared" si="97"/>
        <v>4804.3999999999996</v>
      </c>
      <c r="AE164" s="918">
        <f t="shared" si="98"/>
        <v>0</v>
      </c>
      <c r="AF164" s="919"/>
      <c r="AG164" s="917">
        <f t="shared" si="99"/>
        <v>0</v>
      </c>
      <c r="AH164" s="918">
        <f t="shared" si="100"/>
        <v>0</v>
      </c>
      <c r="AI164" s="919"/>
      <c r="AJ164" s="917">
        <f t="shared" si="101"/>
        <v>0</v>
      </c>
      <c r="AK164" s="918">
        <f t="shared" si="102"/>
        <v>0</v>
      </c>
      <c r="AL164" s="919"/>
      <c r="AM164" s="917">
        <f t="shared" si="103"/>
        <v>0</v>
      </c>
      <c r="AN164" s="920">
        <v>19242</v>
      </c>
      <c r="AO164" s="917">
        <f t="shared" si="104"/>
        <v>0</v>
      </c>
      <c r="AP164" s="920"/>
      <c r="AQ164" s="916">
        <f t="shared" si="105"/>
        <v>0</v>
      </c>
      <c r="AR164" s="917">
        <f t="shared" si="106"/>
        <v>31228.6</v>
      </c>
      <c r="AS164" s="916">
        <v>12</v>
      </c>
      <c r="AT164" s="921">
        <f t="shared" si="107"/>
        <v>374743.2</v>
      </c>
      <c r="AU164" s="920"/>
      <c r="AV164" s="922">
        <f t="shared" si="108"/>
        <v>3747.43</v>
      </c>
      <c r="AW164" s="921">
        <f t="shared" si="109"/>
        <v>378490.63</v>
      </c>
      <c r="AX164" s="921">
        <f t="shared" si="110"/>
        <v>114304.17</v>
      </c>
      <c r="AY164" s="921">
        <f t="shared" si="111"/>
        <v>492794.8</v>
      </c>
      <c r="AZ164" s="923">
        <f t="shared" si="112"/>
        <v>378.5</v>
      </c>
      <c r="BA164" s="923">
        <f t="shared" si="113"/>
        <v>114.3</v>
      </c>
      <c r="BB164" s="923">
        <f t="shared" si="114"/>
        <v>492.8</v>
      </c>
      <c r="BC164" s="915">
        <v>0.95</v>
      </c>
      <c r="BD164" s="923">
        <f t="shared" si="115"/>
        <v>359.6</v>
      </c>
      <c r="BE164" s="923">
        <f t="shared" si="116"/>
        <v>108.6</v>
      </c>
      <c r="BF164" s="923">
        <f t="shared" si="117"/>
        <v>468.2</v>
      </c>
      <c r="BG164" s="924">
        <f>'[3]свод (2024)'!$B$116</f>
        <v>0.99758349999999996</v>
      </c>
      <c r="BH164" s="923">
        <f t="shared" si="118"/>
        <v>358.7</v>
      </c>
      <c r="BI164" s="923">
        <f t="shared" si="119"/>
        <v>108.3</v>
      </c>
      <c r="BJ164" s="923">
        <f t="shared" si="120"/>
        <v>467</v>
      </c>
      <c r="BK164" s="925">
        <f t="shared" si="121"/>
        <v>-19.8</v>
      </c>
      <c r="BL164" s="925">
        <f t="shared" si="121"/>
        <v>-6</v>
      </c>
      <c r="BM164" s="925">
        <f t="shared" si="122"/>
        <v>-25.8</v>
      </c>
      <c r="BN164" s="925">
        <f t="shared" si="123"/>
        <v>0</v>
      </c>
      <c r="BO164" s="925">
        <f t="shared" si="124"/>
        <v>0</v>
      </c>
      <c r="BP164" s="926"/>
      <c r="BQ164" s="925">
        <f t="shared" si="125"/>
        <v>358.7</v>
      </c>
      <c r="BR164" s="925">
        <f t="shared" si="125"/>
        <v>108.3</v>
      </c>
      <c r="BS164" s="925">
        <f t="shared" si="126"/>
        <v>467</v>
      </c>
      <c r="BU164" s="928"/>
      <c r="BV164" s="917"/>
      <c r="BW164" s="928"/>
      <c r="BX164" s="928"/>
      <c r="BY164" s="928"/>
      <c r="BZ164" s="917"/>
      <c r="CA164" s="928"/>
      <c r="CB164" s="917"/>
      <c r="CC164" s="928"/>
      <c r="CD164" s="928"/>
      <c r="CE164" s="928"/>
      <c r="CF164" s="929"/>
      <c r="CG164" s="928"/>
      <c r="CH164" s="928"/>
      <c r="CI164" s="928"/>
      <c r="CJ164" s="925"/>
      <c r="CK164" s="925"/>
      <c r="CL164" s="925"/>
      <c r="CM164" s="925"/>
      <c r="CN164" s="925"/>
      <c r="CO164" s="925"/>
      <c r="CP164" s="925"/>
      <c r="CQ164" s="925"/>
      <c r="CR164" s="925"/>
      <c r="CS164" s="917"/>
      <c r="CT164" s="928"/>
      <c r="CU164" s="928"/>
      <c r="CV164" s="928"/>
      <c r="CX164" s="925"/>
      <c r="CY164" s="925"/>
      <c r="CZ164" s="925"/>
      <c r="DB164" s="925"/>
      <c r="DC164" s="925"/>
      <c r="DD164" s="925"/>
      <c r="DE164" s="925"/>
      <c r="DF164" s="925"/>
      <c r="DG164" s="925"/>
      <c r="DH164" s="925"/>
      <c r="DI164" s="925"/>
      <c r="DJ164" s="925"/>
      <c r="DK164" s="925"/>
      <c r="DL164" s="925"/>
      <c r="DM164" s="925"/>
      <c r="DN164" s="925"/>
      <c r="DO164" s="925"/>
      <c r="DP164" s="925"/>
      <c r="DQ164" s="924"/>
      <c r="DR164" s="925"/>
      <c r="DS164" s="925"/>
      <c r="DT164" s="925"/>
      <c r="DV164" s="925"/>
      <c r="DW164" s="925"/>
      <c r="DX164" s="925"/>
      <c r="DY164" s="925"/>
      <c r="DZ164" s="925"/>
      <c r="EA164" s="925"/>
      <c r="EB164" s="925"/>
      <c r="EC164" s="925"/>
      <c r="ED164" s="925"/>
      <c r="EE164" s="925"/>
      <c r="EF164" s="925"/>
      <c r="EG164" s="925"/>
      <c r="EH164" s="925"/>
      <c r="EI164" s="925"/>
      <c r="EJ164" s="925"/>
      <c r="EK164" s="925"/>
      <c r="EL164" s="925"/>
      <c r="EM164" s="925"/>
      <c r="EN164" s="925"/>
      <c r="EO164" s="925"/>
      <c r="EP164" s="925"/>
      <c r="EQ164" s="925"/>
      <c r="ER164" s="925"/>
      <c r="ES164" s="925"/>
      <c r="ET164" s="925"/>
      <c r="EV164" s="924"/>
      <c r="EW164" s="925"/>
      <c r="EX164" s="925"/>
      <c r="EY164" s="925"/>
    </row>
    <row r="165" spans="1:155" s="927" customFormat="1" ht="15.75" x14ac:dyDescent="0.25">
      <c r="A165" s="912" t="s">
        <v>360</v>
      </c>
      <c r="B165" s="913" t="s">
        <v>495</v>
      </c>
      <c r="C165" s="914">
        <v>1</v>
      </c>
      <c r="D165" s="914">
        <v>6707</v>
      </c>
      <c r="E165" s="915">
        <v>1.0549999999999999</v>
      </c>
      <c r="F165" s="916">
        <f t="shared" si="81"/>
        <v>7076</v>
      </c>
      <c r="G165" s="915">
        <v>1.01</v>
      </c>
      <c r="H165" s="916">
        <f t="shared" si="82"/>
        <v>7147</v>
      </c>
      <c r="I165" s="917">
        <f t="shared" si="83"/>
        <v>7147</v>
      </c>
      <c r="J165" s="918">
        <f t="shared" si="84"/>
        <v>0</v>
      </c>
      <c r="K165" s="919"/>
      <c r="L165" s="917">
        <f t="shared" si="85"/>
        <v>0</v>
      </c>
      <c r="M165" s="918">
        <f t="shared" si="86"/>
        <v>0</v>
      </c>
      <c r="N165" s="919"/>
      <c r="O165" s="917">
        <f t="shared" si="87"/>
        <v>0</v>
      </c>
      <c r="P165" s="918">
        <f t="shared" si="88"/>
        <v>0</v>
      </c>
      <c r="Q165" s="919"/>
      <c r="R165" s="917">
        <f t="shared" si="89"/>
        <v>0</v>
      </c>
      <c r="S165" s="918">
        <f t="shared" si="90"/>
        <v>1</v>
      </c>
      <c r="T165" s="919">
        <v>6707</v>
      </c>
      <c r="U165" s="917">
        <f t="shared" si="91"/>
        <v>7147</v>
      </c>
      <c r="V165" s="918">
        <f t="shared" si="92"/>
        <v>0</v>
      </c>
      <c r="W165" s="919"/>
      <c r="X165" s="917">
        <f t="shared" si="93"/>
        <v>0</v>
      </c>
      <c r="Y165" s="918">
        <f t="shared" si="94"/>
        <v>0</v>
      </c>
      <c r="Z165" s="919"/>
      <c r="AA165" s="917">
        <f t="shared" si="95"/>
        <v>0</v>
      </c>
      <c r="AB165" s="918">
        <f t="shared" si="96"/>
        <v>0.3</v>
      </c>
      <c r="AC165" s="919">
        <v>2012.1</v>
      </c>
      <c r="AD165" s="917">
        <f t="shared" si="97"/>
        <v>2144.1</v>
      </c>
      <c r="AE165" s="918">
        <f t="shared" si="98"/>
        <v>0</v>
      </c>
      <c r="AF165" s="919"/>
      <c r="AG165" s="917">
        <f t="shared" si="99"/>
        <v>0</v>
      </c>
      <c r="AH165" s="918">
        <f t="shared" si="100"/>
        <v>0</v>
      </c>
      <c r="AI165" s="919"/>
      <c r="AJ165" s="917">
        <f t="shared" si="101"/>
        <v>0</v>
      </c>
      <c r="AK165" s="918">
        <f t="shared" si="102"/>
        <v>0</v>
      </c>
      <c r="AL165" s="919"/>
      <c r="AM165" s="917">
        <f t="shared" si="103"/>
        <v>0</v>
      </c>
      <c r="AN165" s="920">
        <v>19242</v>
      </c>
      <c r="AO165" s="917">
        <f t="shared" si="104"/>
        <v>2803.9</v>
      </c>
      <c r="AP165" s="920"/>
      <c r="AQ165" s="916">
        <f t="shared" si="105"/>
        <v>0</v>
      </c>
      <c r="AR165" s="917">
        <f t="shared" si="106"/>
        <v>19242</v>
      </c>
      <c r="AS165" s="916">
        <v>12</v>
      </c>
      <c r="AT165" s="921">
        <f t="shared" si="107"/>
        <v>230904</v>
      </c>
      <c r="AU165" s="920"/>
      <c r="AV165" s="922">
        <f t="shared" si="108"/>
        <v>2309.04</v>
      </c>
      <c r="AW165" s="921">
        <f t="shared" si="109"/>
        <v>233213.04</v>
      </c>
      <c r="AX165" s="921">
        <f t="shared" si="110"/>
        <v>70430.34</v>
      </c>
      <c r="AY165" s="921">
        <f t="shared" si="111"/>
        <v>303643.38</v>
      </c>
      <c r="AZ165" s="923">
        <f t="shared" si="112"/>
        <v>233.2</v>
      </c>
      <c r="BA165" s="923">
        <f t="shared" si="113"/>
        <v>70.400000000000006</v>
      </c>
      <c r="BB165" s="923">
        <f t="shared" si="114"/>
        <v>303.60000000000002</v>
      </c>
      <c r="BC165" s="915">
        <v>0.95</v>
      </c>
      <c r="BD165" s="923">
        <f t="shared" si="115"/>
        <v>221.5</v>
      </c>
      <c r="BE165" s="923">
        <f t="shared" si="116"/>
        <v>66.900000000000006</v>
      </c>
      <c r="BF165" s="923">
        <f t="shared" si="117"/>
        <v>288.39999999999998</v>
      </c>
      <c r="BG165" s="924">
        <f>'[3]свод (2024)'!$B$116</f>
        <v>0.99758349999999996</v>
      </c>
      <c r="BH165" s="923">
        <f t="shared" si="118"/>
        <v>221</v>
      </c>
      <c r="BI165" s="923">
        <f t="shared" si="119"/>
        <v>66.7</v>
      </c>
      <c r="BJ165" s="923">
        <f t="shared" si="120"/>
        <v>287.7</v>
      </c>
      <c r="BK165" s="925">
        <f t="shared" si="121"/>
        <v>-12.2</v>
      </c>
      <c r="BL165" s="925">
        <f t="shared" si="121"/>
        <v>-3.7</v>
      </c>
      <c r="BM165" s="925">
        <f t="shared" si="122"/>
        <v>-15.9</v>
      </c>
      <c r="BN165" s="925">
        <f t="shared" si="123"/>
        <v>0</v>
      </c>
      <c r="BO165" s="925">
        <f t="shared" si="124"/>
        <v>0</v>
      </c>
      <c r="BP165" s="926"/>
      <c r="BQ165" s="925">
        <f t="shared" si="125"/>
        <v>221</v>
      </c>
      <c r="BR165" s="925">
        <f t="shared" si="125"/>
        <v>66.7</v>
      </c>
      <c r="BS165" s="925">
        <f t="shared" si="126"/>
        <v>287.7</v>
      </c>
      <c r="BU165" s="928"/>
      <c r="BV165" s="917"/>
      <c r="BW165" s="928"/>
      <c r="BX165" s="928"/>
      <c r="BY165" s="928"/>
      <c r="BZ165" s="917"/>
      <c r="CA165" s="928"/>
      <c r="CB165" s="917"/>
      <c r="CC165" s="928"/>
      <c r="CD165" s="928"/>
      <c r="CE165" s="928"/>
      <c r="CF165" s="929"/>
      <c r="CG165" s="928"/>
      <c r="CH165" s="928"/>
      <c r="CI165" s="928"/>
      <c r="CJ165" s="925"/>
      <c r="CK165" s="925"/>
      <c r="CL165" s="925"/>
      <c r="CM165" s="925"/>
      <c r="CN165" s="925"/>
      <c r="CO165" s="925"/>
      <c r="CP165" s="925"/>
      <c r="CQ165" s="925"/>
      <c r="CR165" s="925"/>
      <c r="CS165" s="917"/>
      <c r="CT165" s="928"/>
      <c r="CU165" s="928"/>
      <c r="CV165" s="928"/>
      <c r="CX165" s="925"/>
      <c r="CY165" s="925"/>
      <c r="CZ165" s="925"/>
      <c r="DB165" s="925"/>
      <c r="DC165" s="925"/>
      <c r="DD165" s="925"/>
      <c r="DE165" s="925"/>
      <c r="DF165" s="925"/>
      <c r="DG165" s="925"/>
      <c r="DH165" s="925"/>
      <c r="DI165" s="925"/>
      <c r="DJ165" s="925"/>
      <c r="DK165" s="925"/>
      <c r="DL165" s="925"/>
      <c r="DM165" s="925"/>
      <c r="DN165" s="925"/>
      <c r="DO165" s="925"/>
      <c r="DP165" s="925"/>
      <c r="DQ165" s="924"/>
      <c r="DR165" s="925"/>
      <c r="DS165" s="925"/>
      <c r="DT165" s="925"/>
      <c r="DV165" s="925"/>
      <c r="DW165" s="925"/>
      <c r="DX165" s="925"/>
      <c r="DY165" s="925"/>
      <c r="DZ165" s="925"/>
      <c r="EA165" s="925"/>
      <c r="EB165" s="925"/>
      <c r="EC165" s="925"/>
      <c r="ED165" s="925"/>
      <c r="EE165" s="925"/>
      <c r="EF165" s="925"/>
      <c r="EG165" s="925"/>
      <c r="EH165" s="925"/>
      <c r="EI165" s="925"/>
      <c r="EJ165" s="925"/>
      <c r="EK165" s="925"/>
      <c r="EL165" s="925"/>
      <c r="EM165" s="925"/>
      <c r="EN165" s="925"/>
      <c r="EO165" s="925"/>
      <c r="EP165" s="925"/>
      <c r="EQ165" s="925"/>
      <c r="ER165" s="925"/>
      <c r="ES165" s="925"/>
      <c r="ET165" s="925"/>
      <c r="EV165" s="924"/>
      <c r="EW165" s="925"/>
      <c r="EX165" s="925"/>
      <c r="EY165" s="925"/>
    </row>
    <row r="166" spans="1:155" s="927" customFormat="1" ht="15.75" x14ac:dyDescent="0.25">
      <c r="A166" s="912" t="s">
        <v>360</v>
      </c>
      <c r="B166" s="913" t="s">
        <v>1410</v>
      </c>
      <c r="C166" s="914">
        <v>1</v>
      </c>
      <c r="D166" s="914">
        <v>6707</v>
      </c>
      <c r="E166" s="915">
        <v>1.0549999999999999</v>
      </c>
      <c r="F166" s="916">
        <f t="shared" si="81"/>
        <v>7076</v>
      </c>
      <c r="G166" s="915">
        <v>1.01</v>
      </c>
      <c r="H166" s="916">
        <f t="shared" si="82"/>
        <v>7147</v>
      </c>
      <c r="I166" s="917">
        <f t="shared" si="83"/>
        <v>7147</v>
      </c>
      <c r="J166" s="918">
        <f t="shared" si="84"/>
        <v>0</v>
      </c>
      <c r="K166" s="919"/>
      <c r="L166" s="917">
        <f t="shared" si="85"/>
        <v>0</v>
      </c>
      <c r="M166" s="918">
        <f t="shared" si="86"/>
        <v>0</v>
      </c>
      <c r="N166" s="919"/>
      <c r="O166" s="917">
        <f t="shared" si="87"/>
        <v>0</v>
      </c>
      <c r="P166" s="918">
        <f t="shared" si="88"/>
        <v>0</v>
      </c>
      <c r="Q166" s="919"/>
      <c r="R166" s="917">
        <f t="shared" si="89"/>
        <v>0</v>
      </c>
      <c r="S166" s="918">
        <f t="shared" si="90"/>
        <v>0</v>
      </c>
      <c r="T166" s="919"/>
      <c r="U166" s="917">
        <f t="shared" si="91"/>
        <v>0</v>
      </c>
      <c r="V166" s="918">
        <f t="shared" si="92"/>
        <v>0</v>
      </c>
      <c r="W166" s="919"/>
      <c r="X166" s="917">
        <f t="shared" si="93"/>
        <v>0</v>
      </c>
      <c r="Y166" s="918">
        <f t="shared" si="94"/>
        <v>0</v>
      </c>
      <c r="Z166" s="919"/>
      <c r="AA166" s="917">
        <f t="shared" si="95"/>
        <v>0</v>
      </c>
      <c r="AB166" s="918">
        <f t="shared" si="96"/>
        <v>0</v>
      </c>
      <c r="AC166" s="919"/>
      <c r="AD166" s="917">
        <f t="shared" si="97"/>
        <v>0</v>
      </c>
      <c r="AE166" s="918">
        <f t="shared" si="98"/>
        <v>0</v>
      </c>
      <c r="AF166" s="919"/>
      <c r="AG166" s="917">
        <f t="shared" si="99"/>
        <v>0</v>
      </c>
      <c r="AH166" s="918">
        <f t="shared" si="100"/>
        <v>0</v>
      </c>
      <c r="AI166" s="919"/>
      <c r="AJ166" s="917">
        <f t="shared" si="101"/>
        <v>0</v>
      </c>
      <c r="AK166" s="918">
        <f t="shared" si="102"/>
        <v>0</v>
      </c>
      <c r="AL166" s="919"/>
      <c r="AM166" s="917">
        <f t="shared" si="103"/>
        <v>0</v>
      </c>
      <c r="AN166" s="920">
        <v>19242</v>
      </c>
      <c r="AO166" s="917">
        <f t="shared" si="104"/>
        <v>12095</v>
      </c>
      <c r="AP166" s="920"/>
      <c r="AQ166" s="916">
        <f t="shared" si="105"/>
        <v>0</v>
      </c>
      <c r="AR166" s="917">
        <f t="shared" si="106"/>
        <v>19242</v>
      </c>
      <c r="AS166" s="916">
        <v>12</v>
      </c>
      <c r="AT166" s="921">
        <f t="shared" si="107"/>
        <v>230904</v>
      </c>
      <c r="AU166" s="920"/>
      <c r="AV166" s="922">
        <f t="shared" si="108"/>
        <v>2309.04</v>
      </c>
      <c r="AW166" s="921">
        <f t="shared" si="109"/>
        <v>233213.04</v>
      </c>
      <c r="AX166" s="921">
        <f t="shared" si="110"/>
        <v>70430.34</v>
      </c>
      <c r="AY166" s="921">
        <f t="shared" si="111"/>
        <v>303643.38</v>
      </c>
      <c r="AZ166" s="923">
        <f t="shared" si="112"/>
        <v>233.2</v>
      </c>
      <c r="BA166" s="923">
        <f t="shared" si="113"/>
        <v>70.400000000000006</v>
      </c>
      <c r="BB166" s="923">
        <f t="shared" si="114"/>
        <v>303.60000000000002</v>
      </c>
      <c r="BC166" s="915">
        <v>0.95</v>
      </c>
      <c r="BD166" s="923">
        <f t="shared" si="115"/>
        <v>221.5</v>
      </c>
      <c r="BE166" s="923">
        <f t="shared" si="116"/>
        <v>66.900000000000006</v>
      </c>
      <c r="BF166" s="923">
        <f t="shared" si="117"/>
        <v>288.39999999999998</v>
      </c>
      <c r="BG166" s="924">
        <f>'[3]свод (2024)'!$B$116</f>
        <v>0.99758349999999996</v>
      </c>
      <c r="BH166" s="923">
        <f t="shared" si="118"/>
        <v>221</v>
      </c>
      <c r="BI166" s="923">
        <f t="shared" si="119"/>
        <v>66.7</v>
      </c>
      <c r="BJ166" s="923">
        <f t="shared" si="120"/>
        <v>287.7</v>
      </c>
      <c r="BK166" s="925">
        <f t="shared" si="121"/>
        <v>-12.2</v>
      </c>
      <c r="BL166" s="925">
        <f t="shared" si="121"/>
        <v>-3.7</v>
      </c>
      <c r="BM166" s="925">
        <f t="shared" si="122"/>
        <v>-15.9</v>
      </c>
      <c r="BN166" s="925">
        <f t="shared" si="123"/>
        <v>0</v>
      </c>
      <c r="BO166" s="925">
        <f t="shared" si="124"/>
        <v>0</v>
      </c>
      <c r="BP166" s="926"/>
      <c r="BQ166" s="925">
        <f t="shared" si="125"/>
        <v>221</v>
      </c>
      <c r="BR166" s="925">
        <f t="shared" si="125"/>
        <v>66.7</v>
      </c>
      <c r="BS166" s="925">
        <f t="shared" si="126"/>
        <v>287.7</v>
      </c>
      <c r="BU166" s="928"/>
      <c r="BV166" s="917"/>
      <c r="BW166" s="928"/>
      <c r="BX166" s="928"/>
      <c r="BY166" s="928"/>
      <c r="BZ166" s="917"/>
      <c r="CA166" s="928"/>
      <c r="CB166" s="917"/>
      <c r="CC166" s="928"/>
      <c r="CD166" s="928"/>
      <c r="CE166" s="928"/>
      <c r="CF166" s="929"/>
      <c r="CG166" s="928"/>
      <c r="CH166" s="928"/>
      <c r="CI166" s="928"/>
      <c r="CJ166" s="925"/>
      <c r="CK166" s="925"/>
      <c r="CL166" s="925"/>
      <c r="CM166" s="925"/>
      <c r="CN166" s="925"/>
      <c r="CO166" s="925"/>
      <c r="CP166" s="925"/>
      <c r="CQ166" s="925"/>
      <c r="CR166" s="925"/>
      <c r="CS166" s="917"/>
      <c r="CT166" s="928"/>
      <c r="CU166" s="928"/>
      <c r="CV166" s="928"/>
      <c r="CX166" s="925"/>
      <c r="CY166" s="925"/>
      <c r="CZ166" s="925"/>
      <c r="DB166" s="925"/>
      <c r="DC166" s="925"/>
      <c r="DD166" s="925"/>
      <c r="DE166" s="925"/>
      <c r="DF166" s="925"/>
      <c r="DG166" s="925"/>
      <c r="DH166" s="925"/>
      <c r="DI166" s="925"/>
      <c r="DJ166" s="925"/>
      <c r="DK166" s="925"/>
      <c r="DL166" s="925"/>
      <c r="DM166" s="925"/>
      <c r="DN166" s="925"/>
      <c r="DO166" s="925"/>
      <c r="DP166" s="925"/>
      <c r="DQ166" s="924"/>
      <c r="DR166" s="925"/>
      <c r="DS166" s="925"/>
      <c r="DT166" s="925"/>
      <c r="DV166" s="925"/>
      <c r="DW166" s="925"/>
      <c r="DX166" s="925"/>
      <c r="DY166" s="925"/>
      <c r="DZ166" s="925"/>
      <c r="EA166" s="925"/>
      <c r="EB166" s="925"/>
      <c r="EC166" s="925"/>
      <c r="ED166" s="925"/>
      <c r="EE166" s="925"/>
      <c r="EF166" s="925"/>
      <c r="EG166" s="925"/>
      <c r="EH166" s="925"/>
      <c r="EI166" s="925"/>
      <c r="EJ166" s="925"/>
      <c r="EK166" s="925"/>
      <c r="EL166" s="925"/>
      <c r="EM166" s="925"/>
      <c r="EN166" s="925"/>
      <c r="EO166" s="925"/>
      <c r="EP166" s="925"/>
      <c r="EQ166" s="925"/>
      <c r="ER166" s="925"/>
      <c r="ES166" s="925"/>
      <c r="ET166" s="925"/>
      <c r="EV166" s="924"/>
      <c r="EW166" s="925"/>
      <c r="EX166" s="925"/>
      <c r="EY166" s="925"/>
    </row>
    <row r="167" spans="1:155" s="927" customFormat="1" ht="15.75" x14ac:dyDescent="0.25">
      <c r="A167" s="912" t="s">
        <v>360</v>
      </c>
      <c r="B167" s="913" t="s">
        <v>1385</v>
      </c>
      <c r="C167" s="914">
        <v>0.5</v>
      </c>
      <c r="D167" s="914">
        <v>7038</v>
      </c>
      <c r="E167" s="915">
        <v>1.0549999999999999</v>
      </c>
      <c r="F167" s="916">
        <f t="shared" si="81"/>
        <v>7426</v>
      </c>
      <c r="G167" s="915">
        <v>1.01</v>
      </c>
      <c r="H167" s="916">
        <f t="shared" si="82"/>
        <v>7501</v>
      </c>
      <c r="I167" s="917">
        <f t="shared" si="83"/>
        <v>3750.5</v>
      </c>
      <c r="J167" s="918">
        <f t="shared" si="84"/>
        <v>0</v>
      </c>
      <c r="K167" s="919"/>
      <c r="L167" s="917">
        <f t="shared" si="85"/>
        <v>0</v>
      </c>
      <c r="M167" s="918">
        <f t="shared" si="86"/>
        <v>0</v>
      </c>
      <c r="N167" s="919"/>
      <c r="O167" s="917">
        <f t="shared" si="87"/>
        <v>0</v>
      </c>
      <c r="P167" s="918">
        <f t="shared" si="88"/>
        <v>0</v>
      </c>
      <c r="Q167" s="919"/>
      <c r="R167" s="917">
        <f t="shared" si="89"/>
        <v>0</v>
      </c>
      <c r="S167" s="918">
        <f t="shared" si="90"/>
        <v>0</v>
      </c>
      <c r="T167" s="919"/>
      <c r="U167" s="917">
        <f t="shared" si="91"/>
        <v>0</v>
      </c>
      <c r="V167" s="918">
        <f t="shared" si="92"/>
        <v>0</v>
      </c>
      <c r="W167" s="919"/>
      <c r="X167" s="917">
        <f t="shared" si="93"/>
        <v>0</v>
      </c>
      <c r="Y167" s="918">
        <f t="shared" si="94"/>
        <v>0</v>
      </c>
      <c r="Z167" s="919"/>
      <c r="AA167" s="917">
        <f t="shared" si="95"/>
        <v>0</v>
      </c>
      <c r="AB167" s="918">
        <f t="shared" si="96"/>
        <v>0.2</v>
      </c>
      <c r="AC167" s="919">
        <v>703.8</v>
      </c>
      <c r="AD167" s="917">
        <f t="shared" si="97"/>
        <v>750.1</v>
      </c>
      <c r="AE167" s="918">
        <f t="shared" si="98"/>
        <v>0</v>
      </c>
      <c r="AF167" s="919"/>
      <c r="AG167" s="917">
        <f t="shared" si="99"/>
        <v>0</v>
      </c>
      <c r="AH167" s="918">
        <f t="shared" si="100"/>
        <v>0</v>
      </c>
      <c r="AI167" s="919"/>
      <c r="AJ167" s="917">
        <f t="shared" si="101"/>
        <v>0</v>
      </c>
      <c r="AK167" s="918">
        <f t="shared" si="102"/>
        <v>0</v>
      </c>
      <c r="AL167" s="919"/>
      <c r="AM167" s="917">
        <f t="shared" si="103"/>
        <v>0</v>
      </c>
      <c r="AN167" s="920">
        <v>19242</v>
      </c>
      <c r="AO167" s="917">
        <f t="shared" si="104"/>
        <v>5120.3999999999996</v>
      </c>
      <c r="AP167" s="920"/>
      <c r="AQ167" s="916">
        <f t="shared" si="105"/>
        <v>0</v>
      </c>
      <c r="AR167" s="917">
        <f t="shared" si="106"/>
        <v>9621</v>
      </c>
      <c r="AS167" s="916">
        <v>12</v>
      </c>
      <c r="AT167" s="921">
        <f t="shared" si="107"/>
        <v>115452</v>
      </c>
      <c r="AU167" s="920"/>
      <c r="AV167" s="922">
        <f t="shared" si="108"/>
        <v>1154.52</v>
      </c>
      <c r="AW167" s="921">
        <f t="shared" si="109"/>
        <v>116606.52</v>
      </c>
      <c r="AX167" s="921">
        <f t="shared" si="110"/>
        <v>35215.17</v>
      </c>
      <c r="AY167" s="921">
        <f t="shared" si="111"/>
        <v>151821.69</v>
      </c>
      <c r="AZ167" s="923">
        <f t="shared" si="112"/>
        <v>116.6</v>
      </c>
      <c r="BA167" s="923">
        <f t="shared" si="113"/>
        <v>35.200000000000003</v>
      </c>
      <c r="BB167" s="923">
        <f t="shared" si="114"/>
        <v>151.80000000000001</v>
      </c>
      <c r="BC167" s="915">
        <v>0.95</v>
      </c>
      <c r="BD167" s="923">
        <f t="shared" si="115"/>
        <v>110.8</v>
      </c>
      <c r="BE167" s="923">
        <f t="shared" si="116"/>
        <v>33.5</v>
      </c>
      <c r="BF167" s="923">
        <f t="shared" si="117"/>
        <v>144.30000000000001</v>
      </c>
      <c r="BG167" s="924">
        <f>'[3]свод (2024)'!$B$116</f>
        <v>0.99758349999999996</v>
      </c>
      <c r="BH167" s="923">
        <f t="shared" si="118"/>
        <v>110.5</v>
      </c>
      <c r="BI167" s="923">
        <f t="shared" si="119"/>
        <v>33.4</v>
      </c>
      <c r="BJ167" s="923">
        <f t="shared" si="120"/>
        <v>143.9</v>
      </c>
      <c r="BK167" s="925">
        <f t="shared" si="121"/>
        <v>-6.1</v>
      </c>
      <c r="BL167" s="925">
        <f t="shared" si="121"/>
        <v>-1.8</v>
      </c>
      <c r="BM167" s="925">
        <f t="shared" si="122"/>
        <v>-7.9</v>
      </c>
      <c r="BN167" s="925">
        <f t="shared" si="123"/>
        <v>0</v>
      </c>
      <c r="BO167" s="925">
        <f t="shared" si="124"/>
        <v>0</v>
      </c>
      <c r="BP167" s="926"/>
      <c r="BQ167" s="925">
        <f t="shared" si="125"/>
        <v>110.5</v>
      </c>
      <c r="BR167" s="925">
        <f t="shared" si="125"/>
        <v>33.4</v>
      </c>
      <c r="BS167" s="925">
        <f t="shared" si="126"/>
        <v>143.9</v>
      </c>
      <c r="BU167" s="928"/>
      <c r="BV167" s="917"/>
      <c r="BW167" s="928"/>
      <c r="BX167" s="928"/>
      <c r="BY167" s="928"/>
      <c r="BZ167" s="917"/>
      <c r="CA167" s="928"/>
      <c r="CB167" s="917"/>
      <c r="CC167" s="928"/>
      <c r="CD167" s="928"/>
      <c r="CE167" s="928"/>
      <c r="CF167" s="929"/>
      <c r="CG167" s="928"/>
      <c r="CH167" s="928"/>
      <c r="CI167" s="928"/>
      <c r="CJ167" s="925"/>
      <c r="CK167" s="925"/>
      <c r="CL167" s="925"/>
      <c r="CM167" s="925"/>
      <c r="CN167" s="925"/>
      <c r="CO167" s="925"/>
      <c r="CP167" s="925"/>
      <c r="CQ167" s="925"/>
      <c r="CR167" s="925"/>
      <c r="CS167" s="917"/>
      <c r="CT167" s="928"/>
      <c r="CU167" s="928"/>
      <c r="CV167" s="928"/>
      <c r="CX167" s="925"/>
      <c r="CY167" s="925"/>
      <c r="CZ167" s="925"/>
      <c r="DB167" s="925"/>
      <c r="DC167" s="925"/>
      <c r="DD167" s="925"/>
      <c r="DE167" s="925"/>
      <c r="DF167" s="925"/>
      <c r="DG167" s="925"/>
      <c r="DH167" s="925"/>
      <c r="DI167" s="925"/>
      <c r="DJ167" s="925"/>
      <c r="DK167" s="925"/>
      <c r="DL167" s="925"/>
      <c r="DM167" s="925"/>
      <c r="DN167" s="925"/>
      <c r="DO167" s="925"/>
      <c r="DP167" s="925"/>
      <c r="DQ167" s="924"/>
      <c r="DR167" s="925"/>
      <c r="DS167" s="925"/>
      <c r="DT167" s="925"/>
      <c r="DV167" s="925"/>
      <c r="DW167" s="925"/>
      <c r="DX167" s="925"/>
      <c r="DY167" s="925"/>
      <c r="DZ167" s="925"/>
      <c r="EA167" s="925"/>
      <c r="EB167" s="925"/>
      <c r="EC167" s="925"/>
      <c r="ED167" s="925"/>
      <c r="EE167" s="925"/>
      <c r="EF167" s="925"/>
      <c r="EG167" s="925"/>
      <c r="EH167" s="925"/>
      <c r="EI167" s="925"/>
      <c r="EJ167" s="925"/>
      <c r="EK167" s="925"/>
      <c r="EL167" s="925"/>
      <c r="EM167" s="925"/>
      <c r="EN167" s="925"/>
      <c r="EO167" s="925"/>
      <c r="EP167" s="925"/>
      <c r="EQ167" s="925"/>
      <c r="ER167" s="925"/>
      <c r="ES167" s="925"/>
      <c r="ET167" s="925"/>
      <c r="EV167" s="924"/>
      <c r="EW167" s="925"/>
      <c r="EX167" s="925"/>
      <c r="EY167" s="925"/>
    </row>
    <row r="168" spans="1:155" s="927" customFormat="1" ht="15.75" x14ac:dyDescent="0.25">
      <c r="A168" s="912" t="s">
        <v>360</v>
      </c>
      <c r="B168" s="913" t="s">
        <v>36</v>
      </c>
      <c r="C168" s="914">
        <v>3.5</v>
      </c>
      <c r="D168" s="914">
        <v>13772</v>
      </c>
      <c r="E168" s="915">
        <v>1.0549999999999999</v>
      </c>
      <c r="F168" s="916">
        <f t="shared" si="81"/>
        <v>14530</v>
      </c>
      <c r="G168" s="915">
        <v>1.01</v>
      </c>
      <c r="H168" s="916">
        <f t="shared" si="82"/>
        <v>14676</v>
      </c>
      <c r="I168" s="917">
        <f t="shared" si="83"/>
        <v>51366</v>
      </c>
      <c r="J168" s="918">
        <f t="shared" si="84"/>
        <v>0.10714</v>
      </c>
      <c r="K168" s="919">
        <v>5164.5</v>
      </c>
      <c r="L168" s="917">
        <f t="shared" si="85"/>
        <v>5503.35</v>
      </c>
      <c r="M168" s="918">
        <f t="shared" si="86"/>
        <v>0</v>
      </c>
      <c r="N168" s="919"/>
      <c r="O168" s="917">
        <f t="shared" si="87"/>
        <v>0</v>
      </c>
      <c r="P168" s="918">
        <f t="shared" si="88"/>
        <v>0</v>
      </c>
      <c r="Q168" s="919"/>
      <c r="R168" s="917">
        <f t="shared" si="89"/>
        <v>0</v>
      </c>
      <c r="S168" s="918">
        <f t="shared" si="90"/>
        <v>0</v>
      </c>
      <c r="T168" s="919"/>
      <c r="U168" s="917">
        <f t="shared" si="91"/>
        <v>0</v>
      </c>
      <c r="V168" s="918">
        <f t="shared" si="92"/>
        <v>0</v>
      </c>
      <c r="W168" s="919"/>
      <c r="X168" s="917">
        <f t="shared" si="93"/>
        <v>0</v>
      </c>
      <c r="Y168" s="918">
        <f t="shared" si="94"/>
        <v>0</v>
      </c>
      <c r="Z168" s="919"/>
      <c r="AA168" s="917">
        <f t="shared" si="95"/>
        <v>0</v>
      </c>
      <c r="AB168" s="918">
        <f t="shared" si="96"/>
        <v>0.15714</v>
      </c>
      <c r="AC168" s="919">
        <v>7574.6</v>
      </c>
      <c r="AD168" s="917">
        <f t="shared" si="97"/>
        <v>8071.65</v>
      </c>
      <c r="AE168" s="918">
        <f t="shared" si="98"/>
        <v>0</v>
      </c>
      <c r="AF168" s="919"/>
      <c r="AG168" s="917">
        <f t="shared" si="99"/>
        <v>0</v>
      </c>
      <c r="AH168" s="918">
        <f t="shared" si="100"/>
        <v>0</v>
      </c>
      <c r="AI168" s="919"/>
      <c r="AJ168" s="917">
        <f t="shared" si="101"/>
        <v>0</v>
      </c>
      <c r="AK168" s="918">
        <f t="shared" si="102"/>
        <v>0</v>
      </c>
      <c r="AL168" s="919"/>
      <c r="AM168" s="917">
        <f t="shared" si="103"/>
        <v>0</v>
      </c>
      <c r="AN168" s="920">
        <v>19242</v>
      </c>
      <c r="AO168" s="917">
        <f t="shared" si="104"/>
        <v>2406</v>
      </c>
      <c r="AP168" s="920"/>
      <c r="AQ168" s="916">
        <f t="shared" si="105"/>
        <v>0</v>
      </c>
      <c r="AR168" s="917">
        <f t="shared" si="106"/>
        <v>67347</v>
      </c>
      <c r="AS168" s="916">
        <v>12</v>
      </c>
      <c r="AT168" s="921">
        <f t="shared" si="107"/>
        <v>808164</v>
      </c>
      <c r="AU168" s="920"/>
      <c r="AV168" s="922">
        <f t="shared" si="108"/>
        <v>8081.64</v>
      </c>
      <c r="AW168" s="921">
        <f t="shared" si="109"/>
        <v>816245.64</v>
      </c>
      <c r="AX168" s="921">
        <f t="shared" si="110"/>
        <v>246506.18</v>
      </c>
      <c r="AY168" s="921">
        <f t="shared" si="111"/>
        <v>1062751.82</v>
      </c>
      <c r="AZ168" s="923">
        <f t="shared" si="112"/>
        <v>816.2</v>
      </c>
      <c r="BA168" s="923">
        <f t="shared" si="113"/>
        <v>246.5</v>
      </c>
      <c r="BB168" s="923">
        <f t="shared" si="114"/>
        <v>1062.7</v>
      </c>
      <c r="BC168" s="915">
        <v>0.95</v>
      </c>
      <c r="BD168" s="923">
        <f t="shared" si="115"/>
        <v>775.4</v>
      </c>
      <c r="BE168" s="923">
        <f t="shared" si="116"/>
        <v>234.2</v>
      </c>
      <c r="BF168" s="923">
        <f t="shared" si="117"/>
        <v>1009.6</v>
      </c>
      <c r="BG168" s="924">
        <f>'[3]свод (2024)'!$B$116</f>
        <v>0.99758349999999996</v>
      </c>
      <c r="BH168" s="923">
        <f t="shared" si="118"/>
        <v>773.5</v>
      </c>
      <c r="BI168" s="923">
        <f t="shared" si="119"/>
        <v>233.6</v>
      </c>
      <c r="BJ168" s="923">
        <f t="shared" si="120"/>
        <v>1007.1</v>
      </c>
      <c r="BK168" s="925">
        <f t="shared" si="121"/>
        <v>-42.7</v>
      </c>
      <c r="BL168" s="925">
        <f t="shared" si="121"/>
        <v>-12.9</v>
      </c>
      <c r="BM168" s="925">
        <f t="shared" si="122"/>
        <v>-55.6</v>
      </c>
      <c r="BN168" s="925">
        <f t="shared" si="123"/>
        <v>0</v>
      </c>
      <c r="BO168" s="925">
        <f t="shared" si="124"/>
        <v>0</v>
      </c>
      <c r="BP168" s="926"/>
      <c r="BQ168" s="925">
        <f t="shared" si="125"/>
        <v>773.5</v>
      </c>
      <c r="BR168" s="925">
        <f t="shared" si="125"/>
        <v>233.6</v>
      </c>
      <c r="BS168" s="925">
        <f t="shared" si="126"/>
        <v>1007.1</v>
      </c>
      <c r="BU168" s="928">
        <f t="shared" si="127"/>
        <v>3.5</v>
      </c>
      <c r="BV168" s="917"/>
      <c r="BW168" s="928"/>
      <c r="BX168" s="928">
        <f t="shared" si="128"/>
        <v>816245.64</v>
      </c>
      <c r="BY168" s="928"/>
      <c r="BZ168" s="917"/>
      <c r="CA168" s="928"/>
      <c r="CB168" s="917"/>
      <c r="CC168" s="928"/>
      <c r="CD168" s="928"/>
      <c r="CE168" s="928"/>
      <c r="CF168" s="929">
        <f>CC$184/BU$184*BU168</f>
        <v>275905.40000000002</v>
      </c>
      <c r="CG168" s="928"/>
      <c r="CH168" s="928"/>
      <c r="CI168" s="928"/>
      <c r="CJ168" s="925"/>
      <c r="CK168" s="925"/>
      <c r="CL168" s="925"/>
      <c r="CM168" s="925"/>
      <c r="CN168" s="925"/>
      <c r="CO168" s="925"/>
      <c r="CP168" s="925"/>
      <c r="CQ168" s="925"/>
      <c r="CR168" s="925"/>
      <c r="CS168" s="917"/>
      <c r="CT168" s="928"/>
      <c r="CU168" s="928"/>
      <c r="CV168" s="928"/>
      <c r="CX168" s="925"/>
      <c r="CY168" s="925"/>
      <c r="CZ168" s="925"/>
      <c r="DB168" s="925"/>
      <c r="DC168" s="925"/>
      <c r="DD168" s="925"/>
      <c r="DE168" s="925"/>
      <c r="DF168" s="925"/>
      <c r="DG168" s="925"/>
      <c r="DH168" s="925"/>
      <c r="DI168" s="925"/>
      <c r="DJ168" s="925"/>
      <c r="DK168" s="925"/>
      <c r="DL168" s="925"/>
      <c r="DM168" s="925"/>
      <c r="DN168" s="925"/>
      <c r="DO168" s="925"/>
      <c r="DP168" s="925"/>
      <c r="DQ168" s="924"/>
      <c r="DR168" s="925"/>
      <c r="DS168" s="925"/>
      <c r="DT168" s="925"/>
      <c r="DV168" s="925"/>
      <c r="DW168" s="925"/>
      <c r="DX168" s="925"/>
      <c r="DY168" s="925"/>
      <c r="DZ168" s="925"/>
      <c r="EA168" s="925"/>
      <c r="EB168" s="925"/>
      <c r="EC168" s="925"/>
      <c r="ED168" s="925"/>
      <c r="EE168" s="925"/>
      <c r="EF168" s="925"/>
      <c r="EG168" s="925"/>
      <c r="EH168" s="925"/>
      <c r="EI168" s="925"/>
      <c r="EJ168" s="925"/>
      <c r="EK168" s="925"/>
      <c r="EL168" s="925"/>
      <c r="EM168" s="925"/>
      <c r="EN168" s="925"/>
      <c r="EO168" s="925"/>
      <c r="EP168" s="925"/>
      <c r="EQ168" s="925"/>
      <c r="ER168" s="925"/>
      <c r="ES168" s="925"/>
      <c r="ET168" s="925"/>
      <c r="EV168" s="924"/>
      <c r="EW168" s="925"/>
      <c r="EX168" s="925"/>
      <c r="EY168" s="925"/>
    </row>
    <row r="169" spans="1:155" s="927" customFormat="1" ht="15.75" x14ac:dyDescent="0.25">
      <c r="A169" s="912" t="s">
        <v>360</v>
      </c>
      <c r="B169" s="913" t="s">
        <v>43</v>
      </c>
      <c r="C169" s="914">
        <v>2.5</v>
      </c>
      <c r="D169" s="914">
        <v>6707</v>
      </c>
      <c r="E169" s="915">
        <v>1.0549999999999999</v>
      </c>
      <c r="F169" s="916">
        <f t="shared" si="81"/>
        <v>7076</v>
      </c>
      <c r="G169" s="915">
        <v>1.01</v>
      </c>
      <c r="H169" s="916">
        <f t="shared" si="82"/>
        <v>7147</v>
      </c>
      <c r="I169" s="917">
        <f t="shared" si="83"/>
        <v>17867.5</v>
      </c>
      <c r="J169" s="918">
        <f t="shared" si="84"/>
        <v>0</v>
      </c>
      <c r="K169" s="919"/>
      <c r="L169" s="917">
        <f t="shared" si="85"/>
        <v>0</v>
      </c>
      <c r="M169" s="918">
        <f t="shared" si="86"/>
        <v>0</v>
      </c>
      <c r="N169" s="919"/>
      <c r="O169" s="917">
        <f t="shared" si="87"/>
        <v>0</v>
      </c>
      <c r="P169" s="918">
        <f t="shared" si="88"/>
        <v>0</v>
      </c>
      <c r="Q169" s="919"/>
      <c r="R169" s="917">
        <f t="shared" si="89"/>
        <v>0</v>
      </c>
      <c r="S169" s="918">
        <f t="shared" si="90"/>
        <v>0</v>
      </c>
      <c r="T169" s="919"/>
      <c r="U169" s="917">
        <f t="shared" si="91"/>
        <v>0</v>
      </c>
      <c r="V169" s="918">
        <f t="shared" si="92"/>
        <v>0</v>
      </c>
      <c r="W169" s="919"/>
      <c r="X169" s="917">
        <f t="shared" si="93"/>
        <v>0</v>
      </c>
      <c r="Y169" s="918">
        <f t="shared" si="94"/>
        <v>0</v>
      </c>
      <c r="Z169" s="919"/>
      <c r="AA169" s="917">
        <f t="shared" si="95"/>
        <v>0</v>
      </c>
      <c r="AB169" s="918">
        <f t="shared" si="96"/>
        <v>0.15</v>
      </c>
      <c r="AC169" s="919">
        <v>2515.13</v>
      </c>
      <c r="AD169" s="917">
        <f t="shared" si="97"/>
        <v>2680.13</v>
      </c>
      <c r="AE169" s="918">
        <f t="shared" si="98"/>
        <v>0</v>
      </c>
      <c r="AF169" s="919"/>
      <c r="AG169" s="917">
        <f t="shared" si="99"/>
        <v>0</v>
      </c>
      <c r="AH169" s="918">
        <f t="shared" si="100"/>
        <v>0</v>
      </c>
      <c r="AI169" s="919"/>
      <c r="AJ169" s="917">
        <f t="shared" si="101"/>
        <v>0</v>
      </c>
      <c r="AK169" s="918">
        <f t="shared" si="102"/>
        <v>0</v>
      </c>
      <c r="AL169" s="919"/>
      <c r="AM169" s="917">
        <f t="shared" si="103"/>
        <v>0</v>
      </c>
      <c r="AN169" s="920">
        <v>19242</v>
      </c>
      <c r="AO169" s="917">
        <f t="shared" si="104"/>
        <v>27557.37</v>
      </c>
      <c r="AP169" s="920"/>
      <c r="AQ169" s="916">
        <f t="shared" si="105"/>
        <v>0</v>
      </c>
      <c r="AR169" s="917">
        <f t="shared" si="106"/>
        <v>48105</v>
      </c>
      <c r="AS169" s="916">
        <v>12</v>
      </c>
      <c r="AT169" s="921">
        <f t="shared" si="107"/>
        <v>577260</v>
      </c>
      <c r="AU169" s="920"/>
      <c r="AV169" s="922">
        <f t="shared" si="108"/>
        <v>5772.6</v>
      </c>
      <c r="AW169" s="921">
        <f t="shared" si="109"/>
        <v>583032.6</v>
      </c>
      <c r="AX169" s="921">
        <f t="shared" si="110"/>
        <v>176075.85</v>
      </c>
      <c r="AY169" s="921">
        <f t="shared" si="111"/>
        <v>759108.45</v>
      </c>
      <c r="AZ169" s="923">
        <f t="shared" si="112"/>
        <v>583</v>
      </c>
      <c r="BA169" s="923">
        <f t="shared" si="113"/>
        <v>176.1</v>
      </c>
      <c r="BB169" s="923">
        <f t="shared" si="114"/>
        <v>759.1</v>
      </c>
      <c r="BC169" s="915">
        <v>0.95</v>
      </c>
      <c r="BD169" s="923">
        <f t="shared" si="115"/>
        <v>553.9</v>
      </c>
      <c r="BE169" s="923">
        <f t="shared" si="116"/>
        <v>167.3</v>
      </c>
      <c r="BF169" s="923">
        <f t="shared" si="117"/>
        <v>721.2</v>
      </c>
      <c r="BG169" s="924">
        <f>'[3]свод (2024)'!$B$116</f>
        <v>0.99758349999999996</v>
      </c>
      <c r="BH169" s="923">
        <f t="shared" si="118"/>
        <v>552.6</v>
      </c>
      <c r="BI169" s="923">
        <f t="shared" si="119"/>
        <v>166.9</v>
      </c>
      <c r="BJ169" s="923">
        <f t="shared" si="120"/>
        <v>719.5</v>
      </c>
      <c r="BK169" s="925">
        <f t="shared" si="121"/>
        <v>-30.4</v>
      </c>
      <c r="BL169" s="925">
        <f t="shared" si="121"/>
        <v>-9.1999999999999993</v>
      </c>
      <c r="BM169" s="925">
        <f t="shared" si="122"/>
        <v>-39.6</v>
      </c>
      <c r="BN169" s="925">
        <f t="shared" si="123"/>
        <v>0</v>
      </c>
      <c r="BO169" s="925">
        <f t="shared" si="124"/>
        <v>0</v>
      </c>
      <c r="BP169" s="926"/>
      <c r="BQ169" s="925">
        <f t="shared" si="125"/>
        <v>552.6</v>
      </c>
      <c r="BR169" s="925">
        <f t="shared" si="125"/>
        <v>166.9</v>
      </c>
      <c r="BS169" s="925">
        <f t="shared" si="126"/>
        <v>719.5</v>
      </c>
      <c r="BU169" s="928"/>
      <c r="BV169" s="917"/>
      <c r="BW169" s="928"/>
      <c r="BX169" s="928"/>
      <c r="BY169" s="928"/>
      <c r="BZ169" s="917"/>
      <c r="CA169" s="928"/>
      <c r="CB169" s="917"/>
      <c r="CC169" s="928"/>
      <c r="CD169" s="928"/>
      <c r="CE169" s="928"/>
      <c r="CF169" s="929"/>
      <c r="CG169" s="928"/>
      <c r="CH169" s="928"/>
      <c r="CI169" s="928"/>
      <c r="CJ169" s="925"/>
      <c r="CK169" s="925"/>
      <c r="CL169" s="925"/>
      <c r="CM169" s="925"/>
      <c r="CN169" s="925"/>
      <c r="CO169" s="925"/>
      <c r="CP169" s="925"/>
      <c r="CQ169" s="925"/>
      <c r="CR169" s="925"/>
      <c r="CS169" s="917"/>
      <c r="CT169" s="928"/>
      <c r="CU169" s="928"/>
      <c r="CV169" s="928"/>
      <c r="CX169" s="925"/>
      <c r="CY169" s="925"/>
      <c r="CZ169" s="925"/>
      <c r="DB169" s="925"/>
      <c r="DC169" s="925"/>
      <c r="DD169" s="925"/>
      <c r="DE169" s="925"/>
      <c r="DF169" s="925"/>
      <c r="DG169" s="925"/>
      <c r="DH169" s="925"/>
      <c r="DI169" s="925"/>
      <c r="DJ169" s="925"/>
      <c r="DK169" s="925"/>
      <c r="DL169" s="925"/>
      <c r="DM169" s="925"/>
      <c r="DN169" s="925"/>
      <c r="DO169" s="925"/>
      <c r="DP169" s="925"/>
      <c r="DQ169" s="924"/>
      <c r="DR169" s="925"/>
      <c r="DS169" s="925"/>
      <c r="DT169" s="925"/>
      <c r="DV169" s="925"/>
      <c r="DW169" s="925"/>
      <c r="DX169" s="925"/>
      <c r="DY169" s="925"/>
      <c r="DZ169" s="925"/>
      <c r="EA169" s="925"/>
      <c r="EB169" s="925"/>
      <c r="EC169" s="925"/>
      <c r="ED169" s="925"/>
      <c r="EE169" s="925"/>
      <c r="EF169" s="925"/>
      <c r="EG169" s="925"/>
      <c r="EH169" s="925"/>
      <c r="EI169" s="925"/>
      <c r="EJ169" s="925"/>
      <c r="EK169" s="925"/>
      <c r="EL169" s="925"/>
      <c r="EM169" s="925"/>
      <c r="EN169" s="925"/>
      <c r="EO169" s="925"/>
      <c r="EP169" s="925"/>
      <c r="EQ169" s="925"/>
      <c r="ER169" s="925"/>
      <c r="ES169" s="925"/>
      <c r="ET169" s="925"/>
      <c r="EV169" s="924"/>
      <c r="EW169" s="925"/>
      <c r="EX169" s="925"/>
      <c r="EY169" s="925"/>
    </row>
    <row r="170" spans="1:155" s="927" customFormat="1" ht="15.75" x14ac:dyDescent="0.25">
      <c r="A170" s="912" t="s">
        <v>360</v>
      </c>
      <c r="B170" s="913" t="s">
        <v>1411</v>
      </c>
      <c r="C170" s="914">
        <v>1</v>
      </c>
      <c r="D170" s="914">
        <v>4588</v>
      </c>
      <c r="E170" s="915">
        <v>1.0549999999999999</v>
      </c>
      <c r="F170" s="916">
        <f t="shared" si="81"/>
        <v>4841</v>
      </c>
      <c r="G170" s="915">
        <v>1.01</v>
      </c>
      <c r="H170" s="916">
        <f t="shared" si="82"/>
        <v>4890</v>
      </c>
      <c r="I170" s="917">
        <f t="shared" si="83"/>
        <v>4890</v>
      </c>
      <c r="J170" s="918">
        <f t="shared" si="84"/>
        <v>0</v>
      </c>
      <c r="K170" s="919"/>
      <c r="L170" s="917">
        <f t="shared" si="85"/>
        <v>0</v>
      </c>
      <c r="M170" s="918">
        <f t="shared" si="86"/>
        <v>0</v>
      </c>
      <c r="N170" s="919"/>
      <c r="O170" s="917">
        <f t="shared" si="87"/>
        <v>0</v>
      </c>
      <c r="P170" s="918">
        <f t="shared" si="88"/>
        <v>0</v>
      </c>
      <c r="Q170" s="919"/>
      <c r="R170" s="917">
        <f t="shared" si="89"/>
        <v>0</v>
      </c>
      <c r="S170" s="918">
        <f t="shared" si="90"/>
        <v>0</v>
      </c>
      <c r="T170" s="919"/>
      <c r="U170" s="917">
        <f t="shared" si="91"/>
        <v>0</v>
      </c>
      <c r="V170" s="918">
        <f t="shared" si="92"/>
        <v>0</v>
      </c>
      <c r="W170" s="919"/>
      <c r="X170" s="917">
        <f t="shared" si="93"/>
        <v>0</v>
      </c>
      <c r="Y170" s="918">
        <f t="shared" si="94"/>
        <v>0</v>
      </c>
      <c r="Z170" s="919"/>
      <c r="AA170" s="917">
        <f t="shared" si="95"/>
        <v>0</v>
      </c>
      <c r="AB170" s="918">
        <f t="shared" si="96"/>
        <v>0</v>
      </c>
      <c r="AC170" s="919"/>
      <c r="AD170" s="917">
        <f t="shared" si="97"/>
        <v>0</v>
      </c>
      <c r="AE170" s="918">
        <f t="shared" si="98"/>
        <v>0</v>
      </c>
      <c r="AF170" s="919"/>
      <c r="AG170" s="917">
        <f t="shared" si="99"/>
        <v>0</v>
      </c>
      <c r="AH170" s="918">
        <f t="shared" si="100"/>
        <v>0</v>
      </c>
      <c r="AI170" s="919"/>
      <c r="AJ170" s="917">
        <f t="shared" si="101"/>
        <v>0</v>
      </c>
      <c r="AK170" s="918">
        <f t="shared" si="102"/>
        <v>0</v>
      </c>
      <c r="AL170" s="919"/>
      <c r="AM170" s="917">
        <f t="shared" si="103"/>
        <v>0</v>
      </c>
      <c r="AN170" s="920">
        <v>19242</v>
      </c>
      <c r="AO170" s="917">
        <f t="shared" si="104"/>
        <v>14352</v>
      </c>
      <c r="AP170" s="920">
        <v>1060.29</v>
      </c>
      <c r="AQ170" s="916">
        <f t="shared" si="105"/>
        <v>1060.29</v>
      </c>
      <c r="AR170" s="917">
        <f t="shared" si="106"/>
        <v>20302.29</v>
      </c>
      <c r="AS170" s="916">
        <v>12</v>
      </c>
      <c r="AT170" s="921">
        <f t="shared" si="107"/>
        <v>243627.48</v>
      </c>
      <c r="AU170" s="920">
        <f t="shared" ref="AU170:AU171" si="148">AT170*0.085</f>
        <v>20708.34</v>
      </c>
      <c r="AV170" s="922">
        <f t="shared" si="108"/>
        <v>2436.27</v>
      </c>
      <c r="AW170" s="921">
        <f t="shared" si="109"/>
        <v>266772.09000000003</v>
      </c>
      <c r="AX170" s="921">
        <f t="shared" si="110"/>
        <v>80565.17</v>
      </c>
      <c r="AY170" s="921">
        <f t="shared" si="111"/>
        <v>347337.26</v>
      </c>
      <c r="AZ170" s="923">
        <f t="shared" si="112"/>
        <v>266.8</v>
      </c>
      <c r="BA170" s="923">
        <f t="shared" si="113"/>
        <v>80.599999999999994</v>
      </c>
      <c r="BB170" s="923">
        <f t="shared" si="114"/>
        <v>347.4</v>
      </c>
      <c r="BC170" s="915">
        <v>0.95</v>
      </c>
      <c r="BD170" s="923">
        <f t="shared" si="115"/>
        <v>253.5</v>
      </c>
      <c r="BE170" s="923">
        <f t="shared" si="116"/>
        <v>76.599999999999994</v>
      </c>
      <c r="BF170" s="923">
        <f t="shared" si="117"/>
        <v>330.1</v>
      </c>
      <c r="BG170" s="924">
        <f>'[3]свод (2024)'!$B$116</f>
        <v>0.99758349999999996</v>
      </c>
      <c r="BH170" s="923">
        <f t="shared" si="118"/>
        <v>252.9</v>
      </c>
      <c r="BI170" s="923">
        <f t="shared" si="119"/>
        <v>76.400000000000006</v>
      </c>
      <c r="BJ170" s="923">
        <f t="shared" si="120"/>
        <v>329.3</v>
      </c>
      <c r="BK170" s="925">
        <f t="shared" si="121"/>
        <v>-13.9</v>
      </c>
      <c r="BL170" s="925">
        <f t="shared" si="121"/>
        <v>-4.2</v>
      </c>
      <c r="BM170" s="925">
        <f t="shared" si="122"/>
        <v>-18.100000000000001</v>
      </c>
      <c r="BN170" s="925">
        <f t="shared" si="123"/>
        <v>0</v>
      </c>
      <c r="BO170" s="925">
        <f t="shared" si="124"/>
        <v>0</v>
      </c>
      <c r="BP170" s="926"/>
      <c r="BQ170" s="925">
        <f t="shared" si="125"/>
        <v>252.9</v>
      </c>
      <c r="BR170" s="925">
        <f t="shared" si="125"/>
        <v>76.400000000000006</v>
      </c>
      <c r="BS170" s="925">
        <f t="shared" si="126"/>
        <v>329.3</v>
      </c>
      <c r="BU170" s="928"/>
      <c r="BV170" s="917"/>
      <c r="BW170" s="928"/>
      <c r="BX170" s="928"/>
      <c r="BY170" s="928"/>
      <c r="BZ170" s="917"/>
      <c r="CA170" s="928"/>
      <c r="CB170" s="917"/>
      <c r="CC170" s="928"/>
      <c r="CD170" s="928"/>
      <c r="CE170" s="928"/>
      <c r="CF170" s="929"/>
      <c r="CG170" s="928"/>
      <c r="CH170" s="928"/>
      <c r="CI170" s="928"/>
      <c r="CJ170" s="925"/>
      <c r="CK170" s="925"/>
      <c r="CL170" s="925"/>
      <c r="CM170" s="925"/>
      <c r="CN170" s="925"/>
      <c r="CO170" s="925"/>
      <c r="CP170" s="925"/>
      <c r="CQ170" s="925"/>
      <c r="CR170" s="925"/>
      <c r="CS170" s="917"/>
      <c r="CT170" s="928"/>
      <c r="CU170" s="928"/>
      <c r="CV170" s="928"/>
      <c r="CX170" s="925"/>
      <c r="CY170" s="925"/>
      <c r="CZ170" s="925"/>
      <c r="DB170" s="925"/>
      <c r="DC170" s="925"/>
      <c r="DD170" s="925"/>
      <c r="DE170" s="925"/>
      <c r="DF170" s="925"/>
      <c r="DG170" s="925"/>
      <c r="DH170" s="925"/>
      <c r="DI170" s="925"/>
      <c r="DJ170" s="925"/>
      <c r="DK170" s="925"/>
      <c r="DL170" s="925"/>
      <c r="DM170" s="925"/>
      <c r="DN170" s="925"/>
      <c r="DO170" s="925"/>
      <c r="DP170" s="925"/>
      <c r="DQ170" s="924"/>
      <c r="DR170" s="925"/>
      <c r="DS170" s="925"/>
      <c r="DT170" s="925"/>
      <c r="DV170" s="925"/>
      <c r="DW170" s="925"/>
      <c r="DX170" s="925"/>
      <c r="DY170" s="925"/>
      <c r="DZ170" s="925"/>
      <c r="EA170" s="925"/>
      <c r="EB170" s="925"/>
      <c r="EC170" s="925"/>
      <c r="ED170" s="925"/>
      <c r="EE170" s="925"/>
      <c r="EF170" s="925"/>
      <c r="EG170" s="925"/>
      <c r="EH170" s="925"/>
      <c r="EI170" s="925"/>
      <c r="EJ170" s="925"/>
      <c r="EK170" s="925"/>
      <c r="EL170" s="925"/>
      <c r="EM170" s="925"/>
      <c r="EN170" s="925"/>
      <c r="EO170" s="925"/>
      <c r="EP170" s="925"/>
      <c r="EQ170" s="925"/>
      <c r="ER170" s="925"/>
      <c r="ES170" s="925"/>
      <c r="ET170" s="925"/>
      <c r="EV170" s="924"/>
      <c r="EW170" s="925"/>
      <c r="EX170" s="925"/>
      <c r="EY170" s="925"/>
    </row>
    <row r="171" spans="1:155" s="927" customFormat="1" ht="15.75" x14ac:dyDescent="0.25">
      <c r="A171" s="912" t="s">
        <v>360</v>
      </c>
      <c r="B171" s="913" t="s">
        <v>1412</v>
      </c>
      <c r="C171" s="914">
        <v>4</v>
      </c>
      <c r="D171" s="914">
        <v>4856</v>
      </c>
      <c r="E171" s="915">
        <v>1.0549999999999999</v>
      </c>
      <c r="F171" s="916">
        <f t="shared" si="81"/>
        <v>5124</v>
      </c>
      <c r="G171" s="915">
        <v>1.01</v>
      </c>
      <c r="H171" s="916">
        <f t="shared" si="82"/>
        <v>5176</v>
      </c>
      <c r="I171" s="917">
        <f t="shared" si="83"/>
        <v>20704</v>
      </c>
      <c r="J171" s="918">
        <f t="shared" si="84"/>
        <v>0</v>
      </c>
      <c r="K171" s="919"/>
      <c r="L171" s="917">
        <f t="shared" si="85"/>
        <v>0</v>
      </c>
      <c r="M171" s="918">
        <f t="shared" si="86"/>
        <v>0</v>
      </c>
      <c r="N171" s="919"/>
      <c r="O171" s="917">
        <f t="shared" si="87"/>
        <v>0</v>
      </c>
      <c r="P171" s="918">
        <f t="shared" si="88"/>
        <v>0</v>
      </c>
      <c r="Q171" s="919"/>
      <c r="R171" s="917">
        <f t="shared" si="89"/>
        <v>0</v>
      </c>
      <c r="S171" s="918">
        <f t="shared" si="90"/>
        <v>0</v>
      </c>
      <c r="T171" s="919"/>
      <c r="U171" s="917">
        <f t="shared" si="91"/>
        <v>0</v>
      </c>
      <c r="V171" s="918">
        <f t="shared" si="92"/>
        <v>0</v>
      </c>
      <c r="W171" s="919"/>
      <c r="X171" s="917">
        <f t="shared" si="93"/>
        <v>0</v>
      </c>
      <c r="Y171" s="918">
        <f t="shared" si="94"/>
        <v>0</v>
      </c>
      <c r="Z171" s="919"/>
      <c r="AA171" s="917">
        <f t="shared" si="95"/>
        <v>0</v>
      </c>
      <c r="AB171" s="918">
        <f t="shared" si="96"/>
        <v>0</v>
      </c>
      <c r="AC171" s="919"/>
      <c r="AD171" s="917">
        <f t="shared" si="97"/>
        <v>0</v>
      </c>
      <c r="AE171" s="918">
        <f t="shared" si="98"/>
        <v>0</v>
      </c>
      <c r="AF171" s="919"/>
      <c r="AG171" s="917">
        <f t="shared" si="99"/>
        <v>0</v>
      </c>
      <c r="AH171" s="918">
        <f t="shared" si="100"/>
        <v>0</v>
      </c>
      <c r="AI171" s="919"/>
      <c r="AJ171" s="917">
        <f t="shared" si="101"/>
        <v>0</v>
      </c>
      <c r="AK171" s="918">
        <f t="shared" si="102"/>
        <v>0</v>
      </c>
      <c r="AL171" s="919"/>
      <c r="AM171" s="917">
        <f t="shared" si="103"/>
        <v>0</v>
      </c>
      <c r="AN171" s="920">
        <v>19242</v>
      </c>
      <c r="AO171" s="917">
        <f t="shared" si="104"/>
        <v>56264</v>
      </c>
      <c r="AP171" s="920">
        <v>1060.29</v>
      </c>
      <c r="AQ171" s="916">
        <f t="shared" si="105"/>
        <v>4241.16</v>
      </c>
      <c r="AR171" s="917">
        <f t="shared" si="106"/>
        <v>81209.16</v>
      </c>
      <c r="AS171" s="916">
        <v>12</v>
      </c>
      <c r="AT171" s="921">
        <f t="shared" si="107"/>
        <v>974509.92</v>
      </c>
      <c r="AU171" s="920">
        <f t="shared" si="148"/>
        <v>82833.34</v>
      </c>
      <c r="AV171" s="922">
        <f t="shared" si="108"/>
        <v>9745.1</v>
      </c>
      <c r="AW171" s="921">
        <f t="shared" si="109"/>
        <v>1067088.3600000001</v>
      </c>
      <c r="AX171" s="921">
        <f t="shared" si="110"/>
        <v>322260.68</v>
      </c>
      <c r="AY171" s="921">
        <f t="shared" si="111"/>
        <v>1389349.04</v>
      </c>
      <c r="AZ171" s="923">
        <f t="shared" si="112"/>
        <v>1067.0999999999999</v>
      </c>
      <c r="BA171" s="923">
        <f t="shared" si="113"/>
        <v>322.3</v>
      </c>
      <c r="BB171" s="923">
        <f t="shared" si="114"/>
        <v>1389.4</v>
      </c>
      <c r="BC171" s="915">
        <v>0.95</v>
      </c>
      <c r="BD171" s="923">
        <f t="shared" si="115"/>
        <v>1013.7</v>
      </c>
      <c r="BE171" s="923">
        <f t="shared" si="116"/>
        <v>306.10000000000002</v>
      </c>
      <c r="BF171" s="923">
        <f t="shared" si="117"/>
        <v>1319.8</v>
      </c>
      <c r="BG171" s="924">
        <f>'[3]свод (2024)'!$B$116</f>
        <v>0.99758349999999996</v>
      </c>
      <c r="BH171" s="923">
        <f t="shared" si="118"/>
        <v>1011.3</v>
      </c>
      <c r="BI171" s="923">
        <f t="shared" si="119"/>
        <v>305.39999999999998</v>
      </c>
      <c r="BJ171" s="923">
        <f t="shared" si="120"/>
        <v>1316.7</v>
      </c>
      <c r="BK171" s="925">
        <f t="shared" si="121"/>
        <v>-55.8</v>
      </c>
      <c r="BL171" s="925">
        <f t="shared" si="121"/>
        <v>-16.899999999999999</v>
      </c>
      <c r="BM171" s="925">
        <f t="shared" si="122"/>
        <v>-72.7</v>
      </c>
      <c r="BN171" s="925">
        <f t="shared" si="123"/>
        <v>0</v>
      </c>
      <c r="BO171" s="925">
        <f t="shared" si="124"/>
        <v>0</v>
      </c>
      <c r="BP171" s="926"/>
      <c r="BQ171" s="925">
        <f t="shared" si="125"/>
        <v>1011.3</v>
      </c>
      <c r="BR171" s="925">
        <f t="shared" si="125"/>
        <v>305.39999999999998</v>
      </c>
      <c r="BS171" s="925">
        <f t="shared" si="126"/>
        <v>1316.7</v>
      </c>
      <c r="BU171" s="928"/>
      <c r="BV171" s="917"/>
      <c r="BW171" s="928"/>
      <c r="BX171" s="928"/>
      <c r="BY171" s="928"/>
      <c r="BZ171" s="917"/>
      <c r="CA171" s="928"/>
      <c r="CB171" s="917"/>
      <c r="CC171" s="928"/>
      <c r="CD171" s="928"/>
      <c r="CE171" s="928"/>
      <c r="CF171" s="929"/>
      <c r="CG171" s="928"/>
      <c r="CH171" s="928"/>
      <c r="CI171" s="928"/>
      <c r="CJ171" s="925"/>
      <c r="CK171" s="925"/>
      <c r="CL171" s="925"/>
      <c r="CM171" s="925"/>
      <c r="CN171" s="925"/>
      <c r="CO171" s="925"/>
      <c r="CP171" s="925"/>
      <c r="CQ171" s="925"/>
      <c r="CR171" s="925"/>
      <c r="CS171" s="917"/>
      <c r="CT171" s="928"/>
      <c r="CU171" s="928"/>
      <c r="CV171" s="928"/>
      <c r="CX171" s="925"/>
      <c r="CY171" s="925"/>
      <c r="CZ171" s="925"/>
      <c r="DB171" s="925"/>
      <c r="DC171" s="925"/>
      <c r="DD171" s="925"/>
      <c r="DE171" s="925"/>
      <c r="DF171" s="925"/>
      <c r="DG171" s="925"/>
      <c r="DH171" s="925"/>
      <c r="DI171" s="925"/>
      <c r="DJ171" s="925"/>
      <c r="DK171" s="925"/>
      <c r="DL171" s="925"/>
      <c r="DM171" s="925"/>
      <c r="DN171" s="925"/>
      <c r="DO171" s="925"/>
      <c r="DP171" s="925"/>
      <c r="DQ171" s="924"/>
      <c r="DR171" s="925"/>
      <c r="DS171" s="925"/>
      <c r="DT171" s="925"/>
      <c r="DV171" s="925"/>
      <c r="DW171" s="925"/>
      <c r="DX171" s="925"/>
      <c r="DY171" s="925"/>
      <c r="DZ171" s="925"/>
      <c r="EA171" s="925"/>
      <c r="EB171" s="925"/>
      <c r="EC171" s="925"/>
      <c r="ED171" s="925"/>
      <c r="EE171" s="925"/>
      <c r="EF171" s="925"/>
      <c r="EG171" s="925"/>
      <c r="EH171" s="925"/>
      <c r="EI171" s="925"/>
      <c r="EJ171" s="925"/>
      <c r="EK171" s="925"/>
      <c r="EL171" s="925"/>
      <c r="EM171" s="925"/>
      <c r="EN171" s="925"/>
      <c r="EO171" s="925"/>
      <c r="EP171" s="925"/>
      <c r="EQ171" s="925"/>
      <c r="ER171" s="925"/>
      <c r="ES171" s="925"/>
      <c r="ET171" s="925"/>
      <c r="EV171" s="924"/>
      <c r="EW171" s="925"/>
      <c r="EX171" s="925"/>
      <c r="EY171" s="925"/>
    </row>
    <row r="172" spans="1:155" s="927" customFormat="1" ht="15.75" x14ac:dyDescent="0.25">
      <c r="A172" s="912" t="s">
        <v>360</v>
      </c>
      <c r="B172" s="913" t="s">
        <v>35</v>
      </c>
      <c r="C172" s="914">
        <v>37.979999999999997</v>
      </c>
      <c r="D172" s="914">
        <v>13132</v>
      </c>
      <c r="E172" s="915">
        <v>1.0549999999999999</v>
      </c>
      <c r="F172" s="916">
        <f t="shared" si="81"/>
        <v>13855</v>
      </c>
      <c r="G172" s="915">
        <v>1.01</v>
      </c>
      <c r="H172" s="916">
        <f t="shared" si="82"/>
        <v>13994</v>
      </c>
      <c r="I172" s="917">
        <f t="shared" si="83"/>
        <v>531492.12</v>
      </c>
      <c r="J172" s="918">
        <f t="shared" si="84"/>
        <v>0.16883999999999999</v>
      </c>
      <c r="K172" s="919">
        <v>84208.95</v>
      </c>
      <c r="L172" s="917">
        <f t="shared" si="85"/>
        <v>89737.13</v>
      </c>
      <c r="M172" s="918">
        <f t="shared" si="86"/>
        <v>0</v>
      </c>
      <c r="N172" s="919"/>
      <c r="O172" s="917">
        <f t="shared" si="87"/>
        <v>0</v>
      </c>
      <c r="P172" s="918">
        <f t="shared" si="88"/>
        <v>0</v>
      </c>
      <c r="Q172" s="919"/>
      <c r="R172" s="917">
        <f t="shared" si="89"/>
        <v>0</v>
      </c>
      <c r="S172" s="918">
        <f t="shared" si="90"/>
        <v>0</v>
      </c>
      <c r="T172" s="919"/>
      <c r="U172" s="917">
        <f t="shared" si="91"/>
        <v>0</v>
      </c>
      <c r="V172" s="918">
        <f t="shared" si="92"/>
        <v>0</v>
      </c>
      <c r="W172" s="919"/>
      <c r="X172" s="917">
        <f t="shared" si="93"/>
        <v>0</v>
      </c>
      <c r="Y172" s="918">
        <f t="shared" si="94"/>
        <v>0</v>
      </c>
      <c r="Z172" s="919"/>
      <c r="AA172" s="917">
        <f t="shared" si="95"/>
        <v>0</v>
      </c>
      <c r="AB172" s="918">
        <f t="shared" si="96"/>
        <v>0.14965999999999999</v>
      </c>
      <c r="AC172" s="919">
        <v>74642.289999999994</v>
      </c>
      <c r="AD172" s="917">
        <f t="shared" si="97"/>
        <v>79543.11</v>
      </c>
      <c r="AE172" s="918">
        <f t="shared" si="98"/>
        <v>1.618E-2</v>
      </c>
      <c r="AF172" s="919">
        <v>8069.61</v>
      </c>
      <c r="AG172" s="917">
        <f t="shared" si="99"/>
        <v>8599.5400000000009</v>
      </c>
      <c r="AH172" s="918">
        <f t="shared" si="100"/>
        <v>0</v>
      </c>
      <c r="AI172" s="919"/>
      <c r="AJ172" s="917">
        <f t="shared" si="101"/>
        <v>0</v>
      </c>
      <c r="AK172" s="918">
        <f t="shared" si="102"/>
        <v>0</v>
      </c>
      <c r="AL172" s="919"/>
      <c r="AM172" s="917">
        <f t="shared" si="103"/>
        <v>0</v>
      </c>
      <c r="AN172" s="920">
        <v>19242</v>
      </c>
      <c r="AO172" s="917">
        <f t="shared" si="104"/>
        <v>21439.26</v>
      </c>
      <c r="AP172" s="920"/>
      <c r="AQ172" s="916">
        <f t="shared" si="105"/>
        <v>0</v>
      </c>
      <c r="AR172" s="917">
        <f t="shared" si="106"/>
        <v>730811.16</v>
      </c>
      <c r="AS172" s="916">
        <v>12</v>
      </c>
      <c r="AT172" s="921">
        <f t="shared" si="107"/>
        <v>8769733.9199999999</v>
      </c>
      <c r="AU172" s="920"/>
      <c r="AV172" s="922">
        <f t="shared" si="108"/>
        <v>87697.34</v>
      </c>
      <c r="AW172" s="921">
        <f t="shared" si="109"/>
        <v>8857431.2599999998</v>
      </c>
      <c r="AX172" s="921">
        <f t="shared" si="110"/>
        <v>2674944.2400000002</v>
      </c>
      <c r="AY172" s="921">
        <f t="shared" si="111"/>
        <v>11532375.5</v>
      </c>
      <c r="AZ172" s="923">
        <f t="shared" si="112"/>
        <v>8857.4</v>
      </c>
      <c r="BA172" s="923">
        <f t="shared" si="113"/>
        <v>2674.9</v>
      </c>
      <c r="BB172" s="923">
        <f t="shared" si="114"/>
        <v>11532.3</v>
      </c>
      <c r="BC172" s="915">
        <v>0.95</v>
      </c>
      <c r="BD172" s="923">
        <f t="shared" si="115"/>
        <v>8414.5</v>
      </c>
      <c r="BE172" s="923">
        <f t="shared" si="116"/>
        <v>2541.1999999999998</v>
      </c>
      <c r="BF172" s="923">
        <f t="shared" si="117"/>
        <v>10955.7</v>
      </c>
      <c r="BG172" s="924">
        <f>'[3]свод (2024)'!$B$116</f>
        <v>0.99758349999999996</v>
      </c>
      <c r="BH172" s="923">
        <f t="shared" si="118"/>
        <v>8394.2000000000007</v>
      </c>
      <c r="BI172" s="923">
        <f t="shared" si="119"/>
        <v>2535</v>
      </c>
      <c r="BJ172" s="923">
        <f t="shared" si="120"/>
        <v>10929.2</v>
      </c>
      <c r="BK172" s="925">
        <f t="shared" si="121"/>
        <v>-463.2</v>
      </c>
      <c r="BL172" s="925">
        <f t="shared" si="121"/>
        <v>-139.9</v>
      </c>
      <c r="BM172" s="925">
        <f t="shared" si="122"/>
        <v>-603.1</v>
      </c>
      <c r="BN172" s="925">
        <f t="shared" si="123"/>
        <v>0</v>
      </c>
      <c r="BO172" s="925">
        <f t="shared" si="124"/>
        <v>0</v>
      </c>
      <c r="BP172" s="926"/>
      <c r="BQ172" s="925">
        <f t="shared" si="125"/>
        <v>8394.2000000000007</v>
      </c>
      <c r="BR172" s="925">
        <f t="shared" si="125"/>
        <v>2535</v>
      </c>
      <c r="BS172" s="925">
        <f t="shared" si="126"/>
        <v>10929.2</v>
      </c>
      <c r="BU172" s="928">
        <f t="shared" si="127"/>
        <v>37.979999999999997</v>
      </c>
      <c r="BV172" s="917"/>
      <c r="BW172" s="928"/>
      <c r="BX172" s="928">
        <f t="shared" si="128"/>
        <v>8857431.2599999998</v>
      </c>
      <c r="BY172" s="928"/>
      <c r="BZ172" s="917"/>
      <c r="CA172" s="928"/>
      <c r="CB172" s="917"/>
      <c r="CC172" s="928"/>
      <c r="CD172" s="928"/>
      <c r="CE172" s="928"/>
      <c r="CF172" s="929">
        <f t="shared" ref="CF172:CF174" si="149">CC$184/BU$184*BU172</f>
        <v>2993967.73</v>
      </c>
      <c r="CG172" s="928"/>
      <c r="CH172" s="928"/>
      <c r="CI172" s="928"/>
      <c r="CJ172" s="925"/>
      <c r="CK172" s="925"/>
      <c r="CL172" s="925"/>
      <c r="CM172" s="925"/>
      <c r="CN172" s="925"/>
      <c r="CO172" s="925"/>
      <c r="CP172" s="925"/>
      <c r="CQ172" s="925"/>
      <c r="CR172" s="925"/>
      <c r="CS172" s="917"/>
      <c r="CT172" s="928"/>
      <c r="CU172" s="928"/>
      <c r="CV172" s="928"/>
      <c r="CX172" s="925"/>
      <c r="CY172" s="925"/>
      <c r="CZ172" s="925"/>
      <c r="DB172" s="925"/>
      <c r="DC172" s="925"/>
      <c r="DD172" s="925"/>
      <c r="DE172" s="925"/>
      <c r="DF172" s="925"/>
      <c r="DG172" s="925"/>
      <c r="DH172" s="925"/>
      <c r="DI172" s="925"/>
      <c r="DJ172" s="925"/>
      <c r="DK172" s="925"/>
      <c r="DL172" s="925"/>
      <c r="DM172" s="925"/>
      <c r="DN172" s="925"/>
      <c r="DO172" s="925"/>
      <c r="DP172" s="925"/>
      <c r="DQ172" s="924"/>
      <c r="DR172" s="925"/>
      <c r="DS172" s="925"/>
      <c r="DT172" s="925"/>
      <c r="DV172" s="925"/>
      <c r="DW172" s="925"/>
      <c r="DX172" s="925"/>
      <c r="DY172" s="925"/>
      <c r="DZ172" s="925"/>
      <c r="EA172" s="925"/>
      <c r="EB172" s="925"/>
      <c r="EC172" s="925"/>
      <c r="ED172" s="925"/>
      <c r="EE172" s="925"/>
      <c r="EF172" s="925"/>
      <c r="EG172" s="925"/>
      <c r="EH172" s="925"/>
      <c r="EI172" s="925"/>
      <c r="EJ172" s="925"/>
      <c r="EK172" s="925"/>
      <c r="EL172" s="925"/>
      <c r="EM172" s="925"/>
      <c r="EN172" s="925"/>
      <c r="EO172" s="925"/>
      <c r="EP172" s="925"/>
      <c r="EQ172" s="925"/>
      <c r="ER172" s="925"/>
      <c r="ES172" s="925"/>
      <c r="ET172" s="925"/>
      <c r="EV172" s="924"/>
      <c r="EW172" s="925"/>
      <c r="EX172" s="925"/>
      <c r="EY172" s="925"/>
    </row>
    <row r="173" spans="1:155" s="927" customFormat="1" ht="15.75" x14ac:dyDescent="0.25">
      <c r="A173" s="912" t="s">
        <v>360</v>
      </c>
      <c r="B173" s="913" t="s">
        <v>37</v>
      </c>
      <c r="C173" s="914">
        <v>6.5</v>
      </c>
      <c r="D173" s="914">
        <v>13132</v>
      </c>
      <c r="E173" s="915">
        <v>1.0549999999999999</v>
      </c>
      <c r="F173" s="916">
        <f t="shared" si="81"/>
        <v>13855</v>
      </c>
      <c r="G173" s="915">
        <v>1.01</v>
      </c>
      <c r="H173" s="916">
        <f t="shared" si="82"/>
        <v>13994</v>
      </c>
      <c r="I173" s="917">
        <f t="shared" si="83"/>
        <v>90961</v>
      </c>
      <c r="J173" s="918">
        <f t="shared" si="84"/>
        <v>0.13461999999999999</v>
      </c>
      <c r="K173" s="919">
        <v>11490.5</v>
      </c>
      <c r="L173" s="917">
        <f t="shared" si="85"/>
        <v>12245.17</v>
      </c>
      <c r="M173" s="918">
        <f t="shared" si="86"/>
        <v>0</v>
      </c>
      <c r="N173" s="919"/>
      <c r="O173" s="917">
        <f t="shared" si="87"/>
        <v>0</v>
      </c>
      <c r="P173" s="918">
        <f t="shared" si="88"/>
        <v>0</v>
      </c>
      <c r="Q173" s="919"/>
      <c r="R173" s="917">
        <f t="shared" si="89"/>
        <v>0</v>
      </c>
      <c r="S173" s="918">
        <f t="shared" si="90"/>
        <v>0</v>
      </c>
      <c r="T173" s="919"/>
      <c r="U173" s="917">
        <f t="shared" si="91"/>
        <v>0</v>
      </c>
      <c r="V173" s="918">
        <f t="shared" si="92"/>
        <v>0</v>
      </c>
      <c r="W173" s="919"/>
      <c r="X173" s="917">
        <f t="shared" si="93"/>
        <v>0</v>
      </c>
      <c r="Y173" s="918">
        <f t="shared" si="94"/>
        <v>0</v>
      </c>
      <c r="Z173" s="919"/>
      <c r="AA173" s="917">
        <f t="shared" si="95"/>
        <v>0</v>
      </c>
      <c r="AB173" s="918">
        <f t="shared" si="96"/>
        <v>0.12307999999999999</v>
      </c>
      <c r="AC173" s="919">
        <v>10505.6</v>
      </c>
      <c r="AD173" s="917">
        <f t="shared" si="97"/>
        <v>11195.48</v>
      </c>
      <c r="AE173" s="918">
        <f t="shared" si="98"/>
        <v>7.6899999999999998E-3</v>
      </c>
      <c r="AF173" s="919">
        <v>656.6</v>
      </c>
      <c r="AG173" s="917">
        <f t="shared" si="99"/>
        <v>699.49</v>
      </c>
      <c r="AH173" s="918">
        <f t="shared" si="100"/>
        <v>0</v>
      </c>
      <c r="AI173" s="919"/>
      <c r="AJ173" s="917">
        <f t="shared" si="101"/>
        <v>0</v>
      </c>
      <c r="AK173" s="918">
        <f t="shared" si="102"/>
        <v>0</v>
      </c>
      <c r="AL173" s="919"/>
      <c r="AM173" s="917">
        <f t="shared" si="103"/>
        <v>0</v>
      </c>
      <c r="AN173" s="920">
        <v>19242</v>
      </c>
      <c r="AO173" s="917">
        <f t="shared" si="104"/>
        <v>9971.86</v>
      </c>
      <c r="AP173" s="920"/>
      <c r="AQ173" s="916">
        <f t="shared" si="105"/>
        <v>0</v>
      </c>
      <c r="AR173" s="917">
        <f t="shared" si="106"/>
        <v>125073</v>
      </c>
      <c r="AS173" s="916">
        <v>12</v>
      </c>
      <c r="AT173" s="921">
        <f t="shared" si="107"/>
        <v>1500876</v>
      </c>
      <c r="AU173" s="920"/>
      <c r="AV173" s="922">
        <f t="shared" si="108"/>
        <v>15008.76</v>
      </c>
      <c r="AW173" s="921">
        <f t="shared" si="109"/>
        <v>1515884.76</v>
      </c>
      <c r="AX173" s="921">
        <f t="shared" si="110"/>
        <v>457797.2</v>
      </c>
      <c r="AY173" s="921">
        <f t="shared" si="111"/>
        <v>1973681.96</v>
      </c>
      <c r="AZ173" s="923">
        <f t="shared" si="112"/>
        <v>1515.9</v>
      </c>
      <c r="BA173" s="923">
        <f t="shared" si="113"/>
        <v>457.8</v>
      </c>
      <c r="BB173" s="923">
        <f t="shared" si="114"/>
        <v>1973.7</v>
      </c>
      <c r="BC173" s="915">
        <v>0.95</v>
      </c>
      <c r="BD173" s="923">
        <f t="shared" si="115"/>
        <v>1440.1</v>
      </c>
      <c r="BE173" s="923">
        <f t="shared" si="116"/>
        <v>434.9</v>
      </c>
      <c r="BF173" s="923">
        <f t="shared" si="117"/>
        <v>1875</v>
      </c>
      <c r="BG173" s="924">
        <f>'[3]свод (2024)'!$B$116</f>
        <v>0.99758349999999996</v>
      </c>
      <c r="BH173" s="923">
        <f t="shared" si="118"/>
        <v>1436.6</v>
      </c>
      <c r="BI173" s="923">
        <f t="shared" si="119"/>
        <v>433.9</v>
      </c>
      <c r="BJ173" s="923">
        <f t="shared" si="120"/>
        <v>1870.5</v>
      </c>
      <c r="BK173" s="925">
        <f t="shared" si="121"/>
        <v>-79.3</v>
      </c>
      <c r="BL173" s="925">
        <f t="shared" si="121"/>
        <v>-23.9</v>
      </c>
      <c r="BM173" s="925">
        <f t="shared" si="122"/>
        <v>-103.2</v>
      </c>
      <c r="BN173" s="925">
        <f t="shared" si="123"/>
        <v>0</v>
      </c>
      <c r="BO173" s="925">
        <f t="shared" si="124"/>
        <v>0</v>
      </c>
      <c r="BP173" s="926"/>
      <c r="BQ173" s="925">
        <f t="shared" si="125"/>
        <v>1436.6</v>
      </c>
      <c r="BR173" s="925">
        <f t="shared" si="125"/>
        <v>433.9</v>
      </c>
      <c r="BS173" s="925">
        <f t="shared" si="126"/>
        <v>1870.5</v>
      </c>
      <c r="BU173" s="928">
        <f t="shared" si="127"/>
        <v>6.5</v>
      </c>
      <c r="BV173" s="917"/>
      <c r="BW173" s="928"/>
      <c r="BX173" s="928">
        <f t="shared" si="128"/>
        <v>1515884.76</v>
      </c>
      <c r="BY173" s="928"/>
      <c r="BZ173" s="917"/>
      <c r="CA173" s="928"/>
      <c r="CB173" s="917"/>
      <c r="CC173" s="928"/>
      <c r="CD173" s="928"/>
      <c r="CE173" s="928"/>
      <c r="CF173" s="929">
        <f t="shared" si="149"/>
        <v>512395.74</v>
      </c>
      <c r="CG173" s="928"/>
      <c r="CH173" s="928"/>
      <c r="CI173" s="928"/>
      <c r="CJ173" s="925"/>
      <c r="CK173" s="925"/>
      <c r="CL173" s="925"/>
      <c r="CM173" s="925"/>
      <c r="CN173" s="925"/>
      <c r="CO173" s="925"/>
      <c r="CP173" s="925"/>
      <c r="CQ173" s="925"/>
      <c r="CR173" s="925"/>
      <c r="CS173" s="917"/>
      <c r="CT173" s="928"/>
      <c r="CU173" s="928"/>
      <c r="CV173" s="928"/>
      <c r="CX173" s="925"/>
      <c r="CY173" s="925"/>
      <c r="CZ173" s="925"/>
      <c r="DB173" s="925"/>
      <c r="DC173" s="925"/>
      <c r="DD173" s="925"/>
      <c r="DE173" s="925"/>
      <c r="DF173" s="925"/>
      <c r="DG173" s="925"/>
      <c r="DH173" s="925"/>
      <c r="DI173" s="925"/>
      <c r="DJ173" s="925"/>
      <c r="DK173" s="925"/>
      <c r="DL173" s="925"/>
      <c r="DM173" s="925"/>
      <c r="DN173" s="925"/>
      <c r="DO173" s="925"/>
      <c r="DP173" s="925"/>
      <c r="DQ173" s="924"/>
      <c r="DR173" s="925"/>
      <c r="DS173" s="925"/>
      <c r="DT173" s="925"/>
      <c r="DV173" s="925"/>
      <c r="DW173" s="925"/>
      <c r="DX173" s="925"/>
      <c r="DY173" s="925"/>
      <c r="DZ173" s="925"/>
      <c r="EA173" s="925"/>
      <c r="EB173" s="925"/>
      <c r="EC173" s="925"/>
      <c r="ED173" s="925"/>
      <c r="EE173" s="925"/>
      <c r="EF173" s="925"/>
      <c r="EG173" s="925"/>
      <c r="EH173" s="925"/>
      <c r="EI173" s="925"/>
      <c r="EJ173" s="925"/>
      <c r="EK173" s="925"/>
      <c r="EL173" s="925"/>
      <c r="EM173" s="925"/>
      <c r="EN173" s="925"/>
      <c r="EO173" s="925"/>
      <c r="EP173" s="925"/>
      <c r="EQ173" s="925"/>
      <c r="ER173" s="925"/>
      <c r="ES173" s="925"/>
      <c r="ET173" s="925"/>
      <c r="EV173" s="924"/>
      <c r="EW173" s="925"/>
      <c r="EX173" s="925"/>
      <c r="EY173" s="925"/>
    </row>
    <row r="174" spans="1:155" s="927" customFormat="1" ht="15.75" x14ac:dyDescent="0.25">
      <c r="A174" s="912" t="s">
        <v>360</v>
      </c>
      <c r="B174" s="913" t="s">
        <v>1386</v>
      </c>
      <c r="C174" s="914">
        <v>2</v>
      </c>
      <c r="D174" s="914">
        <v>13772</v>
      </c>
      <c r="E174" s="915">
        <v>1.0549999999999999</v>
      </c>
      <c r="F174" s="916">
        <f t="shared" si="81"/>
        <v>14530</v>
      </c>
      <c r="G174" s="915">
        <v>1.01</v>
      </c>
      <c r="H174" s="916">
        <f t="shared" si="82"/>
        <v>14676</v>
      </c>
      <c r="I174" s="917">
        <f t="shared" si="83"/>
        <v>29352</v>
      </c>
      <c r="J174" s="918">
        <f t="shared" si="84"/>
        <v>0.17499999999999999</v>
      </c>
      <c r="K174" s="919">
        <v>4820.2</v>
      </c>
      <c r="L174" s="917">
        <f t="shared" si="85"/>
        <v>5136.6000000000004</v>
      </c>
      <c r="M174" s="918">
        <f t="shared" si="86"/>
        <v>0</v>
      </c>
      <c r="N174" s="919"/>
      <c r="O174" s="917">
        <f t="shared" si="87"/>
        <v>0</v>
      </c>
      <c r="P174" s="918">
        <f t="shared" si="88"/>
        <v>0</v>
      </c>
      <c r="Q174" s="919"/>
      <c r="R174" s="917">
        <f t="shared" si="89"/>
        <v>0</v>
      </c>
      <c r="S174" s="918">
        <f t="shared" si="90"/>
        <v>0</v>
      </c>
      <c r="T174" s="919"/>
      <c r="U174" s="917">
        <f t="shared" si="91"/>
        <v>0</v>
      </c>
      <c r="V174" s="918">
        <f t="shared" si="92"/>
        <v>0</v>
      </c>
      <c r="W174" s="919"/>
      <c r="X174" s="917">
        <f t="shared" si="93"/>
        <v>0</v>
      </c>
      <c r="Y174" s="918">
        <f t="shared" si="94"/>
        <v>0</v>
      </c>
      <c r="Z174" s="919"/>
      <c r="AA174" s="917">
        <f t="shared" si="95"/>
        <v>0</v>
      </c>
      <c r="AB174" s="918">
        <f t="shared" si="96"/>
        <v>0.17499999999999999</v>
      </c>
      <c r="AC174" s="919">
        <v>4820.2</v>
      </c>
      <c r="AD174" s="917">
        <f t="shared" si="97"/>
        <v>5136.6000000000004</v>
      </c>
      <c r="AE174" s="918">
        <f t="shared" si="98"/>
        <v>0</v>
      </c>
      <c r="AF174" s="919"/>
      <c r="AG174" s="917">
        <f t="shared" si="99"/>
        <v>0</v>
      </c>
      <c r="AH174" s="918">
        <f t="shared" si="100"/>
        <v>0</v>
      </c>
      <c r="AI174" s="919"/>
      <c r="AJ174" s="917">
        <f t="shared" si="101"/>
        <v>0</v>
      </c>
      <c r="AK174" s="918">
        <f t="shared" si="102"/>
        <v>0</v>
      </c>
      <c r="AL174" s="919"/>
      <c r="AM174" s="917">
        <f t="shared" si="103"/>
        <v>0</v>
      </c>
      <c r="AN174" s="920">
        <v>19242</v>
      </c>
      <c r="AO174" s="917">
        <f t="shared" si="104"/>
        <v>0</v>
      </c>
      <c r="AP174" s="920"/>
      <c r="AQ174" s="916">
        <f t="shared" si="105"/>
        <v>0</v>
      </c>
      <c r="AR174" s="917">
        <f t="shared" si="106"/>
        <v>39625.199999999997</v>
      </c>
      <c r="AS174" s="916">
        <v>12</v>
      </c>
      <c r="AT174" s="921">
        <f t="shared" si="107"/>
        <v>475502.4</v>
      </c>
      <c r="AU174" s="920"/>
      <c r="AV174" s="922">
        <f t="shared" si="108"/>
        <v>4755.0200000000004</v>
      </c>
      <c r="AW174" s="921">
        <f t="shared" si="109"/>
        <v>480257.42</v>
      </c>
      <c r="AX174" s="921">
        <f t="shared" si="110"/>
        <v>145037.74</v>
      </c>
      <c r="AY174" s="921">
        <f t="shared" si="111"/>
        <v>625295.16</v>
      </c>
      <c r="AZ174" s="923">
        <f t="shared" si="112"/>
        <v>480.3</v>
      </c>
      <c r="BA174" s="923">
        <f t="shared" si="113"/>
        <v>145.1</v>
      </c>
      <c r="BB174" s="923">
        <f t="shared" si="114"/>
        <v>625.4</v>
      </c>
      <c r="BC174" s="915">
        <v>0.95</v>
      </c>
      <c r="BD174" s="923">
        <f t="shared" si="115"/>
        <v>456.3</v>
      </c>
      <c r="BE174" s="923">
        <f t="shared" si="116"/>
        <v>137.80000000000001</v>
      </c>
      <c r="BF174" s="923">
        <f t="shared" si="117"/>
        <v>594.1</v>
      </c>
      <c r="BG174" s="924">
        <f>'[3]свод (2024)'!$B$116</f>
        <v>0.99758349999999996</v>
      </c>
      <c r="BH174" s="923">
        <f t="shared" si="118"/>
        <v>455.2</v>
      </c>
      <c r="BI174" s="923">
        <f t="shared" si="119"/>
        <v>137.5</v>
      </c>
      <c r="BJ174" s="923">
        <f t="shared" si="120"/>
        <v>592.70000000000005</v>
      </c>
      <c r="BK174" s="925">
        <f t="shared" si="121"/>
        <v>-25.1</v>
      </c>
      <c r="BL174" s="925">
        <f t="shared" si="121"/>
        <v>-7.6</v>
      </c>
      <c r="BM174" s="925">
        <f t="shared" si="122"/>
        <v>-32.700000000000003</v>
      </c>
      <c r="BN174" s="925">
        <f t="shared" si="123"/>
        <v>0</v>
      </c>
      <c r="BO174" s="925">
        <f t="shared" si="124"/>
        <v>0</v>
      </c>
      <c r="BP174" s="926"/>
      <c r="BQ174" s="925">
        <f t="shared" si="125"/>
        <v>455.2</v>
      </c>
      <c r="BR174" s="925">
        <f t="shared" si="125"/>
        <v>137.5</v>
      </c>
      <c r="BS174" s="925">
        <f t="shared" si="126"/>
        <v>592.70000000000005</v>
      </c>
      <c r="BU174" s="928">
        <f t="shared" si="127"/>
        <v>2</v>
      </c>
      <c r="BV174" s="917"/>
      <c r="BW174" s="928"/>
      <c r="BX174" s="928">
        <f t="shared" si="128"/>
        <v>480257.42</v>
      </c>
      <c r="BY174" s="928"/>
      <c r="BZ174" s="917"/>
      <c r="CA174" s="928"/>
      <c r="CB174" s="917"/>
      <c r="CC174" s="928"/>
      <c r="CD174" s="928"/>
      <c r="CE174" s="928"/>
      <c r="CF174" s="929">
        <f t="shared" si="149"/>
        <v>157660.23000000001</v>
      </c>
      <c r="CG174" s="928"/>
      <c r="CH174" s="928"/>
      <c r="CI174" s="928"/>
      <c r="CJ174" s="925"/>
      <c r="CK174" s="925"/>
      <c r="CL174" s="925"/>
      <c r="CM174" s="925"/>
      <c r="CN174" s="925"/>
      <c r="CO174" s="925"/>
      <c r="CP174" s="925"/>
      <c r="CQ174" s="925"/>
      <c r="CR174" s="925"/>
      <c r="CS174" s="917"/>
      <c r="CT174" s="928"/>
      <c r="CU174" s="928"/>
      <c r="CV174" s="928"/>
      <c r="CX174" s="925"/>
      <c r="CY174" s="925"/>
      <c r="CZ174" s="925"/>
      <c r="DB174" s="925"/>
      <c r="DC174" s="925"/>
      <c r="DD174" s="925"/>
      <c r="DE174" s="925"/>
      <c r="DF174" s="925"/>
      <c r="DG174" s="925"/>
      <c r="DH174" s="925"/>
      <c r="DI174" s="925"/>
      <c r="DJ174" s="925"/>
      <c r="DK174" s="925"/>
      <c r="DL174" s="925"/>
      <c r="DM174" s="925"/>
      <c r="DN174" s="925"/>
      <c r="DO174" s="925"/>
      <c r="DP174" s="925"/>
      <c r="DQ174" s="924"/>
      <c r="DR174" s="925"/>
      <c r="DS174" s="925"/>
      <c r="DT174" s="925"/>
      <c r="DV174" s="925"/>
      <c r="DW174" s="925"/>
      <c r="DX174" s="925"/>
      <c r="DY174" s="925"/>
      <c r="DZ174" s="925"/>
      <c r="EA174" s="925"/>
      <c r="EB174" s="925"/>
      <c r="EC174" s="925"/>
      <c r="ED174" s="925"/>
      <c r="EE174" s="925"/>
      <c r="EF174" s="925"/>
      <c r="EG174" s="925"/>
      <c r="EH174" s="925"/>
      <c r="EI174" s="925"/>
      <c r="EJ174" s="925"/>
      <c r="EK174" s="925"/>
      <c r="EL174" s="925"/>
      <c r="EM174" s="925"/>
      <c r="EN174" s="925"/>
      <c r="EO174" s="925"/>
      <c r="EP174" s="925"/>
      <c r="EQ174" s="925"/>
      <c r="ER174" s="925"/>
      <c r="ES174" s="925"/>
      <c r="ET174" s="925"/>
      <c r="EV174" s="924"/>
      <c r="EW174" s="925"/>
      <c r="EX174" s="925"/>
      <c r="EY174" s="925"/>
    </row>
    <row r="175" spans="1:155" s="927" customFormat="1" ht="24" x14ac:dyDescent="0.25">
      <c r="A175" s="912" t="s">
        <v>360</v>
      </c>
      <c r="B175" s="913" t="s">
        <v>494</v>
      </c>
      <c r="C175" s="914">
        <v>4</v>
      </c>
      <c r="D175" s="914">
        <v>4588</v>
      </c>
      <c r="E175" s="915">
        <v>1.0549999999999999</v>
      </c>
      <c r="F175" s="916">
        <f t="shared" si="81"/>
        <v>4841</v>
      </c>
      <c r="G175" s="915">
        <v>1.01</v>
      </c>
      <c r="H175" s="916">
        <f t="shared" si="82"/>
        <v>4890</v>
      </c>
      <c r="I175" s="917">
        <f t="shared" si="83"/>
        <v>19560</v>
      </c>
      <c r="J175" s="918">
        <f t="shared" si="84"/>
        <v>0</v>
      </c>
      <c r="K175" s="919"/>
      <c r="L175" s="917">
        <f t="shared" si="85"/>
        <v>0</v>
      </c>
      <c r="M175" s="918">
        <f t="shared" si="86"/>
        <v>0</v>
      </c>
      <c r="N175" s="919"/>
      <c r="O175" s="917">
        <f t="shared" si="87"/>
        <v>0</v>
      </c>
      <c r="P175" s="918">
        <f t="shared" si="88"/>
        <v>0</v>
      </c>
      <c r="Q175" s="919"/>
      <c r="R175" s="917">
        <f t="shared" si="89"/>
        <v>0</v>
      </c>
      <c r="S175" s="918">
        <f t="shared" si="90"/>
        <v>0</v>
      </c>
      <c r="T175" s="919"/>
      <c r="U175" s="917">
        <f t="shared" si="91"/>
        <v>0</v>
      </c>
      <c r="V175" s="918">
        <f t="shared" si="92"/>
        <v>0</v>
      </c>
      <c r="W175" s="919"/>
      <c r="X175" s="917">
        <f t="shared" si="93"/>
        <v>0</v>
      </c>
      <c r="Y175" s="918">
        <f t="shared" si="94"/>
        <v>0</v>
      </c>
      <c r="Z175" s="919"/>
      <c r="AA175" s="917">
        <f t="shared" si="95"/>
        <v>0</v>
      </c>
      <c r="AB175" s="918">
        <f t="shared" si="96"/>
        <v>0</v>
      </c>
      <c r="AC175" s="919"/>
      <c r="AD175" s="917">
        <f t="shared" si="97"/>
        <v>0</v>
      </c>
      <c r="AE175" s="918">
        <f t="shared" si="98"/>
        <v>0</v>
      </c>
      <c r="AF175" s="919"/>
      <c r="AG175" s="917">
        <f t="shared" si="99"/>
        <v>0</v>
      </c>
      <c r="AH175" s="918">
        <f t="shared" si="100"/>
        <v>0</v>
      </c>
      <c r="AI175" s="919"/>
      <c r="AJ175" s="917">
        <f t="shared" si="101"/>
        <v>0</v>
      </c>
      <c r="AK175" s="918">
        <f t="shared" si="102"/>
        <v>0</v>
      </c>
      <c r="AL175" s="919"/>
      <c r="AM175" s="917">
        <f t="shared" si="103"/>
        <v>0</v>
      </c>
      <c r="AN175" s="920">
        <v>19242</v>
      </c>
      <c r="AO175" s="917">
        <f t="shared" si="104"/>
        <v>57408</v>
      </c>
      <c r="AP175" s="920"/>
      <c r="AQ175" s="916">
        <f t="shared" si="105"/>
        <v>0</v>
      </c>
      <c r="AR175" s="917">
        <f t="shared" si="106"/>
        <v>76968</v>
      </c>
      <c r="AS175" s="916">
        <v>12</v>
      </c>
      <c r="AT175" s="921">
        <f t="shared" si="107"/>
        <v>923616</v>
      </c>
      <c r="AU175" s="920"/>
      <c r="AV175" s="922">
        <f t="shared" si="108"/>
        <v>9236.16</v>
      </c>
      <c r="AW175" s="921">
        <f t="shared" si="109"/>
        <v>932852.16</v>
      </c>
      <c r="AX175" s="921">
        <f t="shared" si="110"/>
        <v>281721.34999999998</v>
      </c>
      <c r="AY175" s="921">
        <f t="shared" si="111"/>
        <v>1214573.51</v>
      </c>
      <c r="AZ175" s="923">
        <f t="shared" si="112"/>
        <v>932.9</v>
      </c>
      <c r="BA175" s="923">
        <f t="shared" si="113"/>
        <v>281.7</v>
      </c>
      <c r="BB175" s="923">
        <f t="shared" si="114"/>
        <v>1214.5999999999999</v>
      </c>
      <c r="BC175" s="915">
        <v>0.95</v>
      </c>
      <c r="BD175" s="923">
        <f t="shared" si="115"/>
        <v>886.3</v>
      </c>
      <c r="BE175" s="923">
        <f t="shared" si="116"/>
        <v>267.7</v>
      </c>
      <c r="BF175" s="923">
        <f t="shared" si="117"/>
        <v>1154</v>
      </c>
      <c r="BG175" s="924">
        <f>'[3]свод (2024)'!$B$116</f>
        <v>0.99758349999999996</v>
      </c>
      <c r="BH175" s="923">
        <f t="shared" si="118"/>
        <v>884.2</v>
      </c>
      <c r="BI175" s="923">
        <f t="shared" si="119"/>
        <v>267</v>
      </c>
      <c r="BJ175" s="923">
        <f t="shared" si="120"/>
        <v>1151.2</v>
      </c>
      <c r="BK175" s="925">
        <f t="shared" si="121"/>
        <v>-48.7</v>
      </c>
      <c r="BL175" s="925">
        <f t="shared" si="121"/>
        <v>-14.7</v>
      </c>
      <c r="BM175" s="925">
        <f t="shared" si="122"/>
        <v>-63.4</v>
      </c>
      <c r="BN175" s="925">
        <f t="shared" si="123"/>
        <v>0</v>
      </c>
      <c r="BO175" s="925">
        <f t="shared" si="124"/>
        <v>0</v>
      </c>
      <c r="BP175" s="926"/>
      <c r="BQ175" s="925">
        <f t="shared" si="125"/>
        <v>884.2</v>
      </c>
      <c r="BR175" s="925">
        <f t="shared" si="125"/>
        <v>267</v>
      </c>
      <c r="BS175" s="925">
        <f t="shared" si="126"/>
        <v>1151.2</v>
      </c>
      <c r="BU175" s="928"/>
      <c r="BV175" s="917"/>
      <c r="BW175" s="928"/>
      <c r="BX175" s="928"/>
      <c r="BY175" s="928"/>
      <c r="BZ175" s="917"/>
      <c r="CA175" s="928"/>
      <c r="CB175" s="917"/>
      <c r="CC175" s="928"/>
      <c r="CD175" s="928"/>
      <c r="CE175" s="928"/>
      <c r="CF175" s="929"/>
      <c r="CG175" s="928"/>
      <c r="CH175" s="928"/>
      <c r="CI175" s="928"/>
      <c r="CJ175" s="925"/>
      <c r="CK175" s="925"/>
      <c r="CL175" s="925"/>
      <c r="CM175" s="925"/>
      <c r="CN175" s="925"/>
      <c r="CO175" s="925"/>
      <c r="CP175" s="925"/>
      <c r="CQ175" s="925"/>
      <c r="CR175" s="925"/>
      <c r="CS175" s="917"/>
      <c r="CT175" s="928"/>
      <c r="CU175" s="928"/>
      <c r="CV175" s="928"/>
      <c r="CX175" s="925"/>
      <c r="CY175" s="925"/>
      <c r="CZ175" s="925"/>
      <c r="DB175" s="925"/>
      <c r="DC175" s="925"/>
      <c r="DD175" s="925"/>
      <c r="DE175" s="925"/>
      <c r="DF175" s="925"/>
      <c r="DG175" s="925"/>
      <c r="DH175" s="925"/>
      <c r="DI175" s="925"/>
      <c r="DJ175" s="925"/>
      <c r="DK175" s="925"/>
      <c r="DL175" s="925"/>
      <c r="DM175" s="925"/>
      <c r="DN175" s="925"/>
      <c r="DO175" s="925"/>
      <c r="DP175" s="925"/>
      <c r="DQ175" s="924"/>
      <c r="DR175" s="925"/>
      <c r="DS175" s="925"/>
      <c r="DT175" s="925"/>
      <c r="DV175" s="925"/>
      <c r="DW175" s="925"/>
      <c r="DX175" s="925"/>
      <c r="DY175" s="925"/>
      <c r="DZ175" s="925"/>
      <c r="EA175" s="925"/>
      <c r="EB175" s="925"/>
      <c r="EC175" s="925"/>
      <c r="ED175" s="925"/>
      <c r="EE175" s="925"/>
      <c r="EF175" s="925"/>
      <c r="EG175" s="925"/>
      <c r="EH175" s="925"/>
      <c r="EI175" s="925"/>
      <c r="EJ175" s="925"/>
      <c r="EK175" s="925"/>
      <c r="EL175" s="925"/>
      <c r="EM175" s="925"/>
      <c r="EN175" s="925"/>
      <c r="EO175" s="925"/>
      <c r="EP175" s="925"/>
      <c r="EQ175" s="925"/>
      <c r="ER175" s="925"/>
      <c r="ES175" s="925"/>
      <c r="ET175" s="925"/>
      <c r="EV175" s="924"/>
      <c r="EW175" s="925"/>
      <c r="EX175" s="925"/>
      <c r="EY175" s="925"/>
    </row>
    <row r="176" spans="1:155" s="927" customFormat="1" ht="15.75" x14ac:dyDescent="0.25">
      <c r="A176" s="912" t="s">
        <v>360</v>
      </c>
      <c r="B176" s="913" t="s">
        <v>41</v>
      </c>
      <c r="C176" s="914">
        <v>1</v>
      </c>
      <c r="D176" s="914">
        <v>7912</v>
      </c>
      <c r="E176" s="915">
        <v>1.0549999999999999</v>
      </c>
      <c r="F176" s="916">
        <f t="shared" si="81"/>
        <v>8348</v>
      </c>
      <c r="G176" s="915">
        <v>1.01</v>
      </c>
      <c r="H176" s="916">
        <f t="shared" si="82"/>
        <v>8432</v>
      </c>
      <c r="I176" s="917">
        <f t="shared" si="83"/>
        <v>8432</v>
      </c>
      <c r="J176" s="918">
        <f t="shared" si="84"/>
        <v>0</v>
      </c>
      <c r="K176" s="919"/>
      <c r="L176" s="917">
        <f t="shared" si="85"/>
        <v>0</v>
      </c>
      <c r="M176" s="918">
        <f t="shared" si="86"/>
        <v>0</v>
      </c>
      <c r="N176" s="919"/>
      <c r="O176" s="917">
        <f t="shared" si="87"/>
        <v>0</v>
      </c>
      <c r="P176" s="918">
        <f t="shared" si="88"/>
        <v>0</v>
      </c>
      <c r="Q176" s="919"/>
      <c r="R176" s="917">
        <f t="shared" si="89"/>
        <v>0</v>
      </c>
      <c r="S176" s="918">
        <f t="shared" si="90"/>
        <v>0</v>
      </c>
      <c r="T176" s="919"/>
      <c r="U176" s="917">
        <f t="shared" si="91"/>
        <v>0</v>
      </c>
      <c r="V176" s="918">
        <f t="shared" si="92"/>
        <v>0</v>
      </c>
      <c r="W176" s="919"/>
      <c r="X176" s="917">
        <f t="shared" si="93"/>
        <v>0</v>
      </c>
      <c r="Y176" s="918">
        <f t="shared" si="94"/>
        <v>1.4</v>
      </c>
      <c r="Z176" s="919">
        <v>11076.8</v>
      </c>
      <c r="AA176" s="917">
        <f t="shared" si="95"/>
        <v>11804.8</v>
      </c>
      <c r="AB176" s="918">
        <f t="shared" si="96"/>
        <v>0</v>
      </c>
      <c r="AC176" s="919"/>
      <c r="AD176" s="917">
        <f t="shared" si="97"/>
        <v>0</v>
      </c>
      <c r="AE176" s="918">
        <f t="shared" si="98"/>
        <v>0</v>
      </c>
      <c r="AF176" s="919"/>
      <c r="AG176" s="917">
        <f t="shared" si="99"/>
        <v>0</v>
      </c>
      <c r="AH176" s="918">
        <f t="shared" si="100"/>
        <v>0</v>
      </c>
      <c r="AI176" s="919"/>
      <c r="AJ176" s="917">
        <f t="shared" si="101"/>
        <v>0</v>
      </c>
      <c r="AK176" s="918">
        <f t="shared" si="102"/>
        <v>0</v>
      </c>
      <c r="AL176" s="919"/>
      <c r="AM176" s="917">
        <f t="shared" si="103"/>
        <v>0</v>
      </c>
      <c r="AN176" s="920">
        <v>19242</v>
      </c>
      <c r="AO176" s="917">
        <f t="shared" si="104"/>
        <v>0</v>
      </c>
      <c r="AP176" s="920"/>
      <c r="AQ176" s="916">
        <f t="shared" si="105"/>
        <v>0</v>
      </c>
      <c r="AR176" s="917">
        <f t="shared" si="106"/>
        <v>20236.8</v>
      </c>
      <c r="AS176" s="916">
        <v>12</v>
      </c>
      <c r="AT176" s="921">
        <f t="shared" si="107"/>
        <v>242841.60000000001</v>
      </c>
      <c r="AU176" s="920"/>
      <c r="AV176" s="922">
        <f t="shared" si="108"/>
        <v>2428.42</v>
      </c>
      <c r="AW176" s="921">
        <f t="shared" si="109"/>
        <v>245270.02</v>
      </c>
      <c r="AX176" s="921">
        <f t="shared" si="110"/>
        <v>74071.55</v>
      </c>
      <c r="AY176" s="921">
        <f t="shared" si="111"/>
        <v>319341.57</v>
      </c>
      <c r="AZ176" s="923">
        <f t="shared" si="112"/>
        <v>245.3</v>
      </c>
      <c r="BA176" s="923">
        <f t="shared" si="113"/>
        <v>74.099999999999994</v>
      </c>
      <c r="BB176" s="923">
        <f t="shared" si="114"/>
        <v>319.39999999999998</v>
      </c>
      <c r="BC176" s="915">
        <v>0.95</v>
      </c>
      <c r="BD176" s="923">
        <f t="shared" si="115"/>
        <v>233</v>
      </c>
      <c r="BE176" s="923">
        <f t="shared" si="116"/>
        <v>70.400000000000006</v>
      </c>
      <c r="BF176" s="923">
        <f t="shared" si="117"/>
        <v>303.39999999999998</v>
      </c>
      <c r="BG176" s="924">
        <f>'[3]свод (2024)'!$B$116</f>
        <v>0.99758349999999996</v>
      </c>
      <c r="BH176" s="923">
        <f t="shared" si="118"/>
        <v>232.4</v>
      </c>
      <c r="BI176" s="923">
        <f t="shared" si="119"/>
        <v>70.2</v>
      </c>
      <c r="BJ176" s="923">
        <f t="shared" si="120"/>
        <v>302.60000000000002</v>
      </c>
      <c r="BK176" s="925">
        <f t="shared" si="121"/>
        <v>-12.9</v>
      </c>
      <c r="BL176" s="925">
        <f t="shared" si="121"/>
        <v>-3.9</v>
      </c>
      <c r="BM176" s="925">
        <f t="shared" si="122"/>
        <v>-16.8</v>
      </c>
      <c r="BN176" s="925">
        <f t="shared" si="123"/>
        <v>0</v>
      </c>
      <c r="BO176" s="925">
        <f t="shared" si="124"/>
        <v>0</v>
      </c>
      <c r="BP176" s="926"/>
      <c r="BQ176" s="925">
        <f t="shared" si="125"/>
        <v>232.4</v>
      </c>
      <c r="BR176" s="925">
        <f t="shared" si="125"/>
        <v>70.2</v>
      </c>
      <c r="BS176" s="925">
        <f t="shared" si="126"/>
        <v>302.60000000000002</v>
      </c>
      <c r="BU176" s="928"/>
      <c r="BV176" s="917"/>
      <c r="BW176" s="928"/>
      <c r="BX176" s="928"/>
      <c r="BY176" s="928"/>
      <c r="BZ176" s="917"/>
      <c r="CA176" s="928"/>
      <c r="CB176" s="917"/>
      <c r="CC176" s="928"/>
      <c r="CD176" s="928"/>
      <c r="CE176" s="928"/>
      <c r="CF176" s="929"/>
      <c r="CG176" s="928"/>
      <c r="CH176" s="928"/>
      <c r="CI176" s="928"/>
      <c r="CJ176" s="925"/>
      <c r="CK176" s="925"/>
      <c r="CL176" s="925"/>
      <c r="CM176" s="925"/>
      <c r="CN176" s="925"/>
      <c r="CO176" s="925"/>
      <c r="CP176" s="925"/>
      <c r="CQ176" s="925"/>
      <c r="CR176" s="925"/>
      <c r="CS176" s="917"/>
      <c r="CT176" s="928"/>
      <c r="CU176" s="928"/>
      <c r="CV176" s="928"/>
      <c r="CX176" s="925"/>
      <c r="CY176" s="925"/>
      <c r="CZ176" s="925"/>
      <c r="DB176" s="925"/>
      <c r="DC176" s="925"/>
      <c r="DD176" s="925"/>
      <c r="DE176" s="925"/>
      <c r="DF176" s="925"/>
      <c r="DG176" s="925"/>
      <c r="DH176" s="925"/>
      <c r="DI176" s="925"/>
      <c r="DJ176" s="925"/>
      <c r="DK176" s="925"/>
      <c r="DL176" s="925"/>
      <c r="DM176" s="925"/>
      <c r="DN176" s="925"/>
      <c r="DO176" s="925"/>
      <c r="DP176" s="925"/>
      <c r="DQ176" s="924"/>
      <c r="DR176" s="925"/>
      <c r="DS176" s="925"/>
      <c r="DT176" s="925"/>
      <c r="DV176" s="925"/>
      <c r="DW176" s="925"/>
      <c r="DX176" s="925"/>
      <c r="DY176" s="925"/>
      <c r="DZ176" s="925"/>
      <c r="EA176" s="925"/>
      <c r="EB176" s="925"/>
      <c r="EC176" s="925"/>
      <c r="ED176" s="925"/>
      <c r="EE176" s="925"/>
      <c r="EF176" s="925"/>
      <c r="EG176" s="925"/>
      <c r="EH176" s="925"/>
      <c r="EI176" s="925"/>
      <c r="EJ176" s="925"/>
      <c r="EK176" s="925"/>
      <c r="EL176" s="925"/>
      <c r="EM176" s="925"/>
      <c r="EN176" s="925"/>
      <c r="EO176" s="925"/>
      <c r="EP176" s="925"/>
      <c r="EQ176" s="925"/>
      <c r="ER176" s="925"/>
      <c r="ES176" s="925"/>
      <c r="ET176" s="925"/>
      <c r="EV176" s="924"/>
      <c r="EW176" s="925"/>
      <c r="EX176" s="925"/>
      <c r="EY176" s="925"/>
    </row>
    <row r="177" spans="1:155" s="927" customFormat="1" ht="15.75" x14ac:dyDescent="0.25">
      <c r="A177" s="912" t="s">
        <v>360</v>
      </c>
      <c r="B177" s="913" t="s">
        <v>44</v>
      </c>
      <c r="C177" s="914">
        <v>2</v>
      </c>
      <c r="D177" s="914">
        <v>4588</v>
      </c>
      <c r="E177" s="915">
        <v>1.0549999999999999</v>
      </c>
      <c r="F177" s="916">
        <f t="shared" si="81"/>
        <v>4841</v>
      </c>
      <c r="G177" s="915">
        <v>1.01</v>
      </c>
      <c r="H177" s="916">
        <f t="shared" si="82"/>
        <v>4890</v>
      </c>
      <c r="I177" s="917">
        <f t="shared" si="83"/>
        <v>9780</v>
      </c>
      <c r="J177" s="918">
        <f t="shared" si="84"/>
        <v>0</v>
      </c>
      <c r="K177" s="919"/>
      <c r="L177" s="917">
        <f t="shared" si="85"/>
        <v>0</v>
      </c>
      <c r="M177" s="918">
        <f t="shared" si="86"/>
        <v>0</v>
      </c>
      <c r="N177" s="919"/>
      <c r="O177" s="917">
        <f t="shared" si="87"/>
        <v>0</v>
      </c>
      <c r="P177" s="918">
        <f t="shared" si="88"/>
        <v>0</v>
      </c>
      <c r="Q177" s="919"/>
      <c r="R177" s="917">
        <f t="shared" si="89"/>
        <v>0</v>
      </c>
      <c r="S177" s="918">
        <f t="shared" si="90"/>
        <v>0</v>
      </c>
      <c r="T177" s="919"/>
      <c r="U177" s="917">
        <f t="shared" si="91"/>
        <v>0</v>
      </c>
      <c r="V177" s="918">
        <f t="shared" si="92"/>
        <v>0</v>
      </c>
      <c r="W177" s="919"/>
      <c r="X177" s="917">
        <f t="shared" si="93"/>
        <v>0</v>
      </c>
      <c r="Y177" s="918">
        <f t="shared" si="94"/>
        <v>0</v>
      </c>
      <c r="Z177" s="919"/>
      <c r="AA177" s="917">
        <f t="shared" si="95"/>
        <v>0</v>
      </c>
      <c r="AB177" s="918">
        <f t="shared" si="96"/>
        <v>0</v>
      </c>
      <c r="AC177" s="919"/>
      <c r="AD177" s="917">
        <f t="shared" si="97"/>
        <v>0</v>
      </c>
      <c r="AE177" s="918">
        <f t="shared" si="98"/>
        <v>0</v>
      </c>
      <c r="AF177" s="919"/>
      <c r="AG177" s="917">
        <f t="shared" si="99"/>
        <v>0</v>
      </c>
      <c r="AH177" s="918">
        <f t="shared" si="100"/>
        <v>0</v>
      </c>
      <c r="AI177" s="919"/>
      <c r="AJ177" s="917">
        <f t="shared" si="101"/>
        <v>0</v>
      </c>
      <c r="AK177" s="918">
        <f t="shared" si="102"/>
        <v>0</v>
      </c>
      <c r="AL177" s="919"/>
      <c r="AM177" s="917">
        <f t="shared" si="103"/>
        <v>0</v>
      </c>
      <c r="AN177" s="920">
        <v>19242</v>
      </c>
      <c r="AO177" s="917">
        <f t="shared" si="104"/>
        <v>28704</v>
      </c>
      <c r="AP177" s="920"/>
      <c r="AQ177" s="916">
        <f t="shared" si="105"/>
        <v>0</v>
      </c>
      <c r="AR177" s="917">
        <f t="shared" si="106"/>
        <v>38484</v>
      </c>
      <c r="AS177" s="916">
        <v>12</v>
      </c>
      <c r="AT177" s="921">
        <f t="shared" si="107"/>
        <v>461808</v>
      </c>
      <c r="AU177" s="920"/>
      <c r="AV177" s="922">
        <f t="shared" si="108"/>
        <v>4618.08</v>
      </c>
      <c r="AW177" s="921">
        <f t="shared" si="109"/>
        <v>466426.08</v>
      </c>
      <c r="AX177" s="921">
        <f t="shared" si="110"/>
        <v>140860.68</v>
      </c>
      <c r="AY177" s="921">
        <f t="shared" si="111"/>
        <v>607286.76</v>
      </c>
      <c r="AZ177" s="923">
        <f t="shared" si="112"/>
        <v>466.4</v>
      </c>
      <c r="BA177" s="923">
        <f t="shared" si="113"/>
        <v>140.9</v>
      </c>
      <c r="BB177" s="923">
        <f t="shared" si="114"/>
        <v>607.29999999999995</v>
      </c>
      <c r="BC177" s="915">
        <v>0.95</v>
      </c>
      <c r="BD177" s="923">
        <f t="shared" si="115"/>
        <v>443.1</v>
      </c>
      <c r="BE177" s="923">
        <f t="shared" si="116"/>
        <v>133.80000000000001</v>
      </c>
      <c r="BF177" s="923">
        <f t="shared" si="117"/>
        <v>576.9</v>
      </c>
      <c r="BG177" s="924">
        <f>'[3]свод (2024)'!$B$116</f>
        <v>0.99758349999999996</v>
      </c>
      <c r="BH177" s="923">
        <f t="shared" si="118"/>
        <v>442</v>
      </c>
      <c r="BI177" s="923">
        <f t="shared" si="119"/>
        <v>133.5</v>
      </c>
      <c r="BJ177" s="923">
        <f t="shared" si="120"/>
        <v>575.5</v>
      </c>
      <c r="BK177" s="925">
        <f t="shared" si="121"/>
        <v>-24.4</v>
      </c>
      <c r="BL177" s="925">
        <f t="shared" si="121"/>
        <v>-7.4</v>
      </c>
      <c r="BM177" s="925">
        <f t="shared" si="122"/>
        <v>-31.8</v>
      </c>
      <c r="BN177" s="925">
        <f t="shared" si="123"/>
        <v>0</v>
      </c>
      <c r="BO177" s="925">
        <f t="shared" si="124"/>
        <v>0</v>
      </c>
      <c r="BP177" s="926"/>
      <c r="BQ177" s="925">
        <f t="shared" si="125"/>
        <v>442</v>
      </c>
      <c r="BR177" s="925">
        <f t="shared" si="125"/>
        <v>133.5</v>
      </c>
      <c r="BS177" s="925">
        <f t="shared" si="126"/>
        <v>575.5</v>
      </c>
      <c r="BU177" s="928"/>
      <c r="BV177" s="917"/>
      <c r="BW177" s="928"/>
      <c r="BX177" s="928"/>
      <c r="BY177" s="928"/>
      <c r="BZ177" s="917"/>
      <c r="CA177" s="928"/>
      <c r="CB177" s="917"/>
      <c r="CC177" s="928"/>
      <c r="CD177" s="928"/>
      <c r="CE177" s="928"/>
      <c r="CF177" s="929"/>
      <c r="CG177" s="928"/>
      <c r="CH177" s="928"/>
      <c r="CI177" s="928"/>
      <c r="CJ177" s="925"/>
      <c r="CK177" s="925"/>
      <c r="CL177" s="925"/>
      <c r="CM177" s="925"/>
      <c r="CN177" s="925"/>
      <c r="CO177" s="925"/>
      <c r="CP177" s="925"/>
      <c r="CQ177" s="925"/>
      <c r="CR177" s="925"/>
      <c r="CS177" s="917"/>
      <c r="CT177" s="928"/>
      <c r="CU177" s="928"/>
      <c r="CV177" s="928"/>
      <c r="CX177" s="925"/>
      <c r="CY177" s="925"/>
      <c r="CZ177" s="925"/>
      <c r="DB177" s="925"/>
      <c r="DC177" s="925"/>
      <c r="DD177" s="925"/>
      <c r="DE177" s="925"/>
      <c r="DF177" s="925"/>
      <c r="DG177" s="925"/>
      <c r="DH177" s="925"/>
      <c r="DI177" s="925"/>
      <c r="DJ177" s="925"/>
      <c r="DK177" s="925"/>
      <c r="DL177" s="925"/>
      <c r="DM177" s="925"/>
      <c r="DN177" s="925"/>
      <c r="DO177" s="925"/>
      <c r="DP177" s="925"/>
      <c r="DQ177" s="924"/>
      <c r="DR177" s="925"/>
      <c r="DS177" s="925"/>
      <c r="DT177" s="925"/>
      <c r="DV177" s="925"/>
      <c r="DW177" s="925"/>
      <c r="DX177" s="925"/>
      <c r="DY177" s="925"/>
      <c r="DZ177" s="925"/>
      <c r="EA177" s="925"/>
      <c r="EB177" s="925"/>
      <c r="EC177" s="925"/>
      <c r="ED177" s="925"/>
      <c r="EE177" s="925"/>
      <c r="EF177" s="925"/>
      <c r="EG177" s="925"/>
      <c r="EH177" s="925"/>
      <c r="EI177" s="925"/>
      <c r="EJ177" s="925"/>
      <c r="EK177" s="925"/>
      <c r="EL177" s="925"/>
      <c r="EM177" s="925"/>
      <c r="EN177" s="925"/>
      <c r="EO177" s="925"/>
      <c r="EP177" s="925"/>
      <c r="EQ177" s="925"/>
      <c r="ER177" s="925"/>
      <c r="ES177" s="925"/>
      <c r="ET177" s="925"/>
      <c r="EV177" s="924"/>
      <c r="EW177" s="925"/>
      <c r="EX177" s="925"/>
      <c r="EY177" s="925"/>
    </row>
    <row r="178" spans="1:155" s="927" customFormat="1" ht="15.75" x14ac:dyDescent="0.25">
      <c r="A178" s="912" t="s">
        <v>360</v>
      </c>
      <c r="B178" s="913" t="s">
        <v>34</v>
      </c>
      <c r="C178" s="914">
        <v>1</v>
      </c>
      <c r="D178" s="914">
        <v>13132</v>
      </c>
      <c r="E178" s="915">
        <v>1.0549999999999999</v>
      </c>
      <c r="F178" s="916">
        <f t="shared" si="81"/>
        <v>13855</v>
      </c>
      <c r="G178" s="915">
        <v>1.01</v>
      </c>
      <c r="H178" s="916">
        <f t="shared" si="82"/>
        <v>13994</v>
      </c>
      <c r="I178" s="917">
        <f t="shared" si="83"/>
        <v>13994</v>
      </c>
      <c r="J178" s="918">
        <f t="shared" si="84"/>
        <v>0.1</v>
      </c>
      <c r="K178" s="919">
        <v>1313.2</v>
      </c>
      <c r="L178" s="917">
        <f t="shared" si="85"/>
        <v>1399.4</v>
      </c>
      <c r="M178" s="918">
        <f t="shared" si="86"/>
        <v>0</v>
      </c>
      <c r="N178" s="919"/>
      <c r="O178" s="917">
        <f t="shared" si="87"/>
        <v>0</v>
      </c>
      <c r="P178" s="918">
        <f t="shared" si="88"/>
        <v>0</v>
      </c>
      <c r="Q178" s="919"/>
      <c r="R178" s="917">
        <f t="shared" si="89"/>
        <v>0</v>
      </c>
      <c r="S178" s="918">
        <f t="shared" si="90"/>
        <v>0</v>
      </c>
      <c r="T178" s="919"/>
      <c r="U178" s="917">
        <f t="shared" si="91"/>
        <v>0</v>
      </c>
      <c r="V178" s="918">
        <f t="shared" si="92"/>
        <v>0</v>
      </c>
      <c r="W178" s="919"/>
      <c r="X178" s="917">
        <f t="shared" si="93"/>
        <v>0</v>
      </c>
      <c r="Y178" s="918">
        <f t="shared" si="94"/>
        <v>0</v>
      </c>
      <c r="Z178" s="919"/>
      <c r="AA178" s="917">
        <f t="shared" si="95"/>
        <v>0</v>
      </c>
      <c r="AB178" s="918">
        <f t="shared" si="96"/>
        <v>0.2</v>
      </c>
      <c r="AC178" s="919">
        <v>2626.4</v>
      </c>
      <c r="AD178" s="917">
        <f t="shared" si="97"/>
        <v>2798.8</v>
      </c>
      <c r="AE178" s="918">
        <f t="shared" si="98"/>
        <v>0.05</v>
      </c>
      <c r="AF178" s="919">
        <v>656.6</v>
      </c>
      <c r="AG178" s="917">
        <f t="shared" si="99"/>
        <v>699.7</v>
      </c>
      <c r="AH178" s="918">
        <f t="shared" si="100"/>
        <v>0</v>
      </c>
      <c r="AI178" s="919"/>
      <c r="AJ178" s="917">
        <f t="shared" si="101"/>
        <v>0</v>
      </c>
      <c r="AK178" s="918">
        <f t="shared" si="102"/>
        <v>0</v>
      </c>
      <c r="AL178" s="919"/>
      <c r="AM178" s="917">
        <f t="shared" si="103"/>
        <v>0</v>
      </c>
      <c r="AN178" s="920">
        <v>19242</v>
      </c>
      <c r="AO178" s="917">
        <f t="shared" si="104"/>
        <v>350.1</v>
      </c>
      <c r="AP178" s="920"/>
      <c r="AQ178" s="916">
        <f t="shared" si="105"/>
        <v>0</v>
      </c>
      <c r="AR178" s="917">
        <f t="shared" si="106"/>
        <v>19242</v>
      </c>
      <c r="AS178" s="916">
        <v>12</v>
      </c>
      <c r="AT178" s="921">
        <f t="shared" si="107"/>
        <v>230904</v>
      </c>
      <c r="AU178" s="920"/>
      <c r="AV178" s="922">
        <f t="shared" si="108"/>
        <v>2309.04</v>
      </c>
      <c r="AW178" s="921">
        <f t="shared" si="109"/>
        <v>233213.04</v>
      </c>
      <c r="AX178" s="921">
        <f t="shared" si="110"/>
        <v>70430.34</v>
      </c>
      <c r="AY178" s="921">
        <f t="shared" si="111"/>
        <v>303643.38</v>
      </c>
      <c r="AZ178" s="923">
        <f t="shared" si="112"/>
        <v>233.2</v>
      </c>
      <c r="BA178" s="923">
        <f t="shared" si="113"/>
        <v>70.400000000000006</v>
      </c>
      <c r="BB178" s="923">
        <f t="shared" si="114"/>
        <v>303.60000000000002</v>
      </c>
      <c r="BC178" s="915">
        <v>0.95</v>
      </c>
      <c r="BD178" s="923">
        <f t="shared" si="115"/>
        <v>221.5</v>
      </c>
      <c r="BE178" s="923">
        <f t="shared" si="116"/>
        <v>66.900000000000006</v>
      </c>
      <c r="BF178" s="923">
        <f t="shared" si="117"/>
        <v>288.39999999999998</v>
      </c>
      <c r="BG178" s="924">
        <f>'[3]свод (2024)'!$B$116</f>
        <v>0.99758349999999996</v>
      </c>
      <c r="BH178" s="923">
        <f t="shared" si="118"/>
        <v>221</v>
      </c>
      <c r="BI178" s="923">
        <f t="shared" si="119"/>
        <v>66.7</v>
      </c>
      <c r="BJ178" s="923">
        <f t="shared" si="120"/>
        <v>287.7</v>
      </c>
      <c r="BK178" s="925">
        <f t="shared" si="121"/>
        <v>-12.2</v>
      </c>
      <c r="BL178" s="925">
        <f t="shared" si="121"/>
        <v>-3.7</v>
      </c>
      <c r="BM178" s="925">
        <f t="shared" si="122"/>
        <v>-15.9</v>
      </c>
      <c r="BN178" s="925">
        <f t="shared" si="123"/>
        <v>0</v>
      </c>
      <c r="BO178" s="925">
        <f t="shared" si="124"/>
        <v>0</v>
      </c>
      <c r="BP178" s="926"/>
      <c r="BQ178" s="925">
        <f t="shared" si="125"/>
        <v>221</v>
      </c>
      <c r="BR178" s="925">
        <f t="shared" si="125"/>
        <v>66.7</v>
      </c>
      <c r="BS178" s="925">
        <f t="shared" si="126"/>
        <v>287.7</v>
      </c>
      <c r="BU178" s="928">
        <f t="shared" si="127"/>
        <v>1</v>
      </c>
      <c r="BV178" s="917"/>
      <c r="BW178" s="928"/>
      <c r="BX178" s="928">
        <f t="shared" si="128"/>
        <v>233213.04</v>
      </c>
      <c r="BY178" s="928"/>
      <c r="BZ178" s="917"/>
      <c r="CA178" s="928"/>
      <c r="CB178" s="917"/>
      <c r="CC178" s="928"/>
      <c r="CD178" s="928"/>
      <c r="CE178" s="928"/>
      <c r="CF178" s="929">
        <f>CC$184/BU$184*BU178</f>
        <v>78830.11</v>
      </c>
      <c r="CG178" s="928"/>
      <c r="CH178" s="928"/>
      <c r="CI178" s="928"/>
      <c r="CJ178" s="925"/>
      <c r="CK178" s="925"/>
      <c r="CL178" s="925"/>
      <c r="CM178" s="925"/>
      <c r="CN178" s="925"/>
      <c r="CO178" s="925"/>
      <c r="CP178" s="925"/>
      <c r="CQ178" s="925"/>
      <c r="CR178" s="925"/>
      <c r="CS178" s="917"/>
      <c r="CT178" s="928"/>
      <c r="CU178" s="928"/>
      <c r="CV178" s="928"/>
      <c r="CX178" s="925"/>
      <c r="CY178" s="925"/>
      <c r="CZ178" s="925"/>
      <c r="DB178" s="925"/>
      <c r="DC178" s="925"/>
      <c r="DD178" s="925"/>
      <c r="DE178" s="925"/>
      <c r="DF178" s="925"/>
      <c r="DG178" s="925"/>
      <c r="DH178" s="925"/>
      <c r="DI178" s="925"/>
      <c r="DJ178" s="925"/>
      <c r="DK178" s="925"/>
      <c r="DL178" s="925"/>
      <c r="DM178" s="925"/>
      <c r="DN178" s="925"/>
      <c r="DO178" s="925"/>
      <c r="DP178" s="925"/>
      <c r="DQ178" s="924"/>
      <c r="DR178" s="925"/>
      <c r="DS178" s="925"/>
      <c r="DT178" s="925"/>
      <c r="DV178" s="925"/>
      <c r="DW178" s="925"/>
      <c r="DX178" s="925"/>
      <c r="DY178" s="925"/>
      <c r="DZ178" s="925"/>
      <c r="EA178" s="925"/>
      <c r="EB178" s="925"/>
      <c r="EC178" s="925"/>
      <c r="ED178" s="925"/>
      <c r="EE178" s="925"/>
      <c r="EF178" s="925"/>
      <c r="EG178" s="925"/>
      <c r="EH178" s="925"/>
      <c r="EI178" s="925"/>
      <c r="EJ178" s="925"/>
      <c r="EK178" s="925"/>
      <c r="EL178" s="925"/>
      <c r="EM178" s="925"/>
      <c r="EN178" s="925"/>
      <c r="EO178" s="925"/>
      <c r="EP178" s="925"/>
      <c r="EQ178" s="925"/>
      <c r="ER178" s="925"/>
      <c r="ES178" s="925"/>
      <c r="ET178" s="925"/>
      <c r="EV178" s="924"/>
      <c r="EW178" s="925"/>
      <c r="EX178" s="925"/>
      <c r="EY178" s="925"/>
    </row>
    <row r="179" spans="1:155" s="927" customFormat="1" ht="15.75" x14ac:dyDescent="0.25">
      <c r="A179" s="912" t="s">
        <v>360</v>
      </c>
      <c r="B179" s="913" t="s">
        <v>1413</v>
      </c>
      <c r="C179" s="914">
        <v>1</v>
      </c>
      <c r="D179" s="914">
        <v>6707</v>
      </c>
      <c r="E179" s="915">
        <v>1.0549999999999999</v>
      </c>
      <c r="F179" s="916">
        <f t="shared" si="81"/>
        <v>7076</v>
      </c>
      <c r="G179" s="915">
        <v>1.01</v>
      </c>
      <c r="H179" s="916">
        <f t="shared" si="82"/>
        <v>7147</v>
      </c>
      <c r="I179" s="917">
        <f t="shared" si="83"/>
        <v>7147</v>
      </c>
      <c r="J179" s="918">
        <f t="shared" si="84"/>
        <v>0</v>
      </c>
      <c r="K179" s="919"/>
      <c r="L179" s="917">
        <f t="shared" si="85"/>
        <v>0</v>
      </c>
      <c r="M179" s="918">
        <f t="shared" si="86"/>
        <v>0</v>
      </c>
      <c r="N179" s="919"/>
      <c r="O179" s="917">
        <f t="shared" si="87"/>
        <v>0</v>
      </c>
      <c r="P179" s="918">
        <f t="shared" si="88"/>
        <v>0</v>
      </c>
      <c r="Q179" s="919"/>
      <c r="R179" s="917">
        <f t="shared" si="89"/>
        <v>0</v>
      </c>
      <c r="S179" s="918">
        <f t="shared" si="90"/>
        <v>1</v>
      </c>
      <c r="T179" s="919">
        <v>6707</v>
      </c>
      <c r="U179" s="917">
        <f t="shared" si="91"/>
        <v>7147</v>
      </c>
      <c r="V179" s="918">
        <f t="shared" si="92"/>
        <v>0</v>
      </c>
      <c r="W179" s="919"/>
      <c r="X179" s="917">
        <f t="shared" si="93"/>
        <v>0</v>
      </c>
      <c r="Y179" s="918">
        <f t="shared" si="94"/>
        <v>0</v>
      </c>
      <c r="Z179" s="919"/>
      <c r="AA179" s="917">
        <f t="shared" si="95"/>
        <v>0</v>
      </c>
      <c r="AB179" s="918">
        <f t="shared" si="96"/>
        <v>0.15</v>
      </c>
      <c r="AC179" s="919">
        <v>1006.05</v>
      </c>
      <c r="AD179" s="917">
        <f t="shared" si="97"/>
        <v>1072.05</v>
      </c>
      <c r="AE179" s="918">
        <f t="shared" si="98"/>
        <v>0</v>
      </c>
      <c r="AF179" s="919"/>
      <c r="AG179" s="917">
        <f t="shared" si="99"/>
        <v>0</v>
      </c>
      <c r="AH179" s="918">
        <f t="shared" si="100"/>
        <v>0</v>
      </c>
      <c r="AI179" s="919"/>
      <c r="AJ179" s="917">
        <f t="shared" si="101"/>
        <v>0</v>
      </c>
      <c r="AK179" s="918">
        <f t="shared" si="102"/>
        <v>0</v>
      </c>
      <c r="AL179" s="919"/>
      <c r="AM179" s="917">
        <f t="shared" si="103"/>
        <v>0</v>
      </c>
      <c r="AN179" s="920">
        <v>19242</v>
      </c>
      <c r="AO179" s="917">
        <f t="shared" si="104"/>
        <v>3875.95</v>
      </c>
      <c r="AP179" s="920"/>
      <c r="AQ179" s="916">
        <f t="shared" si="105"/>
        <v>0</v>
      </c>
      <c r="AR179" s="917">
        <f t="shared" si="106"/>
        <v>19242</v>
      </c>
      <c r="AS179" s="916">
        <v>12</v>
      </c>
      <c r="AT179" s="921">
        <f t="shared" si="107"/>
        <v>230904</v>
      </c>
      <c r="AU179" s="920"/>
      <c r="AV179" s="922">
        <f t="shared" si="108"/>
        <v>2309.04</v>
      </c>
      <c r="AW179" s="921">
        <f t="shared" si="109"/>
        <v>233213.04</v>
      </c>
      <c r="AX179" s="921">
        <f t="shared" si="110"/>
        <v>70430.34</v>
      </c>
      <c r="AY179" s="921">
        <f t="shared" si="111"/>
        <v>303643.38</v>
      </c>
      <c r="AZ179" s="923">
        <f t="shared" si="112"/>
        <v>233.2</v>
      </c>
      <c r="BA179" s="923">
        <f t="shared" si="113"/>
        <v>70.400000000000006</v>
      </c>
      <c r="BB179" s="923">
        <f t="shared" si="114"/>
        <v>303.60000000000002</v>
      </c>
      <c r="BC179" s="915">
        <v>0.95</v>
      </c>
      <c r="BD179" s="923">
        <f t="shared" si="115"/>
        <v>221.5</v>
      </c>
      <c r="BE179" s="923">
        <f t="shared" si="116"/>
        <v>66.900000000000006</v>
      </c>
      <c r="BF179" s="923">
        <f t="shared" si="117"/>
        <v>288.39999999999998</v>
      </c>
      <c r="BG179" s="924">
        <f>'[3]свод (2024)'!$B$116</f>
        <v>0.99758349999999996</v>
      </c>
      <c r="BH179" s="923">
        <f t="shared" si="118"/>
        <v>221</v>
      </c>
      <c r="BI179" s="923">
        <f t="shared" si="119"/>
        <v>66.7</v>
      </c>
      <c r="BJ179" s="923">
        <f t="shared" si="120"/>
        <v>287.7</v>
      </c>
      <c r="BK179" s="925">
        <f t="shared" si="121"/>
        <v>-12.2</v>
      </c>
      <c r="BL179" s="925">
        <f t="shared" si="121"/>
        <v>-3.7</v>
      </c>
      <c r="BM179" s="925">
        <f t="shared" si="122"/>
        <v>-15.9</v>
      </c>
      <c r="BN179" s="925">
        <f t="shared" si="123"/>
        <v>0</v>
      </c>
      <c r="BO179" s="925">
        <f t="shared" si="124"/>
        <v>0</v>
      </c>
      <c r="BP179" s="926"/>
      <c r="BQ179" s="925">
        <f t="shared" si="125"/>
        <v>221</v>
      </c>
      <c r="BR179" s="925">
        <f t="shared" si="125"/>
        <v>66.7</v>
      </c>
      <c r="BS179" s="925">
        <f t="shared" si="126"/>
        <v>287.7</v>
      </c>
      <c r="BU179" s="928"/>
      <c r="BV179" s="917"/>
      <c r="BW179" s="928"/>
      <c r="BX179" s="928"/>
      <c r="BY179" s="928"/>
      <c r="BZ179" s="917"/>
      <c r="CA179" s="928"/>
      <c r="CB179" s="917"/>
      <c r="CC179" s="928"/>
      <c r="CD179" s="928"/>
      <c r="CE179" s="928"/>
      <c r="CF179" s="929"/>
      <c r="CG179" s="928"/>
      <c r="CH179" s="928"/>
      <c r="CI179" s="928"/>
      <c r="CJ179" s="925"/>
      <c r="CK179" s="925"/>
      <c r="CL179" s="925"/>
      <c r="CM179" s="925"/>
      <c r="CN179" s="925"/>
      <c r="CO179" s="925"/>
      <c r="CP179" s="925"/>
      <c r="CQ179" s="925"/>
      <c r="CR179" s="925"/>
      <c r="CS179" s="917"/>
      <c r="CT179" s="928"/>
      <c r="CU179" s="928"/>
      <c r="CV179" s="928"/>
      <c r="CX179" s="925"/>
      <c r="CY179" s="925"/>
      <c r="CZ179" s="925"/>
      <c r="DB179" s="925"/>
      <c r="DC179" s="925"/>
      <c r="DD179" s="925"/>
      <c r="DE179" s="925"/>
      <c r="DF179" s="925"/>
      <c r="DG179" s="925"/>
      <c r="DH179" s="925"/>
      <c r="DI179" s="925"/>
      <c r="DJ179" s="925"/>
      <c r="DK179" s="925"/>
      <c r="DL179" s="925"/>
      <c r="DM179" s="925"/>
      <c r="DN179" s="925"/>
      <c r="DO179" s="925"/>
      <c r="DP179" s="925"/>
      <c r="DQ179" s="924"/>
      <c r="DR179" s="925"/>
      <c r="DS179" s="925"/>
      <c r="DT179" s="925"/>
      <c r="DV179" s="925"/>
      <c r="DW179" s="925"/>
      <c r="DX179" s="925"/>
      <c r="DY179" s="925"/>
      <c r="DZ179" s="925"/>
      <c r="EA179" s="925"/>
      <c r="EB179" s="925"/>
      <c r="EC179" s="925"/>
      <c r="ED179" s="925"/>
      <c r="EE179" s="925"/>
      <c r="EF179" s="925"/>
      <c r="EG179" s="925"/>
      <c r="EH179" s="925"/>
      <c r="EI179" s="925"/>
      <c r="EJ179" s="925"/>
      <c r="EK179" s="925"/>
      <c r="EL179" s="925"/>
      <c r="EM179" s="925"/>
      <c r="EN179" s="925"/>
      <c r="EO179" s="925"/>
      <c r="EP179" s="925"/>
      <c r="EQ179" s="925"/>
      <c r="ER179" s="925"/>
      <c r="ES179" s="925"/>
      <c r="ET179" s="925"/>
      <c r="EV179" s="924"/>
      <c r="EW179" s="925"/>
      <c r="EX179" s="925"/>
      <c r="EY179" s="925"/>
    </row>
    <row r="180" spans="1:155" s="927" customFormat="1" ht="15.75" x14ac:dyDescent="0.25">
      <c r="A180" s="912" t="s">
        <v>360</v>
      </c>
      <c r="B180" s="913" t="s">
        <v>1389</v>
      </c>
      <c r="C180" s="914">
        <v>20</v>
      </c>
      <c r="D180" s="914">
        <v>4336</v>
      </c>
      <c r="E180" s="915">
        <v>1.0549999999999999</v>
      </c>
      <c r="F180" s="916">
        <f t="shared" si="81"/>
        <v>4575</v>
      </c>
      <c r="G180" s="915">
        <v>1.01</v>
      </c>
      <c r="H180" s="916">
        <f t="shared" si="82"/>
        <v>4621</v>
      </c>
      <c r="I180" s="917">
        <f t="shared" si="83"/>
        <v>92420</v>
      </c>
      <c r="J180" s="918">
        <f t="shared" si="84"/>
        <v>0</v>
      </c>
      <c r="K180" s="919"/>
      <c r="L180" s="917">
        <f t="shared" si="85"/>
        <v>0</v>
      </c>
      <c r="M180" s="918">
        <f t="shared" si="86"/>
        <v>0</v>
      </c>
      <c r="N180" s="919"/>
      <c r="O180" s="917">
        <f t="shared" si="87"/>
        <v>0</v>
      </c>
      <c r="P180" s="918">
        <f t="shared" si="88"/>
        <v>0</v>
      </c>
      <c r="Q180" s="919"/>
      <c r="R180" s="917">
        <f t="shared" si="89"/>
        <v>0</v>
      </c>
      <c r="S180" s="918">
        <f t="shared" si="90"/>
        <v>0</v>
      </c>
      <c r="T180" s="919"/>
      <c r="U180" s="917">
        <f t="shared" si="91"/>
        <v>0</v>
      </c>
      <c r="V180" s="918">
        <f t="shared" si="92"/>
        <v>0</v>
      </c>
      <c r="W180" s="919"/>
      <c r="X180" s="917">
        <f t="shared" si="93"/>
        <v>0</v>
      </c>
      <c r="Y180" s="918">
        <f t="shared" si="94"/>
        <v>0</v>
      </c>
      <c r="Z180" s="919"/>
      <c r="AA180" s="917">
        <f t="shared" si="95"/>
        <v>0</v>
      </c>
      <c r="AB180" s="918">
        <f t="shared" si="96"/>
        <v>0</v>
      </c>
      <c r="AC180" s="919"/>
      <c r="AD180" s="917">
        <f t="shared" si="97"/>
        <v>0</v>
      </c>
      <c r="AE180" s="918">
        <f t="shared" si="98"/>
        <v>0</v>
      </c>
      <c r="AF180" s="919"/>
      <c r="AG180" s="917">
        <f t="shared" si="99"/>
        <v>0</v>
      </c>
      <c r="AH180" s="918">
        <f t="shared" si="100"/>
        <v>0</v>
      </c>
      <c r="AI180" s="919"/>
      <c r="AJ180" s="917">
        <f t="shared" si="101"/>
        <v>0</v>
      </c>
      <c r="AK180" s="918">
        <f t="shared" si="102"/>
        <v>0</v>
      </c>
      <c r="AL180" s="919"/>
      <c r="AM180" s="917">
        <f t="shared" si="103"/>
        <v>0</v>
      </c>
      <c r="AN180" s="920">
        <v>19242</v>
      </c>
      <c r="AO180" s="917">
        <f t="shared" si="104"/>
        <v>292420</v>
      </c>
      <c r="AP180" s="920">
        <v>1060.29</v>
      </c>
      <c r="AQ180" s="916">
        <f t="shared" si="105"/>
        <v>21205.8</v>
      </c>
      <c r="AR180" s="917">
        <f t="shared" si="106"/>
        <v>406045.8</v>
      </c>
      <c r="AS180" s="916">
        <v>12</v>
      </c>
      <c r="AT180" s="921">
        <f t="shared" si="107"/>
        <v>4872549.5999999996</v>
      </c>
      <c r="AU180" s="920">
        <f t="shared" ref="AU180:AU181" si="150">AT180*0.085</f>
        <v>414166.72</v>
      </c>
      <c r="AV180" s="922">
        <f t="shared" si="108"/>
        <v>48725.5</v>
      </c>
      <c r="AW180" s="921">
        <f t="shared" si="109"/>
        <v>5335441.82</v>
      </c>
      <c r="AX180" s="921">
        <f t="shared" si="110"/>
        <v>1611303.43</v>
      </c>
      <c r="AY180" s="921">
        <f t="shared" si="111"/>
        <v>6946745.25</v>
      </c>
      <c r="AZ180" s="923">
        <f t="shared" si="112"/>
        <v>5335.4</v>
      </c>
      <c r="BA180" s="923">
        <f t="shared" si="113"/>
        <v>1611.3</v>
      </c>
      <c r="BB180" s="923">
        <f t="shared" si="114"/>
        <v>6946.7</v>
      </c>
      <c r="BC180" s="915">
        <v>0.95</v>
      </c>
      <c r="BD180" s="923">
        <f t="shared" si="115"/>
        <v>5068.6000000000004</v>
      </c>
      <c r="BE180" s="923">
        <f t="shared" si="116"/>
        <v>1530.7</v>
      </c>
      <c r="BF180" s="923">
        <f t="shared" si="117"/>
        <v>6599.3</v>
      </c>
      <c r="BG180" s="924">
        <f>'[3]свод (2024)'!$B$116</f>
        <v>0.99758349999999996</v>
      </c>
      <c r="BH180" s="923">
        <f t="shared" si="118"/>
        <v>5056.3999999999996</v>
      </c>
      <c r="BI180" s="923">
        <f t="shared" si="119"/>
        <v>1527</v>
      </c>
      <c r="BJ180" s="923">
        <f t="shared" si="120"/>
        <v>6583.4</v>
      </c>
      <c r="BK180" s="925">
        <f t="shared" si="121"/>
        <v>-279</v>
      </c>
      <c r="BL180" s="925">
        <f t="shared" si="121"/>
        <v>-84.3</v>
      </c>
      <c r="BM180" s="925">
        <f t="shared" si="122"/>
        <v>-363.3</v>
      </c>
      <c r="BN180" s="925">
        <f t="shared" si="123"/>
        <v>0</v>
      </c>
      <c r="BO180" s="925">
        <f t="shared" si="124"/>
        <v>0</v>
      </c>
      <c r="BP180" s="926"/>
      <c r="BQ180" s="925">
        <f t="shared" si="125"/>
        <v>5056.3999999999996</v>
      </c>
      <c r="BR180" s="925">
        <f t="shared" si="125"/>
        <v>1527</v>
      </c>
      <c r="BS180" s="925">
        <f t="shared" si="126"/>
        <v>6583.4</v>
      </c>
      <c r="BU180" s="928"/>
      <c r="BV180" s="917"/>
      <c r="BW180" s="928"/>
      <c r="BX180" s="928"/>
      <c r="BY180" s="928"/>
      <c r="BZ180" s="917"/>
      <c r="CA180" s="928"/>
      <c r="CB180" s="917"/>
      <c r="CC180" s="928"/>
      <c r="CD180" s="928"/>
      <c r="CE180" s="928"/>
      <c r="CF180" s="929"/>
      <c r="CG180" s="928"/>
      <c r="CH180" s="928"/>
      <c r="CI180" s="928"/>
      <c r="CJ180" s="925"/>
      <c r="CK180" s="925"/>
      <c r="CL180" s="925"/>
      <c r="CM180" s="925"/>
      <c r="CN180" s="925"/>
      <c r="CO180" s="925"/>
      <c r="CP180" s="925"/>
      <c r="CQ180" s="925"/>
      <c r="CR180" s="925"/>
      <c r="CS180" s="917"/>
      <c r="CT180" s="928"/>
      <c r="CU180" s="928"/>
      <c r="CV180" s="928"/>
      <c r="CX180" s="925"/>
      <c r="CY180" s="925"/>
      <c r="CZ180" s="925"/>
      <c r="DB180" s="925"/>
      <c r="DC180" s="925"/>
      <c r="DD180" s="925"/>
      <c r="DE180" s="925"/>
      <c r="DF180" s="925"/>
      <c r="DG180" s="925"/>
      <c r="DH180" s="925"/>
      <c r="DI180" s="925"/>
      <c r="DJ180" s="925"/>
      <c r="DK180" s="925"/>
      <c r="DL180" s="925"/>
      <c r="DM180" s="925"/>
      <c r="DN180" s="925"/>
      <c r="DO180" s="925"/>
      <c r="DP180" s="925"/>
      <c r="DQ180" s="924"/>
      <c r="DR180" s="925"/>
      <c r="DS180" s="925"/>
      <c r="DT180" s="925"/>
      <c r="DV180" s="925"/>
      <c r="DW180" s="925"/>
      <c r="DX180" s="925"/>
      <c r="DY180" s="925"/>
      <c r="DZ180" s="925"/>
      <c r="EA180" s="925"/>
      <c r="EB180" s="925"/>
      <c r="EC180" s="925"/>
      <c r="ED180" s="925"/>
      <c r="EE180" s="925"/>
      <c r="EF180" s="925"/>
      <c r="EG180" s="925"/>
      <c r="EH180" s="925"/>
      <c r="EI180" s="925"/>
      <c r="EJ180" s="925"/>
      <c r="EK180" s="925"/>
      <c r="EL180" s="925"/>
      <c r="EM180" s="925"/>
      <c r="EN180" s="925"/>
      <c r="EO180" s="925"/>
      <c r="EP180" s="925"/>
      <c r="EQ180" s="925"/>
      <c r="ER180" s="925"/>
      <c r="ES180" s="925"/>
      <c r="ET180" s="925"/>
      <c r="EV180" s="924"/>
      <c r="EW180" s="925"/>
      <c r="EX180" s="925"/>
      <c r="EY180" s="925"/>
    </row>
    <row r="181" spans="1:155" s="927" customFormat="1" ht="15.75" x14ac:dyDescent="0.25">
      <c r="A181" s="912" t="s">
        <v>360</v>
      </c>
      <c r="B181" s="913" t="s">
        <v>1390</v>
      </c>
      <c r="C181" s="914">
        <v>6.75</v>
      </c>
      <c r="D181" s="914">
        <v>4336</v>
      </c>
      <c r="E181" s="915">
        <v>1.0549999999999999</v>
      </c>
      <c r="F181" s="916">
        <f t="shared" si="81"/>
        <v>4575</v>
      </c>
      <c r="G181" s="915">
        <v>1.01</v>
      </c>
      <c r="H181" s="916">
        <f t="shared" si="82"/>
        <v>4621</v>
      </c>
      <c r="I181" s="917">
        <f t="shared" si="83"/>
        <v>31191.75</v>
      </c>
      <c r="J181" s="918">
        <f t="shared" si="84"/>
        <v>0</v>
      </c>
      <c r="K181" s="919"/>
      <c r="L181" s="917">
        <f t="shared" si="85"/>
        <v>0</v>
      </c>
      <c r="M181" s="918">
        <f t="shared" si="86"/>
        <v>0</v>
      </c>
      <c r="N181" s="919"/>
      <c r="O181" s="917">
        <f t="shared" si="87"/>
        <v>0</v>
      </c>
      <c r="P181" s="918">
        <f t="shared" si="88"/>
        <v>0</v>
      </c>
      <c r="Q181" s="919"/>
      <c r="R181" s="917">
        <f t="shared" si="89"/>
        <v>0</v>
      </c>
      <c r="S181" s="918">
        <f t="shared" si="90"/>
        <v>0</v>
      </c>
      <c r="T181" s="919"/>
      <c r="U181" s="917">
        <f t="shared" si="91"/>
        <v>0</v>
      </c>
      <c r="V181" s="918">
        <f t="shared" si="92"/>
        <v>0</v>
      </c>
      <c r="W181" s="919"/>
      <c r="X181" s="917">
        <f t="shared" si="93"/>
        <v>0</v>
      </c>
      <c r="Y181" s="918">
        <f t="shared" si="94"/>
        <v>0</v>
      </c>
      <c r="Z181" s="919"/>
      <c r="AA181" s="917">
        <f t="shared" si="95"/>
        <v>0</v>
      </c>
      <c r="AB181" s="918">
        <f t="shared" si="96"/>
        <v>0</v>
      </c>
      <c r="AC181" s="919"/>
      <c r="AD181" s="917">
        <f t="shared" si="97"/>
        <v>0</v>
      </c>
      <c r="AE181" s="918">
        <f t="shared" si="98"/>
        <v>0</v>
      </c>
      <c r="AF181" s="919"/>
      <c r="AG181" s="917">
        <f t="shared" si="99"/>
        <v>0</v>
      </c>
      <c r="AH181" s="918">
        <f t="shared" si="100"/>
        <v>0</v>
      </c>
      <c r="AI181" s="919"/>
      <c r="AJ181" s="917">
        <f t="shared" si="101"/>
        <v>0</v>
      </c>
      <c r="AK181" s="918">
        <f t="shared" si="102"/>
        <v>0</v>
      </c>
      <c r="AL181" s="919"/>
      <c r="AM181" s="917">
        <f t="shared" si="103"/>
        <v>0</v>
      </c>
      <c r="AN181" s="920">
        <v>19242</v>
      </c>
      <c r="AO181" s="917">
        <f t="shared" si="104"/>
        <v>98691.75</v>
      </c>
      <c r="AP181" s="920"/>
      <c r="AQ181" s="916">
        <f t="shared" si="105"/>
        <v>0</v>
      </c>
      <c r="AR181" s="917">
        <f t="shared" si="106"/>
        <v>129883.5</v>
      </c>
      <c r="AS181" s="916">
        <v>12</v>
      </c>
      <c r="AT181" s="921">
        <f t="shared" si="107"/>
        <v>1558602</v>
      </c>
      <c r="AU181" s="920">
        <f t="shared" si="150"/>
        <v>132481.17000000001</v>
      </c>
      <c r="AV181" s="922">
        <f t="shared" si="108"/>
        <v>15586.02</v>
      </c>
      <c r="AW181" s="921">
        <f t="shared" si="109"/>
        <v>1706669.19</v>
      </c>
      <c r="AX181" s="921">
        <f t="shared" si="110"/>
        <v>515414.1</v>
      </c>
      <c r="AY181" s="921">
        <f t="shared" si="111"/>
        <v>2222083.29</v>
      </c>
      <c r="AZ181" s="923">
        <f t="shared" si="112"/>
        <v>1706.7</v>
      </c>
      <c r="BA181" s="923">
        <f t="shared" si="113"/>
        <v>515.4</v>
      </c>
      <c r="BB181" s="923">
        <f t="shared" si="114"/>
        <v>2222.1</v>
      </c>
      <c r="BC181" s="915">
        <v>0.95</v>
      </c>
      <c r="BD181" s="923">
        <f t="shared" si="115"/>
        <v>1621.4</v>
      </c>
      <c r="BE181" s="923">
        <f t="shared" si="116"/>
        <v>489.7</v>
      </c>
      <c r="BF181" s="923">
        <f t="shared" si="117"/>
        <v>2111.1</v>
      </c>
      <c r="BG181" s="924">
        <f>'[3]свод (2024)'!$B$116</f>
        <v>0.99758349999999996</v>
      </c>
      <c r="BH181" s="923">
        <f t="shared" si="118"/>
        <v>1617.5</v>
      </c>
      <c r="BI181" s="923">
        <f t="shared" si="119"/>
        <v>488.5</v>
      </c>
      <c r="BJ181" s="923">
        <f t="shared" si="120"/>
        <v>2106</v>
      </c>
      <c r="BK181" s="925">
        <f t="shared" si="121"/>
        <v>-89.2</v>
      </c>
      <c r="BL181" s="925">
        <f t="shared" si="121"/>
        <v>-26.9</v>
      </c>
      <c r="BM181" s="925">
        <f t="shared" si="122"/>
        <v>-116.1</v>
      </c>
      <c r="BN181" s="925">
        <f t="shared" si="123"/>
        <v>0</v>
      </c>
      <c r="BO181" s="925">
        <f t="shared" si="124"/>
        <v>0</v>
      </c>
      <c r="BP181" s="926"/>
      <c r="BQ181" s="925">
        <f t="shared" si="125"/>
        <v>1617.5</v>
      </c>
      <c r="BR181" s="925">
        <f t="shared" si="125"/>
        <v>488.5</v>
      </c>
      <c r="BS181" s="925">
        <f t="shared" si="126"/>
        <v>2106</v>
      </c>
      <c r="BU181" s="928"/>
      <c r="BV181" s="917"/>
      <c r="BW181" s="928"/>
      <c r="BX181" s="928"/>
      <c r="BY181" s="928"/>
      <c r="BZ181" s="917"/>
      <c r="CA181" s="928"/>
      <c r="CB181" s="917"/>
      <c r="CC181" s="928"/>
      <c r="CD181" s="928"/>
      <c r="CE181" s="928"/>
      <c r="CF181" s="929"/>
      <c r="CG181" s="928"/>
      <c r="CH181" s="928"/>
      <c r="CI181" s="928"/>
      <c r="CJ181" s="925"/>
      <c r="CK181" s="925"/>
      <c r="CL181" s="925"/>
      <c r="CM181" s="925"/>
      <c r="CN181" s="925"/>
      <c r="CO181" s="925"/>
      <c r="CP181" s="925"/>
      <c r="CQ181" s="925"/>
      <c r="CR181" s="925"/>
      <c r="CS181" s="917"/>
      <c r="CT181" s="928"/>
      <c r="CU181" s="928"/>
      <c r="CV181" s="928"/>
      <c r="CX181" s="925"/>
      <c r="CY181" s="925"/>
      <c r="CZ181" s="925"/>
      <c r="DB181" s="925"/>
      <c r="DC181" s="925"/>
      <c r="DD181" s="925"/>
      <c r="DE181" s="925"/>
      <c r="DF181" s="925"/>
      <c r="DG181" s="925"/>
      <c r="DH181" s="925"/>
      <c r="DI181" s="925"/>
      <c r="DJ181" s="925"/>
      <c r="DK181" s="925"/>
      <c r="DL181" s="925"/>
      <c r="DM181" s="925"/>
      <c r="DN181" s="925"/>
      <c r="DO181" s="925"/>
      <c r="DP181" s="925"/>
      <c r="DQ181" s="924"/>
      <c r="DR181" s="925"/>
      <c r="DS181" s="925"/>
      <c r="DT181" s="925"/>
      <c r="DV181" s="925"/>
      <c r="DW181" s="925"/>
      <c r="DX181" s="925"/>
      <c r="DY181" s="925"/>
      <c r="DZ181" s="925"/>
      <c r="EA181" s="925"/>
      <c r="EB181" s="925"/>
      <c r="EC181" s="925"/>
      <c r="ED181" s="925"/>
      <c r="EE181" s="925"/>
      <c r="EF181" s="925"/>
      <c r="EG181" s="925"/>
      <c r="EH181" s="925"/>
      <c r="EI181" s="925"/>
      <c r="EJ181" s="925"/>
      <c r="EK181" s="925"/>
      <c r="EL181" s="925"/>
      <c r="EM181" s="925"/>
      <c r="EN181" s="925"/>
      <c r="EO181" s="925"/>
      <c r="EP181" s="925"/>
      <c r="EQ181" s="925"/>
      <c r="ER181" s="925"/>
      <c r="ES181" s="925"/>
      <c r="ET181" s="925"/>
      <c r="EV181" s="924"/>
      <c r="EW181" s="925"/>
      <c r="EX181" s="925"/>
      <c r="EY181" s="925"/>
    </row>
    <row r="182" spans="1:155" s="927" customFormat="1" ht="36" x14ac:dyDescent="0.25">
      <c r="A182" s="912" t="s">
        <v>360</v>
      </c>
      <c r="B182" s="913" t="s">
        <v>1414</v>
      </c>
      <c r="C182" s="914">
        <v>0.75</v>
      </c>
      <c r="D182" s="914">
        <v>4856</v>
      </c>
      <c r="E182" s="915">
        <v>1.0549999999999999</v>
      </c>
      <c r="F182" s="916">
        <f t="shared" si="81"/>
        <v>5124</v>
      </c>
      <c r="G182" s="915">
        <v>1.01</v>
      </c>
      <c r="H182" s="916">
        <f t="shared" si="82"/>
        <v>5176</v>
      </c>
      <c r="I182" s="917">
        <f t="shared" si="83"/>
        <v>3882</v>
      </c>
      <c r="J182" s="918">
        <f t="shared" si="84"/>
        <v>0</v>
      </c>
      <c r="K182" s="919"/>
      <c r="L182" s="917">
        <f t="shared" si="85"/>
        <v>0</v>
      </c>
      <c r="M182" s="918">
        <f t="shared" si="86"/>
        <v>0</v>
      </c>
      <c r="N182" s="919"/>
      <c r="O182" s="917">
        <f t="shared" si="87"/>
        <v>0</v>
      </c>
      <c r="P182" s="918">
        <f t="shared" si="88"/>
        <v>0</v>
      </c>
      <c r="Q182" s="919"/>
      <c r="R182" s="917">
        <f t="shared" si="89"/>
        <v>0</v>
      </c>
      <c r="S182" s="918">
        <f t="shared" si="90"/>
        <v>0</v>
      </c>
      <c r="T182" s="919"/>
      <c r="U182" s="917">
        <f t="shared" si="91"/>
        <v>0</v>
      </c>
      <c r="V182" s="918">
        <f t="shared" si="92"/>
        <v>0</v>
      </c>
      <c r="W182" s="919"/>
      <c r="X182" s="917">
        <f t="shared" si="93"/>
        <v>0</v>
      </c>
      <c r="Y182" s="918">
        <f t="shared" si="94"/>
        <v>0</v>
      </c>
      <c r="Z182" s="919"/>
      <c r="AA182" s="917">
        <f t="shared" si="95"/>
        <v>0</v>
      </c>
      <c r="AB182" s="918">
        <f t="shared" si="96"/>
        <v>0</v>
      </c>
      <c r="AC182" s="919"/>
      <c r="AD182" s="917">
        <f t="shared" si="97"/>
        <v>0</v>
      </c>
      <c r="AE182" s="918">
        <f t="shared" si="98"/>
        <v>0</v>
      </c>
      <c r="AF182" s="919"/>
      <c r="AG182" s="917">
        <f t="shared" si="99"/>
        <v>0</v>
      </c>
      <c r="AH182" s="918">
        <f t="shared" si="100"/>
        <v>0</v>
      </c>
      <c r="AI182" s="919"/>
      <c r="AJ182" s="917">
        <f t="shared" si="101"/>
        <v>0</v>
      </c>
      <c r="AK182" s="918">
        <f t="shared" si="102"/>
        <v>0</v>
      </c>
      <c r="AL182" s="919"/>
      <c r="AM182" s="917">
        <f t="shared" si="103"/>
        <v>0</v>
      </c>
      <c r="AN182" s="920">
        <v>19242</v>
      </c>
      <c r="AO182" s="917">
        <f t="shared" si="104"/>
        <v>10549.5</v>
      </c>
      <c r="AP182" s="920"/>
      <c r="AQ182" s="916">
        <f t="shared" si="105"/>
        <v>0</v>
      </c>
      <c r="AR182" s="917">
        <f t="shared" si="106"/>
        <v>14431.5</v>
      </c>
      <c r="AS182" s="916">
        <v>12</v>
      </c>
      <c r="AT182" s="921">
        <f t="shared" si="107"/>
        <v>173178</v>
      </c>
      <c r="AU182" s="920"/>
      <c r="AV182" s="922">
        <f t="shared" si="108"/>
        <v>1731.78</v>
      </c>
      <c r="AW182" s="921">
        <f t="shared" si="109"/>
        <v>174909.78</v>
      </c>
      <c r="AX182" s="921">
        <f t="shared" si="110"/>
        <v>52822.75</v>
      </c>
      <c r="AY182" s="921">
        <f t="shared" si="111"/>
        <v>227732.53</v>
      </c>
      <c r="AZ182" s="923">
        <f t="shared" si="112"/>
        <v>174.9</v>
      </c>
      <c r="BA182" s="923">
        <f t="shared" si="113"/>
        <v>52.8</v>
      </c>
      <c r="BB182" s="923">
        <f t="shared" si="114"/>
        <v>227.7</v>
      </c>
      <c r="BC182" s="915">
        <v>0.95</v>
      </c>
      <c r="BD182" s="923">
        <f t="shared" si="115"/>
        <v>166.2</v>
      </c>
      <c r="BE182" s="923">
        <f t="shared" si="116"/>
        <v>50.2</v>
      </c>
      <c r="BF182" s="923">
        <f t="shared" si="117"/>
        <v>216.4</v>
      </c>
      <c r="BG182" s="924">
        <f>'[3]свод (2024)'!$B$116</f>
        <v>0.99758349999999996</v>
      </c>
      <c r="BH182" s="923">
        <f t="shared" si="118"/>
        <v>165.8</v>
      </c>
      <c r="BI182" s="923">
        <f t="shared" si="119"/>
        <v>50.1</v>
      </c>
      <c r="BJ182" s="923">
        <f t="shared" si="120"/>
        <v>215.9</v>
      </c>
      <c r="BK182" s="925">
        <f t="shared" si="121"/>
        <v>-9.1</v>
      </c>
      <c r="BL182" s="925">
        <f t="shared" si="121"/>
        <v>-2.7</v>
      </c>
      <c r="BM182" s="925">
        <f t="shared" si="122"/>
        <v>-11.8</v>
      </c>
      <c r="BN182" s="925">
        <f t="shared" si="123"/>
        <v>0</v>
      </c>
      <c r="BO182" s="925">
        <f t="shared" si="124"/>
        <v>0</v>
      </c>
      <c r="BP182" s="926"/>
      <c r="BQ182" s="925">
        <f t="shared" si="125"/>
        <v>165.8</v>
      </c>
      <c r="BR182" s="925">
        <f t="shared" si="125"/>
        <v>50.1</v>
      </c>
      <c r="BS182" s="925">
        <f t="shared" si="126"/>
        <v>215.9</v>
      </c>
      <c r="BU182" s="928"/>
      <c r="BV182" s="917"/>
      <c r="BW182" s="928"/>
      <c r="BX182" s="928"/>
      <c r="BY182" s="928"/>
      <c r="BZ182" s="917"/>
      <c r="CA182" s="928"/>
      <c r="CB182" s="917"/>
      <c r="CC182" s="928"/>
      <c r="CD182" s="928"/>
      <c r="CE182" s="928"/>
      <c r="CF182" s="929"/>
      <c r="CG182" s="928"/>
      <c r="CH182" s="928"/>
      <c r="CI182" s="928"/>
      <c r="CJ182" s="925"/>
      <c r="CK182" s="925"/>
      <c r="CL182" s="925"/>
      <c r="CM182" s="925"/>
      <c r="CN182" s="925"/>
      <c r="CO182" s="925"/>
      <c r="CP182" s="925"/>
      <c r="CQ182" s="925"/>
      <c r="CR182" s="925"/>
      <c r="CS182" s="917"/>
      <c r="CT182" s="928"/>
      <c r="CU182" s="928"/>
      <c r="CV182" s="928"/>
      <c r="CX182" s="925"/>
      <c r="CY182" s="925"/>
      <c r="CZ182" s="925"/>
      <c r="DB182" s="925"/>
      <c r="DC182" s="925"/>
      <c r="DD182" s="925"/>
      <c r="DE182" s="925"/>
      <c r="DF182" s="925"/>
      <c r="DG182" s="925"/>
      <c r="DH182" s="925"/>
      <c r="DI182" s="925"/>
      <c r="DJ182" s="925"/>
      <c r="DK182" s="925"/>
      <c r="DL182" s="925"/>
      <c r="DM182" s="925"/>
      <c r="DN182" s="925"/>
      <c r="DO182" s="925"/>
      <c r="DP182" s="925"/>
      <c r="DQ182" s="924"/>
      <c r="DR182" s="925"/>
      <c r="DS182" s="925"/>
      <c r="DT182" s="925"/>
      <c r="DV182" s="925"/>
      <c r="DW182" s="925"/>
      <c r="DX182" s="925"/>
      <c r="DY182" s="925"/>
      <c r="DZ182" s="925"/>
      <c r="EA182" s="925"/>
      <c r="EB182" s="925"/>
      <c r="EC182" s="925"/>
      <c r="ED182" s="925"/>
      <c r="EE182" s="925"/>
      <c r="EF182" s="925"/>
      <c r="EG182" s="925"/>
      <c r="EH182" s="925"/>
      <c r="EI182" s="925"/>
      <c r="EJ182" s="925"/>
      <c r="EK182" s="925"/>
      <c r="EL182" s="925"/>
      <c r="EM182" s="925"/>
      <c r="EN182" s="925"/>
      <c r="EO182" s="925"/>
      <c r="EP182" s="925"/>
      <c r="EQ182" s="925"/>
      <c r="ER182" s="925"/>
      <c r="ES182" s="925"/>
      <c r="ET182" s="925"/>
      <c r="EV182" s="924"/>
      <c r="EW182" s="925"/>
      <c r="EX182" s="925"/>
      <c r="EY182" s="925"/>
    </row>
    <row r="183" spans="1:155" s="927" customFormat="1" ht="36" x14ac:dyDescent="0.25">
      <c r="A183" s="912" t="s">
        <v>360</v>
      </c>
      <c r="B183" s="913" t="s">
        <v>1415</v>
      </c>
      <c r="C183" s="914">
        <v>0.5</v>
      </c>
      <c r="D183" s="914">
        <v>5156</v>
      </c>
      <c r="E183" s="915">
        <v>1.0549999999999999</v>
      </c>
      <c r="F183" s="916">
        <f t="shared" si="81"/>
        <v>5440</v>
      </c>
      <c r="G183" s="915">
        <v>1.01</v>
      </c>
      <c r="H183" s="916">
        <f t="shared" si="82"/>
        <v>5495</v>
      </c>
      <c r="I183" s="917">
        <f t="shared" si="83"/>
        <v>2747.5</v>
      </c>
      <c r="J183" s="918">
        <f t="shared" si="84"/>
        <v>0</v>
      </c>
      <c r="K183" s="919"/>
      <c r="L183" s="917">
        <f t="shared" si="85"/>
        <v>0</v>
      </c>
      <c r="M183" s="918">
        <f t="shared" si="86"/>
        <v>0</v>
      </c>
      <c r="N183" s="919"/>
      <c r="O183" s="917">
        <f t="shared" si="87"/>
        <v>0</v>
      </c>
      <c r="P183" s="918">
        <f t="shared" si="88"/>
        <v>0</v>
      </c>
      <c r="Q183" s="919"/>
      <c r="R183" s="917">
        <f t="shared" si="89"/>
        <v>0</v>
      </c>
      <c r="S183" s="918">
        <f t="shared" si="90"/>
        <v>0</v>
      </c>
      <c r="T183" s="919"/>
      <c r="U183" s="917">
        <f t="shared" si="91"/>
        <v>0</v>
      </c>
      <c r="V183" s="918">
        <f t="shared" si="92"/>
        <v>0</v>
      </c>
      <c r="W183" s="919"/>
      <c r="X183" s="917">
        <f t="shared" si="93"/>
        <v>0</v>
      </c>
      <c r="Y183" s="918">
        <f t="shared" si="94"/>
        <v>0</v>
      </c>
      <c r="Z183" s="919"/>
      <c r="AA183" s="917">
        <f t="shared" si="95"/>
        <v>0</v>
      </c>
      <c r="AB183" s="918">
        <f t="shared" si="96"/>
        <v>0</v>
      </c>
      <c r="AC183" s="919"/>
      <c r="AD183" s="917">
        <f t="shared" si="97"/>
        <v>0</v>
      </c>
      <c r="AE183" s="918">
        <f t="shared" si="98"/>
        <v>0</v>
      </c>
      <c r="AF183" s="919"/>
      <c r="AG183" s="917">
        <f t="shared" si="99"/>
        <v>0</v>
      </c>
      <c r="AH183" s="918">
        <f t="shared" si="100"/>
        <v>0</v>
      </c>
      <c r="AI183" s="919"/>
      <c r="AJ183" s="917">
        <f t="shared" si="101"/>
        <v>0</v>
      </c>
      <c r="AK183" s="918">
        <f t="shared" si="102"/>
        <v>0</v>
      </c>
      <c r="AL183" s="919"/>
      <c r="AM183" s="917">
        <f t="shared" si="103"/>
        <v>0</v>
      </c>
      <c r="AN183" s="920">
        <v>19242</v>
      </c>
      <c r="AO183" s="917">
        <f t="shared" si="104"/>
        <v>6873.5</v>
      </c>
      <c r="AP183" s="920"/>
      <c r="AQ183" s="916">
        <f t="shared" si="105"/>
        <v>0</v>
      </c>
      <c r="AR183" s="917">
        <f t="shared" si="106"/>
        <v>9621</v>
      </c>
      <c r="AS183" s="916">
        <v>12</v>
      </c>
      <c r="AT183" s="921">
        <f t="shared" si="107"/>
        <v>115452</v>
      </c>
      <c r="AU183" s="920"/>
      <c r="AV183" s="922">
        <f t="shared" si="108"/>
        <v>1154.52</v>
      </c>
      <c r="AW183" s="921">
        <f t="shared" si="109"/>
        <v>116606.52</v>
      </c>
      <c r="AX183" s="921">
        <f t="shared" si="110"/>
        <v>35215.17</v>
      </c>
      <c r="AY183" s="921">
        <f t="shared" si="111"/>
        <v>151821.69</v>
      </c>
      <c r="AZ183" s="923">
        <f t="shared" si="112"/>
        <v>116.6</v>
      </c>
      <c r="BA183" s="923">
        <f t="shared" si="113"/>
        <v>35.200000000000003</v>
      </c>
      <c r="BB183" s="923">
        <f t="shared" si="114"/>
        <v>151.80000000000001</v>
      </c>
      <c r="BC183" s="915">
        <v>0.95</v>
      </c>
      <c r="BD183" s="923">
        <f t="shared" si="115"/>
        <v>110.8</v>
      </c>
      <c r="BE183" s="923">
        <f t="shared" si="116"/>
        <v>33.5</v>
      </c>
      <c r="BF183" s="923">
        <f t="shared" si="117"/>
        <v>144.30000000000001</v>
      </c>
      <c r="BG183" s="924">
        <f>'[3]свод (2024)'!$B$116</f>
        <v>0.99758349999999996</v>
      </c>
      <c r="BH183" s="923">
        <f t="shared" si="118"/>
        <v>110.5</v>
      </c>
      <c r="BI183" s="923">
        <f t="shared" si="119"/>
        <v>33.4</v>
      </c>
      <c r="BJ183" s="923">
        <f t="shared" si="120"/>
        <v>143.9</v>
      </c>
      <c r="BK183" s="925">
        <f t="shared" si="121"/>
        <v>-6.1</v>
      </c>
      <c r="BL183" s="925">
        <f t="shared" si="121"/>
        <v>-1.8</v>
      </c>
      <c r="BM183" s="925">
        <f t="shared" si="122"/>
        <v>-7.9</v>
      </c>
      <c r="BN183" s="925">
        <f t="shared" si="123"/>
        <v>0</v>
      </c>
      <c r="BO183" s="925">
        <f t="shared" si="124"/>
        <v>0</v>
      </c>
      <c r="BP183" s="926"/>
      <c r="BQ183" s="925">
        <f t="shared" si="125"/>
        <v>110.5</v>
      </c>
      <c r="BR183" s="925">
        <f t="shared" si="125"/>
        <v>33.4</v>
      </c>
      <c r="BS183" s="925">
        <f t="shared" si="126"/>
        <v>143.9</v>
      </c>
      <c r="BU183" s="928"/>
      <c r="BV183" s="917"/>
      <c r="BW183" s="928"/>
      <c r="BX183" s="928"/>
      <c r="BY183" s="928"/>
      <c r="BZ183" s="917"/>
      <c r="CA183" s="928"/>
      <c r="CB183" s="917"/>
      <c r="CC183" s="928"/>
      <c r="CD183" s="928"/>
      <c r="CE183" s="928"/>
      <c r="CF183" s="929"/>
      <c r="CG183" s="928"/>
      <c r="CH183" s="928"/>
      <c r="CI183" s="928"/>
      <c r="CJ183" s="925"/>
      <c r="CK183" s="925"/>
      <c r="CL183" s="925"/>
      <c r="CM183" s="925"/>
      <c r="CN183" s="925"/>
      <c r="CO183" s="925"/>
      <c r="CP183" s="925"/>
      <c r="CQ183" s="925"/>
      <c r="CR183" s="925"/>
      <c r="CS183" s="917"/>
      <c r="CT183" s="928"/>
      <c r="CU183" s="928"/>
      <c r="CV183" s="928"/>
      <c r="CX183" s="925"/>
      <c r="CY183" s="925"/>
      <c r="CZ183" s="925"/>
      <c r="DB183" s="925"/>
      <c r="DC183" s="925"/>
      <c r="DD183" s="925"/>
      <c r="DE183" s="925"/>
      <c r="DF183" s="925"/>
      <c r="DG183" s="925"/>
      <c r="DH183" s="925"/>
      <c r="DI183" s="925"/>
      <c r="DJ183" s="925"/>
      <c r="DK183" s="925"/>
      <c r="DL183" s="925"/>
      <c r="DM183" s="925"/>
      <c r="DN183" s="925"/>
      <c r="DO183" s="925"/>
      <c r="DP183" s="925"/>
      <c r="DQ183" s="924"/>
      <c r="DR183" s="925"/>
      <c r="DS183" s="925"/>
      <c r="DT183" s="925"/>
      <c r="DV183" s="925"/>
      <c r="DW183" s="925"/>
      <c r="DX183" s="925"/>
      <c r="DY183" s="925"/>
      <c r="DZ183" s="925"/>
      <c r="EA183" s="925"/>
      <c r="EB183" s="925"/>
      <c r="EC183" s="925"/>
      <c r="ED183" s="925"/>
      <c r="EE183" s="925"/>
      <c r="EF183" s="925"/>
      <c r="EG183" s="925"/>
      <c r="EH183" s="925"/>
      <c r="EI183" s="925"/>
      <c r="EJ183" s="925"/>
      <c r="EK183" s="925"/>
      <c r="EL183" s="925"/>
      <c r="EM183" s="925"/>
      <c r="EN183" s="925"/>
      <c r="EO183" s="925"/>
      <c r="EP183" s="925"/>
      <c r="EQ183" s="925"/>
      <c r="ER183" s="925"/>
      <c r="ES183" s="925"/>
      <c r="ET183" s="925"/>
      <c r="EV183" s="924"/>
      <c r="EW183" s="925"/>
      <c r="EX183" s="925"/>
      <c r="EY183" s="925"/>
    </row>
    <row r="184" spans="1:155" s="927" customFormat="1" ht="15.75" x14ac:dyDescent="0.25">
      <c r="A184" s="931" t="s">
        <v>360</v>
      </c>
      <c r="B184" s="932"/>
      <c r="C184" s="933">
        <f>SUM(C153:C183)</f>
        <v>112.48</v>
      </c>
      <c r="D184" s="933">
        <f t="shared" ref="D184:BO184" si="151">SUM(D153:D183)</f>
        <v>325306</v>
      </c>
      <c r="E184" s="934">
        <f t="shared" si="151"/>
        <v>32.704999999999998</v>
      </c>
      <c r="F184" s="935">
        <f t="shared" si="151"/>
        <v>343213</v>
      </c>
      <c r="G184" s="934">
        <f t="shared" si="151"/>
        <v>31.31</v>
      </c>
      <c r="H184" s="935">
        <f t="shared" si="151"/>
        <v>346659</v>
      </c>
      <c r="I184" s="936">
        <f t="shared" si="151"/>
        <v>1193379.8700000001</v>
      </c>
      <c r="J184" s="937">
        <f t="shared" si="151"/>
        <v>0.68559999999999999</v>
      </c>
      <c r="K184" s="938">
        <f t="shared" si="151"/>
        <v>106997.35</v>
      </c>
      <c r="L184" s="936">
        <f t="shared" si="151"/>
        <v>114021.65</v>
      </c>
      <c r="M184" s="937">
        <f t="shared" si="151"/>
        <v>0</v>
      </c>
      <c r="N184" s="938">
        <f t="shared" si="151"/>
        <v>0</v>
      </c>
      <c r="O184" s="936">
        <f t="shared" si="151"/>
        <v>0</v>
      </c>
      <c r="P184" s="937">
        <f t="shared" si="151"/>
        <v>0</v>
      </c>
      <c r="Q184" s="938">
        <f t="shared" si="151"/>
        <v>0</v>
      </c>
      <c r="R184" s="936">
        <f t="shared" si="151"/>
        <v>0</v>
      </c>
      <c r="S184" s="937">
        <f t="shared" si="151"/>
        <v>2.66093</v>
      </c>
      <c r="T184" s="938">
        <f t="shared" si="151"/>
        <v>33896.58</v>
      </c>
      <c r="U184" s="936">
        <f t="shared" si="151"/>
        <v>36120.35</v>
      </c>
      <c r="V184" s="937">
        <f t="shared" si="151"/>
        <v>0</v>
      </c>
      <c r="W184" s="938">
        <f t="shared" si="151"/>
        <v>0</v>
      </c>
      <c r="X184" s="936">
        <f t="shared" si="151"/>
        <v>0</v>
      </c>
      <c r="Y184" s="937">
        <f t="shared" si="151"/>
        <v>2.68</v>
      </c>
      <c r="Z184" s="938">
        <f t="shared" si="151"/>
        <v>34906.879999999997</v>
      </c>
      <c r="AA184" s="936">
        <f t="shared" si="151"/>
        <v>37198.32</v>
      </c>
      <c r="AB184" s="937">
        <f t="shared" si="151"/>
        <v>3.3361299999999998</v>
      </c>
      <c r="AC184" s="938">
        <f t="shared" si="151"/>
        <v>148197.32</v>
      </c>
      <c r="AD184" s="936">
        <f t="shared" si="151"/>
        <v>157924.47</v>
      </c>
      <c r="AE184" s="937">
        <f t="shared" si="151"/>
        <v>0.29887000000000002</v>
      </c>
      <c r="AF184" s="938">
        <f t="shared" si="151"/>
        <v>15238.21</v>
      </c>
      <c r="AG184" s="936">
        <f t="shared" si="151"/>
        <v>16238.13</v>
      </c>
      <c r="AH184" s="937">
        <f t="shared" si="151"/>
        <v>0</v>
      </c>
      <c r="AI184" s="938">
        <f t="shared" si="151"/>
        <v>0</v>
      </c>
      <c r="AJ184" s="936">
        <f t="shared" si="151"/>
        <v>0</v>
      </c>
      <c r="AK184" s="937">
        <f t="shared" si="151"/>
        <v>0</v>
      </c>
      <c r="AL184" s="938">
        <f t="shared" si="151"/>
        <v>0</v>
      </c>
      <c r="AM184" s="936">
        <f t="shared" si="151"/>
        <v>0</v>
      </c>
      <c r="AN184" s="933">
        <f t="shared" si="151"/>
        <v>596502</v>
      </c>
      <c r="AO184" s="936">
        <f t="shared" si="151"/>
        <v>700706.09</v>
      </c>
      <c r="AP184" s="933">
        <f t="shared" si="151"/>
        <v>3180.87</v>
      </c>
      <c r="AQ184" s="935">
        <f t="shared" si="151"/>
        <v>26507.25</v>
      </c>
      <c r="AR184" s="936">
        <f t="shared" si="151"/>
        <v>2282096.13</v>
      </c>
      <c r="AS184" s="935">
        <f t="shared" si="151"/>
        <v>372</v>
      </c>
      <c r="AT184" s="939">
        <f t="shared" si="151"/>
        <v>27385153.559999999</v>
      </c>
      <c r="AU184" s="933">
        <f t="shared" si="151"/>
        <v>669816.41</v>
      </c>
      <c r="AV184" s="940">
        <f t="shared" si="151"/>
        <v>273851.53000000003</v>
      </c>
      <c r="AW184" s="939">
        <f t="shared" si="151"/>
        <v>28328821.5</v>
      </c>
      <c r="AX184" s="939">
        <f t="shared" si="151"/>
        <v>8555304.0999999996</v>
      </c>
      <c r="AY184" s="939">
        <f t="shared" si="151"/>
        <v>36884125.600000001</v>
      </c>
      <c r="AZ184" s="941">
        <f t="shared" si="151"/>
        <v>28328.6</v>
      </c>
      <c r="BA184" s="941">
        <f t="shared" si="151"/>
        <v>8555.1</v>
      </c>
      <c r="BB184" s="941">
        <f t="shared" si="151"/>
        <v>36883.699999999997</v>
      </c>
      <c r="BC184" s="934">
        <f t="shared" si="151"/>
        <v>29.45</v>
      </c>
      <c r="BD184" s="941">
        <f t="shared" si="151"/>
        <v>26912.2</v>
      </c>
      <c r="BE184" s="941">
        <f t="shared" si="151"/>
        <v>8127.7</v>
      </c>
      <c r="BF184" s="941">
        <f t="shared" si="151"/>
        <v>35039.9</v>
      </c>
      <c r="BG184" s="942">
        <f>'[3]свод (2024)'!$B$116</f>
        <v>0.99758349999999996</v>
      </c>
      <c r="BH184" s="941">
        <f t="shared" si="151"/>
        <v>26847.3</v>
      </c>
      <c r="BI184" s="941">
        <f t="shared" si="151"/>
        <v>8107.8</v>
      </c>
      <c r="BJ184" s="941">
        <f t="shared" si="151"/>
        <v>34955.1</v>
      </c>
      <c r="BK184" s="943">
        <f t="shared" si="151"/>
        <v>-1481.3</v>
      </c>
      <c r="BL184" s="943">
        <f t="shared" si="151"/>
        <v>-447.3</v>
      </c>
      <c r="BM184" s="943">
        <f t="shared" si="151"/>
        <v>-1928.6</v>
      </c>
      <c r="BN184" s="943">
        <f t="shared" si="151"/>
        <v>0</v>
      </c>
      <c r="BO184" s="943">
        <f t="shared" si="151"/>
        <v>0</v>
      </c>
      <c r="BP184" s="944">
        <f t="shared" ref="BP184:BS184" si="152">SUM(BP153:BP183)</f>
        <v>0</v>
      </c>
      <c r="BQ184" s="943">
        <f t="shared" si="152"/>
        <v>26847.3</v>
      </c>
      <c r="BR184" s="943">
        <f t="shared" si="152"/>
        <v>8107.8</v>
      </c>
      <c r="BS184" s="943">
        <f t="shared" si="152"/>
        <v>34955.1</v>
      </c>
      <c r="BU184" s="945">
        <f>SUM(BU153:BU183)</f>
        <v>50.98</v>
      </c>
      <c r="BV184" s="946">
        <v>8.8000000000000007</v>
      </c>
      <c r="BW184" s="947">
        <f t="shared" ref="BW184" si="153">BU184-BV184</f>
        <v>42.18</v>
      </c>
      <c r="BX184" s="945">
        <f>SUM(BX153:BX183)</f>
        <v>11903032.119999999</v>
      </c>
      <c r="BY184" s="947">
        <f>BX184/BU184*BW184</f>
        <v>9848369.8499999996</v>
      </c>
      <c r="BZ184" s="946">
        <v>27.7</v>
      </c>
      <c r="CA184" s="947">
        <f t="shared" ref="CA184" si="154">BY184/BZ184/12</f>
        <v>29628.07</v>
      </c>
      <c r="CB184" s="946">
        <v>41718.199999999997</v>
      </c>
      <c r="CC184" s="947">
        <f t="shared" ref="CC184" si="155">(CB184-CA184)*BZ184*12</f>
        <v>4018759.21</v>
      </c>
      <c r="CD184" s="947">
        <f t="shared" ref="CD184" si="156">CC184*0.302</f>
        <v>1213665.28</v>
      </c>
      <c r="CE184" s="947">
        <f t="shared" ref="CE184" si="157">CC184+CD184</f>
        <v>5232424.49</v>
      </c>
      <c r="CF184" s="948">
        <f>SUM(CF153:CF183)</f>
        <v>4018759.21</v>
      </c>
      <c r="CG184" s="949">
        <f>ROUND(CC184/1000,1)</f>
        <v>4018.8</v>
      </c>
      <c r="CH184" s="949">
        <f>ROUND(CD184/1000,1)</f>
        <v>1213.7</v>
      </c>
      <c r="CI184" s="950">
        <f>CG184+CH184</f>
        <v>5232.5</v>
      </c>
      <c r="CJ184" s="951">
        <f>BQ184+CG184</f>
        <v>30866.1</v>
      </c>
      <c r="CK184" s="951">
        <f>BR184+CH184</f>
        <v>9321.5</v>
      </c>
      <c r="CL184" s="952">
        <f>CJ184+CK184</f>
        <v>40187.599999999999</v>
      </c>
      <c r="CM184" s="951">
        <f>0/6*12</f>
        <v>0</v>
      </c>
      <c r="CN184" s="951">
        <f>CM184*0.302</f>
        <v>0</v>
      </c>
      <c r="CO184" s="952">
        <f>CM184+CN184</f>
        <v>0</v>
      </c>
      <c r="CP184" s="951">
        <f>ROUND(CJ184-CM184,1)</f>
        <v>30866.1</v>
      </c>
      <c r="CQ184" s="951">
        <f>ROUND(CK184-CN184,1)</f>
        <v>9321.5</v>
      </c>
      <c r="CR184" s="952">
        <f>CP184+CQ184</f>
        <v>40187.599999999999</v>
      </c>
      <c r="CS184" s="946">
        <v>38663.800000000003</v>
      </c>
      <c r="CT184" s="953">
        <f>(CB184-CS184)*BZ184*12/1000</f>
        <v>1015.3</v>
      </c>
      <c r="CU184" s="953">
        <f>CT184*0.302</f>
        <v>306.60000000000002</v>
      </c>
      <c r="CV184" s="953">
        <f>CT184+CU184</f>
        <v>1321.9</v>
      </c>
      <c r="CX184" s="951">
        <f>(BY184+CC184)/1000-CM184</f>
        <v>13867.1</v>
      </c>
      <c r="CY184" s="951">
        <f>CX184*0.302</f>
        <v>4187.8999999999996</v>
      </c>
      <c r="CZ184" s="952">
        <f>CX184+CY184</f>
        <v>18055</v>
      </c>
      <c r="DB184" s="954"/>
      <c r="DC184" s="954"/>
      <c r="DD184" s="921"/>
      <c r="DE184" s="954"/>
      <c r="DF184" s="954"/>
      <c r="DG184" s="921"/>
      <c r="DH184" s="954"/>
      <c r="DI184" s="954"/>
      <c r="DJ184" s="921"/>
      <c r="DK184" s="954"/>
      <c r="DL184" s="954"/>
      <c r="DM184" s="921"/>
      <c r="DN184" s="954"/>
      <c r="DO184" s="954"/>
      <c r="DP184" s="921"/>
      <c r="DQ184" s="942">
        <f>$DQ$239</f>
        <v>0.97853064899999997</v>
      </c>
      <c r="DR184" s="951">
        <f>ROUND(CP184*DQ184,1)</f>
        <v>30203.4</v>
      </c>
      <c r="DS184" s="951">
        <f>ROUND(CQ184*DQ184,1)</f>
        <v>9121.4</v>
      </c>
      <c r="DT184" s="952">
        <f>DR184+DS184</f>
        <v>39324.800000000003</v>
      </c>
      <c r="DV184" s="921"/>
      <c r="DW184" s="921"/>
      <c r="DX184" s="921"/>
      <c r="DY184" s="921"/>
      <c r="DZ184" s="921"/>
      <c r="EA184" s="921"/>
      <c r="EB184" s="921"/>
      <c r="EC184" s="921"/>
      <c r="ED184" s="921"/>
      <c r="EE184" s="921"/>
      <c r="EF184" s="921"/>
      <c r="EG184" s="921"/>
      <c r="EH184" s="921"/>
      <c r="EI184" s="921"/>
      <c r="EJ184" s="921"/>
      <c r="EK184" s="921"/>
      <c r="EL184" s="921"/>
      <c r="EM184" s="921"/>
      <c r="EN184" s="921"/>
      <c r="EO184" s="921"/>
      <c r="EP184" s="921"/>
      <c r="EQ184" s="954"/>
      <c r="ER184" s="954"/>
      <c r="ES184" s="954"/>
      <c r="ET184" s="954"/>
      <c r="EV184" s="942">
        <f>EV239</f>
        <v>0.98076503800000003</v>
      </c>
      <c r="EW184" s="951">
        <f>ROUND(CP184*EV184,1)</f>
        <v>30272.400000000001</v>
      </c>
      <c r="EX184" s="951">
        <f>ROUND(CQ184*EV184,1)</f>
        <v>9142.2000000000007</v>
      </c>
      <c r="EY184" s="952">
        <f>EW184+EX184</f>
        <v>39414.6</v>
      </c>
    </row>
    <row r="185" spans="1:155" s="927" customFormat="1" ht="15.75" x14ac:dyDescent="0.25">
      <c r="A185" s="931"/>
      <c r="B185" s="932" t="s">
        <v>406</v>
      </c>
      <c r="C185" s="981">
        <f>C172</f>
        <v>37.979999999999997</v>
      </c>
      <c r="D185" s="938"/>
      <c r="E185" s="983"/>
      <c r="F185" s="936"/>
      <c r="G185" s="983"/>
      <c r="H185" s="984">
        <f>H172</f>
        <v>13994</v>
      </c>
      <c r="I185" s="984">
        <f>I172</f>
        <v>531492.12</v>
      </c>
      <c r="J185" s="937"/>
      <c r="K185" s="938"/>
      <c r="L185" s="984">
        <f>L172</f>
        <v>89737.13</v>
      </c>
      <c r="M185" s="937"/>
      <c r="N185" s="938"/>
      <c r="O185" s="984">
        <f>O172</f>
        <v>0</v>
      </c>
      <c r="P185" s="937"/>
      <c r="Q185" s="938"/>
      <c r="R185" s="984">
        <f>R172</f>
        <v>0</v>
      </c>
      <c r="S185" s="937"/>
      <c r="T185" s="938"/>
      <c r="U185" s="984">
        <f>U172</f>
        <v>0</v>
      </c>
      <c r="V185" s="937"/>
      <c r="W185" s="938"/>
      <c r="X185" s="984">
        <f>X172</f>
        <v>0</v>
      </c>
      <c r="Y185" s="937"/>
      <c r="Z185" s="938"/>
      <c r="AA185" s="984">
        <f>AA172</f>
        <v>0</v>
      </c>
      <c r="AB185" s="937"/>
      <c r="AC185" s="938"/>
      <c r="AD185" s="984">
        <f>AD172</f>
        <v>79543.11</v>
      </c>
      <c r="AE185" s="937"/>
      <c r="AF185" s="938"/>
      <c r="AG185" s="984">
        <f>AG172</f>
        <v>8599.5400000000009</v>
      </c>
      <c r="AH185" s="937"/>
      <c r="AI185" s="938"/>
      <c r="AJ185" s="984">
        <f>AJ172</f>
        <v>0</v>
      </c>
      <c r="AK185" s="937"/>
      <c r="AL185" s="938"/>
      <c r="AM185" s="984">
        <f>AM172</f>
        <v>0</v>
      </c>
      <c r="AN185" s="938"/>
      <c r="AO185" s="984">
        <f>AO172</f>
        <v>21439.26</v>
      </c>
      <c r="AP185" s="938"/>
      <c r="AQ185" s="984">
        <f t="shared" ref="AQ185:AR185" si="158">AQ172</f>
        <v>0</v>
      </c>
      <c r="AR185" s="984">
        <f t="shared" si="158"/>
        <v>730811.16</v>
      </c>
      <c r="AS185" s="936"/>
      <c r="AT185" s="984">
        <f t="shared" ref="AT185:AW185" si="159">AT172</f>
        <v>8769733.9199999999</v>
      </c>
      <c r="AU185" s="984">
        <f t="shared" si="159"/>
        <v>0</v>
      </c>
      <c r="AV185" s="984">
        <f t="shared" si="159"/>
        <v>87697.34</v>
      </c>
      <c r="AW185" s="984">
        <f t="shared" si="159"/>
        <v>8857431.2599999998</v>
      </c>
      <c r="AX185" s="939"/>
      <c r="AY185" s="939"/>
      <c r="AZ185" s="941"/>
      <c r="BA185" s="941"/>
      <c r="BB185" s="941"/>
      <c r="BC185" s="934"/>
      <c r="BD185" s="941"/>
      <c r="BE185" s="941"/>
      <c r="BF185" s="941"/>
      <c r="BG185" s="942"/>
      <c r="BH185" s="941"/>
      <c r="BI185" s="941"/>
      <c r="BJ185" s="941"/>
      <c r="BK185" s="943"/>
      <c r="BL185" s="943"/>
      <c r="BM185" s="943"/>
      <c r="BN185" s="943"/>
      <c r="BO185" s="943"/>
      <c r="BP185" s="944"/>
      <c r="BQ185" s="943"/>
      <c r="BR185" s="943"/>
      <c r="BS185" s="943"/>
      <c r="BU185" s="945"/>
      <c r="BV185" s="946"/>
      <c r="BW185" s="947"/>
      <c r="BX185" s="945"/>
      <c r="BY185" s="947"/>
      <c r="BZ185" s="946"/>
      <c r="CA185" s="947"/>
      <c r="CB185" s="946"/>
      <c r="CC185" s="947"/>
      <c r="CD185" s="947"/>
      <c r="CE185" s="947"/>
      <c r="CF185" s="948"/>
      <c r="CG185" s="949"/>
      <c r="CH185" s="949"/>
      <c r="CI185" s="950"/>
      <c r="CJ185" s="951"/>
      <c r="CK185" s="951"/>
      <c r="CL185" s="952"/>
      <c r="CM185" s="951"/>
      <c r="CN185" s="951"/>
      <c r="CO185" s="952"/>
      <c r="CP185" s="951"/>
      <c r="CQ185" s="951"/>
      <c r="CR185" s="952"/>
      <c r="CS185" s="946"/>
      <c r="CT185" s="953"/>
      <c r="CU185" s="953"/>
      <c r="CV185" s="953"/>
      <c r="CX185" s="951"/>
      <c r="CY185" s="951"/>
      <c r="CZ185" s="952"/>
      <c r="DB185" s="954"/>
      <c r="DC185" s="954"/>
      <c r="DD185" s="921"/>
      <c r="DE185" s="954"/>
      <c r="DF185" s="954"/>
      <c r="DG185" s="921"/>
      <c r="DH185" s="954"/>
      <c r="DI185" s="954"/>
      <c r="DJ185" s="921"/>
      <c r="DK185" s="954"/>
      <c r="DL185" s="954"/>
      <c r="DM185" s="921"/>
      <c r="DN185" s="954"/>
      <c r="DO185" s="954"/>
      <c r="DP185" s="921"/>
      <c r="DQ185" s="942"/>
      <c r="DR185" s="951"/>
      <c r="DS185" s="951"/>
      <c r="DT185" s="952"/>
      <c r="DV185" s="921"/>
      <c r="DW185" s="921"/>
      <c r="DX185" s="921"/>
      <c r="DY185" s="921"/>
      <c r="DZ185" s="921"/>
      <c r="EA185" s="921"/>
      <c r="EB185" s="921"/>
      <c r="EC185" s="921"/>
      <c r="ED185" s="921"/>
      <c r="EE185" s="921"/>
      <c r="EF185" s="921"/>
      <c r="EG185" s="921"/>
      <c r="EH185" s="921"/>
      <c r="EI185" s="921"/>
      <c r="EJ185" s="921"/>
      <c r="EK185" s="921"/>
      <c r="EL185" s="921"/>
      <c r="EM185" s="921"/>
      <c r="EN185" s="921"/>
      <c r="EO185" s="921"/>
      <c r="EP185" s="921"/>
      <c r="EQ185" s="954"/>
      <c r="ER185" s="954"/>
      <c r="ES185" s="954"/>
      <c r="ET185" s="954"/>
      <c r="EV185" s="942"/>
      <c r="EW185" s="951"/>
      <c r="EX185" s="951"/>
      <c r="EY185" s="952"/>
    </row>
    <row r="186" spans="1:155" s="927" customFormat="1" ht="15.75" x14ac:dyDescent="0.25">
      <c r="A186" s="931"/>
      <c r="B186" s="932" t="s">
        <v>403</v>
      </c>
      <c r="C186" s="981">
        <f>C168+C173+C174+C178</f>
        <v>13</v>
      </c>
      <c r="D186" s="938"/>
      <c r="E186" s="983"/>
      <c r="F186" s="936"/>
      <c r="G186" s="983"/>
      <c r="H186" s="984">
        <f>H168+H173+H174+H178</f>
        <v>57340</v>
      </c>
      <c r="I186" s="984">
        <f>I168+I173+I174+I178</f>
        <v>185673</v>
      </c>
      <c r="J186" s="937"/>
      <c r="K186" s="938"/>
      <c r="L186" s="984">
        <f>L168+L173+L174+L178</f>
        <v>24284.52</v>
      </c>
      <c r="M186" s="937"/>
      <c r="N186" s="938"/>
      <c r="O186" s="984">
        <f>O168+O173+O174+O178</f>
        <v>0</v>
      </c>
      <c r="P186" s="937"/>
      <c r="Q186" s="938"/>
      <c r="R186" s="984">
        <f>R168+R173+R174+R178</f>
        <v>0</v>
      </c>
      <c r="S186" s="937"/>
      <c r="T186" s="938"/>
      <c r="U186" s="984">
        <f>U168+U173+U174+U178</f>
        <v>0</v>
      </c>
      <c r="V186" s="937"/>
      <c r="W186" s="938"/>
      <c r="X186" s="984">
        <f>X168+X173+X174+X178</f>
        <v>0</v>
      </c>
      <c r="Y186" s="937"/>
      <c r="Z186" s="938"/>
      <c r="AA186" s="984">
        <f>AA168+AA173+AA174+AA178</f>
        <v>0</v>
      </c>
      <c r="AB186" s="937"/>
      <c r="AC186" s="938"/>
      <c r="AD186" s="984">
        <f>AD168+AD173+AD174+AD178</f>
        <v>27202.53</v>
      </c>
      <c r="AE186" s="937"/>
      <c r="AF186" s="938"/>
      <c r="AG186" s="984">
        <f>AG168+AG173+AG174+AG178</f>
        <v>1399.19</v>
      </c>
      <c r="AH186" s="937"/>
      <c r="AI186" s="938"/>
      <c r="AJ186" s="984">
        <f>AJ168+AJ173+AJ174+AJ178</f>
        <v>0</v>
      </c>
      <c r="AK186" s="937"/>
      <c r="AL186" s="938"/>
      <c r="AM186" s="984">
        <f>AM168+AM173+AM174+AM178</f>
        <v>0</v>
      </c>
      <c r="AN186" s="938"/>
      <c r="AO186" s="984">
        <f>AO168+AO173+AO174+AO178</f>
        <v>12727.96</v>
      </c>
      <c r="AP186" s="938"/>
      <c r="AQ186" s="984">
        <f t="shared" ref="AQ186:AR186" si="160">AQ168+AQ173+AQ174+AQ178</f>
        <v>0</v>
      </c>
      <c r="AR186" s="984">
        <f t="shared" si="160"/>
        <v>251287.2</v>
      </c>
      <c r="AS186" s="936"/>
      <c r="AT186" s="984">
        <f t="shared" ref="AT186:AW186" si="161">AT168+AT173+AT174+AT178</f>
        <v>3015446.4</v>
      </c>
      <c r="AU186" s="984">
        <f t="shared" si="161"/>
        <v>0</v>
      </c>
      <c r="AV186" s="984">
        <f t="shared" si="161"/>
        <v>30154.46</v>
      </c>
      <c r="AW186" s="984">
        <f t="shared" si="161"/>
        <v>3045600.86</v>
      </c>
      <c r="AX186" s="939"/>
      <c r="AY186" s="939"/>
      <c r="AZ186" s="941"/>
      <c r="BA186" s="941"/>
      <c r="BB186" s="941"/>
      <c r="BC186" s="934"/>
      <c r="BD186" s="941"/>
      <c r="BE186" s="941"/>
      <c r="BF186" s="941"/>
      <c r="BG186" s="942"/>
      <c r="BH186" s="941"/>
      <c r="BI186" s="941"/>
      <c r="BJ186" s="941"/>
      <c r="BK186" s="943"/>
      <c r="BL186" s="943"/>
      <c r="BM186" s="943"/>
      <c r="BN186" s="943"/>
      <c r="BO186" s="943"/>
      <c r="BP186" s="944"/>
      <c r="BQ186" s="943"/>
      <c r="BR186" s="943"/>
      <c r="BS186" s="943"/>
      <c r="BU186" s="945"/>
      <c r="BV186" s="946"/>
      <c r="BW186" s="947"/>
      <c r="BX186" s="945"/>
      <c r="BY186" s="947"/>
      <c r="BZ186" s="946"/>
      <c r="CA186" s="947"/>
      <c r="CB186" s="946"/>
      <c r="CC186" s="947"/>
      <c r="CD186" s="947"/>
      <c r="CE186" s="947"/>
      <c r="CF186" s="948"/>
      <c r="CG186" s="949"/>
      <c r="CH186" s="949"/>
      <c r="CI186" s="950"/>
      <c r="CJ186" s="951"/>
      <c r="CK186" s="951"/>
      <c r="CL186" s="952"/>
      <c r="CM186" s="951"/>
      <c r="CN186" s="951"/>
      <c r="CO186" s="952"/>
      <c r="CP186" s="951"/>
      <c r="CQ186" s="951"/>
      <c r="CR186" s="952"/>
      <c r="CS186" s="946"/>
      <c r="CT186" s="953"/>
      <c r="CU186" s="953"/>
      <c r="CV186" s="953"/>
      <c r="CX186" s="951"/>
      <c r="CY186" s="951"/>
      <c r="CZ186" s="952"/>
      <c r="DB186" s="954"/>
      <c r="DC186" s="954"/>
      <c r="DD186" s="921"/>
      <c r="DE186" s="954"/>
      <c r="DF186" s="954"/>
      <c r="DG186" s="921"/>
      <c r="DH186" s="954"/>
      <c r="DI186" s="954"/>
      <c r="DJ186" s="921"/>
      <c r="DK186" s="954"/>
      <c r="DL186" s="954"/>
      <c r="DM186" s="921"/>
      <c r="DN186" s="954"/>
      <c r="DO186" s="954"/>
      <c r="DP186" s="921"/>
      <c r="DQ186" s="942"/>
      <c r="DR186" s="951"/>
      <c r="DS186" s="951"/>
      <c r="DT186" s="952"/>
      <c r="DV186" s="921"/>
      <c r="DW186" s="921"/>
      <c r="DX186" s="921"/>
      <c r="DY186" s="921"/>
      <c r="DZ186" s="921"/>
      <c r="EA186" s="921"/>
      <c r="EB186" s="921"/>
      <c r="EC186" s="921"/>
      <c r="ED186" s="921"/>
      <c r="EE186" s="921"/>
      <c r="EF186" s="921"/>
      <c r="EG186" s="921"/>
      <c r="EH186" s="921"/>
      <c r="EI186" s="921"/>
      <c r="EJ186" s="921"/>
      <c r="EK186" s="921"/>
      <c r="EL186" s="921"/>
      <c r="EM186" s="921"/>
      <c r="EN186" s="921"/>
      <c r="EO186" s="921"/>
      <c r="EP186" s="921"/>
      <c r="EQ186" s="954"/>
      <c r="ER186" s="954"/>
      <c r="ES186" s="954"/>
      <c r="ET186" s="954"/>
      <c r="EV186" s="942"/>
      <c r="EW186" s="951"/>
      <c r="EX186" s="951"/>
      <c r="EY186" s="952"/>
    </row>
    <row r="187" spans="1:155" s="927" customFormat="1" ht="15.75" x14ac:dyDescent="0.25">
      <c r="A187" s="931"/>
      <c r="B187" s="932" t="s">
        <v>404</v>
      </c>
      <c r="C187" s="981">
        <f>C153+C154+C155+C156+C157+C158+C159+C160+C161+C162+C163+C164+C165+C166+C167+C169+C176+C179+C181</f>
        <v>29.25</v>
      </c>
      <c r="D187" s="938"/>
      <c r="E187" s="983"/>
      <c r="F187" s="936"/>
      <c r="G187" s="983"/>
      <c r="H187" s="984">
        <f>H153+H154+H155+H156+H157+H158+H159+H160+H161+H162+H163+H164+H165+H166+H167+H169+H176+H179+H181</f>
        <v>240187</v>
      </c>
      <c r="I187" s="984">
        <f>I153+I154+I155+I156+I157+I158+I159+I160+I161+I162+I163+I164+I165+I166+I167+I169+I176+I179+I181</f>
        <v>322231.25</v>
      </c>
      <c r="J187" s="937"/>
      <c r="K187" s="938"/>
      <c r="L187" s="984">
        <f>L153+L154+L155+L156+L157+L158+L159+L160+L161+L162+L163+L164+L165+L166+L167+L169+L176+L179+L181</f>
        <v>0</v>
      </c>
      <c r="M187" s="937"/>
      <c r="N187" s="938"/>
      <c r="O187" s="984">
        <f>O153+O154+O155+O156+O157+O158+O159+O160+O161+O162+O163+O164+O165+O166+O167+O169+O176+O179+O181</f>
        <v>0</v>
      </c>
      <c r="P187" s="937"/>
      <c r="Q187" s="938"/>
      <c r="R187" s="984">
        <f>R153+R154+R155+R156+R157+R158+R159+R160+R161+R162+R163+R164+R165+R166+R167+R169+R176+R179+R181</f>
        <v>0</v>
      </c>
      <c r="S187" s="937"/>
      <c r="T187" s="938"/>
      <c r="U187" s="984">
        <f>U153+U154+U155+U156+U157+U158+U159+U160+U161+U162+U163+U164+U165+U166+U167+U169+U176+U179+U181</f>
        <v>36120.35</v>
      </c>
      <c r="V187" s="937"/>
      <c r="W187" s="938"/>
      <c r="X187" s="984">
        <f>X153+X154+X155+X156+X157+X158+X159+X160+X161+X162+X163+X164+X165+X166+X167+X169+X176+X179+X181</f>
        <v>0</v>
      </c>
      <c r="Y187" s="937"/>
      <c r="Z187" s="938"/>
      <c r="AA187" s="984">
        <f>AA153+AA154+AA155+AA156+AA157+AA158+AA159+AA160+AA161+AA162+AA163+AA164+AA165+AA166+AA167+AA169+AA176+AA179+AA181</f>
        <v>37198.32</v>
      </c>
      <c r="AB187" s="937"/>
      <c r="AC187" s="938"/>
      <c r="AD187" s="984">
        <f>AD153+AD154+AD155+AD156+AD157+AD158+AD159+AD160+AD161+AD162+AD163+AD164+AD165+AD166+AD167+AD169+AD176+AD179+AD181</f>
        <v>51178.83</v>
      </c>
      <c r="AE187" s="937"/>
      <c r="AF187" s="938"/>
      <c r="AG187" s="984">
        <f>AG153+AG154+AG155+AG156+AG157+AG158+AG159+AG160+AG161+AG162+AG163+AG164+AG165+AG166+AG167+AG169+AG176+AG179+AG181</f>
        <v>6239.4</v>
      </c>
      <c r="AH187" s="937"/>
      <c r="AI187" s="938"/>
      <c r="AJ187" s="984">
        <f>AJ153+AJ154+AJ155+AJ156+AJ157+AJ158+AJ159+AJ160+AJ161+AJ162+AJ163+AJ164+AJ165+AJ166+AJ167+AJ169+AJ176+AJ179+AJ181</f>
        <v>0</v>
      </c>
      <c r="AK187" s="937"/>
      <c r="AL187" s="938"/>
      <c r="AM187" s="984">
        <f>AM153+AM154+AM155+AM156+AM157+AM158+AM159+AM160+AM161+AM162+AM163+AM164+AM165+AM166+AM167+AM169+AM176+AM179+AM181</f>
        <v>0</v>
      </c>
      <c r="AN187" s="938"/>
      <c r="AO187" s="984">
        <f>AO153+AO154+AO155+AO156+AO157+AO158+AO159+AO160+AO161+AO162+AO163+AO164+AO165+AO166+AO167+AO169+AO176+AO179+AO181</f>
        <v>199967.87</v>
      </c>
      <c r="AP187" s="938"/>
      <c r="AQ187" s="984">
        <f t="shared" ref="AQ187:AR187" si="162">AQ153+AQ154+AQ155+AQ156+AQ157+AQ158+AQ159+AQ160+AQ161+AQ162+AQ163+AQ164+AQ165+AQ166+AQ167+AQ169+AQ176+AQ179+AQ181</f>
        <v>0</v>
      </c>
      <c r="AR187" s="984">
        <f t="shared" si="162"/>
        <v>652936.02</v>
      </c>
      <c r="AS187" s="936"/>
      <c r="AT187" s="984">
        <f t="shared" ref="AT187:AW187" si="163">AT153+AT154+AT155+AT156+AT157+AT158+AT159+AT160+AT161+AT162+AT163+AT164+AT165+AT166+AT167+AT169+AT176+AT179+AT181</f>
        <v>7835232.2400000002</v>
      </c>
      <c r="AU187" s="984">
        <f t="shared" si="163"/>
        <v>152108.01</v>
      </c>
      <c r="AV187" s="984">
        <f t="shared" si="163"/>
        <v>78352.320000000007</v>
      </c>
      <c r="AW187" s="984">
        <f t="shared" si="163"/>
        <v>8065692.5700000003</v>
      </c>
      <c r="AX187" s="939"/>
      <c r="AY187" s="939"/>
      <c r="AZ187" s="941"/>
      <c r="BA187" s="941"/>
      <c r="BB187" s="941"/>
      <c r="BC187" s="934"/>
      <c r="BD187" s="941"/>
      <c r="BE187" s="941"/>
      <c r="BF187" s="941"/>
      <c r="BG187" s="942"/>
      <c r="BH187" s="941"/>
      <c r="BI187" s="941"/>
      <c r="BJ187" s="941"/>
      <c r="BK187" s="943"/>
      <c r="BL187" s="943"/>
      <c r="BM187" s="943"/>
      <c r="BN187" s="943"/>
      <c r="BO187" s="943"/>
      <c r="BP187" s="944"/>
      <c r="BQ187" s="943"/>
      <c r="BR187" s="943"/>
      <c r="BS187" s="943"/>
      <c r="BU187" s="945"/>
      <c r="BV187" s="946"/>
      <c r="BW187" s="947"/>
      <c r="BX187" s="945"/>
      <c r="BY187" s="947"/>
      <c r="BZ187" s="946"/>
      <c r="CA187" s="947"/>
      <c r="CB187" s="946"/>
      <c r="CC187" s="947"/>
      <c r="CD187" s="947"/>
      <c r="CE187" s="947"/>
      <c r="CF187" s="948"/>
      <c r="CG187" s="949"/>
      <c r="CH187" s="949"/>
      <c r="CI187" s="950"/>
      <c r="CJ187" s="951"/>
      <c r="CK187" s="951"/>
      <c r="CL187" s="952"/>
      <c r="CM187" s="951"/>
      <c r="CN187" s="951"/>
      <c r="CO187" s="952"/>
      <c r="CP187" s="951"/>
      <c r="CQ187" s="951"/>
      <c r="CR187" s="952"/>
      <c r="CS187" s="946"/>
      <c r="CT187" s="953"/>
      <c r="CU187" s="953"/>
      <c r="CV187" s="953"/>
      <c r="CX187" s="951"/>
      <c r="CY187" s="951"/>
      <c r="CZ187" s="952"/>
      <c r="DB187" s="954"/>
      <c r="DC187" s="954"/>
      <c r="DD187" s="921"/>
      <c r="DE187" s="954"/>
      <c r="DF187" s="954"/>
      <c r="DG187" s="921"/>
      <c r="DH187" s="954"/>
      <c r="DI187" s="954"/>
      <c r="DJ187" s="921"/>
      <c r="DK187" s="954"/>
      <c r="DL187" s="954"/>
      <c r="DM187" s="921"/>
      <c r="DN187" s="954"/>
      <c r="DO187" s="954"/>
      <c r="DP187" s="921"/>
      <c r="DQ187" s="942"/>
      <c r="DR187" s="951"/>
      <c r="DS187" s="951"/>
      <c r="DT187" s="952"/>
      <c r="DV187" s="921"/>
      <c r="DW187" s="921"/>
      <c r="DX187" s="921"/>
      <c r="DY187" s="921"/>
      <c r="DZ187" s="921"/>
      <c r="EA187" s="921"/>
      <c r="EB187" s="921"/>
      <c r="EC187" s="921"/>
      <c r="ED187" s="921"/>
      <c r="EE187" s="921"/>
      <c r="EF187" s="921"/>
      <c r="EG187" s="921"/>
      <c r="EH187" s="921"/>
      <c r="EI187" s="921"/>
      <c r="EJ187" s="921"/>
      <c r="EK187" s="921"/>
      <c r="EL187" s="921"/>
      <c r="EM187" s="921"/>
      <c r="EN187" s="921"/>
      <c r="EO187" s="921"/>
      <c r="EP187" s="921"/>
      <c r="EQ187" s="954"/>
      <c r="ER187" s="954"/>
      <c r="ES187" s="954"/>
      <c r="ET187" s="954"/>
      <c r="EV187" s="942"/>
      <c r="EW187" s="951"/>
      <c r="EX187" s="951"/>
      <c r="EY187" s="952"/>
    </row>
    <row r="188" spans="1:155" s="927" customFormat="1" ht="15.75" x14ac:dyDescent="0.25">
      <c r="A188" s="931"/>
      <c r="B188" s="932" t="s">
        <v>405</v>
      </c>
      <c r="C188" s="981">
        <f>C170+C171+C175+C177+C180+C182+C183</f>
        <v>32.25</v>
      </c>
      <c r="D188" s="938"/>
      <c r="E188" s="983"/>
      <c r="F188" s="936"/>
      <c r="G188" s="983"/>
      <c r="H188" s="984">
        <f>H170+H171+H175+H177+H180+H182+H183</f>
        <v>35138</v>
      </c>
      <c r="I188" s="984">
        <f>I170+I171+I175+I177+I180+I182+I183</f>
        <v>153983.5</v>
      </c>
      <c r="J188" s="937"/>
      <c r="K188" s="938"/>
      <c r="L188" s="984">
        <f>L170+L171+L175+L177+L180+L182+L183</f>
        <v>0</v>
      </c>
      <c r="M188" s="937"/>
      <c r="N188" s="938"/>
      <c r="O188" s="984">
        <f>O170+O171+O175+O177+O180+O182+O183</f>
        <v>0</v>
      </c>
      <c r="P188" s="937"/>
      <c r="Q188" s="938"/>
      <c r="R188" s="984">
        <f>R170+R171+R175+R177+R180+R182+R183</f>
        <v>0</v>
      </c>
      <c r="S188" s="937"/>
      <c r="T188" s="938"/>
      <c r="U188" s="984">
        <f>U170+U171+U175+U177+U180+U182+U183</f>
        <v>0</v>
      </c>
      <c r="V188" s="937"/>
      <c r="W188" s="938"/>
      <c r="X188" s="984">
        <f>X170+X171+X175+X177+X180+X182+X183</f>
        <v>0</v>
      </c>
      <c r="Y188" s="937"/>
      <c r="Z188" s="938"/>
      <c r="AA188" s="984">
        <f>AA170+AA171+AA175+AA177+AA180+AA182+AA183</f>
        <v>0</v>
      </c>
      <c r="AB188" s="937"/>
      <c r="AC188" s="938"/>
      <c r="AD188" s="984">
        <f>AD170+AD171+AD175+AD177+AD180+AD182+AD183</f>
        <v>0</v>
      </c>
      <c r="AE188" s="937"/>
      <c r="AF188" s="938"/>
      <c r="AG188" s="984">
        <f>AG170+AG171+AG175+AG177+AG180+AG182+AG183</f>
        <v>0</v>
      </c>
      <c r="AH188" s="937"/>
      <c r="AI188" s="938"/>
      <c r="AJ188" s="984">
        <f>AJ170+AJ171+AJ175+AJ177+AJ180+AJ182+AJ183</f>
        <v>0</v>
      </c>
      <c r="AK188" s="937"/>
      <c r="AL188" s="938"/>
      <c r="AM188" s="984">
        <f>AM170+AM171+AM175+AM177+AM180+AM182+AM183</f>
        <v>0</v>
      </c>
      <c r="AN188" s="938"/>
      <c r="AO188" s="984">
        <f>AO170+AO171+AO175+AO177+AO180+AO182+AO183</f>
        <v>466571</v>
      </c>
      <c r="AP188" s="938"/>
      <c r="AQ188" s="984">
        <f t="shared" ref="AQ188:AR188" si="164">AQ170+AQ171+AQ175+AQ177+AQ180+AQ182+AQ183</f>
        <v>26507.25</v>
      </c>
      <c r="AR188" s="984">
        <f t="shared" si="164"/>
        <v>647061.75</v>
      </c>
      <c r="AS188" s="936"/>
      <c r="AT188" s="984">
        <f t="shared" ref="AT188:AW188" si="165">AT170+AT171+AT175+AT177+AT180+AT182+AT183</f>
        <v>7764741</v>
      </c>
      <c r="AU188" s="984">
        <f t="shared" si="165"/>
        <v>517708.4</v>
      </c>
      <c r="AV188" s="984">
        <f t="shared" si="165"/>
        <v>77647.41</v>
      </c>
      <c r="AW188" s="984">
        <f t="shared" si="165"/>
        <v>8360096.8099999996</v>
      </c>
      <c r="AX188" s="939"/>
      <c r="AY188" s="939"/>
      <c r="AZ188" s="941"/>
      <c r="BA188" s="941"/>
      <c r="BB188" s="941"/>
      <c r="BC188" s="934"/>
      <c r="BD188" s="941"/>
      <c r="BE188" s="941"/>
      <c r="BF188" s="941"/>
      <c r="BG188" s="942"/>
      <c r="BH188" s="941"/>
      <c r="BI188" s="941"/>
      <c r="BJ188" s="941"/>
      <c r="BK188" s="943"/>
      <c r="BL188" s="943"/>
      <c r="BM188" s="943"/>
      <c r="BN188" s="943"/>
      <c r="BO188" s="943"/>
      <c r="BP188" s="944"/>
      <c r="BQ188" s="943"/>
      <c r="BR188" s="943"/>
      <c r="BS188" s="943"/>
      <c r="BU188" s="945"/>
      <c r="BV188" s="946"/>
      <c r="BW188" s="947"/>
      <c r="BX188" s="945"/>
      <c r="BY188" s="947"/>
      <c r="BZ188" s="946"/>
      <c r="CA188" s="947"/>
      <c r="CB188" s="946"/>
      <c r="CC188" s="947"/>
      <c r="CD188" s="947"/>
      <c r="CE188" s="947"/>
      <c r="CF188" s="948"/>
      <c r="CG188" s="949"/>
      <c r="CH188" s="949"/>
      <c r="CI188" s="950"/>
      <c r="CJ188" s="951"/>
      <c r="CK188" s="951"/>
      <c r="CL188" s="952"/>
      <c r="CM188" s="951"/>
      <c r="CN188" s="951"/>
      <c r="CO188" s="952"/>
      <c r="CP188" s="951"/>
      <c r="CQ188" s="951"/>
      <c r="CR188" s="952"/>
      <c r="CS188" s="946"/>
      <c r="CT188" s="953"/>
      <c r="CU188" s="953"/>
      <c r="CV188" s="953"/>
      <c r="CX188" s="951"/>
      <c r="CY188" s="951"/>
      <c r="CZ188" s="952"/>
      <c r="DB188" s="954"/>
      <c r="DC188" s="954"/>
      <c r="DD188" s="921"/>
      <c r="DE188" s="954"/>
      <c r="DF188" s="954"/>
      <c r="DG188" s="921"/>
      <c r="DH188" s="954"/>
      <c r="DI188" s="954"/>
      <c r="DJ188" s="921"/>
      <c r="DK188" s="954"/>
      <c r="DL188" s="954"/>
      <c r="DM188" s="921"/>
      <c r="DN188" s="954"/>
      <c r="DO188" s="954"/>
      <c r="DP188" s="921"/>
      <c r="DQ188" s="942"/>
      <c r="DR188" s="951"/>
      <c r="DS188" s="951"/>
      <c r="DT188" s="952"/>
      <c r="DV188" s="921"/>
      <c r="DW188" s="921"/>
      <c r="DX188" s="921"/>
      <c r="DY188" s="921"/>
      <c r="DZ188" s="921"/>
      <c r="EA188" s="921"/>
      <c r="EB188" s="921"/>
      <c r="EC188" s="921"/>
      <c r="ED188" s="921"/>
      <c r="EE188" s="921"/>
      <c r="EF188" s="921"/>
      <c r="EG188" s="921"/>
      <c r="EH188" s="921"/>
      <c r="EI188" s="921"/>
      <c r="EJ188" s="921"/>
      <c r="EK188" s="921"/>
      <c r="EL188" s="921"/>
      <c r="EM188" s="921"/>
      <c r="EN188" s="921"/>
      <c r="EO188" s="921"/>
      <c r="EP188" s="921"/>
      <c r="EQ188" s="954"/>
      <c r="ER188" s="954"/>
      <c r="ES188" s="954"/>
      <c r="ET188" s="954"/>
      <c r="EV188" s="942"/>
      <c r="EW188" s="951"/>
      <c r="EX188" s="951"/>
      <c r="EY188" s="952"/>
    </row>
    <row r="189" spans="1:155" s="927" customFormat="1" ht="15.75" x14ac:dyDescent="0.25">
      <c r="A189" s="931"/>
      <c r="B189" s="932"/>
      <c r="C189" s="982">
        <f>C184-C185-C186-C187-C188</f>
        <v>0</v>
      </c>
      <c r="D189" s="938"/>
      <c r="E189" s="983"/>
      <c r="F189" s="936"/>
      <c r="G189" s="983"/>
      <c r="H189" s="985">
        <f>H184-H185-H186-H187-H188</f>
        <v>0</v>
      </c>
      <c r="I189" s="985">
        <f>I184-I185-I186-I187-I188</f>
        <v>0</v>
      </c>
      <c r="J189" s="937"/>
      <c r="K189" s="938"/>
      <c r="L189" s="985">
        <f>L184-L185-L186-L187-L188</f>
        <v>0</v>
      </c>
      <c r="M189" s="937"/>
      <c r="N189" s="938"/>
      <c r="O189" s="985">
        <f>O184-O185-O186-O187-O188</f>
        <v>0</v>
      </c>
      <c r="P189" s="937"/>
      <c r="Q189" s="938"/>
      <c r="R189" s="985">
        <f>R184-R185-R186-R187-R188</f>
        <v>0</v>
      </c>
      <c r="S189" s="937"/>
      <c r="T189" s="938"/>
      <c r="U189" s="985">
        <f>U184-U185-U186-U187-U188</f>
        <v>0</v>
      </c>
      <c r="V189" s="937"/>
      <c r="W189" s="938"/>
      <c r="X189" s="985">
        <f>X184-X185-X186-X187-X188</f>
        <v>0</v>
      </c>
      <c r="Y189" s="937"/>
      <c r="Z189" s="938"/>
      <c r="AA189" s="985">
        <f>AA184-AA185-AA186-AA187-AA188</f>
        <v>0</v>
      </c>
      <c r="AB189" s="937"/>
      <c r="AC189" s="938"/>
      <c r="AD189" s="985">
        <f>AD184-AD185-AD186-AD187-AD188</f>
        <v>0</v>
      </c>
      <c r="AE189" s="937"/>
      <c r="AF189" s="938"/>
      <c r="AG189" s="985">
        <f>AG184-AG185-AG186-AG187-AG188</f>
        <v>0</v>
      </c>
      <c r="AH189" s="937"/>
      <c r="AI189" s="938"/>
      <c r="AJ189" s="985">
        <f>AJ184-AJ185-AJ186-AJ187-AJ188</f>
        <v>0</v>
      </c>
      <c r="AK189" s="937"/>
      <c r="AL189" s="938"/>
      <c r="AM189" s="985">
        <f>AM184-AM185-AM186-AM187-AM188</f>
        <v>0</v>
      </c>
      <c r="AN189" s="938"/>
      <c r="AO189" s="985">
        <f>AO184-AO185-AO186-AO187-AO188</f>
        <v>0</v>
      </c>
      <c r="AP189" s="938"/>
      <c r="AQ189" s="985">
        <f t="shared" ref="AQ189:AR189" si="166">AQ184-AQ185-AQ186-AQ187-AQ188</f>
        <v>0</v>
      </c>
      <c r="AR189" s="985">
        <f t="shared" si="166"/>
        <v>0</v>
      </c>
      <c r="AS189" s="936"/>
      <c r="AT189" s="985">
        <f t="shared" ref="AT189:AW189" si="167">AT184-AT185-AT186-AT187-AT188</f>
        <v>0</v>
      </c>
      <c r="AU189" s="985">
        <f t="shared" si="167"/>
        <v>0</v>
      </c>
      <c r="AV189" s="985">
        <f t="shared" si="167"/>
        <v>0</v>
      </c>
      <c r="AW189" s="985">
        <f t="shared" si="167"/>
        <v>0</v>
      </c>
      <c r="AX189" s="939"/>
      <c r="AY189" s="939"/>
      <c r="AZ189" s="941"/>
      <c r="BA189" s="941"/>
      <c r="BB189" s="941"/>
      <c r="BC189" s="934"/>
      <c r="BD189" s="941"/>
      <c r="BE189" s="941"/>
      <c r="BF189" s="941"/>
      <c r="BG189" s="942"/>
      <c r="BH189" s="941"/>
      <c r="BI189" s="941"/>
      <c r="BJ189" s="941"/>
      <c r="BK189" s="943"/>
      <c r="BL189" s="943"/>
      <c r="BM189" s="943"/>
      <c r="BN189" s="943"/>
      <c r="BO189" s="943"/>
      <c r="BP189" s="944"/>
      <c r="BQ189" s="943"/>
      <c r="BR189" s="943"/>
      <c r="BS189" s="943"/>
      <c r="BU189" s="945"/>
      <c r="BV189" s="946"/>
      <c r="BW189" s="947"/>
      <c r="BX189" s="945"/>
      <c r="BY189" s="947"/>
      <c r="BZ189" s="946"/>
      <c r="CA189" s="947"/>
      <c r="CB189" s="946"/>
      <c r="CC189" s="947"/>
      <c r="CD189" s="947"/>
      <c r="CE189" s="947"/>
      <c r="CF189" s="948"/>
      <c r="CG189" s="949"/>
      <c r="CH189" s="949"/>
      <c r="CI189" s="950"/>
      <c r="CJ189" s="951"/>
      <c r="CK189" s="951"/>
      <c r="CL189" s="952"/>
      <c r="CM189" s="951"/>
      <c r="CN189" s="951"/>
      <c r="CO189" s="952"/>
      <c r="CP189" s="951"/>
      <c r="CQ189" s="951"/>
      <c r="CR189" s="952"/>
      <c r="CS189" s="946"/>
      <c r="CT189" s="953"/>
      <c r="CU189" s="953"/>
      <c r="CV189" s="953"/>
      <c r="CX189" s="951"/>
      <c r="CY189" s="951"/>
      <c r="CZ189" s="952"/>
      <c r="DB189" s="954"/>
      <c r="DC189" s="954"/>
      <c r="DD189" s="921"/>
      <c r="DE189" s="954"/>
      <c r="DF189" s="954"/>
      <c r="DG189" s="921"/>
      <c r="DH189" s="954"/>
      <c r="DI189" s="954"/>
      <c r="DJ189" s="921"/>
      <c r="DK189" s="954"/>
      <c r="DL189" s="954"/>
      <c r="DM189" s="921"/>
      <c r="DN189" s="954"/>
      <c r="DO189" s="954"/>
      <c r="DP189" s="921"/>
      <c r="DQ189" s="942"/>
      <c r="DR189" s="951"/>
      <c r="DS189" s="951"/>
      <c r="DT189" s="952"/>
      <c r="DV189" s="921"/>
      <c r="DW189" s="921"/>
      <c r="DX189" s="921"/>
      <c r="DY189" s="921"/>
      <c r="DZ189" s="921"/>
      <c r="EA189" s="921"/>
      <c r="EB189" s="921"/>
      <c r="EC189" s="921"/>
      <c r="ED189" s="921"/>
      <c r="EE189" s="921"/>
      <c r="EF189" s="921"/>
      <c r="EG189" s="921"/>
      <c r="EH189" s="921"/>
      <c r="EI189" s="921"/>
      <c r="EJ189" s="921"/>
      <c r="EK189" s="921"/>
      <c r="EL189" s="921"/>
      <c r="EM189" s="921"/>
      <c r="EN189" s="921"/>
      <c r="EO189" s="921"/>
      <c r="EP189" s="921"/>
      <c r="EQ189" s="954"/>
      <c r="ER189" s="954"/>
      <c r="ES189" s="954"/>
      <c r="ET189" s="954"/>
      <c r="EV189" s="942"/>
      <c r="EW189" s="951"/>
      <c r="EX189" s="951"/>
      <c r="EY189" s="952"/>
    </row>
    <row r="190" spans="1:155" s="927" customFormat="1" ht="15.75" x14ac:dyDescent="0.25">
      <c r="A190" s="931"/>
      <c r="B190" s="932" t="s">
        <v>806</v>
      </c>
      <c r="C190" s="933"/>
      <c r="D190" s="933"/>
      <c r="E190" s="934"/>
      <c r="F190" s="935"/>
      <c r="G190" s="934"/>
      <c r="H190" s="935"/>
      <c r="I190" s="936"/>
      <c r="J190" s="937"/>
      <c r="K190" s="938"/>
      <c r="L190" s="936"/>
      <c r="M190" s="937"/>
      <c r="N190" s="938"/>
      <c r="O190" s="936"/>
      <c r="P190" s="937"/>
      <c r="Q190" s="938"/>
      <c r="R190" s="936"/>
      <c r="S190" s="937"/>
      <c r="T190" s="938"/>
      <c r="U190" s="936"/>
      <c r="V190" s="937"/>
      <c r="W190" s="938"/>
      <c r="X190" s="936"/>
      <c r="Y190" s="937"/>
      <c r="Z190" s="938"/>
      <c r="AA190" s="936"/>
      <c r="AB190" s="937"/>
      <c r="AC190" s="938"/>
      <c r="AD190" s="936"/>
      <c r="AE190" s="937"/>
      <c r="AF190" s="938"/>
      <c r="AG190" s="936"/>
      <c r="AH190" s="937"/>
      <c r="AI190" s="938"/>
      <c r="AJ190" s="936"/>
      <c r="AK190" s="937"/>
      <c r="AL190" s="938"/>
      <c r="AM190" s="936"/>
      <c r="AN190" s="933"/>
      <c r="AO190" s="936"/>
      <c r="AP190" s="933"/>
      <c r="AQ190" s="935"/>
      <c r="AR190" s="936"/>
      <c r="AS190" s="935"/>
      <c r="AT190" s="939"/>
      <c r="AU190" s="933"/>
      <c r="AV190" s="940"/>
      <c r="AW190" s="389">
        <f>AW184/12-AO184</f>
        <v>1660029.04</v>
      </c>
      <c r="AX190" s="939"/>
      <c r="AY190" s="939"/>
      <c r="AZ190" s="941"/>
      <c r="BA190" s="941"/>
      <c r="BB190" s="941"/>
      <c r="BC190" s="934"/>
      <c r="BD190" s="941"/>
      <c r="BE190" s="941"/>
      <c r="BF190" s="941"/>
      <c r="BG190" s="942"/>
      <c r="BH190" s="941"/>
      <c r="BI190" s="941"/>
      <c r="BJ190" s="941"/>
      <c r="BK190" s="943"/>
      <c r="BL190" s="943"/>
      <c r="BM190" s="943"/>
      <c r="BN190" s="943"/>
      <c r="BO190" s="943"/>
      <c r="BP190" s="944"/>
      <c r="BQ190" s="943"/>
      <c r="BR190" s="943"/>
      <c r="BS190" s="943"/>
      <c r="BU190" s="945"/>
      <c r="BV190" s="946"/>
      <c r="BW190" s="947"/>
      <c r="BX190" s="945"/>
      <c r="BY190" s="947"/>
      <c r="BZ190" s="946"/>
      <c r="CA190" s="947"/>
      <c r="CB190" s="946"/>
      <c r="CC190" s="947"/>
      <c r="CD190" s="947"/>
      <c r="CE190" s="947"/>
      <c r="CF190" s="948"/>
      <c r="CG190" s="949"/>
      <c r="CH190" s="949"/>
      <c r="CI190" s="950"/>
      <c r="CJ190" s="951"/>
      <c r="CK190" s="951"/>
      <c r="CL190" s="952"/>
      <c r="CM190" s="951"/>
      <c r="CN190" s="951"/>
      <c r="CO190" s="952"/>
      <c r="CP190" s="951"/>
      <c r="CQ190" s="951"/>
      <c r="CR190" s="952"/>
      <c r="CS190" s="946"/>
      <c r="CT190" s="953"/>
      <c r="CU190" s="953"/>
      <c r="CV190" s="953"/>
      <c r="CX190" s="951"/>
      <c r="CY190" s="951"/>
      <c r="CZ190" s="952"/>
      <c r="DB190" s="954"/>
      <c r="DC190" s="954"/>
      <c r="DD190" s="921"/>
      <c r="DE190" s="954"/>
      <c r="DF190" s="954"/>
      <c r="DG190" s="921"/>
      <c r="DH190" s="954"/>
      <c r="DI190" s="954"/>
      <c r="DJ190" s="921"/>
      <c r="DK190" s="954"/>
      <c r="DL190" s="954"/>
      <c r="DM190" s="921"/>
      <c r="DN190" s="954"/>
      <c r="DO190" s="954"/>
      <c r="DP190" s="921"/>
      <c r="DQ190" s="942"/>
      <c r="DR190" s="951"/>
      <c r="DS190" s="951"/>
      <c r="DT190" s="952"/>
      <c r="DV190" s="921"/>
      <c r="DW190" s="921"/>
      <c r="DX190" s="921"/>
      <c r="DY190" s="921"/>
      <c r="DZ190" s="921"/>
      <c r="EA190" s="921"/>
      <c r="EB190" s="921"/>
      <c r="EC190" s="921"/>
      <c r="ED190" s="921"/>
      <c r="EE190" s="921"/>
      <c r="EF190" s="921"/>
      <c r="EG190" s="921"/>
      <c r="EH190" s="921"/>
      <c r="EI190" s="921"/>
      <c r="EJ190" s="921"/>
      <c r="EK190" s="921"/>
      <c r="EL190" s="921"/>
      <c r="EM190" s="921"/>
      <c r="EN190" s="921"/>
      <c r="EO190" s="921"/>
      <c r="EP190" s="921"/>
      <c r="EQ190" s="954"/>
      <c r="ER190" s="954"/>
      <c r="ES190" s="954"/>
      <c r="ET190" s="954"/>
      <c r="EV190" s="942"/>
      <c r="EW190" s="951"/>
      <c r="EX190" s="951"/>
      <c r="EY190" s="952"/>
    </row>
    <row r="191" spans="1:155" s="927" customFormat="1" ht="15.75" x14ac:dyDescent="0.25">
      <c r="A191" s="931"/>
      <c r="B191" s="932" t="s">
        <v>406</v>
      </c>
      <c r="C191" s="933"/>
      <c r="D191" s="933"/>
      <c r="E191" s="934"/>
      <c r="F191" s="935"/>
      <c r="G191" s="934"/>
      <c r="H191" s="935"/>
      <c r="I191" s="936"/>
      <c r="J191" s="937"/>
      <c r="K191" s="938"/>
      <c r="L191" s="936"/>
      <c r="M191" s="937"/>
      <c r="N191" s="938"/>
      <c r="O191" s="936"/>
      <c r="P191" s="937"/>
      <c r="Q191" s="938"/>
      <c r="R191" s="936"/>
      <c r="S191" s="937"/>
      <c r="T191" s="938"/>
      <c r="U191" s="936"/>
      <c r="V191" s="937"/>
      <c r="W191" s="938"/>
      <c r="X191" s="936"/>
      <c r="Y191" s="937"/>
      <c r="Z191" s="938"/>
      <c r="AA191" s="936"/>
      <c r="AB191" s="937"/>
      <c r="AC191" s="938"/>
      <c r="AD191" s="936"/>
      <c r="AE191" s="937"/>
      <c r="AF191" s="938"/>
      <c r="AG191" s="936"/>
      <c r="AH191" s="937"/>
      <c r="AI191" s="938"/>
      <c r="AJ191" s="936"/>
      <c r="AK191" s="937"/>
      <c r="AL191" s="938"/>
      <c r="AM191" s="936"/>
      <c r="AN191" s="933"/>
      <c r="AO191" s="936"/>
      <c r="AP191" s="933"/>
      <c r="AQ191" s="935"/>
      <c r="AR191" s="936"/>
      <c r="AS191" s="935"/>
      <c r="AT191" s="939"/>
      <c r="AU191" s="933"/>
      <c r="AV191" s="940"/>
      <c r="AW191" s="389">
        <f>AW185/12-AO185</f>
        <v>716680.01</v>
      </c>
      <c r="AX191" s="939"/>
      <c r="AY191" s="939"/>
      <c r="AZ191" s="941"/>
      <c r="BA191" s="941"/>
      <c r="BB191" s="941"/>
      <c r="BC191" s="934"/>
      <c r="BD191" s="941"/>
      <c r="BE191" s="941"/>
      <c r="BF191" s="941"/>
      <c r="BG191" s="942"/>
      <c r="BH191" s="941"/>
      <c r="BI191" s="941"/>
      <c r="BJ191" s="941"/>
      <c r="BK191" s="943"/>
      <c r="BL191" s="943"/>
      <c r="BM191" s="943"/>
      <c r="BN191" s="943"/>
      <c r="BO191" s="943"/>
      <c r="BP191" s="944"/>
      <c r="BQ191" s="943"/>
      <c r="BR191" s="943"/>
      <c r="BS191" s="943"/>
      <c r="BU191" s="945"/>
      <c r="BV191" s="946"/>
      <c r="BW191" s="947"/>
      <c r="BX191" s="945"/>
      <c r="BY191" s="947"/>
      <c r="BZ191" s="946"/>
      <c r="CA191" s="947"/>
      <c r="CB191" s="946"/>
      <c r="CC191" s="947"/>
      <c r="CD191" s="947"/>
      <c r="CE191" s="947"/>
      <c r="CF191" s="948"/>
      <c r="CG191" s="949"/>
      <c r="CH191" s="949"/>
      <c r="CI191" s="950"/>
      <c r="CJ191" s="951"/>
      <c r="CK191" s="951"/>
      <c r="CL191" s="952"/>
      <c r="CM191" s="951"/>
      <c r="CN191" s="951"/>
      <c r="CO191" s="952"/>
      <c r="CP191" s="951"/>
      <c r="CQ191" s="951"/>
      <c r="CR191" s="952"/>
      <c r="CS191" s="946"/>
      <c r="CT191" s="953"/>
      <c r="CU191" s="953"/>
      <c r="CV191" s="953"/>
      <c r="CX191" s="951"/>
      <c r="CY191" s="951"/>
      <c r="CZ191" s="952"/>
      <c r="DB191" s="954"/>
      <c r="DC191" s="954"/>
      <c r="DD191" s="921"/>
      <c r="DE191" s="954"/>
      <c r="DF191" s="954"/>
      <c r="DG191" s="921"/>
      <c r="DH191" s="954"/>
      <c r="DI191" s="954"/>
      <c r="DJ191" s="921"/>
      <c r="DK191" s="954"/>
      <c r="DL191" s="954"/>
      <c r="DM191" s="921"/>
      <c r="DN191" s="954"/>
      <c r="DO191" s="954"/>
      <c r="DP191" s="921"/>
      <c r="DQ191" s="942"/>
      <c r="DR191" s="951"/>
      <c r="DS191" s="951"/>
      <c r="DT191" s="952"/>
      <c r="DV191" s="921"/>
      <c r="DW191" s="921"/>
      <c r="DX191" s="921"/>
      <c r="DY191" s="921"/>
      <c r="DZ191" s="921"/>
      <c r="EA191" s="921"/>
      <c r="EB191" s="921"/>
      <c r="EC191" s="921"/>
      <c r="ED191" s="921"/>
      <c r="EE191" s="921"/>
      <c r="EF191" s="921"/>
      <c r="EG191" s="921"/>
      <c r="EH191" s="921"/>
      <c r="EI191" s="921"/>
      <c r="EJ191" s="921"/>
      <c r="EK191" s="921"/>
      <c r="EL191" s="921"/>
      <c r="EM191" s="921"/>
      <c r="EN191" s="921"/>
      <c r="EO191" s="921"/>
      <c r="EP191" s="921"/>
      <c r="EQ191" s="954"/>
      <c r="ER191" s="954"/>
      <c r="ES191" s="954"/>
      <c r="ET191" s="954"/>
      <c r="EV191" s="942"/>
      <c r="EW191" s="951"/>
      <c r="EX191" s="951"/>
      <c r="EY191" s="952"/>
    </row>
    <row r="192" spans="1:155" s="927" customFormat="1" ht="15.75" x14ac:dyDescent="0.25">
      <c r="A192" s="931"/>
      <c r="B192" s="932" t="s">
        <v>403</v>
      </c>
      <c r="C192" s="933"/>
      <c r="D192" s="933"/>
      <c r="E192" s="934"/>
      <c r="F192" s="935"/>
      <c r="G192" s="934"/>
      <c r="H192" s="935"/>
      <c r="I192" s="936"/>
      <c r="J192" s="937"/>
      <c r="K192" s="938"/>
      <c r="L192" s="936"/>
      <c r="M192" s="937"/>
      <c r="N192" s="938"/>
      <c r="O192" s="936"/>
      <c r="P192" s="937"/>
      <c r="Q192" s="938"/>
      <c r="R192" s="936"/>
      <c r="S192" s="937"/>
      <c r="T192" s="938"/>
      <c r="U192" s="936"/>
      <c r="V192" s="937"/>
      <c r="W192" s="938"/>
      <c r="X192" s="936"/>
      <c r="Y192" s="937"/>
      <c r="Z192" s="938"/>
      <c r="AA192" s="936"/>
      <c r="AB192" s="937"/>
      <c r="AC192" s="938"/>
      <c r="AD192" s="936"/>
      <c r="AE192" s="937"/>
      <c r="AF192" s="938"/>
      <c r="AG192" s="936"/>
      <c r="AH192" s="937"/>
      <c r="AI192" s="938"/>
      <c r="AJ192" s="936"/>
      <c r="AK192" s="937"/>
      <c r="AL192" s="938"/>
      <c r="AM192" s="936"/>
      <c r="AN192" s="933"/>
      <c r="AO192" s="936"/>
      <c r="AP192" s="933"/>
      <c r="AQ192" s="935"/>
      <c r="AR192" s="936"/>
      <c r="AS192" s="935"/>
      <c r="AT192" s="939"/>
      <c r="AU192" s="933"/>
      <c r="AV192" s="940"/>
      <c r="AW192" s="389">
        <f>AW186/12-AO186</f>
        <v>241072.11</v>
      </c>
      <c r="AX192" s="939"/>
      <c r="AY192" s="939"/>
      <c r="AZ192" s="941"/>
      <c r="BA192" s="941"/>
      <c r="BB192" s="941"/>
      <c r="BC192" s="934"/>
      <c r="BD192" s="941"/>
      <c r="BE192" s="941"/>
      <c r="BF192" s="941"/>
      <c r="BG192" s="942"/>
      <c r="BH192" s="941"/>
      <c r="BI192" s="941"/>
      <c r="BJ192" s="941"/>
      <c r="BK192" s="943"/>
      <c r="BL192" s="943"/>
      <c r="BM192" s="943"/>
      <c r="BN192" s="943"/>
      <c r="BO192" s="943"/>
      <c r="BP192" s="944"/>
      <c r="BQ192" s="943"/>
      <c r="BR192" s="943"/>
      <c r="BS192" s="943"/>
      <c r="BU192" s="945"/>
      <c r="BV192" s="946"/>
      <c r="BW192" s="947"/>
      <c r="BX192" s="945"/>
      <c r="BY192" s="947"/>
      <c r="BZ192" s="946"/>
      <c r="CA192" s="947"/>
      <c r="CB192" s="946"/>
      <c r="CC192" s="947"/>
      <c r="CD192" s="947"/>
      <c r="CE192" s="947"/>
      <c r="CF192" s="948"/>
      <c r="CG192" s="949"/>
      <c r="CH192" s="949"/>
      <c r="CI192" s="950"/>
      <c r="CJ192" s="951"/>
      <c r="CK192" s="951"/>
      <c r="CL192" s="952"/>
      <c r="CM192" s="951"/>
      <c r="CN192" s="951"/>
      <c r="CO192" s="952"/>
      <c r="CP192" s="951"/>
      <c r="CQ192" s="951"/>
      <c r="CR192" s="952"/>
      <c r="CS192" s="946"/>
      <c r="CT192" s="953"/>
      <c r="CU192" s="953"/>
      <c r="CV192" s="953"/>
      <c r="CX192" s="951"/>
      <c r="CY192" s="951"/>
      <c r="CZ192" s="952"/>
      <c r="DB192" s="954"/>
      <c r="DC192" s="954"/>
      <c r="DD192" s="921"/>
      <c r="DE192" s="954"/>
      <c r="DF192" s="954"/>
      <c r="DG192" s="921"/>
      <c r="DH192" s="954"/>
      <c r="DI192" s="954"/>
      <c r="DJ192" s="921"/>
      <c r="DK192" s="954"/>
      <c r="DL192" s="954"/>
      <c r="DM192" s="921"/>
      <c r="DN192" s="954"/>
      <c r="DO192" s="954"/>
      <c r="DP192" s="921"/>
      <c r="DQ192" s="942"/>
      <c r="DR192" s="951"/>
      <c r="DS192" s="951"/>
      <c r="DT192" s="952"/>
      <c r="DV192" s="921"/>
      <c r="DW192" s="921"/>
      <c r="DX192" s="921"/>
      <c r="DY192" s="921"/>
      <c r="DZ192" s="921"/>
      <c r="EA192" s="921"/>
      <c r="EB192" s="921"/>
      <c r="EC192" s="921"/>
      <c r="ED192" s="921"/>
      <c r="EE192" s="921"/>
      <c r="EF192" s="921"/>
      <c r="EG192" s="921"/>
      <c r="EH192" s="921"/>
      <c r="EI192" s="921"/>
      <c r="EJ192" s="921"/>
      <c r="EK192" s="921"/>
      <c r="EL192" s="921"/>
      <c r="EM192" s="921"/>
      <c r="EN192" s="921"/>
      <c r="EO192" s="921"/>
      <c r="EP192" s="921"/>
      <c r="EQ192" s="954"/>
      <c r="ER192" s="954"/>
      <c r="ES192" s="954"/>
      <c r="ET192" s="954"/>
      <c r="EV192" s="942"/>
      <c r="EW192" s="951"/>
      <c r="EX192" s="951"/>
      <c r="EY192" s="952"/>
    </row>
    <row r="193" spans="1:155" s="927" customFormat="1" ht="15.75" x14ac:dyDescent="0.25">
      <c r="A193" s="931"/>
      <c r="B193" s="932" t="s">
        <v>404</v>
      </c>
      <c r="C193" s="933"/>
      <c r="D193" s="933"/>
      <c r="E193" s="934"/>
      <c r="F193" s="935"/>
      <c r="G193" s="934"/>
      <c r="H193" s="935"/>
      <c r="I193" s="936"/>
      <c r="J193" s="937"/>
      <c r="K193" s="938"/>
      <c r="L193" s="936"/>
      <c r="M193" s="937"/>
      <c r="N193" s="938"/>
      <c r="O193" s="936"/>
      <c r="P193" s="937"/>
      <c r="Q193" s="938"/>
      <c r="R193" s="936"/>
      <c r="S193" s="937"/>
      <c r="T193" s="938"/>
      <c r="U193" s="936"/>
      <c r="V193" s="937"/>
      <c r="W193" s="938"/>
      <c r="X193" s="936"/>
      <c r="Y193" s="937"/>
      <c r="Z193" s="938"/>
      <c r="AA193" s="936"/>
      <c r="AB193" s="937"/>
      <c r="AC193" s="938"/>
      <c r="AD193" s="936"/>
      <c r="AE193" s="937"/>
      <c r="AF193" s="938"/>
      <c r="AG193" s="936"/>
      <c r="AH193" s="937"/>
      <c r="AI193" s="938"/>
      <c r="AJ193" s="936"/>
      <c r="AK193" s="937"/>
      <c r="AL193" s="938"/>
      <c r="AM193" s="936"/>
      <c r="AN193" s="933"/>
      <c r="AO193" s="936"/>
      <c r="AP193" s="933"/>
      <c r="AQ193" s="935"/>
      <c r="AR193" s="936"/>
      <c r="AS193" s="935"/>
      <c r="AT193" s="939"/>
      <c r="AU193" s="933"/>
      <c r="AV193" s="940"/>
      <c r="AW193" s="389">
        <f>AW187/12-AO187</f>
        <v>472173.18</v>
      </c>
      <c r="AX193" s="939"/>
      <c r="AY193" s="939"/>
      <c r="AZ193" s="941"/>
      <c r="BA193" s="941"/>
      <c r="BB193" s="941"/>
      <c r="BC193" s="934"/>
      <c r="BD193" s="941"/>
      <c r="BE193" s="941"/>
      <c r="BF193" s="941"/>
      <c r="BG193" s="942"/>
      <c r="BH193" s="941"/>
      <c r="BI193" s="941"/>
      <c r="BJ193" s="941"/>
      <c r="BK193" s="943"/>
      <c r="BL193" s="943"/>
      <c r="BM193" s="943"/>
      <c r="BN193" s="943"/>
      <c r="BO193" s="943"/>
      <c r="BP193" s="944"/>
      <c r="BQ193" s="943"/>
      <c r="BR193" s="943"/>
      <c r="BS193" s="943"/>
      <c r="BU193" s="945"/>
      <c r="BV193" s="946"/>
      <c r="BW193" s="947"/>
      <c r="BX193" s="945"/>
      <c r="BY193" s="947"/>
      <c r="BZ193" s="946"/>
      <c r="CA193" s="947"/>
      <c r="CB193" s="946"/>
      <c r="CC193" s="947"/>
      <c r="CD193" s="947"/>
      <c r="CE193" s="947"/>
      <c r="CF193" s="948"/>
      <c r="CG193" s="949"/>
      <c r="CH193" s="949"/>
      <c r="CI193" s="950"/>
      <c r="CJ193" s="951"/>
      <c r="CK193" s="951"/>
      <c r="CL193" s="952"/>
      <c r="CM193" s="951"/>
      <c r="CN193" s="951"/>
      <c r="CO193" s="952"/>
      <c r="CP193" s="951"/>
      <c r="CQ193" s="951"/>
      <c r="CR193" s="952"/>
      <c r="CS193" s="946"/>
      <c r="CT193" s="953"/>
      <c r="CU193" s="953"/>
      <c r="CV193" s="953"/>
      <c r="CX193" s="951"/>
      <c r="CY193" s="951"/>
      <c r="CZ193" s="952"/>
      <c r="DB193" s="954"/>
      <c r="DC193" s="954"/>
      <c r="DD193" s="921"/>
      <c r="DE193" s="954"/>
      <c r="DF193" s="954"/>
      <c r="DG193" s="921"/>
      <c r="DH193" s="954"/>
      <c r="DI193" s="954"/>
      <c r="DJ193" s="921"/>
      <c r="DK193" s="954"/>
      <c r="DL193" s="954"/>
      <c r="DM193" s="921"/>
      <c r="DN193" s="954"/>
      <c r="DO193" s="954"/>
      <c r="DP193" s="921"/>
      <c r="DQ193" s="942"/>
      <c r="DR193" s="951"/>
      <c r="DS193" s="951"/>
      <c r="DT193" s="952"/>
      <c r="DV193" s="921"/>
      <c r="DW193" s="921"/>
      <c r="DX193" s="921"/>
      <c r="DY193" s="921"/>
      <c r="DZ193" s="921"/>
      <c r="EA193" s="921"/>
      <c r="EB193" s="921"/>
      <c r="EC193" s="921"/>
      <c r="ED193" s="921"/>
      <c r="EE193" s="921"/>
      <c r="EF193" s="921"/>
      <c r="EG193" s="921"/>
      <c r="EH193" s="921"/>
      <c r="EI193" s="921"/>
      <c r="EJ193" s="921"/>
      <c r="EK193" s="921"/>
      <c r="EL193" s="921"/>
      <c r="EM193" s="921"/>
      <c r="EN193" s="921"/>
      <c r="EO193" s="921"/>
      <c r="EP193" s="921"/>
      <c r="EQ193" s="954"/>
      <c r="ER193" s="954"/>
      <c r="ES193" s="954"/>
      <c r="ET193" s="954"/>
      <c r="EV193" s="942"/>
      <c r="EW193" s="951"/>
      <c r="EX193" s="951"/>
      <c r="EY193" s="952"/>
    </row>
    <row r="194" spans="1:155" s="927" customFormat="1" ht="15.75" x14ac:dyDescent="0.25">
      <c r="A194" s="931"/>
      <c r="B194" s="932" t="s">
        <v>405</v>
      </c>
      <c r="C194" s="933"/>
      <c r="D194" s="933"/>
      <c r="E194" s="934"/>
      <c r="F194" s="935"/>
      <c r="G194" s="934"/>
      <c r="H194" s="935"/>
      <c r="I194" s="936"/>
      <c r="J194" s="937"/>
      <c r="K194" s="938"/>
      <c r="L194" s="936"/>
      <c r="M194" s="937"/>
      <c r="N194" s="938"/>
      <c r="O194" s="936"/>
      <c r="P194" s="937"/>
      <c r="Q194" s="938"/>
      <c r="R194" s="936"/>
      <c r="S194" s="937"/>
      <c r="T194" s="938"/>
      <c r="U194" s="936"/>
      <c r="V194" s="937"/>
      <c r="W194" s="938"/>
      <c r="X194" s="936"/>
      <c r="Y194" s="937"/>
      <c r="Z194" s="938"/>
      <c r="AA194" s="936"/>
      <c r="AB194" s="937"/>
      <c r="AC194" s="938"/>
      <c r="AD194" s="936"/>
      <c r="AE194" s="937"/>
      <c r="AF194" s="938"/>
      <c r="AG194" s="936"/>
      <c r="AH194" s="937"/>
      <c r="AI194" s="938"/>
      <c r="AJ194" s="936"/>
      <c r="AK194" s="937"/>
      <c r="AL194" s="938"/>
      <c r="AM194" s="936"/>
      <c r="AN194" s="933"/>
      <c r="AO194" s="936"/>
      <c r="AP194" s="933"/>
      <c r="AQ194" s="935"/>
      <c r="AR194" s="936"/>
      <c r="AS194" s="935"/>
      <c r="AT194" s="939"/>
      <c r="AU194" s="933"/>
      <c r="AV194" s="940"/>
      <c r="AW194" s="389">
        <f>AW188/12-AO188</f>
        <v>230103.73</v>
      </c>
      <c r="AX194" s="939"/>
      <c r="AY194" s="939"/>
      <c r="AZ194" s="941"/>
      <c r="BA194" s="941"/>
      <c r="BB194" s="941"/>
      <c r="BC194" s="934"/>
      <c r="BD194" s="941"/>
      <c r="BE194" s="941"/>
      <c r="BF194" s="941"/>
      <c r="BG194" s="942"/>
      <c r="BH194" s="941"/>
      <c r="BI194" s="941"/>
      <c r="BJ194" s="941"/>
      <c r="BK194" s="943"/>
      <c r="BL194" s="943"/>
      <c r="BM194" s="943"/>
      <c r="BN194" s="943"/>
      <c r="BO194" s="943"/>
      <c r="BP194" s="944"/>
      <c r="BQ194" s="943"/>
      <c r="BR194" s="943"/>
      <c r="BS194" s="943"/>
      <c r="BU194" s="945"/>
      <c r="BV194" s="946"/>
      <c r="BW194" s="947"/>
      <c r="BX194" s="945"/>
      <c r="BY194" s="947"/>
      <c r="BZ194" s="946"/>
      <c r="CA194" s="947"/>
      <c r="CB194" s="946"/>
      <c r="CC194" s="947"/>
      <c r="CD194" s="947"/>
      <c r="CE194" s="947"/>
      <c r="CF194" s="948"/>
      <c r="CG194" s="949"/>
      <c r="CH194" s="949"/>
      <c r="CI194" s="950"/>
      <c r="CJ194" s="951"/>
      <c r="CK194" s="951"/>
      <c r="CL194" s="952"/>
      <c r="CM194" s="951"/>
      <c r="CN194" s="951"/>
      <c r="CO194" s="952"/>
      <c r="CP194" s="951"/>
      <c r="CQ194" s="951"/>
      <c r="CR194" s="952"/>
      <c r="CS194" s="946"/>
      <c r="CT194" s="953"/>
      <c r="CU194" s="953"/>
      <c r="CV194" s="953"/>
      <c r="CX194" s="951"/>
      <c r="CY194" s="951"/>
      <c r="CZ194" s="952"/>
      <c r="DB194" s="954"/>
      <c r="DC194" s="954"/>
      <c r="DD194" s="921"/>
      <c r="DE194" s="954"/>
      <c r="DF194" s="954"/>
      <c r="DG194" s="921"/>
      <c r="DH194" s="954"/>
      <c r="DI194" s="954"/>
      <c r="DJ194" s="921"/>
      <c r="DK194" s="954"/>
      <c r="DL194" s="954"/>
      <c r="DM194" s="921"/>
      <c r="DN194" s="954"/>
      <c r="DO194" s="954"/>
      <c r="DP194" s="921"/>
      <c r="DQ194" s="942"/>
      <c r="DR194" s="951"/>
      <c r="DS194" s="951"/>
      <c r="DT194" s="952"/>
      <c r="DV194" s="921"/>
      <c r="DW194" s="921"/>
      <c r="DX194" s="921"/>
      <c r="DY194" s="921"/>
      <c r="DZ194" s="921"/>
      <c r="EA194" s="921"/>
      <c r="EB194" s="921"/>
      <c r="EC194" s="921"/>
      <c r="ED194" s="921"/>
      <c r="EE194" s="921"/>
      <c r="EF194" s="921"/>
      <c r="EG194" s="921"/>
      <c r="EH194" s="921"/>
      <c r="EI194" s="921"/>
      <c r="EJ194" s="921"/>
      <c r="EK194" s="921"/>
      <c r="EL194" s="921"/>
      <c r="EM194" s="921"/>
      <c r="EN194" s="921"/>
      <c r="EO194" s="921"/>
      <c r="EP194" s="921"/>
      <c r="EQ194" s="954"/>
      <c r="ER194" s="954"/>
      <c r="ES194" s="954"/>
      <c r="ET194" s="954"/>
      <c r="EV194" s="942"/>
      <c r="EW194" s="951"/>
      <c r="EX194" s="951"/>
      <c r="EY194" s="952"/>
    </row>
    <row r="195" spans="1:155" s="927" customFormat="1" ht="15.75" x14ac:dyDescent="0.25">
      <c r="A195" s="931"/>
      <c r="B195" s="932" t="s">
        <v>499</v>
      </c>
      <c r="C195" s="933"/>
      <c r="D195" s="933"/>
      <c r="E195" s="934"/>
      <c r="F195" s="935"/>
      <c r="G195" s="934"/>
      <c r="H195" s="935"/>
      <c r="I195" s="936"/>
      <c r="J195" s="937"/>
      <c r="K195" s="938"/>
      <c r="L195" s="936"/>
      <c r="M195" s="937"/>
      <c r="N195" s="938"/>
      <c r="O195" s="936"/>
      <c r="P195" s="937"/>
      <c r="Q195" s="938"/>
      <c r="R195" s="936"/>
      <c r="S195" s="937"/>
      <c r="T195" s="938"/>
      <c r="U195" s="936"/>
      <c r="V195" s="937"/>
      <c r="W195" s="938"/>
      <c r="X195" s="936"/>
      <c r="Y195" s="937"/>
      <c r="Z195" s="938"/>
      <c r="AA195" s="936"/>
      <c r="AB195" s="937"/>
      <c r="AC195" s="938"/>
      <c r="AD195" s="936"/>
      <c r="AE195" s="937"/>
      <c r="AF195" s="938"/>
      <c r="AG195" s="936"/>
      <c r="AH195" s="937"/>
      <c r="AI195" s="938"/>
      <c r="AJ195" s="936"/>
      <c r="AK195" s="937"/>
      <c r="AL195" s="938"/>
      <c r="AM195" s="936"/>
      <c r="AN195" s="933"/>
      <c r="AO195" s="936"/>
      <c r="AP195" s="933"/>
      <c r="AQ195" s="935"/>
      <c r="AR195" s="936"/>
      <c r="AS195" s="935"/>
      <c r="AT195" s="939"/>
      <c r="AU195" s="933"/>
      <c r="AV195" s="940"/>
      <c r="AW195" s="986"/>
      <c r="AX195" s="939"/>
      <c r="AY195" s="939"/>
      <c r="AZ195" s="941"/>
      <c r="BA195" s="941"/>
      <c r="BB195" s="941"/>
      <c r="BC195" s="934"/>
      <c r="BD195" s="941"/>
      <c r="BE195" s="941"/>
      <c r="BF195" s="941"/>
      <c r="BG195" s="942"/>
      <c r="BH195" s="941"/>
      <c r="BI195" s="941"/>
      <c r="BJ195" s="941"/>
      <c r="BK195" s="943"/>
      <c r="BL195" s="943"/>
      <c r="BM195" s="943"/>
      <c r="BN195" s="943"/>
      <c r="BO195" s="943"/>
      <c r="BP195" s="944"/>
      <c r="BQ195" s="943"/>
      <c r="BR195" s="943"/>
      <c r="BS195" s="943"/>
      <c r="BU195" s="945"/>
      <c r="BV195" s="946"/>
      <c r="BW195" s="947"/>
      <c r="BX195" s="945"/>
      <c r="BY195" s="947"/>
      <c r="BZ195" s="946"/>
      <c r="CA195" s="947"/>
      <c r="CB195" s="946"/>
      <c r="CC195" s="947"/>
      <c r="CD195" s="947"/>
      <c r="CE195" s="947"/>
      <c r="CF195" s="948"/>
      <c r="CG195" s="949"/>
      <c r="CH195" s="949"/>
      <c r="CI195" s="950"/>
      <c r="CJ195" s="951"/>
      <c r="CK195" s="951"/>
      <c r="CL195" s="952"/>
      <c r="CM195" s="951"/>
      <c r="CN195" s="951"/>
      <c r="CO195" s="952"/>
      <c r="CP195" s="951"/>
      <c r="CQ195" s="951"/>
      <c r="CR195" s="952"/>
      <c r="CS195" s="946"/>
      <c r="CT195" s="953"/>
      <c r="CU195" s="953"/>
      <c r="CV195" s="953"/>
      <c r="CX195" s="951"/>
      <c r="CY195" s="951"/>
      <c r="CZ195" s="952"/>
      <c r="DB195" s="954"/>
      <c r="DC195" s="954"/>
      <c r="DD195" s="921"/>
      <c r="DE195" s="954"/>
      <c r="DF195" s="954"/>
      <c r="DG195" s="921"/>
      <c r="DH195" s="954"/>
      <c r="DI195" s="954"/>
      <c r="DJ195" s="921"/>
      <c r="DK195" s="954"/>
      <c r="DL195" s="954"/>
      <c r="DM195" s="921"/>
      <c r="DN195" s="954"/>
      <c r="DO195" s="954"/>
      <c r="DP195" s="921"/>
      <c r="DQ195" s="942"/>
      <c r="DR195" s="951"/>
      <c r="DS195" s="951"/>
      <c r="DT195" s="952"/>
      <c r="DV195" s="921"/>
      <c r="DW195" s="921"/>
      <c r="DX195" s="921"/>
      <c r="DY195" s="921"/>
      <c r="DZ195" s="921"/>
      <c r="EA195" s="921"/>
      <c r="EB195" s="921"/>
      <c r="EC195" s="921"/>
      <c r="ED195" s="921"/>
      <c r="EE195" s="921"/>
      <c r="EF195" s="921"/>
      <c r="EG195" s="921"/>
      <c r="EH195" s="921"/>
      <c r="EI195" s="921"/>
      <c r="EJ195" s="921"/>
      <c r="EK195" s="921"/>
      <c r="EL195" s="921"/>
      <c r="EM195" s="921"/>
      <c r="EN195" s="921"/>
      <c r="EO195" s="921"/>
      <c r="EP195" s="921"/>
      <c r="EQ195" s="954"/>
      <c r="ER195" s="954"/>
      <c r="ES195" s="954"/>
      <c r="ET195" s="954"/>
      <c r="EV195" s="942"/>
      <c r="EW195" s="951"/>
      <c r="EX195" s="951"/>
      <c r="EY195" s="952"/>
    </row>
    <row r="196" spans="1:155" s="927" customFormat="1" ht="15.75" x14ac:dyDescent="0.25">
      <c r="A196" s="931"/>
      <c r="B196" s="932" t="s">
        <v>406</v>
      </c>
      <c r="C196" s="933"/>
      <c r="D196" s="933"/>
      <c r="E196" s="934"/>
      <c r="F196" s="935"/>
      <c r="G196" s="934"/>
      <c r="H196" s="935"/>
      <c r="I196" s="936"/>
      <c r="J196" s="937"/>
      <c r="K196" s="938"/>
      <c r="L196" s="936"/>
      <c r="M196" s="937"/>
      <c r="N196" s="938"/>
      <c r="O196" s="936"/>
      <c r="P196" s="937"/>
      <c r="Q196" s="938"/>
      <c r="R196" s="936"/>
      <c r="S196" s="937"/>
      <c r="T196" s="938"/>
      <c r="U196" s="936"/>
      <c r="V196" s="937"/>
      <c r="W196" s="938"/>
      <c r="X196" s="936"/>
      <c r="Y196" s="937"/>
      <c r="Z196" s="938"/>
      <c r="AA196" s="936"/>
      <c r="AB196" s="937"/>
      <c r="AC196" s="938"/>
      <c r="AD196" s="936"/>
      <c r="AE196" s="937"/>
      <c r="AF196" s="938"/>
      <c r="AG196" s="936"/>
      <c r="AH196" s="937"/>
      <c r="AI196" s="938"/>
      <c r="AJ196" s="936"/>
      <c r="AK196" s="937"/>
      <c r="AL196" s="938"/>
      <c r="AM196" s="936"/>
      <c r="AN196" s="933"/>
      <c r="AO196" s="936"/>
      <c r="AP196" s="933"/>
      <c r="AQ196" s="935"/>
      <c r="AR196" s="936"/>
      <c r="AS196" s="935"/>
      <c r="AT196" s="939"/>
      <c r="AU196" s="933"/>
      <c r="AV196" s="940"/>
      <c r="AW196" s="336">
        <f>AW191/I185</f>
        <v>1.34843</v>
      </c>
      <c r="AX196" s="939"/>
      <c r="AY196" s="939"/>
      <c r="AZ196" s="941"/>
      <c r="BA196" s="941"/>
      <c r="BB196" s="941"/>
      <c r="BC196" s="934"/>
      <c r="BD196" s="941"/>
      <c r="BE196" s="941"/>
      <c r="BF196" s="941"/>
      <c r="BG196" s="942"/>
      <c r="BH196" s="941"/>
      <c r="BI196" s="941"/>
      <c r="BJ196" s="941"/>
      <c r="BK196" s="943"/>
      <c r="BL196" s="943"/>
      <c r="BM196" s="943"/>
      <c r="BN196" s="943"/>
      <c r="BO196" s="943"/>
      <c r="BP196" s="944"/>
      <c r="BQ196" s="943"/>
      <c r="BR196" s="943"/>
      <c r="BS196" s="943"/>
      <c r="BU196" s="945"/>
      <c r="BV196" s="946"/>
      <c r="BW196" s="947"/>
      <c r="BX196" s="945"/>
      <c r="BY196" s="947"/>
      <c r="BZ196" s="946"/>
      <c r="CA196" s="947"/>
      <c r="CB196" s="946"/>
      <c r="CC196" s="947"/>
      <c r="CD196" s="947"/>
      <c r="CE196" s="947"/>
      <c r="CF196" s="948"/>
      <c r="CG196" s="949"/>
      <c r="CH196" s="949"/>
      <c r="CI196" s="950"/>
      <c r="CJ196" s="951"/>
      <c r="CK196" s="951"/>
      <c r="CL196" s="952"/>
      <c r="CM196" s="951"/>
      <c r="CN196" s="951"/>
      <c r="CO196" s="952"/>
      <c r="CP196" s="951"/>
      <c r="CQ196" s="951"/>
      <c r="CR196" s="952"/>
      <c r="CS196" s="946"/>
      <c r="CT196" s="953"/>
      <c r="CU196" s="953"/>
      <c r="CV196" s="953"/>
      <c r="CX196" s="951"/>
      <c r="CY196" s="951"/>
      <c r="CZ196" s="952"/>
      <c r="DB196" s="954"/>
      <c r="DC196" s="954"/>
      <c r="DD196" s="921"/>
      <c r="DE196" s="954"/>
      <c r="DF196" s="954"/>
      <c r="DG196" s="921"/>
      <c r="DH196" s="954"/>
      <c r="DI196" s="954"/>
      <c r="DJ196" s="921"/>
      <c r="DK196" s="954"/>
      <c r="DL196" s="954"/>
      <c r="DM196" s="921"/>
      <c r="DN196" s="954"/>
      <c r="DO196" s="954"/>
      <c r="DP196" s="921"/>
      <c r="DQ196" s="942"/>
      <c r="DR196" s="951"/>
      <c r="DS196" s="951"/>
      <c r="DT196" s="952"/>
      <c r="DV196" s="921"/>
      <c r="DW196" s="921"/>
      <c r="DX196" s="921"/>
      <c r="DY196" s="921"/>
      <c r="DZ196" s="921"/>
      <c r="EA196" s="921"/>
      <c r="EB196" s="921"/>
      <c r="EC196" s="921"/>
      <c r="ED196" s="921"/>
      <c r="EE196" s="921"/>
      <c r="EF196" s="921"/>
      <c r="EG196" s="921"/>
      <c r="EH196" s="921"/>
      <c r="EI196" s="921"/>
      <c r="EJ196" s="921"/>
      <c r="EK196" s="921"/>
      <c r="EL196" s="921"/>
      <c r="EM196" s="921"/>
      <c r="EN196" s="921"/>
      <c r="EO196" s="921"/>
      <c r="EP196" s="921"/>
      <c r="EQ196" s="954"/>
      <c r="ER196" s="954"/>
      <c r="ES196" s="954"/>
      <c r="ET196" s="954"/>
      <c r="EV196" s="942"/>
      <c r="EW196" s="951"/>
      <c r="EX196" s="951"/>
      <c r="EY196" s="952"/>
    </row>
    <row r="197" spans="1:155" s="927" customFormat="1" ht="15.75" x14ac:dyDescent="0.25">
      <c r="A197" s="931"/>
      <c r="B197" s="932" t="s">
        <v>498</v>
      </c>
      <c r="C197" s="933"/>
      <c r="D197" s="933"/>
      <c r="E197" s="934"/>
      <c r="F197" s="935"/>
      <c r="G197" s="934"/>
      <c r="H197" s="935"/>
      <c r="I197" s="936"/>
      <c r="J197" s="937"/>
      <c r="K197" s="938"/>
      <c r="L197" s="936"/>
      <c r="M197" s="937"/>
      <c r="N197" s="938"/>
      <c r="O197" s="936"/>
      <c r="P197" s="937"/>
      <c r="Q197" s="938"/>
      <c r="R197" s="936"/>
      <c r="S197" s="937"/>
      <c r="T197" s="938"/>
      <c r="U197" s="936"/>
      <c r="V197" s="937"/>
      <c r="W197" s="938"/>
      <c r="X197" s="936"/>
      <c r="Y197" s="937"/>
      <c r="Z197" s="938"/>
      <c r="AA197" s="936"/>
      <c r="AB197" s="937"/>
      <c r="AC197" s="938"/>
      <c r="AD197" s="936"/>
      <c r="AE197" s="937"/>
      <c r="AF197" s="938"/>
      <c r="AG197" s="936"/>
      <c r="AH197" s="937"/>
      <c r="AI197" s="938"/>
      <c r="AJ197" s="936"/>
      <c r="AK197" s="937"/>
      <c r="AL197" s="938"/>
      <c r="AM197" s="936"/>
      <c r="AN197" s="933"/>
      <c r="AO197" s="936"/>
      <c r="AP197" s="933"/>
      <c r="AQ197" s="935"/>
      <c r="AR197" s="936"/>
      <c r="AS197" s="935"/>
      <c r="AT197" s="939"/>
      <c r="AU197" s="933"/>
      <c r="AV197" s="940"/>
      <c r="AW197" s="986"/>
      <c r="AX197" s="939"/>
      <c r="AY197" s="939"/>
      <c r="AZ197" s="941"/>
      <c r="BA197" s="941"/>
      <c r="BB197" s="941"/>
      <c r="BC197" s="934"/>
      <c r="BD197" s="941"/>
      <c r="BE197" s="941"/>
      <c r="BF197" s="941"/>
      <c r="BG197" s="942"/>
      <c r="BH197" s="941"/>
      <c r="BI197" s="941"/>
      <c r="BJ197" s="941"/>
      <c r="BK197" s="943"/>
      <c r="BL197" s="943"/>
      <c r="BM197" s="943"/>
      <c r="BN197" s="943"/>
      <c r="BO197" s="943"/>
      <c r="BP197" s="944"/>
      <c r="BQ197" s="943"/>
      <c r="BR197" s="943"/>
      <c r="BS197" s="943"/>
      <c r="BU197" s="945"/>
      <c r="BV197" s="946"/>
      <c r="BW197" s="947"/>
      <c r="BX197" s="945"/>
      <c r="BY197" s="947"/>
      <c r="BZ197" s="946"/>
      <c r="CA197" s="947"/>
      <c r="CB197" s="946"/>
      <c r="CC197" s="947"/>
      <c r="CD197" s="947"/>
      <c r="CE197" s="947"/>
      <c r="CF197" s="948"/>
      <c r="CG197" s="949"/>
      <c r="CH197" s="949"/>
      <c r="CI197" s="950"/>
      <c r="CJ197" s="951"/>
      <c r="CK197" s="951"/>
      <c r="CL197" s="952"/>
      <c r="CM197" s="951"/>
      <c r="CN197" s="951"/>
      <c r="CO197" s="952"/>
      <c r="CP197" s="951"/>
      <c r="CQ197" s="951"/>
      <c r="CR197" s="952"/>
      <c r="CS197" s="946"/>
      <c r="CT197" s="953"/>
      <c r="CU197" s="953"/>
      <c r="CV197" s="953"/>
      <c r="CX197" s="951"/>
      <c r="CY197" s="951"/>
      <c r="CZ197" s="952"/>
      <c r="DB197" s="954"/>
      <c r="DC197" s="954"/>
      <c r="DD197" s="921"/>
      <c r="DE197" s="954"/>
      <c r="DF197" s="954"/>
      <c r="DG197" s="921"/>
      <c r="DH197" s="954"/>
      <c r="DI197" s="954"/>
      <c r="DJ197" s="921"/>
      <c r="DK197" s="954"/>
      <c r="DL197" s="954"/>
      <c r="DM197" s="921"/>
      <c r="DN197" s="954"/>
      <c r="DO197" s="954"/>
      <c r="DP197" s="921"/>
      <c r="DQ197" s="942"/>
      <c r="DR197" s="951"/>
      <c r="DS197" s="951"/>
      <c r="DT197" s="952"/>
      <c r="DV197" s="921"/>
      <c r="DW197" s="921"/>
      <c r="DX197" s="921"/>
      <c r="DY197" s="921"/>
      <c r="DZ197" s="921"/>
      <c r="EA197" s="921"/>
      <c r="EB197" s="921"/>
      <c r="EC197" s="921"/>
      <c r="ED197" s="921"/>
      <c r="EE197" s="921"/>
      <c r="EF197" s="921"/>
      <c r="EG197" s="921"/>
      <c r="EH197" s="921"/>
      <c r="EI197" s="921"/>
      <c r="EJ197" s="921"/>
      <c r="EK197" s="921"/>
      <c r="EL197" s="921"/>
      <c r="EM197" s="921"/>
      <c r="EN197" s="921"/>
      <c r="EO197" s="921"/>
      <c r="EP197" s="921"/>
      <c r="EQ197" s="954"/>
      <c r="ER197" s="954"/>
      <c r="ES197" s="954"/>
      <c r="ET197" s="954"/>
      <c r="EV197" s="942"/>
      <c r="EW197" s="951"/>
      <c r="EX197" s="951"/>
      <c r="EY197" s="952"/>
    </row>
    <row r="198" spans="1:155" s="927" customFormat="1" ht="15.75" x14ac:dyDescent="0.25">
      <c r="A198" s="931"/>
      <c r="B198" s="932" t="s">
        <v>403</v>
      </c>
      <c r="C198" s="933"/>
      <c r="D198" s="933"/>
      <c r="E198" s="934"/>
      <c r="F198" s="935"/>
      <c r="G198" s="934"/>
      <c r="H198" s="935"/>
      <c r="I198" s="936"/>
      <c r="J198" s="937"/>
      <c r="K198" s="938"/>
      <c r="L198" s="936"/>
      <c r="M198" s="937"/>
      <c r="N198" s="938"/>
      <c r="O198" s="936"/>
      <c r="P198" s="937"/>
      <c r="Q198" s="938"/>
      <c r="R198" s="936"/>
      <c r="S198" s="937"/>
      <c r="T198" s="938"/>
      <c r="U198" s="936"/>
      <c r="V198" s="937"/>
      <c r="W198" s="938"/>
      <c r="X198" s="936"/>
      <c r="Y198" s="937"/>
      <c r="Z198" s="938"/>
      <c r="AA198" s="936"/>
      <c r="AB198" s="937"/>
      <c r="AC198" s="938"/>
      <c r="AD198" s="936"/>
      <c r="AE198" s="937"/>
      <c r="AF198" s="938"/>
      <c r="AG198" s="936"/>
      <c r="AH198" s="937"/>
      <c r="AI198" s="938"/>
      <c r="AJ198" s="936"/>
      <c r="AK198" s="937"/>
      <c r="AL198" s="938"/>
      <c r="AM198" s="936"/>
      <c r="AN198" s="933"/>
      <c r="AO198" s="936"/>
      <c r="AP198" s="933"/>
      <c r="AQ198" s="935"/>
      <c r="AR198" s="936"/>
      <c r="AS198" s="935"/>
      <c r="AT198" s="939"/>
      <c r="AU198" s="933"/>
      <c r="AV198" s="940"/>
      <c r="AW198" s="337">
        <f>AW192/AW191</f>
        <v>0.33637</v>
      </c>
      <c r="AX198" s="939"/>
      <c r="AY198" s="939"/>
      <c r="AZ198" s="941"/>
      <c r="BA198" s="941"/>
      <c r="BB198" s="941"/>
      <c r="BC198" s="934"/>
      <c r="BD198" s="941"/>
      <c r="BE198" s="941"/>
      <c r="BF198" s="941"/>
      <c r="BG198" s="942"/>
      <c r="BH198" s="941"/>
      <c r="BI198" s="941"/>
      <c r="BJ198" s="941"/>
      <c r="BK198" s="943"/>
      <c r="BL198" s="943"/>
      <c r="BM198" s="943"/>
      <c r="BN198" s="943"/>
      <c r="BO198" s="943"/>
      <c r="BP198" s="944"/>
      <c r="BQ198" s="943"/>
      <c r="BR198" s="943"/>
      <c r="BS198" s="943"/>
      <c r="BU198" s="945"/>
      <c r="BV198" s="946"/>
      <c r="BW198" s="947"/>
      <c r="BX198" s="945"/>
      <c r="BY198" s="947"/>
      <c r="BZ198" s="946"/>
      <c r="CA198" s="947"/>
      <c r="CB198" s="946"/>
      <c r="CC198" s="947"/>
      <c r="CD198" s="947"/>
      <c r="CE198" s="947"/>
      <c r="CF198" s="948"/>
      <c r="CG198" s="949"/>
      <c r="CH198" s="949"/>
      <c r="CI198" s="950"/>
      <c r="CJ198" s="951"/>
      <c r="CK198" s="951"/>
      <c r="CL198" s="952"/>
      <c r="CM198" s="951"/>
      <c r="CN198" s="951"/>
      <c r="CO198" s="952"/>
      <c r="CP198" s="951"/>
      <c r="CQ198" s="951"/>
      <c r="CR198" s="952"/>
      <c r="CS198" s="946"/>
      <c r="CT198" s="953"/>
      <c r="CU198" s="953"/>
      <c r="CV198" s="953"/>
      <c r="CX198" s="951"/>
      <c r="CY198" s="951"/>
      <c r="CZ198" s="952"/>
      <c r="DB198" s="954"/>
      <c r="DC198" s="954"/>
      <c r="DD198" s="921"/>
      <c r="DE198" s="954"/>
      <c r="DF198" s="954"/>
      <c r="DG198" s="921"/>
      <c r="DH198" s="954"/>
      <c r="DI198" s="954"/>
      <c r="DJ198" s="921"/>
      <c r="DK198" s="954"/>
      <c r="DL198" s="954"/>
      <c r="DM198" s="921"/>
      <c r="DN198" s="954"/>
      <c r="DO198" s="954"/>
      <c r="DP198" s="921"/>
      <c r="DQ198" s="942"/>
      <c r="DR198" s="951"/>
      <c r="DS198" s="951"/>
      <c r="DT198" s="952"/>
      <c r="DV198" s="921"/>
      <c r="DW198" s="921"/>
      <c r="DX198" s="921"/>
      <c r="DY198" s="921"/>
      <c r="DZ198" s="921"/>
      <c r="EA198" s="921"/>
      <c r="EB198" s="921"/>
      <c r="EC198" s="921"/>
      <c r="ED198" s="921"/>
      <c r="EE198" s="921"/>
      <c r="EF198" s="921"/>
      <c r="EG198" s="921"/>
      <c r="EH198" s="921"/>
      <c r="EI198" s="921"/>
      <c r="EJ198" s="921"/>
      <c r="EK198" s="921"/>
      <c r="EL198" s="921"/>
      <c r="EM198" s="921"/>
      <c r="EN198" s="921"/>
      <c r="EO198" s="921"/>
      <c r="EP198" s="921"/>
      <c r="EQ198" s="954"/>
      <c r="ER198" s="954"/>
      <c r="ES198" s="954"/>
      <c r="ET198" s="954"/>
      <c r="EV198" s="942"/>
      <c r="EW198" s="951"/>
      <c r="EX198" s="951"/>
      <c r="EY198" s="952"/>
    </row>
    <row r="199" spans="1:155" s="927" customFormat="1" ht="15.75" x14ac:dyDescent="0.25">
      <c r="A199" s="931"/>
      <c r="B199" s="932" t="s">
        <v>404</v>
      </c>
      <c r="C199" s="933"/>
      <c r="D199" s="933"/>
      <c r="E199" s="934"/>
      <c r="F199" s="935"/>
      <c r="G199" s="934"/>
      <c r="H199" s="935"/>
      <c r="I199" s="936"/>
      <c r="J199" s="937"/>
      <c r="K199" s="938"/>
      <c r="L199" s="936"/>
      <c r="M199" s="937"/>
      <c r="N199" s="938"/>
      <c r="O199" s="936"/>
      <c r="P199" s="937"/>
      <c r="Q199" s="938"/>
      <c r="R199" s="936"/>
      <c r="S199" s="937"/>
      <c r="T199" s="938"/>
      <c r="U199" s="936"/>
      <c r="V199" s="937"/>
      <c r="W199" s="938"/>
      <c r="X199" s="936"/>
      <c r="Y199" s="937"/>
      <c r="Z199" s="938"/>
      <c r="AA199" s="936"/>
      <c r="AB199" s="937"/>
      <c r="AC199" s="938"/>
      <c r="AD199" s="936"/>
      <c r="AE199" s="937"/>
      <c r="AF199" s="938"/>
      <c r="AG199" s="936"/>
      <c r="AH199" s="937"/>
      <c r="AI199" s="938"/>
      <c r="AJ199" s="936"/>
      <c r="AK199" s="937"/>
      <c r="AL199" s="938"/>
      <c r="AM199" s="936"/>
      <c r="AN199" s="933"/>
      <c r="AO199" s="936"/>
      <c r="AP199" s="933"/>
      <c r="AQ199" s="935"/>
      <c r="AR199" s="936"/>
      <c r="AS199" s="935"/>
      <c r="AT199" s="939"/>
      <c r="AU199" s="933"/>
      <c r="AV199" s="940"/>
      <c r="AW199" s="338">
        <f>AW193/AW191</f>
        <v>0.65883000000000003</v>
      </c>
      <c r="AX199" s="939"/>
      <c r="AY199" s="939"/>
      <c r="AZ199" s="941"/>
      <c r="BA199" s="941"/>
      <c r="BB199" s="941"/>
      <c r="BC199" s="934"/>
      <c r="BD199" s="941"/>
      <c r="BE199" s="941"/>
      <c r="BF199" s="941"/>
      <c r="BG199" s="942"/>
      <c r="BH199" s="941"/>
      <c r="BI199" s="941"/>
      <c r="BJ199" s="941"/>
      <c r="BK199" s="943"/>
      <c r="BL199" s="943"/>
      <c r="BM199" s="943"/>
      <c r="BN199" s="943"/>
      <c r="BO199" s="943"/>
      <c r="BP199" s="944"/>
      <c r="BQ199" s="943"/>
      <c r="BR199" s="943"/>
      <c r="BS199" s="943"/>
      <c r="BU199" s="945"/>
      <c r="BV199" s="946"/>
      <c r="BW199" s="947"/>
      <c r="BX199" s="945"/>
      <c r="BY199" s="947"/>
      <c r="BZ199" s="946"/>
      <c r="CA199" s="947"/>
      <c r="CB199" s="946"/>
      <c r="CC199" s="947"/>
      <c r="CD199" s="947"/>
      <c r="CE199" s="947"/>
      <c r="CF199" s="948"/>
      <c r="CG199" s="949"/>
      <c r="CH199" s="949"/>
      <c r="CI199" s="950"/>
      <c r="CJ199" s="951"/>
      <c r="CK199" s="951"/>
      <c r="CL199" s="952"/>
      <c r="CM199" s="951"/>
      <c r="CN199" s="951"/>
      <c r="CO199" s="952"/>
      <c r="CP199" s="951"/>
      <c r="CQ199" s="951"/>
      <c r="CR199" s="952"/>
      <c r="CS199" s="946"/>
      <c r="CT199" s="953"/>
      <c r="CU199" s="953"/>
      <c r="CV199" s="953"/>
      <c r="CX199" s="951"/>
      <c r="CY199" s="951"/>
      <c r="CZ199" s="952"/>
      <c r="DB199" s="954"/>
      <c r="DC199" s="954"/>
      <c r="DD199" s="921"/>
      <c r="DE199" s="954"/>
      <c r="DF199" s="954"/>
      <c r="DG199" s="921"/>
      <c r="DH199" s="954"/>
      <c r="DI199" s="954"/>
      <c r="DJ199" s="921"/>
      <c r="DK199" s="954"/>
      <c r="DL199" s="954"/>
      <c r="DM199" s="921"/>
      <c r="DN199" s="954"/>
      <c r="DO199" s="954"/>
      <c r="DP199" s="921"/>
      <c r="DQ199" s="942"/>
      <c r="DR199" s="951"/>
      <c r="DS199" s="951"/>
      <c r="DT199" s="952"/>
      <c r="DV199" s="921"/>
      <c r="DW199" s="921"/>
      <c r="DX199" s="921"/>
      <c r="DY199" s="921"/>
      <c r="DZ199" s="921"/>
      <c r="EA199" s="921"/>
      <c r="EB199" s="921"/>
      <c r="EC199" s="921"/>
      <c r="ED199" s="921"/>
      <c r="EE199" s="921"/>
      <c r="EF199" s="921"/>
      <c r="EG199" s="921"/>
      <c r="EH199" s="921"/>
      <c r="EI199" s="921"/>
      <c r="EJ199" s="921"/>
      <c r="EK199" s="921"/>
      <c r="EL199" s="921"/>
      <c r="EM199" s="921"/>
      <c r="EN199" s="921"/>
      <c r="EO199" s="921"/>
      <c r="EP199" s="921"/>
      <c r="EQ199" s="954"/>
      <c r="ER199" s="954"/>
      <c r="ES199" s="954"/>
      <c r="ET199" s="954"/>
      <c r="EV199" s="942"/>
      <c r="EW199" s="951"/>
      <c r="EX199" s="951"/>
      <c r="EY199" s="952"/>
    </row>
    <row r="200" spans="1:155" s="927" customFormat="1" ht="15.75" x14ac:dyDescent="0.25">
      <c r="A200" s="931"/>
      <c r="B200" s="932" t="s">
        <v>405</v>
      </c>
      <c r="C200" s="933"/>
      <c r="D200" s="933"/>
      <c r="E200" s="934"/>
      <c r="F200" s="935"/>
      <c r="G200" s="934"/>
      <c r="H200" s="935"/>
      <c r="I200" s="936"/>
      <c r="J200" s="937"/>
      <c r="K200" s="938"/>
      <c r="L200" s="936"/>
      <c r="M200" s="937"/>
      <c r="N200" s="938"/>
      <c r="O200" s="936"/>
      <c r="P200" s="937"/>
      <c r="Q200" s="938"/>
      <c r="R200" s="936"/>
      <c r="S200" s="937"/>
      <c r="T200" s="938"/>
      <c r="U200" s="936"/>
      <c r="V200" s="937"/>
      <c r="W200" s="938"/>
      <c r="X200" s="936"/>
      <c r="Y200" s="937"/>
      <c r="Z200" s="938"/>
      <c r="AA200" s="936"/>
      <c r="AB200" s="937"/>
      <c r="AC200" s="938"/>
      <c r="AD200" s="936"/>
      <c r="AE200" s="937"/>
      <c r="AF200" s="938"/>
      <c r="AG200" s="936"/>
      <c r="AH200" s="937"/>
      <c r="AI200" s="938"/>
      <c r="AJ200" s="936"/>
      <c r="AK200" s="937"/>
      <c r="AL200" s="938"/>
      <c r="AM200" s="936"/>
      <c r="AN200" s="933"/>
      <c r="AO200" s="936"/>
      <c r="AP200" s="933"/>
      <c r="AQ200" s="935"/>
      <c r="AR200" s="936"/>
      <c r="AS200" s="935"/>
      <c r="AT200" s="939"/>
      <c r="AU200" s="933"/>
      <c r="AV200" s="940"/>
      <c r="AW200" s="339">
        <f>AW194/AW191</f>
        <v>0.32107000000000002</v>
      </c>
      <c r="AX200" s="939"/>
      <c r="AY200" s="939"/>
      <c r="AZ200" s="941"/>
      <c r="BA200" s="941"/>
      <c r="BB200" s="941"/>
      <c r="BC200" s="934"/>
      <c r="BD200" s="941"/>
      <c r="BE200" s="941"/>
      <c r="BF200" s="941"/>
      <c r="BG200" s="942"/>
      <c r="BH200" s="941"/>
      <c r="BI200" s="941"/>
      <c r="BJ200" s="941"/>
      <c r="BK200" s="943"/>
      <c r="BL200" s="943"/>
      <c r="BM200" s="943"/>
      <c r="BN200" s="943"/>
      <c r="BO200" s="943"/>
      <c r="BP200" s="944"/>
      <c r="BQ200" s="943"/>
      <c r="BR200" s="943"/>
      <c r="BS200" s="943"/>
      <c r="BU200" s="945"/>
      <c r="BV200" s="946"/>
      <c r="BW200" s="947"/>
      <c r="BX200" s="945"/>
      <c r="BY200" s="947"/>
      <c r="BZ200" s="946"/>
      <c r="CA200" s="947"/>
      <c r="CB200" s="946"/>
      <c r="CC200" s="947"/>
      <c r="CD200" s="947"/>
      <c r="CE200" s="947"/>
      <c r="CF200" s="948"/>
      <c r="CG200" s="949"/>
      <c r="CH200" s="949"/>
      <c r="CI200" s="950"/>
      <c r="CJ200" s="951"/>
      <c r="CK200" s="951"/>
      <c r="CL200" s="952"/>
      <c r="CM200" s="951"/>
      <c r="CN200" s="951"/>
      <c r="CO200" s="952"/>
      <c r="CP200" s="951"/>
      <c r="CQ200" s="951"/>
      <c r="CR200" s="952"/>
      <c r="CS200" s="946"/>
      <c r="CT200" s="953"/>
      <c r="CU200" s="953"/>
      <c r="CV200" s="953"/>
      <c r="CX200" s="951"/>
      <c r="CY200" s="951"/>
      <c r="CZ200" s="952"/>
      <c r="DB200" s="954"/>
      <c r="DC200" s="954"/>
      <c r="DD200" s="921"/>
      <c r="DE200" s="954"/>
      <c r="DF200" s="954"/>
      <c r="DG200" s="921"/>
      <c r="DH200" s="954"/>
      <c r="DI200" s="954"/>
      <c r="DJ200" s="921"/>
      <c r="DK200" s="954"/>
      <c r="DL200" s="954"/>
      <c r="DM200" s="921"/>
      <c r="DN200" s="954"/>
      <c r="DO200" s="954"/>
      <c r="DP200" s="921"/>
      <c r="DQ200" s="942"/>
      <c r="DR200" s="951"/>
      <c r="DS200" s="951"/>
      <c r="DT200" s="952"/>
      <c r="DV200" s="921"/>
      <c r="DW200" s="921"/>
      <c r="DX200" s="921"/>
      <c r="DY200" s="921"/>
      <c r="DZ200" s="921"/>
      <c r="EA200" s="921"/>
      <c r="EB200" s="921"/>
      <c r="EC200" s="921"/>
      <c r="ED200" s="921"/>
      <c r="EE200" s="921"/>
      <c r="EF200" s="921"/>
      <c r="EG200" s="921"/>
      <c r="EH200" s="921"/>
      <c r="EI200" s="921"/>
      <c r="EJ200" s="921"/>
      <c r="EK200" s="921"/>
      <c r="EL200" s="921"/>
      <c r="EM200" s="921"/>
      <c r="EN200" s="921"/>
      <c r="EO200" s="921"/>
      <c r="EP200" s="921"/>
      <c r="EQ200" s="954"/>
      <c r="ER200" s="954"/>
      <c r="ES200" s="954"/>
      <c r="ET200" s="954"/>
      <c r="EV200" s="942"/>
      <c r="EW200" s="951"/>
      <c r="EX200" s="951"/>
      <c r="EY200" s="952"/>
    </row>
    <row r="201" spans="1:155" s="927" customFormat="1" ht="15.75" x14ac:dyDescent="0.25">
      <c r="A201" s="931"/>
      <c r="B201" s="932" t="s">
        <v>807</v>
      </c>
      <c r="C201" s="933"/>
      <c r="D201" s="933"/>
      <c r="E201" s="934"/>
      <c r="F201" s="935"/>
      <c r="G201" s="934"/>
      <c r="H201" s="935"/>
      <c r="I201" s="936"/>
      <c r="J201" s="937"/>
      <c r="K201" s="938"/>
      <c r="L201" s="936"/>
      <c r="M201" s="937"/>
      <c r="N201" s="938"/>
      <c r="O201" s="936"/>
      <c r="P201" s="937"/>
      <c r="Q201" s="938"/>
      <c r="R201" s="936"/>
      <c r="S201" s="937"/>
      <c r="T201" s="938"/>
      <c r="U201" s="936"/>
      <c r="V201" s="937"/>
      <c r="W201" s="938"/>
      <c r="X201" s="936"/>
      <c r="Y201" s="937"/>
      <c r="Z201" s="938"/>
      <c r="AA201" s="936"/>
      <c r="AB201" s="937"/>
      <c r="AC201" s="938"/>
      <c r="AD201" s="936"/>
      <c r="AE201" s="937"/>
      <c r="AF201" s="938"/>
      <c r="AG201" s="936"/>
      <c r="AH201" s="937"/>
      <c r="AI201" s="938"/>
      <c r="AJ201" s="936"/>
      <c r="AK201" s="937"/>
      <c r="AL201" s="938"/>
      <c r="AM201" s="936"/>
      <c r="AN201" s="933"/>
      <c r="AO201" s="936"/>
      <c r="AP201" s="933"/>
      <c r="AQ201" s="935"/>
      <c r="AR201" s="936"/>
      <c r="AS201" s="935"/>
      <c r="AT201" s="939"/>
      <c r="AU201" s="933"/>
      <c r="AV201" s="940"/>
      <c r="AW201" s="335">
        <f>(AW184/12)/AW190</f>
        <v>1.4220999999999999</v>
      </c>
      <c r="AX201" s="939"/>
      <c r="AY201" s="939"/>
      <c r="AZ201" s="941"/>
      <c r="BA201" s="941"/>
      <c r="BB201" s="941"/>
      <c r="BC201" s="934"/>
      <c r="BD201" s="941"/>
      <c r="BE201" s="941"/>
      <c r="BF201" s="941"/>
      <c r="BG201" s="942"/>
      <c r="BH201" s="941"/>
      <c r="BI201" s="941"/>
      <c r="BJ201" s="941"/>
      <c r="BK201" s="943"/>
      <c r="BL201" s="943"/>
      <c r="BM201" s="943"/>
      <c r="BN201" s="943"/>
      <c r="BO201" s="943"/>
      <c r="BP201" s="944"/>
      <c r="BQ201" s="943"/>
      <c r="BR201" s="943"/>
      <c r="BS201" s="943"/>
      <c r="BU201" s="945"/>
      <c r="BV201" s="946"/>
      <c r="BW201" s="947"/>
      <c r="BX201" s="945"/>
      <c r="BY201" s="947"/>
      <c r="BZ201" s="946"/>
      <c r="CA201" s="947"/>
      <c r="CB201" s="946"/>
      <c r="CC201" s="947"/>
      <c r="CD201" s="947"/>
      <c r="CE201" s="947"/>
      <c r="CF201" s="948"/>
      <c r="CG201" s="949"/>
      <c r="CH201" s="949"/>
      <c r="CI201" s="950"/>
      <c r="CJ201" s="951"/>
      <c r="CK201" s="951"/>
      <c r="CL201" s="952"/>
      <c r="CM201" s="951"/>
      <c r="CN201" s="951"/>
      <c r="CO201" s="952"/>
      <c r="CP201" s="951"/>
      <c r="CQ201" s="951"/>
      <c r="CR201" s="952"/>
      <c r="CS201" s="946"/>
      <c r="CT201" s="953"/>
      <c r="CU201" s="953"/>
      <c r="CV201" s="953"/>
      <c r="CX201" s="951"/>
      <c r="CY201" s="951"/>
      <c r="CZ201" s="952"/>
      <c r="DB201" s="954"/>
      <c r="DC201" s="954"/>
      <c r="DD201" s="921"/>
      <c r="DE201" s="954"/>
      <c r="DF201" s="954"/>
      <c r="DG201" s="921"/>
      <c r="DH201" s="954"/>
      <c r="DI201" s="954"/>
      <c r="DJ201" s="921"/>
      <c r="DK201" s="954"/>
      <c r="DL201" s="954"/>
      <c r="DM201" s="921"/>
      <c r="DN201" s="954"/>
      <c r="DO201" s="954"/>
      <c r="DP201" s="921"/>
      <c r="DQ201" s="942"/>
      <c r="DR201" s="951"/>
      <c r="DS201" s="951"/>
      <c r="DT201" s="952"/>
      <c r="DV201" s="921"/>
      <c r="DW201" s="921"/>
      <c r="DX201" s="921"/>
      <c r="DY201" s="921"/>
      <c r="DZ201" s="921"/>
      <c r="EA201" s="921"/>
      <c r="EB201" s="921"/>
      <c r="EC201" s="921"/>
      <c r="ED201" s="921"/>
      <c r="EE201" s="921"/>
      <c r="EF201" s="921"/>
      <c r="EG201" s="921"/>
      <c r="EH201" s="921"/>
      <c r="EI201" s="921"/>
      <c r="EJ201" s="921"/>
      <c r="EK201" s="921"/>
      <c r="EL201" s="921"/>
      <c r="EM201" s="921"/>
      <c r="EN201" s="921"/>
      <c r="EO201" s="921"/>
      <c r="EP201" s="921"/>
      <c r="EQ201" s="954"/>
      <c r="ER201" s="954"/>
      <c r="ES201" s="954"/>
      <c r="ET201" s="954"/>
      <c r="EV201" s="942"/>
      <c r="EW201" s="951"/>
      <c r="EX201" s="951"/>
      <c r="EY201" s="952"/>
    </row>
    <row r="202" spans="1:155" s="927" customFormat="1" ht="15.75" x14ac:dyDescent="0.25">
      <c r="A202" s="931"/>
      <c r="B202" s="932"/>
      <c r="C202" s="933"/>
      <c r="D202" s="933"/>
      <c r="E202" s="934"/>
      <c r="F202" s="935"/>
      <c r="G202" s="934"/>
      <c r="H202" s="935"/>
      <c r="I202" s="936"/>
      <c r="J202" s="937"/>
      <c r="K202" s="938"/>
      <c r="L202" s="936"/>
      <c r="M202" s="937"/>
      <c r="N202" s="938"/>
      <c r="O202" s="936"/>
      <c r="P202" s="937"/>
      <c r="Q202" s="938"/>
      <c r="R202" s="936"/>
      <c r="S202" s="937"/>
      <c r="T202" s="938"/>
      <c r="U202" s="936"/>
      <c r="V202" s="937"/>
      <c r="W202" s="938"/>
      <c r="X202" s="936"/>
      <c r="Y202" s="937"/>
      <c r="Z202" s="938"/>
      <c r="AA202" s="936"/>
      <c r="AB202" s="937"/>
      <c r="AC202" s="938"/>
      <c r="AD202" s="936"/>
      <c r="AE202" s="937"/>
      <c r="AF202" s="938"/>
      <c r="AG202" s="936"/>
      <c r="AH202" s="937"/>
      <c r="AI202" s="938"/>
      <c r="AJ202" s="936"/>
      <c r="AK202" s="937"/>
      <c r="AL202" s="938"/>
      <c r="AM202" s="936"/>
      <c r="AN202" s="933"/>
      <c r="AO202" s="936"/>
      <c r="AP202" s="933"/>
      <c r="AQ202" s="935"/>
      <c r="AR202" s="936"/>
      <c r="AS202" s="935"/>
      <c r="AT202" s="939"/>
      <c r="AU202" s="933"/>
      <c r="AV202" s="940"/>
      <c r="AW202" s="939"/>
      <c r="AX202" s="939"/>
      <c r="AY202" s="939"/>
      <c r="AZ202" s="941"/>
      <c r="BA202" s="941"/>
      <c r="BB202" s="941"/>
      <c r="BC202" s="934"/>
      <c r="BD202" s="941"/>
      <c r="BE202" s="941"/>
      <c r="BF202" s="941"/>
      <c r="BG202" s="942"/>
      <c r="BH202" s="941"/>
      <c r="BI202" s="941"/>
      <c r="BJ202" s="941"/>
      <c r="BK202" s="943"/>
      <c r="BL202" s="943"/>
      <c r="BM202" s="943"/>
      <c r="BN202" s="943"/>
      <c r="BO202" s="943"/>
      <c r="BP202" s="944"/>
      <c r="BQ202" s="943"/>
      <c r="BR202" s="943"/>
      <c r="BS202" s="943"/>
      <c r="BU202" s="945"/>
      <c r="BV202" s="946"/>
      <c r="BW202" s="947"/>
      <c r="BX202" s="945"/>
      <c r="BY202" s="947"/>
      <c r="BZ202" s="946"/>
      <c r="CA202" s="947"/>
      <c r="CB202" s="946"/>
      <c r="CC202" s="947"/>
      <c r="CD202" s="947"/>
      <c r="CE202" s="947"/>
      <c r="CF202" s="948"/>
      <c r="CG202" s="949"/>
      <c r="CH202" s="949"/>
      <c r="CI202" s="950"/>
      <c r="CJ202" s="951"/>
      <c r="CK202" s="951"/>
      <c r="CL202" s="952"/>
      <c r="CM202" s="951"/>
      <c r="CN202" s="951"/>
      <c r="CO202" s="952"/>
      <c r="CP202" s="951"/>
      <c r="CQ202" s="951"/>
      <c r="CR202" s="952"/>
      <c r="CS202" s="946"/>
      <c r="CT202" s="953"/>
      <c r="CU202" s="953"/>
      <c r="CV202" s="953"/>
      <c r="CX202" s="951"/>
      <c r="CY202" s="951"/>
      <c r="CZ202" s="952"/>
      <c r="DB202" s="954"/>
      <c r="DC202" s="954"/>
      <c r="DD202" s="921"/>
      <c r="DE202" s="954"/>
      <c r="DF202" s="954"/>
      <c r="DG202" s="921"/>
      <c r="DH202" s="954"/>
      <c r="DI202" s="954"/>
      <c r="DJ202" s="921"/>
      <c r="DK202" s="954"/>
      <c r="DL202" s="954"/>
      <c r="DM202" s="921"/>
      <c r="DN202" s="954"/>
      <c r="DO202" s="954"/>
      <c r="DP202" s="921"/>
      <c r="DQ202" s="942"/>
      <c r="DR202" s="951"/>
      <c r="DS202" s="951"/>
      <c r="DT202" s="952"/>
      <c r="DV202" s="921"/>
      <c r="DW202" s="921"/>
      <c r="DX202" s="921"/>
      <c r="DY202" s="921"/>
      <c r="DZ202" s="921"/>
      <c r="EA202" s="921"/>
      <c r="EB202" s="921"/>
      <c r="EC202" s="921"/>
      <c r="ED202" s="921"/>
      <c r="EE202" s="921"/>
      <c r="EF202" s="921"/>
      <c r="EG202" s="921"/>
      <c r="EH202" s="921"/>
      <c r="EI202" s="921"/>
      <c r="EJ202" s="921"/>
      <c r="EK202" s="921"/>
      <c r="EL202" s="921"/>
      <c r="EM202" s="921"/>
      <c r="EN202" s="921"/>
      <c r="EO202" s="921"/>
      <c r="EP202" s="921"/>
      <c r="EQ202" s="954"/>
      <c r="ER202" s="954"/>
      <c r="ES202" s="954"/>
      <c r="ET202" s="954"/>
      <c r="EV202" s="942"/>
      <c r="EW202" s="951"/>
      <c r="EX202" s="951"/>
      <c r="EY202" s="952"/>
    </row>
    <row r="203" spans="1:155" s="927" customFormat="1" ht="15.75" x14ac:dyDescent="0.25">
      <c r="A203" s="912" t="s">
        <v>62</v>
      </c>
      <c r="B203" s="913" t="s">
        <v>1378</v>
      </c>
      <c r="C203" s="914">
        <v>0.5</v>
      </c>
      <c r="D203" s="914">
        <v>7755</v>
      </c>
      <c r="E203" s="915">
        <v>1.0549999999999999</v>
      </c>
      <c r="F203" s="916">
        <f t="shared" si="81"/>
        <v>8182</v>
      </c>
      <c r="G203" s="915">
        <v>1.01</v>
      </c>
      <c r="H203" s="916">
        <f t="shared" si="82"/>
        <v>8264</v>
      </c>
      <c r="I203" s="917">
        <f t="shared" si="83"/>
        <v>4132</v>
      </c>
      <c r="J203" s="918">
        <f t="shared" si="84"/>
        <v>0</v>
      </c>
      <c r="K203" s="919"/>
      <c r="L203" s="917">
        <f t="shared" si="85"/>
        <v>0</v>
      </c>
      <c r="M203" s="918">
        <f t="shared" si="86"/>
        <v>0</v>
      </c>
      <c r="N203" s="919"/>
      <c r="O203" s="917">
        <f t="shared" si="87"/>
        <v>0</v>
      </c>
      <c r="P203" s="918">
        <f t="shared" si="88"/>
        <v>0</v>
      </c>
      <c r="Q203" s="919"/>
      <c r="R203" s="917">
        <f t="shared" si="89"/>
        <v>0</v>
      </c>
      <c r="S203" s="918">
        <f t="shared" si="90"/>
        <v>0</v>
      </c>
      <c r="T203" s="919"/>
      <c r="U203" s="917">
        <f t="shared" si="91"/>
        <v>0</v>
      </c>
      <c r="V203" s="918">
        <f t="shared" si="92"/>
        <v>0</v>
      </c>
      <c r="W203" s="919"/>
      <c r="X203" s="917">
        <f t="shared" si="93"/>
        <v>0</v>
      </c>
      <c r="Y203" s="918">
        <f t="shared" si="94"/>
        <v>0</v>
      </c>
      <c r="Z203" s="919"/>
      <c r="AA203" s="917">
        <f t="shared" si="95"/>
        <v>0</v>
      </c>
      <c r="AB203" s="918">
        <f t="shared" si="96"/>
        <v>0.3</v>
      </c>
      <c r="AC203" s="919">
        <v>1163.25</v>
      </c>
      <c r="AD203" s="917">
        <f t="shared" si="97"/>
        <v>1239.5999999999999</v>
      </c>
      <c r="AE203" s="918">
        <f t="shared" si="98"/>
        <v>0</v>
      </c>
      <c r="AF203" s="919"/>
      <c r="AG203" s="917">
        <f t="shared" si="99"/>
        <v>0</v>
      </c>
      <c r="AH203" s="918">
        <f t="shared" si="100"/>
        <v>0</v>
      </c>
      <c r="AI203" s="919"/>
      <c r="AJ203" s="917">
        <f t="shared" si="101"/>
        <v>0</v>
      </c>
      <c r="AK203" s="918">
        <f t="shared" si="102"/>
        <v>0</v>
      </c>
      <c r="AL203" s="919"/>
      <c r="AM203" s="917">
        <f t="shared" si="103"/>
        <v>0</v>
      </c>
      <c r="AN203" s="920">
        <v>19242</v>
      </c>
      <c r="AO203" s="917">
        <f t="shared" si="104"/>
        <v>4249.3999999999996</v>
      </c>
      <c r="AP203" s="920"/>
      <c r="AQ203" s="916">
        <f t="shared" si="105"/>
        <v>0</v>
      </c>
      <c r="AR203" s="917">
        <f t="shared" si="106"/>
        <v>9621</v>
      </c>
      <c r="AS203" s="916">
        <v>12</v>
      </c>
      <c r="AT203" s="921">
        <f t="shared" si="107"/>
        <v>115452</v>
      </c>
      <c r="AU203" s="920"/>
      <c r="AV203" s="922">
        <f t="shared" si="108"/>
        <v>1154.52</v>
      </c>
      <c r="AW203" s="921">
        <f t="shared" si="109"/>
        <v>116606.52</v>
      </c>
      <c r="AX203" s="921">
        <f t="shared" si="110"/>
        <v>35215.17</v>
      </c>
      <c r="AY203" s="921">
        <f t="shared" si="111"/>
        <v>151821.69</v>
      </c>
      <c r="AZ203" s="923">
        <f t="shared" si="112"/>
        <v>116.6</v>
      </c>
      <c r="BA203" s="923">
        <f t="shared" si="113"/>
        <v>35.200000000000003</v>
      </c>
      <c r="BB203" s="923">
        <f t="shared" si="114"/>
        <v>151.80000000000001</v>
      </c>
      <c r="BC203" s="915">
        <v>0.95</v>
      </c>
      <c r="BD203" s="923">
        <f t="shared" si="115"/>
        <v>110.8</v>
      </c>
      <c r="BE203" s="923">
        <f t="shared" si="116"/>
        <v>33.5</v>
      </c>
      <c r="BF203" s="923">
        <f t="shared" si="117"/>
        <v>144.30000000000001</v>
      </c>
      <c r="BG203" s="924">
        <f>'[3]свод (2024)'!$B$116</f>
        <v>0.99758349999999996</v>
      </c>
      <c r="BH203" s="923">
        <f t="shared" si="118"/>
        <v>110.5</v>
      </c>
      <c r="BI203" s="923">
        <f t="shared" si="119"/>
        <v>33.4</v>
      </c>
      <c r="BJ203" s="923">
        <f t="shared" si="120"/>
        <v>143.9</v>
      </c>
      <c r="BK203" s="925">
        <f t="shared" si="121"/>
        <v>-6.1</v>
      </c>
      <c r="BL203" s="925">
        <f t="shared" si="121"/>
        <v>-1.8</v>
      </c>
      <c r="BM203" s="925">
        <f t="shared" si="122"/>
        <v>-7.9</v>
      </c>
      <c r="BN203" s="925">
        <f t="shared" si="123"/>
        <v>0</v>
      </c>
      <c r="BO203" s="925">
        <f t="shared" si="124"/>
        <v>0</v>
      </c>
      <c r="BP203" s="926"/>
      <c r="BQ203" s="925">
        <f t="shared" si="125"/>
        <v>110.5</v>
      </c>
      <c r="BR203" s="925">
        <f t="shared" si="125"/>
        <v>33.4</v>
      </c>
      <c r="BS203" s="925">
        <f t="shared" si="126"/>
        <v>143.9</v>
      </c>
      <c r="BU203" s="928"/>
      <c r="BV203" s="917"/>
      <c r="BW203" s="928"/>
      <c r="BX203" s="928"/>
      <c r="BY203" s="928"/>
      <c r="BZ203" s="917"/>
      <c r="CA203" s="928"/>
      <c r="CB203" s="917"/>
      <c r="CC203" s="928"/>
      <c r="CD203" s="928"/>
      <c r="CE203" s="928"/>
      <c r="CF203" s="929"/>
      <c r="CG203" s="928"/>
      <c r="CH203" s="928"/>
      <c r="CI203" s="928"/>
      <c r="CJ203" s="925"/>
      <c r="CK203" s="925"/>
      <c r="CL203" s="925"/>
      <c r="CM203" s="925"/>
      <c r="CN203" s="925"/>
      <c r="CO203" s="925"/>
      <c r="CP203" s="925"/>
      <c r="CQ203" s="925"/>
      <c r="CR203" s="925"/>
      <c r="CS203" s="917"/>
      <c r="CT203" s="928"/>
      <c r="CU203" s="928"/>
      <c r="CV203" s="928"/>
      <c r="CX203" s="925"/>
      <c r="CY203" s="925"/>
      <c r="CZ203" s="925"/>
      <c r="DB203" s="925"/>
      <c r="DC203" s="925"/>
      <c r="DD203" s="925"/>
      <c r="DE203" s="925"/>
      <c r="DF203" s="925"/>
      <c r="DG203" s="925"/>
      <c r="DH203" s="925"/>
      <c r="DI203" s="925"/>
      <c r="DJ203" s="925"/>
      <c r="DK203" s="925"/>
      <c r="DL203" s="925"/>
      <c r="DM203" s="925"/>
      <c r="DN203" s="925"/>
      <c r="DO203" s="925"/>
      <c r="DP203" s="925"/>
      <c r="DQ203" s="924"/>
      <c r="DR203" s="925"/>
      <c r="DS203" s="925"/>
      <c r="DT203" s="925"/>
      <c r="DV203" s="925"/>
      <c r="DW203" s="925"/>
      <c r="DX203" s="925"/>
      <c r="DY203" s="925"/>
      <c r="DZ203" s="925"/>
      <c r="EA203" s="925"/>
      <c r="EB203" s="925"/>
      <c r="EC203" s="925"/>
      <c r="ED203" s="925"/>
      <c r="EE203" s="925"/>
      <c r="EF203" s="925"/>
      <c r="EG203" s="925"/>
      <c r="EH203" s="925"/>
      <c r="EI203" s="925"/>
      <c r="EJ203" s="925"/>
      <c r="EK203" s="925"/>
      <c r="EL203" s="925"/>
      <c r="EM203" s="925"/>
      <c r="EN203" s="925"/>
      <c r="EO203" s="925"/>
      <c r="EP203" s="925"/>
      <c r="EQ203" s="925"/>
      <c r="ER203" s="925"/>
      <c r="ES203" s="925"/>
      <c r="ET203" s="925"/>
      <c r="EV203" s="924"/>
      <c r="EW203" s="925"/>
      <c r="EX203" s="925"/>
      <c r="EY203" s="925"/>
    </row>
    <row r="204" spans="1:155" s="927" customFormat="1" ht="15.75" x14ac:dyDescent="0.25">
      <c r="A204" s="912" t="s">
        <v>62</v>
      </c>
      <c r="B204" s="913" t="s">
        <v>32</v>
      </c>
      <c r="C204" s="914">
        <v>1</v>
      </c>
      <c r="D204" s="914">
        <v>22544</v>
      </c>
      <c r="E204" s="915">
        <v>1.0549999999999999</v>
      </c>
      <c r="F204" s="916">
        <f t="shared" si="81"/>
        <v>23784</v>
      </c>
      <c r="G204" s="915">
        <v>1.01</v>
      </c>
      <c r="H204" s="916">
        <f t="shared" si="82"/>
        <v>24022</v>
      </c>
      <c r="I204" s="917">
        <f t="shared" si="83"/>
        <v>24022</v>
      </c>
      <c r="J204" s="918">
        <f t="shared" si="84"/>
        <v>0</v>
      </c>
      <c r="K204" s="919"/>
      <c r="L204" s="917">
        <f t="shared" si="85"/>
        <v>0</v>
      </c>
      <c r="M204" s="918">
        <f t="shared" si="86"/>
        <v>0</v>
      </c>
      <c r="N204" s="919"/>
      <c r="O204" s="917">
        <f t="shared" si="87"/>
        <v>0</v>
      </c>
      <c r="P204" s="918">
        <f t="shared" si="88"/>
        <v>0</v>
      </c>
      <c r="Q204" s="919"/>
      <c r="R204" s="917">
        <f t="shared" si="89"/>
        <v>0</v>
      </c>
      <c r="S204" s="918">
        <f t="shared" si="90"/>
        <v>0</v>
      </c>
      <c r="T204" s="919"/>
      <c r="U204" s="917">
        <f t="shared" si="91"/>
        <v>0</v>
      </c>
      <c r="V204" s="918">
        <f t="shared" si="92"/>
        <v>0</v>
      </c>
      <c r="W204" s="919"/>
      <c r="X204" s="917">
        <f t="shared" si="93"/>
        <v>0</v>
      </c>
      <c r="Y204" s="918">
        <f t="shared" si="94"/>
        <v>7.4999999999999997E-2</v>
      </c>
      <c r="Z204" s="919">
        <v>1690.8</v>
      </c>
      <c r="AA204" s="917">
        <f t="shared" si="95"/>
        <v>1801.65</v>
      </c>
      <c r="AB204" s="918">
        <f t="shared" si="96"/>
        <v>0.2</v>
      </c>
      <c r="AC204" s="919">
        <v>4508.8</v>
      </c>
      <c r="AD204" s="917">
        <f t="shared" si="97"/>
        <v>4804.3999999999996</v>
      </c>
      <c r="AE204" s="918">
        <f t="shared" si="98"/>
        <v>0</v>
      </c>
      <c r="AF204" s="919"/>
      <c r="AG204" s="917">
        <f t="shared" si="99"/>
        <v>0</v>
      </c>
      <c r="AH204" s="918">
        <f t="shared" si="100"/>
        <v>0</v>
      </c>
      <c r="AI204" s="919"/>
      <c r="AJ204" s="917">
        <f t="shared" si="101"/>
        <v>0</v>
      </c>
      <c r="AK204" s="918">
        <f t="shared" si="102"/>
        <v>0</v>
      </c>
      <c r="AL204" s="919"/>
      <c r="AM204" s="917">
        <f t="shared" si="103"/>
        <v>0</v>
      </c>
      <c r="AN204" s="920">
        <v>19242</v>
      </c>
      <c r="AO204" s="917">
        <f t="shared" si="104"/>
        <v>0</v>
      </c>
      <c r="AP204" s="920"/>
      <c r="AQ204" s="916">
        <f t="shared" si="105"/>
        <v>0</v>
      </c>
      <c r="AR204" s="917">
        <f t="shared" si="106"/>
        <v>30628.05</v>
      </c>
      <c r="AS204" s="916">
        <v>12</v>
      </c>
      <c r="AT204" s="921">
        <f t="shared" si="107"/>
        <v>367536.6</v>
      </c>
      <c r="AU204" s="920"/>
      <c r="AV204" s="922">
        <f t="shared" si="108"/>
        <v>3675.37</v>
      </c>
      <c r="AW204" s="921">
        <f t="shared" si="109"/>
        <v>371211.97</v>
      </c>
      <c r="AX204" s="921">
        <f t="shared" si="110"/>
        <v>112106.01</v>
      </c>
      <c r="AY204" s="921">
        <f t="shared" si="111"/>
        <v>483317.98</v>
      </c>
      <c r="AZ204" s="923">
        <f t="shared" si="112"/>
        <v>371.2</v>
      </c>
      <c r="BA204" s="923">
        <f t="shared" si="113"/>
        <v>112.1</v>
      </c>
      <c r="BB204" s="923">
        <f t="shared" si="114"/>
        <v>483.3</v>
      </c>
      <c r="BC204" s="915">
        <v>0.95</v>
      </c>
      <c r="BD204" s="923">
        <f t="shared" si="115"/>
        <v>352.6</v>
      </c>
      <c r="BE204" s="923">
        <f t="shared" si="116"/>
        <v>106.5</v>
      </c>
      <c r="BF204" s="923">
        <f t="shared" si="117"/>
        <v>459.1</v>
      </c>
      <c r="BG204" s="924">
        <f>'[3]свод (2024)'!$B$116</f>
        <v>0.99758349999999996</v>
      </c>
      <c r="BH204" s="923">
        <f t="shared" si="118"/>
        <v>351.7</v>
      </c>
      <c r="BI204" s="923">
        <f t="shared" si="119"/>
        <v>106.2</v>
      </c>
      <c r="BJ204" s="923">
        <f t="shared" si="120"/>
        <v>457.9</v>
      </c>
      <c r="BK204" s="925">
        <f t="shared" si="121"/>
        <v>-19.5</v>
      </c>
      <c r="BL204" s="925">
        <f t="shared" si="121"/>
        <v>-5.9</v>
      </c>
      <c r="BM204" s="925">
        <f t="shared" si="122"/>
        <v>-25.4</v>
      </c>
      <c r="BN204" s="925">
        <f t="shared" si="123"/>
        <v>0</v>
      </c>
      <c r="BO204" s="925">
        <f t="shared" si="124"/>
        <v>0</v>
      </c>
      <c r="BP204" s="926"/>
      <c r="BQ204" s="925">
        <f t="shared" si="125"/>
        <v>351.7</v>
      </c>
      <c r="BR204" s="925">
        <f t="shared" si="125"/>
        <v>106.2</v>
      </c>
      <c r="BS204" s="925">
        <f t="shared" si="126"/>
        <v>457.9</v>
      </c>
      <c r="BU204" s="928"/>
      <c r="BV204" s="917"/>
      <c r="BW204" s="928"/>
      <c r="BX204" s="928"/>
      <c r="BY204" s="928"/>
      <c r="BZ204" s="917"/>
      <c r="CA204" s="928"/>
      <c r="CB204" s="917"/>
      <c r="CC204" s="928"/>
      <c r="CD204" s="928"/>
      <c r="CE204" s="928"/>
      <c r="CF204" s="929"/>
      <c r="CG204" s="928"/>
      <c r="CH204" s="928"/>
      <c r="CI204" s="928"/>
      <c r="CJ204" s="925"/>
      <c r="CK204" s="925"/>
      <c r="CL204" s="925"/>
      <c r="CM204" s="925"/>
      <c r="CN204" s="925"/>
      <c r="CO204" s="925"/>
      <c r="CP204" s="925"/>
      <c r="CQ204" s="925"/>
      <c r="CR204" s="925"/>
      <c r="CS204" s="917"/>
      <c r="CT204" s="928"/>
      <c r="CU204" s="928"/>
      <c r="CV204" s="928"/>
      <c r="CX204" s="925"/>
      <c r="CY204" s="925"/>
      <c r="CZ204" s="925"/>
      <c r="DB204" s="925"/>
      <c r="DC204" s="925"/>
      <c r="DD204" s="925"/>
      <c r="DE204" s="925"/>
      <c r="DF204" s="925"/>
      <c r="DG204" s="925"/>
      <c r="DH204" s="925"/>
      <c r="DI204" s="925"/>
      <c r="DJ204" s="925"/>
      <c r="DK204" s="925"/>
      <c r="DL204" s="925"/>
      <c r="DM204" s="925"/>
      <c r="DN204" s="925"/>
      <c r="DO204" s="925"/>
      <c r="DP204" s="925"/>
      <c r="DQ204" s="924"/>
      <c r="DR204" s="925"/>
      <c r="DS204" s="925"/>
      <c r="DT204" s="925"/>
      <c r="DV204" s="925"/>
      <c r="DW204" s="925"/>
      <c r="DX204" s="925"/>
      <c r="DY204" s="925"/>
      <c r="DZ204" s="925"/>
      <c r="EA204" s="925"/>
      <c r="EB204" s="925"/>
      <c r="EC204" s="925"/>
      <c r="ED204" s="925"/>
      <c r="EE204" s="925"/>
      <c r="EF204" s="925"/>
      <c r="EG204" s="925"/>
      <c r="EH204" s="925"/>
      <c r="EI204" s="925"/>
      <c r="EJ204" s="925"/>
      <c r="EK204" s="925"/>
      <c r="EL204" s="925"/>
      <c r="EM204" s="925"/>
      <c r="EN204" s="925"/>
      <c r="EO204" s="925"/>
      <c r="EP204" s="925"/>
      <c r="EQ204" s="925"/>
      <c r="ER204" s="925"/>
      <c r="ES204" s="925"/>
      <c r="ET204" s="925"/>
      <c r="EV204" s="924"/>
      <c r="EW204" s="925"/>
      <c r="EX204" s="925"/>
      <c r="EY204" s="925"/>
    </row>
    <row r="205" spans="1:155" s="927" customFormat="1" ht="15.75" x14ac:dyDescent="0.25">
      <c r="A205" s="912" t="s">
        <v>62</v>
      </c>
      <c r="B205" s="913" t="s">
        <v>1379</v>
      </c>
      <c r="C205" s="914">
        <v>0.5</v>
      </c>
      <c r="D205" s="914">
        <v>4336</v>
      </c>
      <c r="E205" s="915">
        <v>1.0549999999999999</v>
      </c>
      <c r="F205" s="916">
        <f t="shared" si="81"/>
        <v>4575</v>
      </c>
      <c r="G205" s="915">
        <v>1.01</v>
      </c>
      <c r="H205" s="916">
        <f t="shared" si="82"/>
        <v>4621</v>
      </c>
      <c r="I205" s="917">
        <f t="shared" si="83"/>
        <v>2310.5</v>
      </c>
      <c r="J205" s="918">
        <f t="shared" si="84"/>
        <v>0</v>
      </c>
      <c r="K205" s="919"/>
      <c r="L205" s="917">
        <f t="shared" si="85"/>
        <v>0</v>
      </c>
      <c r="M205" s="918">
        <f t="shared" si="86"/>
        <v>0</v>
      </c>
      <c r="N205" s="919"/>
      <c r="O205" s="917">
        <f t="shared" si="87"/>
        <v>0</v>
      </c>
      <c r="P205" s="918">
        <f t="shared" si="88"/>
        <v>0</v>
      </c>
      <c r="Q205" s="919"/>
      <c r="R205" s="917">
        <f t="shared" si="89"/>
        <v>0</v>
      </c>
      <c r="S205" s="918">
        <f t="shared" si="90"/>
        <v>0</v>
      </c>
      <c r="T205" s="919"/>
      <c r="U205" s="917">
        <f t="shared" si="91"/>
        <v>0</v>
      </c>
      <c r="V205" s="918">
        <f t="shared" si="92"/>
        <v>0</v>
      </c>
      <c r="W205" s="919"/>
      <c r="X205" s="917">
        <f t="shared" si="93"/>
        <v>0</v>
      </c>
      <c r="Y205" s="918">
        <f t="shared" si="94"/>
        <v>0</v>
      </c>
      <c r="Z205" s="919"/>
      <c r="AA205" s="917">
        <f t="shared" si="95"/>
        <v>0</v>
      </c>
      <c r="AB205" s="918">
        <f t="shared" si="96"/>
        <v>0</v>
      </c>
      <c r="AC205" s="919"/>
      <c r="AD205" s="917">
        <f t="shared" si="97"/>
        <v>0</v>
      </c>
      <c r="AE205" s="918">
        <f t="shared" si="98"/>
        <v>0</v>
      </c>
      <c r="AF205" s="919"/>
      <c r="AG205" s="917">
        <f t="shared" si="99"/>
        <v>0</v>
      </c>
      <c r="AH205" s="918">
        <f t="shared" si="100"/>
        <v>0</v>
      </c>
      <c r="AI205" s="919"/>
      <c r="AJ205" s="917">
        <f t="shared" si="101"/>
        <v>0</v>
      </c>
      <c r="AK205" s="918">
        <f t="shared" si="102"/>
        <v>0</v>
      </c>
      <c r="AL205" s="919"/>
      <c r="AM205" s="917">
        <f t="shared" si="103"/>
        <v>0</v>
      </c>
      <c r="AN205" s="920">
        <v>19242</v>
      </c>
      <c r="AO205" s="917">
        <f t="shared" si="104"/>
        <v>7310.5</v>
      </c>
      <c r="AP205" s="920"/>
      <c r="AQ205" s="916">
        <f t="shared" si="105"/>
        <v>0</v>
      </c>
      <c r="AR205" s="917">
        <f t="shared" si="106"/>
        <v>9621</v>
      </c>
      <c r="AS205" s="916">
        <v>12</v>
      </c>
      <c r="AT205" s="921">
        <f t="shared" si="107"/>
        <v>115452</v>
      </c>
      <c r="AU205" s="920">
        <f>AT205*0.085</f>
        <v>9813.42</v>
      </c>
      <c r="AV205" s="922">
        <f t="shared" si="108"/>
        <v>1154.52</v>
      </c>
      <c r="AW205" s="921">
        <f t="shared" si="109"/>
        <v>126419.94</v>
      </c>
      <c r="AX205" s="921">
        <f t="shared" si="110"/>
        <v>38178.82</v>
      </c>
      <c r="AY205" s="921">
        <f t="shared" si="111"/>
        <v>164598.76</v>
      </c>
      <c r="AZ205" s="923">
        <f t="shared" si="112"/>
        <v>126.4</v>
      </c>
      <c r="BA205" s="923">
        <f t="shared" si="113"/>
        <v>38.200000000000003</v>
      </c>
      <c r="BB205" s="923">
        <f t="shared" si="114"/>
        <v>164.6</v>
      </c>
      <c r="BC205" s="915">
        <v>0.95</v>
      </c>
      <c r="BD205" s="923">
        <f t="shared" si="115"/>
        <v>120.1</v>
      </c>
      <c r="BE205" s="923">
        <f t="shared" si="116"/>
        <v>36.299999999999997</v>
      </c>
      <c r="BF205" s="923">
        <f t="shared" si="117"/>
        <v>156.4</v>
      </c>
      <c r="BG205" s="924">
        <f>'[3]свод (2024)'!$B$116</f>
        <v>0.99758349999999996</v>
      </c>
      <c r="BH205" s="923">
        <f t="shared" si="118"/>
        <v>119.8</v>
      </c>
      <c r="BI205" s="923">
        <f t="shared" si="119"/>
        <v>36.200000000000003</v>
      </c>
      <c r="BJ205" s="923">
        <f t="shared" si="120"/>
        <v>156</v>
      </c>
      <c r="BK205" s="925">
        <f t="shared" si="121"/>
        <v>-6.6</v>
      </c>
      <c r="BL205" s="925">
        <f t="shared" si="121"/>
        <v>-2</v>
      </c>
      <c r="BM205" s="925">
        <f t="shared" si="122"/>
        <v>-8.6</v>
      </c>
      <c r="BN205" s="925">
        <f t="shared" si="123"/>
        <v>0</v>
      </c>
      <c r="BO205" s="925">
        <f t="shared" si="124"/>
        <v>0</v>
      </c>
      <c r="BP205" s="926"/>
      <c r="BQ205" s="925">
        <f t="shared" si="125"/>
        <v>119.8</v>
      </c>
      <c r="BR205" s="925">
        <f t="shared" si="125"/>
        <v>36.200000000000003</v>
      </c>
      <c r="BS205" s="925">
        <f t="shared" si="126"/>
        <v>156</v>
      </c>
      <c r="BU205" s="928"/>
      <c r="BV205" s="917"/>
      <c r="BW205" s="928"/>
      <c r="BX205" s="928"/>
      <c r="BY205" s="928"/>
      <c r="BZ205" s="917"/>
      <c r="CA205" s="928"/>
      <c r="CB205" s="917"/>
      <c r="CC205" s="928"/>
      <c r="CD205" s="928"/>
      <c r="CE205" s="928"/>
      <c r="CF205" s="929"/>
      <c r="CG205" s="928"/>
      <c r="CH205" s="928"/>
      <c r="CI205" s="928"/>
      <c r="CJ205" s="925"/>
      <c r="CK205" s="925"/>
      <c r="CL205" s="925"/>
      <c r="CM205" s="925"/>
      <c r="CN205" s="925"/>
      <c r="CO205" s="925"/>
      <c r="CP205" s="925"/>
      <c r="CQ205" s="925"/>
      <c r="CR205" s="925"/>
      <c r="CS205" s="917"/>
      <c r="CT205" s="928"/>
      <c r="CU205" s="928"/>
      <c r="CV205" s="928"/>
      <c r="CX205" s="925"/>
      <c r="CY205" s="925"/>
      <c r="CZ205" s="925"/>
      <c r="DB205" s="925"/>
      <c r="DC205" s="925"/>
      <c r="DD205" s="925"/>
      <c r="DE205" s="925"/>
      <c r="DF205" s="925"/>
      <c r="DG205" s="925"/>
      <c r="DH205" s="925"/>
      <c r="DI205" s="925"/>
      <c r="DJ205" s="925"/>
      <c r="DK205" s="925"/>
      <c r="DL205" s="925"/>
      <c r="DM205" s="925"/>
      <c r="DN205" s="925"/>
      <c r="DO205" s="925"/>
      <c r="DP205" s="925"/>
      <c r="DQ205" s="924"/>
      <c r="DR205" s="925"/>
      <c r="DS205" s="925"/>
      <c r="DT205" s="925"/>
      <c r="DV205" s="925"/>
      <c r="DW205" s="925"/>
      <c r="DX205" s="925"/>
      <c r="DY205" s="925"/>
      <c r="DZ205" s="925"/>
      <c r="EA205" s="925"/>
      <c r="EB205" s="925"/>
      <c r="EC205" s="925"/>
      <c r="ED205" s="925"/>
      <c r="EE205" s="925"/>
      <c r="EF205" s="925"/>
      <c r="EG205" s="925"/>
      <c r="EH205" s="925"/>
      <c r="EI205" s="925"/>
      <c r="EJ205" s="925"/>
      <c r="EK205" s="925"/>
      <c r="EL205" s="925"/>
      <c r="EM205" s="925"/>
      <c r="EN205" s="925"/>
      <c r="EO205" s="925"/>
      <c r="EP205" s="925"/>
      <c r="EQ205" s="925"/>
      <c r="ER205" s="925"/>
      <c r="ES205" s="925"/>
      <c r="ET205" s="925"/>
      <c r="EV205" s="924"/>
      <c r="EW205" s="925"/>
      <c r="EX205" s="925"/>
      <c r="EY205" s="925"/>
    </row>
    <row r="206" spans="1:155" s="927" customFormat="1" ht="15.75" x14ac:dyDescent="0.25">
      <c r="A206" s="912" t="s">
        <v>62</v>
      </c>
      <c r="B206" s="913" t="s">
        <v>1380</v>
      </c>
      <c r="C206" s="914">
        <v>1</v>
      </c>
      <c r="D206" s="914">
        <v>25048</v>
      </c>
      <c r="E206" s="915">
        <v>1.0549999999999999</v>
      </c>
      <c r="F206" s="916">
        <f t="shared" si="81"/>
        <v>26426</v>
      </c>
      <c r="G206" s="915">
        <v>1.01</v>
      </c>
      <c r="H206" s="916">
        <f t="shared" si="82"/>
        <v>26691</v>
      </c>
      <c r="I206" s="917">
        <f t="shared" si="83"/>
        <v>26691</v>
      </c>
      <c r="J206" s="918">
        <f t="shared" si="84"/>
        <v>0</v>
      </c>
      <c r="K206" s="919"/>
      <c r="L206" s="917">
        <f t="shared" si="85"/>
        <v>0</v>
      </c>
      <c r="M206" s="918">
        <f t="shared" si="86"/>
        <v>0</v>
      </c>
      <c r="N206" s="919"/>
      <c r="O206" s="917">
        <f t="shared" si="87"/>
        <v>0</v>
      </c>
      <c r="P206" s="918">
        <f t="shared" si="88"/>
        <v>0</v>
      </c>
      <c r="Q206" s="919"/>
      <c r="R206" s="917">
        <f t="shared" si="89"/>
        <v>0</v>
      </c>
      <c r="S206" s="918">
        <f t="shared" si="90"/>
        <v>0</v>
      </c>
      <c r="T206" s="919"/>
      <c r="U206" s="917">
        <f t="shared" si="91"/>
        <v>0</v>
      </c>
      <c r="V206" s="918">
        <f t="shared" si="92"/>
        <v>0</v>
      </c>
      <c r="W206" s="919"/>
      <c r="X206" s="917">
        <f t="shared" si="93"/>
        <v>0</v>
      </c>
      <c r="Y206" s="918">
        <f t="shared" si="94"/>
        <v>0.15</v>
      </c>
      <c r="Z206" s="919">
        <v>3757.2</v>
      </c>
      <c r="AA206" s="917">
        <f t="shared" si="95"/>
        <v>4003.65</v>
      </c>
      <c r="AB206" s="918">
        <f t="shared" si="96"/>
        <v>0.2</v>
      </c>
      <c r="AC206" s="919">
        <v>5009.6000000000004</v>
      </c>
      <c r="AD206" s="917">
        <f t="shared" si="97"/>
        <v>5338.2</v>
      </c>
      <c r="AE206" s="918">
        <f t="shared" si="98"/>
        <v>0</v>
      </c>
      <c r="AF206" s="919"/>
      <c r="AG206" s="917">
        <f t="shared" si="99"/>
        <v>0</v>
      </c>
      <c r="AH206" s="918">
        <f t="shared" si="100"/>
        <v>0</v>
      </c>
      <c r="AI206" s="919"/>
      <c r="AJ206" s="917">
        <f t="shared" si="101"/>
        <v>0</v>
      </c>
      <c r="AK206" s="918">
        <f t="shared" si="102"/>
        <v>0</v>
      </c>
      <c r="AL206" s="919"/>
      <c r="AM206" s="917">
        <f t="shared" si="103"/>
        <v>0</v>
      </c>
      <c r="AN206" s="920">
        <v>19242</v>
      </c>
      <c r="AO206" s="917">
        <f t="shared" si="104"/>
        <v>0</v>
      </c>
      <c r="AP206" s="920"/>
      <c r="AQ206" s="916">
        <f t="shared" si="105"/>
        <v>0</v>
      </c>
      <c r="AR206" s="917">
        <f t="shared" si="106"/>
        <v>36032.85</v>
      </c>
      <c r="AS206" s="916">
        <v>12</v>
      </c>
      <c r="AT206" s="921">
        <f t="shared" si="107"/>
        <v>432394.2</v>
      </c>
      <c r="AU206" s="920"/>
      <c r="AV206" s="922">
        <f t="shared" si="108"/>
        <v>4323.9399999999996</v>
      </c>
      <c r="AW206" s="921">
        <f t="shared" si="109"/>
        <v>436718.14</v>
      </c>
      <c r="AX206" s="921">
        <f t="shared" si="110"/>
        <v>131888.88</v>
      </c>
      <c r="AY206" s="921">
        <f t="shared" si="111"/>
        <v>568607.02</v>
      </c>
      <c r="AZ206" s="923">
        <f t="shared" si="112"/>
        <v>436.7</v>
      </c>
      <c r="BA206" s="923">
        <f t="shared" si="113"/>
        <v>131.9</v>
      </c>
      <c r="BB206" s="923">
        <f t="shared" si="114"/>
        <v>568.6</v>
      </c>
      <c r="BC206" s="915">
        <v>0.95</v>
      </c>
      <c r="BD206" s="923">
        <f t="shared" si="115"/>
        <v>414.9</v>
      </c>
      <c r="BE206" s="923">
        <f t="shared" si="116"/>
        <v>125.3</v>
      </c>
      <c r="BF206" s="923">
        <f t="shared" si="117"/>
        <v>540.20000000000005</v>
      </c>
      <c r="BG206" s="924">
        <f>'[3]свод (2024)'!$B$116</f>
        <v>0.99758349999999996</v>
      </c>
      <c r="BH206" s="923">
        <f t="shared" si="118"/>
        <v>413.9</v>
      </c>
      <c r="BI206" s="923">
        <f t="shared" si="119"/>
        <v>125</v>
      </c>
      <c r="BJ206" s="923">
        <f t="shared" si="120"/>
        <v>538.9</v>
      </c>
      <c r="BK206" s="925">
        <f t="shared" si="121"/>
        <v>-22.8</v>
      </c>
      <c r="BL206" s="925">
        <f t="shared" si="121"/>
        <v>-6.9</v>
      </c>
      <c r="BM206" s="925">
        <f t="shared" si="122"/>
        <v>-29.7</v>
      </c>
      <c r="BN206" s="925">
        <f t="shared" si="123"/>
        <v>0</v>
      </c>
      <c r="BO206" s="925">
        <f t="shared" si="124"/>
        <v>0</v>
      </c>
      <c r="BP206" s="926"/>
      <c r="BQ206" s="925">
        <f t="shared" si="125"/>
        <v>413.9</v>
      </c>
      <c r="BR206" s="925">
        <f t="shared" si="125"/>
        <v>125</v>
      </c>
      <c r="BS206" s="925">
        <f t="shared" si="126"/>
        <v>538.9</v>
      </c>
      <c r="BU206" s="928"/>
      <c r="BV206" s="917"/>
      <c r="BW206" s="928"/>
      <c r="BX206" s="928"/>
      <c r="BY206" s="928"/>
      <c r="BZ206" s="917"/>
      <c r="CA206" s="928"/>
      <c r="CB206" s="917"/>
      <c r="CC206" s="928"/>
      <c r="CD206" s="928"/>
      <c r="CE206" s="928"/>
      <c r="CF206" s="929"/>
      <c r="CG206" s="928"/>
      <c r="CH206" s="928"/>
      <c r="CI206" s="928"/>
      <c r="CJ206" s="925"/>
      <c r="CK206" s="925"/>
      <c r="CL206" s="925"/>
      <c r="CM206" s="925"/>
      <c r="CN206" s="925"/>
      <c r="CO206" s="925"/>
      <c r="CP206" s="925"/>
      <c r="CQ206" s="925"/>
      <c r="CR206" s="925"/>
      <c r="CS206" s="917"/>
      <c r="CT206" s="928"/>
      <c r="CU206" s="928"/>
      <c r="CV206" s="928"/>
      <c r="CX206" s="925"/>
      <c r="CY206" s="925"/>
      <c r="CZ206" s="925"/>
      <c r="DB206" s="925"/>
      <c r="DC206" s="925"/>
      <c r="DD206" s="925"/>
      <c r="DE206" s="925"/>
      <c r="DF206" s="925"/>
      <c r="DG206" s="925"/>
      <c r="DH206" s="925"/>
      <c r="DI206" s="925"/>
      <c r="DJ206" s="925"/>
      <c r="DK206" s="925"/>
      <c r="DL206" s="925"/>
      <c r="DM206" s="925"/>
      <c r="DN206" s="925"/>
      <c r="DO206" s="925"/>
      <c r="DP206" s="925"/>
      <c r="DQ206" s="924"/>
      <c r="DR206" s="925"/>
      <c r="DS206" s="925"/>
      <c r="DT206" s="925"/>
      <c r="DV206" s="925"/>
      <c r="DW206" s="925"/>
      <c r="DX206" s="925"/>
      <c r="DY206" s="925"/>
      <c r="DZ206" s="925"/>
      <c r="EA206" s="925"/>
      <c r="EB206" s="925"/>
      <c r="EC206" s="925"/>
      <c r="ED206" s="925"/>
      <c r="EE206" s="925"/>
      <c r="EF206" s="925"/>
      <c r="EG206" s="925"/>
      <c r="EH206" s="925"/>
      <c r="EI206" s="925"/>
      <c r="EJ206" s="925"/>
      <c r="EK206" s="925"/>
      <c r="EL206" s="925"/>
      <c r="EM206" s="925"/>
      <c r="EN206" s="925"/>
      <c r="EO206" s="925"/>
      <c r="EP206" s="925"/>
      <c r="EQ206" s="925"/>
      <c r="ER206" s="925"/>
      <c r="ES206" s="925"/>
      <c r="ET206" s="925"/>
      <c r="EV206" s="924"/>
      <c r="EW206" s="925"/>
      <c r="EX206" s="925"/>
      <c r="EY206" s="925"/>
    </row>
    <row r="207" spans="1:155" s="927" customFormat="1" ht="15.75" x14ac:dyDescent="0.25">
      <c r="A207" s="912" t="s">
        <v>62</v>
      </c>
      <c r="B207" s="913" t="s">
        <v>33</v>
      </c>
      <c r="C207" s="914">
        <v>1</v>
      </c>
      <c r="D207" s="914">
        <v>13466</v>
      </c>
      <c r="E207" s="915">
        <v>1.0549999999999999</v>
      </c>
      <c r="F207" s="916">
        <f t="shared" si="81"/>
        <v>14207</v>
      </c>
      <c r="G207" s="915">
        <v>1.01</v>
      </c>
      <c r="H207" s="916">
        <f t="shared" si="82"/>
        <v>14350</v>
      </c>
      <c r="I207" s="917">
        <f t="shared" si="83"/>
        <v>14350</v>
      </c>
      <c r="J207" s="918">
        <f t="shared" si="84"/>
        <v>0</v>
      </c>
      <c r="K207" s="919"/>
      <c r="L207" s="917">
        <f t="shared" si="85"/>
        <v>0</v>
      </c>
      <c r="M207" s="918">
        <f t="shared" si="86"/>
        <v>0</v>
      </c>
      <c r="N207" s="919"/>
      <c r="O207" s="917">
        <f t="shared" si="87"/>
        <v>0</v>
      </c>
      <c r="P207" s="918">
        <f t="shared" si="88"/>
        <v>0</v>
      </c>
      <c r="Q207" s="919"/>
      <c r="R207" s="917">
        <f t="shared" si="89"/>
        <v>0</v>
      </c>
      <c r="S207" s="918">
        <f t="shared" si="90"/>
        <v>0</v>
      </c>
      <c r="T207" s="919"/>
      <c r="U207" s="917">
        <f t="shared" si="91"/>
        <v>0</v>
      </c>
      <c r="V207" s="918">
        <f t="shared" si="92"/>
        <v>0</v>
      </c>
      <c r="W207" s="919"/>
      <c r="X207" s="917">
        <f t="shared" si="93"/>
        <v>0</v>
      </c>
      <c r="Y207" s="918">
        <f t="shared" si="94"/>
        <v>0.79629000000000005</v>
      </c>
      <c r="Z207" s="919">
        <v>10722.8</v>
      </c>
      <c r="AA207" s="917">
        <f t="shared" si="95"/>
        <v>11426.76</v>
      </c>
      <c r="AB207" s="918">
        <f t="shared" si="96"/>
        <v>0.1</v>
      </c>
      <c r="AC207" s="919">
        <v>1346.6</v>
      </c>
      <c r="AD207" s="917">
        <f t="shared" si="97"/>
        <v>1435</v>
      </c>
      <c r="AE207" s="918">
        <f t="shared" si="98"/>
        <v>0</v>
      </c>
      <c r="AF207" s="919"/>
      <c r="AG207" s="917">
        <f t="shared" si="99"/>
        <v>0</v>
      </c>
      <c r="AH207" s="918">
        <f t="shared" si="100"/>
        <v>0</v>
      </c>
      <c r="AI207" s="919"/>
      <c r="AJ207" s="917">
        <f t="shared" si="101"/>
        <v>0</v>
      </c>
      <c r="AK207" s="918">
        <f t="shared" si="102"/>
        <v>0</v>
      </c>
      <c r="AL207" s="919"/>
      <c r="AM207" s="917">
        <f t="shared" si="103"/>
        <v>0</v>
      </c>
      <c r="AN207" s="920">
        <v>19242</v>
      </c>
      <c r="AO207" s="917">
        <f t="shared" si="104"/>
        <v>0</v>
      </c>
      <c r="AP207" s="920"/>
      <c r="AQ207" s="916">
        <f t="shared" si="105"/>
        <v>0</v>
      </c>
      <c r="AR207" s="917">
        <f t="shared" si="106"/>
        <v>27211.759999999998</v>
      </c>
      <c r="AS207" s="916">
        <v>12</v>
      </c>
      <c r="AT207" s="921">
        <f t="shared" si="107"/>
        <v>326541.12</v>
      </c>
      <c r="AU207" s="920"/>
      <c r="AV207" s="922">
        <f t="shared" si="108"/>
        <v>3265.41</v>
      </c>
      <c r="AW207" s="921">
        <f t="shared" si="109"/>
        <v>329806.53000000003</v>
      </c>
      <c r="AX207" s="921">
        <f t="shared" si="110"/>
        <v>99601.57</v>
      </c>
      <c r="AY207" s="921">
        <f t="shared" si="111"/>
        <v>429408.1</v>
      </c>
      <c r="AZ207" s="923">
        <f t="shared" si="112"/>
        <v>329.8</v>
      </c>
      <c r="BA207" s="923">
        <f t="shared" si="113"/>
        <v>99.6</v>
      </c>
      <c r="BB207" s="923">
        <f t="shared" si="114"/>
        <v>429.4</v>
      </c>
      <c r="BC207" s="915">
        <v>0.95</v>
      </c>
      <c r="BD207" s="923">
        <f t="shared" si="115"/>
        <v>313.3</v>
      </c>
      <c r="BE207" s="923">
        <f t="shared" si="116"/>
        <v>94.6</v>
      </c>
      <c r="BF207" s="923">
        <f t="shared" si="117"/>
        <v>407.9</v>
      </c>
      <c r="BG207" s="924">
        <f>'[3]свод (2024)'!$B$116</f>
        <v>0.99758349999999996</v>
      </c>
      <c r="BH207" s="923">
        <f t="shared" si="118"/>
        <v>312.5</v>
      </c>
      <c r="BI207" s="923">
        <f t="shared" si="119"/>
        <v>94.4</v>
      </c>
      <c r="BJ207" s="923">
        <f t="shared" si="120"/>
        <v>406.9</v>
      </c>
      <c r="BK207" s="925">
        <f t="shared" si="121"/>
        <v>-17.3</v>
      </c>
      <c r="BL207" s="925">
        <f t="shared" si="121"/>
        <v>-5.2</v>
      </c>
      <c r="BM207" s="925">
        <f t="shared" si="122"/>
        <v>-22.5</v>
      </c>
      <c r="BN207" s="925">
        <f t="shared" si="123"/>
        <v>0</v>
      </c>
      <c r="BO207" s="925">
        <f t="shared" si="124"/>
        <v>0</v>
      </c>
      <c r="BP207" s="926"/>
      <c r="BQ207" s="925">
        <f t="shared" si="125"/>
        <v>312.5</v>
      </c>
      <c r="BR207" s="925">
        <f t="shared" si="125"/>
        <v>94.4</v>
      </c>
      <c r="BS207" s="925">
        <f t="shared" si="126"/>
        <v>406.9</v>
      </c>
      <c r="BU207" s="928"/>
      <c r="BV207" s="917"/>
      <c r="BW207" s="928"/>
      <c r="BX207" s="928"/>
      <c r="BY207" s="928"/>
      <c r="BZ207" s="917"/>
      <c r="CA207" s="928"/>
      <c r="CB207" s="917"/>
      <c r="CC207" s="928"/>
      <c r="CD207" s="928"/>
      <c r="CE207" s="928"/>
      <c r="CF207" s="929"/>
      <c r="CG207" s="928"/>
      <c r="CH207" s="928"/>
      <c r="CI207" s="928"/>
      <c r="CJ207" s="925"/>
      <c r="CK207" s="925"/>
      <c r="CL207" s="925"/>
      <c r="CM207" s="925"/>
      <c r="CN207" s="925"/>
      <c r="CO207" s="925"/>
      <c r="CP207" s="925"/>
      <c r="CQ207" s="925"/>
      <c r="CR207" s="925"/>
      <c r="CS207" s="917"/>
      <c r="CT207" s="928"/>
      <c r="CU207" s="928"/>
      <c r="CV207" s="928"/>
      <c r="CX207" s="925"/>
      <c r="CY207" s="925"/>
      <c r="CZ207" s="925"/>
      <c r="DB207" s="925"/>
      <c r="DC207" s="925"/>
      <c r="DD207" s="925"/>
      <c r="DE207" s="925"/>
      <c r="DF207" s="925"/>
      <c r="DG207" s="925"/>
      <c r="DH207" s="925"/>
      <c r="DI207" s="925"/>
      <c r="DJ207" s="925"/>
      <c r="DK207" s="925"/>
      <c r="DL207" s="925"/>
      <c r="DM207" s="925"/>
      <c r="DN207" s="925"/>
      <c r="DO207" s="925"/>
      <c r="DP207" s="925"/>
      <c r="DQ207" s="924"/>
      <c r="DR207" s="925"/>
      <c r="DS207" s="925"/>
      <c r="DT207" s="925"/>
      <c r="DV207" s="925"/>
      <c r="DW207" s="925"/>
      <c r="DX207" s="925"/>
      <c r="DY207" s="925"/>
      <c r="DZ207" s="925"/>
      <c r="EA207" s="925"/>
      <c r="EB207" s="925"/>
      <c r="EC207" s="925"/>
      <c r="ED207" s="925"/>
      <c r="EE207" s="925"/>
      <c r="EF207" s="925"/>
      <c r="EG207" s="925"/>
      <c r="EH207" s="925"/>
      <c r="EI207" s="925"/>
      <c r="EJ207" s="925"/>
      <c r="EK207" s="925"/>
      <c r="EL207" s="925"/>
      <c r="EM207" s="925"/>
      <c r="EN207" s="925"/>
      <c r="EO207" s="925"/>
      <c r="EP207" s="925"/>
      <c r="EQ207" s="925"/>
      <c r="ER207" s="925"/>
      <c r="ES207" s="925"/>
      <c r="ET207" s="925"/>
      <c r="EV207" s="924"/>
      <c r="EW207" s="925"/>
      <c r="EX207" s="925"/>
      <c r="EY207" s="925"/>
    </row>
    <row r="208" spans="1:155" s="927" customFormat="1" ht="24" x14ac:dyDescent="0.25">
      <c r="A208" s="912" t="s">
        <v>62</v>
      </c>
      <c r="B208" s="913" t="s">
        <v>31</v>
      </c>
      <c r="C208" s="914">
        <v>1</v>
      </c>
      <c r="D208" s="914">
        <v>22544</v>
      </c>
      <c r="E208" s="915">
        <v>1.0549999999999999</v>
      </c>
      <c r="F208" s="916">
        <f t="shared" si="81"/>
        <v>23784</v>
      </c>
      <c r="G208" s="915">
        <v>1.01</v>
      </c>
      <c r="H208" s="916">
        <f t="shared" si="82"/>
        <v>24022</v>
      </c>
      <c r="I208" s="917">
        <f t="shared" si="83"/>
        <v>24022</v>
      </c>
      <c r="J208" s="918">
        <f t="shared" si="84"/>
        <v>0</v>
      </c>
      <c r="K208" s="919"/>
      <c r="L208" s="917">
        <f t="shared" si="85"/>
        <v>0</v>
      </c>
      <c r="M208" s="918">
        <f t="shared" si="86"/>
        <v>0</v>
      </c>
      <c r="N208" s="919"/>
      <c r="O208" s="917">
        <f t="shared" si="87"/>
        <v>0</v>
      </c>
      <c r="P208" s="918">
        <f t="shared" si="88"/>
        <v>0</v>
      </c>
      <c r="Q208" s="919"/>
      <c r="R208" s="917">
        <f t="shared" si="89"/>
        <v>0</v>
      </c>
      <c r="S208" s="918">
        <f t="shared" si="90"/>
        <v>0</v>
      </c>
      <c r="T208" s="919"/>
      <c r="U208" s="917">
        <f t="shared" si="91"/>
        <v>0</v>
      </c>
      <c r="V208" s="918">
        <f t="shared" si="92"/>
        <v>0</v>
      </c>
      <c r="W208" s="919"/>
      <c r="X208" s="917">
        <f t="shared" si="93"/>
        <v>0</v>
      </c>
      <c r="Y208" s="918">
        <f t="shared" si="94"/>
        <v>0.15</v>
      </c>
      <c r="Z208" s="919">
        <v>3381.6</v>
      </c>
      <c r="AA208" s="917">
        <f t="shared" si="95"/>
        <v>3603.3</v>
      </c>
      <c r="AB208" s="918">
        <f t="shared" si="96"/>
        <v>0.2</v>
      </c>
      <c r="AC208" s="919">
        <v>4508.8</v>
      </c>
      <c r="AD208" s="917">
        <f t="shared" si="97"/>
        <v>4804.3999999999996</v>
      </c>
      <c r="AE208" s="918">
        <f t="shared" si="98"/>
        <v>0</v>
      </c>
      <c r="AF208" s="919"/>
      <c r="AG208" s="917">
        <f t="shared" si="99"/>
        <v>0</v>
      </c>
      <c r="AH208" s="918">
        <f t="shared" si="100"/>
        <v>0</v>
      </c>
      <c r="AI208" s="919"/>
      <c r="AJ208" s="917">
        <f t="shared" si="101"/>
        <v>0</v>
      </c>
      <c r="AK208" s="918">
        <f t="shared" si="102"/>
        <v>0</v>
      </c>
      <c r="AL208" s="919"/>
      <c r="AM208" s="917">
        <f t="shared" si="103"/>
        <v>0</v>
      </c>
      <c r="AN208" s="920">
        <v>19242</v>
      </c>
      <c r="AO208" s="917">
        <f t="shared" si="104"/>
        <v>0</v>
      </c>
      <c r="AP208" s="920"/>
      <c r="AQ208" s="916">
        <f t="shared" si="105"/>
        <v>0</v>
      </c>
      <c r="AR208" s="917">
        <f t="shared" si="106"/>
        <v>32429.7</v>
      </c>
      <c r="AS208" s="916">
        <v>12</v>
      </c>
      <c r="AT208" s="921">
        <f t="shared" si="107"/>
        <v>389156.4</v>
      </c>
      <c r="AU208" s="920"/>
      <c r="AV208" s="922">
        <f t="shared" si="108"/>
        <v>3891.56</v>
      </c>
      <c r="AW208" s="921">
        <f t="shared" si="109"/>
        <v>393047.96</v>
      </c>
      <c r="AX208" s="921">
        <f t="shared" si="110"/>
        <v>118700.48</v>
      </c>
      <c r="AY208" s="921">
        <f t="shared" si="111"/>
        <v>511748.44</v>
      </c>
      <c r="AZ208" s="923">
        <f t="shared" si="112"/>
        <v>393</v>
      </c>
      <c r="BA208" s="923">
        <f t="shared" si="113"/>
        <v>118.7</v>
      </c>
      <c r="BB208" s="923">
        <f t="shared" si="114"/>
        <v>511.7</v>
      </c>
      <c r="BC208" s="915">
        <v>0.95</v>
      </c>
      <c r="BD208" s="923">
        <f t="shared" si="115"/>
        <v>373.4</v>
      </c>
      <c r="BE208" s="923">
        <f t="shared" si="116"/>
        <v>112.8</v>
      </c>
      <c r="BF208" s="923">
        <f t="shared" si="117"/>
        <v>486.2</v>
      </c>
      <c r="BG208" s="924">
        <f>'[3]свод (2024)'!$B$116</f>
        <v>0.99758349999999996</v>
      </c>
      <c r="BH208" s="923">
        <f t="shared" si="118"/>
        <v>372.5</v>
      </c>
      <c r="BI208" s="923">
        <f t="shared" si="119"/>
        <v>112.5</v>
      </c>
      <c r="BJ208" s="923">
        <f t="shared" si="120"/>
        <v>485</v>
      </c>
      <c r="BK208" s="925">
        <f t="shared" si="121"/>
        <v>-20.5</v>
      </c>
      <c r="BL208" s="925">
        <f t="shared" si="121"/>
        <v>-6.2</v>
      </c>
      <c r="BM208" s="925">
        <f t="shared" si="122"/>
        <v>-26.7</v>
      </c>
      <c r="BN208" s="925">
        <f t="shared" si="123"/>
        <v>0</v>
      </c>
      <c r="BO208" s="925">
        <f t="shared" si="124"/>
        <v>0</v>
      </c>
      <c r="BP208" s="926"/>
      <c r="BQ208" s="925">
        <f t="shared" si="125"/>
        <v>372.5</v>
      </c>
      <c r="BR208" s="925">
        <f t="shared" si="125"/>
        <v>112.5</v>
      </c>
      <c r="BS208" s="925">
        <f t="shared" si="126"/>
        <v>485</v>
      </c>
      <c r="BU208" s="928"/>
      <c r="BV208" s="917"/>
      <c r="BW208" s="928"/>
      <c r="BX208" s="928"/>
      <c r="BY208" s="928"/>
      <c r="BZ208" s="917"/>
      <c r="CA208" s="928"/>
      <c r="CB208" s="917"/>
      <c r="CC208" s="928"/>
      <c r="CD208" s="928"/>
      <c r="CE208" s="928"/>
      <c r="CF208" s="929"/>
      <c r="CG208" s="928"/>
      <c r="CH208" s="928"/>
      <c r="CI208" s="928"/>
      <c r="CJ208" s="925"/>
      <c r="CK208" s="925"/>
      <c r="CL208" s="925"/>
      <c r="CM208" s="925"/>
      <c r="CN208" s="925"/>
      <c r="CO208" s="925"/>
      <c r="CP208" s="925"/>
      <c r="CQ208" s="925"/>
      <c r="CR208" s="925"/>
      <c r="CS208" s="917"/>
      <c r="CT208" s="928"/>
      <c r="CU208" s="928"/>
      <c r="CV208" s="928"/>
      <c r="CX208" s="925"/>
      <c r="CY208" s="925"/>
      <c r="CZ208" s="925"/>
      <c r="DB208" s="925"/>
      <c r="DC208" s="925"/>
      <c r="DD208" s="925"/>
      <c r="DE208" s="925"/>
      <c r="DF208" s="925"/>
      <c r="DG208" s="925"/>
      <c r="DH208" s="925"/>
      <c r="DI208" s="925"/>
      <c r="DJ208" s="925"/>
      <c r="DK208" s="925"/>
      <c r="DL208" s="925"/>
      <c r="DM208" s="925"/>
      <c r="DN208" s="925"/>
      <c r="DO208" s="925"/>
      <c r="DP208" s="925"/>
      <c r="DQ208" s="924"/>
      <c r="DR208" s="925"/>
      <c r="DS208" s="925"/>
      <c r="DT208" s="925"/>
      <c r="DV208" s="925"/>
      <c r="DW208" s="925"/>
      <c r="DX208" s="925"/>
      <c r="DY208" s="925"/>
      <c r="DZ208" s="925"/>
      <c r="EA208" s="925"/>
      <c r="EB208" s="925"/>
      <c r="EC208" s="925"/>
      <c r="ED208" s="925"/>
      <c r="EE208" s="925"/>
      <c r="EF208" s="925"/>
      <c r="EG208" s="925"/>
      <c r="EH208" s="925"/>
      <c r="EI208" s="925"/>
      <c r="EJ208" s="925"/>
      <c r="EK208" s="925"/>
      <c r="EL208" s="925"/>
      <c r="EM208" s="925"/>
      <c r="EN208" s="925"/>
      <c r="EO208" s="925"/>
      <c r="EP208" s="925"/>
      <c r="EQ208" s="925"/>
      <c r="ER208" s="925"/>
      <c r="ES208" s="925"/>
      <c r="ET208" s="925"/>
      <c r="EV208" s="924"/>
      <c r="EW208" s="925"/>
      <c r="EX208" s="925"/>
      <c r="EY208" s="925"/>
    </row>
    <row r="209" spans="1:155" s="927" customFormat="1" ht="24" x14ac:dyDescent="0.25">
      <c r="A209" s="912" t="s">
        <v>62</v>
      </c>
      <c r="B209" s="913" t="s">
        <v>30</v>
      </c>
      <c r="C209" s="914">
        <v>1</v>
      </c>
      <c r="D209" s="914">
        <v>22544</v>
      </c>
      <c r="E209" s="915">
        <v>1.0549999999999999</v>
      </c>
      <c r="F209" s="916">
        <f t="shared" si="81"/>
        <v>23784</v>
      </c>
      <c r="G209" s="915">
        <v>1.01</v>
      </c>
      <c r="H209" s="916">
        <f t="shared" si="82"/>
        <v>24022</v>
      </c>
      <c r="I209" s="917">
        <f t="shared" si="83"/>
        <v>24022</v>
      </c>
      <c r="J209" s="918">
        <f t="shared" si="84"/>
        <v>0</v>
      </c>
      <c r="K209" s="919"/>
      <c r="L209" s="917">
        <f t="shared" si="85"/>
        <v>0</v>
      </c>
      <c r="M209" s="918">
        <f t="shared" si="86"/>
        <v>0</v>
      </c>
      <c r="N209" s="919"/>
      <c r="O209" s="917">
        <f t="shared" si="87"/>
        <v>0</v>
      </c>
      <c r="P209" s="918">
        <f t="shared" si="88"/>
        <v>0</v>
      </c>
      <c r="Q209" s="919"/>
      <c r="R209" s="917">
        <f t="shared" si="89"/>
        <v>0</v>
      </c>
      <c r="S209" s="918">
        <f t="shared" si="90"/>
        <v>0</v>
      </c>
      <c r="T209" s="919"/>
      <c r="U209" s="917">
        <f t="shared" si="91"/>
        <v>0</v>
      </c>
      <c r="V209" s="918">
        <f t="shared" si="92"/>
        <v>0</v>
      </c>
      <c r="W209" s="919"/>
      <c r="X209" s="917">
        <f t="shared" si="93"/>
        <v>0</v>
      </c>
      <c r="Y209" s="918">
        <f t="shared" si="94"/>
        <v>0.15</v>
      </c>
      <c r="Z209" s="919">
        <v>3381.6</v>
      </c>
      <c r="AA209" s="917">
        <f t="shared" si="95"/>
        <v>3603.3</v>
      </c>
      <c r="AB209" s="918">
        <f t="shared" si="96"/>
        <v>0.2</v>
      </c>
      <c r="AC209" s="919">
        <v>4508.8</v>
      </c>
      <c r="AD209" s="917">
        <f t="shared" si="97"/>
        <v>4804.3999999999996</v>
      </c>
      <c r="AE209" s="918">
        <f t="shared" si="98"/>
        <v>0</v>
      </c>
      <c r="AF209" s="919"/>
      <c r="AG209" s="917">
        <f t="shared" si="99"/>
        <v>0</v>
      </c>
      <c r="AH209" s="918">
        <f t="shared" si="100"/>
        <v>0</v>
      </c>
      <c r="AI209" s="919"/>
      <c r="AJ209" s="917">
        <f t="shared" si="101"/>
        <v>0</v>
      </c>
      <c r="AK209" s="918">
        <f t="shared" si="102"/>
        <v>0</v>
      </c>
      <c r="AL209" s="919"/>
      <c r="AM209" s="917">
        <f t="shared" si="103"/>
        <v>0</v>
      </c>
      <c r="AN209" s="920">
        <v>19242</v>
      </c>
      <c r="AO209" s="917">
        <f t="shared" si="104"/>
        <v>0</v>
      </c>
      <c r="AP209" s="920"/>
      <c r="AQ209" s="916">
        <f t="shared" si="105"/>
        <v>0</v>
      </c>
      <c r="AR209" s="917">
        <f t="shared" si="106"/>
        <v>32429.7</v>
      </c>
      <c r="AS209" s="916">
        <v>12</v>
      </c>
      <c r="AT209" s="921">
        <f t="shared" si="107"/>
        <v>389156.4</v>
      </c>
      <c r="AU209" s="920"/>
      <c r="AV209" s="922">
        <f t="shared" si="108"/>
        <v>3891.56</v>
      </c>
      <c r="AW209" s="921">
        <f t="shared" si="109"/>
        <v>393047.96</v>
      </c>
      <c r="AX209" s="921">
        <f t="shared" si="110"/>
        <v>118700.48</v>
      </c>
      <c r="AY209" s="921">
        <f t="shared" si="111"/>
        <v>511748.44</v>
      </c>
      <c r="AZ209" s="923">
        <f t="shared" si="112"/>
        <v>393</v>
      </c>
      <c r="BA209" s="923">
        <f t="shared" si="113"/>
        <v>118.7</v>
      </c>
      <c r="BB209" s="923">
        <f t="shared" si="114"/>
        <v>511.7</v>
      </c>
      <c r="BC209" s="915">
        <v>0.95</v>
      </c>
      <c r="BD209" s="923">
        <f t="shared" si="115"/>
        <v>373.4</v>
      </c>
      <c r="BE209" s="923">
        <f t="shared" si="116"/>
        <v>112.8</v>
      </c>
      <c r="BF209" s="923">
        <f t="shared" si="117"/>
        <v>486.2</v>
      </c>
      <c r="BG209" s="924">
        <f>'[3]свод (2024)'!$B$116</f>
        <v>0.99758349999999996</v>
      </c>
      <c r="BH209" s="923">
        <f t="shared" si="118"/>
        <v>372.5</v>
      </c>
      <c r="BI209" s="923">
        <f t="shared" si="119"/>
        <v>112.5</v>
      </c>
      <c r="BJ209" s="923">
        <f t="shared" si="120"/>
        <v>485</v>
      </c>
      <c r="BK209" s="925">
        <f t="shared" si="121"/>
        <v>-20.5</v>
      </c>
      <c r="BL209" s="925">
        <f t="shared" si="121"/>
        <v>-6.2</v>
      </c>
      <c r="BM209" s="925">
        <f t="shared" si="122"/>
        <v>-26.7</v>
      </c>
      <c r="BN209" s="925">
        <f t="shared" si="123"/>
        <v>0</v>
      </c>
      <c r="BO209" s="925">
        <f t="shared" si="124"/>
        <v>0</v>
      </c>
      <c r="BP209" s="926"/>
      <c r="BQ209" s="925">
        <f t="shared" si="125"/>
        <v>372.5</v>
      </c>
      <c r="BR209" s="925">
        <f t="shared" si="125"/>
        <v>112.5</v>
      </c>
      <c r="BS209" s="925">
        <f t="shared" si="126"/>
        <v>485</v>
      </c>
      <c r="BU209" s="928"/>
      <c r="BV209" s="917"/>
      <c r="BW209" s="928"/>
      <c r="BX209" s="928"/>
      <c r="BY209" s="928"/>
      <c r="BZ209" s="917"/>
      <c r="CA209" s="928"/>
      <c r="CB209" s="917"/>
      <c r="CC209" s="928"/>
      <c r="CD209" s="928"/>
      <c r="CE209" s="928"/>
      <c r="CF209" s="929"/>
      <c r="CG209" s="928"/>
      <c r="CH209" s="928"/>
      <c r="CI209" s="928"/>
      <c r="CJ209" s="925"/>
      <c r="CK209" s="925"/>
      <c r="CL209" s="925"/>
      <c r="CM209" s="925"/>
      <c r="CN209" s="925"/>
      <c r="CO209" s="925"/>
      <c r="CP209" s="925"/>
      <c r="CQ209" s="925"/>
      <c r="CR209" s="925"/>
      <c r="CS209" s="917"/>
      <c r="CT209" s="928"/>
      <c r="CU209" s="928"/>
      <c r="CV209" s="928"/>
      <c r="CX209" s="925"/>
      <c r="CY209" s="925"/>
      <c r="CZ209" s="925"/>
      <c r="DB209" s="925"/>
      <c r="DC209" s="925"/>
      <c r="DD209" s="925"/>
      <c r="DE209" s="925"/>
      <c r="DF209" s="925"/>
      <c r="DG209" s="925"/>
      <c r="DH209" s="925"/>
      <c r="DI209" s="925"/>
      <c r="DJ209" s="925"/>
      <c r="DK209" s="925"/>
      <c r="DL209" s="925"/>
      <c r="DM209" s="925"/>
      <c r="DN209" s="925"/>
      <c r="DO209" s="925"/>
      <c r="DP209" s="925"/>
      <c r="DQ209" s="924"/>
      <c r="DR209" s="925"/>
      <c r="DS209" s="925"/>
      <c r="DT209" s="925"/>
      <c r="DV209" s="925"/>
      <c r="DW209" s="925"/>
      <c r="DX209" s="925"/>
      <c r="DY209" s="925"/>
      <c r="DZ209" s="925"/>
      <c r="EA209" s="925"/>
      <c r="EB209" s="925"/>
      <c r="EC209" s="925"/>
      <c r="ED209" s="925"/>
      <c r="EE209" s="925"/>
      <c r="EF209" s="925"/>
      <c r="EG209" s="925"/>
      <c r="EH209" s="925"/>
      <c r="EI209" s="925"/>
      <c r="EJ209" s="925"/>
      <c r="EK209" s="925"/>
      <c r="EL209" s="925"/>
      <c r="EM209" s="925"/>
      <c r="EN209" s="925"/>
      <c r="EO209" s="925"/>
      <c r="EP209" s="925"/>
      <c r="EQ209" s="925"/>
      <c r="ER209" s="925"/>
      <c r="ES209" s="925"/>
      <c r="ET209" s="925"/>
      <c r="EV209" s="924"/>
      <c r="EW209" s="925"/>
      <c r="EX209" s="925"/>
      <c r="EY209" s="925"/>
    </row>
    <row r="210" spans="1:155" s="927" customFormat="1" ht="15.75" x14ac:dyDescent="0.25">
      <c r="A210" s="912" t="s">
        <v>62</v>
      </c>
      <c r="B210" s="913" t="s">
        <v>36</v>
      </c>
      <c r="C210" s="914">
        <v>1</v>
      </c>
      <c r="D210" s="914">
        <v>13772</v>
      </c>
      <c r="E210" s="915">
        <v>1.0549999999999999</v>
      </c>
      <c r="F210" s="916">
        <f t="shared" si="81"/>
        <v>14530</v>
      </c>
      <c r="G210" s="915">
        <v>1.01</v>
      </c>
      <c r="H210" s="916">
        <f t="shared" si="82"/>
        <v>14676</v>
      </c>
      <c r="I210" s="917">
        <f t="shared" si="83"/>
        <v>14676</v>
      </c>
      <c r="J210" s="918">
        <f t="shared" si="84"/>
        <v>0.25</v>
      </c>
      <c r="K210" s="919">
        <v>3443</v>
      </c>
      <c r="L210" s="917">
        <f t="shared" si="85"/>
        <v>3669</v>
      </c>
      <c r="M210" s="918">
        <f t="shared" si="86"/>
        <v>0</v>
      </c>
      <c r="N210" s="919"/>
      <c r="O210" s="917">
        <f t="shared" si="87"/>
        <v>0</v>
      </c>
      <c r="P210" s="918">
        <f t="shared" si="88"/>
        <v>0</v>
      </c>
      <c r="Q210" s="919"/>
      <c r="R210" s="917">
        <f t="shared" si="89"/>
        <v>0</v>
      </c>
      <c r="S210" s="918">
        <f t="shared" si="90"/>
        <v>0</v>
      </c>
      <c r="T210" s="919"/>
      <c r="U210" s="917">
        <f t="shared" si="91"/>
        <v>0</v>
      </c>
      <c r="V210" s="918">
        <f t="shared" si="92"/>
        <v>0</v>
      </c>
      <c r="W210" s="919"/>
      <c r="X210" s="917">
        <f t="shared" si="93"/>
        <v>0</v>
      </c>
      <c r="Y210" s="918">
        <f t="shared" si="94"/>
        <v>0</v>
      </c>
      <c r="Z210" s="919"/>
      <c r="AA210" s="917">
        <f t="shared" si="95"/>
        <v>0</v>
      </c>
      <c r="AB210" s="918">
        <f t="shared" si="96"/>
        <v>0.125</v>
      </c>
      <c r="AC210" s="919">
        <v>1721.5</v>
      </c>
      <c r="AD210" s="917">
        <f t="shared" si="97"/>
        <v>1834.5</v>
      </c>
      <c r="AE210" s="918">
        <f t="shared" si="98"/>
        <v>0</v>
      </c>
      <c r="AF210" s="919"/>
      <c r="AG210" s="917">
        <f t="shared" si="99"/>
        <v>0</v>
      </c>
      <c r="AH210" s="918">
        <f t="shared" si="100"/>
        <v>0</v>
      </c>
      <c r="AI210" s="919"/>
      <c r="AJ210" s="917">
        <f t="shared" si="101"/>
        <v>0</v>
      </c>
      <c r="AK210" s="918">
        <f t="shared" si="102"/>
        <v>0</v>
      </c>
      <c r="AL210" s="919"/>
      <c r="AM210" s="917">
        <f t="shared" si="103"/>
        <v>0</v>
      </c>
      <c r="AN210" s="920">
        <v>19242</v>
      </c>
      <c r="AO210" s="917">
        <f t="shared" si="104"/>
        <v>0</v>
      </c>
      <c r="AP210" s="920"/>
      <c r="AQ210" s="916">
        <f t="shared" si="105"/>
        <v>0</v>
      </c>
      <c r="AR210" s="917">
        <f t="shared" si="106"/>
        <v>20179.5</v>
      </c>
      <c r="AS210" s="916">
        <v>12</v>
      </c>
      <c r="AT210" s="921">
        <f t="shared" si="107"/>
        <v>242154</v>
      </c>
      <c r="AU210" s="920"/>
      <c r="AV210" s="922">
        <f t="shared" si="108"/>
        <v>2421.54</v>
      </c>
      <c r="AW210" s="921">
        <f t="shared" si="109"/>
        <v>244575.54</v>
      </c>
      <c r="AX210" s="921">
        <f t="shared" si="110"/>
        <v>73861.81</v>
      </c>
      <c r="AY210" s="921">
        <f t="shared" si="111"/>
        <v>318437.34999999998</v>
      </c>
      <c r="AZ210" s="923">
        <f t="shared" si="112"/>
        <v>244.6</v>
      </c>
      <c r="BA210" s="923">
        <f t="shared" si="113"/>
        <v>73.900000000000006</v>
      </c>
      <c r="BB210" s="923">
        <f t="shared" si="114"/>
        <v>318.5</v>
      </c>
      <c r="BC210" s="915">
        <v>0.95</v>
      </c>
      <c r="BD210" s="923">
        <f t="shared" si="115"/>
        <v>232.4</v>
      </c>
      <c r="BE210" s="923">
        <f t="shared" si="116"/>
        <v>70.2</v>
      </c>
      <c r="BF210" s="923">
        <f t="shared" si="117"/>
        <v>302.60000000000002</v>
      </c>
      <c r="BG210" s="924">
        <f>'[3]свод (2024)'!$B$116</f>
        <v>0.99758349999999996</v>
      </c>
      <c r="BH210" s="923">
        <f t="shared" si="118"/>
        <v>231.8</v>
      </c>
      <c r="BI210" s="923">
        <f t="shared" si="119"/>
        <v>70</v>
      </c>
      <c r="BJ210" s="923">
        <f t="shared" si="120"/>
        <v>301.8</v>
      </c>
      <c r="BK210" s="925">
        <f t="shared" si="121"/>
        <v>-12.8</v>
      </c>
      <c r="BL210" s="925">
        <f t="shared" si="121"/>
        <v>-3.9</v>
      </c>
      <c r="BM210" s="925">
        <f t="shared" si="122"/>
        <v>-16.7</v>
      </c>
      <c r="BN210" s="925">
        <f t="shared" si="123"/>
        <v>0</v>
      </c>
      <c r="BO210" s="925">
        <f t="shared" si="124"/>
        <v>0</v>
      </c>
      <c r="BP210" s="926"/>
      <c r="BQ210" s="925">
        <f t="shared" si="125"/>
        <v>231.8</v>
      </c>
      <c r="BR210" s="925">
        <f t="shared" si="125"/>
        <v>70</v>
      </c>
      <c r="BS210" s="925">
        <f t="shared" si="126"/>
        <v>301.8</v>
      </c>
      <c r="BU210" s="928">
        <f t="shared" si="127"/>
        <v>1</v>
      </c>
      <c r="BV210" s="917"/>
      <c r="BW210" s="928"/>
      <c r="BX210" s="928">
        <f t="shared" si="128"/>
        <v>244575.54</v>
      </c>
      <c r="BY210" s="928"/>
      <c r="BZ210" s="917"/>
      <c r="CA210" s="928"/>
      <c r="CB210" s="917"/>
      <c r="CC210" s="928"/>
      <c r="CD210" s="928"/>
      <c r="CE210" s="928"/>
      <c r="CF210" s="929">
        <f>CC$220/BU$220*BU210</f>
        <v>56315.66</v>
      </c>
      <c r="CG210" s="928"/>
      <c r="CH210" s="928"/>
      <c r="CI210" s="928"/>
      <c r="CJ210" s="925"/>
      <c r="CK210" s="925"/>
      <c r="CL210" s="925"/>
      <c r="CM210" s="925"/>
      <c r="CN210" s="925"/>
      <c r="CO210" s="925"/>
      <c r="CP210" s="925"/>
      <c r="CQ210" s="925"/>
      <c r="CR210" s="925"/>
      <c r="CS210" s="917"/>
      <c r="CT210" s="928"/>
      <c r="CU210" s="928"/>
      <c r="CV210" s="928"/>
      <c r="CX210" s="925"/>
      <c r="CY210" s="925"/>
      <c r="CZ210" s="925"/>
      <c r="DB210" s="925"/>
      <c r="DC210" s="925"/>
      <c r="DD210" s="925"/>
      <c r="DE210" s="925"/>
      <c r="DF210" s="925"/>
      <c r="DG210" s="925"/>
      <c r="DH210" s="925"/>
      <c r="DI210" s="925"/>
      <c r="DJ210" s="925"/>
      <c r="DK210" s="925"/>
      <c r="DL210" s="925"/>
      <c r="DM210" s="925"/>
      <c r="DN210" s="925"/>
      <c r="DO210" s="925"/>
      <c r="DP210" s="925"/>
      <c r="DQ210" s="924"/>
      <c r="DR210" s="925"/>
      <c r="DS210" s="925"/>
      <c r="DT210" s="925"/>
      <c r="DV210" s="925"/>
      <c r="DW210" s="925"/>
      <c r="DX210" s="925"/>
      <c r="DY210" s="925"/>
      <c r="DZ210" s="925"/>
      <c r="EA210" s="925"/>
      <c r="EB210" s="925"/>
      <c r="EC210" s="925"/>
      <c r="ED210" s="925"/>
      <c r="EE210" s="925"/>
      <c r="EF210" s="925"/>
      <c r="EG210" s="925"/>
      <c r="EH210" s="925"/>
      <c r="EI210" s="925"/>
      <c r="EJ210" s="925"/>
      <c r="EK210" s="925"/>
      <c r="EL210" s="925"/>
      <c r="EM210" s="925"/>
      <c r="EN210" s="925"/>
      <c r="EO210" s="925"/>
      <c r="EP210" s="925"/>
      <c r="EQ210" s="925"/>
      <c r="ER210" s="925"/>
      <c r="ES210" s="925"/>
      <c r="ET210" s="925"/>
      <c r="EV210" s="924"/>
      <c r="EW210" s="925"/>
      <c r="EX210" s="925"/>
      <c r="EY210" s="925"/>
    </row>
    <row r="211" spans="1:155" s="927" customFormat="1" ht="15.75" x14ac:dyDescent="0.25">
      <c r="A211" s="912" t="s">
        <v>62</v>
      </c>
      <c r="B211" s="913" t="s">
        <v>1416</v>
      </c>
      <c r="C211" s="914">
        <v>2</v>
      </c>
      <c r="D211" s="914">
        <v>5156</v>
      </c>
      <c r="E211" s="915">
        <v>1.0549999999999999</v>
      </c>
      <c r="F211" s="916">
        <f t="shared" si="81"/>
        <v>5440</v>
      </c>
      <c r="G211" s="915">
        <v>1.01</v>
      </c>
      <c r="H211" s="916">
        <f t="shared" si="82"/>
        <v>5495</v>
      </c>
      <c r="I211" s="917">
        <f t="shared" si="83"/>
        <v>10990</v>
      </c>
      <c r="J211" s="918">
        <f t="shared" si="84"/>
        <v>0</v>
      </c>
      <c r="K211" s="919"/>
      <c r="L211" s="917">
        <f t="shared" si="85"/>
        <v>0</v>
      </c>
      <c r="M211" s="918">
        <f t="shared" si="86"/>
        <v>0</v>
      </c>
      <c r="N211" s="919"/>
      <c r="O211" s="917">
        <f t="shared" si="87"/>
        <v>0</v>
      </c>
      <c r="P211" s="918">
        <f t="shared" si="88"/>
        <v>0</v>
      </c>
      <c r="Q211" s="919"/>
      <c r="R211" s="917">
        <f t="shared" si="89"/>
        <v>0</v>
      </c>
      <c r="S211" s="918">
        <f t="shared" si="90"/>
        <v>0</v>
      </c>
      <c r="T211" s="919"/>
      <c r="U211" s="917">
        <f t="shared" si="91"/>
        <v>0</v>
      </c>
      <c r="V211" s="918">
        <f t="shared" si="92"/>
        <v>0</v>
      </c>
      <c r="W211" s="919"/>
      <c r="X211" s="917">
        <f t="shared" si="93"/>
        <v>0</v>
      </c>
      <c r="Y211" s="918">
        <f t="shared" si="94"/>
        <v>0</v>
      </c>
      <c r="Z211" s="919"/>
      <c r="AA211" s="917">
        <f t="shared" si="95"/>
        <v>0</v>
      </c>
      <c r="AB211" s="918">
        <f t="shared" si="96"/>
        <v>0</v>
      </c>
      <c r="AC211" s="919"/>
      <c r="AD211" s="917">
        <f t="shared" si="97"/>
        <v>0</v>
      </c>
      <c r="AE211" s="918">
        <f t="shared" si="98"/>
        <v>0</v>
      </c>
      <c r="AF211" s="919"/>
      <c r="AG211" s="917">
        <f t="shared" si="99"/>
        <v>0</v>
      </c>
      <c r="AH211" s="918">
        <f t="shared" si="100"/>
        <v>0</v>
      </c>
      <c r="AI211" s="919"/>
      <c r="AJ211" s="917">
        <f t="shared" si="101"/>
        <v>0</v>
      </c>
      <c r="AK211" s="918">
        <f t="shared" si="102"/>
        <v>0</v>
      </c>
      <c r="AL211" s="919"/>
      <c r="AM211" s="917">
        <f t="shared" si="103"/>
        <v>0</v>
      </c>
      <c r="AN211" s="920">
        <v>19242</v>
      </c>
      <c r="AO211" s="917">
        <f t="shared" si="104"/>
        <v>27494</v>
      </c>
      <c r="AP211" s="920">
        <v>1060.29</v>
      </c>
      <c r="AQ211" s="916">
        <f t="shared" si="105"/>
        <v>2120.58</v>
      </c>
      <c r="AR211" s="917">
        <f t="shared" si="106"/>
        <v>40604.58</v>
      </c>
      <c r="AS211" s="916">
        <v>12</v>
      </c>
      <c r="AT211" s="921">
        <f t="shared" si="107"/>
        <v>487254.96</v>
      </c>
      <c r="AU211" s="920">
        <f>AT211*0.085</f>
        <v>41416.67</v>
      </c>
      <c r="AV211" s="922">
        <f t="shared" si="108"/>
        <v>4872.55</v>
      </c>
      <c r="AW211" s="921">
        <f t="shared" si="109"/>
        <v>533544.18000000005</v>
      </c>
      <c r="AX211" s="921">
        <f t="shared" si="110"/>
        <v>161130.34</v>
      </c>
      <c r="AY211" s="921">
        <f t="shared" si="111"/>
        <v>694674.52</v>
      </c>
      <c r="AZ211" s="923">
        <f t="shared" si="112"/>
        <v>533.5</v>
      </c>
      <c r="BA211" s="923">
        <f t="shared" si="113"/>
        <v>161.1</v>
      </c>
      <c r="BB211" s="923">
        <f t="shared" si="114"/>
        <v>694.6</v>
      </c>
      <c r="BC211" s="915">
        <v>0.95</v>
      </c>
      <c r="BD211" s="923">
        <f t="shared" si="115"/>
        <v>506.8</v>
      </c>
      <c r="BE211" s="923">
        <f t="shared" si="116"/>
        <v>153.1</v>
      </c>
      <c r="BF211" s="923">
        <f t="shared" si="117"/>
        <v>659.9</v>
      </c>
      <c r="BG211" s="924">
        <f>'[3]свод (2024)'!$B$116</f>
        <v>0.99758349999999996</v>
      </c>
      <c r="BH211" s="923">
        <f t="shared" si="118"/>
        <v>505.6</v>
      </c>
      <c r="BI211" s="923">
        <f t="shared" si="119"/>
        <v>152.69999999999999</v>
      </c>
      <c r="BJ211" s="923">
        <f t="shared" si="120"/>
        <v>658.3</v>
      </c>
      <c r="BK211" s="925">
        <f t="shared" si="121"/>
        <v>-27.9</v>
      </c>
      <c r="BL211" s="925">
        <f t="shared" si="121"/>
        <v>-8.4</v>
      </c>
      <c r="BM211" s="925">
        <f t="shared" si="122"/>
        <v>-36.299999999999997</v>
      </c>
      <c r="BN211" s="925">
        <f t="shared" si="123"/>
        <v>0</v>
      </c>
      <c r="BO211" s="925">
        <f t="shared" si="124"/>
        <v>0</v>
      </c>
      <c r="BP211" s="926"/>
      <c r="BQ211" s="925">
        <f t="shared" si="125"/>
        <v>505.6</v>
      </c>
      <c r="BR211" s="925">
        <f t="shared" si="125"/>
        <v>152.69999999999999</v>
      </c>
      <c r="BS211" s="925">
        <f t="shared" si="126"/>
        <v>658.3</v>
      </c>
      <c r="BU211" s="928"/>
      <c r="BV211" s="917"/>
      <c r="BW211" s="928"/>
      <c r="BX211" s="928"/>
      <c r="BY211" s="928"/>
      <c r="BZ211" s="917"/>
      <c r="CA211" s="928"/>
      <c r="CB211" s="917"/>
      <c r="CC211" s="928"/>
      <c r="CD211" s="928"/>
      <c r="CE211" s="928"/>
      <c r="CF211" s="929"/>
      <c r="CG211" s="928"/>
      <c r="CH211" s="928"/>
      <c r="CI211" s="928"/>
      <c r="CJ211" s="925"/>
      <c r="CK211" s="925"/>
      <c r="CL211" s="925"/>
      <c r="CM211" s="925"/>
      <c r="CN211" s="925"/>
      <c r="CO211" s="925"/>
      <c r="CP211" s="925"/>
      <c r="CQ211" s="925"/>
      <c r="CR211" s="925"/>
      <c r="CS211" s="917"/>
      <c r="CT211" s="928"/>
      <c r="CU211" s="928"/>
      <c r="CV211" s="928"/>
      <c r="CX211" s="925"/>
      <c r="CY211" s="925"/>
      <c r="CZ211" s="925"/>
      <c r="DB211" s="925"/>
      <c r="DC211" s="925"/>
      <c r="DD211" s="925"/>
      <c r="DE211" s="925"/>
      <c r="DF211" s="925"/>
      <c r="DG211" s="925"/>
      <c r="DH211" s="925"/>
      <c r="DI211" s="925"/>
      <c r="DJ211" s="925"/>
      <c r="DK211" s="925"/>
      <c r="DL211" s="925"/>
      <c r="DM211" s="925"/>
      <c r="DN211" s="925"/>
      <c r="DO211" s="925"/>
      <c r="DP211" s="925"/>
      <c r="DQ211" s="924"/>
      <c r="DR211" s="925"/>
      <c r="DS211" s="925"/>
      <c r="DT211" s="925"/>
      <c r="DV211" s="925"/>
      <c r="DW211" s="925"/>
      <c r="DX211" s="925"/>
      <c r="DY211" s="925"/>
      <c r="DZ211" s="925"/>
      <c r="EA211" s="925"/>
      <c r="EB211" s="925"/>
      <c r="EC211" s="925"/>
      <c r="ED211" s="925"/>
      <c r="EE211" s="925"/>
      <c r="EF211" s="925"/>
      <c r="EG211" s="925"/>
      <c r="EH211" s="925"/>
      <c r="EI211" s="925"/>
      <c r="EJ211" s="925"/>
      <c r="EK211" s="925"/>
      <c r="EL211" s="925"/>
      <c r="EM211" s="925"/>
      <c r="EN211" s="925"/>
      <c r="EO211" s="925"/>
      <c r="EP211" s="925"/>
      <c r="EQ211" s="925"/>
      <c r="ER211" s="925"/>
      <c r="ES211" s="925"/>
      <c r="ET211" s="925"/>
      <c r="EV211" s="924"/>
      <c r="EW211" s="925"/>
      <c r="EX211" s="925"/>
      <c r="EY211" s="925"/>
    </row>
    <row r="212" spans="1:155" s="927" customFormat="1" ht="15.75" x14ac:dyDescent="0.25">
      <c r="A212" s="912" t="s">
        <v>62</v>
      </c>
      <c r="B212" s="913" t="s">
        <v>35</v>
      </c>
      <c r="C212" s="914">
        <v>14.44</v>
      </c>
      <c r="D212" s="914">
        <v>13132</v>
      </c>
      <c r="E212" s="915">
        <v>1.0549999999999999</v>
      </c>
      <c r="F212" s="916">
        <f t="shared" si="81"/>
        <v>13855</v>
      </c>
      <c r="G212" s="915">
        <v>1.01</v>
      </c>
      <c r="H212" s="916">
        <f t="shared" si="82"/>
        <v>13994</v>
      </c>
      <c r="I212" s="917">
        <f t="shared" si="83"/>
        <v>202073.36</v>
      </c>
      <c r="J212" s="918">
        <f t="shared" si="84"/>
        <v>0.17122999999999999</v>
      </c>
      <c r="K212" s="919">
        <v>32468.87</v>
      </c>
      <c r="L212" s="917">
        <f t="shared" si="85"/>
        <v>34601.019999999997</v>
      </c>
      <c r="M212" s="918">
        <f t="shared" si="86"/>
        <v>0</v>
      </c>
      <c r="N212" s="919"/>
      <c r="O212" s="917">
        <f t="shared" si="87"/>
        <v>0</v>
      </c>
      <c r="P212" s="918">
        <f t="shared" si="88"/>
        <v>0</v>
      </c>
      <c r="Q212" s="919"/>
      <c r="R212" s="917">
        <f t="shared" si="89"/>
        <v>0</v>
      </c>
      <c r="S212" s="918">
        <f t="shared" si="90"/>
        <v>0</v>
      </c>
      <c r="T212" s="919"/>
      <c r="U212" s="917">
        <f t="shared" si="91"/>
        <v>0</v>
      </c>
      <c r="V212" s="918">
        <f t="shared" si="92"/>
        <v>0</v>
      </c>
      <c r="W212" s="919"/>
      <c r="X212" s="917">
        <f t="shared" si="93"/>
        <v>0</v>
      </c>
      <c r="Y212" s="918">
        <f t="shared" si="94"/>
        <v>0</v>
      </c>
      <c r="Z212" s="919"/>
      <c r="AA212" s="917">
        <f t="shared" si="95"/>
        <v>0</v>
      </c>
      <c r="AB212" s="918">
        <f t="shared" si="96"/>
        <v>0.17238999999999999</v>
      </c>
      <c r="AC212" s="919">
        <v>32689.49</v>
      </c>
      <c r="AD212" s="917">
        <f t="shared" si="97"/>
        <v>34835.43</v>
      </c>
      <c r="AE212" s="918">
        <f t="shared" si="98"/>
        <v>0</v>
      </c>
      <c r="AF212" s="919"/>
      <c r="AG212" s="917">
        <f t="shared" si="99"/>
        <v>0</v>
      </c>
      <c r="AH212" s="918">
        <f t="shared" si="100"/>
        <v>0</v>
      </c>
      <c r="AI212" s="919"/>
      <c r="AJ212" s="917">
        <f t="shared" si="101"/>
        <v>0</v>
      </c>
      <c r="AK212" s="918">
        <f t="shared" si="102"/>
        <v>0</v>
      </c>
      <c r="AL212" s="919"/>
      <c r="AM212" s="917">
        <f t="shared" si="103"/>
        <v>0</v>
      </c>
      <c r="AN212" s="920">
        <v>19242</v>
      </c>
      <c r="AO212" s="917">
        <f t="shared" si="104"/>
        <v>6344.67</v>
      </c>
      <c r="AP212" s="920"/>
      <c r="AQ212" s="916">
        <f t="shared" si="105"/>
        <v>0</v>
      </c>
      <c r="AR212" s="917">
        <f t="shared" si="106"/>
        <v>277854.48</v>
      </c>
      <c r="AS212" s="916">
        <v>12</v>
      </c>
      <c r="AT212" s="921">
        <f t="shared" si="107"/>
        <v>3334253.76</v>
      </c>
      <c r="AU212" s="920"/>
      <c r="AV212" s="922">
        <f t="shared" si="108"/>
        <v>33342.54</v>
      </c>
      <c r="AW212" s="921">
        <f t="shared" si="109"/>
        <v>3367596.3</v>
      </c>
      <c r="AX212" s="921">
        <f t="shared" si="110"/>
        <v>1017014.08</v>
      </c>
      <c r="AY212" s="921">
        <f t="shared" si="111"/>
        <v>4384610.38</v>
      </c>
      <c r="AZ212" s="923">
        <f t="shared" si="112"/>
        <v>3367.6</v>
      </c>
      <c r="BA212" s="923">
        <f t="shared" si="113"/>
        <v>1017</v>
      </c>
      <c r="BB212" s="923">
        <f t="shared" si="114"/>
        <v>4384.6000000000004</v>
      </c>
      <c r="BC212" s="915">
        <v>0.95</v>
      </c>
      <c r="BD212" s="923">
        <f t="shared" si="115"/>
        <v>3199.2</v>
      </c>
      <c r="BE212" s="923">
        <f t="shared" si="116"/>
        <v>966.2</v>
      </c>
      <c r="BF212" s="923">
        <f t="shared" si="117"/>
        <v>4165.3999999999996</v>
      </c>
      <c r="BG212" s="924">
        <f>'[3]свод (2024)'!$B$116</f>
        <v>0.99758349999999996</v>
      </c>
      <c r="BH212" s="923">
        <f t="shared" si="118"/>
        <v>3191.5</v>
      </c>
      <c r="BI212" s="923">
        <f t="shared" si="119"/>
        <v>963.8</v>
      </c>
      <c r="BJ212" s="923">
        <f t="shared" si="120"/>
        <v>4155.3</v>
      </c>
      <c r="BK212" s="925">
        <f t="shared" si="121"/>
        <v>-176.1</v>
      </c>
      <c r="BL212" s="925">
        <f t="shared" si="121"/>
        <v>-53.2</v>
      </c>
      <c r="BM212" s="925">
        <f t="shared" si="122"/>
        <v>-229.3</v>
      </c>
      <c r="BN212" s="925">
        <f t="shared" si="123"/>
        <v>0</v>
      </c>
      <c r="BO212" s="925">
        <f t="shared" si="124"/>
        <v>0</v>
      </c>
      <c r="BP212" s="926"/>
      <c r="BQ212" s="925">
        <f t="shared" si="125"/>
        <v>3191.5</v>
      </c>
      <c r="BR212" s="925">
        <f t="shared" si="125"/>
        <v>963.8</v>
      </c>
      <c r="BS212" s="925">
        <f t="shared" si="126"/>
        <v>4155.3</v>
      </c>
      <c r="BU212" s="928">
        <f t="shared" si="127"/>
        <v>14.44</v>
      </c>
      <c r="BV212" s="917"/>
      <c r="BW212" s="928"/>
      <c r="BX212" s="928">
        <f t="shared" si="128"/>
        <v>3367596.3</v>
      </c>
      <c r="BY212" s="928"/>
      <c r="BZ212" s="917"/>
      <c r="CA212" s="928"/>
      <c r="CB212" s="917"/>
      <c r="CC212" s="928"/>
      <c r="CD212" s="928"/>
      <c r="CE212" s="928"/>
      <c r="CF212" s="929">
        <f t="shared" ref="CF212:CF214" si="168">CC$220/BU$220*BU212</f>
        <v>813198.11</v>
      </c>
      <c r="CG212" s="928"/>
      <c r="CH212" s="928"/>
      <c r="CI212" s="928"/>
      <c r="CJ212" s="925"/>
      <c r="CK212" s="925"/>
      <c r="CL212" s="925"/>
      <c r="CM212" s="925"/>
      <c r="CN212" s="925"/>
      <c r="CO212" s="925"/>
      <c r="CP212" s="925"/>
      <c r="CQ212" s="925"/>
      <c r="CR212" s="925"/>
      <c r="CS212" s="917"/>
      <c r="CT212" s="928"/>
      <c r="CU212" s="928"/>
      <c r="CV212" s="928"/>
      <c r="CX212" s="925"/>
      <c r="CY212" s="925"/>
      <c r="CZ212" s="925"/>
      <c r="DB212" s="925"/>
      <c r="DC212" s="925"/>
      <c r="DD212" s="925"/>
      <c r="DE212" s="925"/>
      <c r="DF212" s="925"/>
      <c r="DG212" s="925"/>
      <c r="DH212" s="925"/>
      <c r="DI212" s="925"/>
      <c r="DJ212" s="925"/>
      <c r="DK212" s="925"/>
      <c r="DL212" s="925"/>
      <c r="DM212" s="925"/>
      <c r="DN212" s="925"/>
      <c r="DO212" s="925"/>
      <c r="DP212" s="925"/>
      <c r="DQ212" s="924"/>
      <c r="DR212" s="925"/>
      <c r="DS212" s="925"/>
      <c r="DT212" s="925"/>
      <c r="DV212" s="925"/>
      <c r="DW212" s="925"/>
      <c r="DX212" s="925"/>
      <c r="DY212" s="925"/>
      <c r="DZ212" s="925"/>
      <c r="EA212" s="925"/>
      <c r="EB212" s="925"/>
      <c r="EC212" s="925"/>
      <c r="ED212" s="925"/>
      <c r="EE212" s="925"/>
      <c r="EF212" s="925"/>
      <c r="EG212" s="925"/>
      <c r="EH212" s="925"/>
      <c r="EI212" s="925"/>
      <c r="EJ212" s="925"/>
      <c r="EK212" s="925"/>
      <c r="EL212" s="925"/>
      <c r="EM212" s="925"/>
      <c r="EN212" s="925"/>
      <c r="EO212" s="925"/>
      <c r="EP212" s="925"/>
      <c r="EQ212" s="925"/>
      <c r="ER212" s="925"/>
      <c r="ES212" s="925"/>
      <c r="ET212" s="925"/>
      <c r="EV212" s="924"/>
      <c r="EW212" s="925"/>
      <c r="EX212" s="925"/>
      <c r="EY212" s="925"/>
    </row>
    <row r="213" spans="1:155" s="927" customFormat="1" ht="15.75" x14ac:dyDescent="0.25">
      <c r="A213" s="912" t="s">
        <v>62</v>
      </c>
      <c r="B213" s="913" t="s">
        <v>37</v>
      </c>
      <c r="C213" s="914">
        <v>1</v>
      </c>
      <c r="D213" s="914">
        <v>13132</v>
      </c>
      <c r="E213" s="915">
        <v>1.0549999999999999</v>
      </c>
      <c r="F213" s="916">
        <f t="shared" ref="F213:F219" si="169">ROUNDUP(D213*E213,0)</f>
        <v>13855</v>
      </c>
      <c r="G213" s="915">
        <v>1.01</v>
      </c>
      <c r="H213" s="916">
        <f t="shared" ref="H213:H219" si="170">ROUNDUP(F213*G213,0)</f>
        <v>13994</v>
      </c>
      <c r="I213" s="917">
        <f t="shared" ref="I213:I219" si="171">ROUND(C213*H213,2)</f>
        <v>13994</v>
      </c>
      <c r="J213" s="918">
        <f t="shared" ref="J213:J219" si="172">IF(K213&gt;0,(ROUND(K213/($C213*$D213),5)),0)</f>
        <v>0.25</v>
      </c>
      <c r="K213" s="919">
        <v>3283</v>
      </c>
      <c r="L213" s="917">
        <f t="shared" ref="L213:L219" si="173">ROUND($I213*J213,2)</f>
        <v>3498.5</v>
      </c>
      <c r="M213" s="918">
        <f t="shared" ref="M213:M219" si="174">IF(N213&gt;0,(ROUND(N213/($C213*$D213),5)),0)</f>
        <v>0</v>
      </c>
      <c r="N213" s="919"/>
      <c r="O213" s="917">
        <f t="shared" ref="O213:O219" si="175">ROUND($I213*M213,2)</f>
        <v>0</v>
      </c>
      <c r="P213" s="918">
        <f t="shared" ref="P213:P219" si="176">IF(Q213&gt;0,(ROUND(Q213/($C213*$D213),5)),0)</f>
        <v>0</v>
      </c>
      <c r="Q213" s="919"/>
      <c r="R213" s="917">
        <f t="shared" ref="R213:R219" si="177">ROUND($I213*P213,2)</f>
        <v>0</v>
      </c>
      <c r="S213" s="918">
        <f t="shared" ref="S213:S219" si="178">IF(T213&gt;0,(ROUND(T213/($C213*$D213),5)),0)</f>
        <v>0</v>
      </c>
      <c r="T213" s="919"/>
      <c r="U213" s="917">
        <f t="shared" ref="U213:U219" si="179">ROUND($I213*S213,2)</f>
        <v>0</v>
      </c>
      <c r="V213" s="918">
        <f t="shared" ref="V213:V219" si="180">IF(W213&gt;0,(ROUND(W213/($C213*$D213),5)),0)</f>
        <v>0</v>
      </c>
      <c r="W213" s="919"/>
      <c r="X213" s="917">
        <f t="shared" ref="X213:X219" si="181">ROUND($I213*V213,2)</f>
        <v>0</v>
      </c>
      <c r="Y213" s="918">
        <f t="shared" ref="Y213:Y219" si="182">IF(Z213&gt;0,(ROUND(Z213/($C213*$D213),5)),0)</f>
        <v>0</v>
      </c>
      <c r="Z213" s="919"/>
      <c r="AA213" s="917">
        <f t="shared" ref="AA213:AA219" si="183">ROUND($I213*Y213,2)</f>
        <v>0</v>
      </c>
      <c r="AB213" s="918">
        <f t="shared" ref="AB213:AB219" si="184">IF(AC213&gt;0,(ROUND(AC213/($C213*$D213),5)),0)</f>
        <v>0.25</v>
      </c>
      <c r="AC213" s="919">
        <v>3283</v>
      </c>
      <c r="AD213" s="917">
        <f t="shared" ref="AD213:AD219" si="185">ROUND($I213*AB213,2)</f>
        <v>3498.5</v>
      </c>
      <c r="AE213" s="918">
        <f t="shared" ref="AE213:AE219" si="186">IF(AF213&gt;0,(ROUND(AF213/($C213*$D213),5)),0)</f>
        <v>0</v>
      </c>
      <c r="AF213" s="919"/>
      <c r="AG213" s="917">
        <f t="shared" ref="AG213:AG219" si="187">ROUND($I213*AE213,2)</f>
        <v>0</v>
      </c>
      <c r="AH213" s="918">
        <f t="shared" ref="AH213:AH219" si="188">IF(AI213&gt;0,(ROUND(AI213/($C213*$D213),5)),0)</f>
        <v>0</v>
      </c>
      <c r="AI213" s="919"/>
      <c r="AJ213" s="917">
        <f t="shared" ref="AJ213:AJ219" si="189">ROUND($I213*AH213,2)</f>
        <v>0</v>
      </c>
      <c r="AK213" s="918">
        <f t="shared" ref="AK213:AK219" si="190">IF(AL213&gt;0,(ROUND(AL213/($C213*$D213),5)),0)</f>
        <v>0</v>
      </c>
      <c r="AL213" s="919"/>
      <c r="AM213" s="917">
        <f t="shared" ref="AM213:AM219" si="191">ROUND($I213*AK213,2)</f>
        <v>0</v>
      </c>
      <c r="AN213" s="920">
        <v>19242</v>
      </c>
      <c r="AO213" s="917">
        <f t="shared" ref="AO213:AO219" si="192">ROUND(IF(((I213+L213+O213+R213+U213+X213+AA213+AD213+AG213+AJ213+AM213)&gt;(AN213*C213)),0,((AN213*C213)-(I213+L213+O213+R213+U213+X213+AA213+AD213+AG213+AJ213+AM213))),2)</f>
        <v>0</v>
      </c>
      <c r="AP213" s="920"/>
      <c r="AQ213" s="916">
        <f t="shared" ref="AQ213:AQ219" si="193">ROUND(C213*AP213,2)</f>
        <v>0</v>
      </c>
      <c r="AR213" s="917">
        <f t="shared" ref="AR213:AR219" si="194">ROUND((I213+L213+O213+R213+U213+X213+AA213+AD213+AG213+AJ213+AM213+AO213+AQ213),2)</f>
        <v>20991</v>
      </c>
      <c r="AS213" s="916">
        <v>12</v>
      </c>
      <c r="AT213" s="921">
        <f t="shared" ref="AT213:AT219" si="195">ROUND(AR213*AS213,2)</f>
        <v>251892</v>
      </c>
      <c r="AU213" s="920"/>
      <c r="AV213" s="922">
        <f t="shared" ref="AV213:AV219" si="196">ROUND(AT213*0.01,2)</f>
        <v>2518.92</v>
      </c>
      <c r="AW213" s="921">
        <f t="shared" ref="AW213:AW219" si="197">ROUND((AT213+AU213+AV213),2)</f>
        <v>254410.92</v>
      </c>
      <c r="AX213" s="921">
        <f t="shared" ref="AX213:AX219" si="198">ROUND(AW213*0.302,2)</f>
        <v>76832.100000000006</v>
      </c>
      <c r="AY213" s="921">
        <f t="shared" ref="AY213:AY219" si="199">ROUND((AW213+AX213),2)</f>
        <v>331243.02</v>
      </c>
      <c r="AZ213" s="923">
        <f t="shared" ref="AZ213:AZ219" si="200">ROUND(AW213/1000,1)</f>
        <v>254.4</v>
      </c>
      <c r="BA213" s="923">
        <f t="shared" ref="BA213:BA219" si="201">ROUND(AZ213*0.302,1)</f>
        <v>76.8</v>
      </c>
      <c r="BB213" s="923">
        <f t="shared" ref="BB213:BB219" si="202">ROUND((AZ213+BA213),1)</f>
        <v>331.2</v>
      </c>
      <c r="BC213" s="915">
        <v>0.95</v>
      </c>
      <c r="BD213" s="923">
        <f t="shared" ref="BD213:BD219" si="203">ROUND(AZ213*BC213,1)</f>
        <v>241.7</v>
      </c>
      <c r="BE213" s="923">
        <f t="shared" ref="BE213:BE219" si="204">ROUND(BD213*0.302,1)</f>
        <v>73</v>
      </c>
      <c r="BF213" s="923">
        <f t="shared" ref="BF213:BF219" si="205">ROUND((BD213+BE213),1)</f>
        <v>314.7</v>
      </c>
      <c r="BG213" s="924">
        <f>'[3]свод (2024)'!$B$116</f>
        <v>0.99758349999999996</v>
      </c>
      <c r="BH213" s="923">
        <f t="shared" ref="BH213:BH219" si="206">ROUND(BD213*BG213,1)</f>
        <v>241.1</v>
      </c>
      <c r="BI213" s="923">
        <f t="shared" ref="BI213:BI219" si="207">ROUND(BH213*0.302,1)</f>
        <v>72.8</v>
      </c>
      <c r="BJ213" s="923">
        <f t="shared" ref="BJ213:BJ219" si="208">ROUND((BH213+BI213),1)</f>
        <v>313.89999999999998</v>
      </c>
      <c r="BK213" s="925">
        <f t="shared" ref="BK213:BL219" si="209">ROUND((BH213-AZ213),1)</f>
        <v>-13.3</v>
      </c>
      <c r="BL213" s="925">
        <f t="shared" si="209"/>
        <v>-4</v>
      </c>
      <c r="BM213" s="925">
        <f t="shared" ref="BM213:BM219" si="210">ROUND((BK213+BL213),1)</f>
        <v>-17.3</v>
      </c>
      <c r="BN213" s="925">
        <f t="shared" ref="BN213:BN219" si="211">ROUND(BP213/1.302,1)</f>
        <v>0</v>
      </c>
      <c r="BO213" s="925">
        <f t="shared" ref="BO213:BO219" si="212">ROUND((BP213-BN213),1)</f>
        <v>0</v>
      </c>
      <c r="BP213" s="926"/>
      <c r="BQ213" s="925">
        <f t="shared" ref="BQ213:BR219" si="213">ROUND((BH213-BN213),1)</f>
        <v>241.1</v>
      </c>
      <c r="BR213" s="925">
        <f t="shared" si="213"/>
        <v>72.8</v>
      </c>
      <c r="BS213" s="925">
        <f t="shared" ref="BS213:BS219" si="214">ROUND((BQ213+BR213),1)</f>
        <v>313.89999999999998</v>
      </c>
      <c r="BU213" s="928">
        <f t="shared" ref="BU213:BU214" si="215">C213</f>
        <v>1</v>
      </c>
      <c r="BV213" s="917"/>
      <c r="BW213" s="928"/>
      <c r="BX213" s="928">
        <f t="shared" ref="BX213:BX214" si="216">AW213-X213</f>
        <v>254410.92</v>
      </c>
      <c r="BY213" s="928"/>
      <c r="BZ213" s="917"/>
      <c r="CA213" s="928"/>
      <c r="CB213" s="917"/>
      <c r="CC213" s="928"/>
      <c r="CD213" s="928"/>
      <c r="CE213" s="928"/>
      <c r="CF213" s="929">
        <f t="shared" si="168"/>
        <v>56315.66</v>
      </c>
      <c r="CG213" s="928"/>
      <c r="CH213" s="928"/>
      <c r="CI213" s="928"/>
      <c r="CJ213" s="925"/>
      <c r="CK213" s="925"/>
      <c r="CL213" s="925"/>
      <c r="CM213" s="925"/>
      <c r="CN213" s="925"/>
      <c r="CO213" s="925"/>
      <c r="CP213" s="925"/>
      <c r="CQ213" s="925"/>
      <c r="CR213" s="925"/>
      <c r="CS213" s="917"/>
      <c r="CT213" s="928"/>
      <c r="CU213" s="928"/>
      <c r="CV213" s="928"/>
      <c r="CX213" s="925"/>
      <c r="CY213" s="925"/>
      <c r="CZ213" s="925"/>
      <c r="DB213" s="925"/>
      <c r="DC213" s="925"/>
      <c r="DD213" s="925"/>
      <c r="DE213" s="925"/>
      <c r="DF213" s="925"/>
      <c r="DG213" s="925"/>
      <c r="DH213" s="925"/>
      <c r="DI213" s="925"/>
      <c r="DJ213" s="925"/>
      <c r="DK213" s="925"/>
      <c r="DL213" s="925"/>
      <c r="DM213" s="925"/>
      <c r="DN213" s="925"/>
      <c r="DO213" s="925"/>
      <c r="DP213" s="925"/>
      <c r="DQ213" s="924"/>
      <c r="DR213" s="925"/>
      <c r="DS213" s="925"/>
      <c r="DT213" s="925"/>
      <c r="DV213" s="925"/>
      <c r="DW213" s="925"/>
      <c r="DX213" s="925"/>
      <c r="DY213" s="925"/>
      <c r="DZ213" s="925"/>
      <c r="EA213" s="925"/>
      <c r="EB213" s="925"/>
      <c r="EC213" s="925"/>
      <c r="ED213" s="925"/>
      <c r="EE213" s="925"/>
      <c r="EF213" s="925"/>
      <c r="EG213" s="925"/>
      <c r="EH213" s="925"/>
      <c r="EI213" s="925"/>
      <c r="EJ213" s="925"/>
      <c r="EK213" s="925"/>
      <c r="EL213" s="925"/>
      <c r="EM213" s="925"/>
      <c r="EN213" s="925"/>
      <c r="EO213" s="925"/>
      <c r="EP213" s="925"/>
      <c r="EQ213" s="925"/>
      <c r="ER213" s="925"/>
      <c r="ES213" s="925"/>
      <c r="ET213" s="925"/>
      <c r="EV213" s="924"/>
      <c r="EW213" s="925"/>
      <c r="EX213" s="925"/>
      <c r="EY213" s="925"/>
    </row>
    <row r="214" spans="1:155" s="927" customFormat="1" ht="15.75" x14ac:dyDescent="0.25">
      <c r="A214" s="912" t="s">
        <v>62</v>
      </c>
      <c r="B214" s="913" t="s">
        <v>1386</v>
      </c>
      <c r="C214" s="914">
        <v>1</v>
      </c>
      <c r="D214" s="914">
        <v>13772</v>
      </c>
      <c r="E214" s="915">
        <v>1.0549999999999999</v>
      </c>
      <c r="F214" s="916">
        <f t="shared" si="169"/>
        <v>14530</v>
      </c>
      <c r="G214" s="915">
        <v>1.01</v>
      </c>
      <c r="H214" s="916">
        <f t="shared" si="170"/>
        <v>14676</v>
      </c>
      <c r="I214" s="917">
        <f t="shared" si="171"/>
        <v>14676</v>
      </c>
      <c r="J214" s="918">
        <f t="shared" si="172"/>
        <v>0.125</v>
      </c>
      <c r="K214" s="919">
        <v>1721.5</v>
      </c>
      <c r="L214" s="917">
        <f t="shared" si="173"/>
        <v>1834.5</v>
      </c>
      <c r="M214" s="918">
        <f t="shared" si="174"/>
        <v>0</v>
      </c>
      <c r="N214" s="919"/>
      <c r="O214" s="917">
        <f t="shared" si="175"/>
        <v>0</v>
      </c>
      <c r="P214" s="918">
        <f t="shared" si="176"/>
        <v>0</v>
      </c>
      <c r="Q214" s="919"/>
      <c r="R214" s="917">
        <f t="shared" si="177"/>
        <v>0</v>
      </c>
      <c r="S214" s="918">
        <f t="shared" si="178"/>
        <v>0</v>
      </c>
      <c r="T214" s="919"/>
      <c r="U214" s="917">
        <f t="shared" si="179"/>
        <v>0</v>
      </c>
      <c r="V214" s="918">
        <f t="shared" si="180"/>
        <v>0</v>
      </c>
      <c r="W214" s="919"/>
      <c r="X214" s="917">
        <f t="shared" si="181"/>
        <v>0</v>
      </c>
      <c r="Y214" s="918">
        <f t="shared" si="182"/>
        <v>0</v>
      </c>
      <c r="Z214" s="919"/>
      <c r="AA214" s="917">
        <f t="shared" si="183"/>
        <v>0</v>
      </c>
      <c r="AB214" s="918">
        <f t="shared" si="184"/>
        <v>0.15</v>
      </c>
      <c r="AC214" s="919">
        <v>2065.8000000000002</v>
      </c>
      <c r="AD214" s="917">
        <f t="shared" si="185"/>
        <v>2201.4</v>
      </c>
      <c r="AE214" s="918">
        <f t="shared" si="186"/>
        <v>0</v>
      </c>
      <c r="AF214" s="919"/>
      <c r="AG214" s="917">
        <f t="shared" si="187"/>
        <v>0</v>
      </c>
      <c r="AH214" s="918">
        <f t="shared" si="188"/>
        <v>0</v>
      </c>
      <c r="AI214" s="919"/>
      <c r="AJ214" s="917">
        <f t="shared" si="189"/>
        <v>0</v>
      </c>
      <c r="AK214" s="918">
        <f t="shared" si="190"/>
        <v>0</v>
      </c>
      <c r="AL214" s="919"/>
      <c r="AM214" s="917">
        <f t="shared" si="191"/>
        <v>0</v>
      </c>
      <c r="AN214" s="920">
        <v>19242</v>
      </c>
      <c r="AO214" s="917">
        <f t="shared" si="192"/>
        <v>530.1</v>
      </c>
      <c r="AP214" s="920"/>
      <c r="AQ214" s="916">
        <f t="shared" si="193"/>
        <v>0</v>
      </c>
      <c r="AR214" s="917">
        <f t="shared" si="194"/>
        <v>19242</v>
      </c>
      <c r="AS214" s="916">
        <v>12</v>
      </c>
      <c r="AT214" s="921">
        <f t="shared" si="195"/>
        <v>230904</v>
      </c>
      <c r="AU214" s="920"/>
      <c r="AV214" s="922">
        <f t="shared" si="196"/>
        <v>2309.04</v>
      </c>
      <c r="AW214" s="921">
        <f t="shared" si="197"/>
        <v>233213.04</v>
      </c>
      <c r="AX214" s="921">
        <f t="shared" si="198"/>
        <v>70430.34</v>
      </c>
      <c r="AY214" s="921">
        <f t="shared" si="199"/>
        <v>303643.38</v>
      </c>
      <c r="AZ214" s="923">
        <f t="shared" si="200"/>
        <v>233.2</v>
      </c>
      <c r="BA214" s="923">
        <f t="shared" si="201"/>
        <v>70.400000000000006</v>
      </c>
      <c r="BB214" s="923">
        <f t="shared" si="202"/>
        <v>303.60000000000002</v>
      </c>
      <c r="BC214" s="915">
        <v>0.95</v>
      </c>
      <c r="BD214" s="923">
        <f t="shared" si="203"/>
        <v>221.5</v>
      </c>
      <c r="BE214" s="923">
        <f t="shared" si="204"/>
        <v>66.900000000000006</v>
      </c>
      <c r="BF214" s="923">
        <f t="shared" si="205"/>
        <v>288.39999999999998</v>
      </c>
      <c r="BG214" s="924">
        <f>'[3]свод (2024)'!$B$116</f>
        <v>0.99758349999999996</v>
      </c>
      <c r="BH214" s="923">
        <f t="shared" si="206"/>
        <v>221</v>
      </c>
      <c r="BI214" s="923">
        <f t="shared" si="207"/>
        <v>66.7</v>
      </c>
      <c r="BJ214" s="923">
        <f t="shared" si="208"/>
        <v>287.7</v>
      </c>
      <c r="BK214" s="925">
        <f t="shared" si="209"/>
        <v>-12.2</v>
      </c>
      <c r="BL214" s="925">
        <f t="shared" si="209"/>
        <v>-3.7</v>
      </c>
      <c r="BM214" s="925">
        <f t="shared" si="210"/>
        <v>-15.9</v>
      </c>
      <c r="BN214" s="925">
        <f t="shared" si="211"/>
        <v>0</v>
      </c>
      <c r="BO214" s="925">
        <f t="shared" si="212"/>
        <v>0</v>
      </c>
      <c r="BP214" s="926"/>
      <c r="BQ214" s="925">
        <f t="shared" si="213"/>
        <v>221</v>
      </c>
      <c r="BR214" s="925">
        <f t="shared" si="213"/>
        <v>66.7</v>
      </c>
      <c r="BS214" s="925">
        <f t="shared" si="214"/>
        <v>287.7</v>
      </c>
      <c r="BU214" s="928">
        <f t="shared" si="215"/>
        <v>1</v>
      </c>
      <c r="BV214" s="917"/>
      <c r="BW214" s="928"/>
      <c r="BX214" s="928">
        <f t="shared" si="216"/>
        <v>233213.04</v>
      </c>
      <c r="BY214" s="928"/>
      <c r="BZ214" s="917"/>
      <c r="CA214" s="928"/>
      <c r="CB214" s="917"/>
      <c r="CC214" s="928"/>
      <c r="CD214" s="928"/>
      <c r="CE214" s="928"/>
      <c r="CF214" s="929">
        <f t="shared" si="168"/>
        <v>56315.66</v>
      </c>
      <c r="CG214" s="928"/>
      <c r="CH214" s="928"/>
      <c r="CI214" s="928"/>
      <c r="CJ214" s="925"/>
      <c r="CK214" s="925"/>
      <c r="CL214" s="925"/>
      <c r="CM214" s="925"/>
      <c r="CN214" s="925"/>
      <c r="CO214" s="925"/>
      <c r="CP214" s="925"/>
      <c r="CQ214" s="925"/>
      <c r="CR214" s="925"/>
      <c r="CS214" s="917"/>
      <c r="CT214" s="928"/>
      <c r="CU214" s="928"/>
      <c r="CV214" s="928"/>
      <c r="CX214" s="925"/>
      <c r="CY214" s="925"/>
      <c r="CZ214" s="925"/>
      <c r="DB214" s="925"/>
      <c r="DC214" s="925"/>
      <c r="DD214" s="925"/>
      <c r="DE214" s="925"/>
      <c r="DF214" s="925"/>
      <c r="DG214" s="925"/>
      <c r="DH214" s="925"/>
      <c r="DI214" s="925"/>
      <c r="DJ214" s="925"/>
      <c r="DK214" s="925"/>
      <c r="DL214" s="925"/>
      <c r="DM214" s="925"/>
      <c r="DN214" s="925"/>
      <c r="DO214" s="925"/>
      <c r="DP214" s="925"/>
      <c r="DQ214" s="924"/>
      <c r="DR214" s="925"/>
      <c r="DS214" s="925"/>
      <c r="DT214" s="925"/>
      <c r="DV214" s="925"/>
      <c r="DW214" s="925"/>
      <c r="DX214" s="925"/>
      <c r="DY214" s="925"/>
      <c r="DZ214" s="925"/>
      <c r="EA214" s="925"/>
      <c r="EB214" s="925"/>
      <c r="EC214" s="925"/>
      <c r="ED214" s="925"/>
      <c r="EE214" s="925"/>
      <c r="EF214" s="925"/>
      <c r="EG214" s="925"/>
      <c r="EH214" s="925"/>
      <c r="EI214" s="925"/>
      <c r="EJ214" s="925"/>
      <c r="EK214" s="925"/>
      <c r="EL214" s="925"/>
      <c r="EM214" s="925"/>
      <c r="EN214" s="925"/>
      <c r="EO214" s="925"/>
      <c r="EP214" s="925"/>
      <c r="EQ214" s="925"/>
      <c r="ER214" s="925"/>
      <c r="ES214" s="925"/>
      <c r="ET214" s="925"/>
      <c r="EV214" s="924"/>
      <c r="EW214" s="925"/>
      <c r="EX214" s="925"/>
      <c r="EY214" s="925"/>
    </row>
    <row r="215" spans="1:155" s="927" customFormat="1" ht="24" x14ac:dyDescent="0.25">
      <c r="A215" s="912" t="s">
        <v>62</v>
      </c>
      <c r="B215" s="913" t="s">
        <v>1417</v>
      </c>
      <c r="C215" s="914">
        <v>1</v>
      </c>
      <c r="D215" s="914">
        <v>4588</v>
      </c>
      <c r="E215" s="915">
        <v>1.0549999999999999</v>
      </c>
      <c r="F215" s="916">
        <f t="shared" si="169"/>
        <v>4841</v>
      </c>
      <c r="G215" s="915">
        <v>1.01</v>
      </c>
      <c r="H215" s="916">
        <f t="shared" si="170"/>
        <v>4890</v>
      </c>
      <c r="I215" s="917">
        <f t="shared" si="171"/>
        <v>4890</v>
      </c>
      <c r="J215" s="918">
        <f t="shared" si="172"/>
        <v>0</v>
      </c>
      <c r="K215" s="919"/>
      <c r="L215" s="917">
        <f t="shared" si="173"/>
        <v>0</v>
      </c>
      <c r="M215" s="918">
        <f t="shared" si="174"/>
        <v>0</v>
      </c>
      <c r="N215" s="919"/>
      <c r="O215" s="917">
        <f t="shared" si="175"/>
        <v>0</v>
      </c>
      <c r="P215" s="918">
        <f t="shared" si="176"/>
        <v>0</v>
      </c>
      <c r="Q215" s="919"/>
      <c r="R215" s="917">
        <f t="shared" si="177"/>
        <v>0</v>
      </c>
      <c r="S215" s="918">
        <f t="shared" si="178"/>
        <v>0</v>
      </c>
      <c r="T215" s="919"/>
      <c r="U215" s="917">
        <f t="shared" si="179"/>
        <v>0</v>
      </c>
      <c r="V215" s="918">
        <f t="shared" si="180"/>
        <v>0</v>
      </c>
      <c r="W215" s="919"/>
      <c r="X215" s="917">
        <f t="shared" si="181"/>
        <v>0</v>
      </c>
      <c r="Y215" s="918">
        <f t="shared" si="182"/>
        <v>0</v>
      </c>
      <c r="Z215" s="919"/>
      <c r="AA215" s="917">
        <f t="shared" si="183"/>
        <v>0</v>
      </c>
      <c r="AB215" s="918">
        <f t="shared" si="184"/>
        <v>0</v>
      </c>
      <c r="AC215" s="919"/>
      <c r="AD215" s="917">
        <f t="shared" si="185"/>
        <v>0</v>
      </c>
      <c r="AE215" s="918">
        <f t="shared" si="186"/>
        <v>0</v>
      </c>
      <c r="AF215" s="919"/>
      <c r="AG215" s="917">
        <f t="shared" si="187"/>
        <v>0</v>
      </c>
      <c r="AH215" s="918">
        <f t="shared" si="188"/>
        <v>0</v>
      </c>
      <c r="AI215" s="919"/>
      <c r="AJ215" s="917">
        <f t="shared" si="189"/>
        <v>0</v>
      </c>
      <c r="AK215" s="918">
        <f t="shared" si="190"/>
        <v>0</v>
      </c>
      <c r="AL215" s="919"/>
      <c r="AM215" s="917">
        <f t="shared" si="191"/>
        <v>0</v>
      </c>
      <c r="AN215" s="920">
        <v>19242</v>
      </c>
      <c r="AO215" s="917">
        <f t="shared" si="192"/>
        <v>14352</v>
      </c>
      <c r="AP215" s="920"/>
      <c r="AQ215" s="916">
        <f t="shared" si="193"/>
        <v>0</v>
      </c>
      <c r="AR215" s="917">
        <f t="shared" si="194"/>
        <v>19242</v>
      </c>
      <c r="AS215" s="916">
        <v>12</v>
      </c>
      <c r="AT215" s="921">
        <f t="shared" si="195"/>
        <v>230904</v>
      </c>
      <c r="AU215" s="920"/>
      <c r="AV215" s="922">
        <f t="shared" si="196"/>
        <v>2309.04</v>
      </c>
      <c r="AW215" s="921">
        <f t="shared" si="197"/>
        <v>233213.04</v>
      </c>
      <c r="AX215" s="921">
        <f t="shared" si="198"/>
        <v>70430.34</v>
      </c>
      <c r="AY215" s="921">
        <f t="shared" si="199"/>
        <v>303643.38</v>
      </c>
      <c r="AZ215" s="923">
        <f t="shared" si="200"/>
        <v>233.2</v>
      </c>
      <c r="BA215" s="923">
        <f t="shared" si="201"/>
        <v>70.400000000000006</v>
      </c>
      <c r="BB215" s="923">
        <f t="shared" si="202"/>
        <v>303.60000000000002</v>
      </c>
      <c r="BC215" s="915">
        <v>0.95</v>
      </c>
      <c r="BD215" s="923">
        <f t="shared" si="203"/>
        <v>221.5</v>
      </c>
      <c r="BE215" s="923">
        <f t="shared" si="204"/>
        <v>66.900000000000006</v>
      </c>
      <c r="BF215" s="923">
        <f t="shared" si="205"/>
        <v>288.39999999999998</v>
      </c>
      <c r="BG215" s="924">
        <f>'[3]свод (2024)'!$B$116</f>
        <v>0.99758349999999996</v>
      </c>
      <c r="BH215" s="923">
        <f t="shared" si="206"/>
        <v>221</v>
      </c>
      <c r="BI215" s="923">
        <f t="shared" si="207"/>
        <v>66.7</v>
      </c>
      <c r="BJ215" s="923">
        <f t="shared" si="208"/>
        <v>287.7</v>
      </c>
      <c r="BK215" s="925">
        <f t="shared" si="209"/>
        <v>-12.2</v>
      </c>
      <c r="BL215" s="925">
        <f t="shared" si="209"/>
        <v>-3.7</v>
      </c>
      <c r="BM215" s="925">
        <f t="shared" si="210"/>
        <v>-15.9</v>
      </c>
      <c r="BN215" s="925">
        <f t="shared" si="211"/>
        <v>0</v>
      </c>
      <c r="BO215" s="925">
        <f t="shared" si="212"/>
        <v>0</v>
      </c>
      <c r="BP215" s="926"/>
      <c r="BQ215" s="925">
        <f t="shared" si="213"/>
        <v>221</v>
      </c>
      <c r="BR215" s="925">
        <f t="shared" si="213"/>
        <v>66.7</v>
      </c>
      <c r="BS215" s="925">
        <f t="shared" si="214"/>
        <v>287.7</v>
      </c>
      <c r="BU215" s="928"/>
      <c r="BV215" s="917"/>
      <c r="BW215" s="928"/>
      <c r="BX215" s="928"/>
      <c r="BY215" s="928"/>
      <c r="BZ215" s="917"/>
      <c r="CA215" s="928"/>
      <c r="CB215" s="917"/>
      <c r="CC215" s="928"/>
      <c r="CD215" s="928"/>
      <c r="CE215" s="928"/>
      <c r="CF215" s="929"/>
      <c r="CG215" s="928"/>
      <c r="CH215" s="928"/>
      <c r="CI215" s="928"/>
      <c r="CJ215" s="925"/>
      <c r="CK215" s="925"/>
      <c r="CL215" s="925"/>
      <c r="CM215" s="925"/>
      <c r="CN215" s="925"/>
      <c r="CO215" s="925"/>
      <c r="CP215" s="925"/>
      <c r="CQ215" s="925"/>
      <c r="CR215" s="925"/>
      <c r="CS215" s="917"/>
      <c r="CT215" s="928"/>
      <c r="CU215" s="928"/>
      <c r="CV215" s="928"/>
      <c r="CX215" s="925"/>
      <c r="CY215" s="925"/>
      <c r="CZ215" s="925"/>
      <c r="DB215" s="925"/>
      <c r="DC215" s="925"/>
      <c r="DD215" s="925"/>
      <c r="DE215" s="925"/>
      <c r="DF215" s="925"/>
      <c r="DG215" s="925"/>
      <c r="DH215" s="925"/>
      <c r="DI215" s="925"/>
      <c r="DJ215" s="925"/>
      <c r="DK215" s="925"/>
      <c r="DL215" s="925"/>
      <c r="DM215" s="925"/>
      <c r="DN215" s="925"/>
      <c r="DO215" s="925"/>
      <c r="DP215" s="925"/>
      <c r="DQ215" s="924"/>
      <c r="DR215" s="925"/>
      <c r="DS215" s="925"/>
      <c r="DT215" s="925"/>
      <c r="DV215" s="925"/>
      <c r="DW215" s="925"/>
      <c r="DX215" s="925"/>
      <c r="DY215" s="925"/>
      <c r="DZ215" s="925"/>
      <c r="EA215" s="925"/>
      <c r="EB215" s="925"/>
      <c r="EC215" s="925"/>
      <c r="ED215" s="925"/>
      <c r="EE215" s="925"/>
      <c r="EF215" s="925"/>
      <c r="EG215" s="925"/>
      <c r="EH215" s="925"/>
      <c r="EI215" s="925"/>
      <c r="EJ215" s="925"/>
      <c r="EK215" s="925"/>
      <c r="EL215" s="925"/>
      <c r="EM215" s="925"/>
      <c r="EN215" s="925"/>
      <c r="EO215" s="925"/>
      <c r="EP215" s="925"/>
      <c r="EQ215" s="925"/>
      <c r="ER215" s="925"/>
      <c r="ES215" s="925"/>
      <c r="ET215" s="925"/>
      <c r="EV215" s="924"/>
      <c r="EW215" s="925"/>
      <c r="EX215" s="925"/>
      <c r="EY215" s="925"/>
    </row>
    <row r="216" spans="1:155" s="927" customFormat="1" ht="15.75" x14ac:dyDescent="0.25">
      <c r="A216" s="912" t="s">
        <v>62</v>
      </c>
      <c r="B216" s="913" t="s">
        <v>41</v>
      </c>
      <c r="C216" s="914">
        <v>1</v>
      </c>
      <c r="D216" s="914">
        <v>7912</v>
      </c>
      <c r="E216" s="915">
        <v>1.0549999999999999</v>
      </c>
      <c r="F216" s="916">
        <f t="shared" si="169"/>
        <v>8348</v>
      </c>
      <c r="G216" s="915">
        <v>1.01</v>
      </c>
      <c r="H216" s="916">
        <f t="shared" si="170"/>
        <v>8432</v>
      </c>
      <c r="I216" s="917">
        <f t="shared" si="171"/>
        <v>8432</v>
      </c>
      <c r="J216" s="918">
        <f t="shared" si="172"/>
        <v>0</v>
      </c>
      <c r="K216" s="919"/>
      <c r="L216" s="917">
        <f t="shared" si="173"/>
        <v>0</v>
      </c>
      <c r="M216" s="918">
        <f t="shared" si="174"/>
        <v>0</v>
      </c>
      <c r="N216" s="919"/>
      <c r="O216" s="917">
        <f t="shared" si="175"/>
        <v>0</v>
      </c>
      <c r="P216" s="918">
        <f t="shared" si="176"/>
        <v>0</v>
      </c>
      <c r="Q216" s="919"/>
      <c r="R216" s="917">
        <f t="shared" si="177"/>
        <v>0</v>
      </c>
      <c r="S216" s="918">
        <f t="shared" si="178"/>
        <v>0.2</v>
      </c>
      <c r="T216" s="919">
        <v>1582.4</v>
      </c>
      <c r="U216" s="917">
        <f t="shared" si="179"/>
        <v>1686.4</v>
      </c>
      <c r="V216" s="918">
        <f t="shared" si="180"/>
        <v>0</v>
      </c>
      <c r="W216" s="919"/>
      <c r="X216" s="917">
        <f t="shared" si="181"/>
        <v>0</v>
      </c>
      <c r="Y216" s="918">
        <f t="shared" si="182"/>
        <v>2</v>
      </c>
      <c r="Z216" s="919">
        <v>15824</v>
      </c>
      <c r="AA216" s="917">
        <f t="shared" si="183"/>
        <v>16864</v>
      </c>
      <c r="AB216" s="918">
        <f t="shared" si="184"/>
        <v>0.2</v>
      </c>
      <c r="AC216" s="919">
        <v>1582.4</v>
      </c>
      <c r="AD216" s="917">
        <f t="shared" si="185"/>
        <v>1686.4</v>
      </c>
      <c r="AE216" s="918">
        <f t="shared" si="186"/>
        <v>0</v>
      </c>
      <c r="AF216" s="919"/>
      <c r="AG216" s="917">
        <f t="shared" si="187"/>
        <v>0</v>
      </c>
      <c r="AH216" s="918">
        <f t="shared" si="188"/>
        <v>0</v>
      </c>
      <c r="AI216" s="919"/>
      <c r="AJ216" s="917">
        <f t="shared" si="189"/>
        <v>0</v>
      </c>
      <c r="AK216" s="918">
        <f t="shared" si="190"/>
        <v>0</v>
      </c>
      <c r="AL216" s="919"/>
      <c r="AM216" s="917">
        <f t="shared" si="191"/>
        <v>0</v>
      </c>
      <c r="AN216" s="920">
        <v>19242</v>
      </c>
      <c r="AO216" s="917">
        <f t="shared" si="192"/>
        <v>0</v>
      </c>
      <c r="AP216" s="920"/>
      <c r="AQ216" s="916">
        <f t="shared" si="193"/>
        <v>0</v>
      </c>
      <c r="AR216" s="917">
        <f t="shared" si="194"/>
        <v>28668.799999999999</v>
      </c>
      <c r="AS216" s="916">
        <v>12</v>
      </c>
      <c r="AT216" s="921">
        <f t="shared" si="195"/>
        <v>344025.59999999998</v>
      </c>
      <c r="AU216" s="920"/>
      <c r="AV216" s="922">
        <f t="shared" si="196"/>
        <v>3440.26</v>
      </c>
      <c r="AW216" s="921">
        <f t="shared" si="197"/>
        <v>347465.86</v>
      </c>
      <c r="AX216" s="921">
        <f t="shared" si="198"/>
        <v>104934.69</v>
      </c>
      <c r="AY216" s="921">
        <f t="shared" si="199"/>
        <v>452400.55</v>
      </c>
      <c r="AZ216" s="923">
        <f t="shared" si="200"/>
        <v>347.5</v>
      </c>
      <c r="BA216" s="923">
        <f t="shared" si="201"/>
        <v>104.9</v>
      </c>
      <c r="BB216" s="923">
        <f t="shared" si="202"/>
        <v>452.4</v>
      </c>
      <c r="BC216" s="915">
        <v>0.95</v>
      </c>
      <c r="BD216" s="923">
        <f t="shared" si="203"/>
        <v>330.1</v>
      </c>
      <c r="BE216" s="923">
        <f t="shared" si="204"/>
        <v>99.7</v>
      </c>
      <c r="BF216" s="923">
        <f t="shared" si="205"/>
        <v>429.8</v>
      </c>
      <c r="BG216" s="924">
        <f>'[3]свод (2024)'!$B$116</f>
        <v>0.99758349999999996</v>
      </c>
      <c r="BH216" s="923">
        <f t="shared" si="206"/>
        <v>329.3</v>
      </c>
      <c r="BI216" s="923">
        <f t="shared" si="207"/>
        <v>99.4</v>
      </c>
      <c r="BJ216" s="923">
        <f t="shared" si="208"/>
        <v>428.7</v>
      </c>
      <c r="BK216" s="925">
        <f t="shared" si="209"/>
        <v>-18.2</v>
      </c>
      <c r="BL216" s="925">
        <f t="shared" si="209"/>
        <v>-5.5</v>
      </c>
      <c r="BM216" s="925">
        <f t="shared" si="210"/>
        <v>-23.7</v>
      </c>
      <c r="BN216" s="925">
        <f t="shared" si="211"/>
        <v>0</v>
      </c>
      <c r="BO216" s="925">
        <f t="shared" si="212"/>
        <v>0</v>
      </c>
      <c r="BP216" s="926"/>
      <c r="BQ216" s="925">
        <f t="shared" si="213"/>
        <v>329.3</v>
      </c>
      <c r="BR216" s="925">
        <f t="shared" si="213"/>
        <v>99.4</v>
      </c>
      <c r="BS216" s="925">
        <f t="shared" si="214"/>
        <v>428.7</v>
      </c>
      <c r="BU216" s="928"/>
      <c r="BV216" s="917"/>
      <c r="BW216" s="928"/>
      <c r="BX216" s="928"/>
      <c r="BY216" s="928"/>
      <c r="BZ216" s="917"/>
      <c r="CA216" s="928"/>
      <c r="CB216" s="917"/>
      <c r="CC216" s="928"/>
      <c r="CD216" s="928"/>
      <c r="CE216" s="928"/>
      <c r="CF216" s="929"/>
      <c r="CG216" s="928"/>
      <c r="CH216" s="928"/>
      <c r="CI216" s="928"/>
      <c r="CJ216" s="925"/>
      <c r="CK216" s="925"/>
      <c r="CL216" s="925"/>
      <c r="CM216" s="925"/>
      <c r="CN216" s="925"/>
      <c r="CO216" s="925"/>
      <c r="CP216" s="925"/>
      <c r="CQ216" s="925"/>
      <c r="CR216" s="925"/>
      <c r="CS216" s="917"/>
      <c r="CT216" s="928"/>
      <c r="CU216" s="928"/>
      <c r="CV216" s="928"/>
      <c r="CX216" s="925"/>
      <c r="CY216" s="925"/>
      <c r="CZ216" s="925"/>
      <c r="DB216" s="925"/>
      <c r="DC216" s="925"/>
      <c r="DD216" s="925"/>
      <c r="DE216" s="925"/>
      <c r="DF216" s="925"/>
      <c r="DG216" s="925"/>
      <c r="DH216" s="925"/>
      <c r="DI216" s="925"/>
      <c r="DJ216" s="925"/>
      <c r="DK216" s="925"/>
      <c r="DL216" s="925"/>
      <c r="DM216" s="925"/>
      <c r="DN216" s="925"/>
      <c r="DO216" s="925"/>
      <c r="DP216" s="925"/>
      <c r="DQ216" s="924"/>
      <c r="DR216" s="925"/>
      <c r="DS216" s="925"/>
      <c r="DT216" s="925"/>
      <c r="DV216" s="925"/>
      <c r="DW216" s="925"/>
      <c r="DX216" s="925"/>
      <c r="DY216" s="925"/>
      <c r="DZ216" s="925"/>
      <c r="EA216" s="925"/>
      <c r="EB216" s="925"/>
      <c r="EC216" s="925"/>
      <c r="ED216" s="925"/>
      <c r="EE216" s="925"/>
      <c r="EF216" s="925"/>
      <c r="EG216" s="925"/>
      <c r="EH216" s="925"/>
      <c r="EI216" s="925"/>
      <c r="EJ216" s="925"/>
      <c r="EK216" s="925"/>
      <c r="EL216" s="925"/>
      <c r="EM216" s="925"/>
      <c r="EN216" s="925"/>
      <c r="EO216" s="925"/>
      <c r="EP216" s="925"/>
      <c r="EQ216" s="925"/>
      <c r="ER216" s="925"/>
      <c r="ES216" s="925"/>
      <c r="ET216" s="925"/>
      <c r="EV216" s="924"/>
      <c r="EW216" s="925"/>
      <c r="EX216" s="925"/>
      <c r="EY216" s="925"/>
    </row>
    <row r="217" spans="1:155" s="927" customFormat="1" ht="15.75" x14ac:dyDescent="0.25">
      <c r="A217" s="912" t="s">
        <v>62</v>
      </c>
      <c r="B217" s="913" t="s">
        <v>44</v>
      </c>
      <c r="C217" s="914">
        <v>0.5</v>
      </c>
      <c r="D217" s="914">
        <v>4588</v>
      </c>
      <c r="E217" s="915">
        <v>1.0549999999999999</v>
      </c>
      <c r="F217" s="916">
        <f t="shared" si="169"/>
        <v>4841</v>
      </c>
      <c r="G217" s="915">
        <v>1.01</v>
      </c>
      <c r="H217" s="916">
        <f t="shared" si="170"/>
        <v>4890</v>
      </c>
      <c r="I217" s="917">
        <f t="shared" si="171"/>
        <v>2445</v>
      </c>
      <c r="J217" s="918">
        <f t="shared" si="172"/>
        <v>0</v>
      </c>
      <c r="K217" s="919"/>
      <c r="L217" s="917">
        <f t="shared" si="173"/>
        <v>0</v>
      </c>
      <c r="M217" s="918">
        <f t="shared" si="174"/>
        <v>0</v>
      </c>
      <c r="N217" s="919"/>
      <c r="O217" s="917">
        <f t="shared" si="175"/>
        <v>0</v>
      </c>
      <c r="P217" s="918">
        <f t="shared" si="176"/>
        <v>0</v>
      </c>
      <c r="Q217" s="919"/>
      <c r="R217" s="917">
        <f t="shared" si="177"/>
        <v>0</v>
      </c>
      <c r="S217" s="918">
        <f t="shared" si="178"/>
        <v>0</v>
      </c>
      <c r="T217" s="919"/>
      <c r="U217" s="917">
        <f t="shared" si="179"/>
        <v>0</v>
      </c>
      <c r="V217" s="918">
        <f t="shared" si="180"/>
        <v>0</v>
      </c>
      <c r="W217" s="919"/>
      <c r="X217" s="917">
        <f t="shared" si="181"/>
        <v>0</v>
      </c>
      <c r="Y217" s="918">
        <f t="shared" si="182"/>
        <v>0</v>
      </c>
      <c r="Z217" s="919"/>
      <c r="AA217" s="917">
        <f t="shared" si="183"/>
        <v>0</v>
      </c>
      <c r="AB217" s="918">
        <f t="shared" si="184"/>
        <v>0</v>
      </c>
      <c r="AC217" s="919"/>
      <c r="AD217" s="917">
        <f t="shared" si="185"/>
        <v>0</v>
      </c>
      <c r="AE217" s="918">
        <f t="shared" si="186"/>
        <v>0</v>
      </c>
      <c r="AF217" s="919"/>
      <c r="AG217" s="917">
        <f t="shared" si="187"/>
        <v>0</v>
      </c>
      <c r="AH217" s="918">
        <f t="shared" si="188"/>
        <v>0</v>
      </c>
      <c r="AI217" s="919"/>
      <c r="AJ217" s="917">
        <f t="shared" si="189"/>
        <v>0</v>
      </c>
      <c r="AK217" s="918">
        <f t="shared" si="190"/>
        <v>0</v>
      </c>
      <c r="AL217" s="919"/>
      <c r="AM217" s="917">
        <f t="shared" si="191"/>
        <v>0</v>
      </c>
      <c r="AN217" s="920">
        <v>19242</v>
      </c>
      <c r="AO217" s="917">
        <f t="shared" si="192"/>
        <v>7176</v>
      </c>
      <c r="AP217" s="920"/>
      <c r="AQ217" s="916">
        <f t="shared" si="193"/>
        <v>0</v>
      </c>
      <c r="AR217" s="917">
        <f t="shared" si="194"/>
        <v>9621</v>
      </c>
      <c r="AS217" s="916">
        <v>12</v>
      </c>
      <c r="AT217" s="921">
        <f t="shared" si="195"/>
        <v>115452</v>
      </c>
      <c r="AU217" s="920"/>
      <c r="AV217" s="922">
        <f t="shared" si="196"/>
        <v>1154.52</v>
      </c>
      <c r="AW217" s="921">
        <f t="shared" si="197"/>
        <v>116606.52</v>
      </c>
      <c r="AX217" s="921">
        <f t="shared" si="198"/>
        <v>35215.17</v>
      </c>
      <c r="AY217" s="921">
        <f t="shared" si="199"/>
        <v>151821.69</v>
      </c>
      <c r="AZ217" s="923">
        <f t="shared" si="200"/>
        <v>116.6</v>
      </c>
      <c r="BA217" s="923">
        <f t="shared" si="201"/>
        <v>35.200000000000003</v>
      </c>
      <c r="BB217" s="923">
        <f t="shared" si="202"/>
        <v>151.80000000000001</v>
      </c>
      <c r="BC217" s="915">
        <v>0.95</v>
      </c>
      <c r="BD217" s="923">
        <f t="shared" si="203"/>
        <v>110.8</v>
      </c>
      <c r="BE217" s="923">
        <f t="shared" si="204"/>
        <v>33.5</v>
      </c>
      <c r="BF217" s="923">
        <f t="shared" si="205"/>
        <v>144.30000000000001</v>
      </c>
      <c r="BG217" s="924">
        <f>'[3]свод (2024)'!$B$116</f>
        <v>0.99758349999999996</v>
      </c>
      <c r="BH217" s="923">
        <f t="shared" si="206"/>
        <v>110.5</v>
      </c>
      <c r="BI217" s="923">
        <f t="shared" si="207"/>
        <v>33.4</v>
      </c>
      <c r="BJ217" s="923">
        <f t="shared" si="208"/>
        <v>143.9</v>
      </c>
      <c r="BK217" s="925">
        <f t="shared" si="209"/>
        <v>-6.1</v>
      </c>
      <c r="BL217" s="925">
        <f t="shared" si="209"/>
        <v>-1.8</v>
      </c>
      <c r="BM217" s="925">
        <f t="shared" si="210"/>
        <v>-7.9</v>
      </c>
      <c r="BN217" s="925">
        <f t="shared" si="211"/>
        <v>0</v>
      </c>
      <c r="BO217" s="925">
        <f t="shared" si="212"/>
        <v>0</v>
      </c>
      <c r="BP217" s="926"/>
      <c r="BQ217" s="925">
        <f t="shared" si="213"/>
        <v>110.5</v>
      </c>
      <c r="BR217" s="925">
        <f t="shared" si="213"/>
        <v>33.4</v>
      </c>
      <c r="BS217" s="925">
        <f t="shared" si="214"/>
        <v>143.9</v>
      </c>
      <c r="BU217" s="928"/>
      <c r="BV217" s="917"/>
      <c r="BW217" s="928"/>
      <c r="BX217" s="928"/>
      <c r="BY217" s="928"/>
      <c r="BZ217" s="917"/>
      <c r="CA217" s="928"/>
      <c r="CB217" s="917"/>
      <c r="CC217" s="928"/>
      <c r="CD217" s="928"/>
      <c r="CE217" s="928"/>
      <c r="CF217" s="929"/>
      <c r="CG217" s="928"/>
      <c r="CH217" s="928"/>
      <c r="CI217" s="928"/>
      <c r="CJ217" s="925"/>
      <c r="CK217" s="925"/>
      <c r="CL217" s="925"/>
      <c r="CM217" s="925"/>
      <c r="CN217" s="925"/>
      <c r="CO217" s="925"/>
      <c r="CP217" s="925"/>
      <c r="CQ217" s="925"/>
      <c r="CR217" s="925"/>
      <c r="CS217" s="917"/>
      <c r="CT217" s="928"/>
      <c r="CU217" s="928"/>
      <c r="CV217" s="928"/>
      <c r="CX217" s="925"/>
      <c r="CY217" s="925"/>
      <c r="CZ217" s="925"/>
      <c r="DB217" s="925"/>
      <c r="DC217" s="925"/>
      <c r="DD217" s="925"/>
      <c r="DE217" s="925"/>
      <c r="DF217" s="925"/>
      <c r="DG217" s="925"/>
      <c r="DH217" s="925"/>
      <c r="DI217" s="925"/>
      <c r="DJ217" s="925"/>
      <c r="DK217" s="925"/>
      <c r="DL217" s="925"/>
      <c r="DM217" s="925"/>
      <c r="DN217" s="925"/>
      <c r="DO217" s="925"/>
      <c r="DP217" s="925"/>
      <c r="DQ217" s="924"/>
      <c r="DR217" s="925"/>
      <c r="DS217" s="925"/>
      <c r="DT217" s="925"/>
      <c r="DV217" s="925"/>
      <c r="DW217" s="925"/>
      <c r="DX217" s="925"/>
      <c r="DY217" s="925"/>
      <c r="DZ217" s="925"/>
      <c r="EA217" s="925"/>
      <c r="EB217" s="925"/>
      <c r="EC217" s="925"/>
      <c r="ED217" s="925"/>
      <c r="EE217" s="925"/>
      <c r="EF217" s="925"/>
      <c r="EG217" s="925"/>
      <c r="EH217" s="925"/>
      <c r="EI217" s="925"/>
      <c r="EJ217" s="925"/>
      <c r="EK217" s="925"/>
      <c r="EL217" s="925"/>
      <c r="EM217" s="925"/>
      <c r="EN217" s="925"/>
      <c r="EO217" s="925"/>
      <c r="EP217" s="925"/>
      <c r="EQ217" s="925"/>
      <c r="ER217" s="925"/>
      <c r="ES217" s="925"/>
      <c r="ET217" s="925"/>
      <c r="EV217" s="924"/>
      <c r="EW217" s="925"/>
      <c r="EX217" s="925"/>
      <c r="EY217" s="925"/>
    </row>
    <row r="218" spans="1:155" s="927" customFormat="1" ht="15.75" x14ac:dyDescent="0.25">
      <c r="A218" s="912" t="s">
        <v>62</v>
      </c>
      <c r="B218" s="913" t="s">
        <v>1389</v>
      </c>
      <c r="C218" s="914">
        <v>3</v>
      </c>
      <c r="D218" s="914">
        <v>4336</v>
      </c>
      <c r="E218" s="915">
        <v>1.0549999999999999</v>
      </c>
      <c r="F218" s="916">
        <f t="shared" si="169"/>
        <v>4575</v>
      </c>
      <c r="G218" s="915">
        <v>1.01</v>
      </c>
      <c r="H218" s="916">
        <f t="shared" si="170"/>
        <v>4621</v>
      </c>
      <c r="I218" s="917">
        <f t="shared" si="171"/>
        <v>13863</v>
      </c>
      <c r="J218" s="918">
        <f t="shared" si="172"/>
        <v>0</v>
      </c>
      <c r="K218" s="919"/>
      <c r="L218" s="917">
        <f t="shared" si="173"/>
        <v>0</v>
      </c>
      <c r="M218" s="918">
        <f t="shared" si="174"/>
        <v>0</v>
      </c>
      <c r="N218" s="919"/>
      <c r="O218" s="917">
        <f t="shared" si="175"/>
        <v>0</v>
      </c>
      <c r="P218" s="918">
        <f t="shared" si="176"/>
        <v>0</v>
      </c>
      <c r="Q218" s="919"/>
      <c r="R218" s="917">
        <f t="shared" si="177"/>
        <v>0</v>
      </c>
      <c r="S218" s="918">
        <f t="shared" si="178"/>
        <v>0</v>
      </c>
      <c r="T218" s="919"/>
      <c r="U218" s="917">
        <f t="shared" si="179"/>
        <v>0</v>
      </c>
      <c r="V218" s="918">
        <f t="shared" si="180"/>
        <v>0</v>
      </c>
      <c r="W218" s="919"/>
      <c r="X218" s="917">
        <f t="shared" si="181"/>
        <v>0</v>
      </c>
      <c r="Y218" s="918">
        <f t="shared" si="182"/>
        <v>0</v>
      </c>
      <c r="Z218" s="919"/>
      <c r="AA218" s="917">
        <f t="shared" si="183"/>
        <v>0</v>
      </c>
      <c r="AB218" s="918">
        <f t="shared" si="184"/>
        <v>0</v>
      </c>
      <c r="AC218" s="919"/>
      <c r="AD218" s="917">
        <f t="shared" si="185"/>
        <v>0</v>
      </c>
      <c r="AE218" s="918">
        <f t="shared" si="186"/>
        <v>0</v>
      </c>
      <c r="AF218" s="919"/>
      <c r="AG218" s="917">
        <f t="shared" si="187"/>
        <v>0</v>
      </c>
      <c r="AH218" s="918">
        <f t="shared" si="188"/>
        <v>0</v>
      </c>
      <c r="AI218" s="919"/>
      <c r="AJ218" s="917">
        <f t="shared" si="189"/>
        <v>0</v>
      </c>
      <c r="AK218" s="918">
        <f t="shared" si="190"/>
        <v>0</v>
      </c>
      <c r="AL218" s="919"/>
      <c r="AM218" s="917">
        <f t="shared" si="191"/>
        <v>0</v>
      </c>
      <c r="AN218" s="920">
        <v>19242</v>
      </c>
      <c r="AO218" s="917">
        <f t="shared" si="192"/>
        <v>43863</v>
      </c>
      <c r="AP218" s="920">
        <v>1060.29</v>
      </c>
      <c r="AQ218" s="916">
        <f t="shared" si="193"/>
        <v>3180.87</v>
      </c>
      <c r="AR218" s="917">
        <f t="shared" si="194"/>
        <v>60906.87</v>
      </c>
      <c r="AS218" s="916">
        <v>12</v>
      </c>
      <c r="AT218" s="921">
        <f t="shared" si="195"/>
        <v>730882.44</v>
      </c>
      <c r="AU218" s="920">
        <f t="shared" ref="AU218:AU219" si="217">AT218*0.085</f>
        <v>62125.01</v>
      </c>
      <c r="AV218" s="922">
        <f t="shared" si="196"/>
        <v>7308.82</v>
      </c>
      <c r="AW218" s="921">
        <f t="shared" si="197"/>
        <v>800316.27</v>
      </c>
      <c r="AX218" s="921">
        <f t="shared" si="198"/>
        <v>241695.51</v>
      </c>
      <c r="AY218" s="921">
        <f t="shared" si="199"/>
        <v>1042011.78</v>
      </c>
      <c r="AZ218" s="923">
        <f t="shared" si="200"/>
        <v>800.3</v>
      </c>
      <c r="BA218" s="923">
        <f t="shared" si="201"/>
        <v>241.7</v>
      </c>
      <c r="BB218" s="923">
        <f t="shared" si="202"/>
        <v>1042</v>
      </c>
      <c r="BC218" s="915">
        <v>0.95</v>
      </c>
      <c r="BD218" s="923">
        <f t="shared" si="203"/>
        <v>760.3</v>
      </c>
      <c r="BE218" s="923">
        <f t="shared" si="204"/>
        <v>229.6</v>
      </c>
      <c r="BF218" s="923">
        <f t="shared" si="205"/>
        <v>989.9</v>
      </c>
      <c r="BG218" s="924">
        <f>'[3]свод (2024)'!$B$116</f>
        <v>0.99758349999999996</v>
      </c>
      <c r="BH218" s="923">
        <f t="shared" si="206"/>
        <v>758.5</v>
      </c>
      <c r="BI218" s="923">
        <f t="shared" si="207"/>
        <v>229.1</v>
      </c>
      <c r="BJ218" s="923">
        <f t="shared" si="208"/>
        <v>987.6</v>
      </c>
      <c r="BK218" s="925">
        <f t="shared" si="209"/>
        <v>-41.8</v>
      </c>
      <c r="BL218" s="925">
        <f t="shared" si="209"/>
        <v>-12.6</v>
      </c>
      <c r="BM218" s="925">
        <f t="shared" si="210"/>
        <v>-54.4</v>
      </c>
      <c r="BN218" s="925">
        <f t="shared" si="211"/>
        <v>0</v>
      </c>
      <c r="BO218" s="925">
        <f t="shared" si="212"/>
        <v>0</v>
      </c>
      <c r="BP218" s="926"/>
      <c r="BQ218" s="925">
        <f t="shared" si="213"/>
        <v>758.5</v>
      </c>
      <c r="BR218" s="925">
        <f t="shared" si="213"/>
        <v>229.1</v>
      </c>
      <c r="BS218" s="925">
        <f t="shared" si="214"/>
        <v>987.6</v>
      </c>
      <c r="BU218" s="928"/>
      <c r="BV218" s="917"/>
      <c r="BW218" s="928"/>
      <c r="BX218" s="928"/>
      <c r="BY218" s="928"/>
      <c r="BZ218" s="917"/>
      <c r="CA218" s="928"/>
      <c r="CB218" s="917"/>
      <c r="CC218" s="928"/>
      <c r="CD218" s="928"/>
      <c r="CE218" s="928"/>
      <c r="CF218" s="929"/>
      <c r="CG218" s="928"/>
      <c r="CH218" s="928"/>
      <c r="CI218" s="928"/>
      <c r="CJ218" s="925"/>
      <c r="CK218" s="925"/>
      <c r="CL218" s="925"/>
      <c r="CM218" s="925"/>
      <c r="CN218" s="925"/>
      <c r="CO218" s="925"/>
      <c r="CP218" s="925"/>
      <c r="CQ218" s="925"/>
      <c r="CR218" s="925"/>
      <c r="CS218" s="917"/>
      <c r="CT218" s="928"/>
      <c r="CU218" s="928"/>
      <c r="CV218" s="928"/>
      <c r="CX218" s="925"/>
      <c r="CY218" s="925"/>
      <c r="CZ218" s="925"/>
      <c r="DB218" s="925"/>
      <c r="DC218" s="925"/>
      <c r="DD218" s="925"/>
      <c r="DE218" s="925"/>
      <c r="DF218" s="925"/>
      <c r="DG218" s="925"/>
      <c r="DH218" s="925"/>
      <c r="DI218" s="925"/>
      <c r="DJ218" s="925"/>
      <c r="DK218" s="925"/>
      <c r="DL218" s="925"/>
      <c r="DM218" s="925"/>
      <c r="DN218" s="925"/>
      <c r="DO218" s="925"/>
      <c r="DP218" s="925"/>
      <c r="DQ218" s="924"/>
      <c r="DR218" s="925"/>
      <c r="DS218" s="925"/>
      <c r="DT218" s="925"/>
      <c r="DV218" s="925"/>
      <c r="DW218" s="925"/>
      <c r="DX218" s="925"/>
      <c r="DY218" s="925"/>
      <c r="DZ218" s="925"/>
      <c r="EA218" s="925"/>
      <c r="EB218" s="925"/>
      <c r="EC218" s="925"/>
      <c r="ED218" s="925"/>
      <c r="EE218" s="925"/>
      <c r="EF218" s="925"/>
      <c r="EG218" s="925"/>
      <c r="EH218" s="925"/>
      <c r="EI218" s="925"/>
      <c r="EJ218" s="925"/>
      <c r="EK218" s="925"/>
      <c r="EL218" s="925"/>
      <c r="EM218" s="925"/>
      <c r="EN218" s="925"/>
      <c r="EO218" s="925"/>
      <c r="EP218" s="925"/>
      <c r="EQ218" s="925"/>
      <c r="ER218" s="925"/>
      <c r="ES218" s="925"/>
      <c r="ET218" s="925"/>
      <c r="EV218" s="924"/>
      <c r="EW218" s="925"/>
      <c r="EX218" s="925"/>
      <c r="EY218" s="925"/>
    </row>
    <row r="219" spans="1:155" s="927" customFormat="1" ht="15.75" x14ac:dyDescent="0.25">
      <c r="A219" s="912" t="s">
        <v>62</v>
      </c>
      <c r="B219" s="913" t="s">
        <v>1390</v>
      </c>
      <c r="C219" s="914">
        <v>0.5</v>
      </c>
      <c r="D219" s="914">
        <v>4336</v>
      </c>
      <c r="E219" s="915">
        <v>1.0549999999999999</v>
      </c>
      <c r="F219" s="916">
        <f t="shared" si="169"/>
        <v>4575</v>
      </c>
      <c r="G219" s="915">
        <v>1.01</v>
      </c>
      <c r="H219" s="916">
        <f t="shared" si="170"/>
        <v>4621</v>
      </c>
      <c r="I219" s="917">
        <f t="shared" si="171"/>
        <v>2310.5</v>
      </c>
      <c r="J219" s="918">
        <f t="shared" si="172"/>
        <v>0</v>
      </c>
      <c r="K219" s="919"/>
      <c r="L219" s="917">
        <f t="shared" si="173"/>
        <v>0</v>
      </c>
      <c r="M219" s="918">
        <f t="shared" si="174"/>
        <v>0</v>
      </c>
      <c r="N219" s="919"/>
      <c r="O219" s="917">
        <f t="shared" si="175"/>
        <v>0</v>
      </c>
      <c r="P219" s="918">
        <f t="shared" si="176"/>
        <v>0</v>
      </c>
      <c r="Q219" s="919"/>
      <c r="R219" s="917">
        <f t="shared" si="177"/>
        <v>0</v>
      </c>
      <c r="S219" s="918">
        <f t="shared" si="178"/>
        <v>0</v>
      </c>
      <c r="T219" s="919"/>
      <c r="U219" s="917">
        <f t="shared" si="179"/>
        <v>0</v>
      </c>
      <c r="V219" s="918">
        <f t="shared" si="180"/>
        <v>0</v>
      </c>
      <c r="W219" s="919"/>
      <c r="X219" s="917">
        <f t="shared" si="181"/>
        <v>0</v>
      </c>
      <c r="Y219" s="918">
        <f t="shared" si="182"/>
        <v>0</v>
      </c>
      <c r="Z219" s="919"/>
      <c r="AA219" s="917">
        <f t="shared" si="183"/>
        <v>0</v>
      </c>
      <c r="AB219" s="918">
        <f t="shared" si="184"/>
        <v>0</v>
      </c>
      <c r="AC219" s="919"/>
      <c r="AD219" s="917">
        <f t="shared" si="185"/>
        <v>0</v>
      </c>
      <c r="AE219" s="918">
        <f t="shared" si="186"/>
        <v>0</v>
      </c>
      <c r="AF219" s="919"/>
      <c r="AG219" s="917">
        <f t="shared" si="187"/>
        <v>0</v>
      </c>
      <c r="AH219" s="918">
        <f t="shared" si="188"/>
        <v>0</v>
      </c>
      <c r="AI219" s="919"/>
      <c r="AJ219" s="917">
        <f t="shared" si="189"/>
        <v>0</v>
      </c>
      <c r="AK219" s="918">
        <f t="shared" si="190"/>
        <v>0</v>
      </c>
      <c r="AL219" s="919"/>
      <c r="AM219" s="917">
        <f t="shared" si="191"/>
        <v>0</v>
      </c>
      <c r="AN219" s="920">
        <v>19242</v>
      </c>
      <c r="AO219" s="917">
        <f t="shared" si="192"/>
        <v>7310.5</v>
      </c>
      <c r="AP219" s="920"/>
      <c r="AQ219" s="916">
        <f t="shared" si="193"/>
        <v>0</v>
      </c>
      <c r="AR219" s="917">
        <f t="shared" si="194"/>
        <v>9621</v>
      </c>
      <c r="AS219" s="916">
        <v>12</v>
      </c>
      <c r="AT219" s="921">
        <f t="shared" si="195"/>
        <v>115452</v>
      </c>
      <c r="AU219" s="920">
        <f t="shared" si="217"/>
        <v>9813.42</v>
      </c>
      <c r="AV219" s="922">
        <f t="shared" si="196"/>
        <v>1154.52</v>
      </c>
      <c r="AW219" s="921">
        <f t="shared" si="197"/>
        <v>126419.94</v>
      </c>
      <c r="AX219" s="921">
        <f t="shared" si="198"/>
        <v>38178.82</v>
      </c>
      <c r="AY219" s="921">
        <f t="shared" si="199"/>
        <v>164598.76</v>
      </c>
      <c r="AZ219" s="923">
        <f t="shared" si="200"/>
        <v>126.4</v>
      </c>
      <c r="BA219" s="923">
        <f t="shared" si="201"/>
        <v>38.200000000000003</v>
      </c>
      <c r="BB219" s="923">
        <f t="shared" si="202"/>
        <v>164.6</v>
      </c>
      <c r="BC219" s="915">
        <v>0.95</v>
      </c>
      <c r="BD219" s="923">
        <f t="shared" si="203"/>
        <v>120.1</v>
      </c>
      <c r="BE219" s="923">
        <f t="shared" si="204"/>
        <v>36.299999999999997</v>
      </c>
      <c r="BF219" s="923">
        <f t="shared" si="205"/>
        <v>156.4</v>
      </c>
      <c r="BG219" s="924">
        <f>'[3]свод (2024)'!$B$116</f>
        <v>0.99758349999999996</v>
      </c>
      <c r="BH219" s="923">
        <f t="shared" si="206"/>
        <v>119.8</v>
      </c>
      <c r="BI219" s="923">
        <f t="shared" si="207"/>
        <v>36.200000000000003</v>
      </c>
      <c r="BJ219" s="923">
        <f t="shared" si="208"/>
        <v>156</v>
      </c>
      <c r="BK219" s="925">
        <f t="shared" si="209"/>
        <v>-6.6</v>
      </c>
      <c r="BL219" s="925">
        <f t="shared" si="209"/>
        <v>-2</v>
      </c>
      <c r="BM219" s="925">
        <f t="shared" si="210"/>
        <v>-8.6</v>
      </c>
      <c r="BN219" s="925">
        <f t="shared" si="211"/>
        <v>0</v>
      </c>
      <c r="BO219" s="925">
        <f t="shared" si="212"/>
        <v>0</v>
      </c>
      <c r="BP219" s="926"/>
      <c r="BQ219" s="925">
        <f t="shared" si="213"/>
        <v>119.8</v>
      </c>
      <c r="BR219" s="925">
        <f t="shared" si="213"/>
        <v>36.200000000000003</v>
      </c>
      <c r="BS219" s="925">
        <f t="shared" si="214"/>
        <v>156</v>
      </c>
      <c r="BU219" s="928"/>
      <c r="BV219" s="917"/>
      <c r="BW219" s="928"/>
      <c r="BX219" s="928"/>
      <c r="BY219" s="928"/>
      <c r="BZ219" s="917"/>
      <c r="CA219" s="928"/>
      <c r="CB219" s="917"/>
      <c r="CC219" s="928"/>
      <c r="CD219" s="928"/>
      <c r="CE219" s="928"/>
      <c r="CF219" s="929"/>
      <c r="CG219" s="928"/>
      <c r="CH219" s="928"/>
      <c r="CI219" s="928"/>
      <c r="CJ219" s="925"/>
      <c r="CK219" s="925"/>
      <c r="CL219" s="925"/>
      <c r="CM219" s="925"/>
      <c r="CN219" s="925"/>
      <c r="CO219" s="925"/>
      <c r="CP219" s="925"/>
      <c r="CQ219" s="925"/>
      <c r="CR219" s="925"/>
      <c r="CS219" s="917"/>
      <c r="CT219" s="928"/>
      <c r="CU219" s="928"/>
      <c r="CV219" s="928"/>
      <c r="CX219" s="925"/>
      <c r="CY219" s="925"/>
      <c r="CZ219" s="925"/>
      <c r="DB219" s="925"/>
      <c r="DC219" s="925"/>
      <c r="DD219" s="925"/>
      <c r="DE219" s="925"/>
      <c r="DF219" s="925"/>
      <c r="DG219" s="925"/>
      <c r="DH219" s="925"/>
      <c r="DI219" s="925"/>
      <c r="DJ219" s="925"/>
      <c r="DK219" s="925"/>
      <c r="DL219" s="925"/>
      <c r="DM219" s="925"/>
      <c r="DN219" s="925"/>
      <c r="DO219" s="925"/>
      <c r="DP219" s="925"/>
      <c r="DQ219" s="924"/>
      <c r="DR219" s="925"/>
      <c r="DS219" s="925"/>
      <c r="DT219" s="925"/>
      <c r="DV219" s="925"/>
      <c r="DW219" s="925"/>
      <c r="DX219" s="925"/>
      <c r="DY219" s="925"/>
      <c r="DZ219" s="925"/>
      <c r="EA219" s="925"/>
      <c r="EB219" s="925"/>
      <c r="EC219" s="925"/>
      <c r="ED219" s="925"/>
      <c r="EE219" s="925"/>
      <c r="EF219" s="925"/>
      <c r="EG219" s="925"/>
      <c r="EH219" s="925"/>
      <c r="EI219" s="925"/>
      <c r="EJ219" s="925"/>
      <c r="EK219" s="925"/>
      <c r="EL219" s="925"/>
      <c r="EM219" s="925"/>
      <c r="EN219" s="925"/>
      <c r="EO219" s="925"/>
      <c r="EP219" s="925"/>
      <c r="EQ219" s="925"/>
      <c r="ER219" s="925"/>
      <c r="ES219" s="925"/>
      <c r="ET219" s="925"/>
      <c r="EV219" s="924"/>
      <c r="EW219" s="925"/>
      <c r="EX219" s="925"/>
      <c r="EY219" s="925"/>
    </row>
    <row r="220" spans="1:155" s="927" customFormat="1" ht="15.75" x14ac:dyDescent="0.25">
      <c r="A220" s="931" t="s">
        <v>62</v>
      </c>
      <c r="B220" s="932"/>
      <c r="C220" s="933">
        <f>SUM(C203:C219)</f>
        <v>31.44</v>
      </c>
      <c r="D220" s="933">
        <f t="shared" ref="D220:BO220" si="218">SUM(D203:D219)</f>
        <v>202961</v>
      </c>
      <c r="E220" s="934">
        <f t="shared" si="218"/>
        <v>17.934999999999999</v>
      </c>
      <c r="F220" s="935">
        <f t="shared" si="218"/>
        <v>214132</v>
      </c>
      <c r="G220" s="934">
        <f t="shared" si="218"/>
        <v>17.170000000000002</v>
      </c>
      <c r="H220" s="935">
        <f t="shared" si="218"/>
        <v>216281</v>
      </c>
      <c r="I220" s="936">
        <f t="shared" si="218"/>
        <v>407899.36</v>
      </c>
      <c r="J220" s="937">
        <f t="shared" si="218"/>
        <v>0.79622999999999999</v>
      </c>
      <c r="K220" s="938">
        <f t="shared" si="218"/>
        <v>40916.370000000003</v>
      </c>
      <c r="L220" s="936">
        <f t="shared" si="218"/>
        <v>43603.02</v>
      </c>
      <c r="M220" s="937">
        <f t="shared" si="218"/>
        <v>0</v>
      </c>
      <c r="N220" s="938">
        <f t="shared" si="218"/>
        <v>0</v>
      </c>
      <c r="O220" s="936">
        <f t="shared" si="218"/>
        <v>0</v>
      </c>
      <c r="P220" s="937">
        <f t="shared" si="218"/>
        <v>0</v>
      </c>
      <c r="Q220" s="938">
        <f t="shared" si="218"/>
        <v>0</v>
      </c>
      <c r="R220" s="936">
        <f t="shared" si="218"/>
        <v>0</v>
      </c>
      <c r="S220" s="937">
        <f t="shared" si="218"/>
        <v>0.2</v>
      </c>
      <c r="T220" s="938">
        <f t="shared" si="218"/>
        <v>1582.4</v>
      </c>
      <c r="U220" s="936">
        <f t="shared" si="218"/>
        <v>1686.4</v>
      </c>
      <c r="V220" s="937">
        <f t="shared" si="218"/>
        <v>0</v>
      </c>
      <c r="W220" s="938">
        <f t="shared" si="218"/>
        <v>0</v>
      </c>
      <c r="X220" s="936">
        <f t="shared" si="218"/>
        <v>0</v>
      </c>
      <c r="Y220" s="937">
        <f t="shared" si="218"/>
        <v>3.3212899999999999</v>
      </c>
      <c r="Z220" s="938">
        <f t="shared" si="218"/>
        <v>38758</v>
      </c>
      <c r="AA220" s="936">
        <f t="shared" si="218"/>
        <v>41302.660000000003</v>
      </c>
      <c r="AB220" s="937">
        <f t="shared" si="218"/>
        <v>2.0973899999999999</v>
      </c>
      <c r="AC220" s="938">
        <f t="shared" si="218"/>
        <v>62388.04</v>
      </c>
      <c r="AD220" s="936">
        <f t="shared" si="218"/>
        <v>66482.23</v>
      </c>
      <c r="AE220" s="937">
        <f t="shared" si="218"/>
        <v>0</v>
      </c>
      <c r="AF220" s="938">
        <f t="shared" si="218"/>
        <v>0</v>
      </c>
      <c r="AG220" s="936">
        <f t="shared" si="218"/>
        <v>0</v>
      </c>
      <c r="AH220" s="937">
        <f t="shared" si="218"/>
        <v>0</v>
      </c>
      <c r="AI220" s="938">
        <f t="shared" si="218"/>
        <v>0</v>
      </c>
      <c r="AJ220" s="936">
        <f t="shared" si="218"/>
        <v>0</v>
      </c>
      <c r="AK220" s="937">
        <f t="shared" si="218"/>
        <v>0</v>
      </c>
      <c r="AL220" s="938">
        <f t="shared" si="218"/>
        <v>0</v>
      </c>
      <c r="AM220" s="936">
        <f t="shared" si="218"/>
        <v>0</v>
      </c>
      <c r="AN220" s="933">
        <f t="shared" si="218"/>
        <v>327114</v>
      </c>
      <c r="AO220" s="936">
        <f t="shared" si="218"/>
        <v>118630.17</v>
      </c>
      <c r="AP220" s="933">
        <f t="shared" si="218"/>
        <v>2120.58</v>
      </c>
      <c r="AQ220" s="935">
        <f t="shared" si="218"/>
        <v>5301.45</v>
      </c>
      <c r="AR220" s="936">
        <f t="shared" si="218"/>
        <v>684905.29</v>
      </c>
      <c r="AS220" s="935">
        <f t="shared" si="218"/>
        <v>204</v>
      </c>
      <c r="AT220" s="939">
        <f t="shared" si="218"/>
        <v>8218863.4800000004</v>
      </c>
      <c r="AU220" s="933">
        <f t="shared" si="218"/>
        <v>123168.52</v>
      </c>
      <c r="AV220" s="940">
        <f t="shared" si="218"/>
        <v>82188.63</v>
      </c>
      <c r="AW220" s="939">
        <f t="shared" si="218"/>
        <v>8424220.6300000008</v>
      </c>
      <c r="AX220" s="939">
        <f t="shared" si="218"/>
        <v>2544114.61</v>
      </c>
      <c r="AY220" s="939">
        <f t="shared" si="218"/>
        <v>10968335.24</v>
      </c>
      <c r="AZ220" s="941">
        <f t="shared" si="218"/>
        <v>8424</v>
      </c>
      <c r="BA220" s="941">
        <f t="shared" si="218"/>
        <v>2544</v>
      </c>
      <c r="BB220" s="941">
        <f t="shared" si="218"/>
        <v>10968</v>
      </c>
      <c r="BC220" s="934">
        <f t="shared" si="218"/>
        <v>16.149999999999999</v>
      </c>
      <c r="BD220" s="941">
        <f t="shared" si="218"/>
        <v>8002.9</v>
      </c>
      <c r="BE220" s="941">
        <f t="shared" si="218"/>
        <v>2417.1999999999998</v>
      </c>
      <c r="BF220" s="941">
        <f t="shared" si="218"/>
        <v>10420.1</v>
      </c>
      <c r="BG220" s="942">
        <f>'[3]свод (2024)'!$B$116</f>
        <v>0.99758349999999996</v>
      </c>
      <c r="BH220" s="941">
        <f t="shared" si="218"/>
        <v>7983.5</v>
      </c>
      <c r="BI220" s="941">
        <f t="shared" si="218"/>
        <v>2411</v>
      </c>
      <c r="BJ220" s="941">
        <f t="shared" si="218"/>
        <v>10394.5</v>
      </c>
      <c r="BK220" s="943">
        <f t="shared" si="218"/>
        <v>-440.5</v>
      </c>
      <c r="BL220" s="943">
        <f t="shared" si="218"/>
        <v>-133</v>
      </c>
      <c r="BM220" s="943">
        <f t="shared" si="218"/>
        <v>-573.5</v>
      </c>
      <c r="BN220" s="943">
        <f t="shared" si="218"/>
        <v>0</v>
      </c>
      <c r="BO220" s="943">
        <f t="shared" si="218"/>
        <v>0</v>
      </c>
      <c r="BP220" s="944">
        <f t="shared" ref="BP220:BS220" si="219">SUM(BP203:BP219)</f>
        <v>0</v>
      </c>
      <c r="BQ220" s="943">
        <f t="shared" si="219"/>
        <v>7983.5</v>
      </c>
      <c r="BR220" s="943">
        <f t="shared" si="219"/>
        <v>2411</v>
      </c>
      <c r="BS220" s="943">
        <f t="shared" si="219"/>
        <v>10394.5</v>
      </c>
      <c r="BU220" s="945">
        <f>SUM(BU203:BU219)</f>
        <v>17.440000000000001</v>
      </c>
      <c r="BV220" s="946">
        <v>1.6</v>
      </c>
      <c r="BW220" s="947">
        <f t="shared" ref="BW220" si="220">BU220-BV220</f>
        <v>15.84</v>
      </c>
      <c r="BX220" s="945">
        <f>SUM(BX203:BX219)</f>
        <v>4099795.8</v>
      </c>
      <c r="BY220" s="947">
        <f>BX220/BU220*BW220</f>
        <v>3723667.74</v>
      </c>
      <c r="BZ220" s="946">
        <v>9.4</v>
      </c>
      <c r="CA220" s="947">
        <f t="shared" ref="CA220" si="221">BY220/BZ220/12</f>
        <v>33011.24</v>
      </c>
      <c r="CB220" s="946">
        <v>41718.199999999997</v>
      </c>
      <c r="CC220" s="947">
        <f t="shared" ref="CC220" si="222">(CB220-CA220)*BZ220*12</f>
        <v>982145.09</v>
      </c>
      <c r="CD220" s="947">
        <f t="shared" ref="CD220" si="223">CC220*0.302</f>
        <v>296607.82</v>
      </c>
      <c r="CE220" s="947">
        <f t="shared" ref="CE220" si="224">CC220+CD220</f>
        <v>1278752.9099999999</v>
      </c>
      <c r="CF220" s="948">
        <f>SUM(CF203:CF219)</f>
        <v>982145.09</v>
      </c>
      <c r="CG220" s="949">
        <f>ROUND(CC220/1000,1)</f>
        <v>982.1</v>
      </c>
      <c r="CH220" s="949">
        <f>ROUND(CD220/1000,1)</f>
        <v>296.60000000000002</v>
      </c>
      <c r="CI220" s="950">
        <f>CG220+CH220</f>
        <v>1278.7</v>
      </c>
      <c r="CJ220" s="951">
        <f>BQ220+CG220</f>
        <v>8965.6</v>
      </c>
      <c r="CK220" s="951">
        <f>BR220+CH220</f>
        <v>2707.6</v>
      </c>
      <c r="CL220" s="952">
        <f>CJ220+CK220</f>
        <v>11673.2</v>
      </c>
      <c r="CM220" s="951">
        <f>0/6*12</f>
        <v>0</v>
      </c>
      <c r="CN220" s="951">
        <f>CM220*0.302</f>
        <v>0</v>
      </c>
      <c r="CO220" s="952">
        <f>CM220+CN220</f>
        <v>0</v>
      </c>
      <c r="CP220" s="951">
        <f>ROUND(CJ220-CM220,1)</f>
        <v>8965.6</v>
      </c>
      <c r="CQ220" s="951">
        <f>ROUND(CK220-CN220,1)</f>
        <v>2707.6</v>
      </c>
      <c r="CR220" s="952">
        <f>CP220+CQ220</f>
        <v>11673.2</v>
      </c>
      <c r="CS220" s="946">
        <v>38663.800000000003</v>
      </c>
      <c r="CT220" s="953">
        <f>(CB220-CS220)*BZ220*12/1000</f>
        <v>344.5</v>
      </c>
      <c r="CU220" s="953">
        <f>CT220*0.302</f>
        <v>104</v>
      </c>
      <c r="CV220" s="953">
        <f>CT220+CU220</f>
        <v>448.5</v>
      </c>
      <c r="CX220" s="951">
        <f>(BY220+CC220)/1000</f>
        <v>4705.8</v>
      </c>
      <c r="CY220" s="951">
        <f>CX220*0.302</f>
        <v>1421.2</v>
      </c>
      <c r="CZ220" s="952">
        <f>CX220+CY220</f>
        <v>6127</v>
      </c>
      <c r="DB220" s="954"/>
      <c r="DC220" s="954"/>
      <c r="DD220" s="921"/>
      <c r="DE220" s="954"/>
      <c r="DF220" s="954"/>
      <c r="DG220" s="921"/>
      <c r="DH220" s="954"/>
      <c r="DI220" s="954"/>
      <c r="DJ220" s="921"/>
      <c r="DK220" s="954"/>
      <c r="DL220" s="954"/>
      <c r="DM220" s="921"/>
      <c r="DN220" s="954"/>
      <c r="DO220" s="954"/>
      <c r="DP220" s="921"/>
      <c r="DQ220" s="942">
        <f>$DQ$239</f>
        <v>0.97853064899999997</v>
      </c>
      <c r="DR220" s="951">
        <f>ROUND(CP220*DQ220,1)</f>
        <v>8773.1</v>
      </c>
      <c r="DS220" s="951">
        <f>ROUND(CQ220*DQ220,1)</f>
        <v>2649.5</v>
      </c>
      <c r="DT220" s="952">
        <f>DR220+DS220</f>
        <v>11422.6</v>
      </c>
      <c r="DV220" s="921"/>
      <c r="DW220" s="921"/>
      <c r="DX220" s="921"/>
      <c r="DY220" s="921"/>
      <c r="DZ220" s="921"/>
      <c r="EA220" s="921"/>
      <c r="EB220" s="921"/>
      <c r="EC220" s="921"/>
      <c r="ED220" s="921"/>
      <c r="EE220" s="921"/>
      <c r="EF220" s="921"/>
      <c r="EG220" s="921"/>
      <c r="EH220" s="921"/>
      <c r="EI220" s="921"/>
      <c r="EJ220" s="921"/>
      <c r="EK220" s="921"/>
      <c r="EL220" s="921"/>
      <c r="EM220" s="921"/>
      <c r="EN220" s="921"/>
      <c r="EO220" s="921"/>
      <c r="EP220" s="921"/>
      <c r="EQ220" s="954"/>
      <c r="ER220" s="954"/>
      <c r="ES220" s="954"/>
      <c r="ET220" s="954"/>
      <c r="EV220" s="942">
        <f>EV239</f>
        <v>0.98076503800000003</v>
      </c>
      <c r="EW220" s="955">
        <f>ROUND(CP220*EV220,1)-0.3</f>
        <v>8792.7999999999993</v>
      </c>
      <c r="EX220" s="951">
        <f>ROUND(CQ220*EV220,1)</f>
        <v>2655.5</v>
      </c>
      <c r="EY220" s="952">
        <f>EW220+EX220</f>
        <v>11448.3</v>
      </c>
    </row>
    <row r="221" spans="1:155" s="927" customFormat="1" ht="15.75" x14ac:dyDescent="0.25">
      <c r="A221" s="931"/>
      <c r="B221" s="932" t="s">
        <v>406</v>
      </c>
      <c r="C221" s="981">
        <f>C212</f>
        <v>14.44</v>
      </c>
      <c r="D221" s="938"/>
      <c r="E221" s="983"/>
      <c r="F221" s="936"/>
      <c r="G221" s="983"/>
      <c r="H221" s="984">
        <f t="shared" ref="H221:I221" si="225">H212</f>
        <v>13994</v>
      </c>
      <c r="I221" s="984">
        <f t="shared" si="225"/>
        <v>202073.36</v>
      </c>
      <c r="J221" s="937"/>
      <c r="K221" s="938"/>
      <c r="L221" s="984">
        <f t="shared" ref="L221" si="226">L212</f>
        <v>34601.019999999997</v>
      </c>
      <c r="M221" s="937"/>
      <c r="N221" s="938"/>
      <c r="O221" s="984">
        <f t="shared" ref="O221" si="227">O212</f>
        <v>0</v>
      </c>
      <c r="P221" s="937"/>
      <c r="Q221" s="938"/>
      <c r="R221" s="984">
        <f t="shared" ref="R221" si="228">R212</f>
        <v>0</v>
      </c>
      <c r="S221" s="937"/>
      <c r="T221" s="938"/>
      <c r="U221" s="984">
        <f t="shared" ref="U221" si="229">U212</f>
        <v>0</v>
      </c>
      <c r="V221" s="937"/>
      <c r="W221" s="938"/>
      <c r="X221" s="984">
        <f t="shared" ref="X221" si="230">X212</f>
        <v>0</v>
      </c>
      <c r="Y221" s="937"/>
      <c r="Z221" s="938"/>
      <c r="AA221" s="984">
        <f t="shared" ref="AA221" si="231">AA212</f>
        <v>0</v>
      </c>
      <c r="AB221" s="937"/>
      <c r="AC221" s="938"/>
      <c r="AD221" s="984">
        <f t="shared" ref="AD221" si="232">AD212</f>
        <v>34835.43</v>
      </c>
      <c r="AE221" s="937"/>
      <c r="AF221" s="938"/>
      <c r="AG221" s="984">
        <f t="shared" ref="AG221" si="233">AG212</f>
        <v>0</v>
      </c>
      <c r="AH221" s="937"/>
      <c r="AI221" s="938"/>
      <c r="AJ221" s="984">
        <f t="shared" ref="AJ221" si="234">AJ212</f>
        <v>0</v>
      </c>
      <c r="AK221" s="937"/>
      <c r="AL221" s="938"/>
      <c r="AM221" s="984">
        <f t="shared" ref="AM221" si="235">AM212</f>
        <v>0</v>
      </c>
      <c r="AN221" s="938"/>
      <c r="AO221" s="984">
        <f t="shared" ref="AO221" si="236">AO212</f>
        <v>6344.67</v>
      </c>
      <c r="AP221" s="938"/>
      <c r="AQ221" s="984">
        <f t="shared" ref="AQ221:AR221" si="237">AQ212</f>
        <v>0</v>
      </c>
      <c r="AR221" s="984">
        <f t="shared" si="237"/>
        <v>277854.48</v>
      </c>
      <c r="AS221" s="936"/>
      <c r="AT221" s="984">
        <f t="shared" ref="AT221:AW221" si="238">AT212</f>
        <v>3334253.76</v>
      </c>
      <c r="AU221" s="984">
        <f t="shared" si="238"/>
        <v>0</v>
      </c>
      <c r="AV221" s="984">
        <f t="shared" si="238"/>
        <v>33342.54</v>
      </c>
      <c r="AW221" s="984">
        <f t="shared" si="238"/>
        <v>3367596.3</v>
      </c>
      <c r="AX221" s="939"/>
      <c r="AY221" s="939"/>
      <c r="AZ221" s="941"/>
      <c r="BA221" s="941"/>
      <c r="BB221" s="941"/>
      <c r="BC221" s="934"/>
      <c r="BD221" s="941"/>
      <c r="BE221" s="941"/>
      <c r="BF221" s="941"/>
      <c r="BG221" s="942"/>
      <c r="BH221" s="941"/>
      <c r="BI221" s="941"/>
      <c r="BJ221" s="941"/>
      <c r="BK221" s="943"/>
      <c r="BL221" s="943"/>
      <c r="BM221" s="943"/>
      <c r="BN221" s="943"/>
      <c r="BO221" s="943"/>
      <c r="BP221" s="944"/>
      <c r="BQ221" s="943"/>
      <c r="BR221" s="943"/>
      <c r="BS221" s="943"/>
      <c r="BU221" s="945"/>
      <c r="BV221" s="946"/>
      <c r="BW221" s="947"/>
      <c r="BX221" s="945"/>
      <c r="BY221" s="947"/>
      <c r="BZ221" s="946"/>
      <c r="CA221" s="947"/>
      <c r="CB221" s="946"/>
      <c r="CC221" s="947"/>
      <c r="CD221" s="947"/>
      <c r="CE221" s="947"/>
      <c r="CF221" s="948"/>
      <c r="CG221" s="949"/>
      <c r="CH221" s="949"/>
      <c r="CI221" s="950"/>
      <c r="CJ221" s="951"/>
      <c r="CK221" s="951"/>
      <c r="CL221" s="952"/>
      <c r="CM221" s="951"/>
      <c r="CN221" s="951"/>
      <c r="CO221" s="952"/>
      <c r="CP221" s="951"/>
      <c r="CQ221" s="951"/>
      <c r="CR221" s="952"/>
      <c r="CS221" s="946"/>
      <c r="CT221" s="953"/>
      <c r="CU221" s="953"/>
      <c r="CV221" s="953"/>
      <c r="CX221" s="951"/>
      <c r="CY221" s="951"/>
      <c r="CZ221" s="952"/>
      <c r="DB221" s="954"/>
      <c r="DC221" s="954"/>
      <c r="DD221" s="921"/>
      <c r="DE221" s="954"/>
      <c r="DF221" s="954"/>
      <c r="DG221" s="921"/>
      <c r="DH221" s="954"/>
      <c r="DI221" s="954"/>
      <c r="DJ221" s="921"/>
      <c r="DK221" s="954"/>
      <c r="DL221" s="954"/>
      <c r="DM221" s="921"/>
      <c r="DN221" s="954"/>
      <c r="DO221" s="954"/>
      <c r="DP221" s="921"/>
      <c r="DQ221" s="942"/>
      <c r="DR221" s="951"/>
      <c r="DS221" s="951"/>
      <c r="DT221" s="952"/>
      <c r="DV221" s="921"/>
      <c r="DW221" s="921"/>
      <c r="DX221" s="921"/>
      <c r="DY221" s="921"/>
      <c r="DZ221" s="921"/>
      <c r="EA221" s="921"/>
      <c r="EB221" s="921"/>
      <c r="EC221" s="921"/>
      <c r="ED221" s="921"/>
      <c r="EE221" s="921"/>
      <c r="EF221" s="921"/>
      <c r="EG221" s="921"/>
      <c r="EH221" s="921"/>
      <c r="EI221" s="921"/>
      <c r="EJ221" s="921"/>
      <c r="EK221" s="921"/>
      <c r="EL221" s="921"/>
      <c r="EM221" s="921"/>
      <c r="EN221" s="921"/>
      <c r="EO221" s="921"/>
      <c r="EP221" s="921"/>
      <c r="EQ221" s="954"/>
      <c r="ER221" s="954"/>
      <c r="ES221" s="954"/>
      <c r="ET221" s="954"/>
      <c r="EV221" s="942"/>
      <c r="EW221" s="951"/>
      <c r="EX221" s="951"/>
      <c r="EY221" s="952"/>
    </row>
    <row r="222" spans="1:155" s="927" customFormat="1" ht="15.75" x14ac:dyDescent="0.25">
      <c r="A222" s="931"/>
      <c r="B222" s="932" t="s">
        <v>403</v>
      </c>
      <c r="C222" s="981">
        <f>C210+C213+C214</f>
        <v>3</v>
      </c>
      <c r="D222" s="938"/>
      <c r="E222" s="983"/>
      <c r="F222" s="936"/>
      <c r="G222" s="983"/>
      <c r="H222" s="984">
        <f t="shared" ref="H222:I222" si="239">H210+H213+H214</f>
        <v>43346</v>
      </c>
      <c r="I222" s="984">
        <f t="shared" si="239"/>
        <v>43346</v>
      </c>
      <c r="J222" s="937"/>
      <c r="K222" s="938"/>
      <c r="L222" s="984">
        <f t="shared" ref="L222" si="240">L210+L213+L214</f>
        <v>9002</v>
      </c>
      <c r="M222" s="937"/>
      <c r="N222" s="938"/>
      <c r="O222" s="984">
        <f t="shared" ref="O222" si="241">O210+O213+O214</f>
        <v>0</v>
      </c>
      <c r="P222" s="937"/>
      <c r="Q222" s="938"/>
      <c r="R222" s="984">
        <f t="shared" ref="R222" si="242">R210+R213+R214</f>
        <v>0</v>
      </c>
      <c r="S222" s="937"/>
      <c r="T222" s="938"/>
      <c r="U222" s="984">
        <f t="shared" ref="U222" si="243">U210+U213+U214</f>
        <v>0</v>
      </c>
      <c r="V222" s="937"/>
      <c r="W222" s="938"/>
      <c r="X222" s="984">
        <f t="shared" ref="X222" si="244">X210+X213+X214</f>
        <v>0</v>
      </c>
      <c r="Y222" s="937"/>
      <c r="Z222" s="938"/>
      <c r="AA222" s="984">
        <f t="shared" ref="AA222" si="245">AA210+AA213+AA214</f>
        <v>0</v>
      </c>
      <c r="AB222" s="937"/>
      <c r="AC222" s="938"/>
      <c r="AD222" s="984">
        <f t="shared" ref="AD222" si="246">AD210+AD213+AD214</f>
        <v>7534.4</v>
      </c>
      <c r="AE222" s="937"/>
      <c r="AF222" s="938"/>
      <c r="AG222" s="984">
        <f t="shared" ref="AG222" si="247">AG210+AG213+AG214</f>
        <v>0</v>
      </c>
      <c r="AH222" s="937"/>
      <c r="AI222" s="938"/>
      <c r="AJ222" s="984">
        <f t="shared" ref="AJ222" si="248">AJ210+AJ213+AJ214</f>
        <v>0</v>
      </c>
      <c r="AK222" s="937"/>
      <c r="AL222" s="938"/>
      <c r="AM222" s="984">
        <f t="shared" ref="AM222" si="249">AM210+AM213+AM214</f>
        <v>0</v>
      </c>
      <c r="AN222" s="938"/>
      <c r="AO222" s="984">
        <f t="shared" ref="AO222" si="250">AO210+AO213+AO214</f>
        <v>530.1</v>
      </c>
      <c r="AP222" s="938"/>
      <c r="AQ222" s="984">
        <f t="shared" ref="AQ222:AR222" si="251">AQ210+AQ213+AQ214</f>
        <v>0</v>
      </c>
      <c r="AR222" s="984">
        <f t="shared" si="251"/>
        <v>60412.5</v>
      </c>
      <c r="AS222" s="936"/>
      <c r="AT222" s="984">
        <f t="shared" ref="AT222:AW222" si="252">AT210+AT213+AT214</f>
        <v>724950</v>
      </c>
      <c r="AU222" s="984">
        <f t="shared" si="252"/>
        <v>0</v>
      </c>
      <c r="AV222" s="984">
        <f t="shared" si="252"/>
        <v>7249.5</v>
      </c>
      <c r="AW222" s="984">
        <f t="shared" si="252"/>
        <v>732199.5</v>
      </c>
      <c r="AX222" s="939"/>
      <c r="AY222" s="939"/>
      <c r="AZ222" s="941"/>
      <c r="BA222" s="941"/>
      <c r="BB222" s="941"/>
      <c r="BC222" s="934"/>
      <c r="BD222" s="941"/>
      <c r="BE222" s="941"/>
      <c r="BF222" s="941"/>
      <c r="BG222" s="942"/>
      <c r="BH222" s="941"/>
      <c r="BI222" s="941"/>
      <c r="BJ222" s="941"/>
      <c r="BK222" s="943"/>
      <c r="BL222" s="943"/>
      <c r="BM222" s="943"/>
      <c r="BN222" s="943"/>
      <c r="BO222" s="943"/>
      <c r="BP222" s="944"/>
      <c r="BQ222" s="943"/>
      <c r="BR222" s="943"/>
      <c r="BS222" s="943"/>
      <c r="BU222" s="945"/>
      <c r="BV222" s="946"/>
      <c r="BW222" s="947"/>
      <c r="BX222" s="945"/>
      <c r="BY222" s="947"/>
      <c r="BZ222" s="946"/>
      <c r="CA222" s="947"/>
      <c r="CB222" s="946"/>
      <c r="CC222" s="947"/>
      <c r="CD222" s="947"/>
      <c r="CE222" s="947"/>
      <c r="CF222" s="948"/>
      <c r="CG222" s="949"/>
      <c r="CH222" s="949"/>
      <c r="CI222" s="950"/>
      <c r="CJ222" s="951"/>
      <c r="CK222" s="951"/>
      <c r="CL222" s="952"/>
      <c r="CM222" s="951"/>
      <c r="CN222" s="951"/>
      <c r="CO222" s="952"/>
      <c r="CP222" s="951"/>
      <c r="CQ222" s="951"/>
      <c r="CR222" s="952"/>
      <c r="CS222" s="946"/>
      <c r="CT222" s="953"/>
      <c r="CU222" s="953"/>
      <c r="CV222" s="953"/>
      <c r="CX222" s="951"/>
      <c r="CY222" s="951"/>
      <c r="CZ222" s="952"/>
      <c r="DB222" s="954"/>
      <c r="DC222" s="954"/>
      <c r="DD222" s="921"/>
      <c r="DE222" s="954"/>
      <c r="DF222" s="954"/>
      <c r="DG222" s="921"/>
      <c r="DH222" s="954"/>
      <c r="DI222" s="954"/>
      <c r="DJ222" s="921"/>
      <c r="DK222" s="954"/>
      <c r="DL222" s="954"/>
      <c r="DM222" s="921"/>
      <c r="DN222" s="954"/>
      <c r="DO222" s="954"/>
      <c r="DP222" s="921"/>
      <c r="DQ222" s="942"/>
      <c r="DR222" s="951"/>
      <c r="DS222" s="951"/>
      <c r="DT222" s="952"/>
      <c r="DV222" s="921"/>
      <c r="DW222" s="921"/>
      <c r="DX222" s="921"/>
      <c r="DY222" s="921"/>
      <c r="DZ222" s="921"/>
      <c r="EA222" s="921"/>
      <c r="EB222" s="921"/>
      <c r="EC222" s="921"/>
      <c r="ED222" s="921"/>
      <c r="EE222" s="921"/>
      <c r="EF222" s="921"/>
      <c r="EG222" s="921"/>
      <c r="EH222" s="921"/>
      <c r="EI222" s="921"/>
      <c r="EJ222" s="921"/>
      <c r="EK222" s="921"/>
      <c r="EL222" s="921"/>
      <c r="EM222" s="921"/>
      <c r="EN222" s="921"/>
      <c r="EO222" s="921"/>
      <c r="EP222" s="921"/>
      <c r="EQ222" s="954"/>
      <c r="ER222" s="954"/>
      <c r="ES222" s="954"/>
      <c r="ET222" s="954"/>
      <c r="EV222" s="942"/>
      <c r="EW222" s="951"/>
      <c r="EX222" s="951"/>
      <c r="EY222" s="952"/>
    </row>
    <row r="223" spans="1:155" s="927" customFormat="1" ht="15.75" x14ac:dyDescent="0.25">
      <c r="A223" s="931"/>
      <c r="B223" s="932" t="s">
        <v>404</v>
      </c>
      <c r="C223" s="981">
        <f>C203+C204+C205+C206+C207+C208+C209+C216+C219</f>
        <v>7.5</v>
      </c>
      <c r="D223" s="938"/>
      <c r="E223" s="983"/>
      <c r="F223" s="936"/>
      <c r="G223" s="983"/>
      <c r="H223" s="984">
        <f t="shared" ref="H223:I223" si="253">H203+H204+H205+H206+H207+H208+H209+H216+H219</f>
        <v>139045</v>
      </c>
      <c r="I223" s="984">
        <f t="shared" si="253"/>
        <v>130292</v>
      </c>
      <c r="J223" s="937"/>
      <c r="K223" s="938"/>
      <c r="L223" s="984">
        <f t="shared" ref="L223" si="254">L203+L204+L205+L206+L207+L208+L209+L216+L219</f>
        <v>0</v>
      </c>
      <c r="M223" s="937"/>
      <c r="N223" s="938"/>
      <c r="O223" s="984">
        <f t="shared" ref="O223" si="255">O203+O204+O205+O206+O207+O208+O209+O216+O219</f>
        <v>0</v>
      </c>
      <c r="P223" s="937"/>
      <c r="Q223" s="938"/>
      <c r="R223" s="984">
        <f t="shared" ref="R223" si="256">R203+R204+R205+R206+R207+R208+R209+R216+R219</f>
        <v>0</v>
      </c>
      <c r="S223" s="937"/>
      <c r="T223" s="938"/>
      <c r="U223" s="984">
        <f t="shared" ref="U223" si="257">U203+U204+U205+U206+U207+U208+U209+U216+U219</f>
        <v>1686.4</v>
      </c>
      <c r="V223" s="937"/>
      <c r="W223" s="938"/>
      <c r="X223" s="984">
        <f t="shared" ref="X223" si="258">X203+X204+X205+X206+X207+X208+X209+X216+X219</f>
        <v>0</v>
      </c>
      <c r="Y223" s="937"/>
      <c r="Z223" s="938"/>
      <c r="AA223" s="984">
        <f t="shared" ref="AA223" si="259">AA203+AA204+AA205+AA206+AA207+AA208+AA209+AA216+AA219</f>
        <v>41302.660000000003</v>
      </c>
      <c r="AB223" s="937"/>
      <c r="AC223" s="938"/>
      <c r="AD223" s="984">
        <f t="shared" ref="AD223" si="260">AD203+AD204+AD205+AD206+AD207+AD208+AD209+AD216+AD219</f>
        <v>24112.400000000001</v>
      </c>
      <c r="AE223" s="937"/>
      <c r="AF223" s="938"/>
      <c r="AG223" s="984">
        <f t="shared" ref="AG223" si="261">AG203+AG204+AG205+AG206+AG207+AG208+AG209+AG216+AG219</f>
        <v>0</v>
      </c>
      <c r="AH223" s="937"/>
      <c r="AI223" s="938"/>
      <c r="AJ223" s="984">
        <f t="shared" ref="AJ223" si="262">AJ203+AJ204+AJ205+AJ206+AJ207+AJ208+AJ209+AJ216+AJ219</f>
        <v>0</v>
      </c>
      <c r="AK223" s="937"/>
      <c r="AL223" s="938"/>
      <c r="AM223" s="984">
        <f t="shared" ref="AM223" si="263">AM203+AM204+AM205+AM206+AM207+AM208+AM209+AM216+AM219</f>
        <v>0</v>
      </c>
      <c r="AN223" s="938"/>
      <c r="AO223" s="984">
        <f t="shared" ref="AO223" si="264">AO203+AO204+AO205+AO206+AO207+AO208+AO209+AO216+AO219</f>
        <v>18870.400000000001</v>
      </c>
      <c r="AP223" s="938"/>
      <c r="AQ223" s="984">
        <f t="shared" ref="AQ223:AR223" si="265">AQ203+AQ204+AQ205+AQ206+AQ207+AQ208+AQ209+AQ216+AQ219</f>
        <v>0</v>
      </c>
      <c r="AR223" s="984">
        <f t="shared" si="265"/>
        <v>216263.86</v>
      </c>
      <c r="AS223" s="936"/>
      <c r="AT223" s="984">
        <f t="shared" ref="AT223:AW223" si="266">AT203+AT204+AT205+AT206+AT207+AT208+AT209+AT216+AT219</f>
        <v>2595166.3199999998</v>
      </c>
      <c r="AU223" s="984">
        <f t="shared" si="266"/>
        <v>19626.84</v>
      </c>
      <c r="AV223" s="984">
        <f t="shared" si="266"/>
        <v>25951.66</v>
      </c>
      <c r="AW223" s="984">
        <f t="shared" si="266"/>
        <v>2640744.8199999998</v>
      </c>
      <c r="AX223" s="939"/>
      <c r="AY223" s="939"/>
      <c r="AZ223" s="941"/>
      <c r="BA223" s="941"/>
      <c r="BB223" s="941"/>
      <c r="BC223" s="934"/>
      <c r="BD223" s="941"/>
      <c r="BE223" s="941"/>
      <c r="BF223" s="941"/>
      <c r="BG223" s="942"/>
      <c r="BH223" s="941"/>
      <c r="BI223" s="941"/>
      <c r="BJ223" s="941"/>
      <c r="BK223" s="943"/>
      <c r="BL223" s="943"/>
      <c r="BM223" s="943"/>
      <c r="BN223" s="943"/>
      <c r="BO223" s="943"/>
      <c r="BP223" s="944"/>
      <c r="BQ223" s="943"/>
      <c r="BR223" s="943"/>
      <c r="BS223" s="943"/>
      <c r="BU223" s="945"/>
      <c r="BV223" s="946"/>
      <c r="BW223" s="947"/>
      <c r="BX223" s="945"/>
      <c r="BY223" s="947"/>
      <c r="BZ223" s="946"/>
      <c r="CA223" s="947"/>
      <c r="CB223" s="946"/>
      <c r="CC223" s="947"/>
      <c r="CD223" s="947"/>
      <c r="CE223" s="947"/>
      <c r="CF223" s="948"/>
      <c r="CG223" s="949"/>
      <c r="CH223" s="949"/>
      <c r="CI223" s="950"/>
      <c r="CJ223" s="951"/>
      <c r="CK223" s="951"/>
      <c r="CL223" s="952"/>
      <c r="CM223" s="951"/>
      <c r="CN223" s="951"/>
      <c r="CO223" s="952"/>
      <c r="CP223" s="951"/>
      <c r="CQ223" s="951"/>
      <c r="CR223" s="952"/>
      <c r="CS223" s="946"/>
      <c r="CT223" s="953"/>
      <c r="CU223" s="953"/>
      <c r="CV223" s="953"/>
      <c r="CX223" s="951"/>
      <c r="CY223" s="951"/>
      <c r="CZ223" s="952"/>
      <c r="DB223" s="954"/>
      <c r="DC223" s="954"/>
      <c r="DD223" s="921"/>
      <c r="DE223" s="954"/>
      <c r="DF223" s="954"/>
      <c r="DG223" s="921"/>
      <c r="DH223" s="954"/>
      <c r="DI223" s="954"/>
      <c r="DJ223" s="921"/>
      <c r="DK223" s="954"/>
      <c r="DL223" s="954"/>
      <c r="DM223" s="921"/>
      <c r="DN223" s="954"/>
      <c r="DO223" s="954"/>
      <c r="DP223" s="921"/>
      <c r="DQ223" s="942"/>
      <c r="DR223" s="951"/>
      <c r="DS223" s="951"/>
      <c r="DT223" s="952"/>
      <c r="DV223" s="921"/>
      <c r="DW223" s="921"/>
      <c r="DX223" s="921"/>
      <c r="DY223" s="921"/>
      <c r="DZ223" s="921"/>
      <c r="EA223" s="921"/>
      <c r="EB223" s="921"/>
      <c r="EC223" s="921"/>
      <c r="ED223" s="921"/>
      <c r="EE223" s="921"/>
      <c r="EF223" s="921"/>
      <c r="EG223" s="921"/>
      <c r="EH223" s="921"/>
      <c r="EI223" s="921"/>
      <c r="EJ223" s="921"/>
      <c r="EK223" s="921"/>
      <c r="EL223" s="921"/>
      <c r="EM223" s="921"/>
      <c r="EN223" s="921"/>
      <c r="EO223" s="921"/>
      <c r="EP223" s="921"/>
      <c r="EQ223" s="954"/>
      <c r="ER223" s="954"/>
      <c r="ES223" s="954"/>
      <c r="ET223" s="954"/>
      <c r="EV223" s="942"/>
      <c r="EW223" s="951"/>
      <c r="EX223" s="951"/>
      <c r="EY223" s="952"/>
    </row>
    <row r="224" spans="1:155" s="927" customFormat="1" ht="15.75" x14ac:dyDescent="0.25">
      <c r="A224" s="931"/>
      <c r="B224" s="932" t="s">
        <v>405</v>
      </c>
      <c r="C224" s="981">
        <f>C211+C215+C217+C218</f>
        <v>6.5</v>
      </c>
      <c r="D224" s="938"/>
      <c r="E224" s="983"/>
      <c r="F224" s="936"/>
      <c r="G224" s="983"/>
      <c r="H224" s="984">
        <f t="shared" ref="H224:I224" si="267">H211+H215+H217+H218</f>
        <v>19896</v>
      </c>
      <c r="I224" s="984">
        <f t="shared" si="267"/>
        <v>32188</v>
      </c>
      <c r="J224" s="937"/>
      <c r="K224" s="938"/>
      <c r="L224" s="984">
        <f t="shared" ref="L224" si="268">L211+L215+L217+L218</f>
        <v>0</v>
      </c>
      <c r="M224" s="937"/>
      <c r="N224" s="938"/>
      <c r="O224" s="984">
        <f t="shared" ref="O224" si="269">O211+O215+O217+O218</f>
        <v>0</v>
      </c>
      <c r="P224" s="937"/>
      <c r="Q224" s="938"/>
      <c r="R224" s="984">
        <f t="shared" ref="R224" si="270">R211+R215+R217+R218</f>
        <v>0</v>
      </c>
      <c r="S224" s="937"/>
      <c r="T224" s="938"/>
      <c r="U224" s="984">
        <f t="shared" ref="U224" si="271">U211+U215+U217+U218</f>
        <v>0</v>
      </c>
      <c r="V224" s="937"/>
      <c r="W224" s="938"/>
      <c r="X224" s="984">
        <f t="shared" ref="X224" si="272">X211+X215+X217+X218</f>
        <v>0</v>
      </c>
      <c r="Y224" s="937"/>
      <c r="Z224" s="938"/>
      <c r="AA224" s="984">
        <f t="shared" ref="AA224" si="273">AA211+AA215+AA217+AA218</f>
        <v>0</v>
      </c>
      <c r="AB224" s="937"/>
      <c r="AC224" s="938"/>
      <c r="AD224" s="984">
        <f t="shared" ref="AD224" si="274">AD211+AD215+AD217+AD218</f>
        <v>0</v>
      </c>
      <c r="AE224" s="937"/>
      <c r="AF224" s="938"/>
      <c r="AG224" s="984">
        <f t="shared" ref="AG224" si="275">AG211+AG215+AG217+AG218</f>
        <v>0</v>
      </c>
      <c r="AH224" s="937"/>
      <c r="AI224" s="938"/>
      <c r="AJ224" s="984">
        <f t="shared" ref="AJ224" si="276">AJ211+AJ215+AJ217+AJ218</f>
        <v>0</v>
      </c>
      <c r="AK224" s="937"/>
      <c r="AL224" s="938"/>
      <c r="AM224" s="984">
        <f t="shared" ref="AM224" si="277">AM211+AM215+AM217+AM218</f>
        <v>0</v>
      </c>
      <c r="AN224" s="938"/>
      <c r="AO224" s="984">
        <f t="shared" ref="AO224" si="278">AO211+AO215+AO217+AO218</f>
        <v>92885</v>
      </c>
      <c r="AP224" s="938"/>
      <c r="AQ224" s="984">
        <f t="shared" ref="AQ224:AR224" si="279">AQ211+AQ215+AQ217+AQ218</f>
        <v>5301.45</v>
      </c>
      <c r="AR224" s="984">
        <f t="shared" si="279"/>
        <v>130374.45</v>
      </c>
      <c r="AS224" s="936"/>
      <c r="AT224" s="984">
        <f t="shared" ref="AT224:AW224" si="280">AT211+AT215+AT217+AT218</f>
        <v>1564493.4</v>
      </c>
      <c r="AU224" s="984">
        <f t="shared" si="280"/>
        <v>103541.68</v>
      </c>
      <c r="AV224" s="984">
        <f t="shared" si="280"/>
        <v>15644.93</v>
      </c>
      <c r="AW224" s="984">
        <f t="shared" si="280"/>
        <v>1683680.01</v>
      </c>
      <c r="AX224" s="939"/>
      <c r="AY224" s="939"/>
      <c r="AZ224" s="941"/>
      <c r="BA224" s="941"/>
      <c r="BB224" s="941"/>
      <c r="BC224" s="934"/>
      <c r="BD224" s="941"/>
      <c r="BE224" s="941"/>
      <c r="BF224" s="941"/>
      <c r="BG224" s="942"/>
      <c r="BH224" s="941"/>
      <c r="BI224" s="941"/>
      <c r="BJ224" s="941"/>
      <c r="BK224" s="943"/>
      <c r="BL224" s="943"/>
      <c r="BM224" s="943"/>
      <c r="BN224" s="943"/>
      <c r="BO224" s="943"/>
      <c r="BP224" s="944"/>
      <c r="BQ224" s="943"/>
      <c r="BR224" s="943"/>
      <c r="BS224" s="943"/>
      <c r="BU224" s="945"/>
      <c r="BV224" s="946"/>
      <c r="BW224" s="947"/>
      <c r="BX224" s="945"/>
      <c r="BY224" s="947"/>
      <c r="BZ224" s="946"/>
      <c r="CA224" s="947"/>
      <c r="CB224" s="946"/>
      <c r="CC224" s="947"/>
      <c r="CD224" s="947"/>
      <c r="CE224" s="947"/>
      <c r="CF224" s="948"/>
      <c r="CG224" s="949"/>
      <c r="CH224" s="949"/>
      <c r="CI224" s="950"/>
      <c r="CJ224" s="951"/>
      <c r="CK224" s="951"/>
      <c r="CL224" s="952"/>
      <c r="CM224" s="951"/>
      <c r="CN224" s="951"/>
      <c r="CO224" s="952"/>
      <c r="CP224" s="951"/>
      <c r="CQ224" s="951"/>
      <c r="CR224" s="952"/>
      <c r="CS224" s="946"/>
      <c r="CT224" s="953"/>
      <c r="CU224" s="953"/>
      <c r="CV224" s="953"/>
      <c r="CX224" s="951"/>
      <c r="CY224" s="951"/>
      <c r="CZ224" s="952"/>
      <c r="DB224" s="954"/>
      <c r="DC224" s="954"/>
      <c r="DD224" s="921"/>
      <c r="DE224" s="954"/>
      <c r="DF224" s="954"/>
      <c r="DG224" s="921"/>
      <c r="DH224" s="954"/>
      <c r="DI224" s="954"/>
      <c r="DJ224" s="921"/>
      <c r="DK224" s="954"/>
      <c r="DL224" s="954"/>
      <c r="DM224" s="921"/>
      <c r="DN224" s="954"/>
      <c r="DO224" s="954"/>
      <c r="DP224" s="921"/>
      <c r="DQ224" s="942"/>
      <c r="DR224" s="951"/>
      <c r="DS224" s="951"/>
      <c r="DT224" s="952"/>
      <c r="DV224" s="921"/>
      <c r="DW224" s="921"/>
      <c r="DX224" s="921"/>
      <c r="DY224" s="921"/>
      <c r="DZ224" s="921"/>
      <c r="EA224" s="921"/>
      <c r="EB224" s="921"/>
      <c r="EC224" s="921"/>
      <c r="ED224" s="921"/>
      <c r="EE224" s="921"/>
      <c r="EF224" s="921"/>
      <c r="EG224" s="921"/>
      <c r="EH224" s="921"/>
      <c r="EI224" s="921"/>
      <c r="EJ224" s="921"/>
      <c r="EK224" s="921"/>
      <c r="EL224" s="921"/>
      <c r="EM224" s="921"/>
      <c r="EN224" s="921"/>
      <c r="EO224" s="921"/>
      <c r="EP224" s="921"/>
      <c r="EQ224" s="954"/>
      <c r="ER224" s="954"/>
      <c r="ES224" s="954"/>
      <c r="ET224" s="954"/>
      <c r="EV224" s="942"/>
      <c r="EW224" s="951"/>
      <c r="EX224" s="951"/>
      <c r="EY224" s="952"/>
    </row>
    <row r="225" spans="1:155" s="927" customFormat="1" ht="15.75" x14ac:dyDescent="0.25">
      <c r="A225" s="931"/>
      <c r="B225" s="932"/>
      <c r="C225" s="982">
        <f>C220-C221-C222-C223-C224</f>
        <v>0</v>
      </c>
      <c r="D225" s="938"/>
      <c r="E225" s="983"/>
      <c r="F225" s="936"/>
      <c r="G225" s="983"/>
      <c r="H225" s="985">
        <f>H220-H221-H222-H223-H224</f>
        <v>0</v>
      </c>
      <c r="I225" s="985">
        <f>I220-I221-I222-I223-I224</f>
        <v>0</v>
      </c>
      <c r="J225" s="937"/>
      <c r="K225" s="938"/>
      <c r="L225" s="985">
        <f>L220-L221-L222-L223-L224</f>
        <v>0</v>
      </c>
      <c r="M225" s="937"/>
      <c r="N225" s="938"/>
      <c r="O225" s="985">
        <f>O220-O221-O222-O223-O224</f>
        <v>0</v>
      </c>
      <c r="P225" s="937"/>
      <c r="Q225" s="938"/>
      <c r="R225" s="985">
        <f>R220-R221-R222-R223-R224</f>
        <v>0</v>
      </c>
      <c r="S225" s="937"/>
      <c r="T225" s="938"/>
      <c r="U225" s="985">
        <f>U220-U221-U222-U223-U224</f>
        <v>0</v>
      </c>
      <c r="V225" s="937"/>
      <c r="W225" s="938"/>
      <c r="X225" s="985">
        <f>X220-X221-X222-X223-X224</f>
        <v>0</v>
      </c>
      <c r="Y225" s="937"/>
      <c r="Z225" s="938"/>
      <c r="AA225" s="985">
        <f>AA220-AA221-AA222-AA223-AA224</f>
        <v>0</v>
      </c>
      <c r="AB225" s="937"/>
      <c r="AC225" s="938"/>
      <c r="AD225" s="985">
        <f>AD220-AD221-AD222-AD223-AD224</f>
        <v>0</v>
      </c>
      <c r="AE225" s="937"/>
      <c r="AF225" s="938"/>
      <c r="AG225" s="985">
        <f>AG220-AG221-AG222-AG223-AG224</f>
        <v>0</v>
      </c>
      <c r="AH225" s="937"/>
      <c r="AI225" s="938"/>
      <c r="AJ225" s="985">
        <f>AJ220-AJ221-AJ222-AJ223-AJ224</f>
        <v>0</v>
      </c>
      <c r="AK225" s="937"/>
      <c r="AL225" s="938"/>
      <c r="AM225" s="985">
        <f>AM220-AM221-AM222-AM223-AM224</f>
        <v>0</v>
      </c>
      <c r="AN225" s="938"/>
      <c r="AO225" s="985">
        <f>AO220-AO221-AO222-AO223-AO224</f>
        <v>0</v>
      </c>
      <c r="AP225" s="938"/>
      <c r="AQ225" s="985">
        <f>AQ220-AQ221-AQ222-AQ223-AQ224</f>
        <v>0</v>
      </c>
      <c r="AR225" s="985">
        <f>AR220-AR221-AR222-AR223-AR224</f>
        <v>0</v>
      </c>
      <c r="AS225" s="936"/>
      <c r="AT225" s="985">
        <f t="shared" ref="AT225" si="281">AT220-AT221-AT222-AT223-AT224</f>
        <v>0</v>
      </c>
      <c r="AU225" s="985">
        <f t="shared" ref="AU225" si="282">AU220-AU221-AU222-AU223-AU224</f>
        <v>0</v>
      </c>
      <c r="AV225" s="985">
        <f t="shared" ref="AV225" si="283">AV220-AV221-AV222-AV223-AV224</f>
        <v>0</v>
      </c>
      <c r="AW225" s="985">
        <f t="shared" ref="AW225" si="284">AW220-AW221-AW222-AW223-AW224</f>
        <v>0</v>
      </c>
      <c r="AX225" s="939"/>
      <c r="AY225" s="939"/>
      <c r="AZ225" s="941"/>
      <c r="BA225" s="941"/>
      <c r="BB225" s="941"/>
      <c r="BC225" s="934"/>
      <c r="BD225" s="941"/>
      <c r="BE225" s="941"/>
      <c r="BF225" s="941"/>
      <c r="BG225" s="942"/>
      <c r="BH225" s="941"/>
      <c r="BI225" s="941"/>
      <c r="BJ225" s="941"/>
      <c r="BK225" s="943"/>
      <c r="BL225" s="943"/>
      <c r="BM225" s="943"/>
      <c r="BN225" s="943"/>
      <c r="BO225" s="943"/>
      <c r="BP225" s="944"/>
      <c r="BQ225" s="943"/>
      <c r="BR225" s="943"/>
      <c r="BS225" s="943"/>
      <c r="BU225" s="945"/>
      <c r="BV225" s="946"/>
      <c r="BW225" s="947"/>
      <c r="BX225" s="945"/>
      <c r="BY225" s="947"/>
      <c r="BZ225" s="946"/>
      <c r="CA225" s="947"/>
      <c r="CB225" s="946"/>
      <c r="CC225" s="947"/>
      <c r="CD225" s="947"/>
      <c r="CE225" s="947"/>
      <c r="CF225" s="948"/>
      <c r="CG225" s="949"/>
      <c r="CH225" s="949"/>
      <c r="CI225" s="950"/>
      <c r="CJ225" s="951"/>
      <c r="CK225" s="951"/>
      <c r="CL225" s="952"/>
      <c r="CM225" s="951"/>
      <c r="CN225" s="951"/>
      <c r="CO225" s="952"/>
      <c r="CP225" s="951"/>
      <c r="CQ225" s="951"/>
      <c r="CR225" s="952"/>
      <c r="CS225" s="946"/>
      <c r="CT225" s="953"/>
      <c r="CU225" s="953"/>
      <c r="CV225" s="953"/>
      <c r="CX225" s="951"/>
      <c r="CY225" s="951"/>
      <c r="CZ225" s="952"/>
      <c r="DB225" s="954"/>
      <c r="DC225" s="954"/>
      <c r="DD225" s="921"/>
      <c r="DE225" s="954"/>
      <c r="DF225" s="954"/>
      <c r="DG225" s="921"/>
      <c r="DH225" s="954"/>
      <c r="DI225" s="954"/>
      <c r="DJ225" s="921"/>
      <c r="DK225" s="954"/>
      <c r="DL225" s="954"/>
      <c r="DM225" s="921"/>
      <c r="DN225" s="954"/>
      <c r="DO225" s="954"/>
      <c r="DP225" s="921"/>
      <c r="DQ225" s="942"/>
      <c r="DR225" s="951"/>
      <c r="DS225" s="951"/>
      <c r="DT225" s="952"/>
      <c r="DV225" s="921"/>
      <c r="DW225" s="921"/>
      <c r="DX225" s="921"/>
      <c r="DY225" s="921"/>
      <c r="DZ225" s="921"/>
      <c r="EA225" s="921"/>
      <c r="EB225" s="921"/>
      <c r="EC225" s="921"/>
      <c r="ED225" s="921"/>
      <c r="EE225" s="921"/>
      <c r="EF225" s="921"/>
      <c r="EG225" s="921"/>
      <c r="EH225" s="921"/>
      <c r="EI225" s="921"/>
      <c r="EJ225" s="921"/>
      <c r="EK225" s="921"/>
      <c r="EL225" s="921"/>
      <c r="EM225" s="921"/>
      <c r="EN225" s="921"/>
      <c r="EO225" s="921"/>
      <c r="EP225" s="921"/>
      <c r="EQ225" s="954"/>
      <c r="ER225" s="954"/>
      <c r="ES225" s="954"/>
      <c r="ET225" s="954"/>
      <c r="EV225" s="942"/>
      <c r="EW225" s="951"/>
      <c r="EX225" s="951"/>
      <c r="EY225" s="952"/>
    </row>
    <row r="226" spans="1:155" s="927" customFormat="1" ht="15.75" x14ac:dyDescent="0.25">
      <c r="A226" s="931"/>
      <c r="B226" s="932" t="s">
        <v>806</v>
      </c>
      <c r="C226" s="933"/>
      <c r="D226" s="933"/>
      <c r="E226" s="934"/>
      <c r="F226" s="935"/>
      <c r="G226" s="934"/>
      <c r="H226" s="935"/>
      <c r="I226" s="936"/>
      <c r="J226" s="937"/>
      <c r="K226" s="938"/>
      <c r="L226" s="936"/>
      <c r="M226" s="937"/>
      <c r="N226" s="938"/>
      <c r="O226" s="936"/>
      <c r="P226" s="937"/>
      <c r="Q226" s="938"/>
      <c r="R226" s="936"/>
      <c r="S226" s="937"/>
      <c r="T226" s="938"/>
      <c r="U226" s="936"/>
      <c r="V226" s="937"/>
      <c r="W226" s="938"/>
      <c r="X226" s="936"/>
      <c r="Y226" s="937"/>
      <c r="Z226" s="938"/>
      <c r="AA226" s="936"/>
      <c r="AB226" s="937"/>
      <c r="AC226" s="938"/>
      <c r="AD226" s="936"/>
      <c r="AE226" s="937"/>
      <c r="AF226" s="938"/>
      <c r="AG226" s="936"/>
      <c r="AH226" s="937"/>
      <c r="AI226" s="938"/>
      <c r="AJ226" s="936"/>
      <c r="AK226" s="937"/>
      <c r="AL226" s="938"/>
      <c r="AM226" s="936"/>
      <c r="AN226" s="933"/>
      <c r="AO226" s="936"/>
      <c r="AP226" s="933"/>
      <c r="AQ226" s="935"/>
      <c r="AR226" s="936"/>
      <c r="AS226" s="935"/>
      <c r="AT226" s="939"/>
      <c r="AU226" s="933"/>
      <c r="AV226" s="940"/>
      <c r="AW226" s="389">
        <f>AW220/12-AO220</f>
        <v>583388.22</v>
      </c>
      <c r="AX226" s="939"/>
      <c r="AY226" s="939"/>
      <c r="AZ226" s="941"/>
      <c r="BA226" s="941"/>
      <c r="BB226" s="941"/>
      <c r="BC226" s="934"/>
      <c r="BD226" s="941"/>
      <c r="BE226" s="941"/>
      <c r="BF226" s="941"/>
      <c r="BG226" s="942"/>
      <c r="BH226" s="941"/>
      <c r="BI226" s="941"/>
      <c r="BJ226" s="941"/>
      <c r="BK226" s="943"/>
      <c r="BL226" s="943"/>
      <c r="BM226" s="943"/>
      <c r="BN226" s="943"/>
      <c r="BO226" s="943"/>
      <c r="BP226" s="944"/>
      <c r="BQ226" s="943"/>
      <c r="BR226" s="943"/>
      <c r="BS226" s="943"/>
      <c r="BU226" s="945"/>
      <c r="BV226" s="946"/>
      <c r="BW226" s="947"/>
      <c r="BX226" s="945"/>
      <c r="BY226" s="947"/>
      <c r="BZ226" s="946"/>
      <c r="CA226" s="947"/>
      <c r="CB226" s="946"/>
      <c r="CC226" s="947"/>
      <c r="CD226" s="947"/>
      <c r="CE226" s="947"/>
      <c r="CF226" s="948"/>
      <c r="CG226" s="949"/>
      <c r="CH226" s="949"/>
      <c r="CI226" s="950"/>
      <c r="CJ226" s="951"/>
      <c r="CK226" s="951"/>
      <c r="CL226" s="952"/>
      <c r="CM226" s="951"/>
      <c r="CN226" s="951"/>
      <c r="CO226" s="952"/>
      <c r="CP226" s="951"/>
      <c r="CQ226" s="951"/>
      <c r="CR226" s="952"/>
      <c r="CS226" s="946"/>
      <c r="CT226" s="953"/>
      <c r="CU226" s="953"/>
      <c r="CV226" s="953"/>
      <c r="CX226" s="951"/>
      <c r="CY226" s="951"/>
      <c r="CZ226" s="952"/>
      <c r="DB226" s="954"/>
      <c r="DC226" s="954"/>
      <c r="DD226" s="921"/>
      <c r="DE226" s="954"/>
      <c r="DF226" s="954"/>
      <c r="DG226" s="921"/>
      <c r="DH226" s="954"/>
      <c r="DI226" s="954"/>
      <c r="DJ226" s="921"/>
      <c r="DK226" s="954"/>
      <c r="DL226" s="954"/>
      <c r="DM226" s="921"/>
      <c r="DN226" s="954"/>
      <c r="DO226" s="954"/>
      <c r="DP226" s="921"/>
      <c r="DQ226" s="942"/>
      <c r="DR226" s="951"/>
      <c r="DS226" s="951"/>
      <c r="DT226" s="952"/>
      <c r="DV226" s="921"/>
      <c r="DW226" s="921"/>
      <c r="DX226" s="921"/>
      <c r="DY226" s="921"/>
      <c r="DZ226" s="921"/>
      <c r="EA226" s="921"/>
      <c r="EB226" s="921"/>
      <c r="EC226" s="921"/>
      <c r="ED226" s="921"/>
      <c r="EE226" s="921"/>
      <c r="EF226" s="921"/>
      <c r="EG226" s="921"/>
      <c r="EH226" s="921"/>
      <c r="EI226" s="921"/>
      <c r="EJ226" s="921"/>
      <c r="EK226" s="921"/>
      <c r="EL226" s="921"/>
      <c r="EM226" s="921"/>
      <c r="EN226" s="921"/>
      <c r="EO226" s="921"/>
      <c r="EP226" s="921"/>
      <c r="EQ226" s="954"/>
      <c r="ER226" s="954"/>
      <c r="ES226" s="954"/>
      <c r="ET226" s="954"/>
      <c r="EV226" s="942"/>
      <c r="EW226" s="951"/>
      <c r="EX226" s="951"/>
      <c r="EY226" s="952"/>
    </row>
    <row r="227" spans="1:155" s="927" customFormat="1" ht="15.75" x14ac:dyDescent="0.25">
      <c r="A227" s="931"/>
      <c r="B227" s="932" t="s">
        <v>406</v>
      </c>
      <c r="C227" s="933"/>
      <c r="D227" s="933"/>
      <c r="E227" s="934"/>
      <c r="F227" s="935"/>
      <c r="G227" s="934"/>
      <c r="H227" s="935"/>
      <c r="I227" s="936"/>
      <c r="J227" s="937"/>
      <c r="K227" s="938"/>
      <c r="L227" s="936"/>
      <c r="M227" s="937"/>
      <c r="N227" s="938"/>
      <c r="O227" s="936"/>
      <c r="P227" s="937"/>
      <c r="Q227" s="938"/>
      <c r="R227" s="936"/>
      <c r="S227" s="937"/>
      <c r="T227" s="938"/>
      <c r="U227" s="936"/>
      <c r="V227" s="937"/>
      <c r="W227" s="938"/>
      <c r="X227" s="936"/>
      <c r="Y227" s="937"/>
      <c r="Z227" s="938"/>
      <c r="AA227" s="936"/>
      <c r="AB227" s="937"/>
      <c r="AC227" s="938"/>
      <c r="AD227" s="936"/>
      <c r="AE227" s="937"/>
      <c r="AF227" s="938"/>
      <c r="AG227" s="936"/>
      <c r="AH227" s="937"/>
      <c r="AI227" s="938"/>
      <c r="AJ227" s="936"/>
      <c r="AK227" s="937"/>
      <c r="AL227" s="938"/>
      <c r="AM227" s="936"/>
      <c r="AN227" s="933"/>
      <c r="AO227" s="936"/>
      <c r="AP227" s="933"/>
      <c r="AQ227" s="935"/>
      <c r="AR227" s="936"/>
      <c r="AS227" s="935"/>
      <c r="AT227" s="939"/>
      <c r="AU227" s="933"/>
      <c r="AV227" s="940"/>
      <c r="AW227" s="389">
        <f>AW221/12-AO221</f>
        <v>274288.36</v>
      </c>
      <c r="AX227" s="939"/>
      <c r="AY227" s="939"/>
      <c r="AZ227" s="941"/>
      <c r="BA227" s="941"/>
      <c r="BB227" s="941"/>
      <c r="BC227" s="934"/>
      <c r="BD227" s="941"/>
      <c r="BE227" s="941"/>
      <c r="BF227" s="941"/>
      <c r="BG227" s="942"/>
      <c r="BH227" s="941"/>
      <c r="BI227" s="941"/>
      <c r="BJ227" s="941"/>
      <c r="BK227" s="943"/>
      <c r="BL227" s="943"/>
      <c r="BM227" s="943"/>
      <c r="BN227" s="943"/>
      <c r="BO227" s="943"/>
      <c r="BP227" s="944"/>
      <c r="BQ227" s="943"/>
      <c r="BR227" s="943"/>
      <c r="BS227" s="943"/>
      <c r="BU227" s="945"/>
      <c r="BV227" s="946"/>
      <c r="BW227" s="947"/>
      <c r="BX227" s="945"/>
      <c r="BY227" s="947"/>
      <c r="BZ227" s="946"/>
      <c r="CA227" s="947"/>
      <c r="CB227" s="946"/>
      <c r="CC227" s="947"/>
      <c r="CD227" s="947"/>
      <c r="CE227" s="947"/>
      <c r="CF227" s="948"/>
      <c r="CG227" s="949"/>
      <c r="CH227" s="949"/>
      <c r="CI227" s="950"/>
      <c r="CJ227" s="951"/>
      <c r="CK227" s="951"/>
      <c r="CL227" s="952"/>
      <c r="CM227" s="951"/>
      <c r="CN227" s="951"/>
      <c r="CO227" s="952"/>
      <c r="CP227" s="951"/>
      <c r="CQ227" s="951"/>
      <c r="CR227" s="952"/>
      <c r="CS227" s="946"/>
      <c r="CT227" s="953"/>
      <c r="CU227" s="953"/>
      <c r="CV227" s="953"/>
      <c r="CX227" s="951"/>
      <c r="CY227" s="951"/>
      <c r="CZ227" s="952"/>
      <c r="DB227" s="954"/>
      <c r="DC227" s="954"/>
      <c r="DD227" s="921"/>
      <c r="DE227" s="954"/>
      <c r="DF227" s="954"/>
      <c r="DG227" s="921"/>
      <c r="DH227" s="954"/>
      <c r="DI227" s="954"/>
      <c r="DJ227" s="921"/>
      <c r="DK227" s="954"/>
      <c r="DL227" s="954"/>
      <c r="DM227" s="921"/>
      <c r="DN227" s="954"/>
      <c r="DO227" s="954"/>
      <c r="DP227" s="921"/>
      <c r="DQ227" s="942"/>
      <c r="DR227" s="951"/>
      <c r="DS227" s="951"/>
      <c r="DT227" s="952"/>
      <c r="DV227" s="921"/>
      <c r="DW227" s="921"/>
      <c r="DX227" s="921"/>
      <c r="DY227" s="921"/>
      <c r="DZ227" s="921"/>
      <c r="EA227" s="921"/>
      <c r="EB227" s="921"/>
      <c r="EC227" s="921"/>
      <c r="ED227" s="921"/>
      <c r="EE227" s="921"/>
      <c r="EF227" s="921"/>
      <c r="EG227" s="921"/>
      <c r="EH227" s="921"/>
      <c r="EI227" s="921"/>
      <c r="EJ227" s="921"/>
      <c r="EK227" s="921"/>
      <c r="EL227" s="921"/>
      <c r="EM227" s="921"/>
      <c r="EN227" s="921"/>
      <c r="EO227" s="921"/>
      <c r="EP227" s="921"/>
      <c r="EQ227" s="954"/>
      <c r="ER227" s="954"/>
      <c r="ES227" s="954"/>
      <c r="ET227" s="954"/>
      <c r="EV227" s="942"/>
      <c r="EW227" s="951"/>
      <c r="EX227" s="951"/>
      <c r="EY227" s="952"/>
    </row>
    <row r="228" spans="1:155" s="927" customFormat="1" ht="15.75" x14ac:dyDescent="0.25">
      <c r="A228" s="931"/>
      <c r="B228" s="932" t="s">
        <v>403</v>
      </c>
      <c r="C228" s="933"/>
      <c r="D228" s="933"/>
      <c r="E228" s="934"/>
      <c r="F228" s="935"/>
      <c r="G228" s="934"/>
      <c r="H228" s="935"/>
      <c r="I228" s="936"/>
      <c r="J228" s="937"/>
      <c r="K228" s="938"/>
      <c r="L228" s="936"/>
      <c r="M228" s="937"/>
      <c r="N228" s="938"/>
      <c r="O228" s="936"/>
      <c r="P228" s="937"/>
      <c r="Q228" s="938"/>
      <c r="R228" s="936"/>
      <c r="S228" s="937"/>
      <c r="T228" s="938"/>
      <c r="U228" s="936"/>
      <c r="V228" s="937"/>
      <c r="W228" s="938"/>
      <c r="X228" s="936"/>
      <c r="Y228" s="937"/>
      <c r="Z228" s="938"/>
      <c r="AA228" s="936"/>
      <c r="AB228" s="937"/>
      <c r="AC228" s="938"/>
      <c r="AD228" s="936"/>
      <c r="AE228" s="937"/>
      <c r="AF228" s="938"/>
      <c r="AG228" s="936"/>
      <c r="AH228" s="937"/>
      <c r="AI228" s="938"/>
      <c r="AJ228" s="936"/>
      <c r="AK228" s="937"/>
      <c r="AL228" s="938"/>
      <c r="AM228" s="936"/>
      <c r="AN228" s="933"/>
      <c r="AO228" s="936"/>
      <c r="AP228" s="933"/>
      <c r="AQ228" s="935"/>
      <c r="AR228" s="936"/>
      <c r="AS228" s="935"/>
      <c r="AT228" s="939"/>
      <c r="AU228" s="933"/>
      <c r="AV228" s="940"/>
      <c r="AW228" s="389">
        <f>AW222/12-AO222</f>
        <v>60486.53</v>
      </c>
      <c r="AX228" s="939"/>
      <c r="AY228" s="939"/>
      <c r="AZ228" s="941"/>
      <c r="BA228" s="941"/>
      <c r="BB228" s="941"/>
      <c r="BC228" s="934"/>
      <c r="BD228" s="941"/>
      <c r="BE228" s="941"/>
      <c r="BF228" s="941"/>
      <c r="BG228" s="942"/>
      <c r="BH228" s="941"/>
      <c r="BI228" s="941"/>
      <c r="BJ228" s="941"/>
      <c r="BK228" s="943"/>
      <c r="BL228" s="943"/>
      <c r="BM228" s="943"/>
      <c r="BN228" s="943"/>
      <c r="BO228" s="943"/>
      <c r="BP228" s="944"/>
      <c r="BQ228" s="943"/>
      <c r="BR228" s="943"/>
      <c r="BS228" s="943"/>
      <c r="BU228" s="945"/>
      <c r="BV228" s="946"/>
      <c r="BW228" s="947"/>
      <c r="BX228" s="945"/>
      <c r="BY228" s="947"/>
      <c r="BZ228" s="946"/>
      <c r="CA228" s="947"/>
      <c r="CB228" s="946"/>
      <c r="CC228" s="947"/>
      <c r="CD228" s="947"/>
      <c r="CE228" s="947"/>
      <c r="CF228" s="948"/>
      <c r="CG228" s="949"/>
      <c r="CH228" s="949"/>
      <c r="CI228" s="950"/>
      <c r="CJ228" s="951"/>
      <c r="CK228" s="951"/>
      <c r="CL228" s="952"/>
      <c r="CM228" s="951"/>
      <c r="CN228" s="951"/>
      <c r="CO228" s="952"/>
      <c r="CP228" s="951"/>
      <c r="CQ228" s="951"/>
      <c r="CR228" s="952"/>
      <c r="CS228" s="946"/>
      <c r="CT228" s="953"/>
      <c r="CU228" s="953"/>
      <c r="CV228" s="953"/>
      <c r="CX228" s="951"/>
      <c r="CY228" s="951"/>
      <c r="CZ228" s="952"/>
      <c r="DB228" s="954"/>
      <c r="DC228" s="954"/>
      <c r="DD228" s="921"/>
      <c r="DE228" s="954"/>
      <c r="DF228" s="954"/>
      <c r="DG228" s="921"/>
      <c r="DH228" s="954"/>
      <c r="DI228" s="954"/>
      <c r="DJ228" s="921"/>
      <c r="DK228" s="954"/>
      <c r="DL228" s="954"/>
      <c r="DM228" s="921"/>
      <c r="DN228" s="954"/>
      <c r="DO228" s="954"/>
      <c r="DP228" s="921"/>
      <c r="DQ228" s="942"/>
      <c r="DR228" s="951"/>
      <c r="DS228" s="951"/>
      <c r="DT228" s="952"/>
      <c r="DV228" s="921"/>
      <c r="DW228" s="921"/>
      <c r="DX228" s="921"/>
      <c r="DY228" s="921"/>
      <c r="DZ228" s="921"/>
      <c r="EA228" s="921"/>
      <c r="EB228" s="921"/>
      <c r="EC228" s="921"/>
      <c r="ED228" s="921"/>
      <c r="EE228" s="921"/>
      <c r="EF228" s="921"/>
      <c r="EG228" s="921"/>
      <c r="EH228" s="921"/>
      <c r="EI228" s="921"/>
      <c r="EJ228" s="921"/>
      <c r="EK228" s="921"/>
      <c r="EL228" s="921"/>
      <c r="EM228" s="921"/>
      <c r="EN228" s="921"/>
      <c r="EO228" s="921"/>
      <c r="EP228" s="921"/>
      <c r="EQ228" s="954"/>
      <c r="ER228" s="954"/>
      <c r="ES228" s="954"/>
      <c r="ET228" s="954"/>
      <c r="EV228" s="942"/>
      <c r="EW228" s="951"/>
      <c r="EX228" s="951"/>
      <c r="EY228" s="952"/>
    </row>
    <row r="229" spans="1:155" s="927" customFormat="1" ht="15.75" x14ac:dyDescent="0.25">
      <c r="A229" s="931"/>
      <c r="B229" s="932" t="s">
        <v>404</v>
      </c>
      <c r="C229" s="933"/>
      <c r="D229" s="933"/>
      <c r="E229" s="934"/>
      <c r="F229" s="935"/>
      <c r="G229" s="934"/>
      <c r="H229" s="935"/>
      <c r="I229" s="936"/>
      <c r="J229" s="937"/>
      <c r="K229" s="938"/>
      <c r="L229" s="936"/>
      <c r="M229" s="937"/>
      <c r="N229" s="938"/>
      <c r="O229" s="936"/>
      <c r="P229" s="937"/>
      <c r="Q229" s="938"/>
      <c r="R229" s="936"/>
      <c r="S229" s="937"/>
      <c r="T229" s="938"/>
      <c r="U229" s="936"/>
      <c r="V229" s="937"/>
      <c r="W229" s="938"/>
      <c r="X229" s="936"/>
      <c r="Y229" s="937"/>
      <c r="Z229" s="938"/>
      <c r="AA229" s="936"/>
      <c r="AB229" s="937"/>
      <c r="AC229" s="938"/>
      <c r="AD229" s="936"/>
      <c r="AE229" s="937"/>
      <c r="AF229" s="938"/>
      <c r="AG229" s="936"/>
      <c r="AH229" s="937"/>
      <c r="AI229" s="938"/>
      <c r="AJ229" s="936"/>
      <c r="AK229" s="937"/>
      <c r="AL229" s="938"/>
      <c r="AM229" s="936"/>
      <c r="AN229" s="933"/>
      <c r="AO229" s="936"/>
      <c r="AP229" s="933"/>
      <c r="AQ229" s="935"/>
      <c r="AR229" s="936"/>
      <c r="AS229" s="935"/>
      <c r="AT229" s="939"/>
      <c r="AU229" s="933"/>
      <c r="AV229" s="940"/>
      <c r="AW229" s="389">
        <f>AW223/12-AO223</f>
        <v>201191.67</v>
      </c>
      <c r="AX229" s="939"/>
      <c r="AY229" s="939"/>
      <c r="AZ229" s="941"/>
      <c r="BA229" s="941"/>
      <c r="BB229" s="941"/>
      <c r="BC229" s="934"/>
      <c r="BD229" s="941"/>
      <c r="BE229" s="941"/>
      <c r="BF229" s="941"/>
      <c r="BG229" s="942"/>
      <c r="BH229" s="941"/>
      <c r="BI229" s="941"/>
      <c r="BJ229" s="941"/>
      <c r="BK229" s="943"/>
      <c r="BL229" s="943"/>
      <c r="BM229" s="943"/>
      <c r="BN229" s="943"/>
      <c r="BO229" s="943"/>
      <c r="BP229" s="944"/>
      <c r="BQ229" s="943"/>
      <c r="BR229" s="943"/>
      <c r="BS229" s="943"/>
      <c r="BU229" s="945"/>
      <c r="BV229" s="946"/>
      <c r="BW229" s="947"/>
      <c r="BX229" s="945"/>
      <c r="BY229" s="947"/>
      <c r="BZ229" s="946"/>
      <c r="CA229" s="947"/>
      <c r="CB229" s="946"/>
      <c r="CC229" s="947"/>
      <c r="CD229" s="947"/>
      <c r="CE229" s="947"/>
      <c r="CF229" s="948"/>
      <c r="CG229" s="949"/>
      <c r="CH229" s="949"/>
      <c r="CI229" s="950"/>
      <c r="CJ229" s="951"/>
      <c r="CK229" s="951"/>
      <c r="CL229" s="952"/>
      <c r="CM229" s="951"/>
      <c r="CN229" s="951"/>
      <c r="CO229" s="952"/>
      <c r="CP229" s="951"/>
      <c r="CQ229" s="951"/>
      <c r="CR229" s="952"/>
      <c r="CS229" s="946"/>
      <c r="CT229" s="953"/>
      <c r="CU229" s="953"/>
      <c r="CV229" s="953"/>
      <c r="CX229" s="951"/>
      <c r="CY229" s="951"/>
      <c r="CZ229" s="952"/>
      <c r="DB229" s="954"/>
      <c r="DC229" s="954"/>
      <c r="DD229" s="921"/>
      <c r="DE229" s="954"/>
      <c r="DF229" s="954"/>
      <c r="DG229" s="921"/>
      <c r="DH229" s="954"/>
      <c r="DI229" s="954"/>
      <c r="DJ229" s="921"/>
      <c r="DK229" s="954"/>
      <c r="DL229" s="954"/>
      <c r="DM229" s="921"/>
      <c r="DN229" s="954"/>
      <c r="DO229" s="954"/>
      <c r="DP229" s="921"/>
      <c r="DQ229" s="942"/>
      <c r="DR229" s="951"/>
      <c r="DS229" s="951"/>
      <c r="DT229" s="952"/>
      <c r="DV229" s="921"/>
      <c r="DW229" s="921"/>
      <c r="DX229" s="921"/>
      <c r="DY229" s="921"/>
      <c r="DZ229" s="921"/>
      <c r="EA229" s="921"/>
      <c r="EB229" s="921"/>
      <c r="EC229" s="921"/>
      <c r="ED229" s="921"/>
      <c r="EE229" s="921"/>
      <c r="EF229" s="921"/>
      <c r="EG229" s="921"/>
      <c r="EH229" s="921"/>
      <c r="EI229" s="921"/>
      <c r="EJ229" s="921"/>
      <c r="EK229" s="921"/>
      <c r="EL229" s="921"/>
      <c r="EM229" s="921"/>
      <c r="EN229" s="921"/>
      <c r="EO229" s="921"/>
      <c r="EP229" s="921"/>
      <c r="EQ229" s="954"/>
      <c r="ER229" s="954"/>
      <c r="ES229" s="954"/>
      <c r="ET229" s="954"/>
      <c r="EV229" s="942"/>
      <c r="EW229" s="951"/>
      <c r="EX229" s="951"/>
      <c r="EY229" s="952"/>
    </row>
    <row r="230" spans="1:155" s="927" customFormat="1" ht="15.75" x14ac:dyDescent="0.25">
      <c r="A230" s="931"/>
      <c r="B230" s="932" t="s">
        <v>405</v>
      </c>
      <c r="C230" s="933"/>
      <c r="D230" s="933"/>
      <c r="E230" s="934"/>
      <c r="F230" s="935"/>
      <c r="G230" s="934"/>
      <c r="H230" s="935"/>
      <c r="I230" s="936"/>
      <c r="J230" s="937"/>
      <c r="K230" s="938"/>
      <c r="L230" s="936"/>
      <c r="M230" s="937"/>
      <c r="N230" s="938"/>
      <c r="O230" s="936"/>
      <c r="P230" s="937"/>
      <c r="Q230" s="938"/>
      <c r="R230" s="936"/>
      <c r="S230" s="937"/>
      <c r="T230" s="938"/>
      <c r="U230" s="936"/>
      <c r="V230" s="937"/>
      <c r="W230" s="938"/>
      <c r="X230" s="936"/>
      <c r="Y230" s="937"/>
      <c r="Z230" s="938"/>
      <c r="AA230" s="936"/>
      <c r="AB230" s="937"/>
      <c r="AC230" s="938"/>
      <c r="AD230" s="936"/>
      <c r="AE230" s="937"/>
      <c r="AF230" s="938"/>
      <c r="AG230" s="936"/>
      <c r="AH230" s="937"/>
      <c r="AI230" s="938"/>
      <c r="AJ230" s="936"/>
      <c r="AK230" s="937"/>
      <c r="AL230" s="938"/>
      <c r="AM230" s="936"/>
      <c r="AN230" s="933"/>
      <c r="AO230" s="936"/>
      <c r="AP230" s="933"/>
      <c r="AQ230" s="935"/>
      <c r="AR230" s="936"/>
      <c r="AS230" s="935"/>
      <c r="AT230" s="939"/>
      <c r="AU230" s="933"/>
      <c r="AV230" s="940"/>
      <c r="AW230" s="389">
        <f>AW224/12-AO224</f>
        <v>47421.67</v>
      </c>
      <c r="AX230" s="939"/>
      <c r="AY230" s="939"/>
      <c r="AZ230" s="941"/>
      <c r="BA230" s="941"/>
      <c r="BB230" s="941"/>
      <c r="BC230" s="934"/>
      <c r="BD230" s="941"/>
      <c r="BE230" s="941"/>
      <c r="BF230" s="941"/>
      <c r="BG230" s="942"/>
      <c r="BH230" s="941"/>
      <c r="BI230" s="941"/>
      <c r="BJ230" s="941"/>
      <c r="BK230" s="943"/>
      <c r="BL230" s="943"/>
      <c r="BM230" s="943"/>
      <c r="BN230" s="943"/>
      <c r="BO230" s="943"/>
      <c r="BP230" s="944"/>
      <c r="BQ230" s="943"/>
      <c r="BR230" s="943"/>
      <c r="BS230" s="943"/>
      <c r="BU230" s="945"/>
      <c r="BV230" s="946"/>
      <c r="BW230" s="947"/>
      <c r="BX230" s="945"/>
      <c r="BY230" s="947"/>
      <c r="BZ230" s="946"/>
      <c r="CA230" s="947"/>
      <c r="CB230" s="946"/>
      <c r="CC230" s="947"/>
      <c r="CD230" s="947"/>
      <c r="CE230" s="947"/>
      <c r="CF230" s="948"/>
      <c r="CG230" s="949"/>
      <c r="CH230" s="949"/>
      <c r="CI230" s="950"/>
      <c r="CJ230" s="951"/>
      <c r="CK230" s="951"/>
      <c r="CL230" s="952"/>
      <c r="CM230" s="951"/>
      <c r="CN230" s="951"/>
      <c r="CO230" s="952"/>
      <c r="CP230" s="951"/>
      <c r="CQ230" s="951"/>
      <c r="CR230" s="952"/>
      <c r="CS230" s="946"/>
      <c r="CT230" s="953"/>
      <c r="CU230" s="953"/>
      <c r="CV230" s="953"/>
      <c r="CX230" s="951"/>
      <c r="CY230" s="951"/>
      <c r="CZ230" s="952"/>
      <c r="DB230" s="954"/>
      <c r="DC230" s="954"/>
      <c r="DD230" s="921"/>
      <c r="DE230" s="954"/>
      <c r="DF230" s="954"/>
      <c r="DG230" s="921"/>
      <c r="DH230" s="954"/>
      <c r="DI230" s="954"/>
      <c r="DJ230" s="921"/>
      <c r="DK230" s="954"/>
      <c r="DL230" s="954"/>
      <c r="DM230" s="921"/>
      <c r="DN230" s="954"/>
      <c r="DO230" s="954"/>
      <c r="DP230" s="921"/>
      <c r="DQ230" s="942"/>
      <c r="DR230" s="951"/>
      <c r="DS230" s="951"/>
      <c r="DT230" s="952"/>
      <c r="DV230" s="921"/>
      <c r="DW230" s="921"/>
      <c r="DX230" s="921"/>
      <c r="DY230" s="921"/>
      <c r="DZ230" s="921"/>
      <c r="EA230" s="921"/>
      <c r="EB230" s="921"/>
      <c r="EC230" s="921"/>
      <c r="ED230" s="921"/>
      <c r="EE230" s="921"/>
      <c r="EF230" s="921"/>
      <c r="EG230" s="921"/>
      <c r="EH230" s="921"/>
      <c r="EI230" s="921"/>
      <c r="EJ230" s="921"/>
      <c r="EK230" s="921"/>
      <c r="EL230" s="921"/>
      <c r="EM230" s="921"/>
      <c r="EN230" s="921"/>
      <c r="EO230" s="921"/>
      <c r="EP230" s="921"/>
      <c r="EQ230" s="954"/>
      <c r="ER230" s="954"/>
      <c r="ES230" s="954"/>
      <c r="ET230" s="954"/>
      <c r="EV230" s="942"/>
      <c r="EW230" s="951"/>
      <c r="EX230" s="951"/>
      <c r="EY230" s="952"/>
    </row>
    <row r="231" spans="1:155" s="927" customFormat="1" ht="15.75" x14ac:dyDescent="0.25">
      <c r="A231" s="931"/>
      <c r="B231" s="932" t="s">
        <v>499</v>
      </c>
      <c r="C231" s="933"/>
      <c r="D231" s="933"/>
      <c r="E231" s="934"/>
      <c r="F231" s="935"/>
      <c r="G231" s="934"/>
      <c r="H231" s="935"/>
      <c r="I231" s="936"/>
      <c r="J231" s="937"/>
      <c r="K231" s="938"/>
      <c r="L231" s="936"/>
      <c r="M231" s="937"/>
      <c r="N231" s="938"/>
      <c r="O231" s="936"/>
      <c r="P231" s="937"/>
      <c r="Q231" s="938"/>
      <c r="R231" s="936"/>
      <c r="S231" s="937"/>
      <c r="T231" s="938"/>
      <c r="U231" s="936"/>
      <c r="V231" s="937"/>
      <c r="W231" s="938"/>
      <c r="X231" s="936"/>
      <c r="Y231" s="937"/>
      <c r="Z231" s="938"/>
      <c r="AA231" s="936"/>
      <c r="AB231" s="937"/>
      <c r="AC231" s="938"/>
      <c r="AD231" s="936"/>
      <c r="AE231" s="937"/>
      <c r="AF231" s="938"/>
      <c r="AG231" s="936"/>
      <c r="AH231" s="937"/>
      <c r="AI231" s="938"/>
      <c r="AJ231" s="936"/>
      <c r="AK231" s="937"/>
      <c r="AL231" s="938"/>
      <c r="AM231" s="936"/>
      <c r="AN231" s="933"/>
      <c r="AO231" s="936"/>
      <c r="AP231" s="933"/>
      <c r="AQ231" s="935"/>
      <c r="AR231" s="936"/>
      <c r="AS231" s="935"/>
      <c r="AT231" s="939"/>
      <c r="AU231" s="933"/>
      <c r="AV231" s="940"/>
      <c r="AW231" s="986"/>
      <c r="AX231" s="939"/>
      <c r="AY231" s="939"/>
      <c r="AZ231" s="941"/>
      <c r="BA231" s="941"/>
      <c r="BB231" s="941"/>
      <c r="BC231" s="934"/>
      <c r="BD231" s="941"/>
      <c r="BE231" s="941"/>
      <c r="BF231" s="941"/>
      <c r="BG231" s="942"/>
      <c r="BH231" s="941"/>
      <c r="BI231" s="941"/>
      <c r="BJ231" s="941"/>
      <c r="BK231" s="943"/>
      <c r="BL231" s="943"/>
      <c r="BM231" s="943"/>
      <c r="BN231" s="943"/>
      <c r="BO231" s="943"/>
      <c r="BP231" s="944"/>
      <c r="BQ231" s="943"/>
      <c r="BR231" s="943"/>
      <c r="BS231" s="943"/>
      <c r="BU231" s="945"/>
      <c r="BV231" s="946"/>
      <c r="BW231" s="947"/>
      <c r="BX231" s="945"/>
      <c r="BY231" s="947"/>
      <c r="BZ231" s="946"/>
      <c r="CA231" s="947"/>
      <c r="CB231" s="946"/>
      <c r="CC231" s="947"/>
      <c r="CD231" s="947"/>
      <c r="CE231" s="947"/>
      <c r="CF231" s="948"/>
      <c r="CG231" s="949"/>
      <c r="CH231" s="949"/>
      <c r="CI231" s="950"/>
      <c r="CJ231" s="951"/>
      <c r="CK231" s="951"/>
      <c r="CL231" s="952"/>
      <c r="CM231" s="951"/>
      <c r="CN231" s="951"/>
      <c r="CO231" s="952"/>
      <c r="CP231" s="951"/>
      <c r="CQ231" s="951"/>
      <c r="CR231" s="952"/>
      <c r="CS231" s="946"/>
      <c r="CT231" s="953"/>
      <c r="CU231" s="953"/>
      <c r="CV231" s="953"/>
      <c r="CX231" s="951"/>
      <c r="CY231" s="951"/>
      <c r="CZ231" s="952"/>
      <c r="DB231" s="954"/>
      <c r="DC231" s="954"/>
      <c r="DD231" s="921"/>
      <c r="DE231" s="954"/>
      <c r="DF231" s="954"/>
      <c r="DG231" s="921"/>
      <c r="DH231" s="954"/>
      <c r="DI231" s="954"/>
      <c r="DJ231" s="921"/>
      <c r="DK231" s="954"/>
      <c r="DL231" s="954"/>
      <c r="DM231" s="921"/>
      <c r="DN231" s="954"/>
      <c r="DO231" s="954"/>
      <c r="DP231" s="921"/>
      <c r="DQ231" s="942"/>
      <c r="DR231" s="951"/>
      <c r="DS231" s="951"/>
      <c r="DT231" s="952"/>
      <c r="DV231" s="921"/>
      <c r="DW231" s="921"/>
      <c r="DX231" s="921"/>
      <c r="DY231" s="921"/>
      <c r="DZ231" s="921"/>
      <c r="EA231" s="921"/>
      <c r="EB231" s="921"/>
      <c r="EC231" s="921"/>
      <c r="ED231" s="921"/>
      <c r="EE231" s="921"/>
      <c r="EF231" s="921"/>
      <c r="EG231" s="921"/>
      <c r="EH231" s="921"/>
      <c r="EI231" s="921"/>
      <c r="EJ231" s="921"/>
      <c r="EK231" s="921"/>
      <c r="EL231" s="921"/>
      <c r="EM231" s="921"/>
      <c r="EN231" s="921"/>
      <c r="EO231" s="921"/>
      <c r="EP231" s="921"/>
      <c r="EQ231" s="954"/>
      <c r="ER231" s="954"/>
      <c r="ES231" s="954"/>
      <c r="ET231" s="954"/>
      <c r="EV231" s="942"/>
      <c r="EW231" s="951"/>
      <c r="EX231" s="951"/>
      <c r="EY231" s="952"/>
    </row>
    <row r="232" spans="1:155" s="927" customFormat="1" ht="15.75" x14ac:dyDescent="0.25">
      <c r="A232" s="931"/>
      <c r="B232" s="932" t="s">
        <v>406</v>
      </c>
      <c r="C232" s="933"/>
      <c r="D232" s="933"/>
      <c r="E232" s="934"/>
      <c r="F232" s="935"/>
      <c r="G232" s="934"/>
      <c r="H232" s="935"/>
      <c r="I232" s="936"/>
      <c r="J232" s="937"/>
      <c r="K232" s="938"/>
      <c r="L232" s="936"/>
      <c r="M232" s="937"/>
      <c r="N232" s="938"/>
      <c r="O232" s="936"/>
      <c r="P232" s="937"/>
      <c r="Q232" s="938"/>
      <c r="R232" s="936"/>
      <c r="S232" s="937"/>
      <c r="T232" s="938"/>
      <c r="U232" s="936"/>
      <c r="V232" s="937"/>
      <c r="W232" s="938"/>
      <c r="X232" s="936"/>
      <c r="Y232" s="937"/>
      <c r="Z232" s="938"/>
      <c r="AA232" s="936"/>
      <c r="AB232" s="937"/>
      <c r="AC232" s="938"/>
      <c r="AD232" s="936"/>
      <c r="AE232" s="937"/>
      <c r="AF232" s="938"/>
      <c r="AG232" s="936"/>
      <c r="AH232" s="937"/>
      <c r="AI232" s="938"/>
      <c r="AJ232" s="936"/>
      <c r="AK232" s="937"/>
      <c r="AL232" s="938"/>
      <c r="AM232" s="936"/>
      <c r="AN232" s="933"/>
      <c r="AO232" s="936"/>
      <c r="AP232" s="933"/>
      <c r="AQ232" s="935"/>
      <c r="AR232" s="936"/>
      <c r="AS232" s="935"/>
      <c r="AT232" s="939"/>
      <c r="AU232" s="933"/>
      <c r="AV232" s="940"/>
      <c r="AW232" s="336">
        <f>AW227/I221</f>
        <v>1.35737</v>
      </c>
      <c r="AX232" s="939"/>
      <c r="AY232" s="939"/>
      <c r="AZ232" s="941"/>
      <c r="BA232" s="941"/>
      <c r="BB232" s="941"/>
      <c r="BC232" s="934"/>
      <c r="BD232" s="941"/>
      <c r="BE232" s="941"/>
      <c r="BF232" s="941"/>
      <c r="BG232" s="942"/>
      <c r="BH232" s="941"/>
      <c r="BI232" s="941"/>
      <c r="BJ232" s="941"/>
      <c r="BK232" s="943"/>
      <c r="BL232" s="943"/>
      <c r="BM232" s="943"/>
      <c r="BN232" s="943"/>
      <c r="BO232" s="943"/>
      <c r="BP232" s="944"/>
      <c r="BQ232" s="943"/>
      <c r="BR232" s="943"/>
      <c r="BS232" s="943"/>
      <c r="BU232" s="945"/>
      <c r="BV232" s="946"/>
      <c r="BW232" s="947"/>
      <c r="BX232" s="945"/>
      <c r="BY232" s="947"/>
      <c r="BZ232" s="946"/>
      <c r="CA232" s="947"/>
      <c r="CB232" s="946"/>
      <c r="CC232" s="947"/>
      <c r="CD232" s="947"/>
      <c r="CE232" s="947"/>
      <c r="CF232" s="948"/>
      <c r="CG232" s="949"/>
      <c r="CH232" s="949"/>
      <c r="CI232" s="950"/>
      <c r="CJ232" s="951"/>
      <c r="CK232" s="951"/>
      <c r="CL232" s="952"/>
      <c r="CM232" s="951"/>
      <c r="CN232" s="951"/>
      <c r="CO232" s="952"/>
      <c r="CP232" s="951"/>
      <c r="CQ232" s="951"/>
      <c r="CR232" s="952"/>
      <c r="CS232" s="946"/>
      <c r="CT232" s="953"/>
      <c r="CU232" s="953"/>
      <c r="CV232" s="953"/>
      <c r="CX232" s="951"/>
      <c r="CY232" s="951"/>
      <c r="CZ232" s="952"/>
      <c r="DB232" s="954"/>
      <c r="DC232" s="954"/>
      <c r="DD232" s="921"/>
      <c r="DE232" s="954"/>
      <c r="DF232" s="954"/>
      <c r="DG232" s="921"/>
      <c r="DH232" s="954"/>
      <c r="DI232" s="954"/>
      <c r="DJ232" s="921"/>
      <c r="DK232" s="954"/>
      <c r="DL232" s="954"/>
      <c r="DM232" s="921"/>
      <c r="DN232" s="954"/>
      <c r="DO232" s="954"/>
      <c r="DP232" s="921"/>
      <c r="DQ232" s="942"/>
      <c r="DR232" s="951"/>
      <c r="DS232" s="951"/>
      <c r="DT232" s="952"/>
      <c r="DV232" s="921"/>
      <c r="DW232" s="921"/>
      <c r="DX232" s="921"/>
      <c r="DY232" s="921"/>
      <c r="DZ232" s="921"/>
      <c r="EA232" s="921"/>
      <c r="EB232" s="921"/>
      <c r="EC232" s="921"/>
      <c r="ED232" s="921"/>
      <c r="EE232" s="921"/>
      <c r="EF232" s="921"/>
      <c r="EG232" s="921"/>
      <c r="EH232" s="921"/>
      <c r="EI232" s="921"/>
      <c r="EJ232" s="921"/>
      <c r="EK232" s="921"/>
      <c r="EL232" s="921"/>
      <c r="EM232" s="921"/>
      <c r="EN232" s="921"/>
      <c r="EO232" s="921"/>
      <c r="EP232" s="921"/>
      <c r="EQ232" s="954"/>
      <c r="ER232" s="954"/>
      <c r="ES232" s="954"/>
      <c r="ET232" s="954"/>
      <c r="EV232" s="942"/>
      <c r="EW232" s="951"/>
      <c r="EX232" s="951"/>
      <c r="EY232" s="952"/>
    </row>
    <row r="233" spans="1:155" s="927" customFormat="1" ht="15.75" x14ac:dyDescent="0.25">
      <c r="A233" s="931"/>
      <c r="B233" s="932" t="s">
        <v>498</v>
      </c>
      <c r="C233" s="933"/>
      <c r="D233" s="933"/>
      <c r="E233" s="934"/>
      <c r="F233" s="935"/>
      <c r="G233" s="934"/>
      <c r="H233" s="935"/>
      <c r="I233" s="936"/>
      <c r="J233" s="937"/>
      <c r="K233" s="938"/>
      <c r="L233" s="936"/>
      <c r="M233" s="937"/>
      <c r="N233" s="938"/>
      <c r="O233" s="936"/>
      <c r="P233" s="937"/>
      <c r="Q233" s="938"/>
      <c r="R233" s="936"/>
      <c r="S233" s="937"/>
      <c r="T233" s="938"/>
      <c r="U233" s="936"/>
      <c r="V233" s="937"/>
      <c r="W233" s="938"/>
      <c r="X233" s="936"/>
      <c r="Y233" s="937"/>
      <c r="Z233" s="938"/>
      <c r="AA233" s="936"/>
      <c r="AB233" s="937"/>
      <c r="AC233" s="938"/>
      <c r="AD233" s="936"/>
      <c r="AE233" s="937"/>
      <c r="AF233" s="938"/>
      <c r="AG233" s="936"/>
      <c r="AH233" s="937"/>
      <c r="AI233" s="938"/>
      <c r="AJ233" s="936"/>
      <c r="AK233" s="937"/>
      <c r="AL233" s="938"/>
      <c r="AM233" s="936"/>
      <c r="AN233" s="933"/>
      <c r="AO233" s="936"/>
      <c r="AP233" s="933"/>
      <c r="AQ233" s="935"/>
      <c r="AR233" s="936"/>
      <c r="AS233" s="935"/>
      <c r="AT233" s="939"/>
      <c r="AU233" s="933"/>
      <c r="AV233" s="940"/>
      <c r="AW233" s="986"/>
      <c r="AX233" s="939"/>
      <c r="AY233" s="939"/>
      <c r="AZ233" s="941"/>
      <c r="BA233" s="941"/>
      <c r="BB233" s="941"/>
      <c r="BC233" s="934"/>
      <c r="BD233" s="941"/>
      <c r="BE233" s="941"/>
      <c r="BF233" s="941"/>
      <c r="BG233" s="942"/>
      <c r="BH233" s="941"/>
      <c r="BI233" s="941"/>
      <c r="BJ233" s="941"/>
      <c r="BK233" s="943"/>
      <c r="BL233" s="943"/>
      <c r="BM233" s="943"/>
      <c r="BN233" s="943"/>
      <c r="BO233" s="943"/>
      <c r="BP233" s="944"/>
      <c r="BQ233" s="943"/>
      <c r="BR233" s="943"/>
      <c r="BS233" s="943"/>
      <c r="BU233" s="945"/>
      <c r="BV233" s="946"/>
      <c r="BW233" s="947"/>
      <c r="BX233" s="945"/>
      <c r="BY233" s="947"/>
      <c r="BZ233" s="946"/>
      <c r="CA233" s="947"/>
      <c r="CB233" s="946"/>
      <c r="CC233" s="947"/>
      <c r="CD233" s="947"/>
      <c r="CE233" s="947"/>
      <c r="CF233" s="948"/>
      <c r="CG233" s="949"/>
      <c r="CH233" s="949"/>
      <c r="CI233" s="950"/>
      <c r="CJ233" s="951"/>
      <c r="CK233" s="951"/>
      <c r="CL233" s="952"/>
      <c r="CM233" s="951"/>
      <c r="CN233" s="951"/>
      <c r="CO233" s="952"/>
      <c r="CP233" s="951"/>
      <c r="CQ233" s="951"/>
      <c r="CR233" s="952"/>
      <c r="CS233" s="946"/>
      <c r="CT233" s="953"/>
      <c r="CU233" s="953"/>
      <c r="CV233" s="953"/>
      <c r="CX233" s="951"/>
      <c r="CY233" s="951"/>
      <c r="CZ233" s="952"/>
      <c r="DB233" s="954"/>
      <c r="DC233" s="954"/>
      <c r="DD233" s="921"/>
      <c r="DE233" s="954"/>
      <c r="DF233" s="954"/>
      <c r="DG233" s="921"/>
      <c r="DH233" s="954"/>
      <c r="DI233" s="954"/>
      <c r="DJ233" s="921"/>
      <c r="DK233" s="954"/>
      <c r="DL233" s="954"/>
      <c r="DM233" s="921"/>
      <c r="DN233" s="954"/>
      <c r="DO233" s="954"/>
      <c r="DP233" s="921"/>
      <c r="DQ233" s="942"/>
      <c r="DR233" s="951"/>
      <c r="DS233" s="951"/>
      <c r="DT233" s="952"/>
      <c r="DV233" s="921"/>
      <c r="DW233" s="921"/>
      <c r="DX233" s="921"/>
      <c r="DY233" s="921"/>
      <c r="DZ233" s="921"/>
      <c r="EA233" s="921"/>
      <c r="EB233" s="921"/>
      <c r="EC233" s="921"/>
      <c r="ED233" s="921"/>
      <c r="EE233" s="921"/>
      <c r="EF233" s="921"/>
      <c r="EG233" s="921"/>
      <c r="EH233" s="921"/>
      <c r="EI233" s="921"/>
      <c r="EJ233" s="921"/>
      <c r="EK233" s="921"/>
      <c r="EL233" s="921"/>
      <c r="EM233" s="921"/>
      <c r="EN233" s="921"/>
      <c r="EO233" s="921"/>
      <c r="EP233" s="921"/>
      <c r="EQ233" s="954"/>
      <c r="ER233" s="954"/>
      <c r="ES233" s="954"/>
      <c r="ET233" s="954"/>
      <c r="EV233" s="942"/>
      <c r="EW233" s="951"/>
      <c r="EX233" s="951"/>
      <c r="EY233" s="952"/>
    </row>
    <row r="234" spans="1:155" s="927" customFormat="1" ht="15.75" x14ac:dyDescent="0.25">
      <c r="A234" s="931"/>
      <c r="B234" s="932" t="s">
        <v>403</v>
      </c>
      <c r="C234" s="933"/>
      <c r="D234" s="933"/>
      <c r="E234" s="934"/>
      <c r="F234" s="935"/>
      <c r="G234" s="934"/>
      <c r="H234" s="935"/>
      <c r="I234" s="936"/>
      <c r="J234" s="937"/>
      <c r="K234" s="938"/>
      <c r="L234" s="936"/>
      <c r="M234" s="937"/>
      <c r="N234" s="938"/>
      <c r="O234" s="936"/>
      <c r="P234" s="937"/>
      <c r="Q234" s="938"/>
      <c r="R234" s="936"/>
      <c r="S234" s="937"/>
      <c r="T234" s="938"/>
      <c r="U234" s="936"/>
      <c r="V234" s="937"/>
      <c r="W234" s="938"/>
      <c r="X234" s="936"/>
      <c r="Y234" s="937"/>
      <c r="Z234" s="938"/>
      <c r="AA234" s="936"/>
      <c r="AB234" s="937"/>
      <c r="AC234" s="938"/>
      <c r="AD234" s="936"/>
      <c r="AE234" s="937"/>
      <c r="AF234" s="938"/>
      <c r="AG234" s="936"/>
      <c r="AH234" s="937"/>
      <c r="AI234" s="938"/>
      <c r="AJ234" s="936"/>
      <c r="AK234" s="937"/>
      <c r="AL234" s="938"/>
      <c r="AM234" s="936"/>
      <c r="AN234" s="933"/>
      <c r="AO234" s="936"/>
      <c r="AP234" s="933"/>
      <c r="AQ234" s="935"/>
      <c r="AR234" s="936"/>
      <c r="AS234" s="935"/>
      <c r="AT234" s="939"/>
      <c r="AU234" s="933"/>
      <c r="AV234" s="940"/>
      <c r="AW234" s="337">
        <f>AW228/AW227</f>
        <v>0.22051999999999999</v>
      </c>
      <c r="AX234" s="939"/>
      <c r="AY234" s="939"/>
      <c r="AZ234" s="941"/>
      <c r="BA234" s="941"/>
      <c r="BB234" s="941"/>
      <c r="BC234" s="934"/>
      <c r="BD234" s="941"/>
      <c r="BE234" s="941"/>
      <c r="BF234" s="941"/>
      <c r="BG234" s="942"/>
      <c r="BH234" s="941"/>
      <c r="BI234" s="941"/>
      <c r="BJ234" s="941"/>
      <c r="BK234" s="943"/>
      <c r="BL234" s="943"/>
      <c r="BM234" s="943"/>
      <c r="BN234" s="943"/>
      <c r="BO234" s="943"/>
      <c r="BP234" s="944"/>
      <c r="BQ234" s="943"/>
      <c r="BR234" s="943"/>
      <c r="BS234" s="943"/>
      <c r="BU234" s="945"/>
      <c r="BV234" s="946"/>
      <c r="BW234" s="947"/>
      <c r="BX234" s="945"/>
      <c r="BY234" s="947"/>
      <c r="BZ234" s="946"/>
      <c r="CA234" s="947"/>
      <c r="CB234" s="946"/>
      <c r="CC234" s="947"/>
      <c r="CD234" s="947"/>
      <c r="CE234" s="947"/>
      <c r="CF234" s="948"/>
      <c r="CG234" s="949"/>
      <c r="CH234" s="949"/>
      <c r="CI234" s="950"/>
      <c r="CJ234" s="951"/>
      <c r="CK234" s="951"/>
      <c r="CL234" s="952"/>
      <c r="CM234" s="951"/>
      <c r="CN234" s="951"/>
      <c r="CO234" s="952"/>
      <c r="CP234" s="951"/>
      <c r="CQ234" s="951"/>
      <c r="CR234" s="952"/>
      <c r="CS234" s="946"/>
      <c r="CT234" s="953"/>
      <c r="CU234" s="953"/>
      <c r="CV234" s="953"/>
      <c r="CX234" s="951"/>
      <c r="CY234" s="951"/>
      <c r="CZ234" s="952"/>
      <c r="DB234" s="954"/>
      <c r="DC234" s="954"/>
      <c r="DD234" s="921"/>
      <c r="DE234" s="954"/>
      <c r="DF234" s="954"/>
      <c r="DG234" s="921"/>
      <c r="DH234" s="954"/>
      <c r="DI234" s="954"/>
      <c r="DJ234" s="921"/>
      <c r="DK234" s="954"/>
      <c r="DL234" s="954"/>
      <c r="DM234" s="921"/>
      <c r="DN234" s="954"/>
      <c r="DO234" s="954"/>
      <c r="DP234" s="921"/>
      <c r="DQ234" s="942"/>
      <c r="DR234" s="951"/>
      <c r="DS234" s="951"/>
      <c r="DT234" s="952"/>
      <c r="DV234" s="921"/>
      <c r="DW234" s="921"/>
      <c r="DX234" s="921"/>
      <c r="DY234" s="921"/>
      <c r="DZ234" s="921"/>
      <c r="EA234" s="921"/>
      <c r="EB234" s="921"/>
      <c r="EC234" s="921"/>
      <c r="ED234" s="921"/>
      <c r="EE234" s="921"/>
      <c r="EF234" s="921"/>
      <c r="EG234" s="921"/>
      <c r="EH234" s="921"/>
      <c r="EI234" s="921"/>
      <c r="EJ234" s="921"/>
      <c r="EK234" s="921"/>
      <c r="EL234" s="921"/>
      <c r="EM234" s="921"/>
      <c r="EN234" s="921"/>
      <c r="EO234" s="921"/>
      <c r="EP234" s="921"/>
      <c r="EQ234" s="954"/>
      <c r="ER234" s="954"/>
      <c r="ES234" s="954"/>
      <c r="ET234" s="954"/>
      <c r="EV234" s="942"/>
      <c r="EW234" s="951"/>
      <c r="EX234" s="951"/>
      <c r="EY234" s="952"/>
    </row>
    <row r="235" spans="1:155" s="927" customFormat="1" ht="15.75" x14ac:dyDescent="0.25">
      <c r="A235" s="931"/>
      <c r="B235" s="932" t="s">
        <v>404</v>
      </c>
      <c r="C235" s="933"/>
      <c r="D235" s="933"/>
      <c r="E235" s="934"/>
      <c r="F235" s="935"/>
      <c r="G235" s="934"/>
      <c r="H235" s="935"/>
      <c r="I235" s="936"/>
      <c r="J235" s="937"/>
      <c r="K235" s="938"/>
      <c r="L235" s="936"/>
      <c r="M235" s="937"/>
      <c r="N235" s="938"/>
      <c r="O235" s="936"/>
      <c r="P235" s="937"/>
      <c r="Q235" s="938"/>
      <c r="R235" s="936"/>
      <c r="S235" s="937"/>
      <c r="T235" s="938"/>
      <c r="U235" s="936"/>
      <c r="V235" s="937"/>
      <c r="W235" s="938"/>
      <c r="X235" s="936"/>
      <c r="Y235" s="937"/>
      <c r="Z235" s="938"/>
      <c r="AA235" s="936"/>
      <c r="AB235" s="937"/>
      <c r="AC235" s="938"/>
      <c r="AD235" s="936"/>
      <c r="AE235" s="937"/>
      <c r="AF235" s="938"/>
      <c r="AG235" s="936"/>
      <c r="AH235" s="937"/>
      <c r="AI235" s="938"/>
      <c r="AJ235" s="936"/>
      <c r="AK235" s="937"/>
      <c r="AL235" s="938"/>
      <c r="AM235" s="936"/>
      <c r="AN235" s="933"/>
      <c r="AO235" s="936"/>
      <c r="AP235" s="933"/>
      <c r="AQ235" s="935"/>
      <c r="AR235" s="936"/>
      <c r="AS235" s="935"/>
      <c r="AT235" s="939"/>
      <c r="AU235" s="933"/>
      <c r="AV235" s="940"/>
      <c r="AW235" s="338">
        <f>AW229/AW227</f>
        <v>0.73350000000000004</v>
      </c>
      <c r="AX235" s="939"/>
      <c r="AY235" s="939"/>
      <c r="AZ235" s="941"/>
      <c r="BA235" s="941"/>
      <c r="BB235" s="941"/>
      <c r="BC235" s="934"/>
      <c r="BD235" s="941"/>
      <c r="BE235" s="941"/>
      <c r="BF235" s="941"/>
      <c r="BG235" s="942"/>
      <c r="BH235" s="941"/>
      <c r="BI235" s="941"/>
      <c r="BJ235" s="941"/>
      <c r="BK235" s="943"/>
      <c r="BL235" s="943"/>
      <c r="BM235" s="943"/>
      <c r="BN235" s="943"/>
      <c r="BO235" s="943"/>
      <c r="BP235" s="944"/>
      <c r="BQ235" s="943"/>
      <c r="BR235" s="943"/>
      <c r="BS235" s="943"/>
      <c r="BU235" s="945"/>
      <c r="BV235" s="946"/>
      <c r="BW235" s="947"/>
      <c r="BX235" s="945"/>
      <c r="BY235" s="947"/>
      <c r="BZ235" s="946"/>
      <c r="CA235" s="947"/>
      <c r="CB235" s="946"/>
      <c r="CC235" s="947"/>
      <c r="CD235" s="947"/>
      <c r="CE235" s="947"/>
      <c r="CF235" s="948"/>
      <c r="CG235" s="949"/>
      <c r="CH235" s="949"/>
      <c r="CI235" s="950"/>
      <c r="CJ235" s="951"/>
      <c r="CK235" s="951"/>
      <c r="CL235" s="952"/>
      <c r="CM235" s="951"/>
      <c r="CN235" s="951"/>
      <c r="CO235" s="952"/>
      <c r="CP235" s="951"/>
      <c r="CQ235" s="951"/>
      <c r="CR235" s="952"/>
      <c r="CS235" s="946"/>
      <c r="CT235" s="953"/>
      <c r="CU235" s="953"/>
      <c r="CV235" s="953"/>
      <c r="CX235" s="951"/>
      <c r="CY235" s="951"/>
      <c r="CZ235" s="952"/>
      <c r="DB235" s="954"/>
      <c r="DC235" s="954"/>
      <c r="DD235" s="921"/>
      <c r="DE235" s="954"/>
      <c r="DF235" s="954"/>
      <c r="DG235" s="921"/>
      <c r="DH235" s="954"/>
      <c r="DI235" s="954"/>
      <c r="DJ235" s="921"/>
      <c r="DK235" s="954"/>
      <c r="DL235" s="954"/>
      <c r="DM235" s="921"/>
      <c r="DN235" s="954"/>
      <c r="DO235" s="954"/>
      <c r="DP235" s="921"/>
      <c r="DQ235" s="942"/>
      <c r="DR235" s="951"/>
      <c r="DS235" s="951"/>
      <c r="DT235" s="952"/>
      <c r="DV235" s="921"/>
      <c r="DW235" s="921"/>
      <c r="DX235" s="921"/>
      <c r="DY235" s="921"/>
      <c r="DZ235" s="921"/>
      <c r="EA235" s="921"/>
      <c r="EB235" s="921"/>
      <c r="EC235" s="921"/>
      <c r="ED235" s="921"/>
      <c r="EE235" s="921"/>
      <c r="EF235" s="921"/>
      <c r="EG235" s="921"/>
      <c r="EH235" s="921"/>
      <c r="EI235" s="921"/>
      <c r="EJ235" s="921"/>
      <c r="EK235" s="921"/>
      <c r="EL235" s="921"/>
      <c r="EM235" s="921"/>
      <c r="EN235" s="921"/>
      <c r="EO235" s="921"/>
      <c r="EP235" s="921"/>
      <c r="EQ235" s="954"/>
      <c r="ER235" s="954"/>
      <c r="ES235" s="954"/>
      <c r="ET235" s="954"/>
      <c r="EV235" s="942"/>
      <c r="EW235" s="951"/>
      <c r="EX235" s="951"/>
      <c r="EY235" s="952"/>
    </row>
    <row r="236" spans="1:155" s="927" customFormat="1" ht="15.75" x14ac:dyDescent="0.25">
      <c r="A236" s="931"/>
      <c r="B236" s="932" t="s">
        <v>405</v>
      </c>
      <c r="C236" s="933"/>
      <c r="D236" s="933"/>
      <c r="E236" s="934"/>
      <c r="F236" s="935"/>
      <c r="G236" s="934"/>
      <c r="H236" s="935"/>
      <c r="I236" s="936"/>
      <c r="J236" s="937"/>
      <c r="K236" s="938"/>
      <c r="L236" s="936"/>
      <c r="M236" s="937"/>
      <c r="N236" s="938"/>
      <c r="O236" s="936"/>
      <c r="P236" s="937"/>
      <c r="Q236" s="938"/>
      <c r="R236" s="936"/>
      <c r="S236" s="937"/>
      <c r="T236" s="938"/>
      <c r="U236" s="936"/>
      <c r="V236" s="937"/>
      <c r="W236" s="938"/>
      <c r="X236" s="936"/>
      <c r="Y236" s="937"/>
      <c r="Z236" s="938"/>
      <c r="AA236" s="936"/>
      <c r="AB236" s="937"/>
      <c r="AC236" s="938"/>
      <c r="AD236" s="936"/>
      <c r="AE236" s="937"/>
      <c r="AF236" s="938"/>
      <c r="AG236" s="936"/>
      <c r="AH236" s="937"/>
      <c r="AI236" s="938"/>
      <c r="AJ236" s="936"/>
      <c r="AK236" s="937"/>
      <c r="AL236" s="938"/>
      <c r="AM236" s="936"/>
      <c r="AN236" s="933"/>
      <c r="AO236" s="936"/>
      <c r="AP236" s="933"/>
      <c r="AQ236" s="935"/>
      <c r="AR236" s="936"/>
      <c r="AS236" s="935"/>
      <c r="AT236" s="939"/>
      <c r="AU236" s="933"/>
      <c r="AV236" s="940"/>
      <c r="AW236" s="339">
        <f>AW230/AW227</f>
        <v>0.17288999999999999</v>
      </c>
      <c r="AX236" s="939"/>
      <c r="AY236" s="939"/>
      <c r="AZ236" s="941"/>
      <c r="BA236" s="941"/>
      <c r="BB236" s="941"/>
      <c r="BC236" s="934"/>
      <c r="BD236" s="941"/>
      <c r="BE236" s="941"/>
      <c r="BF236" s="941"/>
      <c r="BG236" s="942"/>
      <c r="BH236" s="941"/>
      <c r="BI236" s="941"/>
      <c r="BJ236" s="941"/>
      <c r="BK236" s="943"/>
      <c r="BL236" s="943"/>
      <c r="BM236" s="943"/>
      <c r="BN236" s="943"/>
      <c r="BO236" s="943"/>
      <c r="BP236" s="944"/>
      <c r="BQ236" s="943"/>
      <c r="BR236" s="943"/>
      <c r="BS236" s="943"/>
      <c r="BU236" s="945"/>
      <c r="BV236" s="946"/>
      <c r="BW236" s="947"/>
      <c r="BX236" s="945"/>
      <c r="BY236" s="947"/>
      <c r="BZ236" s="946"/>
      <c r="CA236" s="947"/>
      <c r="CB236" s="946"/>
      <c r="CC236" s="947"/>
      <c r="CD236" s="947"/>
      <c r="CE236" s="947"/>
      <c r="CF236" s="948"/>
      <c r="CG236" s="949"/>
      <c r="CH236" s="949"/>
      <c r="CI236" s="950"/>
      <c r="CJ236" s="951"/>
      <c r="CK236" s="951"/>
      <c r="CL236" s="952"/>
      <c r="CM236" s="951"/>
      <c r="CN236" s="951"/>
      <c r="CO236" s="952"/>
      <c r="CP236" s="951"/>
      <c r="CQ236" s="951"/>
      <c r="CR236" s="952"/>
      <c r="CS236" s="946"/>
      <c r="CT236" s="953"/>
      <c r="CU236" s="953"/>
      <c r="CV236" s="953"/>
      <c r="CX236" s="951"/>
      <c r="CY236" s="951"/>
      <c r="CZ236" s="952"/>
      <c r="DB236" s="954"/>
      <c r="DC236" s="954"/>
      <c r="DD236" s="921"/>
      <c r="DE236" s="954"/>
      <c r="DF236" s="954"/>
      <c r="DG236" s="921"/>
      <c r="DH236" s="954"/>
      <c r="DI236" s="954"/>
      <c r="DJ236" s="921"/>
      <c r="DK236" s="954"/>
      <c r="DL236" s="954"/>
      <c r="DM236" s="921"/>
      <c r="DN236" s="954"/>
      <c r="DO236" s="954"/>
      <c r="DP236" s="921"/>
      <c r="DQ236" s="942"/>
      <c r="DR236" s="951"/>
      <c r="DS236" s="951"/>
      <c r="DT236" s="952"/>
      <c r="DV236" s="921"/>
      <c r="DW236" s="921"/>
      <c r="DX236" s="921"/>
      <c r="DY236" s="921"/>
      <c r="DZ236" s="921"/>
      <c r="EA236" s="921"/>
      <c r="EB236" s="921"/>
      <c r="EC236" s="921"/>
      <c r="ED236" s="921"/>
      <c r="EE236" s="921"/>
      <c r="EF236" s="921"/>
      <c r="EG236" s="921"/>
      <c r="EH236" s="921"/>
      <c r="EI236" s="921"/>
      <c r="EJ236" s="921"/>
      <c r="EK236" s="921"/>
      <c r="EL236" s="921"/>
      <c r="EM236" s="921"/>
      <c r="EN236" s="921"/>
      <c r="EO236" s="921"/>
      <c r="EP236" s="921"/>
      <c r="EQ236" s="954"/>
      <c r="ER236" s="954"/>
      <c r="ES236" s="954"/>
      <c r="ET236" s="954"/>
      <c r="EV236" s="942"/>
      <c r="EW236" s="951"/>
      <c r="EX236" s="951"/>
      <c r="EY236" s="952"/>
    </row>
    <row r="237" spans="1:155" s="927" customFormat="1" ht="15.75" x14ac:dyDescent="0.25">
      <c r="A237" s="931"/>
      <c r="B237" s="932" t="s">
        <v>807</v>
      </c>
      <c r="C237" s="933"/>
      <c r="D237" s="933"/>
      <c r="E237" s="934"/>
      <c r="F237" s="935"/>
      <c r="G237" s="934"/>
      <c r="H237" s="935"/>
      <c r="I237" s="936"/>
      <c r="J237" s="937"/>
      <c r="K237" s="938"/>
      <c r="L237" s="936"/>
      <c r="M237" s="937"/>
      <c r="N237" s="938"/>
      <c r="O237" s="936"/>
      <c r="P237" s="937"/>
      <c r="Q237" s="938"/>
      <c r="R237" s="936"/>
      <c r="S237" s="937"/>
      <c r="T237" s="938"/>
      <c r="U237" s="936"/>
      <c r="V237" s="937"/>
      <c r="W237" s="938"/>
      <c r="X237" s="936"/>
      <c r="Y237" s="937"/>
      <c r="Z237" s="938"/>
      <c r="AA237" s="936"/>
      <c r="AB237" s="937"/>
      <c r="AC237" s="938"/>
      <c r="AD237" s="936"/>
      <c r="AE237" s="937"/>
      <c r="AF237" s="938"/>
      <c r="AG237" s="936"/>
      <c r="AH237" s="937"/>
      <c r="AI237" s="938"/>
      <c r="AJ237" s="936"/>
      <c r="AK237" s="937"/>
      <c r="AL237" s="938"/>
      <c r="AM237" s="936"/>
      <c r="AN237" s="933"/>
      <c r="AO237" s="936"/>
      <c r="AP237" s="933"/>
      <c r="AQ237" s="935"/>
      <c r="AR237" s="936"/>
      <c r="AS237" s="935"/>
      <c r="AT237" s="939"/>
      <c r="AU237" s="933"/>
      <c r="AV237" s="940"/>
      <c r="AW237" s="335">
        <f>(AW220/12)/AW226</f>
        <v>1.2033499999999999</v>
      </c>
      <c r="AX237" s="939"/>
      <c r="AY237" s="939"/>
      <c r="AZ237" s="941"/>
      <c r="BA237" s="941"/>
      <c r="BB237" s="941"/>
      <c r="BC237" s="934"/>
      <c r="BD237" s="941"/>
      <c r="BE237" s="941"/>
      <c r="BF237" s="941"/>
      <c r="BG237" s="942"/>
      <c r="BH237" s="941"/>
      <c r="BI237" s="941"/>
      <c r="BJ237" s="941"/>
      <c r="BK237" s="943"/>
      <c r="BL237" s="943"/>
      <c r="BM237" s="943"/>
      <c r="BN237" s="943"/>
      <c r="BO237" s="943"/>
      <c r="BP237" s="944"/>
      <c r="BQ237" s="943"/>
      <c r="BR237" s="943"/>
      <c r="BS237" s="943"/>
      <c r="BU237" s="945"/>
      <c r="BV237" s="946"/>
      <c r="BW237" s="947"/>
      <c r="BX237" s="945"/>
      <c r="BY237" s="947"/>
      <c r="BZ237" s="946"/>
      <c r="CA237" s="947"/>
      <c r="CB237" s="946"/>
      <c r="CC237" s="947"/>
      <c r="CD237" s="947"/>
      <c r="CE237" s="947"/>
      <c r="CF237" s="948"/>
      <c r="CG237" s="949"/>
      <c r="CH237" s="949"/>
      <c r="CI237" s="950"/>
      <c r="CJ237" s="951"/>
      <c r="CK237" s="951"/>
      <c r="CL237" s="952"/>
      <c r="CM237" s="951"/>
      <c r="CN237" s="951"/>
      <c r="CO237" s="952"/>
      <c r="CP237" s="951"/>
      <c r="CQ237" s="951"/>
      <c r="CR237" s="952"/>
      <c r="CS237" s="946"/>
      <c r="CT237" s="953"/>
      <c r="CU237" s="953"/>
      <c r="CV237" s="953"/>
      <c r="CX237" s="951"/>
      <c r="CY237" s="951"/>
      <c r="CZ237" s="952"/>
      <c r="DB237" s="954"/>
      <c r="DC237" s="954"/>
      <c r="DD237" s="921"/>
      <c r="DE237" s="954"/>
      <c r="DF237" s="954"/>
      <c r="DG237" s="921"/>
      <c r="DH237" s="954"/>
      <c r="DI237" s="954"/>
      <c r="DJ237" s="921"/>
      <c r="DK237" s="954"/>
      <c r="DL237" s="954"/>
      <c r="DM237" s="921"/>
      <c r="DN237" s="954"/>
      <c r="DO237" s="954"/>
      <c r="DP237" s="921"/>
      <c r="DQ237" s="942"/>
      <c r="DR237" s="951"/>
      <c r="DS237" s="951"/>
      <c r="DT237" s="952"/>
      <c r="DV237" s="921"/>
      <c r="DW237" s="921"/>
      <c r="DX237" s="921"/>
      <c r="DY237" s="921"/>
      <c r="DZ237" s="921"/>
      <c r="EA237" s="921"/>
      <c r="EB237" s="921"/>
      <c r="EC237" s="921"/>
      <c r="ED237" s="921"/>
      <c r="EE237" s="921"/>
      <c r="EF237" s="921"/>
      <c r="EG237" s="921"/>
      <c r="EH237" s="921"/>
      <c r="EI237" s="921"/>
      <c r="EJ237" s="921"/>
      <c r="EK237" s="921"/>
      <c r="EL237" s="921"/>
      <c r="EM237" s="921"/>
      <c r="EN237" s="921"/>
      <c r="EO237" s="921"/>
      <c r="EP237" s="921"/>
      <c r="EQ237" s="954"/>
      <c r="ER237" s="954"/>
      <c r="ES237" s="954"/>
      <c r="ET237" s="954"/>
      <c r="EV237" s="942"/>
      <c r="EW237" s="951"/>
      <c r="EX237" s="951"/>
      <c r="EY237" s="952"/>
    </row>
    <row r="238" spans="1:155" s="927" customFormat="1" ht="15.75" x14ac:dyDescent="0.25">
      <c r="A238" s="931"/>
      <c r="B238" s="932"/>
      <c r="C238" s="933"/>
      <c r="D238" s="933"/>
      <c r="E238" s="934"/>
      <c r="F238" s="935"/>
      <c r="G238" s="934"/>
      <c r="H238" s="935"/>
      <c r="I238" s="936"/>
      <c r="J238" s="937"/>
      <c r="K238" s="938"/>
      <c r="L238" s="936"/>
      <c r="M238" s="937"/>
      <c r="N238" s="938"/>
      <c r="O238" s="936"/>
      <c r="P238" s="937"/>
      <c r="Q238" s="938"/>
      <c r="R238" s="936"/>
      <c r="S238" s="937"/>
      <c r="T238" s="938"/>
      <c r="U238" s="936"/>
      <c r="V238" s="937"/>
      <c r="W238" s="938"/>
      <c r="X238" s="936"/>
      <c r="Y238" s="937"/>
      <c r="Z238" s="938"/>
      <c r="AA238" s="936"/>
      <c r="AB238" s="937"/>
      <c r="AC238" s="938"/>
      <c r="AD238" s="936"/>
      <c r="AE238" s="937"/>
      <c r="AF238" s="938"/>
      <c r="AG238" s="936"/>
      <c r="AH238" s="937"/>
      <c r="AI238" s="938"/>
      <c r="AJ238" s="936"/>
      <c r="AK238" s="937"/>
      <c r="AL238" s="938"/>
      <c r="AM238" s="936"/>
      <c r="AN238" s="933"/>
      <c r="AO238" s="936"/>
      <c r="AP238" s="933"/>
      <c r="AQ238" s="935"/>
      <c r="AR238" s="936"/>
      <c r="AS238" s="935"/>
      <c r="AT238" s="939"/>
      <c r="AU238" s="933"/>
      <c r="AV238" s="940"/>
      <c r="AW238" s="939"/>
      <c r="AX238" s="939"/>
      <c r="AY238" s="939"/>
      <c r="AZ238" s="941"/>
      <c r="BA238" s="941"/>
      <c r="BB238" s="941"/>
      <c r="BC238" s="934"/>
      <c r="BD238" s="941"/>
      <c r="BE238" s="941"/>
      <c r="BF238" s="941"/>
      <c r="BG238" s="942"/>
      <c r="BH238" s="941"/>
      <c r="BI238" s="941"/>
      <c r="BJ238" s="941"/>
      <c r="BK238" s="943"/>
      <c r="BL238" s="943"/>
      <c r="BM238" s="943"/>
      <c r="BN238" s="943"/>
      <c r="BO238" s="943"/>
      <c r="BP238" s="944"/>
      <c r="BQ238" s="943"/>
      <c r="BR238" s="943"/>
      <c r="BS238" s="943"/>
      <c r="BU238" s="945"/>
      <c r="BV238" s="946"/>
      <c r="BW238" s="947"/>
      <c r="BX238" s="945"/>
      <c r="BY238" s="947"/>
      <c r="BZ238" s="946"/>
      <c r="CA238" s="947"/>
      <c r="CB238" s="946"/>
      <c r="CC238" s="947"/>
      <c r="CD238" s="947"/>
      <c r="CE238" s="947"/>
      <c r="CF238" s="948"/>
      <c r="CG238" s="949"/>
      <c r="CH238" s="949"/>
      <c r="CI238" s="950"/>
      <c r="CJ238" s="951"/>
      <c r="CK238" s="951"/>
      <c r="CL238" s="952"/>
      <c r="CM238" s="951"/>
      <c r="CN238" s="951"/>
      <c r="CO238" s="952"/>
      <c r="CP238" s="951"/>
      <c r="CQ238" s="951"/>
      <c r="CR238" s="952"/>
      <c r="CS238" s="946"/>
      <c r="CT238" s="953"/>
      <c r="CU238" s="953"/>
      <c r="CV238" s="953"/>
      <c r="CX238" s="951"/>
      <c r="CY238" s="951"/>
      <c r="CZ238" s="952"/>
      <c r="DB238" s="954"/>
      <c r="DC238" s="954"/>
      <c r="DD238" s="921"/>
      <c r="DE238" s="954"/>
      <c r="DF238" s="954"/>
      <c r="DG238" s="921"/>
      <c r="DH238" s="954"/>
      <c r="DI238" s="954"/>
      <c r="DJ238" s="921"/>
      <c r="DK238" s="954"/>
      <c r="DL238" s="954"/>
      <c r="DM238" s="921"/>
      <c r="DN238" s="954"/>
      <c r="DO238" s="954"/>
      <c r="DP238" s="921"/>
      <c r="DQ238" s="942"/>
      <c r="DR238" s="951"/>
      <c r="DS238" s="951"/>
      <c r="DT238" s="952"/>
      <c r="DV238" s="921"/>
      <c r="DW238" s="921"/>
      <c r="DX238" s="921"/>
      <c r="DY238" s="921"/>
      <c r="DZ238" s="921"/>
      <c r="EA238" s="921"/>
      <c r="EB238" s="921"/>
      <c r="EC238" s="921"/>
      <c r="ED238" s="921"/>
      <c r="EE238" s="921"/>
      <c r="EF238" s="921"/>
      <c r="EG238" s="921"/>
      <c r="EH238" s="921"/>
      <c r="EI238" s="921"/>
      <c r="EJ238" s="921"/>
      <c r="EK238" s="921"/>
      <c r="EL238" s="921"/>
      <c r="EM238" s="921"/>
      <c r="EN238" s="921"/>
      <c r="EO238" s="921"/>
      <c r="EP238" s="921"/>
      <c r="EQ238" s="954"/>
      <c r="ER238" s="954"/>
      <c r="ES238" s="954"/>
      <c r="ET238" s="954"/>
      <c r="EV238" s="942"/>
      <c r="EW238" s="951"/>
      <c r="EX238" s="951"/>
      <c r="EY238" s="952"/>
    </row>
    <row r="239" spans="1:155" s="965" customFormat="1" ht="15.75" x14ac:dyDescent="0.25">
      <c r="A239" s="931" t="s">
        <v>60</v>
      </c>
      <c r="B239" s="956"/>
      <c r="C239" s="957">
        <f>C48+C79+C134+C184+C220</f>
        <v>432.07</v>
      </c>
      <c r="D239" s="957">
        <f t="shared" ref="D239:BO239" si="285">D48+D79+D134+D184+D220</f>
        <v>1403768</v>
      </c>
      <c r="E239" s="958">
        <f t="shared" si="285"/>
        <v>139.26</v>
      </c>
      <c r="F239" s="959">
        <f t="shared" si="285"/>
        <v>1481040</v>
      </c>
      <c r="G239" s="958">
        <f t="shared" si="285"/>
        <v>133.32</v>
      </c>
      <c r="H239" s="960">
        <f t="shared" si="285"/>
        <v>1495905</v>
      </c>
      <c r="I239" s="939">
        <f t="shared" si="285"/>
        <v>5022183.58</v>
      </c>
      <c r="J239" s="939">
        <f t="shared" si="285"/>
        <v>5.41</v>
      </c>
      <c r="K239" s="961">
        <f t="shared" si="285"/>
        <v>660098.30000000005</v>
      </c>
      <c r="L239" s="939">
        <f t="shared" si="285"/>
        <v>703432.22</v>
      </c>
      <c r="M239" s="939">
        <f t="shared" si="285"/>
        <v>0.39</v>
      </c>
      <c r="N239" s="961">
        <f t="shared" si="285"/>
        <v>6742.52</v>
      </c>
      <c r="O239" s="939">
        <f t="shared" si="285"/>
        <v>7184.88</v>
      </c>
      <c r="P239" s="939">
        <f t="shared" si="285"/>
        <v>0.55000000000000004</v>
      </c>
      <c r="Q239" s="961">
        <f t="shared" si="285"/>
        <v>20165.150000000001</v>
      </c>
      <c r="R239" s="939">
        <f t="shared" si="285"/>
        <v>21493.25</v>
      </c>
      <c r="S239" s="939">
        <f t="shared" si="285"/>
        <v>8.02</v>
      </c>
      <c r="T239" s="961">
        <f t="shared" si="285"/>
        <v>97096.93</v>
      </c>
      <c r="U239" s="939">
        <f t="shared" si="285"/>
        <v>103475.51</v>
      </c>
      <c r="V239" s="939">
        <f t="shared" si="285"/>
        <v>0</v>
      </c>
      <c r="W239" s="961">
        <f t="shared" si="285"/>
        <v>0</v>
      </c>
      <c r="X239" s="939">
        <f t="shared" si="285"/>
        <v>0</v>
      </c>
      <c r="Y239" s="939">
        <f t="shared" si="285"/>
        <v>59.37</v>
      </c>
      <c r="Z239" s="961">
        <f t="shared" si="285"/>
        <v>493782.93</v>
      </c>
      <c r="AA239" s="939">
        <f t="shared" si="285"/>
        <v>526197.55000000005</v>
      </c>
      <c r="AB239" s="939">
        <f t="shared" si="285"/>
        <v>18.350000000000001</v>
      </c>
      <c r="AC239" s="961">
        <f t="shared" si="285"/>
        <v>738861.93</v>
      </c>
      <c r="AD239" s="939">
        <f t="shared" si="285"/>
        <v>787351.73</v>
      </c>
      <c r="AE239" s="939">
        <f t="shared" si="285"/>
        <v>0.52</v>
      </c>
      <c r="AF239" s="961">
        <f t="shared" si="285"/>
        <v>27845</v>
      </c>
      <c r="AG239" s="939">
        <f t="shared" si="285"/>
        <v>29673.26</v>
      </c>
      <c r="AH239" s="939">
        <f t="shared" si="285"/>
        <v>0</v>
      </c>
      <c r="AI239" s="961">
        <f t="shared" si="285"/>
        <v>0</v>
      </c>
      <c r="AJ239" s="939">
        <f t="shared" si="285"/>
        <v>0</v>
      </c>
      <c r="AK239" s="939">
        <f t="shared" si="285"/>
        <v>0</v>
      </c>
      <c r="AL239" s="961">
        <f t="shared" si="285"/>
        <v>0</v>
      </c>
      <c r="AM239" s="939">
        <f t="shared" si="285"/>
        <v>0</v>
      </c>
      <c r="AN239" s="957">
        <f t="shared" si="285"/>
        <v>2539944</v>
      </c>
      <c r="AO239" s="939">
        <f t="shared" si="285"/>
        <v>1809331.39</v>
      </c>
      <c r="AP239" s="957">
        <f t="shared" si="285"/>
        <v>8482.32</v>
      </c>
      <c r="AQ239" s="960">
        <f t="shared" si="285"/>
        <v>49833.63</v>
      </c>
      <c r="AR239" s="939">
        <f t="shared" si="285"/>
        <v>9060157</v>
      </c>
      <c r="AS239" s="960">
        <f t="shared" si="285"/>
        <v>1584</v>
      </c>
      <c r="AT239" s="939">
        <f t="shared" si="285"/>
        <v>108721884</v>
      </c>
      <c r="AU239" s="960">
        <f t="shared" si="285"/>
        <v>1738738.54</v>
      </c>
      <c r="AV239" s="962">
        <f t="shared" si="285"/>
        <v>1087218.83</v>
      </c>
      <c r="AW239" s="939">
        <f t="shared" si="285"/>
        <v>111547841.37</v>
      </c>
      <c r="AX239" s="939">
        <f t="shared" si="285"/>
        <v>33687448.119999997</v>
      </c>
      <c r="AY239" s="939">
        <f t="shared" si="285"/>
        <v>145235289.49000001</v>
      </c>
      <c r="AZ239" s="941">
        <f t="shared" si="285"/>
        <v>111547</v>
      </c>
      <c r="BA239" s="941">
        <f t="shared" si="285"/>
        <v>33687</v>
      </c>
      <c r="BB239" s="941">
        <f t="shared" si="285"/>
        <v>145234</v>
      </c>
      <c r="BC239" s="958">
        <f t="shared" si="285"/>
        <v>125.4</v>
      </c>
      <c r="BD239" s="941">
        <f t="shared" si="285"/>
        <v>105970</v>
      </c>
      <c r="BE239" s="941">
        <f t="shared" si="285"/>
        <v>32003.5</v>
      </c>
      <c r="BF239" s="941">
        <f t="shared" si="285"/>
        <v>137973.5</v>
      </c>
      <c r="BG239" s="963">
        <f>'[3]свод (2024)'!$B$116</f>
        <v>0.99758349999999996</v>
      </c>
      <c r="BH239" s="941">
        <f t="shared" si="285"/>
        <v>105669.2</v>
      </c>
      <c r="BI239" s="941">
        <f t="shared" si="285"/>
        <v>31911.9</v>
      </c>
      <c r="BJ239" s="941">
        <f t="shared" si="285"/>
        <v>137581.1</v>
      </c>
      <c r="BK239" s="951">
        <f t="shared" si="285"/>
        <v>-5877.8</v>
      </c>
      <c r="BL239" s="951">
        <f t="shared" si="285"/>
        <v>-1775.1</v>
      </c>
      <c r="BM239" s="951">
        <f t="shared" si="285"/>
        <v>-7652.9</v>
      </c>
      <c r="BN239" s="951">
        <f t="shared" si="285"/>
        <v>0</v>
      </c>
      <c r="BO239" s="951">
        <f t="shared" si="285"/>
        <v>0</v>
      </c>
      <c r="BP239" s="964">
        <f t="shared" ref="BP239:CV239" si="286">BP48+BP79+BP134+BP184+BP220</f>
        <v>0</v>
      </c>
      <c r="BQ239" s="951">
        <f t="shared" si="286"/>
        <v>105669.2</v>
      </c>
      <c r="BR239" s="951">
        <f t="shared" si="286"/>
        <v>31911.9</v>
      </c>
      <c r="BS239" s="951">
        <f t="shared" si="286"/>
        <v>137581.1</v>
      </c>
      <c r="BU239" s="939">
        <f t="shared" si="286"/>
        <v>245.07</v>
      </c>
      <c r="BV239" s="939">
        <f t="shared" si="286"/>
        <v>29.5</v>
      </c>
      <c r="BW239" s="939">
        <f t="shared" si="286"/>
        <v>215.57</v>
      </c>
      <c r="BX239" s="939">
        <f t="shared" si="286"/>
        <v>58659324.990000002</v>
      </c>
      <c r="BY239" s="939">
        <f t="shared" si="286"/>
        <v>51634930.5</v>
      </c>
      <c r="BZ239" s="939">
        <f t="shared" si="286"/>
        <v>144.19999999999999</v>
      </c>
      <c r="CA239" s="939"/>
      <c r="CB239" s="939"/>
      <c r="CC239" s="939">
        <f t="shared" si="286"/>
        <v>20554244.079999998</v>
      </c>
      <c r="CD239" s="939">
        <f t="shared" si="286"/>
        <v>6207381.71</v>
      </c>
      <c r="CE239" s="939">
        <f t="shared" si="286"/>
        <v>26761625.789999999</v>
      </c>
      <c r="CF239" s="966">
        <f t="shared" si="286"/>
        <v>20554244.059999999</v>
      </c>
      <c r="CG239" s="939">
        <f t="shared" si="286"/>
        <v>20554.3</v>
      </c>
      <c r="CH239" s="939">
        <f t="shared" si="286"/>
        <v>6207.4</v>
      </c>
      <c r="CI239" s="939">
        <f t="shared" si="286"/>
        <v>26761.7</v>
      </c>
      <c r="CJ239" s="967">
        <f t="shared" si="286"/>
        <v>126223.5</v>
      </c>
      <c r="CK239" s="967">
        <f t="shared" si="286"/>
        <v>38119.300000000003</v>
      </c>
      <c r="CL239" s="967">
        <f t="shared" si="286"/>
        <v>164342.79999999999</v>
      </c>
      <c r="CM239" s="967">
        <f t="shared" si="286"/>
        <v>1514.4</v>
      </c>
      <c r="CN239" s="967">
        <f t="shared" si="286"/>
        <v>457.4</v>
      </c>
      <c r="CO239" s="967">
        <f t="shared" si="286"/>
        <v>1971.8</v>
      </c>
      <c r="CP239" s="968">
        <f t="shared" si="286"/>
        <v>124709.1</v>
      </c>
      <c r="CQ239" s="968">
        <f t="shared" si="286"/>
        <v>37661.9</v>
      </c>
      <c r="CR239" s="969">
        <f t="shared" si="286"/>
        <v>162371</v>
      </c>
      <c r="CS239" s="941"/>
      <c r="CT239" s="941">
        <f t="shared" si="286"/>
        <v>5285.3</v>
      </c>
      <c r="CU239" s="941">
        <f t="shared" si="286"/>
        <v>1596.1</v>
      </c>
      <c r="CV239" s="941">
        <f t="shared" si="286"/>
        <v>6881.4</v>
      </c>
      <c r="CX239" s="967">
        <f t="shared" ref="CX239:CZ239" si="287">CX48+CX79+CX134+CX184+CX220</f>
        <v>70674.8</v>
      </c>
      <c r="CY239" s="967">
        <f t="shared" si="287"/>
        <v>21343.9</v>
      </c>
      <c r="CZ239" s="967">
        <f t="shared" si="287"/>
        <v>92018.7</v>
      </c>
      <c r="DA239" s="965">
        <f>144.2*41718.2*12*1.302/1000</f>
        <v>93990.303610560004</v>
      </c>
      <c r="DB239" s="967">
        <v>669.4</v>
      </c>
      <c r="DC239" s="967">
        <v>202.1</v>
      </c>
      <c r="DD239" s="970">
        <f>DB239+DC239</f>
        <v>871.5</v>
      </c>
      <c r="DE239" s="967">
        <v>669.4</v>
      </c>
      <c r="DF239" s="967">
        <v>202.1</v>
      </c>
      <c r="DG239" s="970">
        <f>DE239+DF239</f>
        <v>871.5</v>
      </c>
      <c r="DH239" s="967">
        <v>669.4</v>
      </c>
      <c r="DI239" s="967">
        <v>202.1</v>
      </c>
      <c r="DJ239" s="970">
        <f>DH239+DI239</f>
        <v>871.5</v>
      </c>
      <c r="DK239" s="967">
        <v>669.4</v>
      </c>
      <c r="DL239" s="967">
        <v>202.1</v>
      </c>
      <c r="DM239" s="970">
        <f>DK239+DL239</f>
        <v>871.5</v>
      </c>
      <c r="DN239" s="968">
        <f>DB239+DE239+DH239+DK239</f>
        <v>2677.6</v>
      </c>
      <c r="DO239" s="968">
        <f>DC239+DF239+DI239+DL239</f>
        <v>808.4</v>
      </c>
      <c r="DP239" s="969">
        <f>DN239+DO239</f>
        <v>3486</v>
      </c>
      <c r="DQ239" s="963">
        <f>(CR239-DP239)/CR239</f>
        <v>0.97853064899999997</v>
      </c>
      <c r="DR239" s="968">
        <f t="shared" ref="DR239:DS239" si="288">DR48+DR79+DR134+DR184+DR220</f>
        <v>122031.7</v>
      </c>
      <c r="DS239" s="968">
        <f t="shared" si="288"/>
        <v>36853.300000000003</v>
      </c>
      <c r="DT239" s="969">
        <f>DR239+DS239</f>
        <v>158885</v>
      </c>
      <c r="DV239" s="970">
        <f>DW239+DZ239</f>
        <v>871.5</v>
      </c>
      <c r="DW239" s="970">
        <f>DX239+DY239</f>
        <v>780.8</v>
      </c>
      <c r="DX239" s="967">
        <v>599.70000000000005</v>
      </c>
      <c r="DY239" s="967">
        <v>181.1</v>
      </c>
      <c r="DZ239" s="967">
        <v>90.7</v>
      </c>
      <c r="EA239" s="970">
        <f>EB239+EE239</f>
        <v>871.5</v>
      </c>
      <c r="EB239" s="970">
        <f>EC239+ED239</f>
        <v>780.8</v>
      </c>
      <c r="EC239" s="967">
        <v>599.70000000000005</v>
      </c>
      <c r="ED239" s="967">
        <v>181.1</v>
      </c>
      <c r="EE239" s="967">
        <v>90.7</v>
      </c>
      <c r="EF239" s="970">
        <f>EG239+EJ239</f>
        <v>871.5</v>
      </c>
      <c r="EG239" s="970">
        <f>EH239+EI239</f>
        <v>780.8</v>
      </c>
      <c r="EH239" s="967">
        <v>599.70000000000005</v>
      </c>
      <c r="EI239" s="967">
        <v>181.1</v>
      </c>
      <c r="EJ239" s="967">
        <v>90.7</v>
      </c>
      <c r="EK239" s="970">
        <f>EL239+EO239</f>
        <v>871.5</v>
      </c>
      <c r="EL239" s="970">
        <f>EM239+EN239</f>
        <v>780.8</v>
      </c>
      <c r="EM239" s="967">
        <v>599.70000000000005</v>
      </c>
      <c r="EN239" s="967">
        <v>181.1</v>
      </c>
      <c r="EO239" s="967">
        <v>90.7</v>
      </c>
      <c r="EP239" s="969">
        <f>EQ239+ET239</f>
        <v>3486</v>
      </c>
      <c r="EQ239" s="968">
        <f>ER239+ES239</f>
        <v>3123.2</v>
      </c>
      <c r="ER239" s="968">
        <f>DX239+EC239+EH239+EM239</f>
        <v>2398.8000000000002</v>
      </c>
      <c r="ES239" s="968">
        <f t="shared" ref="ES239:ET239" si="289">DY239+ED239+EI239+EN239</f>
        <v>724.4</v>
      </c>
      <c r="ET239" s="968">
        <f t="shared" si="289"/>
        <v>362.8</v>
      </c>
      <c r="EV239" s="963">
        <f>(CR239-EQ239)/CR239</f>
        <v>0.98076503800000003</v>
      </c>
      <c r="EW239" s="968">
        <f t="shared" ref="EW239:EX239" si="290">EW48+EW79+EW134+EW184+EW220</f>
        <v>122310</v>
      </c>
      <c r="EX239" s="968">
        <f t="shared" si="290"/>
        <v>36937.4</v>
      </c>
      <c r="EY239" s="969">
        <f>EW239+EX239</f>
        <v>159247.4</v>
      </c>
    </row>
    <row r="240" spans="1:155" s="927" customFormat="1" ht="15.75" x14ac:dyDescent="0.25">
      <c r="A240" s="931"/>
      <c r="B240" s="932" t="s">
        <v>406</v>
      </c>
      <c r="C240" s="981">
        <f>C49+C80+C135+C185+C221</f>
        <v>183.63</v>
      </c>
      <c r="D240" s="938"/>
      <c r="E240" s="983"/>
      <c r="F240" s="936"/>
      <c r="G240" s="983"/>
      <c r="H240" s="984">
        <f t="shared" ref="H240:I243" si="291">H49+H80+H135+H185+H221</f>
        <v>97958</v>
      </c>
      <c r="I240" s="984">
        <f t="shared" si="291"/>
        <v>2569718.2200000002</v>
      </c>
      <c r="J240" s="937"/>
      <c r="K240" s="938"/>
      <c r="L240" s="984">
        <f t="shared" ref="L240" si="292">L49+L80+L135+L185+L221</f>
        <v>539877.78</v>
      </c>
      <c r="M240" s="937"/>
      <c r="N240" s="938"/>
      <c r="O240" s="984">
        <f t="shared" ref="O240" si="293">O49+O80+O135+O185+O221</f>
        <v>0</v>
      </c>
      <c r="P240" s="937"/>
      <c r="Q240" s="938"/>
      <c r="R240" s="984">
        <f t="shared" ref="R240" si="294">R49+R80+R135+R185+R221</f>
        <v>7513.45</v>
      </c>
      <c r="S240" s="937"/>
      <c r="T240" s="938"/>
      <c r="U240" s="984">
        <f t="shared" ref="U240" si="295">U49+U80+U135+U185+U221</f>
        <v>0</v>
      </c>
      <c r="V240" s="937"/>
      <c r="W240" s="938"/>
      <c r="X240" s="984">
        <f t="shared" ref="X240" si="296">X49+X80+X135+X185+X221</f>
        <v>0</v>
      </c>
      <c r="Y240" s="937"/>
      <c r="Z240" s="938"/>
      <c r="AA240" s="984">
        <f t="shared" ref="AA240" si="297">AA49+AA80+AA135+AA185+AA221</f>
        <v>0</v>
      </c>
      <c r="AB240" s="937"/>
      <c r="AC240" s="938"/>
      <c r="AD240" s="984">
        <f t="shared" ref="AD240" si="298">AD49+AD80+AD135+AD185+AD221</f>
        <v>450074.83</v>
      </c>
      <c r="AE240" s="937"/>
      <c r="AF240" s="938"/>
      <c r="AG240" s="984">
        <f t="shared" ref="AG240" si="299">AG49+AG80+AG135+AG185+AG221</f>
        <v>18233.07</v>
      </c>
      <c r="AH240" s="937"/>
      <c r="AI240" s="938"/>
      <c r="AJ240" s="984">
        <f t="shared" ref="AJ240" si="300">AJ49+AJ80+AJ135+AJ185+AJ221</f>
        <v>0</v>
      </c>
      <c r="AK240" s="937"/>
      <c r="AL240" s="938"/>
      <c r="AM240" s="984">
        <f t="shared" ref="AM240" si="301">AM49+AM80+AM135+AM185+AM221</f>
        <v>0</v>
      </c>
      <c r="AN240" s="938"/>
      <c r="AO240" s="984">
        <f t="shared" ref="AO240" si="302">AO49+AO80+AO135+AO185+AO221</f>
        <v>39104.230000000003</v>
      </c>
      <c r="AP240" s="938"/>
      <c r="AQ240" s="984">
        <f t="shared" ref="AQ240:AR240" si="303">AQ49+AQ80+AQ135+AQ185+AQ221</f>
        <v>0</v>
      </c>
      <c r="AR240" s="984">
        <f t="shared" si="303"/>
        <v>3624521.58</v>
      </c>
      <c r="AS240" s="936"/>
      <c r="AT240" s="984">
        <f t="shared" ref="AT240:AW240" si="304">AT49+AT80+AT135+AT185+AT221</f>
        <v>43494258.960000001</v>
      </c>
      <c r="AU240" s="984">
        <f t="shared" si="304"/>
        <v>0</v>
      </c>
      <c r="AV240" s="984">
        <f t="shared" si="304"/>
        <v>434942.59</v>
      </c>
      <c r="AW240" s="984">
        <f t="shared" si="304"/>
        <v>43929201.549999997</v>
      </c>
      <c r="AX240" s="939"/>
      <c r="AY240" s="939"/>
      <c r="AZ240" s="941"/>
      <c r="BA240" s="941"/>
      <c r="BB240" s="941"/>
      <c r="BC240" s="934"/>
      <c r="BD240" s="941"/>
      <c r="BE240" s="941"/>
      <c r="BF240" s="941"/>
      <c r="BG240" s="942"/>
      <c r="BH240" s="941"/>
      <c r="BI240" s="941"/>
      <c r="BJ240" s="941"/>
      <c r="BK240" s="943"/>
      <c r="BL240" s="943"/>
      <c r="BM240" s="943"/>
      <c r="BN240" s="943"/>
      <c r="BO240" s="943"/>
      <c r="BP240" s="944"/>
      <c r="BQ240" s="943"/>
      <c r="BR240" s="943"/>
      <c r="BS240" s="943"/>
      <c r="BU240" s="945"/>
      <c r="BV240" s="946"/>
      <c r="BW240" s="947"/>
      <c r="BX240" s="945"/>
      <c r="BY240" s="947"/>
      <c r="BZ240" s="946"/>
      <c r="CA240" s="947"/>
      <c r="CB240" s="946"/>
      <c r="CC240" s="947"/>
      <c r="CD240" s="947"/>
      <c r="CE240" s="947"/>
      <c r="CF240" s="948"/>
      <c r="CG240" s="949"/>
      <c r="CH240" s="949"/>
      <c r="CI240" s="950"/>
      <c r="CJ240" s="951"/>
      <c r="CK240" s="951"/>
      <c r="CL240" s="952"/>
      <c r="CM240" s="951"/>
      <c r="CN240" s="951"/>
      <c r="CO240" s="952"/>
      <c r="CP240" s="951"/>
      <c r="CQ240" s="951"/>
      <c r="CR240" s="952"/>
      <c r="CS240" s="946"/>
      <c r="CT240" s="953"/>
      <c r="CU240" s="953"/>
      <c r="CV240" s="953"/>
      <c r="CX240" s="951"/>
      <c r="CY240" s="951"/>
      <c r="CZ240" s="952"/>
      <c r="DB240" s="954"/>
      <c r="DC240" s="954"/>
      <c r="DD240" s="921"/>
      <c r="DE240" s="954"/>
      <c r="DF240" s="954"/>
      <c r="DG240" s="921"/>
      <c r="DH240" s="954"/>
      <c r="DI240" s="954"/>
      <c r="DJ240" s="921"/>
      <c r="DK240" s="954"/>
      <c r="DL240" s="954"/>
      <c r="DM240" s="921"/>
      <c r="DN240" s="954"/>
      <c r="DO240" s="954"/>
      <c r="DP240" s="921"/>
      <c r="DQ240" s="942"/>
      <c r="DR240" s="951"/>
      <c r="DS240" s="951"/>
      <c r="DT240" s="952"/>
      <c r="DV240" s="921"/>
      <c r="DW240" s="921"/>
      <c r="DX240" s="921"/>
      <c r="DY240" s="921"/>
      <c r="DZ240" s="921"/>
      <c r="EA240" s="921"/>
      <c r="EB240" s="921"/>
      <c r="EC240" s="921"/>
      <c r="ED240" s="921"/>
      <c r="EE240" s="921"/>
      <c r="EF240" s="921"/>
      <c r="EG240" s="921"/>
      <c r="EH240" s="921"/>
      <c r="EI240" s="921"/>
      <c r="EJ240" s="921"/>
      <c r="EK240" s="921"/>
      <c r="EL240" s="921"/>
      <c r="EM240" s="921"/>
      <c r="EN240" s="921"/>
      <c r="EO240" s="921"/>
      <c r="EP240" s="921"/>
      <c r="EQ240" s="954"/>
      <c r="ER240" s="954"/>
      <c r="ES240" s="954"/>
      <c r="ET240" s="954"/>
      <c r="EV240" s="942"/>
      <c r="EW240" s="951"/>
      <c r="EX240" s="951"/>
      <c r="EY240" s="952"/>
    </row>
    <row r="241" spans="1:155" s="927" customFormat="1" ht="15.75" x14ac:dyDescent="0.25">
      <c r="A241" s="931"/>
      <c r="B241" s="932" t="s">
        <v>403</v>
      </c>
      <c r="C241" s="981">
        <f t="shared" ref="C241:C243" si="305">C50+C81+C136+C186+C222</f>
        <v>61.44</v>
      </c>
      <c r="D241" s="938"/>
      <c r="E241" s="983"/>
      <c r="F241" s="936"/>
      <c r="G241" s="983"/>
      <c r="H241" s="984">
        <f t="shared" si="291"/>
        <v>286018</v>
      </c>
      <c r="I241" s="984">
        <f t="shared" si="291"/>
        <v>874454.36</v>
      </c>
      <c r="J241" s="937"/>
      <c r="K241" s="938"/>
      <c r="L241" s="984">
        <f t="shared" ref="L241" si="306">L50+L81+L136+L186+L222</f>
        <v>163554.44</v>
      </c>
      <c r="M241" s="937"/>
      <c r="N241" s="938"/>
      <c r="O241" s="984">
        <f t="shared" ref="O241" si="307">O50+O81+O136+O186+O222</f>
        <v>0</v>
      </c>
      <c r="P241" s="937"/>
      <c r="Q241" s="938"/>
      <c r="R241" s="984">
        <f t="shared" ref="R241" si="308">R50+R81+R136+R186+R222</f>
        <v>0</v>
      </c>
      <c r="S241" s="937"/>
      <c r="T241" s="938"/>
      <c r="U241" s="984">
        <f t="shared" ref="U241" si="309">U50+U81+U136+U186+U222</f>
        <v>0</v>
      </c>
      <c r="V241" s="937"/>
      <c r="W241" s="938"/>
      <c r="X241" s="984">
        <f t="shared" ref="X241" si="310">X50+X81+X136+X186+X222</f>
        <v>0</v>
      </c>
      <c r="Y241" s="937"/>
      <c r="Z241" s="938"/>
      <c r="AA241" s="984">
        <f t="shared" ref="AA241" si="311">AA50+AA81+AA136+AA186+AA222</f>
        <v>0</v>
      </c>
      <c r="AB241" s="937"/>
      <c r="AC241" s="938"/>
      <c r="AD241" s="984">
        <f t="shared" ref="AD241" si="312">AD50+AD81+AD136+AD186+AD222</f>
        <v>136658.87</v>
      </c>
      <c r="AE241" s="937"/>
      <c r="AF241" s="938"/>
      <c r="AG241" s="984">
        <f t="shared" ref="AG241" si="313">AG50+AG81+AG136+AG186+AG222</f>
        <v>2798.59</v>
      </c>
      <c r="AH241" s="937"/>
      <c r="AI241" s="938"/>
      <c r="AJ241" s="984">
        <f t="shared" ref="AJ241" si="314">AJ50+AJ81+AJ136+AJ186+AJ222</f>
        <v>0</v>
      </c>
      <c r="AK241" s="937"/>
      <c r="AL241" s="938"/>
      <c r="AM241" s="984">
        <f t="shared" ref="AM241" si="315">AM50+AM81+AM136+AM186+AM222</f>
        <v>0</v>
      </c>
      <c r="AN241" s="938"/>
      <c r="AO241" s="984">
        <f t="shared" ref="AO241" si="316">AO50+AO81+AO136+AO186+AO222</f>
        <v>37890.46</v>
      </c>
      <c r="AP241" s="938"/>
      <c r="AQ241" s="984">
        <f t="shared" ref="AQ241:AR241" si="317">AQ50+AQ81+AQ136+AQ186+AQ222</f>
        <v>0</v>
      </c>
      <c r="AR241" s="984">
        <f t="shared" si="317"/>
        <v>1215356.72</v>
      </c>
      <c r="AS241" s="936"/>
      <c r="AT241" s="984">
        <f t="shared" ref="AT241:AW241" si="318">AT50+AT81+AT136+AT186+AT222</f>
        <v>14584280.640000001</v>
      </c>
      <c r="AU241" s="984">
        <f t="shared" si="318"/>
        <v>0</v>
      </c>
      <c r="AV241" s="984">
        <f t="shared" si="318"/>
        <v>145842.79999999999</v>
      </c>
      <c r="AW241" s="984">
        <f t="shared" si="318"/>
        <v>14730123.439999999</v>
      </c>
      <c r="AX241" s="939"/>
      <c r="AY241" s="939"/>
      <c r="AZ241" s="941"/>
      <c r="BA241" s="941"/>
      <c r="BB241" s="941"/>
      <c r="BC241" s="934"/>
      <c r="BD241" s="941"/>
      <c r="BE241" s="941"/>
      <c r="BF241" s="941"/>
      <c r="BG241" s="942"/>
      <c r="BH241" s="941"/>
      <c r="BI241" s="941"/>
      <c r="BJ241" s="941"/>
      <c r="BK241" s="943"/>
      <c r="BL241" s="943"/>
      <c r="BM241" s="943"/>
      <c r="BN241" s="943"/>
      <c r="BO241" s="943"/>
      <c r="BP241" s="944"/>
      <c r="BQ241" s="943"/>
      <c r="BR241" s="943"/>
      <c r="BS241" s="943"/>
      <c r="BU241" s="945"/>
      <c r="BV241" s="946"/>
      <c r="BW241" s="947"/>
      <c r="BX241" s="945"/>
      <c r="BY241" s="947"/>
      <c r="BZ241" s="946"/>
      <c r="CA241" s="947"/>
      <c r="CB241" s="946"/>
      <c r="CC241" s="947"/>
      <c r="CD241" s="947"/>
      <c r="CE241" s="947"/>
      <c r="CF241" s="948"/>
      <c r="CG241" s="949"/>
      <c r="CH241" s="949"/>
      <c r="CI241" s="950"/>
      <c r="CJ241" s="951"/>
      <c r="CK241" s="951"/>
      <c r="CL241" s="952"/>
      <c r="CM241" s="951"/>
      <c r="CN241" s="951"/>
      <c r="CO241" s="952"/>
      <c r="CP241" s="951"/>
      <c r="CQ241" s="951"/>
      <c r="CR241" s="952"/>
      <c r="CS241" s="946"/>
      <c r="CT241" s="953"/>
      <c r="CU241" s="953"/>
      <c r="CV241" s="953"/>
      <c r="CX241" s="951"/>
      <c r="CY241" s="951"/>
      <c r="CZ241" s="952"/>
      <c r="DB241" s="954"/>
      <c r="DC241" s="954"/>
      <c r="DD241" s="921"/>
      <c r="DE241" s="954"/>
      <c r="DF241" s="954"/>
      <c r="DG241" s="921"/>
      <c r="DH241" s="954"/>
      <c r="DI241" s="954"/>
      <c r="DJ241" s="921"/>
      <c r="DK241" s="954"/>
      <c r="DL241" s="954"/>
      <c r="DM241" s="921"/>
      <c r="DN241" s="954"/>
      <c r="DO241" s="954"/>
      <c r="DP241" s="921"/>
      <c r="DQ241" s="942"/>
      <c r="DR241" s="951"/>
      <c r="DS241" s="951"/>
      <c r="DT241" s="952"/>
      <c r="DV241" s="921"/>
      <c r="DW241" s="921"/>
      <c r="DX241" s="921"/>
      <c r="DY241" s="921"/>
      <c r="DZ241" s="921"/>
      <c r="EA241" s="921"/>
      <c r="EB241" s="921"/>
      <c r="EC241" s="921"/>
      <c r="ED241" s="921"/>
      <c r="EE241" s="921"/>
      <c r="EF241" s="921"/>
      <c r="EG241" s="921"/>
      <c r="EH241" s="921"/>
      <c r="EI241" s="921"/>
      <c r="EJ241" s="921"/>
      <c r="EK241" s="921"/>
      <c r="EL241" s="921"/>
      <c r="EM241" s="921"/>
      <c r="EN241" s="921"/>
      <c r="EO241" s="921"/>
      <c r="EP241" s="921"/>
      <c r="EQ241" s="954"/>
      <c r="ER241" s="954"/>
      <c r="ES241" s="954"/>
      <c r="ET241" s="954"/>
      <c r="EV241" s="942"/>
      <c r="EW241" s="951"/>
      <c r="EX241" s="951"/>
      <c r="EY241" s="952"/>
    </row>
    <row r="242" spans="1:155" s="927" customFormat="1" ht="15.75" x14ac:dyDescent="0.25">
      <c r="A242" s="931"/>
      <c r="B242" s="932" t="s">
        <v>404</v>
      </c>
      <c r="C242" s="981">
        <f t="shared" si="305"/>
        <v>119.25</v>
      </c>
      <c r="D242" s="938"/>
      <c r="E242" s="983"/>
      <c r="F242" s="936"/>
      <c r="G242" s="983"/>
      <c r="H242" s="984">
        <f t="shared" si="291"/>
        <v>1010592</v>
      </c>
      <c r="I242" s="984">
        <f t="shared" si="291"/>
        <v>1248786.5</v>
      </c>
      <c r="J242" s="937"/>
      <c r="K242" s="938"/>
      <c r="L242" s="984">
        <f t="shared" ref="L242" si="319">L51+L82+L137+L187+L223</f>
        <v>0</v>
      </c>
      <c r="M242" s="937"/>
      <c r="N242" s="938"/>
      <c r="O242" s="984">
        <f t="shared" ref="O242" si="320">O51+O82+O137+O187+O223</f>
        <v>7184.88</v>
      </c>
      <c r="P242" s="937"/>
      <c r="Q242" s="938"/>
      <c r="R242" s="984">
        <f t="shared" ref="R242" si="321">R51+R82+R137+R187+R223</f>
        <v>13979.8</v>
      </c>
      <c r="S242" s="937"/>
      <c r="T242" s="938"/>
      <c r="U242" s="984">
        <f t="shared" ref="U242" si="322">U51+U82+U137+U187+U223</f>
        <v>71106.92</v>
      </c>
      <c r="V242" s="937"/>
      <c r="W242" s="938"/>
      <c r="X242" s="984">
        <f t="shared" ref="X242" si="323">X51+X82+X137+X187+X223</f>
        <v>0</v>
      </c>
      <c r="Y242" s="937"/>
      <c r="Z242" s="938"/>
      <c r="AA242" s="984">
        <f t="shared" ref="AA242" si="324">AA51+AA82+AA137+AA187+AA223</f>
        <v>526197.55000000005</v>
      </c>
      <c r="AB242" s="937"/>
      <c r="AC242" s="938"/>
      <c r="AD242" s="984">
        <f t="shared" ref="AD242" si="325">AD51+AD82+AD137+AD187+AD223</f>
        <v>200618.03</v>
      </c>
      <c r="AE242" s="937"/>
      <c r="AF242" s="938"/>
      <c r="AG242" s="984">
        <f t="shared" ref="AG242" si="326">AG51+AG82+AG137+AG187+AG223</f>
        <v>8641.6</v>
      </c>
      <c r="AH242" s="937"/>
      <c r="AI242" s="938"/>
      <c r="AJ242" s="984">
        <f t="shared" ref="AJ242" si="327">AJ51+AJ82+AJ137+AJ187+AJ223</f>
        <v>0</v>
      </c>
      <c r="AK242" s="937"/>
      <c r="AL242" s="938"/>
      <c r="AM242" s="984">
        <f t="shared" ref="AM242" si="328">AM51+AM82+AM137+AM187+AM223</f>
        <v>0</v>
      </c>
      <c r="AN242" s="938"/>
      <c r="AO242" s="984">
        <f t="shared" ref="AO242" si="329">AO51+AO82+AO137+AO187+AO223</f>
        <v>790284.29</v>
      </c>
      <c r="AP242" s="938"/>
      <c r="AQ242" s="984">
        <f t="shared" ref="AQ242:AR242" si="330">AQ51+AQ82+AQ137+AQ187+AQ223</f>
        <v>4241.16</v>
      </c>
      <c r="AR242" s="984">
        <f t="shared" si="330"/>
        <v>2871040.73</v>
      </c>
      <c r="AS242" s="936"/>
      <c r="AT242" s="984">
        <f t="shared" ref="AT242:AW242" si="331">AT51+AT82+AT137+AT187+AT223</f>
        <v>34452488.759999998</v>
      </c>
      <c r="AU242" s="984">
        <f t="shared" si="331"/>
        <v>809026.42</v>
      </c>
      <c r="AV242" s="984">
        <f t="shared" si="331"/>
        <v>344524.89</v>
      </c>
      <c r="AW242" s="984">
        <f t="shared" si="331"/>
        <v>35606040.07</v>
      </c>
      <c r="AX242" s="939"/>
      <c r="AY242" s="939"/>
      <c r="AZ242" s="941"/>
      <c r="BA242" s="941"/>
      <c r="BB242" s="941"/>
      <c r="BC242" s="934"/>
      <c r="BD242" s="941"/>
      <c r="BE242" s="941"/>
      <c r="BF242" s="941"/>
      <c r="BG242" s="942"/>
      <c r="BH242" s="941"/>
      <c r="BI242" s="941"/>
      <c r="BJ242" s="941"/>
      <c r="BK242" s="943"/>
      <c r="BL242" s="943"/>
      <c r="BM242" s="943"/>
      <c r="BN242" s="943"/>
      <c r="BO242" s="943"/>
      <c r="BP242" s="944"/>
      <c r="BQ242" s="943"/>
      <c r="BR242" s="943"/>
      <c r="BS242" s="943"/>
      <c r="BU242" s="945"/>
      <c r="BV242" s="946"/>
      <c r="BW242" s="947"/>
      <c r="BX242" s="945"/>
      <c r="BY242" s="947"/>
      <c r="BZ242" s="946"/>
      <c r="CA242" s="947"/>
      <c r="CB242" s="946"/>
      <c r="CC242" s="947"/>
      <c r="CD242" s="947"/>
      <c r="CE242" s="947"/>
      <c r="CF242" s="948"/>
      <c r="CG242" s="949"/>
      <c r="CH242" s="949"/>
      <c r="CI242" s="950"/>
      <c r="CJ242" s="951"/>
      <c r="CK242" s="951"/>
      <c r="CL242" s="952"/>
      <c r="CM242" s="951"/>
      <c r="CN242" s="951"/>
      <c r="CO242" s="952"/>
      <c r="CP242" s="951"/>
      <c r="CQ242" s="951"/>
      <c r="CR242" s="952"/>
      <c r="CS242" s="946"/>
      <c r="CT242" s="953"/>
      <c r="CU242" s="953"/>
      <c r="CV242" s="953"/>
      <c r="CX242" s="951"/>
      <c r="CY242" s="951"/>
      <c r="CZ242" s="952"/>
      <c r="DB242" s="954"/>
      <c r="DC242" s="954"/>
      <c r="DD242" s="921"/>
      <c r="DE242" s="954"/>
      <c r="DF242" s="954"/>
      <c r="DG242" s="921"/>
      <c r="DH242" s="954"/>
      <c r="DI242" s="954"/>
      <c r="DJ242" s="921"/>
      <c r="DK242" s="954"/>
      <c r="DL242" s="954"/>
      <c r="DM242" s="921"/>
      <c r="DN242" s="954"/>
      <c r="DO242" s="954"/>
      <c r="DP242" s="921"/>
      <c r="DQ242" s="942"/>
      <c r="DR242" s="951"/>
      <c r="DS242" s="951"/>
      <c r="DT242" s="952"/>
      <c r="DV242" s="921"/>
      <c r="DW242" s="921"/>
      <c r="DX242" s="921"/>
      <c r="DY242" s="921"/>
      <c r="DZ242" s="921"/>
      <c r="EA242" s="921"/>
      <c r="EB242" s="921"/>
      <c r="EC242" s="921"/>
      <c r="ED242" s="921"/>
      <c r="EE242" s="921"/>
      <c r="EF242" s="921"/>
      <c r="EG242" s="921"/>
      <c r="EH242" s="921"/>
      <c r="EI242" s="921"/>
      <c r="EJ242" s="921"/>
      <c r="EK242" s="921"/>
      <c r="EL242" s="921"/>
      <c r="EM242" s="921"/>
      <c r="EN242" s="921"/>
      <c r="EO242" s="921"/>
      <c r="EP242" s="921"/>
      <c r="EQ242" s="954"/>
      <c r="ER242" s="954"/>
      <c r="ES242" s="954"/>
      <c r="ET242" s="954"/>
      <c r="EV242" s="942"/>
      <c r="EW242" s="951"/>
      <c r="EX242" s="951"/>
      <c r="EY242" s="952"/>
    </row>
    <row r="243" spans="1:155" s="927" customFormat="1" ht="15.75" x14ac:dyDescent="0.25">
      <c r="A243" s="931"/>
      <c r="B243" s="932" t="s">
        <v>405</v>
      </c>
      <c r="C243" s="981">
        <f t="shared" si="305"/>
        <v>67.75</v>
      </c>
      <c r="D243" s="938"/>
      <c r="E243" s="983"/>
      <c r="F243" s="936"/>
      <c r="G243" s="983"/>
      <c r="H243" s="984">
        <f t="shared" si="291"/>
        <v>101337</v>
      </c>
      <c r="I243" s="984">
        <f t="shared" si="291"/>
        <v>329224.5</v>
      </c>
      <c r="J243" s="937"/>
      <c r="K243" s="938"/>
      <c r="L243" s="984">
        <f t="shared" ref="L243" si="332">L52+L83+L138+L188+L224</f>
        <v>0</v>
      </c>
      <c r="M243" s="937"/>
      <c r="N243" s="938"/>
      <c r="O243" s="984">
        <f t="shared" ref="O243" si="333">O52+O83+O138+O188+O224</f>
        <v>0</v>
      </c>
      <c r="P243" s="937"/>
      <c r="Q243" s="938"/>
      <c r="R243" s="984">
        <f t="shared" ref="R243" si="334">R52+R83+R138+R188+R224</f>
        <v>0</v>
      </c>
      <c r="S243" s="937"/>
      <c r="T243" s="938"/>
      <c r="U243" s="984">
        <f t="shared" ref="U243" si="335">U52+U83+U138+U188+U224</f>
        <v>32368.59</v>
      </c>
      <c r="V243" s="937"/>
      <c r="W243" s="938"/>
      <c r="X243" s="984">
        <f t="shared" ref="X243" si="336">X52+X83+X138+X188+X224</f>
        <v>0</v>
      </c>
      <c r="Y243" s="937"/>
      <c r="Z243" s="938"/>
      <c r="AA243" s="984">
        <f t="shared" ref="AA243" si="337">AA52+AA83+AA138+AA188+AA224</f>
        <v>0</v>
      </c>
      <c r="AB243" s="937"/>
      <c r="AC243" s="938"/>
      <c r="AD243" s="984">
        <f t="shared" ref="AD243" si="338">AD52+AD83+AD138+AD188+AD224</f>
        <v>0</v>
      </c>
      <c r="AE243" s="937"/>
      <c r="AF243" s="938"/>
      <c r="AG243" s="984">
        <f t="shared" ref="AG243" si="339">AG52+AG83+AG138+AG188+AG224</f>
        <v>0</v>
      </c>
      <c r="AH243" s="937"/>
      <c r="AI243" s="938"/>
      <c r="AJ243" s="984">
        <f t="shared" ref="AJ243" si="340">AJ52+AJ83+AJ138+AJ188+AJ224</f>
        <v>0</v>
      </c>
      <c r="AK243" s="937"/>
      <c r="AL243" s="938"/>
      <c r="AM243" s="984">
        <f t="shared" ref="AM243" si="341">AM52+AM83+AM138+AM188+AM224</f>
        <v>0</v>
      </c>
      <c r="AN243" s="938"/>
      <c r="AO243" s="984">
        <f t="shared" ref="AO243" si="342">AO52+AO83+AO138+AO188+AO224</f>
        <v>942052.41</v>
      </c>
      <c r="AP243" s="938"/>
      <c r="AQ243" s="984">
        <f t="shared" ref="AQ243:AR243" si="343">AQ52+AQ83+AQ138+AQ188+AQ224</f>
        <v>45592.47</v>
      </c>
      <c r="AR243" s="984">
        <f t="shared" si="343"/>
        <v>1349237.97</v>
      </c>
      <c r="AS243" s="936"/>
      <c r="AT243" s="984">
        <f t="shared" ref="AT243:AW243" si="344">AT52+AT83+AT138+AT188+AT224</f>
        <v>16190855.640000001</v>
      </c>
      <c r="AU243" s="984">
        <f t="shared" si="344"/>
        <v>929712.12</v>
      </c>
      <c r="AV243" s="984">
        <f t="shared" si="344"/>
        <v>161908.54999999999</v>
      </c>
      <c r="AW243" s="984">
        <f t="shared" si="344"/>
        <v>17282476.309999999</v>
      </c>
      <c r="AX243" s="939"/>
      <c r="AY243" s="939"/>
      <c r="AZ243" s="941"/>
      <c r="BA243" s="941"/>
      <c r="BB243" s="941"/>
      <c r="BC243" s="934"/>
      <c r="BD243" s="941"/>
      <c r="BE243" s="941"/>
      <c r="BF243" s="941"/>
      <c r="BG243" s="942"/>
      <c r="BH243" s="941"/>
      <c r="BI243" s="941"/>
      <c r="BJ243" s="941"/>
      <c r="BK243" s="943"/>
      <c r="BL243" s="943"/>
      <c r="BM243" s="943"/>
      <c r="BN243" s="943"/>
      <c r="BO243" s="943"/>
      <c r="BP243" s="944"/>
      <c r="BQ243" s="943"/>
      <c r="BR243" s="943"/>
      <c r="BS243" s="943"/>
      <c r="BU243" s="945"/>
      <c r="BV243" s="946"/>
      <c r="BW243" s="947"/>
      <c r="BX243" s="945"/>
      <c r="BY243" s="947"/>
      <c r="BZ243" s="946"/>
      <c r="CA243" s="947"/>
      <c r="CB243" s="946"/>
      <c r="CC243" s="947"/>
      <c r="CD243" s="947"/>
      <c r="CE243" s="947"/>
      <c r="CF243" s="948"/>
      <c r="CG243" s="949"/>
      <c r="CH243" s="949"/>
      <c r="CI243" s="950"/>
      <c r="CJ243" s="951"/>
      <c r="CK243" s="951"/>
      <c r="CL243" s="952"/>
      <c r="CM243" s="951"/>
      <c r="CN243" s="951"/>
      <c r="CO243" s="952"/>
      <c r="CP243" s="951"/>
      <c r="CQ243" s="951"/>
      <c r="CR243" s="952"/>
      <c r="CS243" s="946"/>
      <c r="CT243" s="953"/>
      <c r="CU243" s="953"/>
      <c r="CV243" s="953"/>
      <c r="CX243" s="951"/>
      <c r="CY243" s="951"/>
      <c r="CZ243" s="952"/>
      <c r="DB243" s="954"/>
      <c r="DC243" s="954"/>
      <c r="DD243" s="921"/>
      <c r="DE243" s="954"/>
      <c r="DF243" s="954"/>
      <c r="DG243" s="921"/>
      <c r="DH243" s="954"/>
      <c r="DI243" s="954"/>
      <c r="DJ243" s="921"/>
      <c r="DK243" s="954"/>
      <c r="DL243" s="954"/>
      <c r="DM243" s="921"/>
      <c r="DN243" s="954"/>
      <c r="DO243" s="954"/>
      <c r="DP243" s="921"/>
      <c r="DQ243" s="942"/>
      <c r="DR243" s="951"/>
      <c r="DS243" s="951"/>
      <c r="DT243" s="952"/>
      <c r="DV243" s="921"/>
      <c r="DW243" s="921"/>
      <c r="DX243" s="921"/>
      <c r="DY243" s="921"/>
      <c r="DZ243" s="921"/>
      <c r="EA243" s="921"/>
      <c r="EB243" s="921"/>
      <c r="EC243" s="921"/>
      <c r="ED243" s="921"/>
      <c r="EE243" s="921"/>
      <c r="EF243" s="921"/>
      <c r="EG243" s="921"/>
      <c r="EH243" s="921"/>
      <c r="EI243" s="921"/>
      <c r="EJ243" s="921"/>
      <c r="EK243" s="921"/>
      <c r="EL243" s="921"/>
      <c r="EM243" s="921"/>
      <c r="EN243" s="921"/>
      <c r="EO243" s="921"/>
      <c r="EP243" s="921"/>
      <c r="EQ243" s="954"/>
      <c r="ER243" s="954"/>
      <c r="ES243" s="954"/>
      <c r="ET243" s="954"/>
      <c r="EV243" s="942"/>
      <c r="EW243" s="951"/>
      <c r="EX243" s="951"/>
      <c r="EY243" s="952"/>
    </row>
    <row r="244" spans="1:155" s="927" customFormat="1" ht="15.75" x14ac:dyDescent="0.25">
      <c r="A244" s="931"/>
      <c r="B244" s="932"/>
      <c r="C244" s="982">
        <f>C239-C240-C241-C242-C243</f>
        <v>0</v>
      </c>
      <c r="D244" s="938"/>
      <c r="E244" s="983"/>
      <c r="F244" s="936"/>
      <c r="G244" s="983"/>
      <c r="H244" s="985">
        <f>H239-H240-H241-H242-H243</f>
        <v>0</v>
      </c>
      <c r="I244" s="985">
        <f>I239-I240-I241-I242-I243</f>
        <v>0</v>
      </c>
      <c r="J244" s="937"/>
      <c r="K244" s="938"/>
      <c r="L244" s="985">
        <f>L239-L240-L241-L242-L243</f>
        <v>0</v>
      </c>
      <c r="M244" s="937"/>
      <c r="N244" s="938"/>
      <c r="O244" s="985">
        <f>O239-O240-O241-O242-O243</f>
        <v>0</v>
      </c>
      <c r="P244" s="937"/>
      <c r="Q244" s="938"/>
      <c r="R244" s="985">
        <f>R239-R240-R241-R242-R243</f>
        <v>0</v>
      </c>
      <c r="S244" s="937"/>
      <c r="T244" s="938"/>
      <c r="U244" s="985">
        <f>U239-U240-U241-U242-U243</f>
        <v>0</v>
      </c>
      <c r="V244" s="937"/>
      <c r="W244" s="938"/>
      <c r="X244" s="985">
        <f>X239-X240-X241-X242-X243</f>
        <v>0</v>
      </c>
      <c r="Y244" s="937"/>
      <c r="Z244" s="938"/>
      <c r="AA244" s="985">
        <f>AA239-AA240-AA241-AA242-AA243</f>
        <v>0</v>
      </c>
      <c r="AB244" s="937"/>
      <c r="AC244" s="938"/>
      <c r="AD244" s="985">
        <f>AD239-AD240-AD241-AD242-AD243</f>
        <v>0</v>
      </c>
      <c r="AE244" s="937"/>
      <c r="AF244" s="938"/>
      <c r="AG244" s="985">
        <f>AG239-AG240-AG241-AG242-AG243</f>
        <v>0</v>
      </c>
      <c r="AH244" s="937"/>
      <c r="AI244" s="938"/>
      <c r="AJ244" s="985">
        <f>AJ239-AJ240-AJ241-AJ242-AJ243</f>
        <v>0</v>
      </c>
      <c r="AK244" s="937"/>
      <c r="AL244" s="938"/>
      <c r="AM244" s="985">
        <f>AM239-AM240-AM241-AM242-AM243</f>
        <v>0</v>
      </c>
      <c r="AN244" s="938"/>
      <c r="AO244" s="985">
        <f>AO239-AO240-AO241-AO242-AO243</f>
        <v>0</v>
      </c>
      <c r="AP244" s="938"/>
      <c r="AQ244" s="985">
        <f>AQ239-AQ240-AQ241-AQ242-AQ243</f>
        <v>0</v>
      </c>
      <c r="AR244" s="985">
        <f>AR239-AR240-AR241-AR242-AR243</f>
        <v>0</v>
      </c>
      <c r="AS244" s="936"/>
      <c r="AT244" s="985">
        <f t="shared" ref="AT244" si="345">AT239-AT240-AT241-AT242-AT243</f>
        <v>0</v>
      </c>
      <c r="AU244" s="985">
        <f t="shared" ref="AU244" si="346">AU239-AU240-AU241-AU242-AU243</f>
        <v>0</v>
      </c>
      <c r="AV244" s="985">
        <f t="shared" ref="AV244" si="347">AV239-AV240-AV241-AV242-AV243</f>
        <v>0</v>
      </c>
      <c r="AW244" s="985">
        <f t="shared" ref="AW244" si="348">AW239-AW240-AW241-AW242-AW243</f>
        <v>0</v>
      </c>
      <c r="AX244" s="939"/>
      <c r="AY244" s="939"/>
      <c r="AZ244" s="941"/>
      <c r="BA244" s="941"/>
      <c r="BB244" s="941"/>
      <c r="BC244" s="934"/>
      <c r="BD244" s="941"/>
      <c r="BE244" s="941"/>
      <c r="BF244" s="941"/>
      <c r="BG244" s="942"/>
      <c r="BH244" s="941"/>
      <c r="BI244" s="941"/>
      <c r="BJ244" s="941"/>
      <c r="BK244" s="943"/>
      <c r="BL244" s="943"/>
      <c r="BM244" s="943"/>
      <c r="BN244" s="943"/>
      <c r="BO244" s="943"/>
      <c r="BP244" s="944"/>
      <c r="BQ244" s="943"/>
      <c r="BR244" s="943"/>
      <c r="BS244" s="943"/>
      <c r="BU244" s="945"/>
      <c r="BV244" s="946"/>
      <c r="BW244" s="947"/>
      <c r="BX244" s="945"/>
      <c r="BY244" s="947"/>
      <c r="BZ244" s="946"/>
      <c r="CA244" s="947"/>
      <c r="CB244" s="946"/>
      <c r="CC244" s="947"/>
      <c r="CD244" s="947"/>
      <c r="CE244" s="947"/>
      <c r="CF244" s="948"/>
      <c r="CG244" s="949"/>
      <c r="CH244" s="949"/>
      <c r="CI244" s="950"/>
      <c r="CJ244" s="951"/>
      <c r="CK244" s="951"/>
      <c r="CL244" s="952"/>
      <c r="CM244" s="951"/>
      <c r="CN244" s="951"/>
      <c r="CO244" s="952"/>
      <c r="CP244" s="951"/>
      <c r="CQ244" s="951"/>
      <c r="CR244" s="952"/>
      <c r="CS244" s="946"/>
      <c r="CT244" s="953"/>
      <c r="CU244" s="953"/>
      <c r="CV244" s="953"/>
      <c r="CX244" s="951"/>
      <c r="CY244" s="951"/>
      <c r="CZ244" s="952"/>
      <c r="DB244" s="954"/>
      <c r="DC244" s="954"/>
      <c r="DD244" s="921"/>
      <c r="DE244" s="954"/>
      <c r="DF244" s="954"/>
      <c r="DG244" s="921"/>
      <c r="DH244" s="954"/>
      <c r="DI244" s="954"/>
      <c r="DJ244" s="921"/>
      <c r="DK244" s="954"/>
      <c r="DL244" s="954"/>
      <c r="DM244" s="921"/>
      <c r="DN244" s="954"/>
      <c r="DO244" s="954"/>
      <c r="DP244" s="921"/>
      <c r="DQ244" s="942"/>
      <c r="DR244" s="951"/>
      <c r="DS244" s="951"/>
      <c r="DT244" s="952"/>
      <c r="DV244" s="921"/>
      <c r="DW244" s="921"/>
      <c r="DX244" s="921"/>
      <c r="DY244" s="921"/>
      <c r="DZ244" s="921"/>
      <c r="EA244" s="921"/>
      <c r="EB244" s="921"/>
      <c r="EC244" s="921"/>
      <c r="ED244" s="921"/>
      <c r="EE244" s="921"/>
      <c r="EF244" s="921"/>
      <c r="EG244" s="921"/>
      <c r="EH244" s="921"/>
      <c r="EI244" s="921"/>
      <c r="EJ244" s="921"/>
      <c r="EK244" s="921"/>
      <c r="EL244" s="921"/>
      <c r="EM244" s="921"/>
      <c r="EN244" s="921"/>
      <c r="EO244" s="921"/>
      <c r="EP244" s="921"/>
      <c r="EQ244" s="954"/>
      <c r="ER244" s="954"/>
      <c r="ES244" s="954"/>
      <c r="ET244" s="954"/>
      <c r="EV244" s="942"/>
      <c r="EW244" s="951"/>
      <c r="EX244" s="951"/>
      <c r="EY244" s="952"/>
    </row>
    <row r="245" spans="1:155" s="927" customFormat="1" ht="15.75" x14ac:dyDescent="0.25">
      <c r="A245" s="931"/>
      <c r="B245" s="932" t="s">
        <v>806</v>
      </c>
      <c r="C245" s="933"/>
      <c r="D245" s="933"/>
      <c r="E245" s="934"/>
      <c r="F245" s="935"/>
      <c r="G245" s="934"/>
      <c r="H245" s="935"/>
      <c r="I245" s="936"/>
      <c r="J245" s="937"/>
      <c r="K245" s="938"/>
      <c r="L245" s="936"/>
      <c r="M245" s="937"/>
      <c r="N245" s="938"/>
      <c r="O245" s="936"/>
      <c r="P245" s="937"/>
      <c r="Q245" s="938"/>
      <c r="R245" s="936"/>
      <c r="S245" s="937"/>
      <c r="T245" s="938"/>
      <c r="U245" s="936"/>
      <c r="V245" s="937"/>
      <c r="W245" s="938"/>
      <c r="X245" s="936"/>
      <c r="Y245" s="937"/>
      <c r="Z245" s="938"/>
      <c r="AA245" s="936"/>
      <c r="AB245" s="937"/>
      <c r="AC245" s="938"/>
      <c r="AD245" s="936"/>
      <c r="AE245" s="937"/>
      <c r="AF245" s="938"/>
      <c r="AG245" s="936"/>
      <c r="AH245" s="937"/>
      <c r="AI245" s="938"/>
      <c r="AJ245" s="936"/>
      <c r="AK245" s="937"/>
      <c r="AL245" s="938"/>
      <c r="AM245" s="936"/>
      <c r="AN245" s="933"/>
      <c r="AO245" s="936"/>
      <c r="AP245" s="933"/>
      <c r="AQ245" s="935"/>
      <c r="AR245" s="936"/>
      <c r="AS245" s="935"/>
      <c r="AT245" s="939"/>
      <c r="AU245" s="933"/>
      <c r="AV245" s="940"/>
      <c r="AW245" s="389">
        <f>AW239/12-AO239</f>
        <v>7486322.0599999996</v>
      </c>
      <c r="AX245" s="939"/>
      <c r="AY245" s="939"/>
      <c r="AZ245" s="941"/>
      <c r="BA245" s="941"/>
      <c r="BB245" s="941"/>
      <c r="BC245" s="934"/>
      <c r="BD245" s="941"/>
      <c r="BE245" s="941"/>
      <c r="BF245" s="941"/>
      <c r="BG245" s="942"/>
      <c r="BH245" s="941"/>
      <c r="BI245" s="941"/>
      <c r="BJ245" s="941"/>
      <c r="BK245" s="943"/>
      <c r="BL245" s="943"/>
      <c r="BM245" s="943"/>
      <c r="BN245" s="943"/>
      <c r="BO245" s="943"/>
      <c r="BP245" s="944"/>
      <c r="BQ245" s="943"/>
      <c r="BR245" s="943"/>
      <c r="BS245" s="943"/>
      <c r="BU245" s="945"/>
      <c r="BV245" s="946"/>
      <c r="BW245" s="947"/>
      <c r="BX245" s="945"/>
      <c r="BY245" s="947"/>
      <c r="BZ245" s="946"/>
      <c r="CA245" s="947"/>
      <c r="CB245" s="946"/>
      <c r="CC245" s="947"/>
      <c r="CD245" s="947"/>
      <c r="CE245" s="947"/>
      <c r="CF245" s="948"/>
      <c r="CG245" s="949"/>
      <c r="CH245" s="949"/>
      <c r="CI245" s="950"/>
      <c r="CJ245" s="951"/>
      <c r="CK245" s="951"/>
      <c r="CL245" s="952"/>
      <c r="CM245" s="951"/>
      <c r="CN245" s="951"/>
      <c r="CO245" s="952"/>
      <c r="CP245" s="951"/>
      <c r="CQ245" s="951"/>
      <c r="CR245" s="952"/>
      <c r="CS245" s="946"/>
      <c r="CT245" s="953"/>
      <c r="CU245" s="953"/>
      <c r="CV245" s="953"/>
      <c r="CX245" s="951"/>
      <c r="CY245" s="951"/>
      <c r="CZ245" s="952"/>
      <c r="DB245" s="954"/>
      <c r="DC245" s="954"/>
      <c r="DD245" s="921"/>
      <c r="DE245" s="954"/>
      <c r="DF245" s="954"/>
      <c r="DG245" s="921"/>
      <c r="DH245" s="954"/>
      <c r="DI245" s="954"/>
      <c r="DJ245" s="921"/>
      <c r="DK245" s="954"/>
      <c r="DL245" s="954"/>
      <c r="DM245" s="921"/>
      <c r="DN245" s="954"/>
      <c r="DO245" s="954"/>
      <c r="DP245" s="921"/>
      <c r="DQ245" s="942"/>
      <c r="DR245" s="951"/>
      <c r="DS245" s="951"/>
      <c r="DT245" s="952"/>
      <c r="DV245" s="921"/>
      <c r="DW245" s="921"/>
      <c r="DX245" s="921"/>
      <c r="DY245" s="921"/>
      <c r="DZ245" s="921"/>
      <c r="EA245" s="921"/>
      <c r="EB245" s="921"/>
      <c r="EC245" s="921"/>
      <c r="ED245" s="921"/>
      <c r="EE245" s="921"/>
      <c r="EF245" s="921"/>
      <c r="EG245" s="921"/>
      <c r="EH245" s="921"/>
      <c r="EI245" s="921"/>
      <c r="EJ245" s="921"/>
      <c r="EK245" s="921"/>
      <c r="EL245" s="921"/>
      <c r="EM245" s="921"/>
      <c r="EN245" s="921"/>
      <c r="EO245" s="921"/>
      <c r="EP245" s="921"/>
      <c r="EQ245" s="954"/>
      <c r="ER245" s="954"/>
      <c r="ES245" s="954"/>
      <c r="ET245" s="954"/>
      <c r="EV245" s="942"/>
      <c r="EW245" s="951"/>
      <c r="EX245" s="951"/>
      <c r="EY245" s="952"/>
    </row>
    <row r="246" spans="1:155" s="927" customFormat="1" ht="15.75" x14ac:dyDescent="0.25">
      <c r="A246" s="931"/>
      <c r="B246" s="932" t="s">
        <v>406</v>
      </c>
      <c r="C246" s="933"/>
      <c r="D246" s="933"/>
      <c r="E246" s="934"/>
      <c r="F246" s="935"/>
      <c r="G246" s="934"/>
      <c r="H246" s="935"/>
      <c r="I246" s="936"/>
      <c r="J246" s="937"/>
      <c r="K246" s="938"/>
      <c r="L246" s="936"/>
      <c r="M246" s="937"/>
      <c r="N246" s="938"/>
      <c r="O246" s="936"/>
      <c r="P246" s="937"/>
      <c r="Q246" s="938"/>
      <c r="R246" s="936"/>
      <c r="S246" s="937"/>
      <c r="T246" s="938"/>
      <c r="U246" s="936"/>
      <c r="V246" s="937"/>
      <c r="W246" s="938"/>
      <c r="X246" s="936"/>
      <c r="Y246" s="937"/>
      <c r="Z246" s="938"/>
      <c r="AA246" s="936"/>
      <c r="AB246" s="937"/>
      <c r="AC246" s="938"/>
      <c r="AD246" s="936"/>
      <c r="AE246" s="937"/>
      <c r="AF246" s="938"/>
      <c r="AG246" s="936"/>
      <c r="AH246" s="937"/>
      <c r="AI246" s="938"/>
      <c r="AJ246" s="936"/>
      <c r="AK246" s="937"/>
      <c r="AL246" s="938"/>
      <c r="AM246" s="936"/>
      <c r="AN246" s="933"/>
      <c r="AO246" s="936"/>
      <c r="AP246" s="933"/>
      <c r="AQ246" s="935"/>
      <c r="AR246" s="936"/>
      <c r="AS246" s="935"/>
      <c r="AT246" s="939"/>
      <c r="AU246" s="933"/>
      <c r="AV246" s="940"/>
      <c r="AW246" s="389">
        <f>AW240/12-AO240</f>
        <v>3621662.57</v>
      </c>
      <c r="AX246" s="939"/>
      <c r="AY246" s="939"/>
      <c r="AZ246" s="941"/>
      <c r="BA246" s="941"/>
      <c r="BB246" s="941"/>
      <c r="BC246" s="934"/>
      <c r="BD246" s="941"/>
      <c r="BE246" s="941"/>
      <c r="BF246" s="941"/>
      <c r="BG246" s="942"/>
      <c r="BH246" s="941"/>
      <c r="BI246" s="941"/>
      <c r="BJ246" s="941"/>
      <c r="BK246" s="943"/>
      <c r="BL246" s="943"/>
      <c r="BM246" s="943"/>
      <c r="BN246" s="943"/>
      <c r="BO246" s="943"/>
      <c r="BP246" s="944"/>
      <c r="BQ246" s="943"/>
      <c r="BR246" s="943"/>
      <c r="BS246" s="943"/>
      <c r="BU246" s="945"/>
      <c r="BV246" s="946"/>
      <c r="BW246" s="947"/>
      <c r="BX246" s="945"/>
      <c r="BY246" s="947"/>
      <c r="BZ246" s="946"/>
      <c r="CA246" s="947"/>
      <c r="CB246" s="946"/>
      <c r="CC246" s="947"/>
      <c r="CD246" s="947"/>
      <c r="CE246" s="947"/>
      <c r="CF246" s="948"/>
      <c r="CG246" s="949"/>
      <c r="CH246" s="949"/>
      <c r="CI246" s="950"/>
      <c r="CJ246" s="951"/>
      <c r="CK246" s="951"/>
      <c r="CL246" s="952"/>
      <c r="CM246" s="951"/>
      <c r="CN246" s="951"/>
      <c r="CO246" s="952"/>
      <c r="CP246" s="951"/>
      <c r="CQ246" s="951"/>
      <c r="CR246" s="952"/>
      <c r="CS246" s="946"/>
      <c r="CT246" s="953"/>
      <c r="CU246" s="953"/>
      <c r="CV246" s="953"/>
      <c r="CX246" s="951"/>
      <c r="CY246" s="951"/>
      <c r="CZ246" s="952"/>
      <c r="DB246" s="954"/>
      <c r="DC246" s="954"/>
      <c r="DD246" s="921"/>
      <c r="DE246" s="954"/>
      <c r="DF246" s="954"/>
      <c r="DG246" s="921"/>
      <c r="DH246" s="954"/>
      <c r="DI246" s="954"/>
      <c r="DJ246" s="921"/>
      <c r="DK246" s="954"/>
      <c r="DL246" s="954"/>
      <c r="DM246" s="921"/>
      <c r="DN246" s="954"/>
      <c r="DO246" s="954"/>
      <c r="DP246" s="921"/>
      <c r="DQ246" s="942"/>
      <c r="DR246" s="951"/>
      <c r="DS246" s="951"/>
      <c r="DT246" s="952"/>
      <c r="DV246" s="921"/>
      <c r="DW246" s="921"/>
      <c r="DX246" s="921"/>
      <c r="DY246" s="921"/>
      <c r="DZ246" s="921"/>
      <c r="EA246" s="921"/>
      <c r="EB246" s="921"/>
      <c r="EC246" s="921"/>
      <c r="ED246" s="921"/>
      <c r="EE246" s="921"/>
      <c r="EF246" s="921"/>
      <c r="EG246" s="921"/>
      <c r="EH246" s="921"/>
      <c r="EI246" s="921"/>
      <c r="EJ246" s="921"/>
      <c r="EK246" s="921"/>
      <c r="EL246" s="921"/>
      <c r="EM246" s="921"/>
      <c r="EN246" s="921"/>
      <c r="EO246" s="921"/>
      <c r="EP246" s="921"/>
      <c r="EQ246" s="954"/>
      <c r="ER246" s="954"/>
      <c r="ES246" s="954"/>
      <c r="ET246" s="954"/>
      <c r="EV246" s="942"/>
      <c r="EW246" s="951"/>
      <c r="EX246" s="951"/>
      <c r="EY246" s="952"/>
    </row>
    <row r="247" spans="1:155" s="927" customFormat="1" ht="15.75" x14ac:dyDescent="0.25">
      <c r="A247" s="931"/>
      <c r="B247" s="932" t="s">
        <v>403</v>
      </c>
      <c r="C247" s="933"/>
      <c r="D247" s="933"/>
      <c r="E247" s="934"/>
      <c r="F247" s="935"/>
      <c r="G247" s="934"/>
      <c r="H247" s="935"/>
      <c r="I247" s="936"/>
      <c r="J247" s="937"/>
      <c r="K247" s="938"/>
      <c r="L247" s="936"/>
      <c r="M247" s="937"/>
      <c r="N247" s="938"/>
      <c r="O247" s="936"/>
      <c r="P247" s="937"/>
      <c r="Q247" s="938"/>
      <c r="R247" s="936"/>
      <c r="S247" s="937"/>
      <c r="T247" s="938"/>
      <c r="U247" s="936"/>
      <c r="V247" s="937"/>
      <c r="W247" s="938"/>
      <c r="X247" s="936"/>
      <c r="Y247" s="937"/>
      <c r="Z247" s="938"/>
      <c r="AA247" s="936"/>
      <c r="AB247" s="937"/>
      <c r="AC247" s="938"/>
      <c r="AD247" s="936"/>
      <c r="AE247" s="937"/>
      <c r="AF247" s="938"/>
      <c r="AG247" s="936"/>
      <c r="AH247" s="937"/>
      <c r="AI247" s="938"/>
      <c r="AJ247" s="936"/>
      <c r="AK247" s="937"/>
      <c r="AL247" s="938"/>
      <c r="AM247" s="936"/>
      <c r="AN247" s="933"/>
      <c r="AO247" s="936"/>
      <c r="AP247" s="933"/>
      <c r="AQ247" s="935"/>
      <c r="AR247" s="936"/>
      <c r="AS247" s="935"/>
      <c r="AT247" s="939"/>
      <c r="AU247" s="933"/>
      <c r="AV247" s="940"/>
      <c r="AW247" s="389">
        <f>AW241/12-AO241</f>
        <v>1189619.83</v>
      </c>
      <c r="AX247" s="939"/>
      <c r="AY247" s="939"/>
      <c r="AZ247" s="941"/>
      <c r="BA247" s="941"/>
      <c r="BB247" s="941"/>
      <c r="BC247" s="934"/>
      <c r="BD247" s="941"/>
      <c r="BE247" s="941"/>
      <c r="BF247" s="941"/>
      <c r="BG247" s="942"/>
      <c r="BH247" s="941"/>
      <c r="BI247" s="941"/>
      <c r="BJ247" s="941"/>
      <c r="BK247" s="943"/>
      <c r="BL247" s="943"/>
      <c r="BM247" s="943"/>
      <c r="BN247" s="943"/>
      <c r="BO247" s="943"/>
      <c r="BP247" s="944"/>
      <c r="BQ247" s="943"/>
      <c r="BR247" s="943"/>
      <c r="BS247" s="943"/>
      <c r="BU247" s="945"/>
      <c r="BV247" s="946"/>
      <c r="BW247" s="947"/>
      <c r="BX247" s="945"/>
      <c r="BY247" s="947"/>
      <c r="BZ247" s="946"/>
      <c r="CA247" s="947"/>
      <c r="CB247" s="946"/>
      <c r="CC247" s="947"/>
      <c r="CD247" s="947"/>
      <c r="CE247" s="947"/>
      <c r="CF247" s="948"/>
      <c r="CG247" s="949"/>
      <c r="CH247" s="949"/>
      <c r="CI247" s="950"/>
      <c r="CJ247" s="951"/>
      <c r="CK247" s="951"/>
      <c r="CL247" s="952"/>
      <c r="CM247" s="951"/>
      <c r="CN247" s="951"/>
      <c r="CO247" s="952"/>
      <c r="CP247" s="951"/>
      <c r="CQ247" s="951"/>
      <c r="CR247" s="952"/>
      <c r="CS247" s="946"/>
      <c r="CT247" s="953"/>
      <c r="CU247" s="953"/>
      <c r="CV247" s="953"/>
      <c r="CX247" s="951"/>
      <c r="CY247" s="951"/>
      <c r="CZ247" s="952"/>
      <c r="DB247" s="954"/>
      <c r="DC247" s="954"/>
      <c r="DD247" s="921"/>
      <c r="DE247" s="954"/>
      <c r="DF247" s="954"/>
      <c r="DG247" s="921"/>
      <c r="DH247" s="954"/>
      <c r="DI247" s="954"/>
      <c r="DJ247" s="921"/>
      <c r="DK247" s="954"/>
      <c r="DL247" s="954"/>
      <c r="DM247" s="921"/>
      <c r="DN247" s="954"/>
      <c r="DO247" s="954"/>
      <c r="DP247" s="921"/>
      <c r="DQ247" s="942"/>
      <c r="DR247" s="951"/>
      <c r="DS247" s="951"/>
      <c r="DT247" s="952"/>
      <c r="DV247" s="921"/>
      <c r="DW247" s="921"/>
      <c r="DX247" s="921"/>
      <c r="DY247" s="921"/>
      <c r="DZ247" s="921"/>
      <c r="EA247" s="921"/>
      <c r="EB247" s="921"/>
      <c r="EC247" s="921"/>
      <c r="ED247" s="921"/>
      <c r="EE247" s="921"/>
      <c r="EF247" s="921"/>
      <c r="EG247" s="921"/>
      <c r="EH247" s="921"/>
      <c r="EI247" s="921"/>
      <c r="EJ247" s="921"/>
      <c r="EK247" s="921"/>
      <c r="EL247" s="921"/>
      <c r="EM247" s="921"/>
      <c r="EN247" s="921"/>
      <c r="EO247" s="921"/>
      <c r="EP247" s="921"/>
      <c r="EQ247" s="954"/>
      <c r="ER247" s="954"/>
      <c r="ES247" s="954"/>
      <c r="ET247" s="954"/>
      <c r="EV247" s="942"/>
      <c r="EW247" s="951"/>
      <c r="EX247" s="951"/>
      <c r="EY247" s="952"/>
    </row>
    <row r="248" spans="1:155" s="927" customFormat="1" ht="15.75" x14ac:dyDescent="0.25">
      <c r="A248" s="931"/>
      <c r="B248" s="932" t="s">
        <v>404</v>
      </c>
      <c r="C248" s="933"/>
      <c r="D248" s="933"/>
      <c r="E248" s="934"/>
      <c r="F248" s="935"/>
      <c r="G248" s="934"/>
      <c r="H248" s="935"/>
      <c r="I248" s="936"/>
      <c r="J248" s="937"/>
      <c r="K248" s="938"/>
      <c r="L248" s="936"/>
      <c r="M248" s="937"/>
      <c r="N248" s="938"/>
      <c r="O248" s="936"/>
      <c r="P248" s="937"/>
      <c r="Q248" s="938"/>
      <c r="R248" s="936"/>
      <c r="S248" s="937"/>
      <c r="T248" s="938"/>
      <c r="U248" s="936"/>
      <c r="V248" s="937"/>
      <c r="W248" s="938"/>
      <c r="X248" s="936"/>
      <c r="Y248" s="937"/>
      <c r="Z248" s="938"/>
      <c r="AA248" s="936"/>
      <c r="AB248" s="937"/>
      <c r="AC248" s="938"/>
      <c r="AD248" s="936"/>
      <c r="AE248" s="937"/>
      <c r="AF248" s="938"/>
      <c r="AG248" s="936"/>
      <c r="AH248" s="937"/>
      <c r="AI248" s="938"/>
      <c r="AJ248" s="936"/>
      <c r="AK248" s="937"/>
      <c r="AL248" s="938"/>
      <c r="AM248" s="936"/>
      <c r="AN248" s="933"/>
      <c r="AO248" s="936"/>
      <c r="AP248" s="933"/>
      <c r="AQ248" s="935"/>
      <c r="AR248" s="936"/>
      <c r="AS248" s="935"/>
      <c r="AT248" s="939"/>
      <c r="AU248" s="933"/>
      <c r="AV248" s="940"/>
      <c r="AW248" s="389">
        <f>AW242/12-AO242</f>
        <v>2176885.7200000002</v>
      </c>
      <c r="AX248" s="939"/>
      <c r="AY248" s="939"/>
      <c r="AZ248" s="941"/>
      <c r="BA248" s="941"/>
      <c r="BB248" s="941"/>
      <c r="BC248" s="934"/>
      <c r="BD248" s="941"/>
      <c r="BE248" s="941"/>
      <c r="BF248" s="941"/>
      <c r="BG248" s="942"/>
      <c r="BH248" s="941"/>
      <c r="BI248" s="941"/>
      <c r="BJ248" s="941"/>
      <c r="BK248" s="943"/>
      <c r="BL248" s="943"/>
      <c r="BM248" s="943"/>
      <c r="BN248" s="943"/>
      <c r="BO248" s="943"/>
      <c r="BP248" s="944"/>
      <c r="BQ248" s="943"/>
      <c r="BR248" s="943"/>
      <c r="BS248" s="943"/>
      <c r="BU248" s="945"/>
      <c r="BV248" s="946"/>
      <c r="BW248" s="947"/>
      <c r="BX248" s="945"/>
      <c r="BY248" s="947"/>
      <c r="BZ248" s="946"/>
      <c r="CA248" s="947"/>
      <c r="CB248" s="946"/>
      <c r="CC248" s="947"/>
      <c r="CD248" s="947"/>
      <c r="CE248" s="947"/>
      <c r="CF248" s="948"/>
      <c r="CG248" s="949"/>
      <c r="CH248" s="949"/>
      <c r="CI248" s="950"/>
      <c r="CJ248" s="951"/>
      <c r="CK248" s="951"/>
      <c r="CL248" s="952"/>
      <c r="CM248" s="951"/>
      <c r="CN248" s="951"/>
      <c r="CO248" s="952"/>
      <c r="CP248" s="951"/>
      <c r="CQ248" s="951"/>
      <c r="CR248" s="952"/>
      <c r="CS248" s="946"/>
      <c r="CT248" s="953"/>
      <c r="CU248" s="953"/>
      <c r="CV248" s="953"/>
      <c r="CX248" s="951"/>
      <c r="CY248" s="951"/>
      <c r="CZ248" s="952"/>
      <c r="DB248" s="954"/>
      <c r="DC248" s="954"/>
      <c r="DD248" s="921"/>
      <c r="DE248" s="954"/>
      <c r="DF248" s="954"/>
      <c r="DG248" s="921"/>
      <c r="DH248" s="954"/>
      <c r="DI248" s="954"/>
      <c r="DJ248" s="921"/>
      <c r="DK248" s="954"/>
      <c r="DL248" s="954"/>
      <c r="DM248" s="921"/>
      <c r="DN248" s="954"/>
      <c r="DO248" s="954"/>
      <c r="DP248" s="921"/>
      <c r="DQ248" s="942"/>
      <c r="DR248" s="951"/>
      <c r="DS248" s="951"/>
      <c r="DT248" s="952"/>
      <c r="DV248" s="921"/>
      <c r="DW248" s="921"/>
      <c r="DX248" s="921"/>
      <c r="DY248" s="921"/>
      <c r="DZ248" s="921"/>
      <c r="EA248" s="921"/>
      <c r="EB248" s="921"/>
      <c r="EC248" s="921"/>
      <c r="ED248" s="921"/>
      <c r="EE248" s="921"/>
      <c r="EF248" s="921"/>
      <c r="EG248" s="921"/>
      <c r="EH248" s="921"/>
      <c r="EI248" s="921"/>
      <c r="EJ248" s="921"/>
      <c r="EK248" s="921"/>
      <c r="EL248" s="921"/>
      <c r="EM248" s="921"/>
      <c r="EN248" s="921"/>
      <c r="EO248" s="921"/>
      <c r="EP248" s="921"/>
      <c r="EQ248" s="954"/>
      <c r="ER248" s="954"/>
      <c r="ES248" s="954"/>
      <c r="ET248" s="954"/>
      <c r="EV248" s="942"/>
      <c r="EW248" s="951"/>
      <c r="EX248" s="951"/>
      <c r="EY248" s="952"/>
    </row>
    <row r="249" spans="1:155" s="927" customFormat="1" ht="15.75" x14ac:dyDescent="0.25">
      <c r="A249" s="931"/>
      <c r="B249" s="932" t="s">
        <v>405</v>
      </c>
      <c r="C249" s="933"/>
      <c r="D249" s="933"/>
      <c r="E249" s="934"/>
      <c r="F249" s="935"/>
      <c r="G249" s="934"/>
      <c r="H249" s="935"/>
      <c r="I249" s="936"/>
      <c r="J249" s="937"/>
      <c r="K249" s="938"/>
      <c r="L249" s="936"/>
      <c r="M249" s="937"/>
      <c r="N249" s="938"/>
      <c r="O249" s="936"/>
      <c r="P249" s="937"/>
      <c r="Q249" s="938"/>
      <c r="R249" s="936"/>
      <c r="S249" s="937"/>
      <c r="T249" s="938"/>
      <c r="U249" s="936"/>
      <c r="V249" s="937"/>
      <c r="W249" s="938"/>
      <c r="X249" s="936"/>
      <c r="Y249" s="937"/>
      <c r="Z249" s="938"/>
      <c r="AA249" s="936"/>
      <c r="AB249" s="937"/>
      <c r="AC249" s="938"/>
      <c r="AD249" s="936"/>
      <c r="AE249" s="937"/>
      <c r="AF249" s="938"/>
      <c r="AG249" s="936"/>
      <c r="AH249" s="937"/>
      <c r="AI249" s="938"/>
      <c r="AJ249" s="936"/>
      <c r="AK249" s="937"/>
      <c r="AL249" s="938"/>
      <c r="AM249" s="936"/>
      <c r="AN249" s="933"/>
      <c r="AO249" s="936"/>
      <c r="AP249" s="933"/>
      <c r="AQ249" s="935"/>
      <c r="AR249" s="936"/>
      <c r="AS249" s="935"/>
      <c r="AT249" s="939"/>
      <c r="AU249" s="933"/>
      <c r="AV249" s="940"/>
      <c r="AW249" s="389">
        <f>AW243/12-AO243</f>
        <v>498153.95</v>
      </c>
      <c r="AX249" s="939"/>
      <c r="AY249" s="939"/>
      <c r="AZ249" s="941"/>
      <c r="BA249" s="941"/>
      <c r="BB249" s="941"/>
      <c r="BC249" s="934"/>
      <c r="BD249" s="941"/>
      <c r="BE249" s="941"/>
      <c r="BF249" s="941"/>
      <c r="BG249" s="942"/>
      <c r="BH249" s="941"/>
      <c r="BI249" s="941"/>
      <c r="BJ249" s="941"/>
      <c r="BK249" s="943"/>
      <c r="BL249" s="943"/>
      <c r="BM249" s="943"/>
      <c r="BN249" s="943"/>
      <c r="BO249" s="943"/>
      <c r="BP249" s="944"/>
      <c r="BQ249" s="943"/>
      <c r="BR249" s="943"/>
      <c r="BS249" s="943"/>
      <c r="BU249" s="945"/>
      <c r="BV249" s="946"/>
      <c r="BW249" s="947"/>
      <c r="BX249" s="945"/>
      <c r="BY249" s="947"/>
      <c r="BZ249" s="946"/>
      <c r="CA249" s="947"/>
      <c r="CB249" s="946"/>
      <c r="CC249" s="947"/>
      <c r="CD249" s="947"/>
      <c r="CE249" s="947"/>
      <c r="CF249" s="948"/>
      <c r="CG249" s="949"/>
      <c r="CH249" s="949"/>
      <c r="CI249" s="950"/>
      <c r="CJ249" s="951"/>
      <c r="CK249" s="951"/>
      <c r="CL249" s="952"/>
      <c r="CM249" s="951"/>
      <c r="CN249" s="951"/>
      <c r="CO249" s="952"/>
      <c r="CP249" s="951"/>
      <c r="CQ249" s="951"/>
      <c r="CR249" s="952"/>
      <c r="CS249" s="946"/>
      <c r="CT249" s="953"/>
      <c r="CU249" s="953"/>
      <c r="CV249" s="953"/>
      <c r="CX249" s="951"/>
      <c r="CY249" s="951"/>
      <c r="CZ249" s="952"/>
      <c r="DB249" s="954"/>
      <c r="DC249" s="954"/>
      <c r="DD249" s="921"/>
      <c r="DE249" s="954"/>
      <c r="DF249" s="954"/>
      <c r="DG249" s="921"/>
      <c r="DH249" s="954"/>
      <c r="DI249" s="954"/>
      <c r="DJ249" s="921"/>
      <c r="DK249" s="954"/>
      <c r="DL249" s="954"/>
      <c r="DM249" s="921"/>
      <c r="DN249" s="954"/>
      <c r="DO249" s="954"/>
      <c r="DP249" s="921"/>
      <c r="DQ249" s="942"/>
      <c r="DR249" s="951"/>
      <c r="DS249" s="951"/>
      <c r="DT249" s="952"/>
      <c r="DV249" s="921"/>
      <c r="DW249" s="921"/>
      <c r="DX249" s="921"/>
      <c r="DY249" s="921"/>
      <c r="DZ249" s="921"/>
      <c r="EA249" s="921"/>
      <c r="EB249" s="921"/>
      <c r="EC249" s="921"/>
      <c r="ED249" s="921"/>
      <c r="EE249" s="921"/>
      <c r="EF249" s="921"/>
      <c r="EG249" s="921"/>
      <c r="EH249" s="921"/>
      <c r="EI249" s="921"/>
      <c r="EJ249" s="921"/>
      <c r="EK249" s="921"/>
      <c r="EL249" s="921"/>
      <c r="EM249" s="921"/>
      <c r="EN249" s="921"/>
      <c r="EO249" s="921"/>
      <c r="EP249" s="921"/>
      <c r="EQ249" s="954"/>
      <c r="ER249" s="954"/>
      <c r="ES249" s="954"/>
      <c r="ET249" s="954"/>
      <c r="EV249" s="942"/>
      <c r="EW249" s="951"/>
      <c r="EX249" s="951"/>
      <c r="EY249" s="952"/>
    </row>
    <row r="250" spans="1:155" s="927" customFormat="1" ht="15.75" x14ac:dyDescent="0.25">
      <c r="A250" s="931"/>
      <c r="B250" s="932" t="s">
        <v>499</v>
      </c>
      <c r="C250" s="933"/>
      <c r="D250" s="933"/>
      <c r="E250" s="934"/>
      <c r="F250" s="935"/>
      <c r="G250" s="934"/>
      <c r="H250" s="935"/>
      <c r="I250" s="936"/>
      <c r="J250" s="937"/>
      <c r="K250" s="938"/>
      <c r="L250" s="936"/>
      <c r="M250" s="937"/>
      <c r="N250" s="938"/>
      <c r="O250" s="936"/>
      <c r="P250" s="937"/>
      <c r="Q250" s="938"/>
      <c r="R250" s="936"/>
      <c r="S250" s="937"/>
      <c r="T250" s="938"/>
      <c r="U250" s="936"/>
      <c r="V250" s="937"/>
      <c r="W250" s="938"/>
      <c r="X250" s="936"/>
      <c r="Y250" s="937"/>
      <c r="Z250" s="938"/>
      <c r="AA250" s="936"/>
      <c r="AB250" s="937"/>
      <c r="AC250" s="938"/>
      <c r="AD250" s="936"/>
      <c r="AE250" s="937"/>
      <c r="AF250" s="938"/>
      <c r="AG250" s="936"/>
      <c r="AH250" s="937"/>
      <c r="AI250" s="938"/>
      <c r="AJ250" s="936"/>
      <c r="AK250" s="937"/>
      <c r="AL250" s="938"/>
      <c r="AM250" s="936"/>
      <c r="AN250" s="933"/>
      <c r="AO250" s="936"/>
      <c r="AP250" s="933"/>
      <c r="AQ250" s="935"/>
      <c r="AR250" s="936"/>
      <c r="AS250" s="935"/>
      <c r="AT250" s="939"/>
      <c r="AU250" s="933"/>
      <c r="AV250" s="940"/>
      <c r="AW250" s="986"/>
      <c r="AX250" s="939"/>
      <c r="AY250" s="939"/>
      <c r="AZ250" s="941"/>
      <c r="BA250" s="941"/>
      <c r="BB250" s="941"/>
      <c r="BC250" s="934"/>
      <c r="BD250" s="941"/>
      <c r="BE250" s="941"/>
      <c r="BF250" s="941"/>
      <c r="BG250" s="942"/>
      <c r="BH250" s="941"/>
      <c r="BI250" s="941"/>
      <c r="BJ250" s="941"/>
      <c r="BK250" s="943"/>
      <c r="BL250" s="943"/>
      <c r="BM250" s="943"/>
      <c r="BN250" s="943"/>
      <c r="BO250" s="943"/>
      <c r="BP250" s="944"/>
      <c r="BQ250" s="943"/>
      <c r="BR250" s="943"/>
      <c r="BS250" s="943"/>
      <c r="BU250" s="945"/>
      <c r="BV250" s="946"/>
      <c r="BW250" s="947"/>
      <c r="BX250" s="945"/>
      <c r="BY250" s="947"/>
      <c r="BZ250" s="946"/>
      <c r="CA250" s="947"/>
      <c r="CB250" s="946"/>
      <c r="CC250" s="947"/>
      <c r="CD250" s="947"/>
      <c r="CE250" s="947"/>
      <c r="CF250" s="948"/>
      <c r="CG250" s="949"/>
      <c r="CH250" s="949"/>
      <c r="CI250" s="950"/>
      <c r="CJ250" s="951"/>
      <c r="CK250" s="951"/>
      <c r="CL250" s="952"/>
      <c r="CM250" s="951"/>
      <c r="CN250" s="951"/>
      <c r="CO250" s="952"/>
      <c r="CP250" s="951"/>
      <c r="CQ250" s="951"/>
      <c r="CR250" s="952"/>
      <c r="CS250" s="946"/>
      <c r="CT250" s="953"/>
      <c r="CU250" s="953"/>
      <c r="CV250" s="953"/>
      <c r="CX250" s="951"/>
      <c r="CY250" s="951"/>
      <c r="CZ250" s="952"/>
      <c r="DB250" s="954"/>
      <c r="DC250" s="954"/>
      <c r="DD250" s="921"/>
      <c r="DE250" s="954"/>
      <c r="DF250" s="954"/>
      <c r="DG250" s="921"/>
      <c r="DH250" s="954"/>
      <c r="DI250" s="954"/>
      <c r="DJ250" s="921"/>
      <c r="DK250" s="954"/>
      <c r="DL250" s="954"/>
      <c r="DM250" s="921"/>
      <c r="DN250" s="954"/>
      <c r="DO250" s="954"/>
      <c r="DP250" s="921"/>
      <c r="DQ250" s="942"/>
      <c r="DR250" s="951"/>
      <c r="DS250" s="951"/>
      <c r="DT250" s="952"/>
      <c r="DV250" s="921"/>
      <c r="DW250" s="921"/>
      <c r="DX250" s="921"/>
      <c r="DY250" s="921"/>
      <c r="DZ250" s="921"/>
      <c r="EA250" s="921"/>
      <c r="EB250" s="921"/>
      <c r="EC250" s="921"/>
      <c r="ED250" s="921"/>
      <c r="EE250" s="921"/>
      <c r="EF250" s="921"/>
      <c r="EG250" s="921"/>
      <c r="EH250" s="921"/>
      <c r="EI250" s="921"/>
      <c r="EJ250" s="921"/>
      <c r="EK250" s="921"/>
      <c r="EL250" s="921"/>
      <c r="EM250" s="921"/>
      <c r="EN250" s="921"/>
      <c r="EO250" s="921"/>
      <c r="EP250" s="921"/>
      <c r="EQ250" s="954"/>
      <c r="ER250" s="954"/>
      <c r="ES250" s="954"/>
      <c r="ET250" s="954"/>
      <c r="EV250" s="942"/>
      <c r="EW250" s="951"/>
      <c r="EX250" s="951"/>
      <c r="EY250" s="952"/>
    </row>
    <row r="251" spans="1:155" s="927" customFormat="1" ht="15.75" x14ac:dyDescent="0.25">
      <c r="A251" s="931"/>
      <c r="B251" s="932" t="s">
        <v>406</v>
      </c>
      <c r="C251" s="933"/>
      <c r="D251" s="933"/>
      <c r="E251" s="934"/>
      <c r="F251" s="935"/>
      <c r="G251" s="934"/>
      <c r="H251" s="935"/>
      <c r="I251" s="936"/>
      <c r="J251" s="937"/>
      <c r="K251" s="938"/>
      <c r="L251" s="936"/>
      <c r="M251" s="937"/>
      <c r="N251" s="938"/>
      <c r="O251" s="936"/>
      <c r="P251" s="937"/>
      <c r="Q251" s="938"/>
      <c r="R251" s="936"/>
      <c r="S251" s="937"/>
      <c r="T251" s="938"/>
      <c r="U251" s="936"/>
      <c r="V251" s="937"/>
      <c r="W251" s="938"/>
      <c r="X251" s="936"/>
      <c r="Y251" s="937"/>
      <c r="Z251" s="938"/>
      <c r="AA251" s="936"/>
      <c r="AB251" s="937"/>
      <c r="AC251" s="938"/>
      <c r="AD251" s="936"/>
      <c r="AE251" s="937"/>
      <c r="AF251" s="938"/>
      <c r="AG251" s="936"/>
      <c r="AH251" s="937"/>
      <c r="AI251" s="938"/>
      <c r="AJ251" s="936"/>
      <c r="AK251" s="937"/>
      <c r="AL251" s="938"/>
      <c r="AM251" s="936"/>
      <c r="AN251" s="933"/>
      <c r="AO251" s="936"/>
      <c r="AP251" s="933"/>
      <c r="AQ251" s="935"/>
      <c r="AR251" s="936"/>
      <c r="AS251" s="935"/>
      <c r="AT251" s="939"/>
      <c r="AU251" s="933"/>
      <c r="AV251" s="940"/>
      <c r="AW251" s="336">
        <f>AW246/I240</f>
        <v>1.4093599999999999</v>
      </c>
      <c r="AX251" s="939"/>
      <c r="AY251" s="939"/>
      <c r="AZ251" s="941"/>
      <c r="BA251" s="941"/>
      <c r="BB251" s="941"/>
      <c r="BC251" s="934"/>
      <c r="BD251" s="941"/>
      <c r="BE251" s="941"/>
      <c r="BF251" s="941"/>
      <c r="BG251" s="942"/>
      <c r="BH251" s="941"/>
      <c r="BI251" s="941"/>
      <c r="BJ251" s="941"/>
      <c r="BK251" s="943"/>
      <c r="BL251" s="943"/>
      <c r="BM251" s="943"/>
      <c r="BN251" s="943"/>
      <c r="BO251" s="943"/>
      <c r="BP251" s="944"/>
      <c r="BQ251" s="943"/>
      <c r="BR251" s="943"/>
      <c r="BS251" s="943"/>
      <c r="BU251" s="945"/>
      <c r="BV251" s="946"/>
      <c r="BW251" s="947"/>
      <c r="BX251" s="945"/>
      <c r="BY251" s="947"/>
      <c r="BZ251" s="946"/>
      <c r="CA251" s="947"/>
      <c r="CB251" s="946"/>
      <c r="CC251" s="947"/>
      <c r="CD251" s="947"/>
      <c r="CE251" s="947"/>
      <c r="CF251" s="948"/>
      <c r="CG251" s="949"/>
      <c r="CH251" s="949"/>
      <c r="CI251" s="950"/>
      <c r="CJ251" s="951"/>
      <c r="CK251" s="951"/>
      <c r="CL251" s="952"/>
      <c r="CM251" s="951"/>
      <c r="CN251" s="951"/>
      <c r="CO251" s="952"/>
      <c r="CP251" s="951"/>
      <c r="CQ251" s="951"/>
      <c r="CR251" s="952"/>
      <c r="CS251" s="946"/>
      <c r="CT251" s="953"/>
      <c r="CU251" s="953"/>
      <c r="CV251" s="953"/>
      <c r="CX251" s="951"/>
      <c r="CY251" s="951"/>
      <c r="CZ251" s="952"/>
      <c r="DB251" s="954"/>
      <c r="DC251" s="954"/>
      <c r="DD251" s="921"/>
      <c r="DE251" s="954"/>
      <c r="DF251" s="954"/>
      <c r="DG251" s="921"/>
      <c r="DH251" s="954"/>
      <c r="DI251" s="954"/>
      <c r="DJ251" s="921"/>
      <c r="DK251" s="954"/>
      <c r="DL251" s="954"/>
      <c r="DM251" s="921"/>
      <c r="DN251" s="954"/>
      <c r="DO251" s="954"/>
      <c r="DP251" s="921"/>
      <c r="DQ251" s="942"/>
      <c r="DR251" s="951"/>
      <c r="DS251" s="951"/>
      <c r="DT251" s="952"/>
      <c r="DV251" s="921"/>
      <c r="DW251" s="921"/>
      <c r="DX251" s="921"/>
      <c r="DY251" s="921"/>
      <c r="DZ251" s="921"/>
      <c r="EA251" s="921"/>
      <c r="EB251" s="921"/>
      <c r="EC251" s="921"/>
      <c r="ED251" s="921"/>
      <c r="EE251" s="921"/>
      <c r="EF251" s="921"/>
      <c r="EG251" s="921"/>
      <c r="EH251" s="921"/>
      <c r="EI251" s="921"/>
      <c r="EJ251" s="921"/>
      <c r="EK251" s="921"/>
      <c r="EL251" s="921"/>
      <c r="EM251" s="921"/>
      <c r="EN251" s="921"/>
      <c r="EO251" s="921"/>
      <c r="EP251" s="921"/>
      <c r="EQ251" s="954"/>
      <c r="ER251" s="954"/>
      <c r="ES251" s="954"/>
      <c r="ET251" s="954"/>
      <c r="EV251" s="942"/>
      <c r="EW251" s="951"/>
      <c r="EX251" s="951"/>
      <c r="EY251" s="952"/>
    </row>
    <row r="252" spans="1:155" s="927" customFormat="1" ht="15.75" x14ac:dyDescent="0.25">
      <c r="A252" s="931"/>
      <c r="B252" s="932" t="s">
        <v>498</v>
      </c>
      <c r="C252" s="933"/>
      <c r="D252" s="933"/>
      <c r="E252" s="934"/>
      <c r="F252" s="935"/>
      <c r="G252" s="934"/>
      <c r="H252" s="935"/>
      <c r="I252" s="936"/>
      <c r="J252" s="937"/>
      <c r="K252" s="938"/>
      <c r="L252" s="936"/>
      <c r="M252" s="937"/>
      <c r="N252" s="938"/>
      <c r="O252" s="936"/>
      <c r="P252" s="937"/>
      <c r="Q252" s="938"/>
      <c r="R252" s="936"/>
      <c r="S252" s="937"/>
      <c r="T252" s="938"/>
      <c r="U252" s="936"/>
      <c r="V252" s="937"/>
      <c r="W252" s="938"/>
      <c r="X252" s="936"/>
      <c r="Y252" s="937"/>
      <c r="Z252" s="938"/>
      <c r="AA252" s="936"/>
      <c r="AB252" s="937"/>
      <c r="AC252" s="938"/>
      <c r="AD252" s="936"/>
      <c r="AE252" s="937"/>
      <c r="AF252" s="938"/>
      <c r="AG252" s="936"/>
      <c r="AH252" s="937"/>
      <c r="AI252" s="938"/>
      <c r="AJ252" s="936"/>
      <c r="AK252" s="937"/>
      <c r="AL252" s="938"/>
      <c r="AM252" s="936"/>
      <c r="AN252" s="933"/>
      <c r="AO252" s="936"/>
      <c r="AP252" s="933"/>
      <c r="AQ252" s="935"/>
      <c r="AR252" s="936"/>
      <c r="AS252" s="935"/>
      <c r="AT252" s="939"/>
      <c r="AU252" s="933"/>
      <c r="AV252" s="940"/>
      <c r="AW252" s="986"/>
      <c r="AX252" s="939"/>
      <c r="AY252" s="939"/>
      <c r="AZ252" s="941"/>
      <c r="BA252" s="941"/>
      <c r="BB252" s="941"/>
      <c r="BC252" s="934"/>
      <c r="BD252" s="941"/>
      <c r="BE252" s="941"/>
      <c r="BF252" s="941"/>
      <c r="BG252" s="942"/>
      <c r="BH252" s="941"/>
      <c r="BI252" s="941"/>
      <c r="BJ252" s="941"/>
      <c r="BK252" s="943"/>
      <c r="BL252" s="943"/>
      <c r="BM252" s="943"/>
      <c r="BN252" s="943"/>
      <c r="BO252" s="943"/>
      <c r="BP252" s="944"/>
      <c r="BQ252" s="943"/>
      <c r="BR252" s="943"/>
      <c r="BS252" s="943"/>
      <c r="BU252" s="945"/>
      <c r="BV252" s="946"/>
      <c r="BW252" s="947"/>
      <c r="BX252" s="945"/>
      <c r="BY252" s="947"/>
      <c r="BZ252" s="946"/>
      <c r="CA252" s="947"/>
      <c r="CB252" s="946"/>
      <c r="CC252" s="947"/>
      <c r="CD252" s="947"/>
      <c r="CE252" s="947"/>
      <c r="CF252" s="948"/>
      <c r="CG252" s="949"/>
      <c r="CH252" s="949"/>
      <c r="CI252" s="950"/>
      <c r="CJ252" s="951"/>
      <c r="CK252" s="951"/>
      <c r="CL252" s="952"/>
      <c r="CM252" s="951"/>
      <c r="CN252" s="951"/>
      <c r="CO252" s="952"/>
      <c r="CP252" s="951"/>
      <c r="CQ252" s="951"/>
      <c r="CR252" s="952"/>
      <c r="CS252" s="946"/>
      <c r="CT252" s="953"/>
      <c r="CU252" s="953"/>
      <c r="CV252" s="953"/>
      <c r="CX252" s="951"/>
      <c r="CY252" s="951"/>
      <c r="CZ252" s="952"/>
      <c r="DB252" s="954"/>
      <c r="DC252" s="954"/>
      <c r="DD252" s="921"/>
      <c r="DE252" s="954"/>
      <c r="DF252" s="954"/>
      <c r="DG252" s="921"/>
      <c r="DH252" s="954"/>
      <c r="DI252" s="954"/>
      <c r="DJ252" s="921"/>
      <c r="DK252" s="954"/>
      <c r="DL252" s="954"/>
      <c r="DM252" s="921"/>
      <c r="DN252" s="954"/>
      <c r="DO252" s="954"/>
      <c r="DP252" s="921"/>
      <c r="DQ252" s="942"/>
      <c r="DR252" s="951"/>
      <c r="DS252" s="951"/>
      <c r="DT252" s="952"/>
      <c r="DV252" s="921"/>
      <c r="DW252" s="921"/>
      <c r="DX252" s="921"/>
      <c r="DY252" s="921"/>
      <c r="DZ252" s="921"/>
      <c r="EA252" s="921"/>
      <c r="EB252" s="921"/>
      <c r="EC252" s="921"/>
      <c r="ED252" s="921"/>
      <c r="EE252" s="921"/>
      <c r="EF252" s="921"/>
      <c r="EG252" s="921"/>
      <c r="EH252" s="921"/>
      <c r="EI252" s="921"/>
      <c r="EJ252" s="921"/>
      <c r="EK252" s="921"/>
      <c r="EL252" s="921"/>
      <c r="EM252" s="921"/>
      <c r="EN252" s="921"/>
      <c r="EO252" s="921"/>
      <c r="EP252" s="921"/>
      <c r="EQ252" s="954"/>
      <c r="ER252" s="954"/>
      <c r="ES252" s="954"/>
      <c r="ET252" s="954"/>
      <c r="EV252" s="942"/>
      <c r="EW252" s="951"/>
      <c r="EX252" s="951"/>
      <c r="EY252" s="952"/>
    </row>
    <row r="253" spans="1:155" s="927" customFormat="1" ht="15.75" x14ac:dyDescent="0.25">
      <c r="A253" s="931"/>
      <c r="B253" s="932" t="s">
        <v>403</v>
      </c>
      <c r="C253" s="933"/>
      <c r="D253" s="933"/>
      <c r="E253" s="934"/>
      <c r="F253" s="935"/>
      <c r="G253" s="934"/>
      <c r="H253" s="935"/>
      <c r="I253" s="936"/>
      <c r="J253" s="937"/>
      <c r="K253" s="938"/>
      <c r="L253" s="936"/>
      <c r="M253" s="937"/>
      <c r="N253" s="938"/>
      <c r="O253" s="936"/>
      <c r="P253" s="937"/>
      <c r="Q253" s="938"/>
      <c r="R253" s="936"/>
      <c r="S253" s="937"/>
      <c r="T253" s="938"/>
      <c r="U253" s="936"/>
      <c r="V253" s="937"/>
      <c r="W253" s="938"/>
      <c r="X253" s="936"/>
      <c r="Y253" s="937"/>
      <c r="Z253" s="938"/>
      <c r="AA253" s="936"/>
      <c r="AB253" s="937"/>
      <c r="AC253" s="938"/>
      <c r="AD253" s="936"/>
      <c r="AE253" s="937"/>
      <c r="AF253" s="938"/>
      <c r="AG253" s="936"/>
      <c r="AH253" s="937"/>
      <c r="AI253" s="938"/>
      <c r="AJ253" s="936"/>
      <c r="AK253" s="937"/>
      <c r="AL253" s="938"/>
      <c r="AM253" s="936"/>
      <c r="AN253" s="933"/>
      <c r="AO253" s="936"/>
      <c r="AP253" s="933"/>
      <c r="AQ253" s="935"/>
      <c r="AR253" s="936"/>
      <c r="AS253" s="935"/>
      <c r="AT253" s="939"/>
      <c r="AU253" s="933"/>
      <c r="AV253" s="940"/>
      <c r="AW253" s="337">
        <f>AW247/AW246</f>
        <v>0.32846999999999998</v>
      </c>
      <c r="AX253" s="939"/>
      <c r="AY253" s="939"/>
      <c r="AZ253" s="941"/>
      <c r="BA253" s="941"/>
      <c r="BB253" s="941"/>
      <c r="BC253" s="934"/>
      <c r="BD253" s="941"/>
      <c r="BE253" s="941"/>
      <c r="BF253" s="941"/>
      <c r="BG253" s="942"/>
      <c r="BH253" s="941"/>
      <c r="BI253" s="941"/>
      <c r="BJ253" s="941"/>
      <c r="BK253" s="943"/>
      <c r="BL253" s="943"/>
      <c r="BM253" s="943"/>
      <c r="BN253" s="943"/>
      <c r="BO253" s="943"/>
      <c r="BP253" s="944"/>
      <c r="BQ253" s="943"/>
      <c r="BR253" s="943"/>
      <c r="BS253" s="943"/>
      <c r="BU253" s="945"/>
      <c r="BV253" s="946"/>
      <c r="BW253" s="947"/>
      <c r="BX253" s="945"/>
      <c r="BY253" s="947"/>
      <c r="BZ253" s="946"/>
      <c r="CA253" s="947"/>
      <c r="CB253" s="946"/>
      <c r="CC253" s="947"/>
      <c r="CD253" s="947"/>
      <c r="CE253" s="947"/>
      <c r="CF253" s="948"/>
      <c r="CG253" s="949"/>
      <c r="CH253" s="949"/>
      <c r="CI253" s="950"/>
      <c r="CJ253" s="951"/>
      <c r="CK253" s="951"/>
      <c r="CL253" s="952"/>
      <c r="CM253" s="951"/>
      <c r="CN253" s="951"/>
      <c r="CO253" s="952"/>
      <c r="CP253" s="951"/>
      <c r="CQ253" s="951"/>
      <c r="CR253" s="952"/>
      <c r="CS253" s="946"/>
      <c r="CT253" s="953"/>
      <c r="CU253" s="953"/>
      <c r="CV253" s="953"/>
      <c r="CX253" s="951"/>
      <c r="CY253" s="951"/>
      <c r="CZ253" s="952"/>
      <c r="DB253" s="954"/>
      <c r="DC253" s="954"/>
      <c r="DD253" s="921"/>
      <c r="DE253" s="954"/>
      <c r="DF253" s="954"/>
      <c r="DG253" s="921"/>
      <c r="DH253" s="954"/>
      <c r="DI253" s="954"/>
      <c r="DJ253" s="921"/>
      <c r="DK253" s="954"/>
      <c r="DL253" s="954"/>
      <c r="DM253" s="921"/>
      <c r="DN253" s="954"/>
      <c r="DO253" s="954"/>
      <c r="DP253" s="921"/>
      <c r="DQ253" s="942"/>
      <c r="DR253" s="951"/>
      <c r="DS253" s="951"/>
      <c r="DT253" s="952"/>
      <c r="DV253" s="921"/>
      <c r="DW253" s="921"/>
      <c r="DX253" s="921"/>
      <c r="DY253" s="921"/>
      <c r="DZ253" s="921"/>
      <c r="EA253" s="921"/>
      <c r="EB253" s="921"/>
      <c r="EC253" s="921"/>
      <c r="ED253" s="921"/>
      <c r="EE253" s="921"/>
      <c r="EF253" s="921"/>
      <c r="EG253" s="921"/>
      <c r="EH253" s="921"/>
      <c r="EI253" s="921"/>
      <c r="EJ253" s="921"/>
      <c r="EK253" s="921"/>
      <c r="EL253" s="921"/>
      <c r="EM253" s="921"/>
      <c r="EN253" s="921"/>
      <c r="EO253" s="921"/>
      <c r="EP253" s="921"/>
      <c r="EQ253" s="954"/>
      <c r="ER253" s="954"/>
      <c r="ES253" s="954"/>
      <c r="ET253" s="954"/>
      <c r="EV253" s="942"/>
      <c r="EW253" s="951"/>
      <c r="EX253" s="951"/>
      <c r="EY253" s="952"/>
    </row>
    <row r="254" spans="1:155" s="927" customFormat="1" ht="15.75" x14ac:dyDescent="0.25">
      <c r="A254" s="931"/>
      <c r="B254" s="932" t="s">
        <v>404</v>
      </c>
      <c r="C254" s="933"/>
      <c r="D254" s="933"/>
      <c r="E254" s="934"/>
      <c r="F254" s="935"/>
      <c r="G254" s="934"/>
      <c r="H254" s="935"/>
      <c r="I254" s="936"/>
      <c r="J254" s="937"/>
      <c r="K254" s="938"/>
      <c r="L254" s="936"/>
      <c r="M254" s="937"/>
      <c r="N254" s="938"/>
      <c r="O254" s="936"/>
      <c r="P254" s="937"/>
      <c r="Q254" s="938"/>
      <c r="R254" s="936"/>
      <c r="S254" s="937"/>
      <c r="T254" s="938"/>
      <c r="U254" s="936"/>
      <c r="V254" s="937"/>
      <c r="W254" s="938"/>
      <c r="X254" s="936"/>
      <c r="Y254" s="937"/>
      <c r="Z254" s="938"/>
      <c r="AA254" s="936"/>
      <c r="AB254" s="937"/>
      <c r="AC254" s="938"/>
      <c r="AD254" s="936"/>
      <c r="AE254" s="937"/>
      <c r="AF254" s="938"/>
      <c r="AG254" s="936"/>
      <c r="AH254" s="937"/>
      <c r="AI254" s="938"/>
      <c r="AJ254" s="936"/>
      <c r="AK254" s="937"/>
      <c r="AL254" s="938"/>
      <c r="AM254" s="936"/>
      <c r="AN254" s="933"/>
      <c r="AO254" s="936"/>
      <c r="AP254" s="933"/>
      <c r="AQ254" s="935"/>
      <c r="AR254" s="936"/>
      <c r="AS254" s="935"/>
      <c r="AT254" s="939"/>
      <c r="AU254" s="933"/>
      <c r="AV254" s="940"/>
      <c r="AW254" s="338">
        <f>AW248/AW246</f>
        <v>0.60106999999999999</v>
      </c>
      <c r="AX254" s="939"/>
      <c r="AY254" s="939"/>
      <c r="AZ254" s="941"/>
      <c r="BA254" s="941"/>
      <c r="BB254" s="941"/>
      <c r="BC254" s="934"/>
      <c r="BD254" s="941"/>
      <c r="BE254" s="941"/>
      <c r="BF254" s="941"/>
      <c r="BG254" s="942"/>
      <c r="BH254" s="941"/>
      <c r="BI254" s="941"/>
      <c r="BJ254" s="941"/>
      <c r="BK254" s="943"/>
      <c r="BL254" s="943"/>
      <c r="BM254" s="943"/>
      <c r="BN254" s="943"/>
      <c r="BO254" s="943"/>
      <c r="BP254" s="944"/>
      <c r="BQ254" s="943"/>
      <c r="BR254" s="943"/>
      <c r="BS254" s="943"/>
      <c r="BU254" s="945"/>
      <c r="BV254" s="946"/>
      <c r="BW254" s="947"/>
      <c r="BX254" s="945"/>
      <c r="BY254" s="947"/>
      <c r="BZ254" s="946"/>
      <c r="CA254" s="947"/>
      <c r="CB254" s="946"/>
      <c r="CC254" s="947"/>
      <c r="CD254" s="947"/>
      <c r="CE254" s="947"/>
      <c r="CF254" s="948"/>
      <c r="CG254" s="949"/>
      <c r="CH254" s="949"/>
      <c r="CI254" s="950"/>
      <c r="CJ254" s="951"/>
      <c r="CK254" s="951"/>
      <c r="CL254" s="952"/>
      <c r="CM254" s="951"/>
      <c r="CN254" s="951"/>
      <c r="CO254" s="952"/>
      <c r="CP254" s="951"/>
      <c r="CQ254" s="951"/>
      <c r="CR254" s="952"/>
      <c r="CS254" s="946"/>
      <c r="CT254" s="953"/>
      <c r="CU254" s="953"/>
      <c r="CV254" s="953"/>
      <c r="CX254" s="951"/>
      <c r="CY254" s="951"/>
      <c r="CZ254" s="952"/>
      <c r="DB254" s="954"/>
      <c r="DC254" s="954"/>
      <c r="DD254" s="921"/>
      <c r="DE254" s="954"/>
      <c r="DF254" s="954"/>
      <c r="DG254" s="921"/>
      <c r="DH254" s="954"/>
      <c r="DI254" s="954"/>
      <c r="DJ254" s="921"/>
      <c r="DK254" s="954"/>
      <c r="DL254" s="954"/>
      <c r="DM254" s="921"/>
      <c r="DN254" s="954"/>
      <c r="DO254" s="954"/>
      <c r="DP254" s="921"/>
      <c r="DQ254" s="942"/>
      <c r="DR254" s="951"/>
      <c r="DS254" s="951"/>
      <c r="DT254" s="952"/>
      <c r="DV254" s="921"/>
      <c r="DW254" s="921"/>
      <c r="DX254" s="921"/>
      <c r="DY254" s="921"/>
      <c r="DZ254" s="921"/>
      <c r="EA254" s="921"/>
      <c r="EB254" s="921"/>
      <c r="EC254" s="921"/>
      <c r="ED254" s="921"/>
      <c r="EE254" s="921"/>
      <c r="EF254" s="921"/>
      <c r="EG254" s="921"/>
      <c r="EH254" s="921"/>
      <c r="EI254" s="921"/>
      <c r="EJ254" s="921"/>
      <c r="EK254" s="921"/>
      <c r="EL254" s="921"/>
      <c r="EM254" s="921"/>
      <c r="EN254" s="921"/>
      <c r="EO254" s="921"/>
      <c r="EP254" s="921"/>
      <c r="EQ254" s="954"/>
      <c r="ER254" s="954"/>
      <c r="ES254" s="954"/>
      <c r="ET254" s="954"/>
      <c r="EV254" s="942"/>
      <c r="EW254" s="951"/>
      <c r="EX254" s="951"/>
      <c r="EY254" s="952"/>
    </row>
    <row r="255" spans="1:155" s="927" customFormat="1" ht="15.75" x14ac:dyDescent="0.25">
      <c r="A255" s="931"/>
      <c r="B255" s="932" t="s">
        <v>405</v>
      </c>
      <c r="C255" s="933"/>
      <c r="D255" s="933"/>
      <c r="E255" s="934"/>
      <c r="F255" s="935"/>
      <c r="G255" s="934"/>
      <c r="H255" s="935"/>
      <c r="I255" s="936"/>
      <c r="J255" s="937"/>
      <c r="K255" s="938"/>
      <c r="L255" s="936"/>
      <c r="M255" s="937"/>
      <c r="N255" s="938"/>
      <c r="O255" s="936"/>
      <c r="P255" s="937"/>
      <c r="Q255" s="938"/>
      <c r="R255" s="936"/>
      <c r="S255" s="937"/>
      <c r="T255" s="938"/>
      <c r="U255" s="936"/>
      <c r="V255" s="937"/>
      <c r="W255" s="938"/>
      <c r="X255" s="936"/>
      <c r="Y255" s="937"/>
      <c r="Z255" s="938"/>
      <c r="AA255" s="936"/>
      <c r="AB255" s="937"/>
      <c r="AC255" s="938"/>
      <c r="AD255" s="936"/>
      <c r="AE255" s="937"/>
      <c r="AF255" s="938"/>
      <c r="AG255" s="936"/>
      <c r="AH255" s="937"/>
      <c r="AI255" s="938"/>
      <c r="AJ255" s="936"/>
      <c r="AK255" s="937"/>
      <c r="AL255" s="938"/>
      <c r="AM255" s="936"/>
      <c r="AN255" s="933"/>
      <c r="AO255" s="936"/>
      <c r="AP255" s="933"/>
      <c r="AQ255" s="935"/>
      <c r="AR255" s="936"/>
      <c r="AS255" s="935"/>
      <c r="AT255" s="939"/>
      <c r="AU255" s="933"/>
      <c r="AV255" s="940"/>
      <c r="AW255" s="339">
        <f>AW249/AW246</f>
        <v>0.13755000000000001</v>
      </c>
      <c r="AX255" s="939"/>
      <c r="AY255" s="939"/>
      <c r="AZ255" s="941"/>
      <c r="BA255" s="941"/>
      <c r="BB255" s="941"/>
      <c r="BC255" s="934"/>
      <c r="BD255" s="941"/>
      <c r="BE255" s="941"/>
      <c r="BF255" s="941"/>
      <c r="BG255" s="942"/>
      <c r="BH255" s="941"/>
      <c r="BI255" s="941"/>
      <c r="BJ255" s="941"/>
      <c r="BK255" s="943"/>
      <c r="BL255" s="943"/>
      <c r="BM255" s="943"/>
      <c r="BN255" s="943"/>
      <c r="BO255" s="943"/>
      <c r="BP255" s="944"/>
      <c r="BQ255" s="943"/>
      <c r="BR255" s="943"/>
      <c r="BS255" s="943"/>
      <c r="BU255" s="945"/>
      <c r="BV255" s="946"/>
      <c r="BW255" s="947"/>
      <c r="BX255" s="945"/>
      <c r="BY255" s="947"/>
      <c r="BZ255" s="946"/>
      <c r="CA255" s="947"/>
      <c r="CB255" s="946"/>
      <c r="CC255" s="947"/>
      <c r="CD255" s="947"/>
      <c r="CE255" s="947"/>
      <c r="CF255" s="948"/>
      <c r="CG255" s="949"/>
      <c r="CH255" s="949"/>
      <c r="CI255" s="950"/>
      <c r="CJ255" s="951"/>
      <c r="CK255" s="951"/>
      <c r="CL255" s="952"/>
      <c r="CM255" s="951"/>
      <c r="CN255" s="951"/>
      <c r="CO255" s="952"/>
      <c r="CP255" s="951"/>
      <c r="CQ255" s="951"/>
      <c r="CR255" s="952"/>
      <c r="CS255" s="946"/>
      <c r="CT255" s="953"/>
      <c r="CU255" s="953"/>
      <c r="CV255" s="953"/>
      <c r="CX255" s="951"/>
      <c r="CY255" s="951"/>
      <c r="CZ255" s="952"/>
      <c r="DB255" s="954"/>
      <c r="DC255" s="954"/>
      <c r="DD255" s="921"/>
      <c r="DE255" s="954"/>
      <c r="DF255" s="954"/>
      <c r="DG255" s="921"/>
      <c r="DH255" s="954"/>
      <c r="DI255" s="954"/>
      <c r="DJ255" s="921"/>
      <c r="DK255" s="954"/>
      <c r="DL255" s="954"/>
      <c r="DM255" s="921"/>
      <c r="DN255" s="954"/>
      <c r="DO255" s="954"/>
      <c r="DP255" s="921"/>
      <c r="DQ255" s="942"/>
      <c r="DR255" s="951"/>
      <c r="DS255" s="951"/>
      <c r="DT255" s="952"/>
      <c r="DV255" s="921"/>
      <c r="DW255" s="921"/>
      <c r="DX255" s="921"/>
      <c r="DY255" s="921"/>
      <c r="DZ255" s="921"/>
      <c r="EA255" s="921"/>
      <c r="EB255" s="921"/>
      <c r="EC255" s="921"/>
      <c r="ED255" s="921"/>
      <c r="EE255" s="921"/>
      <c r="EF255" s="921"/>
      <c r="EG255" s="921"/>
      <c r="EH255" s="921"/>
      <c r="EI255" s="921"/>
      <c r="EJ255" s="921"/>
      <c r="EK255" s="921"/>
      <c r="EL255" s="921"/>
      <c r="EM255" s="921"/>
      <c r="EN255" s="921"/>
      <c r="EO255" s="921"/>
      <c r="EP255" s="921"/>
      <c r="EQ255" s="954"/>
      <c r="ER255" s="954"/>
      <c r="ES255" s="954"/>
      <c r="ET255" s="954"/>
      <c r="EV255" s="942"/>
      <c r="EW255" s="951"/>
      <c r="EX255" s="951"/>
      <c r="EY255" s="952"/>
    </row>
    <row r="256" spans="1:155" s="927" customFormat="1" ht="15.75" x14ac:dyDescent="0.25">
      <c r="A256" s="931"/>
      <c r="B256" s="932" t="s">
        <v>807</v>
      </c>
      <c r="C256" s="933"/>
      <c r="D256" s="933"/>
      <c r="E256" s="934"/>
      <c r="F256" s="935"/>
      <c r="G256" s="934"/>
      <c r="H256" s="935"/>
      <c r="I256" s="936"/>
      <c r="J256" s="937"/>
      <c r="K256" s="938"/>
      <c r="L256" s="936"/>
      <c r="M256" s="937"/>
      <c r="N256" s="938"/>
      <c r="O256" s="936"/>
      <c r="P256" s="937"/>
      <c r="Q256" s="938"/>
      <c r="R256" s="936"/>
      <c r="S256" s="937"/>
      <c r="T256" s="938"/>
      <c r="U256" s="936"/>
      <c r="V256" s="937"/>
      <c r="W256" s="938"/>
      <c r="X256" s="936"/>
      <c r="Y256" s="937"/>
      <c r="Z256" s="938"/>
      <c r="AA256" s="936"/>
      <c r="AB256" s="937"/>
      <c r="AC256" s="938"/>
      <c r="AD256" s="936"/>
      <c r="AE256" s="937"/>
      <c r="AF256" s="938"/>
      <c r="AG256" s="936"/>
      <c r="AH256" s="937"/>
      <c r="AI256" s="938"/>
      <c r="AJ256" s="936"/>
      <c r="AK256" s="937"/>
      <c r="AL256" s="938"/>
      <c r="AM256" s="936"/>
      <c r="AN256" s="933"/>
      <c r="AO256" s="936"/>
      <c r="AP256" s="933"/>
      <c r="AQ256" s="935"/>
      <c r="AR256" s="936"/>
      <c r="AS256" s="935"/>
      <c r="AT256" s="939"/>
      <c r="AU256" s="933"/>
      <c r="AV256" s="940"/>
      <c r="AW256" s="335">
        <f>(AW239/12)/AW245</f>
        <v>1.2416799999999999</v>
      </c>
      <c r="AX256" s="939"/>
      <c r="AY256" s="939"/>
      <c r="AZ256" s="941"/>
      <c r="BA256" s="941"/>
      <c r="BB256" s="941"/>
      <c r="BC256" s="934"/>
      <c r="BD256" s="941"/>
      <c r="BE256" s="941"/>
      <c r="BF256" s="941"/>
      <c r="BG256" s="942"/>
      <c r="BH256" s="941"/>
      <c r="BI256" s="941"/>
      <c r="BJ256" s="941"/>
      <c r="BK256" s="943"/>
      <c r="BL256" s="943"/>
      <c r="BM256" s="943"/>
      <c r="BN256" s="943"/>
      <c r="BO256" s="943"/>
      <c r="BP256" s="944"/>
      <c r="BQ256" s="943"/>
      <c r="BR256" s="943"/>
      <c r="BS256" s="943"/>
      <c r="BU256" s="945"/>
      <c r="BV256" s="946"/>
      <c r="BW256" s="947"/>
      <c r="BX256" s="945"/>
      <c r="BY256" s="947"/>
      <c r="BZ256" s="946"/>
      <c r="CA256" s="947"/>
      <c r="CB256" s="946"/>
      <c r="CC256" s="947"/>
      <c r="CD256" s="947"/>
      <c r="CE256" s="947"/>
      <c r="CF256" s="948"/>
      <c r="CG256" s="949"/>
      <c r="CH256" s="949"/>
      <c r="CI256" s="950"/>
      <c r="CJ256" s="951"/>
      <c r="CK256" s="951"/>
      <c r="CL256" s="952"/>
      <c r="CM256" s="951"/>
      <c r="CN256" s="951"/>
      <c r="CO256" s="952"/>
      <c r="CP256" s="951"/>
      <c r="CQ256" s="951"/>
      <c r="CR256" s="952"/>
      <c r="CS256" s="946"/>
      <c r="CT256" s="953"/>
      <c r="CU256" s="953"/>
      <c r="CV256" s="953"/>
      <c r="CX256" s="951"/>
      <c r="CY256" s="951"/>
      <c r="CZ256" s="952"/>
      <c r="DB256" s="954"/>
      <c r="DC256" s="954"/>
      <c r="DD256" s="921"/>
      <c r="DE256" s="954"/>
      <c r="DF256" s="954"/>
      <c r="DG256" s="921"/>
      <c r="DH256" s="954"/>
      <c r="DI256" s="954"/>
      <c r="DJ256" s="921"/>
      <c r="DK256" s="954"/>
      <c r="DL256" s="954"/>
      <c r="DM256" s="921"/>
      <c r="DN256" s="954"/>
      <c r="DO256" s="954"/>
      <c r="DP256" s="921"/>
      <c r="DQ256" s="942"/>
      <c r="DR256" s="951"/>
      <c r="DS256" s="951"/>
      <c r="DT256" s="952"/>
      <c r="DV256" s="921"/>
      <c r="DW256" s="921"/>
      <c r="DX256" s="921"/>
      <c r="DY256" s="921"/>
      <c r="DZ256" s="921"/>
      <c r="EA256" s="921"/>
      <c r="EB256" s="921"/>
      <c r="EC256" s="921"/>
      <c r="ED256" s="921"/>
      <c r="EE256" s="921"/>
      <c r="EF256" s="921"/>
      <c r="EG256" s="921"/>
      <c r="EH256" s="921"/>
      <c r="EI256" s="921"/>
      <c r="EJ256" s="921"/>
      <c r="EK256" s="921"/>
      <c r="EL256" s="921"/>
      <c r="EM256" s="921"/>
      <c r="EN256" s="921"/>
      <c r="EO256" s="921"/>
      <c r="EP256" s="921"/>
      <c r="EQ256" s="954"/>
      <c r="ER256" s="954"/>
      <c r="ES256" s="954"/>
      <c r="ET256" s="954"/>
      <c r="EV256" s="942"/>
      <c r="EW256" s="951"/>
      <c r="EX256" s="951"/>
      <c r="EY256" s="952"/>
    </row>
    <row r="257" spans="1:155" s="927" customFormat="1" ht="15.75" x14ac:dyDescent="0.25">
      <c r="A257" s="931"/>
      <c r="B257" s="932"/>
      <c r="C257" s="933"/>
      <c r="D257" s="933"/>
      <c r="E257" s="934"/>
      <c r="F257" s="935"/>
      <c r="G257" s="934"/>
      <c r="H257" s="935"/>
      <c r="I257" s="936"/>
      <c r="J257" s="937"/>
      <c r="K257" s="938"/>
      <c r="L257" s="936"/>
      <c r="M257" s="937"/>
      <c r="N257" s="938"/>
      <c r="O257" s="936"/>
      <c r="P257" s="937"/>
      <c r="Q257" s="938"/>
      <c r="R257" s="936"/>
      <c r="S257" s="937"/>
      <c r="T257" s="938"/>
      <c r="U257" s="936"/>
      <c r="V257" s="937"/>
      <c r="W257" s="938"/>
      <c r="X257" s="936"/>
      <c r="Y257" s="937"/>
      <c r="Z257" s="938"/>
      <c r="AA257" s="936"/>
      <c r="AB257" s="937"/>
      <c r="AC257" s="938"/>
      <c r="AD257" s="936"/>
      <c r="AE257" s="937"/>
      <c r="AF257" s="938"/>
      <c r="AG257" s="936"/>
      <c r="AH257" s="937"/>
      <c r="AI257" s="938"/>
      <c r="AJ257" s="936"/>
      <c r="AK257" s="937"/>
      <c r="AL257" s="938"/>
      <c r="AM257" s="936"/>
      <c r="AN257" s="933"/>
      <c r="AO257" s="936"/>
      <c r="AP257" s="933"/>
      <c r="AQ257" s="935"/>
      <c r="AR257" s="936"/>
      <c r="AS257" s="935"/>
      <c r="AT257" s="939"/>
      <c r="AU257" s="933"/>
      <c r="AV257" s="940"/>
      <c r="AW257" s="939"/>
      <c r="AX257" s="939"/>
      <c r="AY257" s="939"/>
      <c r="AZ257" s="941"/>
      <c r="BA257" s="941"/>
      <c r="BB257" s="941"/>
      <c r="BC257" s="934"/>
      <c r="BD257" s="941"/>
      <c r="BE257" s="941"/>
      <c r="BF257" s="941"/>
      <c r="BG257" s="942"/>
      <c r="BH257" s="941"/>
      <c r="BI257" s="941"/>
      <c r="BJ257" s="941"/>
      <c r="BK257" s="943"/>
      <c r="BL257" s="943"/>
      <c r="BM257" s="943"/>
      <c r="BN257" s="943"/>
      <c r="BO257" s="943"/>
      <c r="BP257" s="944"/>
      <c r="BQ257" s="943"/>
      <c r="BR257" s="943"/>
      <c r="BS257" s="943"/>
      <c r="BU257" s="945"/>
      <c r="BV257" s="946"/>
      <c r="BW257" s="947"/>
      <c r="BX257" s="945"/>
      <c r="BY257" s="947"/>
      <c r="BZ257" s="946"/>
      <c r="CA257" s="947"/>
      <c r="CB257" s="946"/>
      <c r="CC257" s="947"/>
      <c r="CD257" s="947"/>
      <c r="CE257" s="947"/>
      <c r="CF257" s="948"/>
      <c r="CG257" s="949"/>
      <c r="CH257" s="949"/>
      <c r="CI257" s="950"/>
      <c r="CJ257" s="951"/>
      <c r="CK257" s="951"/>
      <c r="CL257" s="952"/>
      <c r="CM257" s="951"/>
      <c r="CN257" s="951"/>
      <c r="CO257" s="952"/>
      <c r="CP257" s="951"/>
      <c r="CQ257" s="951"/>
      <c r="CR257" s="952"/>
      <c r="CS257" s="946"/>
      <c r="CT257" s="953"/>
      <c r="CU257" s="953"/>
      <c r="CV257" s="953"/>
      <c r="CX257" s="951"/>
      <c r="CY257" s="951"/>
      <c r="CZ257" s="952"/>
      <c r="DB257" s="954"/>
      <c r="DC257" s="954"/>
      <c r="DD257" s="921"/>
      <c r="DE257" s="954"/>
      <c r="DF257" s="954"/>
      <c r="DG257" s="921"/>
      <c r="DH257" s="954"/>
      <c r="DI257" s="954"/>
      <c r="DJ257" s="921"/>
      <c r="DK257" s="954"/>
      <c r="DL257" s="954"/>
      <c r="DM257" s="921"/>
      <c r="DN257" s="954"/>
      <c r="DO257" s="954"/>
      <c r="DP257" s="921"/>
      <c r="DQ257" s="942"/>
      <c r="DR257" s="951"/>
      <c r="DS257" s="951"/>
      <c r="DT257" s="952"/>
      <c r="DV257" s="921"/>
      <c r="DW257" s="921"/>
      <c r="DX257" s="921"/>
      <c r="DY257" s="921"/>
      <c r="DZ257" s="921"/>
      <c r="EA257" s="921"/>
      <c r="EB257" s="921"/>
      <c r="EC257" s="921"/>
      <c r="ED257" s="921"/>
      <c r="EE257" s="921"/>
      <c r="EF257" s="921"/>
      <c r="EG257" s="921"/>
      <c r="EH257" s="921"/>
      <c r="EI257" s="921"/>
      <c r="EJ257" s="921"/>
      <c r="EK257" s="921"/>
      <c r="EL257" s="921"/>
      <c r="EM257" s="921"/>
      <c r="EN257" s="921"/>
      <c r="EO257" s="921"/>
      <c r="EP257" s="921"/>
      <c r="EQ257" s="954"/>
      <c r="ER257" s="954"/>
      <c r="ES257" s="954"/>
      <c r="ET257" s="954"/>
      <c r="EV257" s="942"/>
      <c r="EW257" s="955"/>
      <c r="EX257" s="951"/>
      <c r="EY257" s="952"/>
    </row>
    <row r="258" spans="1:155" x14ac:dyDescent="0.25">
      <c r="B258" s="876" t="s">
        <v>1418</v>
      </c>
      <c r="C258" s="971">
        <f>C13+C15+C16+C28+C30+C34+C35+C37+C38+C42+C44+C47+C72+C76+C78+C99+C100+C101+C103+C107+C114+C115+C120+C121+C123+C127+C130+C131+C133+C153+C154+C156+C157+C160+C165+C166+C167+C169+C170+C171+C175+C177+C179+C180+C181+C182+C183+C203+C205+C211+C215+C217+C218+C219</f>
        <v>130.5</v>
      </c>
      <c r="AO258" s="971">
        <f>AO13+AO15+AO16+AO28+AO30+AO34+AO35+AO37+AO38+AO42+AO44+AO47+AO72+AO76+AO78+AO99+AO100+AO101+AO103+AO107+AO114+AO115+AO120+AO121+AO123+AO127+AO130+AO131+AO133+AO153+AO154+AO156+AO157+AO160+AO165+AO166+AO167+AO169+AO170+AO171+AO175+AO177+AO179+AO180+AO181+AO182+AO183+AO203+AO205+AO211+AO215+AO217+AO218+AO219</f>
        <v>1732336.7</v>
      </c>
      <c r="BZ258" s="876">
        <v>144.19999999999999</v>
      </c>
      <c r="CI258" s="974" t="s">
        <v>619</v>
      </c>
      <c r="CJ258" s="975">
        <f>CJ239-CJ259</f>
        <v>80819.3</v>
      </c>
      <c r="CK258" s="975">
        <f t="shared" ref="CK258:CZ258" si="349">CK239-CK259</f>
        <v>24407.200000000001</v>
      </c>
      <c r="CL258" s="975">
        <f t="shared" si="349"/>
        <v>105226.5</v>
      </c>
      <c r="CM258" s="975">
        <f t="shared" si="349"/>
        <v>723.4</v>
      </c>
      <c r="CN258" s="975">
        <f t="shared" si="349"/>
        <v>218.5</v>
      </c>
      <c r="CO258" s="975">
        <f t="shared" si="349"/>
        <v>941.9</v>
      </c>
      <c r="CP258" s="975">
        <f t="shared" si="349"/>
        <v>80095.899999999994</v>
      </c>
      <c r="CQ258" s="975">
        <f t="shared" si="349"/>
        <v>24188.7</v>
      </c>
      <c r="CR258" s="975">
        <f t="shared" si="349"/>
        <v>104284.6</v>
      </c>
      <c r="CS258" s="976"/>
      <c r="CT258" s="976">
        <f t="shared" si="349"/>
        <v>3093.5</v>
      </c>
      <c r="CU258" s="976">
        <f t="shared" si="349"/>
        <v>934.2</v>
      </c>
      <c r="CV258" s="976">
        <f t="shared" si="349"/>
        <v>4027.7</v>
      </c>
      <c r="CW258" s="876">
        <f t="shared" si="349"/>
        <v>0</v>
      </c>
      <c r="CX258" s="975">
        <f t="shared" si="349"/>
        <v>41528.800000000003</v>
      </c>
      <c r="CY258" s="975">
        <f t="shared" si="349"/>
        <v>12541.8</v>
      </c>
      <c r="CZ258" s="975">
        <f t="shared" si="349"/>
        <v>54070.6</v>
      </c>
      <c r="DR258" s="975">
        <f t="shared" ref="DR258:DT258" si="350">DR239-DR259</f>
        <v>78376.3</v>
      </c>
      <c r="DS258" s="975">
        <f t="shared" si="350"/>
        <v>23669.4</v>
      </c>
      <c r="DT258" s="975">
        <f t="shared" si="350"/>
        <v>102045.7</v>
      </c>
      <c r="DV258" s="876">
        <v>780.8</v>
      </c>
      <c r="DW258" s="876">
        <v>599.70000000000005</v>
      </c>
      <c r="DX258" s="876">
        <v>181.1</v>
      </c>
      <c r="DY258" s="876">
        <v>780.8</v>
      </c>
      <c r="DZ258" s="876">
        <f>871.5-DY258</f>
        <v>90.7</v>
      </c>
      <c r="EW258" s="975">
        <f t="shared" ref="EW258:EY258" si="351">EW239-EW259</f>
        <v>78554.899999999994</v>
      </c>
      <c r="EX258" s="975">
        <f t="shared" si="351"/>
        <v>23723.4</v>
      </c>
      <c r="EY258" s="975">
        <f t="shared" si="351"/>
        <v>102278.3</v>
      </c>
    </row>
    <row r="259" spans="1:155" x14ac:dyDescent="0.25">
      <c r="C259" s="971"/>
      <c r="AO259" s="971"/>
      <c r="CI259" s="974" t="s">
        <v>620</v>
      </c>
      <c r="CJ259" s="975">
        <f>CJ48</f>
        <v>45404.2</v>
      </c>
      <c r="CK259" s="975">
        <f t="shared" ref="CK259:CV259" si="352">CK48</f>
        <v>13712.1</v>
      </c>
      <c r="CL259" s="975">
        <f t="shared" si="352"/>
        <v>59116.3</v>
      </c>
      <c r="CM259" s="975">
        <f t="shared" si="352"/>
        <v>791</v>
      </c>
      <c r="CN259" s="975">
        <f t="shared" si="352"/>
        <v>238.9</v>
      </c>
      <c r="CO259" s="975">
        <f t="shared" si="352"/>
        <v>1029.9000000000001</v>
      </c>
      <c r="CP259" s="975">
        <f t="shared" si="352"/>
        <v>44613.2</v>
      </c>
      <c r="CQ259" s="975">
        <f t="shared" si="352"/>
        <v>13473.2</v>
      </c>
      <c r="CR259" s="975">
        <f t="shared" si="352"/>
        <v>58086.400000000001</v>
      </c>
      <c r="CS259" s="976"/>
      <c r="CT259" s="976">
        <f t="shared" si="352"/>
        <v>2191.8000000000002</v>
      </c>
      <c r="CU259" s="976">
        <f t="shared" si="352"/>
        <v>661.9</v>
      </c>
      <c r="CV259" s="976">
        <f t="shared" si="352"/>
        <v>2853.7</v>
      </c>
      <c r="CX259" s="975">
        <f t="shared" ref="CX259:CZ259" si="353">CX48</f>
        <v>29146</v>
      </c>
      <c r="CY259" s="975">
        <f t="shared" si="353"/>
        <v>8802.1</v>
      </c>
      <c r="CZ259" s="975">
        <f t="shared" si="353"/>
        <v>37948.1</v>
      </c>
      <c r="DR259" s="975">
        <f t="shared" ref="DR259:DT259" si="354">DR48</f>
        <v>43655.4</v>
      </c>
      <c r="DS259" s="975">
        <f t="shared" si="354"/>
        <v>13183.9</v>
      </c>
      <c r="DT259" s="975">
        <f t="shared" si="354"/>
        <v>56839.3</v>
      </c>
      <c r="EW259" s="975">
        <f t="shared" ref="EW259:EY259" si="355">EW48</f>
        <v>43755.1</v>
      </c>
      <c r="EX259" s="975">
        <f t="shared" si="355"/>
        <v>13214</v>
      </c>
      <c r="EY259" s="975">
        <f t="shared" si="355"/>
        <v>56969.1</v>
      </c>
    </row>
    <row r="260" spans="1:155" x14ac:dyDescent="0.25">
      <c r="B260" s="977" t="s">
        <v>1419</v>
      </c>
      <c r="C260" s="978">
        <f>CR239</f>
        <v>162371</v>
      </c>
      <c r="AO260" s="971"/>
    </row>
    <row r="261" spans="1:155" x14ac:dyDescent="0.25">
      <c r="B261" s="876" t="s">
        <v>1420</v>
      </c>
      <c r="C261" s="979">
        <f>CZ239</f>
        <v>92018.7</v>
      </c>
      <c r="AO261" s="971"/>
      <c r="EY261" s="979">
        <f>EY239-DT239</f>
        <v>362.4</v>
      </c>
    </row>
    <row r="262" spans="1:155" x14ac:dyDescent="0.25">
      <c r="B262" s="876" t="s">
        <v>1421</v>
      </c>
      <c r="C262" s="979">
        <f>C258*19242*12*1.302/1000</f>
        <v>39233.1</v>
      </c>
      <c r="BY262" s="971">
        <f>BY239*1.302</f>
        <v>67228679.510000005</v>
      </c>
    </row>
    <row r="263" spans="1:155" x14ac:dyDescent="0.25">
      <c r="B263" s="876" t="s">
        <v>1422</v>
      </c>
      <c r="C263" s="979">
        <f>C260-C261-C262</f>
        <v>31119.200000000001</v>
      </c>
      <c r="BY263" s="971"/>
      <c r="CJ263" s="979"/>
      <c r="CK263" s="979"/>
      <c r="CL263" s="979"/>
      <c r="CM263" s="979"/>
      <c r="CN263" s="979"/>
      <c r="CO263" s="979"/>
      <c r="CP263" s="979"/>
      <c r="CQ263" s="979"/>
      <c r="CR263" s="979"/>
      <c r="CS263" s="980"/>
      <c r="CT263" s="980"/>
      <c r="CU263" s="980"/>
      <c r="CV263" s="980"/>
      <c r="CX263" s="979"/>
      <c r="CY263" s="979"/>
      <c r="CZ263" s="979"/>
      <c r="DB263" s="979"/>
      <c r="DC263" s="979"/>
      <c r="DD263" s="979"/>
      <c r="DE263" s="979"/>
      <c r="DF263" s="979"/>
      <c r="DG263" s="979"/>
      <c r="DH263" s="979"/>
      <c r="DI263" s="979"/>
      <c r="DJ263" s="979"/>
      <c r="DK263" s="979"/>
      <c r="DL263" s="979"/>
      <c r="DM263" s="979"/>
      <c r="DN263" s="979"/>
      <c r="DO263" s="979"/>
      <c r="DP263" s="979"/>
      <c r="DR263" s="979"/>
      <c r="DS263" s="979"/>
      <c r="DT263" s="979"/>
      <c r="DV263" s="979"/>
      <c r="DW263" s="979"/>
      <c r="DX263" s="979"/>
      <c r="DY263" s="979"/>
      <c r="DZ263" s="979"/>
      <c r="EA263" s="979"/>
      <c r="EB263" s="979"/>
      <c r="EC263" s="979"/>
      <c r="ED263" s="979"/>
      <c r="EE263" s="979"/>
      <c r="EF263" s="979"/>
      <c r="EG263" s="979"/>
      <c r="EH263" s="979"/>
      <c r="EI263" s="979"/>
      <c r="EJ263" s="979"/>
      <c r="EK263" s="979"/>
      <c r="EL263" s="979"/>
      <c r="EM263" s="979"/>
      <c r="EN263" s="979"/>
      <c r="EO263" s="979"/>
      <c r="EP263" s="979"/>
      <c r="EQ263" s="979"/>
      <c r="ER263" s="979"/>
      <c r="ES263" s="979"/>
      <c r="ET263" s="979"/>
      <c r="EW263" s="979"/>
      <c r="EX263" s="979"/>
      <c r="EY263" s="979"/>
    </row>
    <row r="264" spans="1:155" x14ac:dyDescent="0.25">
      <c r="C264" s="979"/>
      <c r="BY264" s="971"/>
      <c r="CJ264" s="979"/>
      <c r="CK264" s="979"/>
      <c r="CL264" s="979"/>
      <c r="CM264" s="979"/>
      <c r="CN264" s="979"/>
      <c r="CO264" s="979"/>
      <c r="CP264" s="979"/>
      <c r="CQ264" s="979"/>
      <c r="CR264" s="979"/>
      <c r="CS264" s="980"/>
      <c r="CT264" s="980"/>
      <c r="CU264" s="980"/>
      <c r="CV264" s="980"/>
      <c r="CX264" s="979"/>
      <c r="CY264" s="979"/>
      <c r="CZ264" s="979"/>
      <c r="DB264" s="979"/>
      <c r="DC264" s="979"/>
      <c r="DD264" s="979"/>
      <c r="DE264" s="979"/>
      <c r="DF264" s="979"/>
      <c r="DG264" s="979"/>
      <c r="DH264" s="979"/>
      <c r="DI264" s="979"/>
      <c r="DJ264" s="979"/>
      <c r="DK264" s="979"/>
      <c r="DL264" s="979"/>
      <c r="DM264" s="979"/>
      <c r="DN264" s="979"/>
      <c r="DO264" s="979"/>
      <c r="DP264" s="979"/>
      <c r="DR264" s="979"/>
      <c r="DS264" s="979"/>
      <c r="DT264" s="979"/>
      <c r="DV264" s="979"/>
      <c r="DW264" s="979"/>
      <c r="DX264" s="979"/>
      <c r="DY264" s="979"/>
      <c r="DZ264" s="979"/>
      <c r="EA264" s="979"/>
      <c r="EB264" s="979"/>
      <c r="EC264" s="979"/>
      <c r="ED264" s="979"/>
      <c r="EE264" s="979"/>
      <c r="EF264" s="979"/>
      <c r="EG264" s="979"/>
      <c r="EH264" s="979"/>
      <c r="EI264" s="979"/>
      <c r="EJ264" s="979"/>
      <c r="EK264" s="979"/>
      <c r="EL264" s="979"/>
      <c r="EM264" s="979"/>
      <c r="EN264" s="979"/>
      <c r="EO264" s="979"/>
      <c r="EP264" s="979"/>
      <c r="EQ264" s="979"/>
      <c r="ER264" s="979"/>
      <c r="ES264" s="979"/>
      <c r="ET264" s="979"/>
      <c r="EW264" s="979"/>
      <c r="EX264" s="979"/>
      <c r="EY264" s="979"/>
    </row>
    <row r="265" spans="1:155" x14ac:dyDescent="0.25">
      <c r="B265" s="876" t="s">
        <v>1423</v>
      </c>
      <c r="C265" s="979"/>
      <c r="BY265" s="971"/>
      <c r="CJ265" s="979"/>
      <c r="CK265" s="979"/>
      <c r="CL265" s="979"/>
      <c r="CM265" s="979"/>
      <c r="CN265" s="979"/>
      <c r="CO265" s="979"/>
      <c r="CP265" s="979"/>
      <c r="CQ265" s="979"/>
      <c r="CR265" s="979"/>
      <c r="CS265" s="980"/>
      <c r="CT265" s="980"/>
      <c r="CU265" s="980"/>
      <c r="CV265" s="980"/>
      <c r="CX265" s="979"/>
      <c r="CY265" s="979"/>
      <c r="CZ265" s="979"/>
      <c r="DB265" s="979"/>
      <c r="DC265" s="979"/>
      <c r="DD265" s="979"/>
      <c r="DE265" s="979"/>
      <c r="DF265" s="979"/>
      <c r="DG265" s="979"/>
      <c r="DH265" s="979"/>
      <c r="DI265" s="979"/>
      <c r="DJ265" s="979"/>
      <c r="DK265" s="979"/>
      <c r="DL265" s="979"/>
      <c r="DM265" s="979"/>
      <c r="DN265" s="979"/>
      <c r="DO265" s="979"/>
      <c r="DP265" s="979"/>
      <c r="DR265" s="979"/>
      <c r="DS265" s="979"/>
      <c r="DT265" s="979"/>
      <c r="DV265" s="979"/>
      <c r="DW265" s="979"/>
      <c r="DX265" s="979"/>
      <c r="DY265" s="979"/>
      <c r="DZ265" s="979"/>
      <c r="EA265" s="979"/>
      <c r="EB265" s="979"/>
      <c r="EC265" s="979"/>
      <c r="ED265" s="979"/>
      <c r="EE265" s="979"/>
      <c r="EF265" s="979"/>
      <c r="EG265" s="979"/>
      <c r="EH265" s="979"/>
      <c r="EI265" s="979"/>
      <c r="EJ265" s="979"/>
      <c r="EK265" s="979"/>
      <c r="EL265" s="979"/>
      <c r="EM265" s="979"/>
      <c r="EN265" s="979"/>
      <c r="EO265" s="979"/>
      <c r="EP265" s="979"/>
      <c r="EQ265" s="979"/>
      <c r="ER265" s="979"/>
      <c r="ES265" s="979"/>
      <c r="ET265" s="979"/>
      <c r="EW265" s="979"/>
      <c r="EX265" s="979"/>
      <c r="EY265" s="979"/>
    </row>
    <row r="266" spans="1:155" x14ac:dyDescent="0.25">
      <c r="B266" s="876" t="s">
        <v>1424</v>
      </c>
      <c r="C266" s="979">
        <f>C258*3000*12*1.302/1000</f>
        <v>6116.8</v>
      </c>
      <c r="BY266" s="971">
        <f>BY262+CE239</f>
        <v>93990305.299999997</v>
      </c>
    </row>
    <row r="267" spans="1:155" x14ac:dyDescent="0.25">
      <c r="B267" s="876" t="s">
        <v>1425</v>
      </c>
      <c r="C267" s="979">
        <f>(CR239-CZ239-C262)*0.055</f>
        <v>1711.6</v>
      </c>
    </row>
  </sheetData>
  <mergeCells count="34">
    <mergeCell ref="B2:AR2"/>
    <mergeCell ref="B3:AR3"/>
    <mergeCell ref="B4:AR4"/>
    <mergeCell ref="B5:AR5"/>
    <mergeCell ref="B6:AR6"/>
    <mergeCell ref="DQ7:DT7"/>
    <mergeCell ref="EV7:EY7"/>
    <mergeCell ref="A8:A9"/>
    <mergeCell ref="B8:B9"/>
    <mergeCell ref="C8:C9"/>
    <mergeCell ref="D8:BJ8"/>
    <mergeCell ref="BK8:BM8"/>
    <mergeCell ref="BN8:BP8"/>
    <mergeCell ref="BQ8:BS8"/>
    <mergeCell ref="BU8:CF8"/>
    <mergeCell ref="DB7:DP7"/>
    <mergeCell ref="CG8:CI8"/>
    <mergeCell ref="CJ8:CL8"/>
    <mergeCell ref="CM8:CO8"/>
    <mergeCell ref="CP8:CR8"/>
    <mergeCell ref="CS8:CV8"/>
    <mergeCell ref="CX8:CZ8"/>
    <mergeCell ref="EV8:EY8"/>
    <mergeCell ref="DB8:DD8"/>
    <mergeCell ref="DE8:DG8"/>
    <mergeCell ref="DH8:DJ8"/>
    <mergeCell ref="DK8:DM8"/>
    <mergeCell ref="DN8:DP8"/>
    <mergeCell ref="DQ8:DT8"/>
    <mergeCell ref="DV8:DZ8"/>
    <mergeCell ref="EA8:EE8"/>
    <mergeCell ref="EF8:EJ8"/>
    <mergeCell ref="EK8:EO8"/>
    <mergeCell ref="EP8:ET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2CE9C-1123-467E-92AA-7CB3E9CEF713}">
  <dimension ref="A1:EY267"/>
  <sheetViews>
    <sheetView zoomScale="80" zoomScaleNormal="80" workbookViewId="0">
      <pane xSplit="3" ySplit="11" topLeftCell="D234" activePane="bottomRight" state="frozen"/>
      <selection pane="topRight" activeCell="D1" sqref="D1"/>
      <selection pane="bottomLeft" activeCell="A12" sqref="A12"/>
      <selection pane="bottomRight" activeCell="P257" sqref="P257"/>
    </sheetView>
  </sheetViews>
  <sheetFormatPr defaultRowHeight="15" x14ac:dyDescent="0.25"/>
  <cols>
    <col min="1" max="1" width="18.85546875" style="876" customWidth="1"/>
    <col min="2" max="2" width="32.28515625" style="876" customWidth="1"/>
    <col min="3" max="3" width="13" style="876" customWidth="1"/>
    <col min="4" max="34" width="15.7109375" style="876" customWidth="1"/>
    <col min="35" max="35" width="17.5703125" style="876" customWidth="1"/>
    <col min="36" max="36" width="20.140625" style="876" customWidth="1"/>
    <col min="37" max="67" width="15.7109375" style="876" customWidth="1"/>
    <col min="68" max="68" width="15.7109375" style="972" customWidth="1"/>
    <col min="69" max="71" width="15.7109375" style="876" customWidth="1"/>
    <col min="72" max="72" width="3" style="876" customWidth="1"/>
    <col min="73" max="73" width="9.140625" style="876" customWidth="1"/>
    <col min="74" max="75" width="9" style="876" customWidth="1"/>
    <col min="76" max="77" width="16" style="876" customWidth="1"/>
    <col min="78" max="78" width="9" style="876" customWidth="1"/>
    <col min="79" max="80" width="12.28515625" style="876" customWidth="1"/>
    <col min="81" max="83" width="14.85546875" style="876" customWidth="1"/>
    <col min="84" max="84" width="14.85546875" style="973" hidden="1" customWidth="1"/>
    <col min="85" max="86" width="12.140625" style="876" customWidth="1"/>
    <col min="87" max="87" width="11.5703125" style="876" customWidth="1"/>
    <col min="88" max="100" width="11.7109375" style="876" customWidth="1"/>
    <col min="101" max="101" width="2.28515625" style="876" customWidth="1"/>
    <col min="102" max="104" width="11.7109375" style="876" customWidth="1"/>
    <col min="105" max="105" width="9.140625" style="876"/>
    <col min="106" max="120" width="11.7109375" style="876" hidden="1" customWidth="1"/>
    <col min="121" max="121" width="15.7109375" style="876" hidden="1" customWidth="1"/>
    <col min="122" max="123" width="11.42578125" style="876" hidden="1" customWidth="1"/>
    <col min="124" max="124" width="10.7109375" style="876" hidden="1" customWidth="1"/>
    <col min="125" max="125" width="0" style="876" hidden="1" customWidth="1"/>
    <col min="126" max="150" width="11.7109375" style="876" customWidth="1"/>
    <col min="151" max="151" width="5.5703125" style="876" customWidth="1"/>
    <col min="152" max="152" width="15.7109375" style="876" customWidth="1"/>
    <col min="153" max="154" width="11.42578125" style="876" customWidth="1"/>
    <col min="155" max="155" width="10.7109375" style="876" customWidth="1"/>
    <col min="156" max="269" width="9.140625" style="876"/>
    <col min="270" max="270" width="21.85546875" style="876" customWidth="1"/>
    <col min="271" max="271" width="32.28515625" style="876" customWidth="1"/>
    <col min="272" max="272" width="13" style="876" customWidth="1"/>
    <col min="273" max="303" width="15.7109375" style="876" customWidth="1"/>
    <col min="304" max="304" width="17.5703125" style="876" customWidth="1"/>
    <col min="305" max="305" width="20.140625" style="876" customWidth="1"/>
    <col min="306" max="340" width="15.7109375" style="876" customWidth="1"/>
    <col min="341" max="341" width="3" style="876" customWidth="1"/>
    <col min="342" max="342" width="9.140625" style="876" customWidth="1"/>
    <col min="343" max="344" width="9" style="876" customWidth="1"/>
    <col min="345" max="346" width="16" style="876" customWidth="1"/>
    <col min="347" max="347" width="9" style="876" customWidth="1"/>
    <col min="348" max="349" width="12.28515625" style="876" customWidth="1"/>
    <col min="350" max="352" width="14.85546875" style="876" customWidth="1"/>
    <col min="353" max="353" width="0" style="876" hidden="1" customWidth="1"/>
    <col min="354" max="355" width="12.140625" style="876" customWidth="1"/>
    <col min="356" max="356" width="10.7109375" style="876" customWidth="1"/>
    <col min="357" max="359" width="15.7109375" style="876" customWidth="1"/>
    <col min="360" max="360" width="11.85546875" style="876" customWidth="1"/>
    <col min="361" max="363" width="13.7109375" style="876" customWidth="1"/>
    <col min="364" max="364" width="3" style="876" customWidth="1"/>
    <col min="365" max="366" width="15.7109375" style="876" customWidth="1"/>
    <col min="367" max="525" width="9.140625" style="876"/>
    <col min="526" max="526" width="21.85546875" style="876" customWidth="1"/>
    <col min="527" max="527" width="32.28515625" style="876" customWidth="1"/>
    <col min="528" max="528" width="13" style="876" customWidth="1"/>
    <col min="529" max="559" width="15.7109375" style="876" customWidth="1"/>
    <col min="560" max="560" width="17.5703125" style="876" customWidth="1"/>
    <col min="561" max="561" width="20.140625" style="876" customWidth="1"/>
    <col min="562" max="596" width="15.7109375" style="876" customWidth="1"/>
    <col min="597" max="597" width="3" style="876" customWidth="1"/>
    <col min="598" max="598" width="9.140625" style="876" customWidth="1"/>
    <col min="599" max="600" width="9" style="876" customWidth="1"/>
    <col min="601" max="602" width="16" style="876" customWidth="1"/>
    <col min="603" max="603" width="9" style="876" customWidth="1"/>
    <col min="604" max="605" width="12.28515625" style="876" customWidth="1"/>
    <col min="606" max="608" width="14.85546875" style="876" customWidth="1"/>
    <col min="609" max="609" width="0" style="876" hidden="1" customWidth="1"/>
    <col min="610" max="611" width="12.140625" style="876" customWidth="1"/>
    <col min="612" max="612" width="10.7109375" style="876" customWidth="1"/>
    <col min="613" max="615" width="15.7109375" style="876" customWidth="1"/>
    <col min="616" max="616" width="11.85546875" style="876" customWidth="1"/>
    <col min="617" max="619" width="13.7109375" style="876" customWidth="1"/>
    <col min="620" max="620" width="3" style="876" customWidth="1"/>
    <col min="621" max="622" width="15.7109375" style="876" customWidth="1"/>
    <col min="623" max="781" width="9.140625" style="876"/>
    <col min="782" max="782" width="21.85546875" style="876" customWidth="1"/>
    <col min="783" max="783" width="32.28515625" style="876" customWidth="1"/>
    <col min="784" max="784" width="13" style="876" customWidth="1"/>
    <col min="785" max="815" width="15.7109375" style="876" customWidth="1"/>
    <col min="816" max="816" width="17.5703125" style="876" customWidth="1"/>
    <col min="817" max="817" width="20.140625" style="876" customWidth="1"/>
    <col min="818" max="852" width="15.7109375" style="876" customWidth="1"/>
    <col min="853" max="853" width="3" style="876" customWidth="1"/>
    <col min="854" max="854" width="9.140625" style="876" customWidth="1"/>
    <col min="855" max="856" width="9" style="876" customWidth="1"/>
    <col min="857" max="858" width="16" style="876" customWidth="1"/>
    <col min="859" max="859" width="9" style="876" customWidth="1"/>
    <col min="860" max="861" width="12.28515625" style="876" customWidth="1"/>
    <col min="862" max="864" width="14.85546875" style="876" customWidth="1"/>
    <col min="865" max="865" width="0" style="876" hidden="1" customWidth="1"/>
    <col min="866" max="867" width="12.140625" style="876" customWidth="1"/>
    <col min="868" max="868" width="10.7109375" style="876" customWidth="1"/>
    <col min="869" max="871" width="15.7109375" style="876" customWidth="1"/>
    <col min="872" max="872" width="11.85546875" style="876" customWidth="1"/>
    <col min="873" max="875" width="13.7109375" style="876" customWidth="1"/>
    <col min="876" max="876" width="3" style="876" customWidth="1"/>
    <col min="877" max="878" width="15.7109375" style="876" customWidth="1"/>
    <col min="879" max="1037" width="9.140625" style="876"/>
    <col min="1038" max="1038" width="21.85546875" style="876" customWidth="1"/>
    <col min="1039" max="1039" width="32.28515625" style="876" customWidth="1"/>
    <col min="1040" max="1040" width="13" style="876" customWidth="1"/>
    <col min="1041" max="1071" width="15.7109375" style="876" customWidth="1"/>
    <col min="1072" max="1072" width="17.5703125" style="876" customWidth="1"/>
    <col min="1073" max="1073" width="20.140625" style="876" customWidth="1"/>
    <col min="1074" max="1108" width="15.7109375" style="876" customWidth="1"/>
    <col min="1109" max="1109" width="3" style="876" customWidth="1"/>
    <col min="1110" max="1110" width="9.140625" style="876" customWidth="1"/>
    <col min="1111" max="1112" width="9" style="876" customWidth="1"/>
    <col min="1113" max="1114" width="16" style="876" customWidth="1"/>
    <col min="1115" max="1115" width="9" style="876" customWidth="1"/>
    <col min="1116" max="1117" width="12.28515625" style="876" customWidth="1"/>
    <col min="1118" max="1120" width="14.85546875" style="876" customWidth="1"/>
    <col min="1121" max="1121" width="0" style="876" hidden="1" customWidth="1"/>
    <col min="1122" max="1123" width="12.140625" style="876" customWidth="1"/>
    <col min="1124" max="1124" width="10.7109375" style="876" customWidth="1"/>
    <col min="1125" max="1127" width="15.7109375" style="876" customWidth="1"/>
    <col min="1128" max="1128" width="11.85546875" style="876" customWidth="1"/>
    <col min="1129" max="1131" width="13.7109375" style="876" customWidth="1"/>
    <col min="1132" max="1132" width="3" style="876" customWidth="1"/>
    <col min="1133" max="1134" width="15.7109375" style="876" customWidth="1"/>
    <col min="1135" max="1293" width="9.140625" style="876"/>
    <col min="1294" max="1294" width="21.85546875" style="876" customWidth="1"/>
    <col min="1295" max="1295" width="32.28515625" style="876" customWidth="1"/>
    <col min="1296" max="1296" width="13" style="876" customWidth="1"/>
    <col min="1297" max="1327" width="15.7109375" style="876" customWidth="1"/>
    <col min="1328" max="1328" width="17.5703125" style="876" customWidth="1"/>
    <col min="1329" max="1329" width="20.140625" style="876" customWidth="1"/>
    <col min="1330" max="1364" width="15.7109375" style="876" customWidth="1"/>
    <col min="1365" max="1365" width="3" style="876" customWidth="1"/>
    <col min="1366" max="1366" width="9.140625" style="876" customWidth="1"/>
    <col min="1367" max="1368" width="9" style="876" customWidth="1"/>
    <col min="1369" max="1370" width="16" style="876" customWidth="1"/>
    <col min="1371" max="1371" width="9" style="876" customWidth="1"/>
    <col min="1372" max="1373" width="12.28515625" style="876" customWidth="1"/>
    <col min="1374" max="1376" width="14.85546875" style="876" customWidth="1"/>
    <col min="1377" max="1377" width="0" style="876" hidden="1" customWidth="1"/>
    <col min="1378" max="1379" width="12.140625" style="876" customWidth="1"/>
    <col min="1380" max="1380" width="10.7109375" style="876" customWidth="1"/>
    <col min="1381" max="1383" width="15.7109375" style="876" customWidth="1"/>
    <col min="1384" max="1384" width="11.85546875" style="876" customWidth="1"/>
    <col min="1385" max="1387" width="13.7109375" style="876" customWidth="1"/>
    <col min="1388" max="1388" width="3" style="876" customWidth="1"/>
    <col min="1389" max="1390" width="15.7109375" style="876" customWidth="1"/>
    <col min="1391" max="1549" width="9.140625" style="876"/>
    <col min="1550" max="1550" width="21.85546875" style="876" customWidth="1"/>
    <col min="1551" max="1551" width="32.28515625" style="876" customWidth="1"/>
    <col min="1552" max="1552" width="13" style="876" customWidth="1"/>
    <col min="1553" max="1583" width="15.7109375" style="876" customWidth="1"/>
    <col min="1584" max="1584" width="17.5703125" style="876" customWidth="1"/>
    <col min="1585" max="1585" width="20.140625" style="876" customWidth="1"/>
    <col min="1586" max="1620" width="15.7109375" style="876" customWidth="1"/>
    <col min="1621" max="1621" width="3" style="876" customWidth="1"/>
    <col min="1622" max="1622" width="9.140625" style="876" customWidth="1"/>
    <col min="1623" max="1624" width="9" style="876" customWidth="1"/>
    <col min="1625" max="1626" width="16" style="876" customWidth="1"/>
    <col min="1627" max="1627" width="9" style="876" customWidth="1"/>
    <col min="1628" max="1629" width="12.28515625" style="876" customWidth="1"/>
    <col min="1630" max="1632" width="14.85546875" style="876" customWidth="1"/>
    <col min="1633" max="1633" width="0" style="876" hidden="1" customWidth="1"/>
    <col min="1634" max="1635" width="12.140625" style="876" customWidth="1"/>
    <col min="1636" max="1636" width="10.7109375" style="876" customWidth="1"/>
    <col min="1637" max="1639" width="15.7109375" style="876" customWidth="1"/>
    <col min="1640" max="1640" width="11.85546875" style="876" customWidth="1"/>
    <col min="1641" max="1643" width="13.7109375" style="876" customWidth="1"/>
    <col min="1644" max="1644" width="3" style="876" customWidth="1"/>
    <col min="1645" max="1646" width="15.7109375" style="876" customWidth="1"/>
    <col min="1647" max="1805" width="9.140625" style="876"/>
    <col min="1806" max="1806" width="21.85546875" style="876" customWidth="1"/>
    <col min="1807" max="1807" width="32.28515625" style="876" customWidth="1"/>
    <col min="1808" max="1808" width="13" style="876" customWidth="1"/>
    <col min="1809" max="1839" width="15.7109375" style="876" customWidth="1"/>
    <col min="1840" max="1840" width="17.5703125" style="876" customWidth="1"/>
    <col min="1841" max="1841" width="20.140625" style="876" customWidth="1"/>
    <col min="1842" max="1876" width="15.7109375" style="876" customWidth="1"/>
    <col min="1877" max="1877" width="3" style="876" customWidth="1"/>
    <col min="1878" max="1878" width="9.140625" style="876" customWidth="1"/>
    <col min="1879" max="1880" width="9" style="876" customWidth="1"/>
    <col min="1881" max="1882" width="16" style="876" customWidth="1"/>
    <col min="1883" max="1883" width="9" style="876" customWidth="1"/>
    <col min="1884" max="1885" width="12.28515625" style="876" customWidth="1"/>
    <col min="1886" max="1888" width="14.85546875" style="876" customWidth="1"/>
    <col min="1889" max="1889" width="0" style="876" hidden="1" customWidth="1"/>
    <col min="1890" max="1891" width="12.140625" style="876" customWidth="1"/>
    <col min="1892" max="1892" width="10.7109375" style="876" customWidth="1"/>
    <col min="1893" max="1895" width="15.7109375" style="876" customWidth="1"/>
    <col min="1896" max="1896" width="11.85546875" style="876" customWidth="1"/>
    <col min="1897" max="1899" width="13.7109375" style="876" customWidth="1"/>
    <col min="1900" max="1900" width="3" style="876" customWidth="1"/>
    <col min="1901" max="1902" width="15.7109375" style="876" customWidth="1"/>
    <col min="1903" max="2061" width="9.140625" style="876"/>
    <col min="2062" max="2062" width="21.85546875" style="876" customWidth="1"/>
    <col min="2063" max="2063" width="32.28515625" style="876" customWidth="1"/>
    <col min="2064" max="2064" width="13" style="876" customWidth="1"/>
    <col min="2065" max="2095" width="15.7109375" style="876" customWidth="1"/>
    <col min="2096" max="2096" width="17.5703125" style="876" customWidth="1"/>
    <col min="2097" max="2097" width="20.140625" style="876" customWidth="1"/>
    <col min="2098" max="2132" width="15.7109375" style="876" customWidth="1"/>
    <col min="2133" max="2133" width="3" style="876" customWidth="1"/>
    <col min="2134" max="2134" width="9.140625" style="876" customWidth="1"/>
    <col min="2135" max="2136" width="9" style="876" customWidth="1"/>
    <col min="2137" max="2138" width="16" style="876" customWidth="1"/>
    <col min="2139" max="2139" width="9" style="876" customWidth="1"/>
    <col min="2140" max="2141" width="12.28515625" style="876" customWidth="1"/>
    <col min="2142" max="2144" width="14.85546875" style="876" customWidth="1"/>
    <col min="2145" max="2145" width="0" style="876" hidden="1" customWidth="1"/>
    <col min="2146" max="2147" width="12.140625" style="876" customWidth="1"/>
    <col min="2148" max="2148" width="10.7109375" style="876" customWidth="1"/>
    <col min="2149" max="2151" width="15.7109375" style="876" customWidth="1"/>
    <col min="2152" max="2152" width="11.85546875" style="876" customWidth="1"/>
    <col min="2153" max="2155" width="13.7109375" style="876" customWidth="1"/>
    <col min="2156" max="2156" width="3" style="876" customWidth="1"/>
    <col min="2157" max="2158" width="15.7109375" style="876" customWidth="1"/>
    <col min="2159" max="2317" width="9.140625" style="876"/>
    <col min="2318" max="2318" width="21.85546875" style="876" customWidth="1"/>
    <col min="2319" max="2319" width="32.28515625" style="876" customWidth="1"/>
    <col min="2320" max="2320" width="13" style="876" customWidth="1"/>
    <col min="2321" max="2351" width="15.7109375" style="876" customWidth="1"/>
    <col min="2352" max="2352" width="17.5703125" style="876" customWidth="1"/>
    <col min="2353" max="2353" width="20.140625" style="876" customWidth="1"/>
    <col min="2354" max="2388" width="15.7109375" style="876" customWidth="1"/>
    <col min="2389" max="2389" width="3" style="876" customWidth="1"/>
    <col min="2390" max="2390" width="9.140625" style="876" customWidth="1"/>
    <col min="2391" max="2392" width="9" style="876" customWidth="1"/>
    <col min="2393" max="2394" width="16" style="876" customWidth="1"/>
    <col min="2395" max="2395" width="9" style="876" customWidth="1"/>
    <col min="2396" max="2397" width="12.28515625" style="876" customWidth="1"/>
    <col min="2398" max="2400" width="14.85546875" style="876" customWidth="1"/>
    <col min="2401" max="2401" width="0" style="876" hidden="1" customWidth="1"/>
    <col min="2402" max="2403" width="12.140625" style="876" customWidth="1"/>
    <col min="2404" max="2404" width="10.7109375" style="876" customWidth="1"/>
    <col min="2405" max="2407" width="15.7109375" style="876" customWidth="1"/>
    <col min="2408" max="2408" width="11.85546875" style="876" customWidth="1"/>
    <col min="2409" max="2411" width="13.7109375" style="876" customWidth="1"/>
    <col min="2412" max="2412" width="3" style="876" customWidth="1"/>
    <col min="2413" max="2414" width="15.7109375" style="876" customWidth="1"/>
    <col min="2415" max="2573" width="9.140625" style="876"/>
    <col min="2574" max="2574" width="21.85546875" style="876" customWidth="1"/>
    <col min="2575" max="2575" width="32.28515625" style="876" customWidth="1"/>
    <col min="2576" max="2576" width="13" style="876" customWidth="1"/>
    <col min="2577" max="2607" width="15.7109375" style="876" customWidth="1"/>
    <col min="2608" max="2608" width="17.5703125" style="876" customWidth="1"/>
    <col min="2609" max="2609" width="20.140625" style="876" customWidth="1"/>
    <col min="2610" max="2644" width="15.7109375" style="876" customWidth="1"/>
    <col min="2645" max="2645" width="3" style="876" customWidth="1"/>
    <col min="2646" max="2646" width="9.140625" style="876" customWidth="1"/>
    <col min="2647" max="2648" width="9" style="876" customWidth="1"/>
    <col min="2649" max="2650" width="16" style="876" customWidth="1"/>
    <col min="2651" max="2651" width="9" style="876" customWidth="1"/>
    <col min="2652" max="2653" width="12.28515625" style="876" customWidth="1"/>
    <col min="2654" max="2656" width="14.85546875" style="876" customWidth="1"/>
    <col min="2657" max="2657" width="0" style="876" hidden="1" customWidth="1"/>
    <col min="2658" max="2659" width="12.140625" style="876" customWidth="1"/>
    <col min="2660" max="2660" width="10.7109375" style="876" customWidth="1"/>
    <col min="2661" max="2663" width="15.7109375" style="876" customWidth="1"/>
    <col min="2664" max="2664" width="11.85546875" style="876" customWidth="1"/>
    <col min="2665" max="2667" width="13.7109375" style="876" customWidth="1"/>
    <col min="2668" max="2668" width="3" style="876" customWidth="1"/>
    <col min="2669" max="2670" width="15.7109375" style="876" customWidth="1"/>
    <col min="2671" max="2829" width="9.140625" style="876"/>
    <col min="2830" max="2830" width="21.85546875" style="876" customWidth="1"/>
    <col min="2831" max="2831" width="32.28515625" style="876" customWidth="1"/>
    <col min="2832" max="2832" width="13" style="876" customWidth="1"/>
    <col min="2833" max="2863" width="15.7109375" style="876" customWidth="1"/>
    <col min="2864" max="2864" width="17.5703125" style="876" customWidth="1"/>
    <col min="2865" max="2865" width="20.140625" style="876" customWidth="1"/>
    <col min="2866" max="2900" width="15.7109375" style="876" customWidth="1"/>
    <col min="2901" max="2901" width="3" style="876" customWidth="1"/>
    <col min="2902" max="2902" width="9.140625" style="876" customWidth="1"/>
    <col min="2903" max="2904" width="9" style="876" customWidth="1"/>
    <col min="2905" max="2906" width="16" style="876" customWidth="1"/>
    <col min="2907" max="2907" width="9" style="876" customWidth="1"/>
    <col min="2908" max="2909" width="12.28515625" style="876" customWidth="1"/>
    <col min="2910" max="2912" width="14.85546875" style="876" customWidth="1"/>
    <col min="2913" max="2913" width="0" style="876" hidden="1" customWidth="1"/>
    <col min="2914" max="2915" width="12.140625" style="876" customWidth="1"/>
    <col min="2916" max="2916" width="10.7109375" style="876" customWidth="1"/>
    <col min="2917" max="2919" width="15.7109375" style="876" customWidth="1"/>
    <col min="2920" max="2920" width="11.85546875" style="876" customWidth="1"/>
    <col min="2921" max="2923" width="13.7109375" style="876" customWidth="1"/>
    <col min="2924" max="2924" width="3" style="876" customWidth="1"/>
    <col min="2925" max="2926" width="15.7109375" style="876" customWidth="1"/>
    <col min="2927" max="3085" width="9.140625" style="876"/>
    <col min="3086" max="3086" width="21.85546875" style="876" customWidth="1"/>
    <col min="3087" max="3087" width="32.28515625" style="876" customWidth="1"/>
    <col min="3088" max="3088" width="13" style="876" customWidth="1"/>
    <col min="3089" max="3119" width="15.7109375" style="876" customWidth="1"/>
    <col min="3120" max="3120" width="17.5703125" style="876" customWidth="1"/>
    <col min="3121" max="3121" width="20.140625" style="876" customWidth="1"/>
    <col min="3122" max="3156" width="15.7109375" style="876" customWidth="1"/>
    <col min="3157" max="3157" width="3" style="876" customWidth="1"/>
    <col min="3158" max="3158" width="9.140625" style="876" customWidth="1"/>
    <col min="3159" max="3160" width="9" style="876" customWidth="1"/>
    <col min="3161" max="3162" width="16" style="876" customWidth="1"/>
    <col min="3163" max="3163" width="9" style="876" customWidth="1"/>
    <col min="3164" max="3165" width="12.28515625" style="876" customWidth="1"/>
    <col min="3166" max="3168" width="14.85546875" style="876" customWidth="1"/>
    <col min="3169" max="3169" width="0" style="876" hidden="1" customWidth="1"/>
    <col min="3170" max="3171" width="12.140625" style="876" customWidth="1"/>
    <col min="3172" max="3172" width="10.7109375" style="876" customWidth="1"/>
    <col min="3173" max="3175" width="15.7109375" style="876" customWidth="1"/>
    <col min="3176" max="3176" width="11.85546875" style="876" customWidth="1"/>
    <col min="3177" max="3179" width="13.7109375" style="876" customWidth="1"/>
    <col min="3180" max="3180" width="3" style="876" customWidth="1"/>
    <col min="3181" max="3182" width="15.7109375" style="876" customWidth="1"/>
    <col min="3183" max="3341" width="9.140625" style="876"/>
    <col min="3342" max="3342" width="21.85546875" style="876" customWidth="1"/>
    <col min="3343" max="3343" width="32.28515625" style="876" customWidth="1"/>
    <col min="3344" max="3344" width="13" style="876" customWidth="1"/>
    <col min="3345" max="3375" width="15.7109375" style="876" customWidth="1"/>
    <col min="3376" max="3376" width="17.5703125" style="876" customWidth="1"/>
    <col min="3377" max="3377" width="20.140625" style="876" customWidth="1"/>
    <col min="3378" max="3412" width="15.7109375" style="876" customWidth="1"/>
    <col min="3413" max="3413" width="3" style="876" customWidth="1"/>
    <col min="3414" max="3414" width="9.140625" style="876" customWidth="1"/>
    <col min="3415" max="3416" width="9" style="876" customWidth="1"/>
    <col min="3417" max="3418" width="16" style="876" customWidth="1"/>
    <col min="3419" max="3419" width="9" style="876" customWidth="1"/>
    <col min="3420" max="3421" width="12.28515625" style="876" customWidth="1"/>
    <col min="3422" max="3424" width="14.85546875" style="876" customWidth="1"/>
    <col min="3425" max="3425" width="0" style="876" hidden="1" customWidth="1"/>
    <col min="3426" max="3427" width="12.140625" style="876" customWidth="1"/>
    <col min="3428" max="3428" width="10.7109375" style="876" customWidth="1"/>
    <col min="3429" max="3431" width="15.7109375" style="876" customWidth="1"/>
    <col min="3432" max="3432" width="11.85546875" style="876" customWidth="1"/>
    <col min="3433" max="3435" width="13.7109375" style="876" customWidth="1"/>
    <col min="3436" max="3436" width="3" style="876" customWidth="1"/>
    <col min="3437" max="3438" width="15.7109375" style="876" customWidth="1"/>
    <col min="3439" max="3597" width="9.140625" style="876"/>
    <col min="3598" max="3598" width="21.85546875" style="876" customWidth="1"/>
    <col min="3599" max="3599" width="32.28515625" style="876" customWidth="1"/>
    <col min="3600" max="3600" width="13" style="876" customWidth="1"/>
    <col min="3601" max="3631" width="15.7109375" style="876" customWidth="1"/>
    <col min="3632" max="3632" width="17.5703125" style="876" customWidth="1"/>
    <col min="3633" max="3633" width="20.140625" style="876" customWidth="1"/>
    <col min="3634" max="3668" width="15.7109375" style="876" customWidth="1"/>
    <col min="3669" max="3669" width="3" style="876" customWidth="1"/>
    <col min="3670" max="3670" width="9.140625" style="876" customWidth="1"/>
    <col min="3671" max="3672" width="9" style="876" customWidth="1"/>
    <col min="3673" max="3674" width="16" style="876" customWidth="1"/>
    <col min="3675" max="3675" width="9" style="876" customWidth="1"/>
    <col min="3676" max="3677" width="12.28515625" style="876" customWidth="1"/>
    <col min="3678" max="3680" width="14.85546875" style="876" customWidth="1"/>
    <col min="3681" max="3681" width="0" style="876" hidden="1" customWidth="1"/>
    <col min="3682" max="3683" width="12.140625" style="876" customWidth="1"/>
    <col min="3684" max="3684" width="10.7109375" style="876" customWidth="1"/>
    <col min="3685" max="3687" width="15.7109375" style="876" customWidth="1"/>
    <col min="3688" max="3688" width="11.85546875" style="876" customWidth="1"/>
    <col min="3689" max="3691" width="13.7109375" style="876" customWidth="1"/>
    <col min="3692" max="3692" width="3" style="876" customWidth="1"/>
    <col min="3693" max="3694" width="15.7109375" style="876" customWidth="1"/>
    <col min="3695" max="3853" width="9.140625" style="876"/>
    <col min="3854" max="3854" width="21.85546875" style="876" customWidth="1"/>
    <col min="3855" max="3855" width="32.28515625" style="876" customWidth="1"/>
    <col min="3856" max="3856" width="13" style="876" customWidth="1"/>
    <col min="3857" max="3887" width="15.7109375" style="876" customWidth="1"/>
    <col min="3888" max="3888" width="17.5703125" style="876" customWidth="1"/>
    <col min="3889" max="3889" width="20.140625" style="876" customWidth="1"/>
    <col min="3890" max="3924" width="15.7109375" style="876" customWidth="1"/>
    <col min="3925" max="3925" width="3" style="876" customWidth="1"/>
    <col min="3926" max="3926" width="9.140625" style="876" customWidth="1"/>
    <col min="3927" max="3928" width="9" style="876" customWidth="1"/>
    <col min="3929" max="3930" width="16" style="876" customWidth="1"/>
    <col min="3931" max="3931" width="9" style="876" customWidth="1"/>
    <col min="3932" max="3933" width="12.28515625" style="876" customWidth="1"/>
    <col min="3934" max="3936" width="14.85546875" style="876" customWidth="1"/>
    <col min="3937" max="3937" width="0" style="876" hidden="1" customWidth="1"/>
    <col min="3938" max="3939" width="12.140625" style="876" customWidth="1"/>
    <col min="3940" max="3940" width="10.7109375" style="876" customWidth="1"/>
    <col min="3941" max="3943" width="15.7109375" style="876" customWidth="1"/>
    <col min="3944" max="3944" width="11.85546875" style="876" customWidth="1"/>
    <col min="3945" max="3947" width="13.7109375" style="876" customWidth="1"/>
    <col min="3948" max="3948" width="3" style="876" customWidth="1"/>
    <col min="3949" max="3950" width="15.7109375" style="876" customWidth="1"/>
    <col min="3951" max="4109" width="9.140625" style="876"/>
    <col min="4110" max="4110" width="21.85546875" style="876" customWidth="1"/>
    <col min="4111" max="4111" width="32.28515625" style="876" customWidth="1"/>
    <col min="4112" max="4112" width="13" style="876" customWidth="1"/>
    <col min="4113" max="4143" width="15.7109375" style="876" customWidth="1"/>
    <col min="4144" max="4144" width="17.5703125" style="876" customWidth="1"/>
    <col min="4145" max="4145" width="20.140625" style="876" customWidth="1"/>
    <col min="4146" max="4180" width="15.7109375" style="876" customWidth="1"/>
    <col min="4181" max="4181" width="3" style="876" customWidth="1"/>
    <col min="4182" max="4182" width="9.140625" style="876" customWidth="1"/>
    <col min="4183" max="4184" width="9" style="876" customWidth="1"/>
    <col min="4185" max="4186" width="16" style="876" customWidth="1"/>
    <col min="4187" max="4187" width="9" style="876" customWidth="1"/>
    <col min="4188" max="4189" width="12.28515625" style="876" customWidth="1"/>
    <col min="4190" max="4192" width="14.85546875" style="876" customWidth="1"/>
    <col min="4193" max="4193" width="0" style="876" hidden="1" customWidth="1"/>
    <col min="4194" max="4195" width="12.140625" style="876" customWidth="1"/>
    <col min="4196" max="4196" width="10.7109375" style="876" customWidth="1"/>
    <col min="4197" max="4199" width="15.7109375" style="876" customWidth="1"/>
    <col min="4200" max="4200" width="11.85546875" style="876" customWidth="1"/>
    <col min="4201" max="4203" width="13.7109375" style="876" customWidth="1"/>
    <col min="4204" max="4204" width="3" style="876" customWidth="1"/>
    <col min="4205" max="4206" width="15.7109375" style="876" customWidth="1"/>
    <col min="4207" max="4365" width="9.140625" style="876"/>
    <col min="4366" max="4366" width="21.85546875" style="876" customWidth="1"/>
    <col min="4367" max="4367" width="32.28515625" style="876" customWidth="1"/>
    <col min="4368" max="4368" width="13" style="876" customWidth="1"/>
    <col min="4369" max="4399" width="15.7109375" style="876" customWidth="1"/>
    <col min="4400" max="4400" width="17.5703125" style="876" customWidth="1"/>
    <col min="4401" max="4401" width="20.140625" style="876" customWidth="1"/>
    <col min="4402" max="4436" width="15.7109375" style="876" customWidth="1"/>
    <col min="4437" max="4437" width="3" style="876" customWidth="1"/>
    <col min="4438" max="4438" width="9.140625" style="876" customWidth="1"/>
    <col min="4439" max="4440" width="9" style="876" customWidth="1"/>
    <col min="4441" max="4442" width="16" style="876" customWidth="1"/>
    <col min="4443" max="4443" width="9" style="876" customWidth="1"/>
    <col min="4444" max="4445" width="12.28515625" style="876" customWidth="1"/>
    <col min="4446" max="4448" width="14.85546875" style="876" customWidth="1"/>
    <col min="4449" max="4449" width="0" style="876" hidden="1" customWidth="1"/>
    <col min="4450" max="4451" width="12.140625" style="876" customWidth="1"/>
    <col min="4452" max="4452" width="10.7109375" style="876" customWidth="1"/>
    <col min="4453" max="4455" width="15.7109375" style="876" customWidth="1"/>
    <col min="4456" max="4456" width="11.85546875" style="876" customWidth="1"/>
    <col min="4457" max="4459" width="13.7109375" style="876" customWidth="1"/>
    <col min="4460" max="4460" width="3" style="876" customWidth="1"/>
    <col min="4461" max="4462" width="15.7109375" style="876" customWidth="1"/>
    <col min="4463" max="4621" width="9.140625" style="876"/>
    <col min="4622" max="4622" width="21.85546875" style="876" customWidth="1"/>
    <col min="4623" max="4623" width="32.28515625" style="876" customWidth="1"/>
    <col min="4624" max="4624" width="13" style="876" customWidth="1"/>
    <col min="4625" max="4655" width="15.7109375" style="876" customWidth="1"/>
    <col min="4656" max="4656" width="17.5703125" style="876" customWidth="1"/>
    <col min="4657" max="4657" width="20.140625" style="876" customWidth="1"/>
    <col min="4658" max="4692" width="15.7109375" style="876" customWidth="1"/>
    <col min="4693" max="4693" width="3" style="876" customWidth="1"/>
    <col min="4694" max="4694" width="9.140625" style="876" customWidth="1"/>
    <col min="4695" max="4696" width="9" style="876" customWidth="1"/>
    <col min="4697" max="4698" width="16" style="876" customWidth="1"/>
    <col min="4699" max="4699" width="9" style="876" customWidth="1"/>
    <col min="4700" max="4701" width="12.28515625" style="876" customWidth="1"/>
    <col min="4702" max="4704" width="14.85546875" style="876" customWidth="1"/>
    <col min="4705" max="4705" width="0" style="876" hidden="1" customWidth="1"/>
    <col min="4706" max="4707" width="12.140625" style="876" customWidth="1"/>
    <col min="4708" max="4708" width="10.7109375" style="876" customWidth="1"/>
    <col min="4709" max="4711" width="15.7109375" style="876" customWidth="1"/>
    <col min="4712" max="4712" width="11.85546875" style="876" customWidth="1"/>
    <col min="4713" max="4715" width="13.7109375" style="876" customWidth="1"/>
    <col min="4716" max="4716" width="3" style="876" customWidth="1"/>
    <col min="4717" max="4718" width="15.7109375" style="876" customWidth="1"/>
    <col min="4719" max="4877" width="9.140625" style="876"/>
    <col min="4878" max="4878" width="21.85546875" style="876" customWidth="1"/>
    <col min="4879" max="4879" width="32.28515625" style="876" customWidth="1"/>
    <col min="4880" max="4880" width="13" style="876" customWidth="1"/>
    <col min="4881" max="4911" width="15.7109375" style="876" customWidth="1"/>
    <col min="4912" max="4912" width="17.5703125" style="876" customWidth="1"/>
    <col min="4913" max="4913" width="20.140625" style="876" customWidth="1"/>
    <col min="4914" max="4948" width="15.7109375" style="876" customWidth="1"/>
    <col min="4949" max="4949" width="3" style="876" customWidth="1"/>
    <col min="4950" max="4950" width="9.140625" style="876" customWidth="1"/>
    <col min="4951" max="4952" width="9" style="876" customWidth="1"/>
    <col min="4953" max="4954" width="16" style="876" customWidth="1"/>
    <col min="4955" max="4955" width="9" style="876" customWidth="1"/>
    <col min="4956" max="4957" width="12.28515625" style="876" customWidth="1"/>
    <col min="4958" max="4960" width="14.85546875" style="876" customWidth="1"/>
    <col min="4961" max="4961" width="0" style="876" hidden="1" customWidth="1"/>
    <col min="4962" max="4963" width="12.140625" style="876" customWidth="1"/>
    <col min="4964" max="4964" width="10.7109375" style="876" customWidth="1"/>
    <col min="4965" max="4967" width="15.7109375" style="876" customWidth="1"/>
    <col min="4968" max="4968" width="11.85546875" style="876" customWidth="1"/>
    <col min="4969" max="4971" width="13.7109375" style="876" customWidth="1"/>
    <col min="4972" max="4972" width="3" style="876" customWidth="1"/>
    <col min="4973" max="4974" width="15.7109375" style="876" customWidth="1"/>
    <col min="4975" max="5133" width="9.140625" style="876"/>
    <col min="5134" max="5134" width="21.85546875" style="876" customWidth="1"/>
    <col min="5135" max="5135" width="32.28515625" style="876" customWidth="1"/>
    <col min="5136" max="5136" width="13" style="876" customWidth="1"/>
    <col min="5137" max="5167" width="15.7109375" style="876" customWidth="1"/>
    <col min="5168" max="5168" width="17.5703125" style="876" customWidth="1"/>
    <col min="5169" max="5169" width="20.140625" style="876" customWidth="1"/>
    <col min="5170" max="5204" width="15.7109375" style="876" customWidth="1"/>
    <col min="5205" max="5205" width="3" style="876" customWidth="1"/>
    <col min="5206" max="5206" width="9.140625" style="876" customWidth="1"/>
    <col min="5207" max="5208" width="9" style="876" customWidth="1"/>
    <col min="5209" max="5210" width="16" style="876" customWidth="1"/>
    <col min="5211" max="5211" width="9" style="876" customWidth="1"/>
    <col min="5212" max="5213" width="12.28515625" style="876" customWidth="1"/>
    <col min="5214" max="5216" width="14.85546875" style="876" customWidth="1"/>
    <col min="5217" max="5217" width="0" style="876" hidden="1" customWidth="1"/>
    <col min="5218" max="5219" width="12.140625" style="876" customWidth="1"/>
    <col min="5220" max="5220" width="10.7109375" style="876" customWidth="1"/>
    <col min="5221" max="5223" width="15.7109375" style="876" customWidth="1"/>
    <col min="5224" max="5224" width="11.85546875" style="876" customWidth="1"/>
    <col min="5225" max="5227" width="13.7109375" style="876" customWidth="1"/>
    <col min="5228" max="5228" width="3" style="876" customWidth="1"/>
    <col min="5229" max="5230" width="15.7109375" style="876" customWidth="1"/>
    <col min="5231" max="5389" width="9.140625" style="876"/>
    <col min="5390" max="5390" width="21.85546875" style="876" customWidth="1"/>
    <col min="5391" max="5391" width="32.28515625" style="876" customWidth="1"/>
    <col min="5392" max="5392" width="13" style="876" customWidth="1"/>
    <col min="5393" max="5423" width="15.7109375" style="876" customWidth="1"/>
    <col min="5424" max="5424" width="17.5703125" style="876" customWidth="1"/>
    <col min="5425" max="5425" width="20.140625" style="876" customWidth="1"/>
    <col min="5426" max="5460" width="15.7109375" style="876" customWidth="1"/>
    <col min="5461" max="5461" width="3" style="876" customWidth="1"/>
    <col min="5462" max="5462" width="9.140625" style="876" customWidth="1"/>
    <col min="5463" max="5464" width="9" style="876" customWidth="1"/>
    <col min="5465" max="5466" width="16" style="876" customWidth="1"/>
    <col min="5467" max="5467" width="9" style="876" customWidth="1"/>
    <col min="5468" max="5469" width="12.28515625" style="876" customWidth="1"/>
    <col min="5470" max="5472" width="14.85546875" style="876" customWidth="1"/>
    <col min="5473" max="5473" width="0" style="876" hidden="1" customWidth="1"/>
    <col min="5474" max="5475" width="12.140625" style="876" customWidth="1"/>
    <col min="5476" max="5476" width="10.7109375" style="876" customWidth="1"/>
    <col min="5477" max="5479" width="15.7109375" style="876" customWidth="1"/>
    <col min="5480" max="5480" width="11.85546875" style="876" customWidth="1"/>
    <col min="5481" max="5483" width="13.7109375" style="876" customWidth="1"/>
    <col min="5484" max="5484" width="3" style="876" customWidth="1"/>
    <col min="5485" max="5486" width="15.7109375" style="876" customWidth="1"/>
    <col min="5487" max="5645" width="9.140625" style="876"/>
    <col min="5646" max="5646" width="21.85546875" style="876" customWidth="1"/>
    <col min="5647" max="5647" width="32.28515625" style="876" customWidth="1"/>
    <col min="5648" max="5648" width="13" style="876" customWidth="1"/>
    <col min="5649" max="5679" width="15.7109375" style="876" customWidth="1"/>
    <col min="5680" max="5680" width="17.5703125" style="876" customWidth="1"/>
    <col min="5681" max="5681" width="20.140625" style="876" customWidth="1"/>
    <col min="5682" max="5716" width="15.7109375" style="876" customWidth="1"/>
    <col min="5717" max="5717" width="3" style="876" customWidth="1"/>
    <col min="5718" max="5718" width="9.140625" style="876" customWidth="1"/>
    <col min="5719" max="5720" width="9" style="876" customWidth="1"/>
    <col min="5721" max="5722" width="16" style="876" customWidth="1"/>
    <col min="5723" max="5723" width="9" style="876" customWidth="1"/>
    <col min="5724" max="5725" width="12.28515625" style="876" customWidth="1"/>
    <col min="5726" max="5728" width="14.85546875" style="876" customWidth="1"/>
    <col min="5729" max="5729" width="0" style="876" hidden="1" customWidth="1"/>
    <col min="5730" max="5731" width="12.140625" style="876" customWidth="1"/>
    <col min="5732" max="5732" width="10.7109375" style="876" customWidth="1"/>
    <col min="5733" max="5735" width="15.7109375" style="876" customWidth="1"/>
    <col min="5736" max="5736" width="11.85546875" style="876" customWidth="1"/>
    <col min="5737" max="5739" width="13.7109375" style="876" customWidth="1"/>
    <col min="5740" max="5740" width="3" style="876" customWidth="1"/>
    <col min="5741" max="5742" width="15.7109375" style="876" customWidth="1"/>
    <col min="5743" max="5901" width="9.140625" style="876"/>
    <col min="5902" max="5902" width="21.85546875" style="876" customWidth="1"/>
    <col min="5903" max="5903" width="32.28515625" style="876" customWidth="1"/>
    <col min="5904" max="5904" width="13" style="876" customWidth="1"/>
    <col min="5905" max="5935" width="15.7109375" style="876" customWidth="1"/>
    <col min="5936" max="5936" width="17.5703125" style="876" customWidth="1"/>
    <col min="5937" max="5937" width="20.140625" style="876" customWidth="1"/>
    <col min="5938" max="5972" width="15.7109375" style="876" customWidth="1"/>
    <col min="5973" max="5973" width="3" style="876" customWidth="1"/>
    <col min="5974" max="5974" width="9.140625" style="876" customWidth="1"/>
    <col min="5975" max="5976" width="9" style="876" customWidth="1"/>
    <col min="5977" max="5978" width="16" style="876" customWidth="1"/>
    <col min="5979" max="5979" width="9" style="876" customWidth="1"/>
    <col min="5980" max="5981" width="12.28515625" style="876" customWidth="1"/>
    <col min="5982" max="5984" width="14.85546875" style="876" customWidth="1"/>
    <col min="5985" max="5985" width="0" style="876" hidden="1" customWidth="1"/>
    <col min="5986" max="5987" width="12.140625" style="876" customWidth="1"/>
    <col min="5988" max="5988" width="10.7109375" style="876" customWidth="1"/>
    <col min="5989" max="5991" width="15.7109375" style="876" customWidth="1"/>
    <col min="5992" max="5992" width="11.85546875" style="876" customWidth="1"/>
    <col min="5993" max="5995" width="13.7109375" style="876" customWidth="1"/>
    <col min="5996" max="5996" width="3" style="876" customWidth="1"/>
    <col min="5997" max="5998" width="15.7109375" style="876" customWidth="1"/>
    <col min="5999" max="6157" width="9.140625" style="876"/>
    <col min="6158" max="6158" width="21.85546875" style="876" customWidth="1"/>
    <col min="6159" max="6159" width="32.28515625" style="876" customWidth="1"/>
    <col min="6160" max="6160" width="13" style="876" customWidth="1"/>
    <col min="6161" max="6191" width="15.7109375" style="876" customWidth="1"/>
    <col min="6192" max="6192" width="17.5703125" style="876" customWidth="1"/>
    <col min="6193" max="6193" width="20.140625" style="876" customWidth="1"/>
    <col min="6194" max="6228" width="15.7109375" style="876" customWidth="1"/>
    <col min="6229" max="6229" width="3" style="876" customWidth="1"/>
    <col min="6230" max="6230" width="9.140625" style="876" customWidth="1"/>
    <col min="6231" max="6232" width="9" style="876" customWidth="1"/>
    <col min="6233" max="6234" width="16" style="876" customWidth="1"/>
    <col min="6235" max="6235" width="9" style="876" customWidth="1"/>
    <col min="6236" max="6237" width="12.28515625" style="876" customWidth="1"/>
    <col min="6238" max="6240" width="14.85546875" style="876" customWidth="1"/>
    <col min="6241" max="6241" width="0" style="876" hidden="1" customWidth="1"/>
    <col min="6242" max="6243" width="12.140625" style="876" customWidth="1"/>
    <col min="6244" max="6244" width="10.7109375" style="876" customWidth="1"/>
    <col min="6245" max="6247" width="15.7109375" style="876" customWidth="1"/>
    <col min="6248" max="6248" width="11.85546875" style="876" customWidth="1"/>
    <col min="6249" max="6251" width="13.7109375" style="876" customWidth="1"/>
    <col min="6252" max="6252" width="3" style="876" customWidth="1"/>
    <col min="6253" max="6254" width="15.7109375" style="876" customWidth="1"/>
    <col min="6255" max="6413" width="9.140625" style="876"/>
    <col min="6414" max="6414" width="21.85546875" style="876" customWidth="1"/>
    <col min="6415" max="6415" width="32.28515625" style="876" customWidth="1"/>
    <col min="6416" max="6416" width="13" style="876" customWidth="1"/>
    <col min="6417" max="6447" width="15.7109375" style="876" customWidth="1"/>
    <col min="6448" max="6448" width="17.5703125" style="876" customWidth="1"/>
    <col min="6449" max="6449" width="20.140625" style="876" customWidth="1"/>
    <col min="6450" max="6484" width="15.7109375" style="876" customWidth="1"/>
    <col min="6485" max="6485" width="3" style="876" customWidth="1"/>
    <col min="6486" max="6486" width="9.140625" style="876" customWidth="1"/>
    <col min="6487" max="6488" width="9" style="876" customWidth="1"/>
    <col min="6489" max="6490" width="16" style="876" customWidth="1"/>
    <col min="6491" max="6491" width="9" style="876" customWidth="1"/>
    <col min="6492" max="6493" width="12.28515625" style="876" customWidth="1"/>
    <col min="6494" max="6496" width="14.85546875" style="876" customWidth="1"/>
    <col min="6497" max="6497" width="0" style="876" hidden="1" customWidth="1"/>
    <col min="6498" max="6499" width="12.140625" style="876" customWidth="1"/>
    <col min="6500" max="6500" width="10.7109375" style="876" customWidth="1"/>
    <col min="6501" max="6503" width="15.7109375" style="876" customWidth="1"/>
    <col min="6504" max="6504" width="11.85546875" style="876" customWidth="1"/>
    <col min="6505" max="6507" width="13.7109375" style="876" customWidth="1"/>
    <col min="6508" max="6508" width="3" style="876" customWidth="1"/>
    <col min="6509" max="6510" width="15.7109375" style="876" customWidth="1"/>
    <col min="6511" max="6669" width="9.140625" style="876"/>
    <col min="6670" max="6670" width="21.85546875" style="876" customWidth="1"/>
    <col min="6671" max="6671" width="32.28515625" style="876" customWidth="1"/>
    <col min="6672" max="6672" width="13" style="876" customWidth="1"/>
    <col min="6673" max="6703" width="15.7109375" style="876" customWidth="1"/>
    <col min="6704" max="6704" width="17.5703125" style="876" customWidth="1"/>
    <col min="6705" max="6705" width="20.140625" style="876" customWidth="1"/>
    <col min="6706" max="6740" width="15.7109375" style="876" customWidth="1"/>
    <col min="6741" max="6741" width="3" style="876" customWidth="1"/>
    <col min="6742" max="6742" width="9.140625" style="876" customWidth="1"/>
    <col min="6743" max="6744" width="9" style="876" customWidth="1"/>
    <col min="6745" max="6746" width="16" style="876" customWidth="1"/>
    <col min="6747" max="6747" width="9" style="876" customWidth="1"/>
    <col min="6748" max="6749" width="12.28515625" style="876" customWidth="1"/>
    <col min="6750" max="6752" width="14.85546875" style="876" customWidth="1"/>
    <col min="6753" max="6753" width="0" style="876" hidden="1" customWidth="1"/>
    <col min="6754" max="6755" width="12.140625" style="876" customWidth="1"/>
    <col min="6756" max="6756" width="10.7109375" style="876" customWidth="1"/>
    <col min="6757" max="6759" width="15.7109375" style="876" customWidth="1"/>
    <col min="6760" max="6760" width="11.85546875" style="876" customWidth="1"/>
    <col min="6761" max="6763" width="13.7109375" style="876" customWidth="1"/>
    <col min="6764" max="6764" width="3" style="876" customWidth="1"/>
    <col min="6765" max="6766" width="15.7109375" style="876" customWidth="1"/>
    <col min="6767" max="6925" width="9.140625" style="876"/>
    <col min="6926" max="6926" width="21.85546875" style="876" customWidth="1"/>
    <col min="6927" max="6927" width="32.28515625" style="876" customWidth="1"/>
    <col min="6928" max="6928" width="13" style="876" customWidth="1"/>
    <col min="6929" max="6959" width="15.7109375" style="876" customWidth="1"/>
    <col min="6960" max="6960" width="17.5703125" style="876" customWidth="1"/>
    <col min="6961" max="6961" width="20.140625" style="876" customWidth="1"/>
    <col min="6962" max="6996" width="15.7109375" style="876" customWidth="1"/>
    <col min="6997" max="6997" width="3" style="876" customWidth="1"/>
    <col min="6998" max="6998" width="9.140625" style="876" customWidth="1"/>
    <col min="6999" max="7000" width="9" style="876" customWidth="1"/>
    <col min="7001" max="7002" width="16" style="876" customWidth="1"/>
    <col min="7003" max="7003" width="9" style="876" customWidth="1"/>
    <col min="7004" max="7005" width="12.28515625" style="876" customWidth="1"/>
    <col min="7006" max="7008" width="14.85546875" style="876" customWidth="1"/>
    <col min="7009" max="7009" width="0" style="876" hidden="1" customWidth="1"/>
    <col min="7010" max="7011" width="12.140625" style="876" customWidth="1"/>
    <col min="7012" max="7012" width="10.7109375" style="876" customWidth="1"/>
    <col min="7013" max="7015" width="15.7109375" style="876" customWidth="1"/>
    <col min="7016" max="7016" width="11.85546875" style="876" customWidth="1"/>
    <col min="7017" max="7019" width="13.7109375" style="876" customWidth="1"/>
    <col min="7020" max="7020" width="3" style="876" customWidth="1"/>
    <col min="7021" max="7022" width="15.7109375" style="876" customWidth="1"/>
    <col min="7023" max="7181" width="9.140625" style="876"/>
    <col min="7182" max="7182" width="21.85546875" style="876" customWidth="1"/>
    <col min="7183" max="7183" width="32.28515625" style="876" customWidth="1"/>
    <col min="7184" max="7184" width="13" style="876" customWidth="1"/>
    <col min="7185" max="7215" width="15.7109375" style="876" customWidth="1"/>
    <col min="7216" max="7216" width="17.5703125" style="876" customWidth="1"/>
    <col min="7217" max="7217" width="20.140625" style="876" customWidth="1"/>
    <col min="7218" max="7252" width="15.7109375" style="876" customWidth="1"/>
    <col min="7253" max="7253" width="3" style="876" customWidth="1"/>
    <col min="7254" max="7254" width="9.140625" style="876" customWidth="1"/>
    <col min="7255" max="7256" width="9" style="876" customWidth="1"/>
    <col min="7257" max="7258" width="16" style="876" customWidth="1"/>
    <col min="7259" max="7259" width="9" style="876" customWidth="1"/>
    <col min="7260" max="7261" width="12.28515625" style="876" customWidth="1"/>
    <col min="7262" max="7264" width="14.85546875" style="876" customWidth="1"/>
    <col min="7265" max="7265" width="0" style="876" hidden="1" customWidth="1"/>
    <col min="7266" max="7267" width="12.140625" style="876" customWidth="1"/>
    <col min="7268" max="7268" width="10.7109375" style="876" customWidth="1"/>
    <col min="7269" max="7271" width="15.7109375" style="876" customWidth="1"/>
    <col min="7272" max="7272" width="11.85546875" style="876" customWidth="1"/>
    <col min="7273" max="7275" width="13.7109375" style="876" customWidth="1"/>
    <col min="7276" max="7276" width="3" style="876" customWidth="1"/>
    <col min="7277" max="7278" width="15.7109375" style="876" customWidth="1"/>
    <col min="7279" max="7437" width="9.140625" style="876"/>
    <col min="7438" max="7438" width="21.85546875" style="876" customWidth="1"/>
    <col min="7439" max="7439" width="32.28515625" style="876" customWidth="1"/>
    <col min="7440" max="7440" width="13" style="876" customWidth="1"/>
    <col min="7441" max="7471" width="15.7109375" style="876" customWidth="1"/>
    <col min="7472" max="7472" width="17.5703125" style="876" customWidth="1"/>
    <col min="7473" max="7473" width="20.140625" style="876" customWidth="1"/>
    <col min="7474" max="7508" width="15.7109375" style="876" customWidth="1"/>
    <col min="7509" max="7509" width="3" style="876" customWidth="1"/>
    <col min="7510" max="7510" width="9.140625" style="876" customWidth="1"/>
    <col min="7511" max="7512" width="9" style="876" customWidth="1"/>
    <col min="7513" max="7514" width="16" style="876" customWidth="1"/>
    <col min="7515" max="7515" width="9" style="876" customWidth="1"/>
    <col min="7516" max="7517" width="12.28515625" style="876" customWidth="1"/>
    <col min="7518" max="7520" width="14.85546875" style="876" customWidth="1"/>
    <col min="7521" max="7521" width="0" style="876" hidden="1" customWidth="1"/>
    <col min="7522" max="7523" width="12.140625" style="876" customWidth="1"/>
    <col min="7524" max="7524" width="10.7109375" style="876" customWidth="1"/>
    <col min="7525" max="7527" width="15.7109375" style="876" customWidth="1"/>
    <col min="7528" max="7528" width="11.85546875" style="876" customWidth="1"/>
    <col min="7529" max="7531" width="13.7109375" style="876" customWidth="1"/>
    <col min="7532" max="7532" width="3" style="876" customWidth="1"/>
    <col min="7533" max="7534" width="15.7109375" style="876" customWidth="1"/>
    <col min="7535" max="7693" width="9.140625" style="876"/>
    <col min="7694" max="7694" width="21.85546875" style="876" customWidth="1"/>
    <col min="7695" max="7695" width="32.28515625" style="876" customWidth="1"/>
    <col min="7696" max="7696" width="13" style="876" customWidth="1"/>
    <col min="7697" max="7727" width="15.7109375" style="876" customWidth="1"/>
    <col min="7728" max="7728" width="17.5703125" style="876" customWidth="1"/>
    <col min="7729" max="7729" width="20.140625" style="876" customWidth="1"/>
    <col min="7730" max="7764" width="15.7109375" style="876" customWidth="1"/>
    <col min="7765" max="7765" width="3" style="876" customWidth="1"/>
    <col min="7766" max="7766" width="9.140625" style="876" customWidth="1"/>
    <col min="7767" max="7768" width="9" style="876" customWidth="1"/>
    <col min="7769" max="7770" width="16" style="876" customWidth="1"/>
    <col min="7771" max="7771" width="9" style="876" customWidth="1"/>
    <col min="7772" max="7773" width="12.28515625" style="876" customWidth="1"/>
    <col min="7774" max="7776" width="14.85546875" style="876" customWidth="1"/>
    <col min="7777" max="7777" width="0" style="876" hidden="1" customWidth="1"/>
    <col min="7778" max="7779" width="12.140625" style="876" customWidth="1"/>
    <col min="7780" max="7780" width="10.7109375" style="876" customWidth="1"/>
    <col min="7781" max="7783" width="15.7109375" style="876" customWidth="1"/>
    <col min="7784" max="7784" width="11.85546875" style="876" customWidth="1"/>
    <col min="7785" max="7787" width="13.7109375" style="876" customWidth="1"/>
    <col min="7788" max="7788" width="3" style="876" customWidth="1"/>
    <col min="7789" max="7790" width="15.7109375" style="876" customWidth="1"/>
    <col min="7791" max="7949" width="9.140625" style="876"/>
    <col min="7950" max="7950" width="21.85546875" style="876" customWidth="1"/>
    <col min="7951" max="7951" width="32.28515625" style="876" customWidth="1"/>
    <col min="7952" max="7952" width="13" style="876" customWidth="1"/>
    <col min="7953" max="7983" width="15.7109375" style="876" customWidth="1"/>
    <col min="7984" max="7984" width="17.5703125" style="876" customWidth="1"/>
    <col min="7985" max="7985" width="20.140625" style="876" customWidth="1"/>
    <col min="7986" max="8020" width="15.7109375" style="876" customWidth="1"/>
    <col min="8021" max="8021" width="3" style="876" customWidth="1"/>
    <col min="8022" max="8022" width="9.140625" style="876" customWidth="1"/>
    <col min="8023" max="8024" width="9" style="876" customWidth="1"/>
    <col min="8025" max="8026" width="16" style="876" customWidth="1"/>
    <col min="8027" max="8027" width="9" style="876" customWidth="1"/>
    <col min="8028" max="8029" width="12.28515625" style="876" customWidth="1"/>
    <col min="8030" max="8032" width="14.85546875" style="876" customWidth="1"/>
    <col min="8033" max="8033" width="0" style="876" hidden="1" customWidth="1"/>
    <col min="8034" max="8035" width="12.140625" style="876" customWidth="1"/>
    <col min="8036" max="8036" width="10.7109375" style="876" customWidth="1"/>
    <col min="8037" max="8039" width="15.7109375" style="876" customWidth="1"/>
    <col min="8040" max="8040" width="11.85546875" style="876" customWidth="1"/>
    <col min="8041" max="8043" width="13.7109375" style="876" customWidth="1"/>
    <col min="8044" max="8044" width="3" style="876" customWidth="1"/>
    <col min="8045" max="8046" width="15.7109375" style="876" customWidth="1"/>
    <col min="8047" max="8205" width="9.140625" style="876"/>
    <col min="8206" max="8206" width="21.85546875" style="876" customWidth="1"/>
    <col min="8207" max="8207" width="32.28515625" style="876" customWidth="1"/>
    <col min="8208" max="8208" width="13" style="876" customWidth="1"/>
    <col min="8209" max="8239" width="15.7109375" style="876" customWidth="1"/>
    <col min="8240" max="8240" width="17.5703125" style="876" customWidth="1"/>
    <col min="8241" max="8241" width="20.140625" style="876" customWidth="1"/>
    <col min="8242" max="8276" width="15.7109375" style="876" customWidth="1"/>
    <col min="8277" max="8277" width="3" style="876" customWidth="1"/>
    <col min="8278" max="8278" width="9.140625" style="876" customWidth="1"/>
    <col min="8279" max="8280" width="9" style="876" customWidth="1"/>
    <col min="8281" max="8282" width="16" style="876" customWidth="1"/>
    <col min="8283" max="8283" width="9" style="876" customWidth="1"/>
    <col min="8284" max="8285" width="12.28515625" style="876" customWidth="1"/>
    <col min="8286" max="8288" width="14.85546875" style="876" customWidth="1"/>
    <col min="8289" max="8289" width="0" style="876" hidden="1" customWidth="1"/>
    <col min="8290" max="8291" width="12.140625" style="876" customWidth="1"/>
    <col min="8292" max="8292" width="10.7109375" style="876" customWidth="1"/>
    <col min="8293" max="8295" width="15.7109375" style="876" customWidth="1"/>
    <col min="8296" max="8296" width="11.85546875" style="876" customWidth="1"/>
    <col min="8297" max="8299" width="13.7109375" style="876" customWidth="1"/>
    <col min="8300" max="8300" width="3" style="876" customWidth="1"/>
    <col min="8301" max="8302" width="15.7109375" style="876" customWidth="1"/>
    <col min="8303" max="8461" width="9.140625" style="876"/>
    <col min="8462" max="8462" width="21.85546875" style="876" customWidth="1"/>
    <col min="8463" max="8463" width="32.28515625" style="876" customWidth="1"/>
    <col min="8464" max="8464" width="13" style="876" customWidth="1"/>
    <col min="8465" max="8495" width="15.7109375" style="876" customWidth="1"/>
    <col min="8496" max="8496" width="17.5703125" style="876" customWidth="1"/>
    <col min="8497" max="8497" width="20.140625" style="876" customWidth="1"/>
    <col min="8498" max="8532" width="15.7109375" style="876" customWidth="1"/>
    <col min="8533" max="8533" width="3" style="876" customWidth="1"/>
    <col min="8534" max="8534" width="9.140625" style="876" customWidth="1"/>
    <col min="8535" max="8536" width="9" style="876" customWidth="1"/>
    <col min="8537" max="8538" width="16" style="876" customWidth="1"/>
    <col min="8539" max="8539" width="9" style="876" customWidth="1"/>
    <col min="8540" max="8541" width="12.28515625" style="876" customWidth="1"/>
    <col min="8542" max="8544" width="14.85546875" style="876" customWidth="1"/>
    <col min="8545" max="8545" width="0" style="876" hidden="1" customWidth="1"/>
    <col min="8546" max="8547" width="12.140625" style="876" customWidth="1"/>
    <col min="8548" max="8548" width="10.7109375" style="876" customWidth="1"/>
    <col min="8549" max="8551" width="15.7109375" style="876" customWidth="1"/>
    <col min="8552" max="8552" width="11.85546875" style="876" customWidth="1"/>
    <col min="8553" max="8555" width="13.7109375" style="876" customWidth="1"/>
    <col min="8556" max="8556" width="3" style="876" customWidth="1"/>
    <col min="8557" max="8558" width="15.7109375" style="876" customWidth="1"/>
    <col min="8559" max="8717" width="9.140625" style="876"/>
    <col min="8718" max="8718" width="21.85546875" style="876" customWidth="1"/>
    <col min="8719" max="8719" width="32.28515625" style="876" customWidth="1"/>
    <col min="8720" max="8720" width="13" style="876" customWidth="1"/>
    <col min="8721" max="8751" width="15.7109375" style="876" customWidth="1"/>
    <col min="8752" max="8752" width="17.5703125" style="876" customWidth="1"/>
    <col min="8753" max="8753" width="20.140625" style="876" customWidth="1"/>
    <col min="8754" max="8788" width="15.7109375" style="876" customWidth="1"/>
    <col min="8789" max="8789" width="3" style="876" customWidth="1"/>
    <col min="8790" max="8790" width="9.140625" style="876" customWidth="1"/>
    <col min="8791" max="8792" width="9" style="876" customWidth="1"/>
    <col min="8793" max="8794" width="16" style="876" customWidth="1"/>
    <col min="8795" max="8795" width="9" style="876" customWidth="1"/>
    <col min="8796" max="8797" width="12.28515625" style="876" customWidth="1"/>
    <col min="8798" max="8800" width="14.85546875" style="876" customWidth="1"/>
    <col min="8801" max="8801" width="0" style="876" hidden="1" customWidth="1"/>
    <col min="8802" max="8803" width="12.140625" style="876" customWidth="1"/>
    <col min="8804" max="8804" width="10.7109375" style="876" customWidth="1"/>
    <col min="8805" max="8807" width="15.7109375" style="876" customWidth="1"/>
    <col min="8808" max="8808" width="11.85546875" style="876" customWidth="1"/>
    <col min="8809" max="8811" width="13.7109375" style="876" customWidth="1"/>
    <col min="8812" max="8812" width="3" style="876" customWidth="1"/>
    <col min="8813" max="8814" width="15.7109375" style="876" customWidth="1"/>
    <col min="8815" max="8973" width="9.140625" style="876"/>
    <col min="8974" max="8974" width="21.85546875" style="876" customWidth="1"/>
    <col min="8975" max="8975" width="32.28515625" style="876" customWidth="1"/>
    <col min="8976" max="8976" width="13" style="876" customWidth="1"/>
    <col min="8977" max="9007" width="15.7109375" style="876" customWidth="1"/>
    <col min="9008" max="9008" width="17.5703125" style="876" customWidth="1"/>
    <col min="9009" max="9009" width="20.140625" style="876" customWidth="1"/>
    <col min="9010" max="9044" width="15.7109375" style="876" customWidth="1"/>
    <col min="9045" max="9045" width="3" style="876" customWidth="1"/>
    <col min="9046" max="9046" width="9.140625" style="876" customWidth="1"/>
    <col min="9047" max="9048" width="9" style="876" customWidth="1"/>
    <col min="9049" max="9050" width="16" style="876" customWidth="1"/>
    <col min="9051" max="9051" width="9" style="876" customWidth="1"/>
    <col min="9052" max="9053" width="12.28515625" style="876" customWidth="1"/>
    <col min="9054" max="9056" width="14.85546875" style="876" customWidth="1"/>
    <col min="9057" max="9057" width="0" style="876" hidden="1" customWidth="1"/>
    <col min="9058" max="9059" width="12.140625" style="876" customWidth="1"/>
    <col min="9060" max="9060" width="10.7109375" style="876" customWidth="1"/>
    <col min="9061" max="9063" width="15.7109375" style="876" customWidth="1"/>
    <col min="9064" max="9064" width="11.85546875" style="876" customWidth="1"/>
    <col min="9065" max="9067" width="13.7109375" style="876" customWidth="1"/>
    <col min="9068" max="9068" width="3" style="876" customWidth="1"/>
    <col min="9069" max="9070" width="15.7109375" style="876" customWidth="1"/>
    <col min="9071" max="9229" width="9.140625" style="876"/>
    <col min="9230" max="9230" width="21.85546875" style="876" customWidth="1"/>
    <col min="9231" max="9231" width="32.28515625" style="876" customWidth="1"/>
    <col min="9232" max="9232" width="13" style="876" customWidth="1"/>
    <col min="9233" max="9263" width="15.7109375" style="876" customWidth="1"/>
    <col min="9264" max="9264" width="17.5703125" style="876" customWidth="1"/>
    <col min="9265" max="9265" width="20.140625" style="876" customWidth="1"/>
    <col min="9266" max="9300" width="15.7109375" style="876" customWidth="1"/>
    <col min="9301" max="9301" width="3" style="876" customWidth="1"/>
    <col min="9302" max="9302" width="9.140625" style="876" customWidth="1"/>
    <col min="9303" max="9304" width="9" style="876" customWidth="1"/>
    <col min="9305" max="9306" width="16" style="876" customWidth="1"/>
    <col min="9307" max="9307" width="9" style="876" customWidth="1"/>
    <col min="9308" max="9309" width="12.28515625" style="876" customWidth="1"/>
    <col min="9310" max="9312" width="14.85546875" style="876" customWidth="1"/>
    <col min="9313" max="9313" width="0" style="876" hidden="1" customWidth="1"/>
    <col min="9314" max="9315" width="12.140625" style="876" customWidth="1"/>
    <col min="9316" max="9316" width="10.7109375" style="876" customWidth="1"/>
    <col min="9317" max="9319" width="15.7109375" style="876" customWidth="1"/>
    <col min="9320" max="9320" width="11.85546875" style="876" customWidth="1"/>
    <col min="9321" max="9323" width="13.7109375" style="876" customWidth="1"/>
    <col min="9324" max="9324" width="3" style="876" customWidth="1"/>
    <col min="9325" max="9326" width="15.7109375" style="876" customWidth="1"/>
    <col min="9327" max="9485" width="9.140625" style="876"/>
    <col min="9486" max="9486" width="21.85546875" style="876" customWidth="1"/>
    <col min="9487" max="9487" width="32.28515625" style="876" customWidth="1"/>
    <col min="9488" max="9488" width="13" style="876" customWidth="1"/>
    <col min="9489" max="9519" width="15.7109375" style="876" customWidth="1"/>
    <col min="9520" max="9520" width="17.5703125" style="876" customWidth="1"/>
    <col min="9521" max="9521" width="20.140625" style="876" customWidth="1"/>
    <col min="9522" max="9556" width="15.7109375" style="876" customWidth="1"/>
    <col min="9557" max="9557" width="3" style="876" customWidth="1"/>
    <col min="9558" max="9558" width="9.140625" style="876" customWidth="1"/>
    <col min="9559" max="9560" width="9" style="876" customWidth="1"/>
    <col min="9561" max="9562" width="16" style="876" customWidth="1"/>
    <col min="9563" max="9563" width="9" style="876" customWidth="1"/>
    <col min="9564" max="9565" width="12.28515625" style="876" customWidth="1"/>
    <col min="9566" max="9568" width="14.85546875" style="876" customWidth="1"/>
    <col min="9569" max="9569" width="0" style="876" hidden="1" customWidth="1"/>
    <col min="9570" max="9571" width="12.140625" style="876" customWidth="1"/>
    <col min="9572" max="9572" width="10.7109375" style="876" customWidth="1"/>
    <col min="9573" max="9575" width="15.7109375" style="876" customWidth="1"/>
    <col min="9576" max="9576" width="11.85546875" style="876" customWidth="1"/>
    <col min="9577" max="9579" width="13.7109375" style="876" customWidth="1"/>
    <col min="9580" max="9580" width="3" style="876" customWidth="1"/>
    <col min="9581" max="9582" width="15.7109375" style="876" customWidth="1"/>
    <col min="9583" max="9741" width="9.140625" style="876"/>
    <col min="9742" max="9742" width="21.85546875" style="876" customWidth="1"/>
    <col min="9743" max="9743" width="32.28515625" style="876" customWidth="1"/>
    <col min="9744" max="9744" width="13" style="876" customWidth="1"/>
    <col min="9745" max="9775" width="15.7109375" style="876" customWidth="1"/>
    <col min="9776" max="9776" width="17.5703125" style="876" customWidth="1"/>
    <col min="9777" max="9777" width="20.140625" style="876" customWidth="1"/>
    <col min="9778" max="9812" width="15.7109375" style="876" customWidth="1"/>
    <col min="9813" max="9813" width="3" style="876" customWidth="1"/>
    <col min="9814" max="9814" width="9.140625" style="876" customWidth="1"/>
    <col min="9815" max="9816" width="9" style="876" customWidth="1"/>
    <col min="9817" max="9818" width="16" style="876" customWidth="1"/>
    <col min="9819" max="9819" width="9" style="876" customWidth="1"/>
    <col min="9820" max="9821" width="12.28515625" style="876" customWidth="1"/>
    <col min="9822" max="9824" width="14.85546875" style="876" customWidth="1"/>
    <col min="9825" max="9825" width="0" style="876" hidden="1" customWidth="1"/>
    <col min="9826" max="9827" width="12.140625" style="876" customWidth="1"/>
    <col min="9828" max="9828" width="10.7109375" style="876" customWidth="1"/>
    <col min="9829" max="9831" width="15.7109375" style="876" customWidth="1"/>
    <col min="9832" max="9832" width="11.85546875" style="876" customWidth="1"/>
    <col min="9833" max="9835" width="13.7109375" style="876" customWidth="1"/>
    <col min="9836" max="9836" width="3" style="876" customWidth="1"/>
    <col min="9837" max="9838" width="15.7109375" style="876" customWidth="1"/>
    <col min="9839" max="9997" width="9.140625" style="876"/>
    <col min="9998" max="9998" width="21.85546875" style="876" customWidth="1"/>
    <col min="9999" max="9999" width="32.28515625" style="876" customWidth="1"/>
    <col min="10000" max="10000" width="13" style="876" customWidth="1"/>
    <col min="10001" max="10031" width="15.7109375" style="876" customWidth="1"/>
    <col min="10032" max="10032" width="17.5703125" style="876" customWidth="1"/>
    <col min="10033" max="10033" width="20.140625" style="876" customWidth="1"/>
    <col min="10034" max="10068" width="15.7109375" style="876" customWidth="1"/>
    <col min="10069" max="10069" width="3" style="876" customWidth="1"/>
    <col min="10070" max="10070" width="9.140625" style="876" customWidth="1"/>
    <col min="10071" max="10072" width="9" style="876" customWidth="1"/>
    <col min="10073" max="10074" width="16" style="876" customWidth="1"/>
    <col min="10075" max="10075" width="9" style="876" customWidth="1"/>
    <col min="10076" max="10077" width="12.28515625" style="876" customWidth="1"/>
    <col min="10078" max="10080" width="14.85546875" style="876" customWidth="1"/>
    <col min="10081" max="10081" width="0" style="876" hidden="1" customWidth="1"/>
    <col min="10082" max="10083" width="12.140625" style="876" customWidth="1"/>
    <col min="10084" max="10084" width="10.7109375" style="876" customWidth="1"/>
    <col min="10085" max="10087" width="15.7109375" style="876" customWidth="1"/>
    <col min="10088" max="10088" width="11.85546875" style="876" customWidth="1"/>
    <col min="10089" max="10091" width="13.7109375" style="876" customWidth="1"/>
    <col min="10092" max="10092" width="3" style="876" customWidth="1"/>
    <col min="10093" max="10094" width="15.7109375" style="876" customWidth="1"/>
    <col min="10095" max="10253" width="9.140625" style="876"/>
    <col min="10254" max="10254" width="21.85546875" style="876" customWidth="1"/>
    <col min="10255" max="10255" width="32.28515625" style="876" customWidth="1"/>
    <col min="10256" max="10256" width="13" style="876" customWidth="1"/>
    <col min="10257" max="10287" width="15.7109375" style="876" customWidth="1"/>
    <col min="10288" max="10288" width="17.5703125" style="876" customWidth="1"/>
    <col min="10289" max="10289" width="20.140625" style="876" customWidth="1"/>
    <col min="10290" max="10324" width="15.7109375" style="876" customWidth="1"/>
    <col min="10325" max="10325" width="3" style="876" customWidth="1"/>
    <col min="10326" max="10326" width="9.140625" style="876" customWidth="1"/>
    <col min="10327" max="10328" width="9" style="876" customWidth="1"/>
    <col min="10329" max="10330" width="16" style="876" customWidth="1"/>
    <col min="10331" max="10331" width="9" style="876" customWidth="1"/>
    <col min="10332" max="10333" width="12.28515625" style="876" customWidth="1"/>
    <col min="10334" max="10336" width="14.85546875" style="876" customWidth="1"/>
    <col min="10337" max="10337" width="0" style="876" hidden="1" customWidth="1"/>
    <col min="10338" max="10339" width="12.140625" style="876" customWidth="1"/>
    <col min="10340" max="10340" width="10.7109375" style="876" customWidth="1"/>
    <col min="10341" max="10343" width="15.7109375" style="876" customWidth="1"/>
    <col min="10344" max="10344" width="11.85546875" style="876" customWidth="1"/>
    <col min="10345" max="10347" width="13.7109375" style="876" customWidth="1"/>
    <col min="10348" max="10348" width="3" style="876" customWidth="1"/>
    <col min="10349" max="10350" width="15.7109375" style="876" customWidth="1"/>
    <col min="10351" max="10509" width="9.140625" style="876"/>
    <col min="10510" max="10510" width="21.85546875" style="876" customWidth="1"/>
    <col min="10511" max="10511" width="32.28515625" style="876" customWidth="1"/>
    <col min="10512" max="10512" width="13" style="876" customWidth="1"/>
    <col min="10513" max="10543" width="15.7109375" style="876" customWidth="1"/>
    <col min="10544" max="10544" width="17.5703125" style="876" customWidth="1"/>
    <col min="10545" max="10545" width="20.140625" style="876" customWidth="1"/>
    <col min="10546" max="10580" width="15.7109375" style="876" customWidth="1"/>
    <col min="10581" max="10581" width="3" style="876" customWidth="1"/>
    <col min="10582" max="10582" width="9.140625" style="876" customWidth="1"/>
    <col min="10583" max="10584" width="9" style="876" customWidth="1"/>
    <col min="10585" max="10586" width="16" style="876" customWidth="1"/>
    <col min="10587" max="10587" width="9" style="876" customWidth="1"/>
    <col min="10588" max="10589" width="12.28515625" style="876" customWidth="1"/>
    <col min="10590" max="10592" width="14.85546875" style="876" customWidth="1"/>
    <col min="10593" max="10593" width="0" style="876" hidden="1" customWidth="1"/>
    <col min="10594" max="10595" width="12.140625" style="876" customWidth="1"/>
    <col min="10596" max="10596" width="10.7109375" style="876" customWidth="1"/>
    <col min="10597" max="10599" width="15.7109375" style="876" customWidth="1"/>
    <col min="10600" max="10600" width="11.85546875" style="876" customWidth="1"/>
    <col min="10601" max="10603" width="13.7109375" style="876" customWidth="1"/>
    <col min="10604" max="10604" width="3" style="876" customWidth="1"/>
    <col min="10605" max="10606" width="15.7109375" style="876" customWidth="1"/>
    <col min="10607" max="10765" width="9.140625" style="876"/>
    <col min="10766" max="10766" width="21.85546875" style="876" customWidth="1"/>
    <col min="10767" max="10767" width="32.28515625" style="876" customWidth="1"/>
    <col min="10768" max="10768" width="13" style="876" customWidth="1"/>
    <col min="10769" max="10799" width="15.7109375" style="876" customWidth="1"/>
    <col min="10800" max="10800" width="17.5703125" style="876" customWidth="1"/>
    <col min="10801" max="10801" width="20.140625" style="876" customWidth="1"/>
    <col min="10802" max="10836" width="15.7109375" style="876" customWidth="1"/>
    <col min="10837" max="10837" width="3" style="876" customWidth="1"/>
    <col min="10838" max="10838" width="9.140625" style="876" customWidth="1"/>
    <col min="10839" max="10840" width="9" style="876" customWidth="1"/>
    <col min="10841" max="10842" width="16" style="876" customWidth="1"/>
    <col min="10843" max="10843" width="9" style="876" customWidth="1"/>
    <col min="10844" max="10845" width="12.28515625" style="876" customWidth="1"/>
    <col min="10846" max="10848" width="14.85546875" style="876" customWidth="1"/>
    <col min="10849" max="10849" width="0" style="876" hidden="1" customWidth="1"/>
    <col min="10850" max="10851" width="12.140625" style="876" customWidth="1"/>
    <col min="10852" max="10852" width="10.7109375" style="876" customWidth="1"/>
    <col min="10853" max="10855" width="15.7109375" style="876" customWidth="1"/>
    <col min="10856" max="10856" width="11.85546875" style="876" customWidth="1"/>
    <col min="10857" max="10859" width="13.7109375" style="876" customWidth="1"/>
    <col min="10860" max="10860" width="3" style="876" customWidth="1"/>
    <col min="10861" max="10862" width="15.7109375" style="876" customWidth="1"/>
    <col min="10863" max="11021" width="9.140625" style="876"/>
    <col min="11022" max="11022" width="21.85546875" style="876" customWidth="1"/>
    <col min="11023" max="11023" width="32.28515625" style="876" customWidth="1"/>
    <col min="11024" max="11024" width="13" style="876" customWidth="1"/>
    <col min="11025" max="11055" width="15.7109375" style="876" customWidth="1"/>
    <col min="11056" max="11056" width="17.5703125" style="876" customWidth="1"/>
    <col min="11057" max="11057" width="20.140625" style="876" customWidth="1"/>
    <col min="11058" max="11092" width="15.7109375" style="876" customWidth="1"/>
    <col min="11093" max="11093" width="3" style="876" customWidth="1"/>
    <col min="11094" max="11094" width="9.140625" style="876" customWidth="1"/>
    <col min="11095" max="11096" width="9" style="876" customWidth="1"/>
    <col min="11097" max="11098" width="16" style="876" customWidth="1"/>
    <col min="11099" max="11099" width="9" style="876" customWidth="1"/>
    <col min="11100" max="11101" width="12.28515625" style="876" customWidth="1"/>
    <col min="11102" max="11104" width="14.85546875" style="876" customWidth="1"/>
    <col min="11105" max="11105" width="0" style="876" hidden="1" customWidth="1"/>
    <col min="11106" max="11107" width="12.140625" style="876" customWidth="1"/>
    <col min="11108" max="11108" width="10.7109375" style="876" customWidth="1"/>
    <col min="11109" max="11111" width="15.7109375" style="876" customWidth="1"/>
    <col min="11112" max="11112" width="11.85546875" style="876" customWidth="1"/>
    <col min="11113" max="11115" width="13.7109375" style="876" customWidth="1"/>
    <col min="11116" max="11116" width="3" style="876" customWidth="1"/>
    <col min="11117" max="11118" width="15.7109375" style="876" customWidth="1"/>
    <col min="11119" max="11277" width="9.140625" style="876"/>
    <col min="11278" max="11278" width="21.85546875" style="876" customWidth="1"/>
    <col min="11279" max="11279" width="32.28515625" style="876" customWidth="1"/>
    <col min="11280" max="11280" width="13" style="876" customWidth="1"/>
    <col min="11281" max="11311" width="15.7109375" style="876" customWidth="1"/>
    <col min="11312" max="11312" width="17.5703125" style="876" customWidth="1"/>
    <col min="11313" max="11313" width="20.140625" style="876" customWidth="1"/>
    <col min="11314" max="11348" width="15.7109375" style="876" customWidth="1"/>
    <col min="11349" max="11349" width="3" style="876" customWidth="1"/>
    <col min="11350" max="11350" width="9.140625" style="876" customWidth="1"/>
    <col min="11351" max="11352" width="9" style="876" customWidth="1"/>
    <col min="11353" max="11354" width="16" style="876" customWidth="1"/>
    <col min="11355" max="11355" width="9" style="876" customWidth="1"/>
    <col min="11356" max="11357" width="12.28515625" style="876" customWidth="1"/>
    <col min="11358" max="11360" width="14.85546875" style="876" customWidth="1"/>
    <col min="11361" max="11361" width="0" style="876" hidden="1" customWidth="1"/>
    <col min="11362" max="11363" width="12.140625" style="876" customWidth="1"/>
    <col min="11364" max="11364" width="10.7109375" style="876" customWidth="1"/>
    <col min="11365" max="11367" width="15.7109375" style="876" customWidth="1"/>
    <col min="11368" max="11368" width="11.85546875" style="876" customWidth="1"/>
    <col min="11369" max="11371" width="13.7109375" style="876" customWidth="1"/>
    <col min="11372" max="11372" width="3" style="876" customWidth="1"/>
    <col min="11373" max="11374" width="15.7109375" style="876" customWidth="1"/>
    <col min="11375" max="11533" width="9.140625" style="876"/>
    <col min="11534" max="11534" width="21.85546875" style="876" customWidth="1"/>
    <col min="11535" max="11535" width="32.28515625" style="876" customWidth="1"/>
    <col min="11536" max="11536" width="13" style="876" customWidth="1"/>
    <col min="11537" max="11567" width="15.7109375" style="876" customWidth="1"/>
    <col min="11568" max="11568" width="17.5703125" style="876" customWidth="1"/>
    <col min="11569" max="11569" width="20.140625" style="876" customWidth="1"/>
    <col min="11570" max="11604" width="15.7109375" style="876" customWidth="1"/>
    <col min="11605" max="11605" width="3" style="876" customWidth="1"/>
    <col min="11606" max="11606" width="9.140625" style="876" customWidth="1"/>
    <col min="11607" max="11608" width="9" style="876" customWidth="1"/>
    <col min="11609" max="11610" width="16" style="876" customWidth="1"/>
    <col min="11611" max="11611" width="9" style="876" customWidth="1"/>
    <col min="11612" max="11613" width="12.28515625" style="876" customWidth="1"/>
    <col min="11614" max="11616" width="14.85546875" style="876" customWidth="1"/>
    <col min="11617" max="11617" width="0" style="876" hidden="1" customWidth="1"/>
    <col min="11618" max="11619" width="12.140625" style="876" customWidth="1"/>
    <col min="11620" max="11620" width="10.7109375" style="876" customWidth="1"/>
    <col min="11621" max="11623" width="15.7109375" style="876" customWidth="1"/>
    <col min="11624" max="11624" width="11.85546875" style="876" customWidth="1"/>
    <col min="11625" max="11627" width="13.7109375" style="876" customWidth="1"/>
    <col min="11628" max="11628" width="3" style="876" customWidth="1"/>
    <col min="11629" max="11630" width="15.7109375" style="876" customWidth="1"/>
    <col min="11631" max="11789" width="9.140625" style="876"/>
    <col min="11790" max="11790" width="21.85546875" style="876" customWidth="1"/>
    <col min="11791" max="11791" width="32.28515625" style="876" customWidth="1"/>
    <col min="11792" max="11792" width="13" style="876" customWidth="1"/>
    <col min="11793" max="11823" width="15.7109375" style="876" customWidth="1"/>
    <col min="11824" max="11824" width="17.5703125" style="876" customWidth="1"/>
    <col min="11825" max="11825" width="20.140625" style="876" customWidth="1"/>
    <col min="11826" max="11860" width="15.7109375" style="876" customWidth="1"/>
    <col min="11861" max="11861" width="3" style="876" customWidth="1"/>
    <col min="11862" max="11862" width="9.140625" style="876" customWidth="1"/>
    <col min="11863" max="11864" width="9" style="876" customWidth="1"/>
    <col min="11865" max="11866" width="16" style="876" customWidth="1"/>
    <col min="11867" max="11867" width="9" style="876" customWidth="1"/>
    <col min="11868" max="11869" width="12.28515625" style="876" customWidth="1"/>
    <col min="11870" max="11872" width="14.85546875" style="876" customWidth="1"/>
    <col min="11873" max="11873" width="0" style="876" hidden="1" customWidth="1"/>
    <col min="11874" max="11875" width="12.140625" style="876" customWidth="1"/>
    <col min="11876" max="11876" width="10.7109375" style="876" customWidth="1"/>
    <col min="11877" max="11879" width="15.7109375" style="876" customWidth="1"/>
    <col min="11880" max="11880" width="11.85546875" style="876" customWidth="1"/>
    <col min="11881" max="11883" width="13.7109375" style="876" customWidth="1"/>
    <col min="11884" max="11884" width="3" style="876" customWidth="1"/>
    <col min="11885" max="11886" width="15.7109375" style="876" customWidth="1"/>
    <col min="11887" max="12045" width="9.140625" style="876"/>
    <col min="12046" max="12046" width="21.85546875" style="876" customWidth="1"/>
    <col min="12047" max="12047" width="32.28515625" style="876" customWidth="1"/>
    <col min="12048" max="12048" width="13" style="876" customWidth="1"/>
    <col min="12049" max="12079" width="15.7109375" style="876" customWidth="1"/>
    <col min="12080" max="12080" width="17.5703125" style="876" customWidth="1"/>
    <col min="12081" max="12081" width="20.140625" style="876" customWidth="1"/>
    <col min="12082" max="12116" width="15.7109375" style="876" customWidth="1"/>
    <col min="12117" max="12117" width="3" style="876" customWidth="1"/>
    <col min="12118" max="12118" width="9.140625" style="876" customWidth="1"/>
    <col min="12119" max="12120" width="9" style="876" customWidth="1"/>
    <col min="12121" max="12122" width="16" style="876" customWidth="1"/>
    <col min="12123" max="12123" width="9" style="876" customWidth="1"/>
    <col min="12124" max="12125" width="12.28515625" style="876" customWidth="1"/>
    <col min="12126" max="12128" width="14.85546875" style="876" customWidth="1"/>
    <col min="12129" max="12129" width="0" style="876" hidden="1" customWidth="1"/>
    <col min="12130" max="12131" width="12.140625" style="876" customWidth="1"/>
    <col min="12132" max="12132" width="10.7109375" style="876" customWidth="1"/>
    <col min="12133" max="12135" width="15.7109375" style="876" customWidth="1"/>
    <col min="12136" max="12136" width="11.85546875" style="876" customWidth="1"/>
    <col min="12137" max="12139" width="13.7109375" style="876" customWidth="1"/>
    <col min="12140" max="12140" width="3" style="876" customWidth="1"/>
    <col min="12141" max="12142" width="15.7109375" style="876" customWidth="1"/>
    <col min="12143" max="12301" width="9.140625" style="876"/>
    <col min="12302" max="12302" width="21.85546875" style="876" customWidth="1"/>
    <col min="12303" max="12303" width="32.28515625" style="876" customWidth="1"/>
    <col min="12304" max="12304" width="13" style="876" customWidth="1"/>
    <col min="12305" max="12335" width="15.7109375" style="876" customWidth="1"/>
    <col min="12336" max="12336" width="17.5703125" style="876" customWidth="1"/>
    <col min="12337" max="12337" width="20.140625" style="876" customWidth="1"/>
    <col min="12338" max="12372" width="15.7109375" style="876" customWidth="1"/>
    <col min="12373" max="12373" width="3" style="876" customWidth="1"/>
    <col min="12374" max="12374" width="9.140625" style="876" customWidth="1"/>
    <col min="12375" max="12376" width="9" style="876" customWidth="1"/>
    <col min="12377" max="12378" width="16" style="876" customWidth="1"/>
    <col min="12379" max="12379" width="9" style="876" customWidth="1"/>
    <col min="12380" max="12381" width="12.28515625" style="876" customWidth="1"/>
    <col min="12382" max="12384" width="14.85546875" style="876" customWidth="1"/>
    <col min="12385" max="12385" width="0" style="876" hidden="1" customWidth="1"/>
    <col min="12386" max="12387" width="12.140625" style="876" customWidth="1"/>
    <col min="12388" max="12388" width="10.7109375" style="876" customWidth="1"/>
    <col min="12389" max="12391" width="15.7109375" style="876" customWidth="1"/>
    <col min="12392" max="12392" width="11.85546875" style="876" customWidth="1"/>
    <col min="12393" max="12395" width="13.7109375" style="876" customWidth="1"/>
    <col min="12396" max="12396" width="3" style="876" customWidth="1"/>
    <col min="12397" max="12398" width="15.7109375" style="876" customWidth="1"/>
    <col min="12399" max="12557" width="9.140625" style="876"/>
    <col min="12558" max="12558" width="21.85546875" style="876" customWidth="1"/>
    <col min="12559" max="12559" width="32.28515625" style="876" customWidth="1"/>
    <col min="12560" max="12560" width="13" style="876" customWidth="1"/>
    <col min="12561" max="12591" width="15.7109375" style="876" customWidth="1"/>
    <col min="12592" max="12592" width="17.5703125" style="876" customWidth="1"/>
    <col min="12593" max="12593" width="20.140625" style="876" customWidth="1"/>
    <col min="12594" max="12628" width="15.7109375" style="876" customWidth="1"/>
    <col min="12629" max="12629" width="3" style="876" customWidth="1"/>
    <col min="12630" max="12630" width="9.140625" style="876" customWidth="1"/>
    <col min="12631" max="12632" width="9" style="876" customWidth="1"/>
    <col min="12633" max="12634" width="16" style="876" customWidth="1"/>
    <col min="12635" max="12635" width="9" style="876" customWidth="1"/>
    <col min="12636" max="12637" width="12.28515625" style="876" customWidth="1"/>
    <col min="12638" max="12640" width="14.85546875" style="876" customWidth="1"/>
    <col min="12641" max="12641" width="0" style="876" hidden="1" customWidth="1"/>
    <col min="12642" max="12643" width="12.140625" style="876" customWidth="1"/>
    <col min="12644" max="12644" width="10.7109375" style="876" customWidth="1"/>
    <col min="12645" max="12647" width="15.7109375" style="876" customWidth="1"/>
    <col min="12648" max="12648" width="11.85546875" style="876" customWidth="1"/>
    <col min="12649" max="12651" width="13.7109375" style="876" customWidth="1"/>
    <col min="12652" max="12652" width="3" style="876" customWidth="1"/>
    <col min="12653" max="12654" width="15.7109375" style="876" customWidth="1"/>
    <col min="12655" max="12813" width="9.140625" style="876"/>
    <col min="12814" max="12814" width="21.85546875" style="876" customWidth="1"/>
    <col min="12815" max="12815" width="32.28515625" style="876" customWidth="1"/>
    <col min="12816" max="12816" width="13" style="876" customWidth="1"/>
    <col min="12817" max="12847" width="15.7109375" style="876" customWidth="1"/>
    <col min="12848" max="12848" width="17.5703125" style="876" customWidth="1"/>
    <col min="12849" max="12849" width="20.140625" style="876" customWidth="1"/>
    <col min="12850" max="12884" width="15.7109375" style="876" customWidth="1"/>
    <col min="12885" max="12885" width="3" style="876" customWidth="1"/>
    <col min="12886" max="12886" width="9.140625" style="876" customWidth="1"/>
    <col min="12887" max="12888" width="9" style="876" customWidth="1"/>
    <col min="12889" max="12890" width="16" style="876" customWidth="1"/>
    <col min="12891" max="12891" width="9" style="876" customWidth="1"/>
    <col min="12892" max="12893" width="12.28515625" style="876" customWidth="1"/>
    <col min="12894" max="12896" width="14.85546875" style="876" customWidth="1"/>
    <col min="12897" max="12897" width="0" style="876" hidden="1" customWidth="1"/>
    <col min="12898" max="12899" width="12.140625" style="876" customWidth="1"/>
    <col min="12900" max="12900" width="10.7109375" style="876" customWidth="1"/>
    <col min="12901" max="12903" width="15.7109375" style="876" customWidth="1"/>
    <col min="12904" max="12904" width="11.85546875" style="876" customWidth="1"/>
    <col min="12905" max="12907" width="13.7109375" style="876" customWidth="1"/>
    <col min="12908" max="12908" width="3" style="876" customWidth="1"/>
    <col min="12909" max="12910" width="15.7109375" style="876" customWidth="1"/>
    <col min="12911" max="13069" width="9.140625" style="876"/>
    <col min="13070" max="13070" width="21.85546875" style="876" customWidth="1"/>
    <col min="13071" max="13071" width="32.28515625" style="876" customWidth="1"/>
    <col min="13072" max="13072" width="13" style="876" customWidth="1"/>
    <col min="13073" max="13103" width="15.7109375" style="876" customWidth="1"/>
    <col min="13104" max="13104" width="17.5703125" style="876" customWidth="1"/>
    <col min="13105" max="13105" width="20.140625" style="876" customWidth="1"/>
    <col min="13106" max="13140" width="15.7109375" style="876" customWidth="1"/>
    <col min="13141" max="13141" width="3" style="876" customWidth="1"/>
    <col min="13142" max="13142" width="9.140625" style="876" customWidth="1"/>
    <col min="13143" max="13144" width="9" style="876" customWidth="1"/>
    <col min="13145" max="13146" width="16" style="876" customWidth="1"/>
    <col min="13147" max="13147" width="9" style="876" customWidth="1"/>
    <col min="13148" max="13149" width="12.28515625" style="876" customWidth="1"/>
    <col min="13150" max="13152" width="14.85546875" style="876" customWidth="1"/>
    <col min="13153" max="13153" width="0" style="876" hidden="1" customWidth="1"/>
    <col min="13154" max="13155" width="12.140625" style="876" customWidth="1"/>
    <col min="13156" max="13156" width="10.7109375" style="876" customWidth="1"/>
    <col min="13157" max="13159" width="15.7109375" style="876" customWidth="1"/>
    <col min="13160" max="13160" width="11.85546875" style="876" customWidth="1"/>
    <col min="13161" max="13163" width="13.7109375" style="876" customWidth="1"/>
    <col min="13164" max="13164" width="3" style="876" customWidth="1"/>
    <col min="13165" max="13166" width="15.7109375" style="876" customWidth="1"/>
    <col min="13167" max="13325" width="9.140625" style="876"/>
    <col min="13326" max="13326" width="21.85546875" style="876" customWidth="1"/>
    <col min="13327" max="13327" width="32.28515625" style="876" customWidth="1"/>
    <col min="13328" max="13328" width="13" style="876" customWidth="1"/>
    <col min="13329" max="13359" width="15.7109375" style="876" customWidth="1"/>
    <col min="13360" max="13360" width="17.5703125" style="876" customWidth="1"/>
    <col min="13361" max="13361" width="20.140625" style="876" customWidth="1"/>
    <col min="13362" max="13396" width="15.7109375" style="876" customWidth="1"/>
    <col min="13397" max="13397" width="3" style="876" customWidth="1"/>
    <col min="13398" max="13398" width="9.140625" style="876" customWidth="1"/>
    <col min="13399" max="13400" width="9" style="876" customWidth="1"/>
    <col min="13401" max="13402" width="16" style="876" customWidth="1"/>
    <col min="13403" max="13403" width="9" style="876" customWidth="1"/>
    <col min="13404" max="13405" width="12.28515625" style="876" customWidth="1"/>
    <col min="13406" max="13408" width="14.85546875" style="876" customWidth="1"/>
    <col min="13409" max="13409" width="0" style="876" hidden="1" customWidth="1"/>
    <col min="13410" max="13411" width="12.140625" style="876" customWidth="1"/>
    <col min="13412" max="13412" width="10.7109375" style="876" customWidth="1"/>
    <col min="13413" max="13415" width="15.7109375" style="876" customWidth="1"/>
    <col min="13416" max="13416" width="11.85546875" style="876" customWidth="1"/>
    <col min="13417" max="13419" width="13.7109375" style="876" customWidth="1"/>
    <col min="13420" max="13420" width="3" style="876" customWidth="1"/>
    <col min="13421" max="13422" width="15.7109375" style="876" customWidth="1"/>
    <col min="13423" max="13581" width="9.140625" style="876"/>
    <col min="13582" max="13582" width="21.85546875" style="876" customWidth="1"/>
    <col min="13583" max="13583" width="32.28515625" style="876" customWidth="1"/>
    <col min="13584" max="13584" width="13" style="876" customWidth="1"/>
    <col min="13585" max="13615" width="15.7109375" style="876" customWidth="1"/>
    <col min="13616" max="13616" width="17.5703125" style="876" customWidth="1"/>
    <col min="13617" max="13617" width="20.140625" style="876" customWidth="1"/>
    <col min="13618" max="13652" width="15.7109375" style="876" customWidth="1"/>
    <col min="13653" max="13653" width="3" style="876" customWidth="1"/>
    <col min="13654" max="13654" width="9.140625" style="876" customWidth="1"/>
    <col min="13655" max="13656" width="9" style="876" customWidth="1"/>
    <col min="13657" max="13658" width="16" style="876" customWidth="1"/>
    <col min="13659" max="13659" width="9" style="876" customWidth="1"/>
    <col min="13660" max="13661" width="12.28515625" style="876" customWidth="1"/>
    <col min="13662" max="13664" width="14.85546875" style="876" customWidth="1"/>
    <col min="13665" max="13665" width="0" style="876" hidden="1" customWidth="1"/>
    <col min="13666" max="13667" width="12.140625" style="876" customWidth="1"/>
    <col min="13668" max="13668" width="10.7109375" style="876" customWidth="1"/>
    <col min="13669" max="13671" width="15.7109375" style="876" customWidth="1"/>
    <col min="13672" max="13672" width="11.85546875" style="876" customWidth="1"/>
    <col min="13673" max="13675" width="13.7109375" style="876" customWidth="1"/>
    <col min="13676" max="13676" width="3" style="876" customWidth="1"/>
    <col min="13677" max="13678" width="15.7109375" style="876" customWidth="1"/>
    <col min="13679" max="13837" width="9.140625" style="876"/>
    <col min="13838" max="13838" width="21.85546875" style="876" customWidth="1"/>
    <col min="13839" max="13839" width="32.28515625" style="876" customWidth="1"/>
    <col min="13840" max="13840" width="13" style="876" customWidth="1"/>
    <col min="13841" max="13871" width="15.7109375" style="876" customWidth="1"/>
    <col min="13872" max="13872" width="17.5703125" style="876" customWidth="1"/>
    <col min="13873" max="13873" width="20.140625" style="876" customWidth="1"/>
    <col min="13874" max="13908" width="15.7109375" style="876" customWidth="1"/>
    <col min="13909" max="13909" width="3" style="876" customWidth="1"/>
    <col min="13910" max="13910" width="9.140625" style="876" customWidth="1"/>
    <col min="13911" max="13912" width="9" style="876" customWidth="1"/>
    <col min="13913" max="13914" width="16" style="876" customWidth="1"/>
    <col min="13915" max="13915" width="9" style="876" customWidth="1"/>
    <col min="13916" max="13917" width="12.28515625" style="876" customWidth="1"/>
    <col min="13918" max="13920" width="14.85546875" style="876" customWidth="1"/>
    <col min="13921" max="13921" width="0" style="876" hidden="1" customWidth="1"/>
    <col min="13922" max="13923" width="12.140625" style="876" customWidth="1"/>
    <col min="13924" max="13924" width="10.7109375" style="876" customWidth="1"/>
    <col min="13925" max="13927" width="15.7109375" style="876" customWidth="1"/>
    <col min="13928" max="13928" width="11.85546875" style="876" customWidth="1"/>
    <col min="13929" max="13931" width="13.7109375" style="876" customWidth="1"/>
    <col min="13932" max="13932" width="3" style="876" customWidth="1"/>
    <col min="13933" max="13934" width="15.7109375" style="876" customWidth="1"/>
    <col min="13935" max="14093" width="9.140625" style="876"/>
    <col min="14094" max="14094" width="21.85546875" style="876" customWidth="1"/>
    <col min="14095" max="14095" width="32.28515625" style="876" customWidth="1"/>
    <col min="14096" max="14096" width="13" style="876" customWidth="1"/>
    <col min="14097" max="14127" width="15.7109375" style="876" customWidth="1"/>
    <col min="14128" max="14128" width="17.5703125" style="876" customWidth="1"/>
    <col min="14129" max="14129" width="20.140625" style="876" customWidth="1"/>
    <col min="14130" max="14164" width="15.7109375" style="876" customWidth="1"/>
    <col min="14165" max="14165" width="3" style="876" customWidth="1"/>
    <col min="14166" max="14166" width="9.140625" style="876" customWidth="1"/>
    <col min="14167" max="14168" width="9" style="876" customWidth="1"/>
    <col min="14169" max="14170" width="16" style="876" customWidth="1"/>
    <col min="14171" max="14171" width="9" style="876" customWidth="1"/>
    <col min="14172" max="14173" width="12.28515625" style="876" customWidth="1"/>
    <col min="14174" max="14176" width="14.85546875" style="876" customWidth="1"/>
    <col min="14177" max="14177" width="0" style="876" hidden="1" customWidth="1"/>
    <col min="14178" max="14179" width="12.140625" style="876" customWidth="1"/>
    <col min="14180" max="14180" width="10.7109375" style="876" customWidth="1"/>
    <col min="14181" max="14183" width="15.7109375" style="876" customWidth="1"/>
    <col min="14184" max="14184" width="11.85546875" style="876" customWidth="1"/>
    <col min="14185" max="14187" width="13.7109375" style="876" customWidth="1"/>
    <col min="14188" max="14188" width="3" style="876" customWidth="1"/>
    <col min="14189" max="14190" width="15.7109375" style="876" customWidth="1"/>
    <col min="14191" max="14349" width="9.140625" style="876"/>
    <col min="14350" max="14350" width="21.85546875" style="876" customWidth="1"/>
    <col min="14351" max="14351" width="32.28515625" style="876" customWidth="1"/>
    <col min="14352" max="14352" width="13" style="876" customWidth="1"/>
    <col min="14353" max="14383" width="15.7109375" style="876" customWidth="1"/>
    <col min="14384" max="14384" width="17.5703125" style="876" customWidth="1"/>
    <col min="14385" max="14385" width="20.140625" style="876" customWidth="1"/>
    <col min="14386" max="14420" width="15.7109375" style="876" customWidth="1"/>
    <col min="14421" max="14421" width="3" style="876" customWidth="1"/>
    <col min="14422" max="14422" width="9.140625" style="876" customWidth="1"/>
    <col min="14423" max="14424" width="9" style="876" customWidth="1"/>
    <col min="14425" max="14426" width="16" style="876" customWidth="1"/>
    <col min="14427" max="14427" width="9" style="876" customWidth="1"/>
    <col min="14428" max="14429" width="12.28515625" style="876" customWidth="1"/>
    <col min="14430" max="14432" width="14.85546875" style="876" customWidth="1"/>
    <col min="14433" max="14433" width="0" style="876" hidden="1" customWidth="1"/>
    <col min="14434" max="14435" width="12.140625" style="876" customWidth="1"/>
    <col min="14436" max="14436" width="10.7109375" style="876" customWidth="1"/>
    <col min="14437" max="14439" width="15.7109375" style="876" customWidth="1"/>
    <col min="14440" max="14440" width="11.85546875" style="876" customWidth="1"/>
    <col min="14441" max="14443" width="13.7109375" style="876" customWidth="1"/>
    <col min="14444" max="14444" width="3" style="876" customWidth="1"/>
    <col min="14445" max="14446" width="15.7109375" style="876" customWidth="1"/>
    <col min="14447" max="14605" width="9.140625" style="876"/>
    <col min="14606" max="14606" width="21.85546875" style="876" customWidth="1"/>
    <col min="14607" max="14607" width="32.28515625" style="876" customWidth="1"/>
    <col min="14608" max="14608" width="13" style="876" customWidth="1"/>
    <col min="14609" max="14639" width="15.7109375" style="876" customWidth="1"/>
    <col min="14640" max="14640" width="17.5703125" style="876" customWidth="1"/>
    <col min="14641" max="14641" width="20.140625" style="876" customWidth="1"/>
    <col min="14642" max="14676" width="15.7109375" style="876" customWidth="1"/>
    <col min="14677" max="14677" width="3" style="876" customWidth="1"/>
    <col min="14678" max="14678" width="9.140625" style="876" customWidth="1"/>
    <col min="14679" max="14680" width="9" style="876" customWidth="1"/>
    <col min="14681" max="14682" width="16" style="876" customWidth="1"/>
    <col min="14683" max="14683" width="9" style="876" customWidth="1"/>
    <col min="14684" max="14685" width="12.28515625" style="876" customWidth="1"/>
    <col min="14686" max="14688" width="14.85546875" style="876" customWidth="1"/>
    <col min="14689" max="14689" width="0" style="876" hidden="1" customWidth="1"/>
    <col min="14690" max="14691" width="12.140625" style="876" customWidth="1"/>
    <col min="14692" max="14692" width="10.7109375" style="876" customWidth="1"/>
    <col min="14693" max="14695" width="15.7109375" style="876" customWidth="1"/>
    <col min="14696" max="14696" width="11.85546875" style="876" customWidth="1"/>
    <col min="14697" max="14699" width="13.7109375" style="876" customWidth="1"/>
    <col min="14700" max="14700" width="3" style="876" customWidth="1"/>
    <col min="14701" max="14702" width="15.7109375" style="876" customWidth="1"/>
    <col min="14703" max="14861" width="9.140625" style="876"/>
    <col min="14862" max="14862" width="21.85546875" style="876" customWidth="1"/>
    <col min="14863" max="14863" width="32.28515625" style="876" customWidth="1"/>
    <col min="14864" max="14864" width="13" style="876" customWidth="1"/>
    <col min="14865" max="14895" width="15.7109375" style="876" customWidth="1"/>
    <col min="14896" max="14896" width="17.5703125" style="876" customWidth="1"/>
    <col min="14897" max="14897" width="20.140625" style="876" customWidth="1"/>
    <col min="14898" max="14932" width="15.7109375" style="876" customWidth="1"/>
    <col min="14933" max="14933" width="3" style="876" customWidth="1"/>
    <col min="14934" max="14934" width="9.140625" style="876" customWidth="1"/>
    <col min="14935" max="14936" width="9" style="876" customWidth="1"/>
    <col min="14937" max="14938" width="16" style="876" customWidth="1"/>
    <col min="14939" max="14939" width="9" style="876" customWidth="1"/>
    <col min="14940" max="14941" width="12.28515625" style="876" customWidth="1"/>
    <col min="14942" max="14944" width="14.85546875" style="876" customWidth="1"/>
    <col min="14945" max="14945" width="0" style="876" hidden="1" customWidth="1"/>
    <col min="14946" max="14947" width="12.140625" style="876" customWidth="1"/>
    <col min="14948" max="14948" width="10.7109375" style="876" customWidth="1"/>
    <col min="14949" max="14951" width="15.7109375" style="876" customWidth="1"/>
    <col min="14952" max="14952" width="11.85546875" style="876" customWidth="1"/>
    <col min="14953" max="14955" width="13.7109375" style="876" customWidth="1"/>
    <col min="14956" max="14956" width="3" style="876" customWidth="1"/>
    <col min="14957" max="14958" width="15.7109375" style="876" customWidth="1"/>
    <col min="14959" max="15117" width="9.140625" style="876"/>
    <col min="15118" max="15118" width="21.85546875" style="876" customWidth="1"/>
    <col min="15119" max="15119" width="32.28515625" style="876" customWidth="1"/>
    <col min="15120" max="15120" width="13" style="876" customWidth="1"/>
    <col min="15121" max="15151" width="15.7109375" style="876" customWidth="1"/>
    <col min="15152" max="15152" width="17.5703125" style="876" customWidth="1"/>
    <col min="15153" max="15153" width="20.140625" style="876" customWidth="1"/>
    <col min="15154" max="15188" width="15.7109375" style="876" customWidth="1"/>
    <col min="15189" max="15189" width="3" style="876" customWidth="1"/>
    <col min="15190" max="15190" width="9.140625" style="876" customWidth="1"/>
    <col min="15191" max="15192" width="9" style="876" customWidth="1"/>
    <col min="15193" max="15194" width="16" style="876" customWidth="1"/>
    <col min="15195" max="15195" width="9" style="876" customWidth="1"/>
    <col min="15196" max="15197" width="12.28515625" style="876" customWidth="1"/>
    <col min="15198" max="15200" width="14.85546875" style="876" customWidth="1"/>
    <col min="15201" max="15201" width="0" style="876" hidden="1" customWidth="1"/>
    <col min="15202" max="15203" width="12.140625" style="876" customWidth="1"/>
    <col min="15204" max="15204" width="10.7109375" style="876" customWidth="1"/>
    <col min="15205" max="15207" width="15.7109375" style="876" customWidth="1"/>
    <col min="15208" max="15208" width="11.85546875" style="876" customWidth="1"/>
    <col min="15209" max="15211" width="13.7109375" style="876" customWidth="1"/>
    <col min="15212" max="15212" width="3" style="876" customWidth="1"/>
    <col min="15213" max="15214" width="15.7109375" style="876" customWidth="1"/>
    <col min="15215" max="15373" width="9.140625" style="876"/>
    <col min="15374" max="15374" width="21.85546875" style="876" customWidth="1"/>
    <col min="15375" max="15375" width="32.28515625" style="876" customWidth="1"/>
    <col min="15376" max="15376" width="13" style="876" customWidth="1"/>
    <col min="15377" max="15407" width="15.7109375" style="876" customWidth="1"/>
    <col min="15408" max="15408" width="17.5703125" style="876" customWidth="1"/>
    <col min="15409" max="15409" width="20.140625" style="876" customWidth="1"/>
    <col min="15410" max="15444" width="15.7109375" style="876" customWidth="1"/>
    <col min="15445" max="15445" width="3" style="876" customWidth="1"/>
    <col min="15446" max="15446" width="9.140625" style="876" customWidth="1"/>
    <col min="15447" max="15448" width="9" style="876" customWidth="1"/>
    <col min="15449" max="15450" width="16" style="876" customWidth="1"/>
    <col min="15451" max="15451" width="9" style="876" customWidth="1"/>
    <col min="15452" max="15453" width="12.28515625" style="876" customWidth="1"/>
    <col min="15454" max="15456" width="14.85546875" style="876" customWidth="1"/>
    <col min="15457" max="15457" width="0" style="876" hidden="1" customWidth="1"/>
    <col min="15458" max="15459" width="12.140625" style="876" customWidth="1"/>
    <col min="15460" max="15460" width="10.7109375" style="876" customWidth="1"/>
    <col min="15461" max="15463" width="15.7109375" style="876" customWidth="1"/>
    <col min="15464" max="15464" width="11.85546875" style="876" customWidth="1"/>
    <col min="15465" max="15467" width="13.7109375" style="876" customWidth="1"/>
    <col min="15468" max="15468" width="3" style="876" customWidth="1"/>
    <col min="15469" max="15470" width="15.7109375" style="876" customWidth="1"/>
    <col min="15471" max="15629" width="9.140625" style="876"/>
    <col min="15630" max="15630" width="21.85546875" style="876" customWidth="1"/>
    <col min="15631" max="15631" width="32.28515625" style="876" customWidth="1"/>
    <col min="15632" max="15632" width="13" style="876" customWidth="1"/>
    <col min="15633" max="15663" width="15.7109375" style="876" customWidth="1"/>
    <col min="15664" max="15664" width="17.5703125" style="876" customWidth="1"/>
    <col min="15665" max="15665" width="20.140625" style="876" customWidth="1"/>
    <col min="15666" max="15700" width="15.7109375" style="876" customWidth="1"/>
    <col min="15701" max="15701" width="3" style="876" customWidth="1"/>
    <col min="15702" max="15702" width="9.140625" style="876" customWidth="1"/>
    <col min="15703" max="15704" width="9" style="876" customWidth="1"/>
    <col min="15705" max="15706" width="16" style="876" customWidth="1"/>
    <col min="15707" max="15707" width="9" style="876" customWidth="1"/>
    <col min="15708" max="15709" width="12.28515625" style="876" customWidth="1"/>
    <col min="15710" max="15712" width="14.85546875" style="876" customWidth="1"/>
    <col min="15713" max="15713" width="0" style="876" hidden="1" customWidth="1"/>
    <col min="15714" max="15715" width="12.140625" style="876" customWidth="1"/>
    <col min="15716" max="15716" width="10.7109375" style="876" customWidth="1"/>
    <col min="15717" max="15719" width="15.7109375" style="876" customWidth="1"/>
    <col min="15720" max="15720" width="11.85546875" style="876" customWidth="1"/>
    <col min="15721" max="15723" width="13.7109375" style="876" customWidth="1"/>
    <col min="15724" max="15724" width="3" style="876" customWidth="1"/>
    <col min="15725" max="15726" width="15.7109375" style="876" customWidth="1"/>
    <col min="15727" max="15885" width="9.140625" style="876"/>
    <col min="15886" max="15886" width="21.85546875" style="876" customWidth="1"/>
    <col min="15887" max="15887" width="32.28515625" style="876" customWidth="1"/>
    <col min="15888" max="15888" width="13" style="876" customWidth="1"/>
    <col min="15889" max="15919" width="15.7109375" style="876" customWidth="1"/>
    <col min="15920" max="15920" width="17.5703125" style="876" customWidth="1"/>
    <col min="15921" max="15921" width="20.140625" style="876" customWidth="1"/>
    <col min="15922" max="15956" width="15.7109375" style="876" customWidth="1"/>
    <col min="15957" max="15957" width="3" style="876" customWidth="1"/>
    <col min="15958" max="15958" width="9.140625" style="876" customWidth="1"/>
    <col min="15959" max="15960" width="9" style="876" customWidth="1"/>
    <col min="15961" max="15962" width="16" style="876" customWidth="1"/>
    <col min="15963" max="15963" width="9" style="876" customWidth="1"/>
    <col min="15964" max="15965" width="12.28515625" style="876" customWidth="1"/>
    <col min="15966" max="15968" width="14.85546875" style="876" customWidth="1"/>
    <col min="15969" max="15969" width="0" style="876" hidden="1" customWidth="1"/>
    <col min="15970" max="15971" width="12.140625" style="876" customWidth="1"/>
    <col min="15972" max="15972" width="10.7109375" style="876" customWidth="1"/>
    <col min="15973" max="15975" width="15.7109375" style="876" customWidth="1"/>
    <col min="15976" max="15976" width="11.85546875" style="876" customWidth="1"/>
    <col min="15977" max="15979" width="13.7109375" style="876" customWidth="1"/>
    <col min="15980" max="15980" width="3" style="876" customWidth="1"/>
    <col min="15981" max="15982" width="15.7109375" style="876" customWidth="1"/>
    <col min="15983" max="16141" width="9.140625" style="876"/>
    <col min="16142" max="16142" width="21.85546875" style="876" customWidth="1"/>
    <col min="16143" max="16143" width="32.28515625" style="876" customWidth="1"/>
    <col min="16144" max="16144" width="13" style="876" customWidth="1"/>
    <col min="16145" max="16175" width="15.7109375" style="876" customWidth="1"/>
    <col min="16176" max="16176" width="17.5703125" style="876" customWidth="1"/>
    <col min="16177" max="16177" width="20.140625" style="876" customWidth="1"/>
    <col min="16178" max="16212" width="15.7109375" style="876" customWidth="1"/>
    <col min="16213" max="16213" width="3" style="876" customWidth="1"/>
    <col min="16214" max="16214" width="9.140625" style="876" customWidth="1"/>
    <col min="16215" max="16216" width="9" style="876" customWidth="1"/>
    <col min="16217" max="16218" width="16" style="876" customWidth="1"/>
    <col min="16219" max="16219" width="9" style="876" customWidth="1"/>
    <col min="16220" max="16221" width="12.28515625" style="876" customWidth="1"/>
    <col min="16222" max="16224" width="14.85546875" style="876" customWidth="1"/>
    <col min="16225" max="16225" width="0" style="876" hidden="1" customWidth="1"/>
    <col min="16226" max="16227" width="12.140625" style="876" customWidth="1"/>
    <col min="16228" max="16228" width="10.7109375" style="876" customWidth="1"/>
    <col min="16229" max="16231" width="15.7109375" style="876" customWidth="1"/>
    <col min="16232" max="16232" width="11.85546875" style="876" customWidth="1"/>
    <col min="16233" max="16235" width="13.7109375" style="876" customWidth="1"/>
    <col min="16236" max="16236" width="3" style="876" customWidth="1"/>
    <col min="16237" max="16238" width="15.7109375" style="876" customWidth="1"/>
    <col min="16239" max="16384" width="9.140625" style="876"/>
  </cols>
  <sheetData>
    <row r="1" spans="1:155" x14ac:dyDescent="0.25">
      <c r="A1" s="870"/>
      <c r="B1" s="871"/>
      <c r="C1" s="872"/>
      <c r="D1" s="872"/>
      <c r="E1" s="872"/>
      <c r="F1" s="872"/>
      <c r="G1" s="872"/>
      <c r="H1" s="872"/>
      <c r="I1" s="872"/>
      <c r="J1" s="873"/>
      <c r="K1" s="872"/>
      <c r="L1" s="872"/>
      <c r="M1" s="874"/>
      <c r="N1" s="872"/>
      <c r="O1" s="872"/>
      <c r="P1" s="874"/>
      <c r="Q1" s="872"/>
      <c r="R1" s="872"/>
      <c r="S1" s="874"/>
      <c r="T1" s="872"/>
      <c r="U1" s="872"/>
      <c r="V1" s="874"/>
      <c r="W1" s="872"/>
      <c r="X1" s="872"/>
      <c r="Y1" s="874"/>
      <c r="Z1" s="872"/>
      <c r="AA1" s="872"/>
      <c r="AB1" s="874"/>
      <c r="AC1" s="872"/>
      <c r="AD1" s="872"/>
      <c r="AE1" s="874"/>
      <c r="AF1" s="872"/>
      <c r="AG1" s="872"/>
      <c r="AH1" s="874"/>
      <c r="AI1" s="872"/>
      <c r="AJ1" s="872"/>
      <c r="AK1" s="874"/>
      <c r="AL1" s="872"/>
      <c r="AM1" s="872"/>
      <c r="AN1" s="872"/>
      <c r="AO1" s="872"/>
      <c r="AP1" s="872"/>
      <c r="AQ1" s="872"/>
      <c r="AR1" s="872"/>
      <c r="AS1" s="872"/>
      <c r="AT1" s="872"/>
      <c r="AU1" s="872"/>
      <c r="AV1" s="872"/>
      <c r="AW1" s="872"/>
      <c r="AX1" s="872"/>
      <c r="AY1" s="872"/>
      <c r="AZ1" s="872"/>
      <c r="BA1" s="872"/>
      <c r="BB1" s="872"/>
      <c r="BC1" s="872"/>
      <c r="BD1" s="872"/>
      <c r="BE1" s="872"/>
      <c r="BF1" s="872"/>
      <c r="BG1" s="872"/>
      <c r="BH1" s="872"/>
      <c r="BI1" s="872"/>
      <c r="BJ1" s="872"/>
      <c r="BK1" s="872"/>
      <c r="BL1" s="872"/>
      <c r="BM1" s="872"/>
      <c r="BN1" s="872"/>
      <c r="BO1" s="872"/>
      <c r="BP1" s="875"/>
      <c r="BQ1" s="872"/>
      <c r="BR1" s="872"/>
      <c r="BS1" s="872"/>
      <c r="BU1" s="872"/>
      <c r="BV1" s="872"/>
      <c r="BW1" s="872"/>
      <c r="BX1" s="872"/>
      <c r="BY1" s="872"/>
      <c r="BZ1" s="872"/>
      <c r="CA1" s="872"/>
      <c r="CB1" s="872"/>
      <c r="CC1" s="872"/>
      <c r="CD1" s="872"/>
      <c r="CE1" s="872"/>
      <c r="CF1" s="877"/>
      <c r="CG1" s="872"/>
      <c r="CH1" s="872"/>
      <c r="CI1" s="872"/>
      <c r="CJ1" s="872"/>
      <c r="CK1" s="872"/>
      <c r="CL1" s="872"/>
      <c r="CM1" s="872"/>
      <c r="CN1" s="872"/>
      <c r="CO1" s="872"/>
      <c r="CP1" s="872"/>
      <c r="CQ1" s="872"/>
      <c r="CR1" s="872"/>
      <c r="CS1" s="872"/>
      <c r="CT1" s="872"/>
      <c r="CU1" s="872"/>
      <c r="CV1" s="872"/>
      <c r="CX1" s="872"/>
      <c r="CY1" s="872"/>
      <c r="CZ1" s="872"/>
      <c r="DB1" s="872" t="s">
        <v>1213</v>
      </c>
      <c r="DC1" s="872"/>
      <c r="DD1" s="872"/>
      <c r="DE1" s="872"/>
      <c r="DF1" s="872"/>
      <c r="DG1" s="872"/>
      <c r="DH1" s="872"/>
      <c r="DI1" s="872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V1" s="872" t="s">
        <v>1214</v>
      </c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872"/>
      <c r="EL1" s="872"/>
      <c r="EM1" s="872"/>
      <c r="EN1" s="872"/>
      <c r="EO1" s="872"/>
      <c r="EP1" s="872"/>
      <c r="EQ1" s="872"/>
      <c r="ER1" s="872"/>
      <c r="ES1" s="872"/>
      <c r="ET1" s="872"/>
      <c r="EV1" s="872"/>
      <c r="EW1" s="872"/>
      <c r="EX1" s="872"/>
      <c r="EY1" s="872"/>
    </row>
    <row r="2" spans="1:155" ht="15.75" hidden="1" customHeight="1" x14ac:dyDescent="0.25">
      <c r="A2" s="878"/>
      <c r="B2" s="1107" t="s">
        <v>830</v>
      </c>
      <c r="C2" s="1107"/>
      <c r="D2" s="1107"/>
      <c r="E2" s="1107"/>
      <c r="F2" s="1107"/>
      <c r="G2" s="1107"/>
      <c r="H2" s="1107"/>
      <c r="I2" s="1107"/>
      <c r="J2" s="1107"/>
      <c r="K2" s="1107"/>
      <c r="L2" s="1107"/>
      <c r="M2" s="1107"/>
      <c r="N2" s="1107"/>
      <c r="O2" s="1107"/>
      <c r="P2" s="1107"/>
      <c r="Q2" s="1107"/>
      <c r="R2" s="1107"/>
      <c r="S2" s="1107"/>
      <c r="T2" s="1107"/>
      <c r="U2" s="1107"/>
      <c r="V2" s="1107"/>
      <c r="W2" s="1107"/>
      <c r="X2" s="1107"/>
      <c r="Y2" s="1107"/>
      <c r="Z2" s="1107"/>
      <c r="AA2" s="1107"/>
      <c r="AB2" s="1107"/>
      <c r="AC2" s="1107"/>
      <c r="AD2" s="1107"/>
      <c r="AE2" s="1107"/>
      <c r="AF2" s="1107"/>
      <c r="AG2" s="1107"/>
      <c r="AH2" s="1107"/>
      <c r="AI2" s="1107"/>
      <c r="AJ2" s="1107"/>
      <c r="AK2" s="1107"/>
      <c r="AL2" s="1107"/>
      <c r="AM2" s="1107"/>
      <c r="AN2" s="1107"/>
      <c r="AO2" s="1107"/>
      <c r="AP2" s="1107"/>
      <c r="AQ2" s="1107"/>
      <c r="AR2" s="1107"/>
      <c r="AS2" s="872"/>
      <c r="AT2" s="872"/>
      <c r="AU2" s="879"/>
      <c r="AV2" s="879"/>
      <c r="AW2" s="872"/>
      <c r="AX2" s="872"/>
      <c r="AY2" s="872"/>
      <c r="AZ2" s="872"/>
      <c r="BA2" s="872"/>
      <c r="BB2" s="872"/>
      <c r="BC2" s="872"/>
      <c r="BD2" s="872"/>
      <c r="BE2" s="872"/>
      <c r="BF2" s="872"/>
      <c r="BG2" s="872"/>
      <c r="BH2" s="872"/>
      <c r="BI2" s="872"/>
      <c r="BJ2" s="872"/>
      <c r="BK2" s="872"/>
      <c r="BL2" s="872"/>
      <c r="BM2" s="872"/>
      <c r="BN2" s="872"/>
      <c r="BO2" s="872"/>
      <c r="BP2" s="875"/>
      <c r="BQ2" s="872"/>
      <c r="BR2" s="872"/>
      <c r="BS2" s="872"/>
      <c r="BU2" s="872"/>
      <c r="BV2" s="872"/>
      <c r="BW2" s="872"/>
      <c r="BX2" s="872"/>
      <c r="BY2" s="872"/>
      <c r="BZ2" s="872"/>
      <c r="CA2" s="872"/>
      <c r="CB2" s="872"/>
      <c r="CC2" s="872"/>
      <c r="CD2" s="872"/>
      <c r="CE2" s="872"/>
      <c r="CF2" s="877"/>
      <c r="CG2" s="872"/>
      <c r="CH2" s="872"/>
      <c r="CI2" s="872"/>
      <c r="CJ2" s="872"/>
      <c r="CK2" s="872"/>
      <c r="CL2" s="872"/>
      <c r="CM2" s="872"/>
      <c r="CN2" s="872"/>
      <c r="CO2" s="872"/>
      <c r="CP2" s="872"/>
      <c r="CQ2" s="872"/>
      <c r="CR2" s="872"/>
      <c r="CS2" s="872"/>
      <c r="CT2" s="872"/>
      <c r="CU2" s="872"/>
      <c r="CV2" s="872"/>
      <c r="CX2" s="872"/>
      <c r="CY2" s="872"/>
      <c r="CZ2" s="872"/>
      <c r="DB2" s="872"/>
      <c r="DC2" s="872"/>
      <c r="DD2" s="872"/>
      <c r="DE2" s="872"/>
      <c r="DF2" s="872"/>
      <c r="DG2" s="872"/>
      <c r="DH2" s="872"/>
      <c r="DI2" s="872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872"/>
      <c r="EL2" s="872"/>
      <c r="EM2" s="872"/>
      <c r="EN2" s="872"/>
      <c r="EO2" s="872"/>
      <c r="EP2" s="872"/>
      <c r="EQ2" s="872"/>
      <c r="ER2" s="872"/>
      <c r="ES2" s="872"/>
      <c r="ET2" s="872"/>
      <c r="EV2" s="872"/>
      <c r="EW2" s="872"/>
      <c r="EX2" s="872"/>
      <c r="EY2" s="872"/>
    </row>
    <row r="3" spans="1:155" ht="15.75" hidden="1" customHeight="1" x14ac:dyDescent="0.25">
      <c r="A3" s="878"/>
      <c r="B3" s="1107" t="s">
        <v>384</v>
      </c>
      <c r="C3" s="1107"/>
      <c r="D3" s="1107"/>
      <c r="E3" s="1107"/>
      <c r="F3" s="1107"/>
      <c r="G3" s="1107"/>
      <c r="H3" s="1107"/>
      <c r="I3" s="1107"/>
      <c r="J3" s="1107"/>
      <c r="K3" s="1107"/>
      <c r="L3" s="1107"/>
      <c r="M3" s="1107"/>
      <c r="N3" s="1107"/>
      <c r="O3" s="1107"/>
      <c r="P3" s="1107"/>
      <c r="Q3" s="1107"/>
      <c r="R3" s="1107"/>
      <c r="S3" s="1107"/>
      <c r="T3" s="1107"/>
      <c r="U3" s="1107"/>
      <c r="V3" s="1107"/>
      <c r="W3" s="1107"/>
      <c r="X3" s="1107"/>
      <c r="Y3" s="1107"/>
      <c r="Z3" s="1107"/>
      <c r="AA3" s="1107"/>
      <c r="AB3" s="1107"/>
      <c r="AC3" s="1107"/>
      <c r="AD3" s="1107"/>
      <c r="AE3" s="1107"/>
      <c r="AF3" s="1107"/>
      <c r="AG3" s="1107"/>
      <c r="AH3" s="1107"/>
      <c r="AI3" s="1107"/>
      <c r="AJ3" s="1107"/>
      <c r="AK3" s="1107"/>
      <c r="AL3" s="1107"/>
      <c r="AM3" s="1107"/>
      <c r="AN3" s="1107"/>
      <c r="AO3" s="1107"/>
      <c r="AP3" s="1107"/>
      <c r="AQ3" s="1107"/>
      <c r="AR3" s="1107"/>
      <c r="AS3" s="872"/>
      <c r="AT3" s="872"/>
      <c r="AU3" s="879"/>
      <c r="AV3" s="879"/>
      <c r="AW3" s="872"/>
      <c r="AX3" s="872"/>
      <c r="AY3" s="872"/>
      <c r="AZ3" s="872"/>
      <c r="BA3" s="872"/>
      <c r="BB3" s="872"/>
      <c r="BC3" s="872"/>
      <c r="BD3" s="872"/>
      <c r="BE3" s="872"/>
      <c r="BF3" s="872"/>
      <c r="BG3" s="872"/>
      <c r="BH3" s="872"/>
      <c r="BI3" s="872"/>
      <c r="BJ3" s="872"/>
      <c r="BK3" s="872"/>
      <c r="BL3" s="872"/>
      <c r="BM3" s="872"/>
      <c r="BN3" s="872"/>
      <c r="BO3" s="872"/>
      <c r="BP3" s="875"/>
      <c r="BQ3" s="872"/>
      <c r="BR3" s="872"/>
      <c r="BS3" s="872"/>
      <c r="BU3" s="872"/>
      <c r="BV3" s="872"/>
      <c r="BW3" s="872"/>
      <c r="BX3" s="872"/>
      <c r="BY3" s="872"/>
      <c r="BZ3" s="872"/>
      <c r="CA3" s="872"/>
      <c r="CB3" s="872"/>
      <c r="CC3" s="872"/>
      <c r="CD3" s="872"/>
      <c r="CE3" s="872"/>
      <c r="CF3" s="877"/>
      <c r="CG3" s="872"/>
      <c r="CH3" s="872"/>
      <c r="CI3" s="872"/>
      <c r="CJ3" s="872"/>
      <c r="CK3" s="872"/>
      <c r="CL3" s="872"/>
      <c r="CM3" s="872"/>
      <c r="CN3" s="872"/>
      <c r="CO3" s="872"/>
      <c r="CP3" s="872"/>
      <c r="CQ3" s="872"/>
      <c r="CR3" s="872"/>
      <c r="CS3" s="872"/>
      <c r="CT3" s="872"/>
      <c r="CU3" s="872"/>
      <c r="CV3" s="872"/>
      <c r="CX3" s="872"/>
      <c r="CY3" s="872"/>
      <c r="CZ3" s="872"/>
      <c r="DB3" s="872"/>
      <c r="DC3" s="872"/>
      <c r="DD3" s="872"/>
      <c r="DE3" s="872"/>
      <c r="DF3" s="872"/>
      <c r="DG3" s="872"/>
      <c r="DH3" s="872"/>
      <c r="DI3" s="872"/>
      <c r="DJ3" s="872"/>
      <c r="DK3" s="872"/>
      <c r="DL3" s="872"/>
      <c r="DM3" s="872"/>
      <c r="DN3" s="872"/>
      <c r="DO3" s="872"/>
      <c r="DP3" s="872"/>
      <c r="DQ3" s="872"/>
      <c r="DR3" s="872"/>
      <c r="DS3" s="872"/>
      <c r="DT3" s="872"/>
      <c r="DV3" s="872"/>
      <c r="DW3" s="872"/>
      <c r="DX3" s="872"/>
      <c r="DY3" s="872"/>
      <c r="DZ3" s="872"/>
      <c r="EA3" s="872"/>
      <c r="EB3" s="872"/>
      <c r="EC3" s="872"/>
      <c r="ED3" s="872"/>
      <c r="EE3" s="872"/>
      <c r="EF3" s="872"/>
      <c r="EG3" s="872"/>
      <c r="EH3" s="872"/>
      <c r="EI3" s="872"/>
      <c r="EJ3" s="872"/>
      <c r="EK3" s="872"/>
      <c r="EL3" s="872"/>
      <c r="EM3" s="872"/>
      <c r="EN3" s="872"/>
      <c r="EO3" s="872"/>
      <c r="EP3" s="872"/>
      <c r="EQ3" s="872"/>
      <c r="ER3" s="872"/>
      <c r="ES3" s="872"/>
      <c r="ET3" s="872"/>
      <c r="EV3" s="872"/>
      <c r="EW3" s="872"/>
      <c r="EX3" s="872"/>
      <c r="EY3" s="872"/>
    </row>
    <row r="4" spans="1:155" ht="15.75" hidden="1" customHeight="1" x14ac:dyDescent="0.25">
      <c r="A4" s="878"/>
      <c r="B4" s="1107" t="s">
        <v>385</v>
      </c>
      <c r="C4" s="1107"/>
      <c r="D4" s="1107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872"/>
      <c r="AT4" s="872"/>
      <c r="AU4" s="879"/>
      <c r="AV4" s="879"/>
      <c r="AW4" s="872"/>
      <c r="AX4" s="872"/>
      <c r="AY4" s="872"/>
      <c r="AZ4" s="872"/>
      <c r="BA4" s="872"/>
      <c r="BB4" s="872"/>
      <c r="BC4" s="872"/>
      <c r="BD4" s="872"/>
      <c r="BE4" s="872"/>
      <c r="BF4" s="872"/>
      <c r="BG4" s="872"/>
      <c r="BH4" s="872"/>
      <c r="BI4" s="872"/>
      <c r="BJ4" s="872"/>
      <c r="BK4" s="872"/>
      <c r="BL4" s="872"/>
      <c r="BM4" s="872"/>
      <c r="BN4" s="872"/>
      <c r="BO4" s="872"/>
      <c r="BP4" s="875"/>
      <c r="BQ4" s="872"/>
      <c r="BR4" s="872"/>
      <c r="BS4" s="872"/>
      <c r="BU4" s="872"/>
      <c r="BV4" s="872"/>
      <c r="BW4" s="872"/>
      <c r="BX4" s="872"/>
      <c r="BY4" s="872"/>
      <c r="BZ4" s="872"/>
      <c r="CA4" s="872"/>
      <c r="CB4" s="872"/>
      <c r="CC4" s="872"/>
      <c r="CD4" s="872"/>
      <c r="CE4" s="872"/>
      <c r="CF4" s="877"/>
      <c r="CG4" s="872"/>
      <c r="CH4" s="872"/>
      <c r="CI4" s="872"/>
      <c r="CJ4" s="872"/>
      <c r="CK4" s="872"/>
      <c r="CL4" s="872"/>
      <c r="CM4" s="872"/>
      <c r="CN4" s="872"/>
      <c r="CO4" s="872"/>
      <c r="CP4" s="872"/>
      <c r="CQ4" s="872"/>
      <c r="CR4" s="872"/>
      <c r="CS4" s="872"/>
      <c r="CT4" s="872"/>
      <c r="CU4" s="872"/>
      <c r="CV4" s="872"/>
      <c r="CX4" s="872"/>
      <c r="CY4" s="872"/>
      <c r="CZ4" s="872"/>
      <c r="DB4" s="872"/>
      <c r="DC4" s="872"/>
      <c r="DD4" s="872"/>
      <c r="DE4" s="872"/>
      <c r="DF4" s="872"/>
      <c r="DG4" s="872"/>
      <c r="DH4" s="872"/>
      <c r="DI4" s="872"/>
      <c r="DJ4" s="872"/>
      <c r="DK4" s="872"/>
      <c r="DL4" s="872"/>
      <c r="DM4" s="872"/>
      <c r="DN4" s="872"/>
      <c r="DO4" s="872"/>
      <c r="DP4" s="872"/>
      <c r="DQ4" s="872"/>
      <c r="DR4" s="872"/>
      <c r="DS4" s="872"/>
      <c r="DT4" s="872"/>
      <c r="DV4" s="872"/>
      <c r="DW4" s="872"/>
      <c r="DX4" s="872"/>
      <c r="DY4" s="872"/>
      <c r="DZ4" s="872"/>
      <c r="EA4" s="872"/>
      <c r="EB4" s="872"/>
      <c r="EC4" s="872"/>
      <c r="ED4" s="872"/>
      <c r="EE4" s="872"/>
      <c r="EF4" s="872"/>
      <c r="EG4" s="872"/>
      <c r="EH4" s="872"/>
      <c r="EI4" s="872"/>
      <c r="EJ4" s="872"/>
      <c r="EK4" s="872"/>
      <c r="EL4" s="872"/>
      <c r="EM4" s="872"/>
      <c r="EN4" s="872"/>
      <c r="EO4" s="872"/>
      <c r="EP4" s="872"/>
      <c r="EQ4" s="872"/>
      <c r="ER4" s="872"/>
      <c r="ES4" s="872"/>
      <c r="ET4" s="872"/>
      <c r="EV4" s="872"/>
      <c r="EW4" s="872"/>
      <c r="EX4" s="872"/>
      <c r="EY4" s="872"/>
    </row>
    <row r="5" spans="1:155" ht="15.75" hidden="1" customHeight="1" x14ac:dyDescent="0.25">
      <c r="A5" s="878"/>
      <c r="B5" s="1107" t="s">
        <v>1215</v>
      </c>
      <c r="C5" s="1107"/>
      <c r="D5" s="1107"/>
      <c r="E5" s="1107"/>
      <c r="F5" s="1107"/>
      <c r="G5" s="1107"/>
      <c r="H5" s="1107"/>
      <c r="I5" s="1107"/>
      <c r="J5" s="1107"/>
      <c r="K5" s="1107"/>
      <c r="L5" s="1107"/>
      <c r="M5" s="1107"/>
      <c r="N5" s="1107"/>
      <c r="O5" s="1107"/>
      <c r="P5" s="1107"/>
      <c r="Q5" s="1107"/>
      <c r="R5" s="1107"/>
      <c r="S5" s="1107"/>
      <c r="T5" s="1107"/>
      <c r="U5" s="1107"/>
      <c r="V5" s="1107"/>
      <c r="W5" s="1107"/>
      <c r="X5" s="1107"/>
      <c r="Y5" s="1107"/>
      <c r="Z5" s="1107"/>
      <c r="AA5" s="1107"/>
      <c r="AB5" s="1107"/>
      <c r="AC5" s="1107"/>
      <c r="AD5" s="1107"/>
      <c r="AE5" s="1107"/>
      <c r="AF5" s="1107"/>
      <c r="AG5" s="1107"/>
      <c r="AH5" s="1107"/>
      <c r="AI5" s="1107"/>
      <c r="AJ5" s="1107"/>
      <c r="AK5" s="1107"/>
      <c r="AL5" s="1107"/>
      <c r="AM5" s="1107"/>
      <c r="AN5" s="1107"/>
      <c r="AO5" s="1107"/>
      <c r="AP5" s="1107"/>
      <c r="AQ5" s="1107"/>
      <c r="AR5" s="1107"/>
      <c r="AS5" s="872"/>
      <c r="AT5" s="872"/>
      <c r="AU5" s="879"/>
      <c r="AV5" s="879"/>
      <c r="AW5" s="872"/>
      <c r="AX5" s="872"/>
      <c r="AY5" s="872"/>
      <c r="AZ5" s="872"/>
      <c r="BA5" s="872"/>
      <c r="BB5" s="872"/>
      <c r="BC5" s="872"/>
      <c r="BD5" s="872"/>
      <c r="BE5" s="872"/>
      <c r="BF5" s="872"/>
      <c r="BG5" s="872"/>
      <c r="BH5" s="872"/>
      <c r="BI5" s="872"/>
      <c r="BJ5" s="872"/>
      <c r="BK5" s="872"/>
      <c r="BL5" s="872"/>
      <c r="BM5" s="872"/>
      <c r="BN5" s="872"/>
      <c r="BO5" s="872"/>
      <c r="BP5" s="875"/>
      <c r="BQ5" s="872"/>
      <c r="BR5" s="872"/>
      <c r="BS5" s="872"/>
      <c r="BU5" s="872"/>
      <c r="BV5" s="872"/>
      <c r="BW5" s="872"/>
      <c r="BX5" s="872"/>
      <c r="BY5" s="872"/>
      <c r="BZ5" s="872"/>
      <c r="CA5" s="872"/>
      <c r="CB5" s="872"/>
      <c r="CC5" s="872"/>
      <c r="CD5" s="872"/>
      <c r="CE5" s="872"/>
      <c r="CF5" s="877"/>
      <c r="CG5" s="872"/>
      <c r="CH5" s="872"/>
      <c r="CI5" s="872"/>
      <c r="CJ5" s="872"/>
      <c r="CK5" s="872"/>
      <c r="CL5" s="872"/>
      <c r="CM5" s="872"/>
      <c r="CN5" s="872"/>
      <c r="CO5" s="872"/>
      <c r="CP5" s="872"/>
      <c r="CQ5" s="872"/>
      <c r="CR5" s="872"/>
      <c r="CS5" s="872"/>
      <c r="CT5" s="872"/>
      <c r="CU5" s="872"/>
      <c r="CV5" s="872"/>
      <c r="CX5" s="872"/>
      <c r="CY5" s="872"/>
      <c r="CZ5" s="872"/>
      <c r="DB5" s="872"/>
      <c r="DC5" s="872"/>
      <c r="DD5" s="872"/>
      <c r="DE5" s="872"/>
      <c r="DF5" s="872"/>
      <c r="DG5" s="872"/>
      <c r="DH5" s="872"/>
      <c r="DI5" s="872"/>
      <c r="DJ5" s="872"/>
      <c r="DK5" s="872"/>
      <c r="DL5" s="872"/>
      <c r="DM5" s="872"/>
      <c r="DN5" s="872"/>
      <c r="DO5" s="872"/>
      <c r="DP5" s="872"/>
      <c r="DQ5" s="872"/>
      <c r="DR5" s="872"/>
      <c r="DS5" s="872"/>
      <c r="DT5" s="872"/>
      <c r="DV5" s="872"/>
      <c r="DW5" s="872"/>
      <c r="DX5" s="872"/>
      <c r="DY5" s="872"/>
      <c r="DZ5" s="872"/>
      <c r="EA5" s="872"/>
      <c r="EB5" s="872"/>
      <c r="EC5" s="872"/>
      <c r="ED5" s="872"/>
      <c r="EE5" s="872"/>
      <c r="EF5" s="872"/>
      <c r="EG5" s="872"/>
      <c r="EH5" s="872"/>
      <c r="EI5" s="872"/>
      <c r="EJ5" s="872"/>
      <c r="EK5" s="872"/>
      <c r="EL5" s="872"/>
      <c r="EM5" s="872"/>
      <c r="EN5" s="872"/>
      <c r="EO5" s="872"/>
      <c r="EP5" s="872"/>
      <c r="EQ5" s="872"/>
      <c r="ER5" s="872"/>
      <c r="ES5" s="872"/>
      <c r="ET5" s="872"/>
      <c r="EV5" s="872"/>
      <c r="EW5" s="872"/>
      <c r="EX5" s="872"/>
      <c r="EY5" s="872"/>
    </row>
    <row r="6" spans="1:155" ht="15.75" hidden="1" customHeight="1" x14ac:dyDescent="0.25">
      <c r="A6" s="878"/>
      <c r="B6" s="1107" t="s">
        <v>386</v>
      </c>
      <c r="C6" s="1107"/>
      <c r="D6" s="1107"/>
      <c r="E6" s="1107"/>
      <c r="F6" s="1107"/>
      <c r="G6" s="1107"/>
      <c r="H6" s="1107"/>
      <c r="I6" s="1107"/>
      <c r="J6" s="1107"/>
      <c r="K6" s="1107"/>
      <c r="L6" s="1107"/>
      <c r="M6" s="1107"/>
      <c r="N6" s="1107"/>
      <c r="O6" s="1107"/>
      <c r="P6" s="1107"/>
      <c r="Q6" s="1107"/>
      <c r="R6" s="1107"/>
      <c r="S6" s="1107"/>
      <c r="T6" s="1107"/>
      <c r="U6" s="1107"/>
      <c r="V6" s="1107"/>
      <c r="W6" s="1107"/>
      <c r="X6" s="1107"/>
      <c r="Y6" s="1107"/>
      <c r="Z6" s="1107"/>
      <c r="AA6" s="1107"/>
      <c r="AB6" s="1107"/>
      <c r="AC6" s="1107"/>
      <c r="AD6" s="1107"/>
      <c r="AE6" s="1107"/>
      <c r="AF6" s="1107"/>
      <c r="AG6" s="1107"/>
      <c r="AH6" s="1107"/>
      <c r="AI6" s="1107"/>
      <c r="AJ6" s="1107"/>
      <c r="AK6" s="1107"/>
      <c r="AL6" s="1107"/>
      <c r="AM6" s="1107"/>
      <c r="AN6" s="1107"/>
      <c r="AO6" s="1107"/>
      <c r="AP6" s="1107"/>
      <c r="AQ6" s="1107"/>
      <c r="AR6" s="1107"/>
      <c r="AS6" s="872"/>
      <c r="AT6" s="872"/>
      <c r="AU6" s="879"/>
      <c r="AV6" s="879"/>
      <c r="AW6" s="872"/>
      <c r="AX6" s="872"/>
      <c r="AY6" s="872"/>
      <c r="AZ6" s="872"/>
      <c r="BA6" s="872"/>
      <c r="BB6" s="872"/>
      <c r="BC6" s="872"/>
      <c r="BD6" s="872"/>
      <c r="BE6" s="872"/>
      <c r="BF6" s="872"/>
      <c r="BG6" s="872"/>
      <c r="BH6" s="872"/>
      <c r="BI6" s="872"/>
      <c r="BJ6" s="872"/>
      <c r="BK6" s="872"/>
      <c r="BL6" s="872"/>
      <c r="BM6" s="872"/>
      <c r="BN6" s="872"/>
      <c r="BO6" s="872"/>
      <c r="BP6" s="875"/>
      <c r="BQ6" s="872"/>
      <c r="BR6" s="872"/>
      <c r="BS6" s="872"/>
      <c r="BU6" s="872"/>
      <c r="BV6" s="872"/>
      <c r="BW6" s="872"/>
      <c r="BX6" s="872"/>
      <c r="BY6" s="872"/>
      <c r="BZ6" s="872"/>
      <c r="CA6" s="872"/>
      <c r="CB6" s="872"/>
      <c r="CC6" s="872"/>
      <c r="CD6" s="872"/>
      <c r="CE6" s="872"/>
      <c r="CF6" s="877"/>
      <c r="CG6" s="872"/>
      <c r="CH6" s="872"/>
      <c r="CI6" s="872"/>
      <c r="CJ6" s="872"/>
      <c r="CK6" s="872"/>
      <c r="CL6" s="872"/>
      <c r="CM6" s="872"/>
      <c r="CN6" s="872"/>
      <c r="CO6" s="872"/>
      <c r="CP6" s="872"/>
      <c r="CQ6" s="872"/>
      <c r="CR6" s="872"/>
      <c r="CS6" s="872"/>
      <c r="CT6" s="872"/>
      <c r="CU6" s="872"/>
      <c r="CV6" s="872"/>
      <c r="CX6" s="872"/>
      <c r="CY6" s="872"/>
      <c r="CZ6" s="872"/>
      <c r="DB6" s="872"/>
      <c r="DC6" s="872"/>
      <c r="DD6" s="872"/>
      <c r="DE6" s="872"/>
      <c r="DF6" s="872"/>
      <c r="DG6" s="872"/>
      <c r="DH6" s="872"/>
      <c r="DI6" s="872"/>
      <c r="DJ6" s="872"/>
      <c r="DK6" s="872"/>
      <c r="DL6" s="872"/>
      <c r="DM6" s="872"/>
      <c r="DN6" s="872"/>
      <c r="DO6" s="872"/>
      <c r="DP6" s="872"/>
      <c r="DQ6" s="872"/>
      <c r="DR6" s="872"/>
      <c r="DS6" s="872"/>
      <c r="DT6" s="872"/>
      <c r="DV6" s="872"/>
      <c r="DW6" s="872"/>
      <c r="DX6" s="872"/>
      <c r="DY6" s="872"/>
      <c r="DZ6" s="872"/>
      <c r="EA6" s="872"/>
      <c r="EB6" s="872"/>
      <c r="EC6" s="872"/>
      <c r="ED6" s="872"/>
      <c r="EE6" s="872"/>
      <c r="EF6" s="872"/>
      <c r="EG6" s="872"/>
      <c r="EH6" s="872"/>
      <c r="EI6" s="872"/>
      <c r="EJ6" s="872"/>
      <c r="EK6" s="872"/>
      <c r="EL6" s="872"/>
      <c r="EM6" s="872"/>
      <c r="EN6" s="872"/>
      <c r="EO6" s="872"/>
      <c r="EP6" s="872"/>
      <c r="EQ6" s="872"/>
      <c r="ER6" s="872"/>
      <c r="ES6" s="872"/>
      <c r="ET6" s="872"/>
      <c r="EV6" s="872"/>
      <c r="EW6" s="872"/>
      <c r="EX6" s="872"/>
      <c r="EY6" s="872"/>
    </row>
    <row r="7" spans="1:155" ht="15.75" x14ac:dyDescent="0.25">
      <c r="A7" s="880">
        <v>2024</v>
      </c>
      <c r="B7" s="881"/>
      <c r="C7" s="882"/>
      <c r="D7" s="883"/>
      <c r="E7" s="872"/>
      <c r="F7" s="872"/>
      <c r="G7" s="872"/>
      <c r="H7" s="883"/>
      <c r="I7" s="872"/>
      <c r="J7" s="873"/>
      <c r="K7" s="872"/>
      <c r="L7" s="872"/>
      <c r="M7" s="874"/>
      <c r="N7" s="872"/>
      <c r="O7" s="872"/>
      <c r="P7" s="874"/>
      <c r="Q7" s="872"/>
      <c r="R7" s="872"/>
      <c r="S7" s="874"/>
      <c r="T7" s="872"/>
      <c r="U7" s="872"/>
      <c r="V7" s="874"/>
      <c r="W7" s="872"/>
      <c r="X7" s="872"/>
      <c r="Y7" s="874"/>
      <c r="Z7" s="872"/>
      <c r="AA7" s="872"/>
      <c r="AB7" s="874"/>
      <c r="AC7" s="872"/>
      <c r="AD7" s="872"/>
      <c r="AE7" s="874"/>
      <c r="AF7" s="872"/>
      <c r="AG7" s="872"/>
      <c r="AH7" s="874"/>
      <c r="AI7" s="872"/>
      <c r="AJ7" s="872"/>
      <c r="AK7" s="874"/>
      <c r="AL7" s="872"/>
      <c r="AM7" s="872"/>
      <c r="AN7" s="872"/>
      <c r="AO7" s="872"/>
      <c r="AP7" s="872"/>
      <c r="AQ7" s="872"/>
      <c r="AR7" s="872"/>
      <c r="AS7" s="872"/>
      <c r="AT7" s="872"/>
      <c r="AU7" s="872"/>
      <c r="AV7" s="872"/>
      <c r="AW7" s="872"/>
      <c r="AX7" s="872"/>
      <c r="AY7" s="872"/>
      <c r="AZ7" s="872"/>
      <c r="BA7" s="872"/>
      <c r="BB7" s="872"/>
      <c r="BC7" s="872"/>
      <c r="BD7" s="872"/>
      <c r="BE7" s="872"/>
      <c r="BF7" s="872"/>
      <c r="BG7" s="872"/>
      <c r="BH7" s="872"/>
      <c r="BI7" s="872"/>
      <c r="BJ7" s="872"/>
      <c r="BK7" s="872"/>
      <c r="BL7" s="872"/>
      <c r="BM7" s="872"/>
      <c r="BN7" s="872"/>
      <c r="BO7" s="872"/>
      <c r="BP7" s="875"/>
      <c r="BQ7" s="872"/>
      <c r="BR7" s="872"/>
      <c r="BS7" s="872"/>
      <c r="BU7" s="872"/>
      <c r="BV7" s="872"/>
      <c r="BW7" s="872"/>
      <c r="BX7" s="872"/>
      <c r="BY7" s="872"/>
      <c r="BZ7" s="872"/>
      <c r="CA7" s="872"/>
      <c r="CB7" s="872"/>
      <c r="CC7" s="872"/>
      <c r="CD7" s="872"/>
      <c r="CE7" s="872"/>
      <c r="CF7" s="877"/>
      <c r="CG7" s="872"/>
      <c r="CH7" s="872"/>
      <c r="CI7" s="872"/>
      <c r="CJ7" s="872"/>
      <c r="CK7" s="872"/>
      <c r="CL7" s="872"/>
      <c r="CM7" s="872"/>
      <c r="CN7" s="872"/>
      <c r="CO7" s="872"/>
      <c r="CP7" s="872"/>
      <c r="CQ7" s="872"/>
      <c r="CR7" s="872"/>
      <c r="CS7" s="872"/>
      <c r="CT7" s="872"/>
      <c r="CU7" s="872"/>
      <c r="CV7" s="872"/>
      <c r="CX7" s="872"/>
      <c r="CY7" s="872"/>
      <c r="CZ7" s="872"/>
      <c r="DB7" s="1092" t="s">
        <v>1216</v>
      </c>
      <c r="DC7" s="1093"/>
      <c r="DD7" s="1093"/>
      <c r="DE7" s="1093"/>
      <c r="DF7" s="1093"/>
      <c r="DG7" s="1093"/>
      <c r="DH7" s="1093"/>
      <c r="DI7" s="1093"/>
      <c r="DJ7" s="1093"/>
      <c r="DK7" s="1093"/>
      <c r="DL7" s="1093"/>
      <c r="DM7" s="1093"/>
      <c r="DN7" s="1093"/>
      <c r="DO7" s="1093"/>
      <c r="DP7" s="1094"/>
      <c r="DQ7" s="1083" t="s">
        <v>1217</v>
      </c>
      <c r="DR7" s="1083"/>
      <c r="DS7" s="1083"/>
      <c r="DT7" s="1083"/>
      <c r="DV7" s="884" t="s">
        <v>1216</v>
      </c>
      <c r="DW7" s="885"/>
      <c r="DX7" s="885"/>
      <c r="DY7" s="885"/>
      <c r="DZ7" s="885"/>
      <c r="EA7" s="885"/>
      <c r="EB7" s="885"/>
      <c r="EC7" s="885"/>
      <c r="ED7" s="885"/>
      <c r="EE7" s="885"/>
      <c r="EF7" s="885"/>
      <c r="EG7" s="885"/>
      <c r="EH7" s="885"/>
      <c r="EI7" s="885"/>
      <c r="EJ7" s="885"/>
      <c r="EK7" s="885"/>
      <c r="EL7" s="885"/>
      <c r="EM7" s="885"/>
      <c r="EN7" s="885"/>
      <c r="EO7" s="885"/>
      <c r="EP7" s="886"/>
      <c r="EQ7" s="887"/>
      <c r="ER7" s="887"/>
      <c r="ES7" s="887"/>
      <c r="ET7" s="887"/>
      <c r="EV7" s="1083" t="s">
        <v>1217</v>
      </c>
      <c r="EW7" s="1083"/>
      <c r="EX7" s="1083"/>
      <c r="EY7" s="1083"/>
    </row>
    <row r="8" spans="1:155" ht="63.75" customHeight="1" x14ac:dyDescent="0.25">
      <c r="A8" s="1084" t="s">
        <v>387</v>
      </c>
      <c r="B8" s="1084" t="s">
        <v>388</v>
      </c>
      <c r="C8" s="1085" t="s">
        <v>1218</v>
      </c>
      <c r="D8" s="1086" t="s">
        <v>1219</v>
      </c>
      <c r="E8" s="1086"/>
      <c r="F8" s="1086"/>
      <c r="G8" s="1086"/>
      <c r="H8" s="1086"/>
      <c r="I8" s="1086"/>
      <c r="J8" s="1086"/>
      <c r="K8" s="1086"/>
      <c r="L8" s="1086"/>
      <c r="M8" s="1086"/>
      <c r="N8" s="1086"/>
      <c r="O8" s="1086"/>
      <c r="P8" s="1086"/>
      <c r="Q8" s="1086"/>
      <c r="R8" s="1086"/>
      <c r="S8" s="1086"/>
      <c r="T8" s="1086"/>
      <c r="U8" s="1086"/>
      <c r="V8" s="1086"/>
      <c r="W8" s="1086"/>
      <c r="X8" s="1086"/>
      <c r="Y8" s="1086"/>
      <c r="Z8" s="1086"/>
      <c r="AA8" s="1086"/>
      <c r="AB8" s="1086"/>
      <c r="AC8" s="1086"/>
      <c r="AD8" s="1086"/>
      <c r="AE8" s="1086"/>
      <c r="AF8" s="1086"/>
      <c r="AG8" s="1086"/>
      <c r="AH8" s="1086"/>
      <c r="AI8" s="1086"/>
      <c r="AJ8" s="1086"/>
      <c r="AK8" s="1086"/>
      <c r="AL8" s="1086"/>
      <c r="AM8" s="1086"/>
      <c r="AN8" s="1086"/>
      <c r="AO8" s="1086"/>
      <c r="AP8" s="1086"/>
      <c r="AQ8" s="1086"/>
      <c r="AR8" s="1086"/>
      <c r="AS8" s="1086"/>
      <c r="AT8" s="1086"/>
      <c r="AU8" s="1086"/>
      <c r="AV8" s="1086"/>
      <c r="AW8" s="1086"/>
      <c r="AX8" s="1086"/>
      <c r="AY8" s="1086"/>
      <c r="AZ8" s="1086"/>
      <c r="BA8" s="1086"/>
      <c r="BB8" s="1086"/>
      <c r="BC8" s="1086"/>
      <c r="BD8" s="1086"/>
      <c r="BE8" s="1086"/>
      <c r="BF8" s="1086"/>
      <c r="BG8" s="1086"/>
      <c r="BH8" s="1086"/>
      <c r="BI8" s="1086"/>
      <c r="BJ8" s="1086"/>
      <c r="BK8" s="1087" t="s">
        <v>1220</v>
      </c>
      <c r="BL8" s="1088"/>
      <c r="BM8" s="1089"/>
      <c r="BN8" s="1073" t="s">
        <v>1221</v>
      </c>
      <c r="BO8" s="1074"/>
      <c r="BP8" s="1075"/>
      <c r="BQ8" s="1073" t="s">
        <v>1222</v>
      </c>
      <c r="BR8" s="1074"/>
      <c r="BS8" s="1075"/>
      <c r="BU8" s="1090" t="s">
        <v>1223</v>
      </c>
      <c r="BV8" s="1091"/>
      <c r="BW8" s="1091"/>
      <c r="BX8" s="1091"/>
      <c r="BY8" s="1091"/>
      <c r="BZ8" s="1091"/>
      <c r="CA8" s="1091"/>
      <c r="CB8" s="1091"/>
      <c r="CC8" s="1091"/>
      <c r="CD8" s="1091"/>
      <c r="CE8" s="1091"/>
      <c r="CF8" s="1091"/>
      <c r="CG8" s="1095" t="s">
        <v>1224</v>
      </c>
      <c r="CH8" s="1096"/>
      <c r="CI8" s="1097"/>
      <c r="CJ8" s="1098" t="s">
        <v>1225</v>
      </c>
      <c r="CK8" s="1099"/>
      <c r="CL8" s="1100"/>
      <c r="CM8" s="1073" t="s">
        <v>1226</v>
      </c>
      <c r="CN8" s="1074"/>
      <c r="CO8" s="1075"/>
      <c r="CP8" s="1101" t="s">
        <v>1227</v>
      </c>
      <c r="CQ8" s="1102"/>
      <c r="CR8" s="1103"/>
      <c r="CS8" s="1104" t="s">
        <v>1228</v>
      </c>
      <c r="CT8" s="1105"/>
      <c r="CU8" s="1105"/>
      <c r="CV8" s="1106"/>
      <c r="CX8" s="1073" t="s">
        <v>1229</v>
      </c>
      <c r="CY8" s="1074"/>
      <c r="CZ8" s="1075"/>
      <c r="DB8" s="1077" t="s">
        <v>1230</v>
      </c>
      <c r="DC8" s="1078"/>
      <c r="DD8" s="1079"/>
      <c r="DE8" s="1077" t="s">
        <v>1231</v>
      </c>
      <c r="DF8" s="1078"/>
      <c r="DG8" s="1079"/>
      <c r="DH8" s="1077" t="s">
        <v>1232</v>
      </c>
      <c r="DI8" s="1078"/>
      <c r="DJ8" s="1079"/>
      <c r="DK8" s="1077" t="s">
        <v>1233</v>
      </c>
      <c r="DL8" s="1078"/>
      <c r="DM8" s="1079"/>
      <c r="DN8" s="1080" t="s">
        <v>1234</v>
      </c>
      <c r="DO8" s="1081"/>
      <c r="DP8" s="1082"/>
      <c r="DQ8" s="1076" t="s">
        <v>1235</v>
      </c>
      <c r="DR8" s="1076"/>
      <c r="DS8" s="1076"/>
      <c r="DT8" s="1076"/>
      <c r="DV8" s="1077" t="s">
        <v>1230</v>
      </c>
      <c r="DW8" s="1078"/>
      <c r="DX8" s="1078"/>
      <c r="DY8" s="1078"/>
      <c r="DZ8" s="1079"/>
      <c r="EA8" s="1077" t="s">
        <v>1231</v>
      </c>
      <c r="EB8" s="1078"/>
      <c r="EC8" s="1078"/>
      <c r="ED8" s="1078"/>
      <c r="EE8" s="1079"/>
      <c r="EF8" s="1077" t="s">
        <v>1232</v>
      </c>
      <c r="EG8" s="1078"/>
      <c r="EH8" s="1078"/>
      <c r="EI8" s="1078"/>
      <c r="EJ8" s="1079"/>
      <c r="EK8" s="1077" t="s">
        <v>1233</v>
      </c>
      <c r="EL8" s="1078"/>
      <c r="EM8" s="1078"/>
      <c r="EN8" s="1078"/>
      <c r="EO8" s="1079"/>
      <c r="EP8" s="1080" t="s">
        <v>1234</v>
      </c>
      <c r="EQ8" s="1081"/>
      <c r="ER8" s="1081"/>
      <c r="ES8" s="1081"/>
      <c r="ET8" s="1081"/>
      <c r="EV8" s="1076" t="s">
        <v>1235</v>
      </c>
      <c r="EW8" s="1076"/>
      <c r="EX8" s="1076"/>
      <c r="EY8" s="1076"/>
    </row>
    <row r="9" spans="1:155" ht="90" customHeight="1" x14ac:dyDescent="0.25">
      <c r="A9" s="1084"/>
      <c r="B9" s="1084"/>
      <c r="C9" s="1085"/>
      <c r="D9" s="888" t="s">
        <v>1236</v>
      </c>
      <c r="E9" s="888" t="s">
        <v>1237</v>
      </c>
      <c r="F9" s="888" t="s">
        <v>1238</v>
      </c>
      <c r="G9" s="888" t="s">
        <v>1239</v>
      </c>
      <c r="H9" s="888" t="s">
        <v>1240</v>
      </c>
      <c r="I9" s="889" t="s">
        <v>491</v>
      </c>
      <c r="J9" s="890" t="s">
        <v>699</v>
      </c>
      <c r="K9" s="889" t="s">
        <v>389</v>
      </c>
      <c r="L9" s="889" t="s">
        <v>1241</v>
      </c>
      <c r="M9" s="891" t="s">
        <v>699</v>
      </c>
      <c r="N9" s="889" t="s">
        <v>357</v>
      </c>
      <c r="O9" s="889" t="s">
        <v>1242</v>
      </c>
      <c r="P9" s="891" t="s">
        <v>699</v>
      </c>
      <c r="Q9" s="987" t="s">
        <v>492</v>
      </c>
      <c r="R9" s="889" t="s">
        <v>1243</v>
      </c>
      <c r="S9" s="891" t="s">
        <v>699</v>
      </c>
      <c r="T9" s="889" t="s">
        <v>1244</v>
      </c>
      <c r="U9" s="889" t="s">
        <v>1245</v>
      </c>
      <c r="V9" s="891" t="s">
        <v>699</v>
      </c>
      <c r="W9" s="889" t="s">
        <v>1246</v>
      </c>
      <c r="X9" s="889" t="s">
        <v>1247</v>
      </c>
      <c r="Y9" s="891" t="s">
        <v>699</v>
      </c>
      <c r="Z9" s="889" t="s">
        <v>1248</v>
      </c>
      <c r="AA9" s="889" t="s">
        <v>1249</v>
      </c>
      <c r="AB9" s="891" t="s">
        <v>699</v>
      </c>
      <c r="AC9" s="889" t="s">
        <v>390</v>
      </c>
      <c r="AD9" s="889" t="s">
        <v>1250</v>
      </c>
      <c r="AE9" s="891" t="s">
        <v>699</v>
      </c>
      <c r="AF9" s="889" t="s">
        <v>391</v>
      </c>
      <c r="AG9" s="889" t="s">
        <v>1251</v>
      </c>
      <c r="AH9" s="891" t="s">
        <v>699</v>
      </c>
      <c r="AI9" s="889" t="s">
        <v>392</v>
      </c>
      <c r="AJ9" s="889" t="s">
        <v>1252</v>
      </c>
      <c r="AK9" s="891" t="s">
        <v>699</v>
      </c>
      <c r="AL9" s="889" t="s">
        <v>393</v>
      </c>
      <c r="AM9" s="889" t="s">
        <v>1253</v>
      </c>
      <c r="AN9" s="889" t="s">
        <v>1254</v>
      </c>
      <c r="AO9" s="889" t="s">
        <v>1255</v>
      </c>
      <c r="AP9" s="889" t="s">
        <v>1256</v>
      </c>
      <c r="AQ9" s="888" t="s">
        <v>1257</v>
      </c>
      <c r="AR9" s="892" t="s">
        <v>394</v>
      </c>
      <c r="AS9" s="892" t="s">
        <v>395</v>
      </c>
      <c r="AT9" s="893" t="s">
        <v>396</v>
      </c>
      <c r="AU9" s="888" t="s">
        <v>1258</v>
      </c>
      <c r="AV9" s="888" t="s">
        <v>1259</v>
      </c>
      <c r="AW9" s="893" t="s">
        <v>396</v>
      </c>
      <c r="AX9" s="893" t="s">
        <v>397</v>
      </c>
      <c r="AY9" s="893" t="s">
        <v>700</v>
      </c>
      <c r="AZ9" s="893" t="s">
        <v>1260</v>
      </c>
      <c r="BA9" s="893" t="s">
        <v>1261</v>
      </c>
      <c r="BB9" s="893" t="s">
        <v>1262</v>
      </c>
      <c r="BC9" s="894" t="s">
        <v>1263</v>
      </c>
      <c r="BD9" s="893" t="s">
        <v>1264</v>
      </c>
      <c r="BE9" s="893" t="s">
        <v>1265</v>
      </c>
      <c r="BF9" s="893" t="s">
        <v>1266</v>
      </c>
      <c r="BG9" s="894" t="s">
        <v>686</v>
      </c>
      <c r="BH9" s="893" t="s">
        <v>1267</v>
      </c>
      <c r="BI9" s="893" t="s">
        <v>1268</v>
      </c>
      <c r="BJ9" s="893" t="s">
        <v>1269</v>
      </c>
      <c r="BK9" s="892" t="s">
        <v>1270</v>
      </c>
      <c r="BL9" s="892" t="s">
        <v>1271</v>
      </c>
      <c r="BM9" s="892" t="s">
        <v>1272</v>
      </c>
      <c r="BN9" s="893">
        <v>211</v>
      </c>
      <c r="BO9" s="893">
        <v>213</v>
      </c>
      <c r="BP9" s="893" t="s">
        <v>1273</v>
      </c>
      <c r="BQ9" s="893" t="s">
        <v>1274</v>
      </c>
      <c r="BR9" s="893" t="s">
        <v>1275</v>
      </c>
      <c r="BS9" s="893" t="s">
        <v>1273</v>
      </c>
      <c r="BU9" s="889" t="s">
        <v>1276</v>
      </c>
      <c r="BV9" s="889" t="s">
        <v>1277</v>
      </c>
      <c r="BW9" s="889" t="s">
        <v>1278</v>
      </c>
      <c r="BX9" s="889" t="s">
        <v>1279</v>
      </c>
      <c r="BY9" s="889" t="s">
        <v>1280</v>
      </c>
      <c r="BZ9" s="889" t="s">
        <v>1281</v>
      </c>
      <c r="CA9" s="889" t="s">
        <v>1282</v>
      </c>
      <c r="CB9" s="889" t="s">
        <v>1283</v>
      </c>
      <c r="CC9" s="889" t="s">
        <v>1284</v>
      </c>
      <c r="CD9" s="889" t="s">
        <v>1285</v>
      </c>
      <c r="CE9" s="889" t="s">
        <v>1286</v>
      </c>
      <c r="CF9" s="895" t="s">
        <v>1287</v>
      </c>
      <c r="CG9" s="896" t="s">
        <v>1288</v>
      </c>
      <c r="CH9" s="896" t="s">
        <v>1289</v>
      </c>
      <c r="CI9" s="896" t="s">
        <v>1290</v>
      </c>
      <c r="CJ9" s="893" t="s">
        <v>1274</v>
      </c>
      <c r="CK9" s="893" t="s">
        <v>1275</v>
      </c>
      <c r="CL9" s="893" t="s">
        <v>1273</v>
      </c>
      <c r="CM9" s="893" t="s">
        <v>1274</v>
      </c>
      <c r="CN9" s="893" t="s">
        <v>1275</v>
      </c>
      <c r="CO9" s="893" t="s">
        <v>1273</v>
      </c>
      <c r="CP9" s="893" t="s">
        <v>1274</v>
      </c>
      <c r="CQ9" s="893" t="s">
        <v>1275</v>
      </c>
      <c r="CR9" s="893" t="s">
        <v>1273</v>
      </c>
      <c r="CS9" s="889" t="s">
        <v>1283</v>
      </c>
      <c r="CT9" s="889" t="s">
        <v>1288</v>
      </c>
      <c r="CU9" s="889" t="s">
        <v>1291</v>
      </c>
      <c r="CV9" s="889" t="s">
        <v>1290</v>
      </c>
      <c r="CX9" s="893" t="s">
        <v>1274</v>
      </c>
      <c r="CY9" s="893" t="s">
        <v>1275</v>
      </c>
      <c r="CZ9" s="893" t="s">
        <v>1273</v>
      </c>
      <c r="DB9" s="893" t="s">
        <v>1274</v>
      </c>
      <c r="DC9" s="893" t="s">
        <v>1275</v>
      </c>
      <c r="DD9" s="893" t="s">
        <v>1273</v>
      </c>
      <c r="DE9" s="893" t="s">
        <v>1274</v>
      </c>
      <c r="DF9" s="893" t="s">
        <v>1275</v>
      </c>
      <c r="DG9" s="893" t="s">
        <v>1273</v>
      </c>
      <c r="DH9" s="893" t="s">
        <v>1274</v>
      </c>
      <c r="DI9" s="893" t="s">
        <v>1275</v>
      </c>
      <c r="DJ9" s="893" t="s">
        <v>1273</v>
      </c>
      <c r="DK9" s="893" t="s">
        <v>1274</v>
      </c>
      <c r="DL9" s="893" t="s">
        <v>1275</v>
      </c>
      <c r="DM9" s="893" t="s">
        <v>1273</v>
      </c>
      <c r="DN9" s="893" t="s">
        <v>1274</v>
      </c>
      <c r="DO9" s="893" t="s">
        <v>1275</v>
      </c>
      <c r="DP9" s="893" t="s">
        <v>1273</v>
      </c>
      <c r="DQ9" s="894" t="s">
        <v>1292</v>
      </c>
      <c r="DR9" s="893" t="s">
        <v>1274</v>
      </c>
      <c r="DS9" s="893" t="s">
        <v>1275</v>
      </c>
      <c r="DT9" s="893" t="s">
        <v>1273</v>
      </c>
      <c r="DV9" s="893" t="s">
        <v>285</v>
      </c>
      <c r="DW9" s="893" t="s">
        <v>1273</v>
      </c>
      <c r="DX9" s="893">
        <v>211</v>
      </c>
      <c r="DY9" s="893">
        <v>213</v>
      </c>
      <c r="DZ9" s="893" t="s">
        <v>1293</v>
      </c>
      <c r="EA9" s="893" t="s">
        <v>285</v>
      </c>
      <c r="EB9" s="893" t="s">
        <v>1273</v>
      </c>
      <c r="EC9" s="893">
        <v>211</v>
      </c>
      <c r="ED9" s="893">
        <v>213</v>
      </c>
      <c r="EE9" s="893" t="s">
        <v>1293</v>
      </c>
      <c r="EF9" s="893" t="s">
        <v>285</v>
      </c>
      <c r="EG9" s="893" t="s">
        <v>1273</v>
      </c>
      <c r="EH9" s="893">
        <v>211</v>
      </c>
      <c r="EI9" s="893">
        <v>213</v>
      </c>
      <c r="EJ9" s="893" t="s">
        <v>1293</v>
      </c>
      <c r="EK9" s="893" t="s">
        <v>285</v>
      </c>
      <c r="EL9" s="893" t="s">
        <v>1273</v>
      </c>
      <c r="EM9" s="893">
        <v>211</v>
      </c>
      <c r="EN9" s="893">
        <v>213</v>
      </c>
      <c r="EO9" s="893" t="s">
        <v>1293</v>
      </c>
      <c r="EP9" s="893" t="s">
        <v>285</v>
      </c>
      <c r="EQ9" s="893" t="s">
        <v>1273</v>
      </c>
      <c r="ER9" s="893">
        <v>211</v>
      </c>
      <c r="ES9" s="893">
        <v>213</v>
      </c>
      <c r="ET9" s="893" t="s">
        <v>1293</v>
      </c>
      <c r="EV9" s="894" t="s">
        <v>1292</v>
      </c>
      <c r="EW9" s="893" t="s">
        <v>1274</v>
      </c>
      <c r="EX9" s="893" t="s">
        <v>1275</v>
      </c>
      <c r="EY9" s="893" t="s">
        <v>1273</v>
      </c>
    </row>
    <row r="10" spans="1:155" ht="41.25" customHeight="1" thickBot="1" x14ac:dyDescent="0.3">
      <c r="A10" s="897">
        <v>1</v>
      </c>
      <c r="B10" s="897">
        <v>2</v>
      </c>
      <c r="C10" s="898">
        <v>3</v>
      </c>
      <c r="D10" s="898" t="s">
        <v>1294</v>
      </c>
      <c r="E10" s="899" t="s">
        <v>1295</v>
      </c>
      <c r="F10" s="900" t="s">
        <v>1296</v>
      </c>
      <c r="G10" s="900" t="s">
        <v>1297</v>
      </c>
      <c r="H10" s="900" t="s">
        <v>1298</v>
      </c>
      <c r="I10" s="900" t="s">
        <v>1299</v>
      </c>
      <c r="J10" s="901" t="s">
        <v>1300</v>
      </c>
      <c r="K10" s="902">
        <v>11</v>
      </c>
      <c r="L10" s="900" t="s">
        <v>1301</v>
      </c>
      <c r="M10" s="901" t="s">
        <v>1302</v>
      </c>
      <c r="N10" s="902">
        <v>14</v>
      </c>
      <c r="O10" s="900" t="s">
        <v>1303</v>
      </c>
      <c r="P10" s="901" t="s">
        <v>1304</v>
      </c>
      <c r="Q10" s="902">
        <v>17</v>
      </c>
      <c r="R10" s="900" t="s">
        <v>1305</v>
      </c>
      <c r="S10" s="901" t="s">
        <v>1306</v>
      </c>
      <c r="T10" s="902">
        <v>20</v>
      </c>
      <c r="U10" s="900" t="s">
        <v>1307</v>
      </c>
      <c r="V10" s="901" t="s">
        <v>1308</v>
      </c>
      <c r="W10" s="902" t="s">
        <v>1309</v>
      </c>
      <c r="X10" s="900" t="s">
        <v>1310</v>
      </c>
      <c r="Y10" s="901" t="s">
        <v>1311</v>
      </c>
      <c r="Z10" s="902">
        <v>26</v>
      </c>
      <c r="AA10" s="900" t="s">
        <v>1312</v>
      </c>
      <c r="AB10" s="901" t="s">
        <v>1313</v>
      </c>
      <c r="AC10" s="902">
        <v>29</v>
      </c>
      <c r="AD10" s="900" t="s">
        <v>1314</v>
      </c>
      <c r="AE10" s="901" t="s">
        <v>1315</v>
      </c>
      <c r="AF10" s="902">
        <v>32</v>
      </c>
      <c r="AG10" s="900" t="s">
        <v>1316</v>
      </c>
      <c r="AH10" s="901" t="s">
        <v>1317</v>
      </c>
      <c r="AI10" s="902">
        <v>35</v>
      </c>
      <c r="AJ10" s="900" t="s">
        <v>1318</v>
      </c>
      <c r="AK10" s="901" t="s">
        <v>1319</v>
      </c>
      <c r="AL10" s="902">
        <v>38</v>
      </c>
      <c r="AM10" s="900" t="s">
        <v>1320</v>
      </c>
      <c r="AN10" s="902" t="s">
        <v>1321</v>
      </c>
      <c r="AO10" s="902" t="s">
        <v>1322</v>
      </c>
      <c r="AP10" s="902" t="s">
        <v>1323</v>
      </c>
      <c r="AQ10" s="900" t="s">
        <v>1324</v>
      </c>
      <c r="AR10" s="902" t="s">
        <v>1325</v>
      </c>
      <c r="AS10" s="902">
        <v>43</v>
      </c>
      <c r="AT10" s="902" t="s">
        <v>1326</v>
      </c>
      <c r="AU10" s="900" t="s">
        <v>1327</v>
      </c>
      <c r="AV10" s="900" t="s">
        <v>1328</v>
      </c>
      <c r="AW10" s="902" t="s">
        <v>1329</v>
      </c>
      <c r="AX10" s="902" t="s">
        <v>1330</v>
      </c>
      <c r="AY10" s="902" t="s">
        <v>1331</v>
      </c>
      <c r="AZ10" s="902" t="s">
        <v>1332</v>
      </c>
      <c r="BA10" s="902" t="s">
        <v>1333</v>
      </c>
      <c r="BB10" s="902" t="s">
        <v>1334</v>
      </c>
      <c r="BC10" s="900">
        <v>53</v>
      </c>
      <c r="BD10" s="902" t="s">
        <v>1335</v>
      </c>
      <c r="BE10" s="902" t="s">
        <v>1336</v>
      </c>
      <c r="BF10" s="902" t="s">
        <v>1337</v>
      </c>
      <c r="BG10" s="900">
        <v>57</v>
      </c>
      <c r="BH10" s="902" t="s">
        <v>1338</v>
      </c>
      <c r="BI10" s="902" t="s">
        <v>1339</v>
      </c>
      <c r="BJ10" s="902" t="s">
        <v>1340</v>
      </c>
      <c r="BK10" s="902" t="s">
        <v>1341</v>
      </c>
      <c r="BL10" s="902" t="s">
        <v>1342</v>
      </c>
      <c r="BM10" s="902" t="s">
        <v>1343</v>
      </c>
      <c r="BN10" s="902" t="s">
        <v>1344</v>
      </c>
      <c r="BO10" s="902" t="s">
        <v>1345</v>
      </c>
      <c r="BP10" s="902">
        <v>66</v>
      </c>
      <c r="BQ10" s="902" t="s">
        <v>1346</v>
      </c>
      <c r="BR10" s="902" t="s">
        <v>1347</v>
      </c>
      <c r="BS10" s="902" t="s">
        <v>1348</v>
      </c>
      <c r="BU10" s="902" t="s">
        <v>1349</v>
      </c>
      <c r="BV10" s="902" t="s">
        <v>1350</v>
      </c>
      <c r="BW10" s="902" t="s">
        <v>1351</v>
      </c>
      <c r="BX10" s="902" t="s">
        <v>1352</v>
      </c>
      <c r="BY10" s="902" t="s">
        <v>1353</v>
      </c>
      <c r="BZ10" s="902" t="s">
        <v>1354</v>
      </c>
      <c r="CA10" s="902" t="s">
        <v>1355</v>
      </c>
      <c r="CB10" s="902" t="s">
        <v>1356</v>
      </c>
      <c r="CC10" s="902" t="s">
        <v>1357</v>
      </c>
      <c r="CD10" s="902" t="s">
        <v>1358</v>
      </c>
      <c r="CE10" s="902" t="s">
        <v>1359</v>
      </c>
      <c r="CF10" s="903"/>
      <c r="CG10" s="902" t="s">
        <v>1360</v>
      </c>
      <c r="CH10" s="902" t="s">
        <v>1361</v>
      </c>
      <c r="CI10" s="902" t="s">
        <v>1362</v>
      </c>
      <c r="CJ10" s="902" t="s">
        <v>1363</v>
      </c>
      <c r="CK10" s="902" t="s">
        <v>1364</v>
      </c>
      <c r="CL10" s="902" t="s">
        <v>1365</v>
      </c>
      <c r="CM10" s="902">
        <v>87</v>
      </c>
      <c r="CN10" s="902" t="s">
        <v>1366</v>
      </c>
      <c r="CO10" s="902" t="s">
        <v>1367</v>
      </c>
      <c r="CP10" s="902" t="s">
        <v>1368</v>
      </c>
      <c r="CQ10" s="902" t="s">
        <v>1369</v>
      </c>
      <c r="CR10" s="902" t="s">
        <v>1370</v>
      </c>
      <c r="CS10" s="902">
        <v>93</v>
      </c>
      <c r="CT10" s="902" t="s">
        <v>1371</v>
      </c>
      <c r="CU10" s="902" t="s">
        <v>1372</v>
      </c>
      <c r="CV10" s="902" t="s">
        <v>1373</v>
      </c>
      <c r="CX10" s="902" t="s">
        <v>1374</v>
      </c>
      <c r="CY10" s="902" t="s">
        <v>1375</v>
      </c>
      <c r="CZ10" s="902" t="s">
        <v>1376</v>
      </c>
      <c r="DB10" s="902"/>
      <c r="DC10" s="902"/>
      <c r="DD10" s="902"/>
      <c r="DE10" s="902"/>
      <c r="DF10" s="902"/>
      <c r="DG10" s="902"/>
      <c r="DH10" s="902"/>
      <c r="DI10" s="902"/>
      <c r="DJ10" s="902"/>
      <c r="DK10" s="902"/>
      <c r="DL10" s="902"/>
      <c r="DM10" s="902"/>
      <c r="DN10" s="902"/>
      <c r="DO10" s="902"/>
      <c r="DP10" s="902"/>
      <c r="DQ10" s="900"/>
      <c r="DR10" s="902"/>
      <c r="DS10" s="902"/>
      <c r="DT10" s="902"/>
      <c r="DV10" s="902"/>
      <c r="DW10" s="902"/>
      <c r="DX10" s="902"/>
      <c r="DY10" s="902"/>
      <c r="DZ10" s="902"/>
      <c r="EA10" s="902"/>
      <c r="EB10" s="902"/>
      <c r="EC10" s="902"/>
      <c r="ED10" s="902"/>
      <c r="EE10" s="902"/>
      <c r="EF10" s="902"/>
      <c r="EG10" s="902"/>
      <c r="EH10" s="902"/>
      <c r="EI10" s="902"/>
      <c r="EJ10" s="902"/>
      <c r="EK10" s="902"/>
      <c r="EL10" s="902"/>
      <c r="EM10" s="902"/>
      <c r="EN10" s="902"/>
      <c r="EO10" s="902"/>
      <c r="EP10" s="902"/>
      <c r="EQ10" s="902"/>
      <c r="ER10" s="902"/>
      <c r="ES10" s="902"/>
      <c r="ET10" s="902"/>
      <c r="EV10" s="900"/>
      <c r="EW10" s="902"/>
      <c r="EX10" s="902"/>
      <c r="EY10" s="902"/>
    </row>
    <row r="11" spans="1:155" x14ac:dyDescent="0.25">
      <c r="A11" s="904"/>
      <c r="B11" s="905" t="s">
        <v>1377</v>
      </c>
      <c r="C11" s="906"/>
      <c r="D11" s="906"/>
      <c r="E11" s="907">
        <v>1.0549999999999999</v>
      </c>
      <c r="F11" s="906"/>
      <c r="G11" s="907">
        <f>4/100/12*3+1</f>
        <v>1.01</v>
      </c>
      <c r="H11" s="906"/>
      <c r="I11" s="906"/>
      <c r="J11" s="908"/>
      <c r="K11" s="904"/>
      <c r="L11" s="906"/>
      <c r="M11" s="908"/>
      <c r="N11" s="904"/>
      <c r="O11" s="906"/>
      <c r="P11" s="908"/>
      <c r="Q11" s="904"/>
      <c r="R11" s="906"/>
      <c r="S11" s="908"/>
      <c r="T11" s="904"/>
      <c r="U11" s="906"/>
      <c r="V11" s="908"/>
      <c r="W11" s="904"/>
      <c r="X11" s="906"/>
      <c r="Y11" s="908"/>
      <c r="Z11" s="904"/>
      <c r="AA11" s="906"/>
      <c r="AB11" s="908"/>
      <c r="AC11" s="904"/>
      <c r="AD11" s="906"/>
      <c r="AE11" s="908"/>
      <c r="AF11" s="904"/>
      <c r="AG11" s="906"/>
      <c r="AH11" s="908"/>
      <c r="AI11" s="904"/>
      <c r="AJ11" s="906"/>
      <c r="AK11" s="908"/>
      <c r="AL11" s="904"/>
      <c r="AM11" s="906"/>
      <c r="AN11" s="909">
        <v>19242</v>
      </c>
      <c r="AO11" s="904"/>
      <c r="AP11" s="909">
        <v>1060.29</v>
      </c>
      <c r="AQ11" s="906"/>
      <c r="AR11" s="904"/>
      <c r="AS11" s="904"/>
      <c r="AT11" s="904"/>
      <c r="AU11" s="906"/>
      <c r="AV11" s="906"/>
      <c r="AW11" s="904"/>
      <c r="AX11" s="904"/>
      <c r="AY11" s="904"/>
      <c r="AZ11" s="904"/>
      <c r="BA11" s="904"/>
      <c r="BB11" s="904"/>
      <c r="BC11" s="907">
        <v>0.95</v>
      </c>
      <c r="BD11" s="904"/>
      <c r="BE11" s="904"/>
      <c r="BF11" s="904"/>
      <c r="BG11" s="910">
        <f>'[3]свод (2024)'!$B$116</f>
        <v>0.99758349999999996</v>
      </c>
      <c r="BH11" s="904"/>
      <c r="BI11" s="904"/>
      <c r="BJ11" s="904"/>
      <c r="BK11" s="904"/>
      <c r="BL11" s="904"/>
      <c r="BM11" s="904"/>
      <c r="BN11" s="904"/>
      <c r="BO11" s="904"/>
      <c r="BP11" s="904"/>
      <c r="BQ11" s="904"/>
      <c r="BR11" s="904"/>
      <c r="BS11" s="904"/>
      <c r="BU11" s="904"/>
      <c r="BV11" s="904"/>
      <c r="BW11" s="904"/>
      <c r="BX11" s="904"/>
      <c r="BY11" s="904"/>
      <c r="BZ11" s="904"/>
      <c r="CA11" s="904"/>
      <c r="CB11" s="904"/>
      <c r="CC11" s="904"/>
      <c r="CD11" s="904"/>
      <c r="CE11" s="904"/>
      <c r="CF11" s="911"/>
      <c r="CG11" s="904"/>
      <c r="CH11" s="904"/>
      <c r="CI11" s="904"/>
      <c r="CJ11" s="904"/>
      <c r="CK11" s="904"/>
      <c r="CL11" s="904"/>
      <c r="CM11" s="904"/>
      <c r="CN11" s="904"/>
      <c r="CO11" s="904"/>
      <c r="CP11" s="904"/>
      <c r="CQ11" s="904"/>
      <c r="CR11" s="904"/>
      <c r="CS11" s="904"/>
      <c r="CT11" s="904"/>
      <c r="CU11" s="904"/>
      <c r="CV11" s="904"/>
      <c r="CX11" s="904"/>
      <c r="CY11" s="904"/>
      <c r="CZ11" s="904"/>
      <c r="DB11" s="904"/>
      <c r="DC11" s="904"/>
      <c r="DD11" s="904"/>
      <c r="DE11" s="904"/>
      <c r="DF11" s="904"/>
      <c r="DG11" s="904"/>
      <c r="DH11" s="904"/>
      <c r="DI11" s="904"/>
      <c r="DJ11" s="904"/>
      <c r="DK11" s="904"/>
      <c r="DL11" s="904"/>
      <c r="DM11" s="904"/>
      <c r="DN11" s="904"/>
      <c r="DO11" s="904"/>
      <c r="DP11" s="904"/>
      <c r="DQ11" s="910"/>
      <c r="DR11" s="904"/>
      <c r="DS11" s="904"/>
      <c r="DT11" s="904"/>
      <c r="DV11" s="904"/>
      <c r="DW11" s="904"/>
      <c r="DX11" s="904"/>
      <c r="DY11" s="904"/>
      <c r="DZ11" s="904"/>
      <c r="EA11" s="904"/>
      <c r="EB11" s="904"/>
      <c r="EC11" s="904"/>
      <c r="ED11" s="904"/>
      <c r="EE11" s="904"/>
      <c r="EF11" s="904"/>
      <c r="EG11" s="904"/>
      <c r="EH11" s="904"/>
      <c r="EI11" s="904"/>
      <c r="EJ11" s="904"/>
      <c r="EK11" s="904"/>
      <c r="EL11" s="904"/>
      <c r="EM11" s="904"/>
      <c r="EN11" s="904"/>
      <c r="EO11" s="904"/>
      <c r="EP11" s="904"/>
      <c r="EQ11" s="904"/>
      <c r="ER11" s="904"/>
      <c r="ES11" s="904"/>
      <c r="ET11" s="904"/>
      <c r="EV11" s="910"/>
      <c r="EW11" s="904"/>
      <c r="EX11" s="904"/>
      <c r="EY11" s="904"/>
    </row>
    <row r="12" spans="1:155" s="927" customFormat="1" ht="15.75" x14ac:dyDescent="0.25">
      <c r="A12" s="912" t="s">
        <v>359</v>
      </c>
      <c r="B12" s="913" t="s">
        <v>1378</v>
      </c>
      <c r="C12" s="914">
        <v>1.5</v>
      </c>
      <c r="D12" s="914">
        <v>7388</v>
      </c>
      <c r="E12" s="915">
        <v>1.0549999999999999</v>
      </c>
      <c r="F12" s="916">
        <f>ROUNDUP(D12*E12,0)</f>
        <v>7795</v>
      </c>
      <c r="G12" s="915">
        <v>1.01</v>
      </c>
      <c r="H12" s="916">
        <f>ROUNDUP(F12*G12,0)</f>
        <v>7873</v>
      </c>
      <c r="I12" s="917">
        <f>ROUND(C12*H12,2)</f>
        <v>11809.5</v>
      </c>
      <c r="J12" s="918">
        <f>IF(K12&gt;0,(ROUND(K12/($C12*$D12),5)),0)</f>
        <v>0</v>
      </c>
      <c r="K12" s="919"/>
      <c r="L12" s="917">
        <f>ROUND($I12*J12,2)</f>
        <v>0</v>
      </c>
      <c r="M12" s="918">
        <f>IF(N12&gt;0,(ROUND(N12/($C12*$D12),5)),0)</f>
        <v>0</v>
      </c>
      <c r="N12" s="919"/>
      <c r="O12" s="917">
        <f>ROUND($I12*M12,2)</f>
        <v>0</v>
      </c>
      <c r="P12" s="918">
        <f>IF(Q12&gt;0,(ROUND(Q12/($C12*$D12),5)),0)</f>
        <v>0</v>
      </c>
      <c r="Q12" s="919"/>
      <c r="R12" s="917">
        <f>ROUND($I12*P12,2)</f>
        <v>0</v>
      </c>
      <c r="S12" s="918">
        <f>IF(T12&gt;0,(ROUND(T12/($C12*$D12),5)),0)</f>
        <v>0.15332999999999999</v>
      </c>
      <c r="T12" s="919">
        <v>1699.24</v>
      </c>
      <c r="U12" s="917">
        <f>ROUND($I12*S12,2)</f>
        <v>1810.75</v>
      </c>
      <c r="V12" s="918">
        <f>IF(W12&gt;0,(ROUND(W12/($C12*$D12),5)),0)</f>
        <v>0</v>
      </c>
      <c r="W12" s="919"/>
      <c r="X12" s="917">
        <f>ROUND($I12*V12,2)</f>
        <v>0</v>
      </c>
      <c r="Y12" s="918">
        <f>IF(Z12&gt;0,(ROUND(Z12/($C12*$D12),5)),0)</f>
        <v>1.32</v>
      </c>
      <c r="Z12" s="919">
        <v>14628.24</v>
      </c>
      <c r="AA12" s="917">
        <f>ROUND($I12*Y12,2)</f>
        <v>15588.54</v>
      </c>
      <c r="AB12" s="918">
        <f>IF(AC12&gt;0,(ROUND(AC12/($C12*$D12),5)),0)</f>
        <v>0.2</v>
      </c>
      <c r="AC12" s="919">
        <v>2216.4</v>
      </c>
      <c r="AD12" s="917">
        <f>ROUND($I12*AB12,2)</f>
        <v>2361.9</v>
      </c>
      <c r="AE12" s="918">
        <f>IF(AF12&gt;0,(ROUND(AF12/($C12*$D12),5)),0)</f>
        <v>0</v>
      </c>
      <c r="AF12" s="919"/>
      <c r="AG12" s="917">
        <f>ROUND($I12*AE12,2)</f>
        <v>0</v>
      </c>
      <c r="AH12" s="918">
        <f>IF(AI12&gt;0,(ROUND(AI12/($C12*$D12),5)),0)</f>
        <v>0</v>
      </c>
      <c r="AI12" s="919"/>
      <c r="AJ12" s="917">
        <f>ROUND($I12*AH12,2)</f>
        <v>0</v>
      </c>
      <c r="AK12" s="918">
        <f>IF(AL12&gt;0,(ROUND(AL12/($C12*$D12),5)),0)</f>
        <v>0</v>
      </c>
      <c r="AL12" s="919"/>
      <c r="AM12" s="917">
        <f>ROUND($I12*AK12,2)</f>
        <v>0</v>
      </c>
      <c r="AN12" s="920">
        <v>19242</v>
      </c>
      <c r="AO12" s="917">
        <f>ROUND(IF(((I12+L12+O12+R12+U12+X12+AA12+AD12+AG12+AJ12+AM12)&gt;(AN12*C12)),0,((AN12*C12)-(I12+L12+O12+R12+U12+X12+AA12+AD12+AG12+AJ12+AM12))),2)</f>
        <v>0</v>
      </c>
      <c r="AP12" s="920"/>
      <c r="AQ12" s="916">
        <f>ROUND(C12*AP12,2)</f>
        <v>0</v>
      </c>
      <c r="AR12" s="917">
        <f>ROUND((I12+L12+O12+R12+U12+X12+AA12+AD12+AG12+AJ12+AM12+AO12+AQ12),2)</f>
        <v>31570.69</v>
      </c>
      <c r="AS12" s="916">
        <v>12</v>
      </c>
      <c r="AT12" s="921">
        <f>ROUND(AR12*AS12,2)</f>
        <v>378848.28</v>
      </c>
      <c r="AU12" s="920"/>
      <c r="AV12" s="922">
        <f>ROUND(AT12*0.01,2)</f>
        <v>3788.48</v>
      </c>
      <c r="AW12" s="921">
        <f>ROUND((AT12+AU12+AV12),2)</f>
        <v>382636.76</v>
      </c>
      <c r="AX12" s="921">
        <f>ROUND(AW12*0.302,2)</f>
        <v>115556.3</v>
      </c>
      <c r="AY12" s="921">
        <f>ROUND((AW12+AX12),2)</f>
        <v>498193.06</v>
      </c>
      <c r="AZ12" s="923">
        <f>ROUND(AW12/1000,1)</f>
        <v>382.6</v>
      </c>
      <c r="BA12" s="923">
        <f>ROUND(AZ12*0.302,1)</f>
        <v>115.5</v>
      </c>
      <c r="BB12" s="923">
        <f>ROUND((AZ12+BA12),1)</f>
        <v>498.1</v>
      </c>
      <c r="BC12" s="915">
        <v>0.95</v>
      </c>
      <c r="BD12" s="923">
        <f>ROUND(AZ12*BC12,1)</f>
        <v>363.5</v>
      </c>
      <c r="BE12" s="923">
        <f>ROUND(BD12*0.302,1)</f>
        <v>109.8</v>
      </c>
      <c r="BF12" s="923">
        <f>ROUND((BD12+BE12),1)</f>
        <v>473.3</v>
      </c>
      <c r="BG12" s="924">
        <f>'[3]свод (2024)'!$B$116</f>
        <v>0.99758349999999996</v>
      </c>
      <c r="BH12" s="923">
        <f>ROUND(BD12*BG12,1)</f>
        <v>362.6</v>
      </c>
      <c r="BI12" s="923">
        <f>ROUND(BH12*0.302,1)</f>
        <v>109.5</v>
      </c>
      <c r="BJ12" s="923">
        <f>ROUND((BH12+BI12),1)</f>
        <v>472.1</v>
      </c>
      <c r="BK12" s="925">
        <f>ROUND((BH12-AZ12),1)</f>
        <v>-20</v>
      </c>
      <c r="BL12" s="925">
        <f>ROUND((BI12-BA12),1)</f>
        <v>-6</v>
      </c>
      <c r="BM12" s="925">
        <f>ROUND((BK12+BL12),1)</f>
        <v>-26</v>
      </c>
      <c r="BN12" s="925">
        <f>ROUND(BP12/1.302,1)</f>
        <v>0</v>
      </c>
      <c r="BO12" s="925">
        <f>ROUND((BP12-BN12),1)</f>
        <v>0</v>
      </c>
      <c r="BP12" s="926"/>
      <c r="BQ12" s="925">
        <f>ROUND((BH12-BN12),1)</f>
        <v>362.6</v>
      </c>
      <c r="BR12" s="925">
        <f>ROUND((BI12-BO12),1)</f>
        <v>109.5</v>
      </c>
      <c r="BS12" s="925">
        <f>ROUND((BQ12+BR12),1)</f>
        <v>472.1</v>
      </c>
      <c r="BU12" s="928"/>
      <c r="BV12" s="917"/>
      <c r="BW12" s="928"/>
      <c r="BX12" s="928"/>
      <c r="BY12" s="928"/>
      <c r="BZ12" s="917"/>
      <c r="CA12" s="928"/>
      <c r="CB12" s="917"/>
      <c r="CC12" s="928"/>
      <c r="CD12" s="928"/>
      <c r="CE12" s="928"/>
      <c r="CF12" s="929"/>
      <c r="CG12" s="928"/>
      <c r="CH12" s="928"/>
      <c r="CI12" s="928"/>
      <c r="CJ12" s="925"/>
      <c r="CK12" s="925"/>
      <c r="CL12" s="925"/>
      <c r="CM12" s="925"/>
      <c r="CN12" s="925"/>
      <c r="CO12" s="925"/>
      <c r="CP12" s="925"/>
      <c r="CQ12" s="925"/>
      <c r="CR12" s="925"/>
      <c r="CS12" s="917"/>
      <c r="CT12" s="928"/>
      <c r="CU12" s="928"/>
      <c r="CV12" s="928"/>
      <c r="CX12" s="925"/>
      <c r="CY12" s="925"/>
      <c r="CZ12" s="925"/>
      <c r="DB12" s="925"/>
      <c r="DC12" s="925"/>
      <c r="DD12" s="925"/>
      <c r="DE12" s="925"/>
      <c r="DF12" s="925"/>
      <c r="DG12" s="925"/>
      <c r="DH12" s="925"/>
      <c r="DI12" s="925"/>
      <c r="DJ12" s="925"/>
      <c r="DK12" s="925"/>
      <c r="DL12" s="925"/>
      <c r="DM12" s="925"/>
      <c r="DN12" s="925"/>
      <c r="DO12" s="925"/>
      <c r="DP12" s="925"/>
      <c r="DQ12" s="924"/>
      <c r="DR12" s="925"/>
      <c r="DS12" s="925"/>
      <c r="DT12" s="925"/>
      <c r="DV12" s="925"/>
      <c r="DW12" s="925"/>
      <c r="DX12" s="925"/>
      <c r="DY12" s="925"/>
      <c r="DZ12" s="925"/>
      <c r="EA12" s="925"/>
      <c r="EB12" s="925"/>
      <c r="EC12" s="925"/>
      <c r="ED12" s="925"/>
      <c r="EE12" s="925"/>
      <c r="EF12" s="925"/>
      <c r="EG12" s="925"/>
      <c r="EH12" s="925"/>
      <c r="EI12" s="925"/>
      <c r="EJ12" s="925"/>
      <c r="EK12" s="925"/>
      <c r="EL12" s="925"/>
      <c r="EM12" s="925"/>
      <c r="EN12" s="925"/>
      <c r="EO12" s="925"/>
      <c r="EP12" s="925"/>
      <c r="EQ12" s="925"/>
      <c r="ER12" s="925"/>
      <c r="ES12" s="925"/>
      <c r="ET12" s="925"/>
      <c r="EV12" s="924"/>
      <c r="EW12" s="925"/>
      <c r="EX12" s="925"/>
      <c r="EY12" s="925"/>
    </row>
    <row r="13" spans="1:155" s="927" customFormat="1" ht="15.75" x14ac:dyDescent="0.25">
      <c r="A13" s="912" t="s">
        <v>359</v>
      </c>
      <c r="B13" s="913" t="s">
        <v>46</v>
      </c>
      <c r="C13" s="914">
        <v>1.5</v>
      </c>
      <c r="D13" s="914">
        <v>4336</v>
      </c>
      <c r="E13" s="915">
        <v>1.0549999999999999</v>
      </c>
      <c r="F13" s="916">
        <f t="shared" ref="F13:F112" si="0">ROUNDUP(D13*E13,0)</f>
        <v>4575</v>
      </c>
      <c r="G13" s="915">
        <v>1.01</v>
      </c>
      <c r="H13" s="916">
        <f t="shared" ref="H13:H112" si="1">ROUNDUP(F13*G13,0)</f>
        <v>4621</v>
      </c>
      <c r="I13" s="917">
        <f t="shared" ref="I13:I112" si="2">ROUND(C13*H13,2)</f>
        <v>6931.5</v>
      </c>
      <c r="J13" s="918">
        <f t="shared" ref="J13:J112" si="3">IF(K13&gt;0,(ROUND(K13/($C13*$D13),5)),0)</f>
        <v>0</v>
      </c>
      <c r="K13" s="919"/>
      <c r="L13" s="917">
        <f t="shared" ref="L13:L112" si="4">ROUND($I13*J13,2)</f>
        <v>0</v>
      </c>
      <c r="M13" s="918">
        <f t="shared" ref="M13:M112" si="5">IF(N13&gt;0,(ROUND(N13/($C13*$D13),5)),0)</f>
        <v>0</v>
      </c>
      <c r="N13" s="919"/>
      <c r="O13" s="917">
        <f t="shared" ref="O13:O112" si="6">ROUND($I13*M13,2)</f>
        <v>0</v>
      </c>
      <c r="P13" s="918">
        <f t="shared" ref="P13:P112" si="7">IF(Q13&gt;0,(ROUND(Q13/($C13*$D13),5)),0)</f>
        <v>0</v>
      </c>
      <c r="Q13" s="919"/>
      <c r="R13" s="917">
        <f t="shared" ref="R13:R112" si="8">ROUND($I13*P13,2)</f>
        <v>0</v>
      </c>
      <c r="S13" s="918">
        <f t="shared" ref="S13:S112" si="9">IF(T13&gt;0,(ROUND(T13/($C13*$D13),5)),0)</f>
        <v>0.5</v>
      </c>
      <c r="T13" s="919">
        <v>3252</v>
      </c>
      <c r="U13" s="917">
        <f t="shared" ref="U13:U112" si="10">ROUND($I13*S13,2)</f>
        <v>3465.75</v>
      </c>
      <c r="V13" s="918">
        <f t="shared" ref="V13:V112" si="11">IF(W13&gt;0,(ROUND(W13/($C13*$D13),5)),0)</f>
        <v>0</v>
      </c>
      <c r="W13" s="919"/>
      <c r="X13" s="917">
        <f t="shared" ref="X13:X112" si="12">ROUND($I13*V13,2)</f>
        <v>0</v>
      </c>
      <c r="Y13" s="918">
        <f t="shared" ref="Y13:Y112" si="13">IF(Z13&gt;0,(ROUND(Z13/($C13*$D13),5)),0)</f>
        <v>0</v>
      </c>
      <c r="Z13" s="919"/>
      <c r="AA13" s="917">
        <f t="shared" ref="AA13:AA112" si="14">ROUND($I13*Y13,2)</f>
        <v>0</v>
      </c>
      <c r="AB13" s="918">
        <f t="shared" ref="AB13:AB112" si="15">IF(AC13&gt;0,(ROUND(AC13/($C13*$D13),5)),0)</f>
        <v>0</v>
      </c>
      <c r="AC13" s="919"/>
      <c r="AD13" s="917">
        <f t="shared" ref="AD13:AD112" si="16">ROUND($I13*AB13,2)</f>
        <v>0</v>
      </c>
      <c r="AE13" s="918">
        <f t="shared" ref="AE13:AE112" si="17">IF(AF13&gt;0,(ROUND(AF13/($C13*$D13),5)),0)</f>
        <v>0</v>
      </c>
      <c r="AF13" s="919"/>
      <c r="AG13" s="917">
        <f t="shared" ref="AG13:AG112" si="18">ROUND($I13*AE13,2)</f>
        <v>0</v>
      </c>
      <c r="AH13" s="918">
        <f t="shared" ref="AH13:AH112" si="19">IF(AI13&gt;0,(ROUND(AI13/($C13*$D13),5)),0)</f>
        <v>0</v>
      </c>
      <c r="AI13" s="919"/>
      <c r="AJ13" s="917">
        <f t="shared" ref="AJ13:AJ112" si="20">ROUND($I13*AH13,2)</f>
        <v>0</v>
      </c>
      <c r="AK13" s="918">
        <f t="shared" ref="AK13:AK112" si="21">IF(AL13&gt;0,(ROUND(AL13/($C13*$D13),5)),0)</f>
        <v>0</v>
      </c>
      <c r="AL13" s="919"/>
      <c r="AM13" s="917">
        <f t="shared" ref="AM13:AM112" si="22">ROUND($I13*AK13,2)</f>
        <v>0</v>
      </c>
      <c r="AN13" s="920">
        <v>19242</v>
      </c>
      <c r="AO13" s="917">
        <f t="shared" ref="AO13:AO112" si="23">ROUND(IF(((I13+L13+O13+R13+U13+X13+AA13+AD13+AG13+AJ13+AM13)&gt;(AN13*C13)),0,((AN13*C13)-(I13+L13+O13+R13+U13+X13+AA13+AD13+AG13+AJ13+AM13))),2)</f>
        <v>18465.75</v>
      </c>
      <c r="AP13" s="920"/>
      <c r="AQ13" s="916">
        <f t="shared" ref="AQ13:AQ112" si="24">ROUND(C13*AP13,2)</f>
        <v>0</v>
      </c>
      <c r="AR13" s="917">
        <f t="shared" ref="AR13:AR112" si="25">ROUND((I13+L13+O13+R13+U13+X13+AA13+AD13+AG13+AJ13+AM13+AO13+AQ13),2)</f>
        <v>28863</v>
      </c>
      <c r="AS13" s="916">
        <v>12</v>
      </c>
      <c r="AT13" s="921">
        <f t="shared" ref="AT13:AT112" si="26">ROUND(AR13*AS13,2)</f>
        <v>346356</v>
      </c>
      <c r="AU13" s="920"/>
      <c r="AV13" s="922">
        <f t="shared" ref="AV13:AV112" si="27">ROUND(AT13*0.01,2)</f>
        <v>3463.56</v>
      </c>
      <c r="AW13" s="921">
        <f t="shared" ref="AW13:AW112" si="28">ROUND((AT13+AU13+AV13),2)</f>
        <v>349819.56</v>
      </c>
      <c r="AX13" s="921">
        <f t="shared" ref="AX13:AX112" si="29">ROUND(AW13*0.302,2)</f>
        <v>105645.51</v>
      </c>
      <c r="AY13" s="921">
        <f t="shared" ref="AY13:AY112" si="30">ROUND((AW13+AX13),2)</f>
        <v>455465.07</v>
      </c>
      <c r="AZ13" s="923">
        <f t="shared" ref="AZ13:AZ112" si="31">ROUND(AW13/1000,1)</f>
        <v>349.8</v>
      </c>
      <c r="BA13" s="923">
        <f t="shared" ref="BA13:BA112" si="32">ROUND(AZ13*0.302,1)</f>
        <v>105.6</v>
      </c>
      <c r="BB13" s="923">
        <f t="shared" ref="BB13:BB112" si="33">ROUND((AZ13+BA13),1)</f>
        <v>455.4</v>
      </c>
      <c r="BC13" s="915">
        <v>0.95</v>
      </c>
      <c r="BD13" s="923">
        <f t="shared" ref="BD13:BD112" si="34">ROUND(AZ13*BC13,1)</f>
        <v>332.3</v>
      </c>
      <c r="BE13" s="923">
        <f t="shared" ref="BE13:BE112" si="35">ROUND(BD13*0.302,1)</f>
        <v>100.4</v>
      </c>
      <c r="BF13" s="923">
        <f t="shared" ref="BF13:BF112" si="36">ROUND((BD13+BE13),1)</f>
        <v>432.7</v>
      </c>
      <c r="BG13" s="924">
        <f>'[3]свод (2024)'!$B$116</f>
        <v>0.99758349999999996</v>
      </c>
      <c r="BH13" s="923">
        <f t="shared" ref="BH13:BH112" si="37">ROUND(BD13*BG13,1)</f>
        <v>331.5</v>
      </c>
      <c r="BI13" s="923">
        <f t="shared" ref="BI13:BI112" si="38">ROUND(BH13*0.302,1)</f>
        <v>100.1</v>
      </c>
      <c r="BJ13" s="923">
        <f t="shared" ref="BJ13:BJ112" si="39">ROUND((BH13+BI13),1)</f>
        <v>431.6</v>
      </c>
      <c r="BK13" s="925">
        <f t="shared" ref="BK13:BL112" si="40">ROUND((BH13-AZ13),1)</f>
        <v>-18.3</v>
      </c>
      <c r="BL13" s="925">
        <f t="shared" si="40"/>
        <v>-5.5</v>
      </c>
      <c r="BM13" s="925">
        <f t="shared" ref="BM13:BM112" si="41">ROUND((BK13+BL13),1)</f>
        <v>-23.8</v>
      </c>
      <c r="BN13" s="925">
        <f t="shared" ref="BN13:BN112" si="42">ROUND(BP13/1.302,1)</f>
        <v>0</v>
      </c>
      <c r="BO13" s="925">
        <f t="shared" ref="BO13:BO112" si="43">ROUND((BP13-BN13),1)</f>
        <v>0</v>
      </c>
      <c r="BP13" s="926"/>
      <c r="BQ13" s="925">
        <f t="shared" ref="BQ13:BR112" si="44">ROUND((BH13-BN13),1)</f>
        <v>331.5</v>
      </c>
      <c r="BR13" s="925">
        <f t="shared" si="44"/>
        <v>100.1</v>
      </c>
      <c r="BS13" s="925">
        <f t="shared" ref="BS13:BS112" si="45">ROUND((BQ13+BR13),1)</f>
        <v>431.6</v>
      </c>
      <c r="BU13" s="928"/>
      <c r="BV13" s="917"/>
      <c r="BW13" s="928"/>
      <c r="BX13" s="928"/>
      <c r="BY13" s="928"/>
      <c r="BZ13" s="917"/>
      <c r="CA13" s="928"/>
      <c r="CB13" s="917"/>
      <c r="CC13" s="928"/>
      <c r="CD13" s="928"/>
      <c r="CE13" s="928"/>
      <c r="CF13" s="929"/>
      <c r="CG13" s="928"/>
      <c r="CH13" s="928"/>
      <c r="CI13" s="928"/>
      <c r="CJ13" s="925"/>
      <c r="CK13" s="925"/>
      <c r="CL13" s="925"/>
      <c r="CM13" s="925"/>
      <c r="CN13" s="925"/>
      <c r="CO13" s="925"/>
      <c r="CP13" s="925"/>
      <c r="CQ13" s="925"/>
      <c r="CR13" s="925"/>
      <c r="CS13" s="917"/>
      <c r="CT13" s="928"/>
      <c r="CU13" s="928"/>
      <c r="CV13" s="928"/>
      <c r="CX13" s="925"/>
      <c r="CY13" s="925"/>
      <c r="CZ13" s="925"/>
      <c r="DB13" s="925"/>
      <c r="DC13" s="925"/>
      <c r="DD13" s="925"/>
      <c r="DE13" s="925"/>
      <c r="DF13" s="925"/>
      <c r="DG13" s="925"/>
      <c r="DH13" s="925"/>
      <c r="DI13" s="925"/>
      <c r="DJ13" s="925"/>
      <c r="DK13" s="925"/>
      <c r="DL13" s="925"/>
      <c r="DM13" s="925"/>
      <c r="DN13" s="925"/>
      <c r="DO13" s="925"/>
      <c r="DP13" s="925"/>
      <c r="DQ13" s="924"/>
      <c r="DR13" s="925"/>
      <c r="DS13" s="925"/>
      <c r="DT13" s="925"/>
      <c r="DV13" s="925"/>
      <c r="DW13" s="925"/>
      <c r="DX13" s="925"/>
      <c r="DY13" s="925"/>
      <c r="DZ13" s="925"/>
      <c r="EA13" s="925"/>
      <c r="EB13" s="925"/>
      <c r="EC13" s="925"/>
      <c r="ED13" s="925"/>
      <c r="EE13" s="925"/>
      <c r="EF13" s="925"/>
      <c r="EG13" s="925"/>
      <c r="EH13" s="925"/>
      <c r="EI13" s="925"/>
      <c r="EJ13" s="925"/>
      <c r="EK13" s="925"/>
      <c r="EL13" s="925"/>
      <c r="EM13" s="925"/>
      <c r="EN13" s="925"/>
      <c r="EO13" s="925"/>
      <c r="EP13" s="925"/>
      <c r="EQ13" s="925"/>
      <c r="ER13" s="925"/>
      <c r="ES13" s="925"/>
      <c r="ET13" s="925"/>
      <c r="EV13" s="924"/>
      <c r="EW13" s="925"/>
      <c r="EX13" s="925"/>
      <c r="EY13" s="925"/>
    </row>
    <row r="14" spans="1:155" s="927" customFormat="1" ht="15.75" x14ac:dyDescent="0.25">
      <c r="A14" s="912" t="s">
        <v>359</v>
      </c>
      <c r="B14" s="913" t="s">
        <v>32</v>
      </c>
      <c r="C14" s="914">
        <v>1</v>
      </c>
      <c r="D14" s="914">
        <v>22542</v>
      </c>
      <c r="E14" s="915">
        <v>1.0549999999999999</v>
      </c>
      <c r="F14" s="916">
        <f t="shared" si="0"/>
        <v>23782</v>
      </c>
      <c r="G14" s="915">
        <v>1.01</v>
      </c>
      <c r="H14" s="916">
        <f t="shared" si="1"/>
        <v>24020</v>
      </c>
      <c r="I14" s="917">
        <f t="shared" si="2"/>
        <v>24020</v>
      </c>
      <c r="J14" s="918">
        <f t="shared" si="3"/>
        <v>0</v>
      </c>
      <c r="K14" s="919"/>
      <c r="L14" s="917">
        <f t="shared" si="4"/>
        <v>0</v>
      </c>
      <c r="M14" s="918">
        <f t="shared" si="5"/>
        <v>0</v>
      </c>
      <c r="N14" s="919"/>
      <c r="O14" s="917">
        <f t="shared" si="6"/>
        <v>0</v>
      </c>
      <c r="P14" s="918">
        <f t="shared" si="7"/>
        <v>0</v>
      </c>
      <c r="Q14" s="919"/>
      <c r="R14" s="917">
        <f t="shared" si="8"/>
        <v>0</v>
      </c>
      <c r="S14" s="918">
        <f t="shared" si="9"/>
        <v>0</v>
      </c>
      <c r="T14" s="919"/>
      <c r="U14" s="917">
        <f t="shared" si="10"/>
        <v>0</v>
      </c>
      <c r="V14" s="918">
        <f t="shared" si="11"/>
        <v>0</v>
      </c>
      <c r="W14" s="919"/>
      <c r="X14" s="917">
        <f t="shared" si="12"/>
        <v>0</v>
      </c>
      <c r="Y14" s="918">
        <f t="shared" si="13"/>
        <v>0.35</v>
      </c>
      <c r="Z14" s="919">
        <v>7889.7</v>
      </c>
      <c r="AA14" s="917">
        <f t="shared" si="14"/>
        <v>8407</v>
      </c>
      <c r="AB14" s="918">
        <f t="shared" si="15"/>
        <v>0.2</v>
      </c>
      <c r="AC14" s="919">
        <v>4508.3999999999996</v>
      </c>
      <c r="AD14" s="917">
        <f t="shared" si="16"/>
        <v>4804</v>
      </c>
      <c r="AE14" s="918">
        <f t="shared" si="17"/>
        <v>0</v>
      </c>
      <c r="AF14" s="919"/>
      <c r="AG14" s="917">
        <f t="shared" si="18"/>
        <v>0</v>
      </c>
      <c r="AH14" s="918">
        <f t="shared" si="19"/>
        <v>0</v>
      </c>
      <c r="AI14" s="919"/>
      <c r="AJ14" s="917">
        <f t="shared" si="20"/>
        <v>0</v>
      </c>
      <c r="AK14" s="918">
        <f t="shared" si="21"/>
        <v>0</v>
      </c>
      <c r="AL14" s="919"/>
      <c r="AM14" s="917">
        <f t="shared" si="22"/>
        <v>0</v>
      </c>
      <c r="AN14" s="920">
        <v>19242</v>
      </c>
      <c r="AO14" s="917">
        <f t="shared" si="23"/>
        <v>0</v>
      </c>
      <c r="AP14" s="920"/>
      <c r="AQ14" s="916">
        <f t="shared" si="24"/>
        <v>0</v>
      </c>
      <c r="AR14" s="917">
        <f t="shared" si="25"/>
        <v>37231</v>
      </c>
      <c r="AS14" s="916">
        <v>12</v>
      </c>
      <c r="AT14" s="921">
        <f t="shared" si="26"/>
        <v>446772</v>
      </c>
      <c r="AU14" s="920"/>
      <c r="AV14" s="922">
        <f t="shared" si="27"/>
        <v>4467.72</v>
      </c>
      <c r="AW14" s="921">
        <f t="shared" si="28"/>
        <v>451239.72</v>
      </c>
      <c r="AX14" s="921">
        <f t="shared" si="29"/>
        <v>136274.4</v>
      </c>
      <c r="AY14" s="921">
        <f t="shared" si="30"/>
        <v>587514.12</v>
      </c>
      <c r="AZ14" s="923">
        <f t="shared" si="31"/>
        <v>451.2</v>
      </c>
      <c r="BA14" s="923">
        <f t="shared" si="32"/>
        <v>136.30000000000001</v>
      </c>
      <c r="BB14" s="923">
        <f t="shared" si="33"/>
        <v>587.5</v>
      </c>
      <c r="BC14" s="915">
        <v>0.95</v>
      </c>
      <c r="BD14" s="923">
        <f t="shared" si="34"/>
        <v>428.6</v>
      </c>
      <c r="BE14" s="923">
        <f t="shared" si="35"/>
        <v>129.4</v>
      </c>
      <c r="BF14" s="923">
        <f t="shared" si="36"/>
        <v>558</v>
      </c>
      <c r="BG14" s="924">
        <f>'[3]свод (2024)'!$B$116</f>
        <v>0.99758349999999996</v>
      </c>
      <c r="BH14" s="923">
        <f t="shared" si="37"/>
        <v>427.6</v>
      </c>
      <c r="BI14" s="923">
        <f t="shared" si="38"/>
        <v>129.1</v>
      </c>
      <c r="BJ14" s="923">
        <f t="shared" si="39"/>
        <v>556.70000000000005</v>
      </c>
      <c r="BK14" s="925">
        <f t="shared" si="40"/>
        <v>-23.6</v>
      </c>
      <c r="BL14" s="925">
        <f t="shared" si="40"/>
        <v>-7.2</v>
      </c>
      <c r="BM14" s="925">
        <f t="shared" si="41"/>
        <v>-30.8</v>
      </c>
      <c r="BN14" s="925">
        <f t="shared" si="42"/>
        <v>0</v>
      </c>
      <c r="BO14" s="925">
        <f t="shared" si="43"/>
        <v>0</v>
      </c>
      <c r="BP14" s="926"/>
      <c r="BQ14" s="925">
        <f t="shared" si="44"/>
        <v>427.6</v>
      </c>
      <c r="BR14" s="925">
        <f t="shared" si="44"/>
        <v>129.1</v>
      </c>
      <c r="BS14" s="925">
        <f t="shared" si="45"/>
        <v>556.70000000000005</v>
      </c>
      <c r="BU14" s="928"/>
      <c r="BV14" s="917"/>
      <c r="BW14" s="928"/>
      <c r="BX14" s="928"/>
      <c r="BY14" s="928"/>
      <c r="BZ14" s="917"/>
      <c r="CA14" s="928"/>
      <c r="CB14" s="917"/>
      <c r="CC14" s="928"/>
      <c r="CD14" s="928"/>
      <c r="CE14" s="928"/>
      <c r="CF14" s="929"/>
      <c r="CG14" s="928"/>
      <c r="CH14" s="928"/>
      <c r="CI14" s="928"/>
      <c r="CJ14" s="925"/>
      <c r="CK14" s="925"/>
      <c r="CL14" s="925"/>
      <c r="CM14" s="925"/>
      <c r="CN14" s="925"/>
      <c r="CO14" s="925"/>
      <c r="CP14" s="925"/>
      <c r="CQ14" s="925"/>
      <c r="CR14" s="925"/>
      <c r="CS14" s="917"/>
      <c r="CT14" s="928"/>
      <c r="CU14" s="928"/>
      <c r="CV14" s="928"/>
      <c r="CX14" s="925"/>
      <c r="CY14" s="925"/>
      <c r="CZ14" s="925"/>
      <c r="DB14" s="925"/>
      <c r="DC14" s="925"/>
      <c r="DD14" s="925"/>
      <c r="DE14" s="925"/>
      <c r="DF14" s="925"/>
      <c r="DG14" s="925"/>
      <c r="DH14" s="925"/>
      <c r="DI14" s="925"/>
      <c r="DJ14" s="925"/>
      <c r="DK14" s="925"/>
      <c r="DL14" s="925"/>
      <c r="DM14" s="925"/>
      <c r="DN14" s="925"/>
      <c r="DO14" s="925"/>
      <c r="DP14" s="925"/>
      <c r="DQ14" s="924"/>
      <c r="DR14" s="925"/>
      <c r="DS14" s="925"/>
      <c r="DT14" s="925"/>
      <c r="DV14" s="925"/>
      <c r="DW14" s="925"/>
      <c r="DX14" s="925"/>
      <c r="DY14" s="925"/>
      <c r="DZ14" s="925"/>
      <c r="EA14" s="925"/>
      <c r="EB14" s="925"/>
      <c r="EC14" s="925"/>
      <c r="ED14" s="925"/>
      <c r="EE14" s="925"/>
      <c r="EF14" s="925"/>
      <c r="EG14" s="925"/>
      <c r="EH14" s="925"/>
      <c r="EI14" s="925"/>
      <c r="EJ14" s="925"/>
      <c r="EK14" s="925"/>
      <c r="EL14" s="925"/>
      <c r="EM14" s="925"/>
      <c r="EN14" s="925"/>
      <c r="EO14" s="925"/>
      <c r="EP14" s="925"/>
      <c r="EQ14" s="925"/>
      <c r="ER14" s="925"/>
      <c r="ES14" s="925"/>
      <c r="ET14" s="925"/>
      <c r="EV14" s="924"/>
      <c r="EW14" s="925"/>
      <c r="EX14" s="925"/>
      <c r="EY14" s="925"/>
    </row>
    <row r="15" spans="1:155" s="927" customFormat="1" ht="15.75" x14ac:dyDescent="0.25">
      <c r="A15" s="912" t="s">
        <v>359</v>
      </c>
      <c r="B15" s="913" t="s">
        <v>1379</v>
      </c>
      <c r="C15" s="914">
        <v>2.25</v>
      </c>
      <c r="D15" s="914">
        <v>4336</v>
      </c>
      <c r="E15" s="915">
        <v>1.0549999999999999</v>
      </c>
      <c r="F15" s="916">
        <f t="shared" si="0"/>
        <v>4575</v>
      </c>
      <c r="G15" s="915">
        <v>1.01</v>
      </c>
      <c r="H15" s="916">
        <f t="shared" si="1"/>
        <v>4621</v>
      </c>
      <c r="I15" s="917">
        <f t="shared" si="2"/>
        <v>10397.25</v>
      </c>
      <c r="J15" s="918">
        <f t="shared" si="3"/>
        <v>0</v>
      </c>
      <c r="K15" s="919"/>
      <c r="L15" s="917">
        <f t="shared" si="4"/>
        <v>0</v>
      </c>
      <c r="M15" s="918">
        <f t="shared" si="5"/>
        <v>0</v>
      </c>
      <c r="N15" s="919"/>
      <c r="O15" s="917">
        <f t="shared" si="6"/>
        <v>0</v>
      </c>
      <c r="P15" s="918">
        <f t="shared" si="7"/>
        <v>0</v>
      </c>
      <c r="Q15" s="919"/>
      <c r="R15" s="917">
        <f t="shared" si="8"/>
        <v>0</v>
      </c>
      <c r="S15" s="918">
        <f t="shared" si="9"/>
        <v>0.55556000000000005</v>
      </c>
      <c r="T15" s="919">
        <v>5420</v>
      </c>
      <c r="U15" s="917">
        <f t="shared" si="10"/>
        <v>5776.3</v>
      </c>
      <c r="V15" s="918">
        <f t="shared" si="11"/>
        <v>0</v>
      </c>
      <c r="W15" s="919"/>
      <c r="X15" s="917">
        <f t="shared" si="12"/>
        <v>0</v>
      </c>
      <c r="Y15" s="918">
        <f t="shared" si="13"/>
        <v>0</v>
      </c>
      <c r="Z15" s="919"/>
      <c r="AA15" s="917">
        <f t="shared" si="14"/>
        <v>0</v>
      </c>
      <c r="AB15" s="918">
        <f t="shared" si="15"/>
        <v>0</v>
      </c>
      <c r="AC15" s="919"/>
      <c r="AD15" s="917">
        <f t="shared" si="16"/>
        <v>0</v>
      </c>
      <c r="AE15" s="918">
        <f t="shared" si="17"/>
        <v>0</v>
      </c>
      <c r="AF15" s="919"/>
      <c r="AG15" s="917">
        <f t="shared" si="18"/>
        <v>0</v>
      </c>
      <c r="AH15" s="918">
        <f t="shared" si="19"/>
        <v>0</v>
      </c>
      <c r="AI15" s="919"/>
      <c r="AJ15" s="917">
        <f t="shared" si="20"/>
        <v>0</v>
      </c>
      <c r="AK15" s="918">
        <f t="shared" si="21"/>
        <v>0</v>
      </c>
      <c r="AL15" s="919"/>
      <c r="AM15" s="917">
        <f t="shared" si="22"/>
        <v>0</v>
      </c>
      <c r="AN15" s="920">
        <v>19242</v>
      </c>
      <c r="AO15" s="917">
        <f t="shared" si="23"/>
        <v>27120.95</v>
      </c>
      <c r="AP15" s="920"/>
      <c r="AQ15" s="916">
        <f t="shared" si="24"/>
        <v>0</v>
      </c>
      <c r="AR15" s="917">
        <f t="shared" si="25"/>
        <v>43294.5</v>
      </c>
      <c r="AS15" s="916">
        <v>12</v>
      </c>
      <c r="AT15" s="921">
        <f t="shared" si="26"/>
        <v>519534</v>
      </c>
      <c r="AU15" s="920">
        <f>AT15*0.085</f>
        <v>44160.39</v>
      </c>
      <c r="AV15" s="922">
        <f t="shared" si="27"/>
        <v>5195.34</v>
      </c>
      <c r="AW15" s="921">
        <f t="shared" si="28"/>
        <v>568889.73</v>
      </c>
      <c r="AX15" s="921">
        <f t="shared" si="29"/>
        <v>171804.7</v>
      </c>
      <c r="AY15" s="921">
        <f t="shared" si="30"/>
        <v>740694.43</v>
      </c>
      <c r="AZ15" s="923">
        <f t="shared" si="31"/>
        <v>568.9</v>
      </c>
      <c r="BA15" s="923">
        <f t="shared" si="32"/>
        <v>171.8</v>
      </c>
      <c r="BB15" s="923">
        <f t="shared" si="33"/>
        <v>740.7</v>
      </c>
      <c r="BC15" s="915">
        <v>0.95</v>
      </c>
      <c r="BD15" s="923">
        <f t="shared" si="34"/>
        <v>540.5</v>
      </c>
      <c r="BE15" s="923">
        <f t="shared" si="35"/>
        <v>163.19999999999999</v>
      </c>
      <c r="BF15" s="923">
        <f t="shared" si="36"/>
        <v>703.7</v>
      </c>
      <c r="BG15" s="924">
        <f>'[3]свод (2024)'!$B$116</f>
        <v>0.99758349999999996</v>
      </c>
      <c r="BH15" s="923">
        <f t="shared" si="37"/>
        <v>539.20000000000005</v>
      </c>
      <c r="BI15" s="923">
        <f t="shared" si="38"/>
        <v>162.80000000000001</v>
      </c>
      <c r="BJ15" s="923">
        <f t="shared" si="39"/>
        <v>702</v>
      </c>
      <c r="BK15" s="925">
        <f t="shared" si="40"/>
        <v>-29.7</v>
      </c>
      <c r="BL15" s="925">
        <f t="shared" si="40"/>
        <v>-9</v>
      </c>
      <c r="BM15" s="925">
        <f t="shared" si="41"/>
        <v>-38.700000000000003</v>
      </c>
      <c r="BN15" s="925">
        <f t="shared" si="42"/>
        <v>0</v>
      </c>
      <c r="BO15" s="925">
        <f t="shared" si="43"/>
        <v>0</v>
      </c>
      <c r="BP15" s="926"/>
      <c r="BQ15" s="925">
        <f t="shared" si="44"/>
        <v>539.20000000000005</v>
      </c>
      <c r="BR15" s="925">
        <f t="shared" si="44"/>
        <v>162.80000000000001</v>
      </c>
      <c r="BS15" s="925">
        <f t="shared" si="45"/>
        <v>702</v>
      </c>
      <c r="BU15" s="928"/>
      <c r="BV15" s="917"/>
      <c r="BW15" s="928"/>
      <c r="BX15" s="928"/>
      <c r="BY15" s="928"/>
      <c r="BZ15" s="917"/>
      <c r="CA15" s="928"/>
      <c r="CB15" s="917"/>
      <c r="CC15" s="928"/>
      <c r="CD15" s="928"/>
      <c r="CE15" s="928"/>
      <c r="CF15" s="929"/>
      <c r="CG15" s="928"/>
      <c r="CH15" s="928"/>
      <c r="CI15" s="928"/>
      <c r="CJ15" s="925"/>
      <c r="CK15" s="925"/>
      <c r="CL15" s="925"/>
      <c r="CM15" s="925"/>
      <c r="CN15" s="925"/>
      <c r="CO15" s="925"/>
      <c r="CP15" s="925"/>
      <c r="CQ15" s="925"/>
      <c r="CR15" s="925"/>
      <c r="CS15" s="917"/>
      <c r="CT15" s="928"/>
      <c r="CU15" s="928"/>
      <c r="CV15" s="928"/>
      <c r="CX15" s="925"/>
      <c r="CY15" s="925"/>
      <c r="CZ15" s="925"/>
      <c r="DB15" s="925"/>
      <c r="DC15" s="925"/>
      <c r="DD15" s="925"/>
      <c r="DE15" s="925"/>
      <c r="DF15" s="925"/>
      <c r="DG15" s="925"/>
      <c r="DH15" s="925"/>
      <c r="DI15" s="925"/>
      <c r="DJ15" s="925"/>
      <c r="DK15" s="925"/>
      <c r="DL15" s="925"/>
      <c r="DM15" s="925"/>
      <c r="DN15" s="925"/>
      <c r="DO15" s="925"/>
      <c r="DP15" s="925"/>
      <c r="DQ15" s="924"/>
      <c r="DR15" s="925"/>
      <c r="DS15" s="925"/>
      <c r="DT15" s="925"/>
      <c r="DV15" s="925"/>
      <c r="DW15" s="925"/>
      <c r="DX15" s="925"/>
      <c r="DY15" s="925"/>
      <c r="DZ15" s="925"/>
      <c r="EA15" s="925"/>
      <c r="EB15" s="925"/>
      <c r="EC15" s="925"/>
      <c r="ED15" s="925"/>
      <c r="EE15" s="925"/>
      <c r="EF15" s="925"/>
      <c r="EG15" s="925"/>
      <c r="EH15" s="925"/>
      <c r="EI15" s="925"/>
      <c r="EJ15" s="925"/>
      <c r="EK15" s="925"/>
      <c r="EL15" s="925"/>
      <c r="EM15" s="925"/>
      <c r="EN15" s="925"/>
      <c r="EO15" s="925"/>
      <c r="EP15" s="925"/>
      <c r="EQ15" s="925"/>
      <c r="ER15" s="925"/>
      <c r="ES15" s="925"/>
      <c r="ET15" s="925"/>
      <c r="EV15" s="924"/>
      <c r="EW15" s="925"/>
      <c r="EX15" s="925"/>
      <c r="EY15" s="925"/>
    </row>
    <row r="16" spans="1:155" s="927" customFormat="1" ht="15.75" x14ac:dyDescent="0.25">
      <c r="A16" s="912" t="s">
        <v>359</v>
      </c>
      <c r="B16" s="913" t="s">
        <v>358</v>
      </c>
      <c r="C16" s="914">
        <v>0.5</v>
      </c>
      <c r="D16" s="914">
        <v>5274</v>
      </c>
      <c r="E16" s="915">
        <v>1.0549999999999999</v>
      </c>
      <c r="F16" s="916">
        <f t="shared" si="0"/>
        <v>5565</v>
      </c>
      <c r="G16" s="915">
        <v>1.01</v>
      </c>
      <c r="H16" s="916">
        <f t="shared" si="1"/>
        <v>5621</v>
      </c>
      <c r="I16" s="917">
        <f t="shared" si="2"/>
        <v>2810.5</v>
      </c>
      <c r="J16" s="918">
        <f t="shared" si="3"/>
        <v>0</v>
      </c>
      <c r="K16" s="919"/>
      <c r="L16" s="917">
        <f t="shared" si="4"/>
        <v>0</v>
      </c>
      <c r="M16" s="918">
        <f t="shared" si="5"/>
        <v>0</v>
      </c>
      <c r="N16" s="919"/>
      <c r="O16" s="917">
        <f t="shared" si="6"/>
        <v>0</v>
      </c>
      <c r="P16" s="918">
        <f t="shared" si="7"/>
        <v>0</v>
      </c>
      <c r="Q16" s="919"/>
      <c r="R16" s="917">
        <f t="shared" si="8"/>
        <v>0</v>
      </c>
      <c r="S16" s="918">
        <f t="shared" si="9"/>
        <v>0</v>
      </c>
      <c r="T16" s="919"/>
      <c r="U16" s="917">
        <f t="shared" si="10"/>
        <v>0</v>
      </c>
      <c r="V16" s="918">
        <f t="shared" si="11"/>
        <v>0</v>
      </c>
      <c r="W16" s="919"/>
      <c r="X16" s="917">
        <f t="shared" si="12"/>
        <v>0</v>
      </c>
      <c r="Y16" s="918">
        <f t="shared" si="13"/>
        <v>1.98</v>
      </c>
      <c r="Z16" s="919">
        <v>5221.26</v>
      </c>
      <c r="AA16" s="917">
        <f t="shared" si="14"/>
        <v>5564.79</v>
      </c>
      <c r="AB16" s="918">
        <f t="shared" si="15"/>
        <v>0.3</v>
      </c>
      <c r="AC16" s="919">
        <v>791.1</v>
      </c>
      <c r="AD16" s="917">
        <f t="shared" si="16"/>
        <v>843.15</v>
      </c>
      <c r="AE16" s="918">
        <f t="shared" si="17"/>
        <v>0</v>
      </c>
      <c r="AF16" s="919"/>
      <c r="AG16" s="917">
        <f t="shared" si="18"/>
        <v>0</v>
      </c>
      <c r="AH16" s="918">
        <f t="shared" si="19"/>
        <v>0</v>
      </c>
      <c r="AI16" s="919"/>
      <c r="AJ16" s="917">
        <f t="shared" si="20"/>
        <v>0</v>
      </c>
      <c r="AK16" s="918">
        <f t="shared" si="21"/>
        <v>0</v>
      </c>
      <c r="AL16" s="919"/>
      <c r="AM16" s="917">
        <f t="shared" si="22"/>
        <v>0</v>
      </c>
      <c r="AN16" s="920">
        <v>19242</v>
      </c>
      <c r="AO16" s="917">
        <f t="shared" si="23"/>
        <v>402.56</v>
      </c>
      <c r="AP16" s="920"/>
      <c r="AQ16" s="916">
        <f t="shared" si="24"/>
        <v>0</v>
      </c>
      <c r="AR16" s="917">
        <f t="shared" si="25"/>
        <v>9621</v>
      </c>
      <c r="AS16" s="916">
        <v>12</v>
      </c>
      <c r="AT16" s="921">
        <f t="shared" si="26"/>
        <v>115452</v>
      </c>
      <c r="AU16" s="920"/>
      <c r="AV16" s="922">
        <f t="shared" si="27"/>
        <v>1154.52</v>
      </c>
      <c r="AW16" s="921">
        <f t="shared" si="28"/>
        <v>116606.52</v>
      </c>
      <c r="AX16" s="921">
        <f t="shared" si="29"/>
        <v>35215.17</v>
      </c>
      <c r="AY16" s="921">
        <f t="shared" si="30"/>
        <v>151821.69</v>
      </c>
      <c r="AZ16" s="923">
        <f t="shared" si="31"/>
        <v>116.6</v>
      </c>
      <c r="BA16" s="923">
        <f t="shared" si="32"/>
        <v>35.200000000000003</v>
      </c>
      <c r="BB16" s="923">
        <f t="shared" si="33"/>
        <v>151.80000000000001</v>
      </c>
      <c r="BC16" s="915">
        <v>0.95</v>
      </c>
      <c r="BD16" s="923">
        <f t="shared" si="34"/>
        <v>110.8</v>
      </c>
      <c r="BE16" s="923">
        <f t="shared" si="35"/>
        <v>33.5</v>
      </c>
      <c r="BF16" s="923">
        <f t="shared" si="36"/>
        <v>144.30000000000001</v>
      </c>
      <c r="BG16" s="924">
        <f>'[3]свод (2024)'!$B$116</f>
        <v>0.99758349999999996</v>
      </c>
      <c r="BH16" s="923">
        <f t="shared" si="37"/>
        <v>110.5</v>
      </c>
      <c r="BI16" s="923">
        <f t="shared" si="38"/>
        <v>33.4</v>
      </c>
      <c r="BJ16" s="923">
        <f t="shared" si="39"/>
        <v>143.9</v>
      </c>
      <c r="BK16" s="925">
        <f t="shared" si="40"/>
        <v>-6.1</v>
      </c>
      <c r="BL16" s="925">
        <f t="shared" si="40"/>
        <v>-1.8</v>
      </c>
      <c r="BM16" s="925">
        <f t="shared" si="41"/>
        <v>-7.9</v>
      </c>
      <c r="BN16" s="925">
        <f t="shared" si="42"/>
        <v>0</v>
      </c>
      <c r="BO16" s="925">
        <f t="shared" si="43"/>
        <v>0</v>
      </c>
      <c r="BP16" s="926"/>
      <c r="BQ16" s="925">
        <f t="shared" si="44"/>
        <v>110.5</v>
      </c>
      <c r="BR16" s="925">
        <f t="shared" si="44"/>
        <v>33.4</v>
      </c>
      <c r="BS16" s="925">
        <f t="shared" si="45"/>
        <v>143.9</v>
      </c>
      <c r="BU16" s="928"/>
      <c r="BV16" s="917"/>
      <c r="BW16" s="928"/>
      <c r="BX16" s="928"/>
      <c r="BY16" s="928"/>
      <c r="BZ16" s="917"/>
      <c r="CA16" s="928"/>
      <c r="CB16" s="917"/>
      <c r="CC16" s="928"/>
      <c r="CD16" s="928"/>
      <c r="CE16" s="928"/>
      <c r="CF16" s="929"/>
      <c r="CG16" s="928"/>
      <c r="CH16" s="928"/>
      <c r="CI16" s="928"/>
      <c r="CJ16" s="925"/>
      <c r="CK16" s="925"/>
      <c r="CL16" s="925"/>
      <c r="CM16" s="925"/>
      <c r="CN16" s="925"/>
      <c r="CO16" s="925"/>
      <c r="CP16" s="925"/>
      <c r="CQ16" s="925"/>
      <c r="CR16" s="925"/>
      <c r="CS16" s="917"/>
      <c r="CT16" s="928"/>
      <c r="CU16" s="928"/>
      <c r="CV16" s="928"/>
      <c r="CX16" s="925"/>
      <c r="CY16" s="925"/>
      <c r="CZ16" s="925"/>
      <c r="DB16" s="925"/>
      <c r="DC16" s="925"/>
      <c r="DD16" s="925"/>
      <c r="DE16" s="925"/>
      <c r="DF16" s="925"/>
      <c r="DG16" s="925"/>
      <c r="DH16" s="925"/>
      <c r="DI16" s="925"/>
      <c r="DJ16" s="925"/>
      <c r="DK16" s="925"/>
      <c r="DL16" s="925"/>
      <c r="DM16" s="925"/>
      <c r="DN16" s="925"/>
      <c r="DO16" s="925"/>
      <c r="DP16" s="925"/>
      <c r="DQ16" s="924"/>
      <c r="DR16" s="925"/>
      <c r="DS16" s="925"/>
      <c r="DT16" s="925"/>
      <c r="DV16" s="925"/>
      <c r="DW16" s="925"/>
      <c r="DX16" s="925"/>
      <c r="DY16" s="925"/>
      <c r="DZ16" s="925"/>
      <c r="EA16" s="925"/>
      <c r="EB16" s="925"/>
      <c r="EC16" s="925"/>
      <c r="ED16" s="925"/>
      <c r="EE16" s="925"/>
      <c r="EF16" s="925"/>
      <c r="EG16" s="925"/>
      <c r="EH16" s="925"/>
      <c r="EI16" s="925"/>
      <c r="EJ16" s="925"/>
      <c r="EK16" s="925"/>
      <c r="EL16" s="925"/>
      <c r="EM16" s="925"/>
      <c r="EN16" s="925"/>
      <c r="EO16" s="925"/>
      <c r="EP16" s="925"/>
      <c r="EQ16" s="925"/>
      <c r="ER16" s="925"/>
      <c r="ES16" s="925"/>
      <c r="ET16" s="925"/>
      <c r="EV16" s="924"/>
      <c r="EW16" s="925"/>
      <c r="EX16" s="925"/>
      <c r="EY16" s="925"/>
    </row>
    <row r="17" spans="1:155" s="927" customFormat="1" ht="15.75" x14ac:dyDescent="0.25">
      <c r="A17" s="912" t="s">
        <v>359</v>
      </c>
      <c r="B17" s="913" t="s">
        <v>1380</v>
      </c>
      <c r="C17" s="914">
        <v>1</v>
      </c>
      <c r="D17" s="914">
        <v>25048</v>
      </c>
      <c r="E17" s="915">
        <v>1.0549999999999999</v>
      </c>
      <c r="F17" s="916">
        <f t="shared" si="0"/>
        <v>26426</v>
      </c>
      <c r="G17" s="915">
        <v>1.01</v>
      </c>
      <c r="H17" s="916">
        <f t="shared" si="1"/>
        <v>26691</v>
      </c>
      <c r="I17" s="917">
        <f t="shared" si="2"/>
        <v>26691</v>
      </c>
      <c r="J17" s="918">
        <f t="shared" si="3"/>
        <v>0</v>
      </c>
      <c r="K17" s="919"/>
      <c r="L17" s="917">
        <f t="shared" si="4"/>
        <v>0</v>
      </c>
      <c r="M17" s="918">
        <f t="shared" si="5"/>
        <v>0</v>
      </c>
      <c r="N17" s="919"/>
      <c r="O17" s="917">
        <f t="shared" si="6"/>
        <v>0</v>
      </c>
      <c r="P17" s="918">
        <f t="shared" si="7"/>
        <v>0</v>
      </c>
      <c r="Q17" s="919"/>
      <c r="R17" s="917">
        <f t="shared" si="8"/>
        <v>0</v>
      </c>
      <c r="S17" s="918">
        <f t="shared" si="9"/>
        <v>0</v>
      </c>
      <c r="T17" s="919"/>
      <c r="U17" s="917">
        <f t="shared" si="10"/>
        <v>0</v>
      </c>
      <c r="V17" s="918">
        <f t="shared" si="11"/>
        <v>0</v>
      </c>
      <c r="W17" s="919"/>
      <c r="X17" s="917">
        <f t="shared" si="12"/>
        <v>0</v>
      </c>
      <c r="Y17" s="918">
        <f t="shared" si="13"/>
        <v>0</v>
      </c>
      <c r="Z17" s="919"/>
      <c r="AA17" s="917">
        <f t="shared" si="14"/>
        <v>0</v>
      </c>
      <c r="AB17" s="918">
        <f t="shared" si="15"/>
        <v>0.2</v>
      </c>
      <c r="AC17" s="919">
        <v>5009.6000000000004</v>
      </c>
      <c r="AD17" s="917">
        <f t="shared" si="16"/>
        <v>5338.2</v>
      </c>
      <c r="AE17" s="918">
        <f t="shared" si="17"/>
        <v>0</v>
      </c>
      <c r="AF17" s="919"/>
      <c r="AG17" s="917">
        <f t="shared" si="18"/>
        <v>0</v>
      </c>
      <c r="AH17" s="918">
        <f t="shared" si="19"/>
        <v>0</v>
      </c>
      <c r="AI17" s="919"/>
      <c r="AJ17" s="917">
        <f t="shared" si="20"/>
        <v>0</v>
      </c>
      <c r="AK17" s="918">
        <f t="shared" si="21"/>
        <v>0</v>
      </c>
      <c r="AL17" s="919"/>
      <c r="AM17" s="917">
        <f t="shared" si="22"/>
        <v>0</v>
      </c>
      <c r="AN17" s="920">
        <v>19242</v>
      </c>
      <c r="AO17" s="917">
        <f t="shared" si="23"/>
        <v>0</v>
      </c>
      <c r="AP17" s="920"/>
      <c r="AQ17" s="916">
        <f t="shared" si="24"/>
        <v>0</v>
      </c>
      <c r="AR17" s="917">
        <f t="shared" si="25"/>
        <v>32029.200000000001</v>
      </c>
      <c r="AS17" s="916">
        <v>12</v>
      </c>
      <c r="AT17" s="921">
        <f t="shared" si="26"/>
        <v>384350.4</v>
      </c>
      <c r="AU17" s="920"/>
      <c r="AV17" s="922">
        <f t="shared" si="27"/>
        <v>3843.5</v>
      </c>
      <c r="AW17" s="921">
        <f t="shared" si="28"/>
        <v>388193.9</v>
      </c>
      <c r="AX17" s="921">
        <f t="shared" si="29"/>
        <v>117234.56</v>
      </c>
      <c r="AY17" s="921">
        <f t="shared" si="30"/>
        <v>505428.46</v>
      </c>
      <c r="AZ17" s="923">
        <f t="shared" si="31"/>
        <v>388.2</v>
      </c>
      <c r="BA17" s="923">
        <f t="shared" si="32"/>
        <v>117.2</v>
      </c>
      <c r="BB17" s="923">
        <f t="shared" si="33"/>
        <v>505.4</v>
      </c>
      <c r="BC17" s="915">
        <v>0.95</v>
      </c>
      <c r="BD17" s="923">
        <f t="shared" si="34"/>
        <v>368.8</v>
      </c>
      <c r="BE17" s="923">
        <f t="shared" si="35"/>
        <v>111.4</v>
      </c>
      <c r="BF17" s="923">
        <f t="shared" si="36"/>
        <v>480.2</v>
      </c>
      <c r="BG17" s="924">
        <f>'[3]свод (2024)'!$B$116</f>
        <v>0.99758349999999996</v>
      </c>
      <c r="BH17" s="923">
        <f t="shared" si="37"/>
        <v>367.9</v>
      </c>
      <c r="BI17" s="923">
        <f t="shared" si="38"/>
        <v>111.1</v>
      </c>
      <c r="BJ17" s="923">
        <f t="shared" si="39"/>
        <v>479</v>
      </c>
      <c r="BK17" s="925">
        <f t="shared" si="40"/>
        <v>-20.3</v>
      </c>
      <c r="BL17" s="925">
        <f t="shared" si="40"/>
        <v>-6.1</v>
      </c>
      <c r="BM17" s="925">
        <f t="shared" si="41"/>
        <v>-26.4</v>
      </c>
      <c r="BN17" s="925">
        <f t="shared" si="42"/>
        <v>0</v>
      </c>
      <c r="BO17" s="925">
        <f t="shared" si="43"/>
        <v>0</v>
      </c>
      <c r="BP17" s="926"/>
      <c r="BQ17" s="925">
        <f t="shared" si="44"/>
        <v>367.9</v>
      </c>
      <c r="BR17" s="925">
        <f t="shared" si="44"/>
        <v>111.1</v>
      </c>
      <c r="BS17" s="925">
        <f t="shared" si="45"/>
        <v>479</v>
      </c>
      <c r="BU17" s="928"/>
      <c r="BV17" s="917"/>
      <c r="BW17" s="928"/>
      <c r="BX17" s="928"/>
      <c r="BY17" s="928"/>
      <c r="BZ17" s="917"/>
      <c r="CA17" s="928"/>
      <c r="CB17" s="917"/>
      <c r="CC17" s="928"/>
      <c r="CD17" s="928"/>
      <c r="CE17" s="928"/>
      <c r="CF17" s="929"/>
      <c r="CG17" s="928"/>
      <c r="CH17" s="928"/>
      <c r="CI17" s="928"/>
      <c r="CJ17" s="925"/>
      <c r="CK17" s="925"/>
      <c r="CL17" s="925"/>
      <c r="CM17" s="925"/>
      <c r="CN17" s="925"/>
      <c r="CO17" s="925"/>
      <c r="CP17" s="925"/>
      <c r="CQ17" s="925"/>
      <c r="CR17" s="925"/>
      <c r="CS17" s="917"/>
      <c r="CT17" s="928"/>
      <c r="CU17" s="928"/>
      <c r="CV17" s="928"/>
      <c r="CX17" s="925"/>
      <c r="CY17" s="925"/>
      <c r="CZ17" s="925"/>
      <c r="DB17" s="925"/>
      <c r="DC17" s="925"/>
      <c r="DD17" s="925"/>
      <c r="DE17" s="925"/>
      <c r="DF17" s="925"/>
      <c r="DG17" s="925"/>
      <c r="DH17" s="925"/>
      <c r="DI17" s="925"/>
      <c r="DJ17" s="925"/>
      <c r="DK17" s="925"/>
      <c r="DL17" s="925"/>
      <c r="DM17" s="925"/>
      <c r="DN17" s="925"/>
      <c r="DO17" s="925"/>
      <c r="DP17" s="925"/>
      <c r="DQ17" s="924"/>
      <c r="DR17" s="925"/>
      <c r="DS17" s="925"/>
      <c r="DT17" s="925"/>
      <c r="DV17" s="925"/>
      <c r="DW17" s="925"/>
      <c r="DX17" s="925"/>
      <c r="DY17" s="925"/>
      <c r="DZ17" s="925"/>
      <c r="EA17" s="925"/>
      <c r="EB17" s="925"/>
      <c r="EC17" s="925"/>
      <c r="ED17" s="925"/>
      <c r="EE17" s="925"/>
      <c r="EF17" s="925"/>
      <c r="EG17" s="925"/>
      <c r="EH17" s="925"/>
      <c r="EI17" s="925"/>
      <c r="EJ17" s="925"/>
      <c r="EK17" s="925"/>
      <c r="EL17" s="925"/>
      <c r="EM17" s="925"/>
      <c r="EN17" s="925"/>
      <c r="EO17" s="925"/>
      <c r="EP17" s="925"/>
      <c r="EQ17" s="925"/>
      <c r="ER17" s="925"/>
      <c r="ES17" s="925"/>
      <c r="ET17" s="925"/>
      <c r="EV17" s="924"/>
      <c r="EW17" s="925"/>
      <c r="EX17" s="925"/>
      <c r="EY17" s="925"/>
    </row>
    <row r="18" spans="1:155" s="927" customFormat="1" ht="24" x14ac:dyDescent="0.25">
      <c r="A18" s="912" t="s">
        <v>359</v>
      </c>
      <c r="B18" s="913" t="s">
        <v>1381</v>
      </c>
      <c r="C18" s="914">
        <v>4</v>
      </c>
      <c r="D18" s="914">
        <v>13466</v>
      </c>
      <c r="E18" s="915">
        <v>1.0549999999999999</v>
      </c>
      <c r="F18" s="916">
        <f t="shared" si="0"/>
        <v>14207</v>
      </c>
      <c r="G18" s="915">
        <v>1.01</v>
      </c>
      <c r="H18" s="916">
        <f t="shared" si="1"/>
        <v>14350</v>
      </c>
      <c r="I18" s="917">
        <f t="shared" si="2"/>
        <v>57400</v>
      </c>
      <c r="J18" s="918">
        <f t="shared" si="3"/>
        <v>0</v>
      </c>
      <c r="K18" s="919"/>
      <c r="L18" s="917">
        <f t="shared" si="4"/>
        <v>0</v>
      </c>
      <c r="M18" s="918">
        <f t="shared" si="5"/>
        <v>0</v>
      </c>
      <c r="N18" s="919"/>
      <c r="O18" s="917">
        <f t="shared" si="6"/>
        <v>0</v>
      </c>
      <c r="P18" s="918">
        <f t="shared" si="7"/>
        <v>0</v>
      </c>
      <c r="Q18" s="988"/>
      <c r="R18" s="917">
        <f t="shared" si="8"/>
        <v>0</v>
      </c>
      <c r="S18" s="918">
        <f t="shared" si="9"/>
        <v>0</v>
      </c>
      <c r="T18" s="919"/>
      <c r="U18" s="917">
        <f t="shared" si="10"/>
        <v>0</v>
      </c>
      <c r="V18" s="918">
        <f t="shared" si="11"/>
        <v>0</v>
      </c>
      <c r="W18" s="919"/>
      <c r="X18" s="917">
        <f t="shared" si="12"/>
        <v>0</v>
      </c>
      <c r="Y18" s="918">
        <f t="shared" si="13"/>
        <v>0.25</v>
      </c>
      <c r="Z18" s="919">
        <v>13466</v>
      </c>
      <c r="AA18" s="917">
        <f t="shared" si="14"/>
        <v>14350</v>
      </c>
      <c r="AB18" s="918">
        <f t="shared" si="15"/>
        <v>0.2</v>
      </c>
      <c r="AC18" s="919">
        <v>10772.8</v>
      </c>
      <c r="AD18" s="917">
        <f t="shared" si="16"/>
        <v>11480</v>
      </c>
      <c r="AE18" s="918">
        <f t="shared" si="17"/>
        <v>0</v>
      </c>
      <c r="AF18" s="919"/>
      <c r="AG18" s="917">
        <f t="shared" si="18"/>
        <v>0</v>
      </c>
      <c r="AH18" s="918">
        <f t="shared" si="19"/>
        <v>0</v>
      </c>
      <c r="AI18" s="919"/>
      <c r="AJ18" s="917">
        <f t="shared" si="20"/>
        <v>0</v>
      </c>
      <c r="AK18" s="918">
        <f t="shared" si="21"/>
        <v>0</v>
      </c>
      <c r="AL18" s="919"/>
      <c r="AM18" s="917">
        <f t="shared" si="22"/>
        <v>0</v>
      </c>
      <c r="AN18" s="920">
        <v>19242</v>
      </c>
      <c r="AO18" s="917">
        <f t="shared" si="23"/>
        <v>0</v>
      </c>
      <c r="AP18" s="920"/>
      <c r="AQ18" s="916">
        <f t="shared" si="24"/>
        <v>0</v>
      </c>
      <c r="AR18" s="917">
        <f t="shared" si="25"/>
        <v>83230</v>
      </c>
      <c r="AS18" s="916">
        <v>12</v>
      </c>
      <c r="AT18" s="921">
        <f t="shared" si="26"/>
        <v>998760</v>
      </c>
      <c r="AU18" s="920"/>
      <c r="AV18" s="922">
        <f t="shared" si="27"/>
        <v>9987.6</v>
      </c>
      <c r="AW18" s="921">
        <f t="shared" si="28"/>
        <v>1008747.6</v>
      </c>
      <c r="AX18" s="921">
        <f t="shared" si="29"/>
        <v>304641.78000000003</v>
      </c>
      <c r="AY18" s="921">
        <f t="shared" si="30"/>
        <v>1313389.3799999999</v>
      </c>
      <c r="AZ18" s="923">
        <f t="shared" si="31"/>
        <v>1008.7</v>
      </c>
      <c r="BA18" s="923">
        <f t="shared" si="32"/>
        <v>304.60000000000002</v>
      </c>
      <c r="BB18" s="923">
        <f t="shared" si="33"/>
        <v>1313.3</v>
      </c>
      <c r="BC18" s="915">
        <v>0.95</v>
      </c>
      <c r="BD18" s="923">
        <f t="shared" si="34"/>
        <v>958.3</v>
      </c>
      <c r="BE18" s="923">
        <f t="shared" si="35"/>
        <v>289.39999999999998</v>
      </c>
      <c r="BF18" s="923">
        <f t="shared" si="36"/>
        <v>1247.7</v>
      </c>
      <c r="BG18" s="924">
        <f>'[3]свод (2024)'!$B$116</f>
        <v>0.99758349999999996</v>
      </c>
      <c r="BH18" s="923">
        <f t="shared" si="37"/>
        <v>956</v>
      </c>
      <c r="BI18" s="923">
        <f t="shared" si="38"/>
        <v>288.7</v>
      </c>
      <c r="BJ18" s="923">
        <f t="shared" si="39"/>
        <v>1244.7</v>
      </c>
      <c r="BK18" s="925">
        <f t="shared" si="40"/>
        <v>-52.7</v>
      </c>
      <c r="BL18" s="925">
        <f t="shared" si="40"/>
        <v>-15.9</v>
      </c>
      <c r="BM18" s="925">
        <f t="shared" si="41"/>
        <v>-68.599999999999994</v>
      </c>
      <c r="BN18" s="925">
        <f t="shared" si="42"/>
        <v>0</v>
      </c>
      <c r="BO18" s="925">
        <f t="shared" si="43"/>
        <v>0</v>
      </c>
      <c r="BP18" s="926"/>
      <c r="BQ18" s="925">
        <f t="shared" si="44"/>
        <v>956</v>
      </c>
      <c r="BR18" s="925">
        <f t="shared" si="44"/>
        <v>288.7</v>
      </c>
      <c r="BS18" s="925">
        <f t="shared" si="45"/>
        <v>1244.7</v>
      </c>
      <c r="BU18" s="928"/>
      <c r="BV18" s="917"/>
      <c r="BW18" s="928"/>
      <c r="BX18" s="928"/>
      <c r="BY18" s="928"/>
      <c r="BZ18" s="917"/>
      <c r="CA18" s="928"/>
      <c r="CB18" s="917"/>
      <c r="CC18" s="928"/>
      <c r="CD18" s="928"/>
      <c r="CE18" s="928"/>
      <c r="CF18" s="929"/>
      <c r="CG18" s="928"/>
      <c r="CH18" s="928"/>
      <c r="CI18" s="928"/>
      <c r="CJ18" s="925"/>
      <c r="CK18" s="925"/>
      <c r="CL18" s="925"/>
      <c r="CM18" s="925"/>
      <c r="CN18" s="925"/>
      <c r="CO18" s="925"/>
      <c r="CP18" s="925"/>
      <c r="CQ18" s="925"/>
      <c r="CR18" s="925"/>
      <c r="CS18" s="917"/>
      <c r="CT18" s="928"/>
      <c r="CU18" s="928"/>
      <c r="CV18" s="928"/>
      <c r="CX18" s="925"/>
      <c r="CY18" s="925"/>
      <c r="CZ18" s="925"/>
      <c r="DB18" s="925"/>
      <c r="DC18" s="925"/>
      <c r="DD18" s="925"/>
      <c r="DE18" s="925"/>
      <c r="DF18" s="925"/>
      <c r="DG18" s="925"/>
      <c r="DH18" s="925"/>
      <c r="DI18" s="925"/>
      <c r="DJ18" s="925"/>
      <c r="DK18" s="925"/>
      <c r="DL18" s="925"/>
      <c r="DM18" s="925"/>
      <c r="DN18" s="925"/>
      <c r="DO18" s="925"/>
      <c r="DP18" s="925"/>
      <c r="DQ18" s="924"/>
      <c r="DR18" s="925"/>
      <c r="DS18" s="925"/>
      <c r="DT18" s="925"/>
      <c r="DV18" s="925"/>
      <c r="DW18" s="925"/>
      <c r="DX18" s="925"/>
      <c r="DY18" s="925"/>
      <c r="DZ18" s="925"/>
      <c r="EA18" s="925"/>
      <c r="EB18" s="925"/>
      <c r="EC18" s="925"/>
      <c r="ED18" s="925"/>
      <c r="EE18" s="925"/>
      <c r="EF18" s="925"/>
      <c r="EG18" s="925"/>
      <c r="EH18" s="925"/>
      <c r="EI18" s="925"/>
      <c r="EJ18" s="925"/>
      <c r="EK18" s="925"/>
      <c r="EL18" s="925"/>
      <c r="EM18" s="925"/>
      <c r="EN18" s="925"/>
      <c r="EO18" s="925"/>
      <c r="EP18" s="925"/>
      <c r="EQ18" s="925"/>
      <c r="ER18" s="925"/>
      <c r="ES18" s="925"/>
      <c r="ET18" s="925"/>
      <c r="EV18" s="924"/>
      <c r="EW18" s="925"/>
      <c r="EX18" s="925"/>
      <c r="EY18" s="925"/>
    </row>
    <row r="19" spans="1:155" s="927" customFormat="1" ht="15.75" x14ac:dyDescent="0.25">
      <c r="A19" s="912" t="s">
        <v>359</v>
      </c>
      <c r="B19" s="913" t="s">
        <v>39</v>
      </c>
      <c r="C19" s="914">
        <v>1</v>
      </c>
      <c r="D19" s="914">
        <v>6097</v>
      </c>
      <c r="E19" s="915">
        <v>1.0549999999999999</v>
      </c>
      <c r="F19" s="916">
        <f t="shared" si="0"/>
        <v>6433</v>
      </c>
      <c r="G19" s="915">
        <v>1.01</v>
      </c>
      <c r="H19" s="916">
        <f t="shared" si="1"/>
        <v>6498</v>
      </c>
      <c r="I19" s="917">
        <f t="shared" si="2"/>
        <v>6498</v>
      </c>
      <c r="J19" s="918">
        <f t="shared" si="3"/>
        <v>0</v>
      </c>
      <c r="K19" s="919"/>
      <c r="L19" s="917">
        <f t="shared" si="4"/>
        <v>0</v>
      </c>
      <c r="M19" s="918">
        <f t="shared" si="5"/>
        <v>0</v>
      </c>
      <c r="N19" s="919"/>
      <c r="O19" s="917">
        <f t="shared" si="6"/>
        <v>0</v>
      </c>
      <c r="P19" s="918">
        <f t="shared" si="7"/>
        <v>0</v>
      </c>
      <c r="Q19" s="919"/>
      <c r="R19" s="917">
        <f t="shared" si="8"/>
        <v>0</v>
      </c>
      <c r="S19" s="918">
        <f t="shared" si="9"/>
        <v>0</v>
      </c>
      <c r="T19" s="919"/>
      <c r="U19" s="917">
        <f t="shared" si="10"/>
        <v>0</v>
      </c>
      <c r="V19" s="918">
        <f t="shared" si="11"/>
        <v>0</v>
      </c>
      <c r="W19" s="919"/>
      <c r="X19" s="917">
        <f t="shared" si="12"/>
        <v>0</v>
      </c>
      <c r="Y19" s="918">
        <f t="shared" si="13"/>
        <v>1.98</v>
      </c>
      <c r="Z19" s="919">
        <v>12072.06</v>
      </c>
      <c r="AA19" s="917">
        <f t="shared" si="14"/>
        <v>12866.04</v>
      </c>
      <c r="AB19" s="918">
        <f t="shared" si="15"/>
        <v>0.3</v>
      </c>
      <c r="AC19" s="919">
        <v>1829.1</v>
      </c>
      <c r="AD19" s="917">
        <f t="shared" si="16"/>
        <v>1949.4</v>
      </c>
      <c r="AE19" s="918">
        <f t="shared" si="17"/>
        <v>0</v>
      </c>
      <c r="AF19" s="919"/>
      <c r="AG19" s="917">
        <f t="shared" si="18"/>
        <v>0</v>
      </c>
      <c r="AH19" s="918">
        <f t="shared" si="19"/>
        <v>0</v>
      </c>
      <c r="AI19" s="919"/>
      <c r="AJ19" s="917">
        <f t="shared" si="20"/>
        <v>0</v>
      </c>
      <c r="AK19" s="918">
        <f t="shared" si="21"/>
        <v>0</v>
      </c>
      <c r="AL19" s="919"/>
      <c r="AM19" s="917">
        <f t="shared" si="22"/>
        <v>0</v>
      </c>
      <c r="AN19" s="920">
        <v>19242</v>
      </c>
      <c r="AO19" s="917">
        <f t="shared" si="23"/>
        <v>0</v>
      </c>
      <c r="AP19" s="920"/>
      <c r="AQ19" s="916">
        <f t="shared" si="24"/>
        <v>0</v>
      </c>
      <c r="AR19" s="917">
        <f t="shared" si="25"/>
        <v>21313.439999999999</v>
      </c>
      <c r="AS19" s="916">
        <v>12</v>
      </c>
      <c r="AT19" s="921">
        <f t="shared" si="26"/>
        <v>255761.28</v>
      </c>
      <c r="AU19" s="920"/>
      <c r="AV19" s="922">
        <f t="shared" si="27"/>
        <v>2557.61</v>
      </c>
      <c r="AW19" s="921">
        <f t="shared" si="28"/>
        <v>258318.89</v>
      </c>
      <c r="AX19" s="921">
        <f t="shared" si="29"/>
        <v>78012.3</v>
      </c>
      <c r="AY19" s="921">
        <f t="shared" si="30"/>
        <v>336331.19</v>
      </c>
      <c r="AZ19" s="923">
        <f t="shared" si="31"/>
        <v>258.3</v>
      </c>
      <c r="BA19" s="923">
        <f t="shared" si="32"/>
        <v>78</v>
      </c>
      <c r="BB19" s="923">
        <f t="shared" si="33"/>
        <v>336.3</v>
      </c>
      <c r="BC19" s="915">
        <v>0.95</v>
      </c>
      <c r="BD19" s="923">
        <f t="shared" si="34"/>
        <v>245.4</v>
      </c>
      <c r="BE19" s="923">
        <f t="shared" si="35"/>
        <v>74.099999999999994</v>
      </c>
      <c r="BF19" s="923">
        <f t="shared" si="36"/>
        <v>319.5</v>
      </c>
      <c r="BG19" s="924">
        <f>'[3]свод (2024)'!$B$116</f>
        <v>0.99758349999999996</v>
      </c>
      <c r="BH19" s="923">
        <f t="shared" si="37"/>
        <v>244.8</v>
      </c>
      <c r="BI19" s="923">
        <f t="shared" si="38"/>
        <v>73.900000000000006</v>
      </c>
      <c r="BJ19" s="923">
        <f t="shared" si="39"/>
        <v>318.7</v>
      </c>
      <c r="BK19" s="925">
        <f t="shared" si="40"/>
        <v>-13.5</v>
      </c>
      <c r="BL19" s="925">
        <f t="shared" si="40"/>
        <v>-4.0999999999999996</v>
      </c>
      <c r="BM19" s="925">
        <f t="shared" si="41"/>
        <v>-17.600000000000001</v>
      </c>
      <c r="BN19" s="925">
        <f t="shared" si="42"/>
        <v>0</v>
      </c>
      <c r="BO19" s="925">
        <f t="shared" si="43"/>
        <v>0</v>
      </c>
      <c r="BP19" s="926"/>
      <c r="BQ19" s="925">
        <f t="shared" si="44"/>
        <v>244.8</v>
      </c>
      <c r="BR19" s="925">
        <f t="shared" si="44"/>
        <v>73.900000000000006</v>
      </c>
      <c r="BS19" s="925">
        <f t="shared" si="45"/>
        <v>318.7</v>
      </c>
      <c r="BU19" s="928"/>
      <c r="BV19" s="917"/>
      <c r="BW19" s="928"/>
      <c r="BX19" s="928"/>
      <c r="BY19" s="928"/>
      <c r="BZ19" s="917"/>
      <c r="CA19" s="928"/>
      <c r="CB19" s="917"/>
      <c r="CC19" s="928"/>
      <c r="CD19" s="928"/>
      <c r="CE19" s="928"/>
      <c r="CF19" s="929"/>
      <c r="CG19" s="928"/>
      <c r="CH19" s="928"/>
      <c r="CI19" s="928"/>
      <c r="CJ19" s="925"/>
      <c r="CK19" s="925"/>
      <c r="CL19" s="925"/>
      <c r="CM19" s="925"/>
      <c r="CN19" s="925"/>
      <c r="CO19" s="925"/>
      <c r="CP19" s="925"/>
      <c r="CQ19" s="925"/>
      <c r="CR19" s="925"/>
      <c r="CS19" s="917"/>
      <c r="CT19" s="928"/>
      <c r="CU19" s="928"/>
      <c r="CV19" s="928"/>
      <c r="CX19" s="925"/>
      <c r="CY19" s="925"/>
      <c r="CZ19" s="925"/>
      <c r="DB19" s="925"/>
      <c r="DC19" s="925"/>
      <c r="DD19" s="925"/>
      <c r="DE19" s="925"/>
      <c r="DF19" s="925"/>
      <c r="DG19" s="925"/>
      <c r="DH19" s="925"/>
      <c r="DI19" s="925"/>
      <c r="DJ19" s="925"/>
      <c r="DK19" s="925"/>
      <c r="DL19" s="925"/>
      <c r="DM19" s="925"/>
      <c r="DN19" s="925"/>
      <c r="DO19" s="925"/>
      <c r="DP19" s="925"/>
      <c r="DQ19" s="924"/>
      <c r="DR19" s="925"/>
      <c r="DS19" s="925"/>
      <c r="DT19" s="925"/>
      <c r="DV19" s="925"/>
      <c r="DW19" s="925"/>
      <c r="DX19" s="925"/>
      <c r="DY19" s="925"/>
      <c r="DZ19" s="925"/>
      <c r="EA19" s="925"/>
      <c r="EB19" s="925"/>
      <c r="EC19" s="925"/>
      <c r="ED19" s="925"/>
      <c r="EE19" s="925"/>
      <c r="EF19" s="925"/>
      <c r="EG19" s="925"/>
      <c r="EH19" s="925"/>
      <c r="EI19" s="925"/>
      <c r="EJ19" s="925"/>
      <c r="EK19" s="925"/>
      <c r="EL19" s="925"/>
      <c r="EM19" s="925"/>
      <c r="EN19" s="925"/>
      <c r="EO19" s="925"/>
      <c r="EP19" s="925"/>
      <c r="EQ19" s="925"/>
      <c r="ER19" s="925"/>
      <c r="ES19" s="925"/>
      <c r="ET19" s="925"/>
      <c r="EV19" s="924"/>
      <c r="EW19" s="925"/>
      <c r="EX19" s="925"/>
      <c r="EY19" s="925"/>
    </row>
    <row r="20" spans="1:155" s="927" customFormat="1" ht="24" x14ac:dyDescent="0.25">
      <c r="A20" s="912" t="s">
        <v>359</v>
      </c>
      <c r="B20" s="913" t="s">
        <v>1382</v>
      </c>
      <c r="C20" s="914">
        <v>1</v>
      </c>
      <c r="D20" s="914">
        <v>22542</v>
      </c>
      <c r="E20" s="915">
        <v>1.0549999999999999</v>
      </c>
      <c r="F20" s="916">
        <f t="shared" si="0"/>
        <v>23782</v>
      </c>
      <c r="G20" s="915">
        <v>1.01</v>
      </c>
      <c r="H20" s="916">
        <f t="shared" si="1"/>
        <v>24020</v>
      </c>
      <c r="I20" s="917">
        <f t="shared" si="2"/>
        <v>24020</v>
      </c>
      <c r="J20" s="918">
        <f t="shared" si="3"/>
        <v>0</v>
      </c>
      <c r="K20" s="919"/>
      <c r="L20" s="917">
        <f t="shared" si="4"/>
        <v>0</v>
      </c>
      <c r="M20" s="918">
        <f t="shared" si="5"/>
        <v>0</v>
      </c>
      <c r="N20" s="919"/>
      <c r="O20" s="917">
        <f t="shared" si="6"/>
        <v>0</v>
      </c>
      <c r="P20" s="918">
        <f t="shared" si="7"/>
        <v>0</v>
      </c>
      <c r="Q20" s="988"/>
      <c r="R20" s="917">
        <f t="shared" si="8"/>
        <v>0</v>
      </c>
      <c r="S20" s="918">
        <f t="shared" si="9"/>
        <v>0</v>
      </c>
      <c r="T20" s="919"/>
      <c r="U20" s="917">
        <f t="shared" si="10"/>
        <v>0</v>
      </c>
      <c r="V20" s="918">
        <f t="shared" si="11"/>
        <v>0</v>
      </c>
      <c r="W20" s="919"/>
      <c r="X20" s="917">
        <f t="shared" si="12"/>
        <v>0</v>
      </c>
      <c r="Y20" s="918">
        <f t="shared" si="13"/>
        <v>0</v>
      </c>
      <c r="Z20" s="919"/>
      <c r="AA20" s="917">
        <f t="shared" si="14"/>
        <v>0</v>
      </c>
      <c r="AB20" s="918">
        <f t="shared" si="15"/>
        <v>0.2</v>
      </c>
      <c r="AC20" s="919">
        <v>4508.3999999999996</v>
      </c>
      <c r="AD20" s="917">
        <f t="shared" si="16"/>
        <v>4804</v>
      </c>
      <c r="AE20" s="918">
        <f t="shared" si="17"/>
        <v>0</v>
      </c>
      <c r="AF20" s="919"/>
      <c r="AG20" s="917">
        <f t="shared" si="18"/>
        <v>0</v>
      </c>
      <c r="AH20" s="918">
        <f t="shared" si="19"/>
        <v>0</v>
      </c>
      <c r="AI20" s="919"/>
      <c r="AJ20" s="917">
        <f t="shared" si="20"/>
        <v>0</v>
      </c>
      <c r="AK20" s="918">
        <f t="shared" si="21"/>
        <v>0</v>
      </c>
      <c r="AL20" s="919"/>
      <c r="AM20" s="917">
        <f t="shared" si="22"/>
        <v>0</v>
      </c>
      <c r="AN20" s="920">
        <v>19242</v>
      </c>
      <c r="AO20" s="917">
        <f t="shared" si="23"/>
        <v>0</v>
      </c>
      <c r="AP20" s="920"/>
      <c r="AQ20" s="916">
        <f t="shared" si="24"/>
        <v>0</v>
      </c>
      <c r="AR20" s="917">
        <f t="shared" si="25"/>
        <v>28824</v>
      </c>
      <c r="AS20" s="916">
        <v>12</v>
      </c>
      <c r="AT20" s="921">
        <f t="shared" si="26"/>
        <v>345888</v>
      </c>
      <c r="AU20" s="920"/>
      <c r="AV20" s="922">
        <f t="shared" si="27"/>
        <v>3458.88</v>
      </c>
      <c r="AW20" s="921">
        <f t="shared" si="28"/>
        <v>349346.88</v>
      </c>
      <c r="AX20" s="921">
        <f t="shared" si="29"/>
        <v>105502.76</v>
      </c>
      <c r="AY20" s="921">
        <f t="shared" si="30"/>
        <v>454849.64</v>
      </c>
      <c r="AZ20" s="923">
        <f t="shared" si="31"/>
        <v>349.3</v>
      </c>
      <c r="BA20" s="923">
        <f t="shared" si="32"/>
        <v>105.5</v>
      </c>
      <c r="BB20" s="923">
        <f t="shared" si="33"/>
        <v>454.8</v>
      </c>
      <c r="BC20" s="915">
        <v>0.95</v>
      </c>
      <c r="BD20" s="923">
        <f t="shared" si="34"/>
        <v>331.8</v>
      </c>
      <c r="BE20" s="923">
        <f t="shared" si="35"/>
        <v>100.2</v>
      </c>
      <c r="BF20" s="923">
        <f t="shared" si="36"/>
        <v>432</v>
      </c>
      <c r="BG20" s="924">
        <f>'[3]свод (2024)'!$B$116</f>
        <v>0.99758349999999996</v>
      </c>
      <c r="BH20" s="923">
        <f t="shared" si="37"/>
        <v>331</v>
      </c>
      <c r="BI20" s="923">
        <f t="shared" si="38"/>
        <v>100</v>
      </c>
      <c r="BJ20" s="923">
        <f t="shared" si="39"/>
        <v>431</v>
      </c>
      <c r="BK20" s="925">
        <f t="shared" si="40"/>
        <v>-18.3</v>
      </c>
      <c r="BL20" s="925">
        <f t="shared" si="40"/>
        <v>-5.5</v>
      </c>
      <c r="BM20" s="925">
        <f t="shared" si="41"/>
        <v>-23.8</v>
      </c>
      <c r="BN20" s="925">
        <f t="shared" si="42"/>
        <v>0</v>
      </c>
      <c r="BO20" s="925">
        <f t="shared" si="43"/>
        <v>0</v>
      </c>
      <c r="BP20" s="926"/>
      <c r="BQ20" s="925">
        <f t="shared" si="44"/>
        <v>331</v>
      </c>
      <c r="BR20" s="925">
        <f t="shared" si="44"/>
        <v>100</v>
      </c>
      <c r="BS20" s="925">
        <f t="shared" si="45"/>
        <v>431</v>
      </c>
      <c r="BU20" s="928"/>
      <c r="BV20" s="917"/>
      <c r="BW20" s="928"/>
      <c r="BX20" s="928"/>
      <c r="BY20" s="928"/>
      <c r="BZ20" s="917"/>
      <c r="CA20" s="928"/>
      <c r="CB20" s="917"/>
      <c r="CC20" s="928"/>
      <c r="CD20" s="928"/>
      <c r="CE20" s="928"/>
      <c r="CF20" s="929"/>
      <c r="CG20" s="928"/>
      <c r="CH20" s="928"/>
      <c r="CI20" s="928"/>
      <c r="CJ20" s="925"/>
      <c r="CK20" s="925"/>
      <c r="CL20" s="925"/>
      <c r="CM20" s="925"/>
      <c r="CN20" s="925"/>
      <c r="CO20" s="925"/>
      <c r="CP20" s="925"/>
      <c r="CQ20" s="925"/>
      <c r="CR20" s="925"/>
      <c r="CS20" s="917"/>
      <c r="CT20" s="928"/>
      <c r="CU20" s="928"/>
      <c r="CV20" s="928"/>
      <c r="CX20" s="925"/>
      <c r="CY20" s="925"/>
      <c r="CZ20" s="925"/>
      <c r="DB20" s="925"/>
      <c r="DC20" s="925"/>
      <c r="DD20" s="925"/>
      <c r="DE20" s="925"/>
      <c r="DF20" s="925"/>
      <c r="DG20" s="925"/>
      <c r="DH20" s="925"/>
      <c r="DI20" s="925"/>
      <c r="DJ20" s="925"/>
      <c r="DK20" s="925"/>
      <c r="DL20" s="925"/>
      <c r="DM20" s="925"/>
      <c r="DN20" s="925"/>
      <c r="DO20" s="925"/>
      <c r="DP20" s="925"/>
      <c r="DQ20" s="924"/>
      <c r="DR20" s="925"/>
      <c r="DS20" s="925"/>
      <c r="DT20" s="925"/>
      <c r="DV20" s="925"/>
      <c r="DW20" s="925"/>
      <c r="DX20" s="925"/>
      <c r="DY20" s="925"/>
      <c r="DZ20" s="925"/>
      <c r="EA20" s="925"/>
      <c r="EB20" s="925"/>
      <c r="EC20" s="925"/>
      <c r="ED20" s="925"/>
      <c r="EE20" s="925"/>
      <c r="EF20" s="925"/>
      <c r="EG20" s="925"/>
      <c r="EH20" s="925"/>
      <c r="EI20" s="925"/>
      <c r="EJ20" s="925"/>
      <c r="EK20" s="925"/>
      <c r="EL20" s="925"/>
      <c r="EM20" s="925"/>
      <c r="EN20" s="925"/>
      <c r="EO20" s="925"/>
      <c r="EP20" s="925"/>
      <c r="EQ20" s="925"/>
      <c r="ER20" s="925"/>
      <c r="ES20" s="925"/>
      <c r="ET20" s="925"/>
      <c r="EV20" s="924"/>
      <c r="EW20" s="925"/>
      <c r="EX20" s="925"/>
      <c r="EY20" s="925"/>
    </row>
    <row r="21" spans="1:155" s="927" customFormat="1" ht="15.75" x14ac:dyDescent="0.25">
      <c r="A21" s="912" t="s">
        <v>359</v>
      </c>
      <c r="B21" s="913" t="s">
        <v>1383</v>
      </c>
      <c r="C21" s="914">
        <v>1</v>
      </c>
      <c r="D21" s="914">
        <v>22542</v>
      </c>
      <c r="E21" s="915">
        <v>1.0549999999999999</v>
      </c>
      <c r="F21" s="916">
        <f t="shared" si="0"/>
        <v>23782</v>
      </c>
      <c r="G21" s="915">
        <v>1.01</v>
      </c>
      <c r="H21" s="916">
        <f t="shared" si="1"/>
        <v>24020</v>
      </c>
      <c r="I21" s="917">
        <f t="shared" si="2"/>
        <v>24020</v>
      </c>
      <c r="J21" s="918">
        <f t="shared" si="3"/>
        <v>0</v>
      </c>
      <c r="K21" s="919"/>
      <c r="L21" s="917">
        <f t="shared" si="4"/>
        <v>0</v>
      </c>
      <c r="M21" s="918">
        <f t="shared" si="5"/>
        <v>0</v>
      </c>
      <c r="N21" s="919"/>
      <c r="O21" s="917">
        <f t="shared" si="6"/>
        <v>0</v>
      </c>
      <c r="P21" s="918">
        <f t="shared" si="7"/>
        <v>0</v>
      </c>
      <c r="Q21" s="919"/>
      <c r="R21" s="917">
        <f t="shared" si="8"/>
        <v>0</v>
      </c>
      <c r="S21" s="918">
        <f t="shared" si="9"/>
        <v>0</v>
      </c>
      <c r="T21" s="919"/>
      <c r="U21" s="917">
        <f t="shared" si="10"/>
        <v>0</v>
      </c>
      <c r="V21" s="918">
        <f t="shared" si="11"/>
        <v>0</v>
      </c>
      <c r="W21" s="919"/>
      <c r="X21" s="917">
        <f t="shared" si="12"/>
        <v>0</v>
      </c>
      <c r="Y21" s="918">
        <f t="shared" si="13"/>
        <v>0</v>
      </c>
      <c r="Z21" s="919"/>
      <c r="AA21" s="917">
        <f t="shared" si="14"/>
        <v>0</v>
      </c>
      <c r="AB21" s="918">
        <f t="shared" si="15"/>
        <v>0.29997000000000001</v>
      </c>
      <c r="AC21" s="919">
        <v>6762</v>
      </c>
      <c r="AD21" s="917">
        <f t="shared" si="16"/>
        <v>7205.28</v>
      </c>
      <c r="AE21" s="918">
        <f t="shared" si="17"/>
        <v>0</v>
      </c>
      <c r="AF21" s="919"/>
      <c r="AG21" s="917">
        <f t="shared" si="18"/>
        <v>0</v>
      </c>
      <c r="AH21" s="918">
        <f t="shared" si="19"/>
        <v>0</v>
      </c>
      <c r="AI21" s="919"/>
      <c r="AJ21" s="917">
        <f t="shared" si="20"/>
        <v>0</v>
      </c>
      <c r="AK21" s="918">
        <f t="shared" si="21"/>
        <v>0</v>
      </c>
      <c r="AL21" s="919"/>
      <c r="AM21" s="917">
        <f t="shared" si="22"/>
        <v>0</v>
      </c>
      <c r="AN21" s="920">
        <v>19242</v>
      </c>
      <c r="AO21" s="917">
        <f t="shared" si="23"/>
        <v>0</v>
      </c>
      <c r="AP21" s="920"/>
      <c r="AQ21" s="916">
        <f t="shared" si="24"/>
        <v>0</v>
      </c>
      <c r="AR21" s="917">
        <f t="shared" si="25"/>
        <v>31225.279999999999</v>
      </c>
      <c r="AS21" s="916">
        <v>12</v>
      </c>
      <c r="AT21" s="921">
        <f t="shared" si="26"/>
        <v>374703.35999999999</v>
      </c>
      <c r="AU21" s="920"/>
      <c r="AV21" s="922">
        <f t="shared" si="27"/>
        <v>3747.03</v>
      </c>
      <c r="AW21" s="921">
        <f t="shared" si="28"/>
        <v>378450.39</v>
      </c>
      <c r="AX21" s="921">
        <f t="shared" si="29"/>
        <v>114292.02</v>
      </c>
      <c r="AY21" s="921">
        <f t="shared" si="30"/>
        <v>492742.41</v>
      </c>
      <c r="AZ21" s="923">
        <f t="shared" si="31"/>
        <v>378.5</v>
      </c>
      <c r="BA21" s="923">
        <f t="shared" si="32"/>
        <v>114.3</v>
      </c>
      <c r="BB21" s="923">
        <f t="shared" si="33"/>
        <v>492.8</v>
      </c>
      <c r="BC21" s="915">
        <v>0.95</v>
      </c>
      <c r="BD21" s="923">
        <f t="shared" si="34"/>
        <v>359.6</v>
      </c>
      <c r="BE21" s="923">
        <f t="shared" si="35"/>
        <v>108.6</v>
      </c>
      <c r="BF21" s="923">
        <f t="shared" si="36"/>
        <v>468.2</v>
      </c>
      <c r="BG21" s="924">
        <f>'[3]свод (2024)'!$B$116</f>
        <v>0.99758349999999996</v>
      </c>
      <c r="BH21" s="923">
        <f t="shared" si="37"/>
        <v>358.7</v>
      </c>
      <c r="BI21" s="923">
        <f t="shared" si="38"/>
        <v>108.3</v>
      </c>
      <c r="BJ21" s="923">
        <f t="shared" si="39"/>
        <v>467</v>
      </c>
      <c r="BK21" s="925">
        <f t="shared" si="40"/>
        <v>-19.8</v>
      </c>
      <c r="BL21" s="925">
        <f t="shared" si="40"/>
        <v>-6</v>
      </c>
      <c r="BM21" s="925">
        <f t="shared" si="41"/>
        <v>-25.8</v>
      </c>
      <c r="BN21" s="925">
        <f t="shared" si="42"/>
        <v>0</v>
      </c>
      <c r="BO21" s="925">
        <f t="shared" si="43"/>
        <v>0</v>
      </c>
      <c r="BP21" s="926"/>
      <c r="BQ21" s="925">
        <f t="shared" si="44"/>
        <v>358.7</v>
      </c>
      <c r="BR21" s="925">
        <f t="shared" si="44"/>
        <v>108.3</v>
      </c>
      <c r="BS21" s="925">
        <f t="shared" si="45"/>
        <v>467</v>
      </c>
      <c r="BU21" s="928"/>
      <c r="BV21" s="917"/>
      <c r="BW21" s="928"/>
      <c r="BX21" s="928"/>
      <c r="BY21" s="928"/>
      <c r="BZ21" s="917"/>
      <c r="CA21" s="928"/>
      <c r="CB21" s="917"/>
      <c r="CC21" s="928"/>
      <c r="CD21" s="928"/>
      <c r="CE21" s="928"/>
      <c r="CF21" s="929"/>
      <c r="CG21" s="928"/>
      <c r="CH21" s="928"/>
      <c r="CI21" s="928"/>
      <c r="CJ21" s="925"/>
      <c r="CK21" s="925"/>
      <c r="CL21" s="925"/>
      <c r="CM21" s="925"/>
      <c r="CN21" s="925"/>
      <c r="CO21" s="925"/>
      <c r="CP21" s="925"/>
      <c r="CQ21" s="925"/>
      <c r="CR21" s="925"/>
      <c r="CS21" s="917"/>
      <c r="CT21" s="928"/>
      <c r="CU21" s="928"/>
      <c r="CV21" s="928"/>
      <c r="CX21" s="925"/>
      <c r="CY21" s="925"/>
      <c r="CZ21" s="925"/>
      <c r="DB21" s="925"/>
      <c r="DC21" s="925"/>
      <c r="DD21" s="925"/>
      <c r="DE21" s="925"/>
      <c r="DF21" s="925"/>
      <c r="DG21" s="925"/>
      <c r="DH21" s="925"/>
      <c r="DI21" s="925"/>
      <c r="DJ21" s="925"/>
      <c r="DK21" s="925"/>
      <c r="DL21" s="925"/>
      <c r="DM21" s="925"/>
      <c r="DN21" s="925"/>
      <c r="DO21" s="925"/>
      <c r="DP21" s="925"/>
      <c r="DQ21" s="924"/>
      <c r="DR21" s="925"/>
      <c r="DS21" s="925"/>
      <c r="DT21" s="925"/>
      <c r="DV21" s="925"/>
      <c r="DW21" s="925"/>
      <c r="DX21" s="925"/>
      <c r="DY21" s="925"/>
      <c r="DZ21" s="925"/>
      <c r="EA21" s="925"/>
      <c r="EB21" s="925"/>
      <c r="EC21" s="925"/>
      <c r="ED21" s="925"/>
      <c r="EE21" s="925"/>
      <c r="EF21" s="925"/>
      <c r="EG21" s="925"/>
      <c r="EH21" s="925"/>
      <c r="EI21" s="925"/>
      <c r="EJ21" s="925"/>
      <c r="EK21" s="925"/>
      <c r="EL21" s="925"/>
      <c r="EM21" s="925"/>
      <c r="EN21" s="925"/>
      <c r="EO21" s="925"/>
      <c r="EP21" s="925"/>
      <c r="EQ21" s="925"/>
      <c r="ER21" s="925"/>
      <c r="ES21" s="925"/>
      <c r="ET21" s="925"/>
      <c r="EV21" s="924"/>
      <c r="EW21" s="925"/>
      <c r="EX21" s="925"/>
      <c r="EY21" s="925"/>
    </row>
    <row r="22" spans="1:155" s="927" customFormat="1" ht="24" x14ac:dyDescent="0.25">
      <c r="A22" s="912" t="s">
        <v>359</v>
      </c>
      <c r="B22" s="913" t="s">
        <v>1384</v>
      </c>
      <c r="C22" s="914">
        <v>1</v>
      </c>
      <c r="D22" s="914">
        <v>22542</v>
      </c>
      <c r="E22" s="915">
        <v>1.0549999999999999</v>
      </c>
      <c r="F22" s="916">
        <f t="shared" si="0"/>
        <v>23782</v>
      </c>
      <c r="G22" s="915">
        <v>1.01</v>
      </c>
      <c r="H22" s="916">
        <f t="shared" si="1"/>
        <v>24020</v>
      </c>
      <c r="I22" s="917">
        <f t="shared" si="2"/>
        <v>24020</v>
      </c>
      <c r="J22" s="918">
        <f t="shared" si="3"/>
        <v>0</v>
      </c>
      <c r="K22" s="919"/>
      <c r="L22" s="917">
        <f t="shared" si="4"/>
        <v>0</v>
      </c>
      <c r="M22" s="918">
        <f t="shared" si="5"/>
        <v>0</v>
      </c>
      <c r="N22" s="919"/>
      <c r="O22" s="917">
        <f t="shared" si="6"/>
        <v>0</v>
      </c>
      <c r="P22" s="918">
        <f t="shared" si="7"/>
        <v>0</v>
      </c>
      <c r="Q22" s="988"/>
      <c r="R22" s="917">
        <f t="shared" si="8"/>
        <v>0</v>
      </c>
      <c r="S22" s="918">
        <f t="shared" si="9"/>
        <v>0</v>
      </c>
      <c r="T22" s="919"/>
      <c r="U22" s="917">
        <f t="shared" si="10"/>
        <v>0</v>
      </c>
      <c r="V22" s="918">
        <f t="shared" si="11"/>
        <v>0</v>
      </c>
      <c r="W22" s="919"/>
      <c r="X22" s="917">
        <f t="shared" si="12"/>
        <v>0</v>
      </c>
      <c r="Y22" s="918">
        <f t="shared" si="13"/>
        <v>0</v>
      </c>
      <c r="Z22" s="919"/>
      <c r="AA22" s="917">
        <f t="shared" si="14"/>
        <v>0</v>
      </c>
      <c r="AB22" s="918">
        <f t="shared" si="15"/>
        <v>0.2</v>
      </c>
      <c r="AC22" s="919">
        <v>4508.3999999999996</v>
      </c>
      <c r="AD22" s="917">
        <f t="shared" si="16"/>
        <v>4804</v>
      </c>
      <c r="AE22" s="918">
        <f t="shared" si="17"/>
        <v>0</v>
      </c>
      <c r="AF22" s="919"/>
      <c r="AG22" s="917">
        <f t="shared" si="18"/>
        <v>0</v>
      </c>
      <c r="AH22" s="918">
        <f t="shared" si="19"/>
        <v>0</v>
      </c>
      <c r="AI22" s="919"/>
      <c r="AJ22" s="917">
        <f t="shared" si="20"/>
        <v>0</v>
      </c>
      <c r="AK22" s="918">
        <f t="shared" si="21"/>
        <v>0</v>
      </c>
      <c r="AL22" s="919"/>
      <c r="AM22" s="917">
        <f t="shared" si="22"/>
        <v>0</v>
      </c>
      <c r="AN22" s="920">
        <v>19242</v>
      </c>
      <c r="AO22" s="917">
        <f t="shared" si="23"/>
        <v>0</v>
      </c>
      <c r="AP22" s="920"/>
      <c r="AQ22" s="916">
        <f t="shared" si="24"/>
        <v>0</v>
      </c>
      <c r="AR22" s="917">
        <f t="shared" si="25"/>
        <v>28824</v>
      </c>
      <c r="AS22" s="916">
        <v>12</v>
      </c>
      <c r="AT22" s="921">
        <f t="shared" si="26"/>
        <v>345888</v>
      </c>
      <c r="AU22" s="920"/>
      <c r="AV22" s="922">
        <f t="shared" si="27"/>
        <v>3458.88</v>
      </c>
      <c r="AW22" s="921">
        <f t="shared" si="28"/>
        <v>349346.88</v>
      </c>
      <c r="AX22" s="921">
        <f t="shared" si="29"/>
        <v>105502.76</v>
      </c>
      <c r="AY22" s="921">
        <f t="shared" si="30"/>
        <v>454849.64</v>
      </c>
      <c r="AZ22" s="923">
        <f t="shared" si="31"/>
        <v>349.3</v>
      </c>
      <c r="BA22" s="923">
        <f t="shared" si="32"/>
        <v>105.5</v>
      </c>
      <c r="BB22" s="923">
        <f t="shared" si="33"/>
        <v>454.8</v>
      </c>
      <c r="BC22" s="915">
        <v>0.95</v>
      </c>
      <c r="BD22" s="923">
        <f t="shared" si="34"/>
        <v>331.8</v>
      </c>
      <c r="BE22" s="923">
        <f t="shared" si="35"/>
        <v>100.2</v>
      </c>
      <c r="BF22" s="923">
        <f t="shared" si="36"/>
        <v>432</v>
      </c>
      <c r="BG22" s="924">
        <f>'[3]свод (2024)'!$B$116</f>
        <v>0.99758349999999996</v>
      </c>
      <c r="BH22" s="923">
        <f t="shared" si="37"/>
        <v>331</v>
      </c>
      <c r="BI22" s="923">
        <f t="shared" si="38"/>
        <v>100</v>
      </c>
      <c r="BJ22" s="923">
        <f t="shared" si="39"/>
        <v>431</v>
      </c>
      <c r="BK22" s="925">
        <f t="shared" si="40"/>
        <v>-18.3</v>
      </c>
      <c r="BL22" s="925">
        <f t="shared" si="40"/>
        <v>-5.5</v>
      </c>
      <c r="BM22" s="925">
        <f t="shared" si="41"/>
        <v>-23.8</v>
      </c>
      <c r="BN22" s="925">
        <f t="shared" si="42"/>
        <v>0</v>
      </c>
      <c r="BO22" s="925">
        <f t="shared" si="43"/>
        <v>0</v>
      </c>
      <c r="BP22" s="926"/>
      <c r="BQ22" s="925">
        <f t="shared" si="44"/>
        <v>331</v>
      </c>
      <c r="BR22" s="925">
        <f t="shared" si="44"/>
        <v>100</v>
      </c>
      <c r="BS22" s="925">
        <f t="shared" si="45"/>
        <v>431</v>
      </c>
      <c r="BU22" s="928"/>
      <c r="BV22" s="917"/>
      <c r="BW22" s="928"/>
      <c r="BX22" s="928"/>
      <c r="BY22" s="928"/>
      <c r="BZ22" s="917"/>
      <c r="CA22" s="928"/>
      <c r="CB22" s="917"/>
      <c r="CC22" s="928"/>
      <c r="CD22" s="928"/>
      <c r="CE22" s="928"/>
      <c r="CF22" s="929"/>
      <c r="CG22" s="928"/>
      <c r="CH22" s="928"/>
      <c r="CI22" s="928"/>
      <c r="CJ22" s="925"/>
      <c r="CK22" s="925"/>
      <c r="CL22" s="925"/>
      <c r="CM22" s="925"/>
      <c r="CN22" s="925"/>
      <c r="CO22" s="925"/>
      <c r="CP22" s="925"/>
      <c r="CQ22" s="925"/>
      <c r="CR22" s="925"/>
      <c r="CS22" s="917"/>
      <c r="CT22" s="928"/>
      <c r="CU22" s="928"/>
      <c r="CV22" s="928"/>
      <c r="CX22" s="925"/>
      <c r="CY22" s="925"/>
      <c r="CZ22" s="925"/>
      <c r="DB22" s="925"/>
      <c r="DC22" s="925"/>
      <c r="DD22" s="925"/>
      <c r="DE22" s="925"/>
      <c r="DF22" s="925"/>
      <c r="DG22" s="925"/>
      <c r="DH22" s="925"/>
      <c r="DI22" s="925"/>
      <c r="DJ22" s="925"/>
      <c r="DK22" s="925"/>
      <c r="DL22" s="925"/>
      <c r="DM22" s="925"/>
      <c r="DN22" s="925"/>
      <c r="DO22" s="925"/>
      <c r="DP22" s="925"/>
      <c r="DQ22" s="924"/>
      <c r="DR22" s="925"/>
      <c r="DS22" s="925"/>
      <c r="DT22" s="925"/>
      <c r="DV22" s="925"/>
      <c r="DW22" s="925"/>
      <c r="DX22" s="925"/>
      <c r="DY22" s="925"/>
      <c r="DZ22" s="925"/>
      <c r="EA22" s="925"/>
      <c r="EB22" s="925"/>
      <c r="EC22" s="925"/>
      <c r="ED22" s="925"/>
      <c r="EE22" s="925"/>
      <c r="EF22" s="925"/>
      <c r="EG22" s="925"/>
      <c r="EH22" s="925"/>
      <c r="EI22" s="925"/>
      <c r="EJ22" s="925"/>
      <c r="EK22" s="925"/>
      <c r="EL22" s="925"/>
      <c r="EM22" s="925"/>
      <c r="EN22" s="925"/>
      <c r="EO22" s="925"/>
      <c r="EP22" s="925"/>
      <c r="EQ22" s="925"/>
      <c r="ER22" s="925"/>
      <c r="ES22" s="925"/>
      <c r="ET22" s="925"/>
      <c r="EV22" s="924"/>
      <c r="EW22" s="925"/>
      <c r="EX22" s="925"/>
      <c r="EY22" s="925"/>
    </row>
    <row r="23" spans="1:155" s="927" customFormat="1" ht="15.75" x14ac:dyDescent="0.25">
      <c r="A23" s="912" t="s">
        <v>359</v>
      </c>
      <c r="B23" s="913" t="s">
        <v>495</v>
      </c>
      <c r="C23" s="914">
        <v>2</v>
      </c>
      <c r="D23" s="914">
        <v>7388</v>
      </c>
      <c r="E23" s="915">
        <v>1.0549999999999999</v>
      </c>
      <c r="F23" s="916">
        <f t="shared" si="0"/>
        <v>7795</v>
      </c>
      <c r="G23" s="915">
        <v>1.01</v>
      </c>
      <c r="H23" s="916">
        <f t="shared" si="1"/>
        <v>7873</v>
      </c>
      <c r="I23" s="917">
        <f t="shared" si="2"/>
        <v>15746</v>
      </c>
      <c r="J23" s="918">
        <f t="shared" si="3"/>
        <v>0</v>
      </c>
      <c r="K23" s="919"/>
      <c r="L23" s="917">
        <f t="shared" si="4"/>
        <v>0</v>
      </c>
      <c r="M23" s="918">
        <f t="shared" si="5"/>
        <v>0</v>
      </c>
      <c r="N23" s="919"/>
      <c r="O23" s="917">
        <f t="shared" si="6"/>
        <v>0</v>
      </c>
      <c r="P23" s="918">
        <f t="shared" si="7"/>
        <v>0</v>
      </c>
      <c r="Q23" s="919"/>
      <c r="R23" s="917">
        <f t="shared" si="8"/>
        <v>0</v>
      </c>
      <c r="S23" s="918">
        <f t="shared" si="9"/>
        <v>0</v>
      </c>
      <c r="T23" s="919"/>
      <c r="U23" s="917">
        <f t="shared" si="10"/>
        <v>0</v>
      </c>
      <c r="V23" s="918">
        <f t="shared" si="11"/>
        <v>0</v>
      </c>
      <c r="W23" s="919"/>
      <c r="X23" s="917">
        <f t="shared" si="12"/>
        <v>0</v>
      </c>
      <c r="Y23" s="918">
        <f t="shared" si="13"/>
        <v>1.98</v>
      </c>
      <c r="Z23" s="919">
        <v>29256.48</v>
      </c>
      <c r="AA23" s="917">
        <f t="shared" si="14"/>
        <v>31177.08</v>
      </c>
      <c r="AB23" s="918">
        <f t="shared" si="15"/>
        <v>0.3</v>
      </c>
      <c r="AC23" s="919">
        <v>4432.8</v>
      </c>
      <c r="AD23" s="917">
        <f t="shared" si="16"/>
        <v>4723.8</v>
      </c>
      <c r="AE23" s="918">
        <f t="shared" si="17"/>
        <v>0</v>
      </c>
      <c r="AF23" s="919"/>
      <c r="AG23" s="917">
        <f t="shared" si="18"/>
        <v>0</v>
      </c>
      <c r="AH23" s="918">
        <f t="shared" si="19"/>
        <v>0</v>
      </c>
      <c r="AI23" s="919"/>
      <c r="AJ23" s="917">
        <f t="shared" si="20"/>
        <v>0</v>
      </c>
      <c r="AK23" s="918">
        <f t="shared" si="21"/>
        <v>0</v>
      </c>
      <c r="AL23" s="919"/>
      <c r="AM23" s="917">
        <f t="shared" si="22"/>
        <v>0</v>
      </c>
      <c r="AN23" s="920">
        <v>19242</v>
      </c>
      <c r="AO23" s="917">
        <f t="shared" si="23"/>
        <v>0</v>
      </c>
      <c r="AP23" s="920"/>
      <c r="AQ23" s="916">
        <f t="shared" si="24"/>
        <v>0</v>
      </c>
      <c r="AR23" s="917">
        <f t="shared" si="25"/>
        <v>51646.879999999997</v>
      </c>
      <c r="AS23" s="916">
        <v>12</v>
      </c>
      <c r="AT23" s="921">
        <f t="shared" si="26"/>
        <v>619762.56000000006</v>
      </c>
      <c r="AU23" s="920"/>
      <c r="AV23" s="922">
        <f t="shared" si="27"/>
        <v>6197.63</v>
      </c>
      <c r="AW23" s="921">
        <f t="shared" si="28"/>
        <v>625960.18999999994</v>
      </c>
      <c r="AX23" s="921">
        <f t="shared" si="29"/>
        <v>189039.98</v>
      </c>
      <c r="AY23" s="921">
        <f t="shared" si="30"/>
        <v>815000.17</v>
      </c>
      <c r="AZ23" s="923">
        <f t="shared" si="31"/>
        <v>626</v>
      </c>
      <c r="BA23" s="923">
        <f t="shared" si="32"/>
        <v>189.1</v>
      </c>
      <c r="BB23" s="923">
        <f t="shared" si="33"/>
        <v>815.1</v>
      </c>
      <c r="BC23" s="915">
        <v>0.95</v>
      </c>
      <c r="BD23" s="923">
        <f t="shared" si="34"/>
        <v>594.70000000000005</v>
      </c>
      <c r="BE23" s="923">
        <f t="shared" si="35"/>
        <v>179.6</v>
      </c>
      <c r="BF23" s="923">
        <f t="shared" si="36"/>
        <v>774.3</v>
      </c>
      <c r="BG23" s="924">
        <f>'[3]свод (2024)'!$B$116</f>
        <v>0.99758349999999996</v>
      </c>
      <c r="BH23" s="923">
        <f t="shared" si="37"/>
        <v>593.29999999999995</v>
      </c>
      <c r="BI23" s="923">
        <f t="shared" si="38"/>
        <v>179.2</v>
      </c>
      <c r="BJ23" s="923">
        <f t="shared" si="39"/>
        <v>772.5</v>
      </c>
      <c r="BK23" s="925">
        <f t="shared" si="40"/>
        <v>-32.700000000000003</v>
      </c>
      <c r="BL23" s="925">
        <f t="shared" si="40"/>
        <v>-9.9</v>
      </c>
      <c r="BM23" s="925">
        <f t="shared" si="41"/>
        <v>-42.6</v>
      </c>
      <c r="BN23" s="925">
        <f t="shared" si="42"/>
        <v>0</v>
      </c>
      <c r="BO23" s="925">
        <f t="shared" si="43"/>
        <v>0</v>
      </c>
      <c r="BP23" s="926"/>
      <c r="BQ23" s="925">
        <f t="shared" si="44"/>
        <v>593.29999999999995</v>
      </c>
      <c r="BR23" s="925">
        <f t="shared" si="44"/>
        <v>179.2</v>
      </c>
      <c r="BS23" s="925">
        <f t="shared" si="45"/>
        <v>772.5</v>
      </c>
      <c r="BU23" s="928"/>
      <c r="BV23" s="917"/>
      <c r="BW23" s="928"/>
      <c r="BX23" s="928"/>
      <c r="BY23" s="928"/>
      <c r="BZ23" s="917"/>
      <c r="CA23" s="928"/>
      <c r="CB23" s="917"/>
      <c r="CC23" s="928"/>
      <c r="CD23" s="928"/>
      <c r="CE23" s="928"/>
      <c r="CF23" s="929"/>
      <c r="CG23" s="928"/>
      <c r="CH23" s="928"/>
      <c r="CI23" s="928"/>
      <c r="CJ23" s="925"/>
      <c r="CK23" s="925"/>
      <c r="CL23" s="925"/>
      <c r="CM23" s="925"/>
      <c r="CN23" s="925"/>
      <c r="CO23" s="925"/>
      <c r="CP23" s="925"/>
      <c r="CQ23" s="925"/>
      <c r="CR23" s="925"/>
      <c r="CS23" s="917"/>
      <c r="CT23" s="928"/>
      <c r="CU23" s="928"/>
      <c r="CV23" s="928"/>
      <c r="CX23" s="925"/>
      <c r="CY23" s="925"/>
      <c r="CZ23" s="925"/>
      <c r="DB23" s="925"/>
      <c r="DC23" s="925"/>
      <c r="DD23" s="925"/>
      <c r="DE23" s="925"/>
      <c r="DF23" s="925"/>
      <c r="DG23" s="925"/>
      <c r="DH23" s="925"/>
      <c r="DI23" s="925"/>
      <c r="DJ23" s="925"/>
      <c r="DK23" s="925"/>
      <c r="DL23" s="925"/>
      <c r="DM23" s="925"/>
      <c r="DN23" s="925"/>
      <c r="DO23" s="925"/>
      <c r="DP23" s="925"/>
      <c r="DQ23" s="924"/>
      <c r="DR23" s="925"/>
      <c r="DS23" s="925"/>
      <c r="DT23" s="925"/>
      <c r="DV23" s="925"/>
      <c r="DW23" s="925"/>
      <c r="DX23" s="925"/>
      <c r="DY23" s="925"/>
      <c r="DZ23" s="925"/>
      <c r="EA23" s="925"/>
      <c r="EB23" s="925"/>
      <c r="EC23" s="925"/>
      <c r="ED23" s="925"/>
      <c r="EE23" s="925"/>
      <c r="EF23" s="925"/>
      <c r="EG23" s="925"/>
      <c r="EH23" s="925"/>
      <c r="EI23" s="925"/>
      <c r="EJ23" s="925"/>
      <c r="EK23" s="925"/>
      <c r="EL23" s="925"/>
      <c r="EM23" s="925"/>
      <c r="EN23" s="925"/>
      <c r="EO23" s="925"/>
      <c r="EP23" s="925"/>
      <c r="EQ23" s="925"/>
      <c r="ER23" s="925"/>
      <c r="ES23" s="925"/>
      <c r="ET23" s="925"/>
      <c r="EV23" s="924"/>
      <c r="EW23" s="925"/>
      <c r="EX23" s="925"/>
      <c r="EY23" s="925"/>
    </row>
    <row r="24" spans="1:155" s="927" customFormat="1" ht="15.75" x14ac:dyDescent="0.25">
      <c r="A24" s="912" t="s">
        <v>359</v>
      </c>
      <c r="B24" s="913" t="s">
        <v>1385</v>
      </c>
      <c r="C24" s="914">
        <v>1</v>
      </c>
      <c r="D24" s="914">
        <v>7755</v>
      </c>
      <c r="E24" s="915">
        <v>1.0549999999999999</v>
      </c>
      <c r="F24" s="916">
        <f t="shared" si="0"/>
        <v>8182</v>
      </c>
      <c r="G24" s="915">
        <v>1.01</v>
      </c>
      <c r="H24" s="916">
        <f t="shared" si="1"/>
        <v>8264</v>
      </c>
      <c r="I24" s="917">
        <f t="shared" si="2"/>
        <v>8264</v>
      </c>
      <c r="J24" s="918">
        <f t="shared" si="3"/>
        <v>0</v>
      </c>
      <c r="K24" s="919"/>
      <c r="L24" s="917">
        <f t="shared" si="4"/>
        <v>0</v>
      </c>
      <c r="M24" s="918">
        <f t="shared" si="5"/>
        <v>0</v>
      </c>
      <c r="N24" s="919"/>
      <c r="O24" s="917">
        <f t="shared" si="6"/>
        <v>0</v>
      </c>
      <c r="P24" s="918">
        <f t="shared" si="7"/>
        <v>0</v>
      </c>
      <c r="Q24" s="919"/>
      <c r="R24" s="917">
        <f t="shared" si="8"/>
        <v>0</v>
      </c>
      <c r="S24" s="918">
        <f t="shared" si="9"/>
        <v>0</v>
      </c>
      <c r="T24" s="919"/>
      <c r="U24" s="917">
        <f t="shared" si="10"/>
        <v>0</v>
      </c>
      <c r="V24" s="918">
        <f t="shared" si="11"/>
        <v>0</v>
      </c>
      <c r="W24" s="919"/>
      <c r="X24" s="917">
        <f t="shared" si="12"/>
        <v>0</v>
      </c>
      <c r="Y24" s="918">
        <f t="shared" si="13"/>
        <v>1.98</v>
      </c>
      <c r="Z24" s="919">
        <v>15354.9</v>
      </c>
      <c r="AA24" s="917">
        <f t="shared" si="14"/>
        <v>16362.72</v>
      </c>
      <c r="AB24" s="918">
        <f t="shared" si="15"/>
        <v>0.3</v>
      </c>
      <c r="AC24" s="919">
        <v>2326.5</v>
      </c>
      <c r="AD24" s="917">
        <f t="shared" si="16"/>
        <v>2479.1999999999998</v>
      </c>
      <c r="AE24" s="918">
        <f t="shared" si="17"/>
        <v>0</v>
      </c>
      <c r="AF24" s="919"/>
      <c r="AG24" s="917">
        <f t="shared" si="18"/>
        <v>0</v>
      </c>
      <c r="AH24" s="918">
        <f t="shared" si="19"/>
        <v>0</v>
      </c>
      <c r="AI24" s="919"/>
      <c r="AJ24" s="917">
        <f t="shared" si="20"/>
        <v>0</v>
      </c>
      <c r="AK24" s="918">
        <f t="shared" si="21"/>
        <v>0</v>
      </c>
      <c r="AL24" s="919"/>
      <c r="AM24" s="917">
        <f t="shared" si="22"/>
        <v>0</v>
      </c>
      <c r="AN24" s="920">
        <v>19242</v>
      </c>
      <c r="AO24" s="917">
        <f t="shared" si="23"/>
        <v>0</v>
      </c>
      <c r="AP24" s="920"/>
      <c r="AQ24" s="916">
        <f t="shared" si="24"/>
        <v>0</v>
      </c>
      <c r="AR24" s="917">
        <f t="shared" si="25"/>
        <v>27105.919999999998</v>
      </c>
      <c r="AS24" s="916">
        <v>12</v>
      </c>
      <c r="AT24" s="921">
        <f t="shared" si="26"/>
        <v>325271.03999999998</v>
      </c>
      <c r="AU24" s="920"/>
      <c r="AV24" s="922">
        <f t="shared" si="27"/>
        <v>3252.71</v>
      </c>
      <c r="AW24" s="921">
        <f t="shared" si="28"/>
        <v>328523.75</v>
      </c>
      <c r="AX24" s="921">
        <f t="shared" si="29"/>
        <v>99214.17</v>
      </c>
      <c r="AY24" s="921">
        <f t="shared" si="30"/>
        <v>427737.92</v>
      </c>
      <c r="AZ24" s="923">
        <f t="shared" si="31"/>
        <v>328.5</v>
      </c>
      <c r="BA24" s="923">
        <f t="shared" si="32"/>
        <v>99.2</v>
      </c>
      <c r="BB24" s="923">
        <f t="shared" si="33"/>
        <v>427.7</v>
      </c>
      <c r="BC24" s="915">
        <v>0.95</v>
      </c>
      <c r="BD24" s="923">
        <f t="shared" si="34"/>
        <v>312.10000000000002</v>
      </c>
      <c r="BE24" s="923">
        <f t="shared" si="35"/>
        <v>94.3</v>
      </c>
      <c r="BF24" s="923">
        <f t="shared" si="36"/>
        <v>406.4</v>
      </c>
      <c r="BG24" s="924">
        <f>'[3]свод (2024)'!$B$116</f>
        <v>0.99758349999999996</v>
      </c>
      <c r="BH24" s="923">
        <f t="shared" si="37"/>
        <v>311.3</v>
      </c>
      <c r="BI24" s="923">
        <f t="shared" si="38"/>
        <v>94</v>
      </c>
      <c r="BJ24" s="923">
        <f t="shared" si="39"/>
        <v>405.3</v>
      </c>
      <c r="BK24" s="925">
        <f t="shared" si="40"/>
        <v>-17.2</v>
      </c>
      <c r="BL24" s="925">
        <f t="shared" si="40"/>
        <v>-5.2</v>
      </c>
      <c r="BM24" s="925">
        <f t="shared" si="41"/>
        <v>-22.4</v>
      </c>
      <c r="BN24" s="925">
        <f t="shared" si="42"/>
        <v>0</v>
      </c>
      <c r="BO24" s="925">
        <f t="shared" si="43"/>
        <v>0</v>
      </c>
      <c r="BP24" s="926"/>
      <c r="BQ24" s="925">
        <f t="shared" si="44"/>
        <v>311.3</v>
      </c>
      <c r="BR24" s="925">
        <f t="shared" si="44"/>
        <v>94</v>
      </c>
      <c r="BS24" s="925">
        <f t="shared" si="45"/>
        <v>405.3</v>
      </c>
      <c r="BU24" s="928"/>
      <c r="BV24" s="917"/>
      <c r="BW24" s="928"/>
      <c r="BX24" s="928"/>
      <c r="BY24" s="928"/>
      <c r="BZ24" s="917"/>
      <c r="CA24" s="928"/>
      <c r="CB24" s="917"/>
      <c r="CC24" s="928"/>
      <c r="CD24" s="928"/>
      <c r="CE24" s="928"/>
      <c r="CF24" s="929"/>
      <c r="CG24" s="928"/>
      <c r="CH24" s="928"/>
      <c r="CI24" s="928"/>
      <c r="CJ24" s="925"/>
      <c r="CK24" s="925"/>
      <c r="CL24" s="925"/>
      <c r="CM24" s="925"/>
      <c r="CN24" s="925"/>
      <c r="CO24" s="925"/>
      <c r="CP24" s="925"/>
      <c r="CQ24" s="925"/>
      <c r="CR24" s="925"/>
      <c r="CS24" s="917"/>
      <c r="CT24" s="928"/>
      <c r="CU24" s="928"/>
      <c r="CV24" s="928"/>
      <c r="CX24" s="925"/>
      <c r="CY24" s="925"/>
      <c r="CZ24" s="925"/>
      <c r="DB24" s="925"/>
      <c r="DC24" s="925"/>
      <c r="DD24" s="925"/>
      <c r="DE24" s="925"/>
      <c r="DF24" s="925"/>
      <c r="DG24" s="925"/>
      <c r="DH24" s="925"/>
      <c r="DI24" s="925"/>
      <c r="DJ24" s="925"/>
      <c r="DK24" s="925"/>
      <c r="DL24" s="925"/>
      <c r="DM24" s="925"/>
      <c r="DN24" s="925"/>
      <c r="DO24" s="925"/>
      <c r="DP24" s="925"/>
      <c r="DQ24" s="924"/>
      <c r="DR24" s="925"/>
      <c r="DS24" s="925"/>
      <c r="DT24" s="925"/>
      <c r="DV24" s="925"/>
      <c r="DW24" s="925"/>
      <c r="DX24" s="925"/>
      <c r="DY24" s="925"/>
      <c r="DZ24" s="925"/>
      <c r="EA24" s="925"/>
      <c r="EB24" s="925"/>
      <c r="EC24" s="925"/>
      <c r="ED24" s="925"/>
      <c r="EE24" s="925"/>
      <c r="EF24" s="925"/>
      <c r="EG24" s="925"/>
      <c r="EH24" s="925"/>
      <c r="EI24" s="925"/>
      <c r="EJ24" s="925"/>
      <c r="EK24" s="925"/>
      <c r="EL24" s="925"/>
      <c r="EM24" s="925"/>
      <c r="EN24" s="925"/>
      <c r="EO24" s="925"/>
      <c r="EP24" s="925"/>
      <c r="EQ24" s="925"/>
      <c r="ER24" s="925"/>
      <c r="ES24" s="925"/>
      <c r="ET24" s="925"/>
      <c r="EV24" s="924"/>
      <c r="EW24" s="925"/>
      <c r="EX24" s="925"/>
      <c r="EY24" s="925"/>
    </row>
    <row r="25" spans="1:155" s="927" customFormat="1" ht="15.75" x14ac:dyDescent="0.25">
      <c r="A25" s="912" t="s">
        <v>359</v>
      </c>
      <c r="B25" s="913" t="s">
        <v>628</v>
      </c>
      <c r="C25" s="914">
        <v>0.5</v>
      </c>
      <c r="D25" s="914">
        <v>6707</v>
      </c>
      <c r="E25" s="915">
        <v>1.0549999999999999</v>
      </c>
      <c r="F25" s="916">
        <f t="shared" si="0"/>
        <v>7076</v>
      </c>
      <c r="G25" s="915">
        <v>1.01</v>
      </c>
      <c r="H25" s="916">
        <f t="shared" si="1"/>
        <v>7147</v>
      </c>
      <c r="I25" s="917">
        <f t="shared" si="2"/>
        <v>3573.5</v>
      </c>
      <c r="J25" s="918">
        <f t="shared" si="3"/>
        <v>0</v>
      </c>
      <c r="K25" s="919"/>
      <c r="L25" s="917">
        <f t="shared" si="4"/>
        <v>0</v>
      </c>
      <c r="M25" s="918">
        <f t="shared" si="5"/>
        <v>0</v>
      </c>
      <c r="N25" s="919"/>
      <c r="O25" s="917">
        <f t="shared" si="6"/>
        <v>0</v>
      </c>
      <c r="P25" s="918">
        <f t="shared" si="7"/>
        <v>0</v>
      </c>
      <c r="Q25" s="919"/>
      <c r="R25" s="917">
        <f t="shared" si="8"/>
        <v>0</v>
      </c>
      <c r="S25" s="918">
        <f t="shared" si="9"/>
        <v>0</v>
      </c>
      <c r="T25" s="919"/>
      <c r="U25" s="917">
        <f t="shared" si="10"/>
        <v>0</v>
      </c>
      <c r="V25" s="918">
        <f t="shared" si="11"/>
        <v>0</v>
      </c>
      <c r="W25" s="919"/>
      <c r="X25" s="917">
        <f t="shared" si="12"/>
        <v>0</v>
      </c>
      <c r="Y25" s="918">
        <f t="shared" si="13"/>
        <v>1.98</v>
      </c>
      <c r="Z25" s="919">
        <v>6639.93</v>
      </c>
      <c r="AA25" s="917">
        <f t="shared" si="14"/>
        <v>7075.53</v>
      </c>
      <c r="AB25" s="918">
        <f t="shared" si="15"/>
        <v>0.3</v>
      </c>
      <c r="AC25" s="919">
        <v>1006.05</v>
      </c>
      <c r="AD25" s="917">
        <f t="shared" si="16"/>
        <v>1072.05</v>
      </c>
      <c r="AE25" s="918">
        <f t="shared" si="17"/>
        <v>0</v>
      </c>
      <c r="AF25" s="919"/>
      <c r="AG25" s="917">
        <f t="shared" si="18"/>
        <v>0</v>
      </c>
      <c r="AH25" s="918">
        <f t="shared" si="19"/>
        <v>0</v>
      </c>
      <c r="AI25" s="919"/>
      <c r="AJ25" s="917">
        <f t="shared" si="20"/>
        <v>0</v>
      </c>
      <c r="AK25" s="918">
        <f t="shared" si="21"/>
        <v>0</v>
      </c>
      <c r="AL25" s="919"/>
      <c r="AM25" s="917">
        <f t="shared" si="22"/>
        <v>0</v>
      </c>
      <c r="AN25" s="920">
        <v>19242</v>
      </c>
      <c r="AO25" s="917">
        <f t="shared" si="23"/>
        <v>0</v>
      </c>
      <c r="AP25" s="920"/>
      <c r="AQ25" s="916">
        <f t="shared" si="24"/>
        <v>0</v>
      </c>
      <c r="AR25" s="917">
        <f t="shared" si="25"/>
        <v>11721.08</v>
      </c>
      <c r="AS25" s="916">
        <v>12</v>
      </c>
      <c r="AT25" s="921">
        <f t="shared" si="26"/>
        <v>140652.96</v>
      </c>
      <c r="AU25" s="920"/>
      <c r="AV25" s="922">
        <f t="shared" si="27"/>
        <v>1406.53</v>
      </c>
      <c r="AW25" s="921">
        <f t="shared" si="28"/>
        <v>142059.49</v>
      </c>
      <c r="AX25" s="921">
        <f t="shared" si="29"/>
        <v>42901.97</v>
      </c>
      <c r="AY25" s="921">
        <f t="shared" si="30"/>
        <v>184961.46</v>
      </c>
      <c r="AZ25" s="923">
        <f t="shared" si="31"/>
        <v>142.1</v>
      </c>
      <c r="BA25" s="923">
        <f t="shared" si="32"/>
        <v>42.9</v>
      </c>
      <c r="BB25" s="923">
        <f t="shared" si="33"/>
        <v>185</v>
      </c>
      <c r="BC25" s="915">
        <v>0.95</v>
      </c>
      <c r="BD25" s="923">
        <f t="shared" si="34"/>
        <v>135</v>
      </c>
      <c r="BE25" s="923">
        <f t="shared" si="35"/>
        <v>40.799999999999997</v>
      </c>
      <c r="BF25" s="923">
        <f t="shared" si="36"/>
        <v>175.8</v>
      </c>
      <c r="BG25" s="924">
        <f>'[3]свод (2024)'!$B$116</f>
        <v>0.99758349999999996</v>
      </c>
      <c r="BH25" s="923">
        <f t="shared" si="37"/>
        <v>134.69999999999999</v>
      </c>
      <c r="BI25" s="923">
        <f t="shared" si="38"/>
        <v>40.700000000000003</v>
      </c>
      <c r="BJ25" s="923">
        <f t="shared" si="39"/>
        <v>175.4</v>
      </c>
      <c r="BK25" s="925">
        <f t="shared" si="40"/>
        <v>-7.4</v>
      </c>
      <c r="BL25" s="925">
        <f t="shared" si="40"/>
        <v>-2.2000000000000002</v>
      </c>
      <c r="BM25" s="925">
        <f t="shared" si="41"/>
        <v>-9.6</v>
      </c>
      <c r="BN25" s="925">
        <f t="shared" si="42"/>
        <v>0</v>
      </c>
      <c r="BO25" s="925">
        <f t="shared" si="43"/>
        <v>0</v>
      </c>
      <c r="BP25" s="926"/>
      <c r="BQ25" s="925">
        <f t="shared" si="44"/>
        <v>134.69999999999999</v>
      </c>
      <c r="BR25" s="925">
        <f t="shared" si="44"/>
        <v>40.700000000000003</v>
      </c>
      <c r="BS25" s="925">
        <f t="shared" si="45"/>
        <v>175.4</v>
      </c>
      <c r="BU25" s="928"/>
      <c r="BV25" s="917"/>
      <c r="BW25" s="928"/>
      <c r="BX25" s="928"/>
      <c r="BY25" s="928"/>
      <c r="BZ25" s="917"/>
      <c r="CA25" s="928"/>
      <c r="CB25" s="917"/>
      <c r="CC25" s="928"/>
      <c r="CD25" s="928"/>
      <c r="CE25" s="928"/>
      <c r="CF25" s="929"/>
      <c r="CG25" s="928"/>
      <c r="CH25" s="928"/>
      <c r="CI25" s="928"/>
      <c r="CJ25" s="925"/>
      <c r="CK25" s="925"/>
      <c r="CL25" s="925"/>
      <c r="CM25" s="925"/>
      <c r="CN25" s="925"/>
      <c r="CO25" s="925"/>
      <c r="CP25" s="925"/>
      <c r="CQ25" s="925"/>
      <c r="CR25" s="925"/>
      <c r="CS25" s="917"/>
      <c r="CT25" s="928"/>
      <c r="CU25" s="928"/>
      <c r="CV25" s="928"/>
      <c r="CX25" s="925"/>
      <c r="CY25" s="925"/>
      <c r="CZ25" s="925"/>
      <c r="DB25" s="925"/>
      <c r="DC25" s="925"/>
      <c r="DD25" s="925"/>
      <c r="DE25" s="925"/>
      <c r="DF25" s="925"/>
      <c r="DG25" s="925"/>
      <c r="DH25" s="925"/>
      <c r="DI25" s="925"/>
      <c r="DJ25" s="925"/>
      <c r="DK25" s="925"/>
      <c r="DL25" s="925"/>
      <c r="DM25" s="925"/>
      <c r="DN25" s="925"/>
      <c r="DO25" s="925"/>
      <c r="DP25" s="925"/>
      <c r="DQ25" s="924"/>
      <c r="DR25" s="925"/>
      <c r="DS25" s="925"/>
      <c r="DT25" s="925"/>
      <c r="DV25" s="925"/>
      <c r="DW25" s="925"/>
      <c r="DX25" s="925"/>
      <c r="DY25" s="925"/>
      <c r="DZ25" s="925"/>
      <c r="EA25" s="925"/>
      <c r="EB25" s="925"/>
      <c r="EC25" s="925"/>
      <c r="ED25" s="925"/>
      <c r="EE25" s="925"/>
      <c r="EF25" s="925"/>
      <c r="EG25" s="925"/>
      <c r="EH25" s="925"/>
      <c r="EI25" s="925"/>
      <c r="EJ25" s="925"/>
      <c r="EK25" s="925"/>
      <c r="EL25" s="925"/>
      <c r="EM25" s="925"/>
      <c r="EN25" s="925"/>
      <c r="EO25" s="925"/>
      <c r="EP25" s="925"/>
      <c r="EQ25" s="925"/>
      <c r="ER25" s="925"/>
      <c r="ES25" s="925"/>
      <c r="ET25" s="925"/>
      <c r="EV25" s="924"/>
      <c r="EW25" s="925"/>
      <c r="EX25" s="925"/>
      <c r="EY25" s="925"/>
    </row>
    <row r="26" spans="1:155" s="927" customFormat="1" ht="15.75" x14ac:dyDescent="0.25">
      <c r="A26" s="912" t="s">
        <v>359</v>
      </c>
      <c r="B26" s="913" t="s">
        <v>629</v>
      </c>
      <c r="C26" s="914">
        <v>1</v>
      </c>
      <c r="D26" s="914">
        <v>13132</v>
      </c>
      <c r="E26" s="915">
        <v>1.0549999999999999</v>
      </c>
      <c r="F26" s="916">
        <f t="shared" si="0"/>
        <v>13855</v>
      </c>
      <c r="G26" s="915">
        <v>1.01</v>
      </c>
      <c r="H26" s="916">
        <f t="shared" si="1"/>
        <v>13994</v>
      </c>
      <c r="I26" s="917">
        <f t="shared" si="2"/>
        <v>13994</v>
      </c>
      <c r="J26" s="918">
        <f t="shared" si="3"/>
        <v>0.25</v>
      </c>
      <c r="K26" s="919">
        <v>3283</v>
      </c>
      <c r="L26" s="917">
        <f t="shared" si="4"/>
        <v>3498.5</v>
      </c>
      <c r="M26" s="918">
        <f t="shared" si="5"/>
        <v>0</v>
      </c>
      <c r="N26" s="919"/>
      <c r="O26" s="917">
        <f t="shared" si="6"/>
        <v>0</v>
      </c>
      <c r="P26" s="918">
        <f t="shared" si="7"/>
        <v>0</v>
      </c>
      <c r="Q26" s="919"/>
      <c r="R26" s="917">
        <f t="shared" si="8"/>
        <v>0</v>
      </c>
      <c r="S26" s="918">
        <f t="shared" si="9"/>
        <v>0</v>
      </c>
      <c r="T26" s="919"/>
      <c r="U26" s="917">
        <f t="shared" si="10"/>
        <v>0</v>
      </c>
      <c r="V26" s="918">
        <f t="shared" si="11"/>
        <v>0</v>
      </c>
      <c r="W26" s="919"/>
      <c r="X26" s="917">
        <f t="shared" si="12"/>
        <v>0</v>
      </c>
      <c r="Y26" s="918">
        <f t="shared" si="13"/>
        <v>0</v>
      </c>
      <c r="Z26" s="919"/>
      <c r="AA26" s="917">
        <f t="shared" si="14"/>
        <v>0</v>
      </c>
      <c r="AB26" s="918">
        <f t="shared" si="15"/>
        <v>0.2</v>
      </c>
      <c r="AC26" s="919">
        <v>2626.4</v>
      </c>
      <c r="AD26" s="917">
        <f t="shared" si="16"/>
        <v>2798.8</v>
      </c>
      <c r="AE26" s="918">
        <f t="shared" si="17"/>
        <v>0.1</v>
      </c>
      <c r="AF26" s="919">
        <v>1313.2</v>
      </c>
      <c r="AG26" s="917">
        <f t="shared" si="18"/>
        <v>1399.4</v>
      </c>
      <c r="AH26" s="918">
        <f t="shared" si="19"/>
        <v>0</v>
      </c>
      <c r="AI26" s="919"/>
      <c r="AJ26" s="917">
        <f t="shared" si="20"/>
        <v>0</v>
      </c>
      <c r="AK26" s="918">
        <f t="shared" si="21"/>
        <v>0</v>
      </c>
      <c r="AL26" s="919"/>
      <c r="AM26" s="917">
        <f t="shared" si="22"/>
        <v>0</v>
      </c>
      <c r="AN26" s="920">
        <v>19242</v>
      </c>
      <c r="AO26" s="917">
        <f t="shared" si="23"/>
        <v>0</v>
      </c>
      <c r="AP26" s="920"/>
      <c r="AQ26" s="916">
        <f t="shared" si="24"/>
        <v>0</v>
      </c>
      <c r="AR26" s="917">
        <f t="shared" si="25"/>
        <v>21690.7</v>
      </c>
      <c r="AS26" s="916">
        <v>12</v>
      </c>
      <c r="AT26" s="921">
        <f t="shared" si="26"/>
        <v>260288.4</v>
      </c>
      <c r="AU26" s="920"/>
      <c r="AV26" s="922">
        <f t="shared" si="27"/>
        <v>2602.88</v>
      </c>
      <c r="AW26" s="921">
        <f t="shared" si="28"/>
        <v>262891.28000000003</v>
      </c>
      <c r="AX26" s="921">
        <f t="shared" si="29"/>
        <v>79393.17</v>
      </c>
      <c r="AY26" s="921">
        <f t="shared" si="30"/>
        <v>342284.45</v>
      </c>
      <c r="AZ26" s="923">
        <f t="shared" si="31"/>
        <v>262.89999999999998</v>
      </c>
      <c r="BA26" s="923">
        <f t="shared" si="32"/>
        <v>79.400000000000006</v>
      </c>
      <c r="BB26" s="923">
        <f t="shared" si="33"/>
        <v>342.3</v>
      </c>
      <c r="BC26" s="915">
        <v>0.95</v>
      </c>
      <c r="BD26" s="923">
        <f t="shared" si="34"/>
        <v>249.8</v>
      </c>
      <c r="BE26" s="923">
        <f t="shared" si="35"/>
        <v>75.400000000000006</v>
      </c>
      <c r="BF26" s="923">
        <f t="shared" si="36"/>
        <v>325.2</v>
      </c>
      <c r="BG26" s="924">
        <f>'[3]свод (2024)'!$B$116</f>
        <v>0.99758349999999996</v>
      </c>
      <c r="BH26" s="923">
        <f t="shared" si="37"/>
        <v>249.2</v>
      </c>
      <c r="BI26" s="923">
        <f t="shared" si="38"/>
        <v>75.3</v>
      </c>
      <c r="BJ26" s="923">
        <f t="shared" si="39"/>
        <v>324.5</v>
      </c>
      <c r="BK26" s="925">
        <f t="shared" si="40"/>
        <v>-13.7</v>
      </c>
      <c r="BL26" s="925">
        <f t="shared" si="40"/>
        <v>-4.0999999999999996</v>
      </c>
      <c r="BM26" s="925">
        <f t="shared" si="41"/>
        <v>-17.8</v>
      </c>
      <c r="BN26" s="925">
        <f t="shared" si="42"/>
        <v>0</v>
      </c>
      <c r="BO26" s="925">
        <f t="shared" si="43"/>
        <v>0</v>
      </c>
      <c r="BP26" s="926"/>
      <c r="BQ26" s="925">
        <f t="shared" si="44"/>
        <v>249.2</v>
      </c>
      <c r="BR26" s="925">
        <f t="shared" si="44"/>
        <v>75.3</v>
      </c>
      <c r="BS26" s="925">
        <f t="shared" si="45"/>
        <v>324.5</v>
      </c>
      <c r="BU26" s="928">
        <f>C26</f>
        <v>1</v>
      </c>
      <c r="BV26" s="917"/>
      <c r="BW26" s="928"/>
      <c r="BX26" s="928">
        <f>AW26-X26</f>
        <v>262891.28000000003</v>
      </c>
      <c r="BY26" s="928"/>
      <c r="BZ26" s="917"/>
      <c r="CA26" s="928"/>
      <c r="CB26" s="917"/>
      <c r="CC26" s="928"/>
      <c r="CD26" s="928"/>
      <c r="CE26" s="928"/>
      <c r="CF26" s="929">
        <f>CC$48/BU$48*BU26</f>
        <v>96766.67</v>
      </c>
      <c r="CG26" s="928"/>
      <c r="CH26" s="928"/>
      <c r="CI26" s="928"/>
      <c r="CJ26" s="925"/>
      <c r="CK26" s="925"/>
      <c r="CL26" s="925"/>
      <c r="CM26" s="925"/>
      <c r="CN26" s="925"/>
      <c r="CO26" s="925"/>
      <c r="CP26" s="925"/>
      <c r="CQ26" s="925"/>
      <c r="CR26" s="925"/>
      <c r="CS26" s="917"/>
      <c r="CT26" s="928"/>
      <c r="CU26" s="928"/>
      <c r="CV26" s="928"/>
      <c r="CX26" s="925"/>
      <c r="CY26" s="925"/>
      <c r="CZ26" s="925"/>
      <c r="DB26" s="925"/>
      <c r="DC26" s="925"/>
      <c r="DD26" s="925"/>
      <c r="DE26" s="925"/>
      <c r="DF26" s="925"/>
      <c r="DG26" s="925"/>
      <c r="DH26" s="925"/>
      <c r="DI26" s="925"/>
      <c r="DJ26" s="925"/>
      <c r="DK26" s="925"/>
      <c r="DL26" s="925"/>
      <c r="DM26" s="925"/>
      <c r="DN26" s="925"/>
      <c r="DO26" s="925"/>
      <c r="DP26" s="925"/>
      <c r="DQ26" s="924"/>
      <c r="DR26" s="925"/>
      <c r="DS26" s="925"/>
      <c r="DT26" s="925"/>
      <c r="DV26" s="925"/>
      <c r="DW26" s="925"/>
      <c r="DX26" s="925"/>
      <c r="DY26" s="925"/>
      <c r="DZ26" s="925"/>
      <c r="EA26" s="925"/>
      <c r="EB26" s="925"/>
      <c r="EC26" s="925"/>
      <c r="ED26" s="925"/>
      <c r="EE26" s="925"/>
      <c r="EF26" s="925"/>
      <c r="EG26" s="925"/>
      <c r="EH26" s="925"/>
      <c r="EI26" s="925"/>
      <c r="EJ26" s="925"/>
      <c r="EK26" s="925"/>
      <c r="EL26" s="925"/>
      <c r="EM26" s="925"/>
      <c r="EN26" s="925"/>
      <c r="EO26" s="925"/>
      <c r="EP26" s="925"/>
      <c r="EQ26" s="925"/>
      <c r="ER26" s="925"/>
      <c r="ES26" s="925"/>
      <c r="ET26" s="925"/>
      <c r="EV26" s="924"/>
      <c r="EW26" s="925"/>
      <c r="EX26" s="925"/>
      <c r="EY26" s="925"/>
    </row>
    <row r="27" spans="1:155" s="927" customFormat="1" ht="15.75" x14ac:dyDescent="0.25">
      <c r="A27" s="912" t="s">
        <v>359</v>
      </c>
      <c r="B27" s="913" t="s">
        <v>38</v>
      </c>
      <c r="C27" s="914">
        <v>8</v>
      </c>
      <c r="D27" s="914">
        <v>13132</v>
      </c>
      <c r="E27" s="915">
        <v>1.0549999999999999</v>
      </c>
      <c r="F27" s="916">
        <f t="shared" si="0"/>
        <v>13855</v>
      </c>
      <c r="G27" s="915">
        <v>1.01</v>
      </c>
      <c r="H27" s="916">
        <f t="shared" si="1"/>
        <v>13994</v>
      </c>
      <c r="I27" s="917">
        <f t="shared" si="2"/>
        <v>111952</v>
      </c>
      <c r="J27" s="918">
        <f t="shared" si="3"/>
        <v>0.25</v>
      </c>
      <c r="K27" s="919">
        <v>26264</v>
      </c>
      <c r="L27" s="917">
        <f t="shared" si="4"/>
        <v>27988</v>
      </c>
      <c r="M27" s="918">
        <f t="shared" si="5"/>
        <v>0</v>
      </c>
      <c r="N27" s="919"/>
      <c r="O27" s="917">
        <f t="shared" si="6"/>
        <v>0</v>
      </c>
      <c r="P27" s="918">
        <f t="shared" si="7"/>
        <v>0</v>
      </c>
      <c r="Q27" s="919"/>
      <c r="R27" s="917">
        <f t="shared" si="8"/>
        <v>0</v>
      </c>
      <c r="S27" s="918">
        <f t="shared" si="9"/>
        <v>0</v>
      </c>
      <c r="T27" s="919"/>
      <c r="U27" s="917">
        <f t="shared" si="10"/>
        <v>0</v>
      </c>
      <c r="V27" s="918">
        <f t="shared" si="11"/>
        <v>0</v>
      </c>
      <c r="W27" s="919"/>
      <c r="X27" s="917">
        <f t="shared" si="12"/>
        <v>0</v>
      </c>
      <c r="Y27" s="918">
        <f t="shared" si="13"/>
        <v>0</v>
      </c>
      <c r="Z27" s="919"/>
      <c r="AA27" s="917">
        <f t="shared" si="14"/>
        <v>0</v>
      </c>
      <c r="AB27" s="918">
        <f t="shared" si="15"/>
        <v>0.2</v>
      </c>
      <c r="AC27" s="919">
        <v>21011.200000000001</v>
      </c>
      <c r="AD27" s="917">
        <f t="shared" si="16"/>
        <v>22390.400000000001</v>
      </c>
      <c r="AE27" s="918">
        <f t="shared" si="17"/>
        <v>0</v>
      </c>
      <c r="AF27" s="919"/>
      <c r="AG27" s="917">
        <f t="shared" si="18"/>
        <v>0</v>
      </c>
      <c r="AH27" s="918">
        <f t="shared" si="19"/>
        <v>0</v>
      </c>
      <c r="AI27" s="919"/>
      <c r="AJ27" s="917">
        <f t="shared" si="20"/>
        <v>0</v>
      </c>
      <c r="AK27" s="918">
        <f t="shared" si="21"/>
        <v>0</v>
      </c>
      <c r="AL27" s="919"/>
      <c r="AM27" s="917">
        <f t="shared" si="22"/>
        <v>0</v>
      </c>
      <c r="AN27" s="920">
        <v>19242</v>
      </c>
      <c r="AO27" s="917">
        <f t="shared" si="23"/>
        <v>0</v>
      </c>
      <c r="AP27" s="920"/>
      <c r="AQ27" s="916">
        <f t="shared" si="24"/>
        <v>0</v>
      </c>
      <c r="AR27" s="917">
        <f t="shared" si="25"/>
        <v>162330.4</v>
      </c>
      <c r="AS27" s="916">
        <v>12</v>
      </c>
      <c r="AT27" s="921">
        <f t="shared" si="26"/>
        <v>1947964.8</v>
      </c>
      <c r="AU27" s="920"/>
      <c r="AV27" s="922">
        <f t="shared" si="27"/>
        <v>19479.650000000001</v>
      </c>
      <c r="AW27" s="921">
        <f t="shared" si="28"/>
        <v>1967444.45</v>
      </c>
      <c r="AX27" s="921">
        <f t="shared" si="29"/>
        <v>594168.22</v>
      </c>
      <c r="AY27" s="921">
        <f t="shared" si="30"/>
        <v>2561612.67</v>
      </c>
      <c r="AZ27" s="923">
        <f t="shared" si="31"/>
        <v>1967.4</v>
      </c>
      <c r="BA27" s="923">
        <f t="shared" si="32"/>
        <v>594.20000000000005</v>
      </c>
      <c r="BB27" s="923">
        <f t="shared" si="33"/>
        <v>2561.6</v>
      </c>
      <c r="BC27" s="915">
        <v>0.95</v>
      </c>
      <c r="BD27" s="923">
        <f t="shared" si="34"/>
        <v>1869</v>
      </c>
      <c r="BE27" s="923">
        <f t="shared" si="35"/>
        <v>564.4</v>
      </c>
      <c r="BF27" s="923">
        <f t="shared" si="36"/>
        <v>2433.4</v>
      </c>
      <c r="BG27" s="924">
        <f>'[3]свод (2024)'!$B$116</f>
        <v>0.99758349999999996</v>
      </c>
      <c r="BH27" s="923">
        <f t="shared" si="37"/>
        <v>1864.5</v>
      </c>
      <c r="BI27" s="923">
        <f t="shared" si="38"/>
        <v>563.1</v>
      </c>
      <c r="BJ27" s="923">
        <f t="shared" si="39"/>
        <v>2427.6</v>
      </c>
      <c r="BK27" s="925">
        <f t="shared" si="40"/>
        <v>-102.9</v>
      </c>
      <c r="BL27" s="925">
        <f t="shared" si="40"/>
        <v>-31.1</v>
      </c>
      <c r="BM27" s="925">
        <f t="shared" si="41"/>
        <v>-134</v>
      </c>
      <c r="BN27" s="925">
        <f t="shared" si="42"/>
        <v>0</v>
      </c>
      <c r="BO27" s="925">
        <f t="shared" si="43"/>
        <v>0</v>
      </c>
      <c r="BP27" s="926"/>
      <c r="BQ27" s="925">
        <f t="shared" si="44"/>
        <v>1864.5</v>
      </c>
      <c r="BR27" s="925">
        <f t="shared" si="44"/>
        <v>563.1</v>
      </c>
      <c r="BS27" s="925">
        <f t="shared" si="45"/>
        <v>2427.6</v>
      </c>
      <c r="BU27" s="928">
        <f>C27</f>
        <v>8</v>
      </c>
      <c r="BV27" s="917"/>
      <c r="BW27" s="928"/>
      <c r="BX27" s="928">
        <f>AW27-X27</f>
        <v>1967444.45</v>
      </c>
      <c r="BY27" s="928"/>
      <c r="BZ27" s="917"/>
      <c r="CA27" s="928"/>
      <c r="CB27" s="917"/>
      <c r="CC27" s="928"/>
      <c r="CD27" s="928"/>
      <c r="CE27" s="928"/>
      <c r="CF27" s="929">
        <f t="shared" ref="CF27:CF43" si="46">CC$48/BU$48*BU27</f>
        <v>774133.39</v>
      </c>
      <c r="CG27" s="928"/>
      <c r="CH27" s="928"/>
      <c r="CI27" s="928"/>
      <c r="CJ27" s="925"/>
      <c r="CK27" s="925"/>
      <c r="CL27" s="925"/>
      <c r="CM27" s="925"/>
      <c r="CN27" s="925"/>
      <c r="CO27" s="925"/>
      <c r="CP27" s="925"/>
      <c r="CQ27" s="925"/>
      <c r="CR27" s="925"/>
      <c r="CS27" s="917"/>
      <c r="CT27" s="928"/>
      <c r="CU27" s="928"/>
      <c r="CV27" s="928"/>
      <c r="CX27" s="925"/>
      <c r="CY27" s="925"/>
      <c r="CZ27" s="925"/>
      <c r="DB27" s="925"/>
      <c r="DC27" s="925"/>
      <c r="DD27" s="925"/>
      <c r="DE27" s="925"/>
      <c r="DF27" s="925"/>
      <c r="DG27" s="925"/>
      <c r="DH27" s="925"/>
      <c r="DI27" s="925"/>
      <c r="DJ27" s="925"/>
      <c r="DK27" s="925"/>
      <c r="DL27" s="925"/>
      <c r="DM27" s="925"/>
      <c r="DN27" s="925"/>
      <c r="DO27" s="925"/>
      <c r="DP27" s="925"/>
      <c r="DQ27" s="924"/>
      <c r="DR27" s="925"/>
      <c r="DS27" s="925"/>
      <c r="DT27" s="925"/>
      <c r="DV27" s="925"/>
      <c r="DW27" s="925"/>
      <c r="DX27" s="925"/>
      <c r="DY27" s="925"/>
      <c r="DZ27" s="925"/>
      <c r="EA27" s="925"/>
      <c r="EB27" s="925"/>
      <c r="EC27" s="925"/>
      <c r="ED27" s="925"/>
      <c r="EE27" s="925"/>
      <c r="EF27" s="925"/>
      <c r="EG27" s="925"/>
      <c r="EH27" s="925"/>
      <c r="EI27" s="925"/>
      <c r="EJ27" s="925"/>
      <c r="EK27" s="925"/>
      <c r="EL27" s="925"/>
      <c r="EM27" s="925"/>
      <c r="EN27" s="925"/>
      <c r="EO27" s="925"/>
      <c r="EP27" s="925"/>
      <c r="EQ27" s="925"/>
      <c r="ER27" s="925"/>
      <c r="ES27" s="925"/>
      <c r="ET27" s="925"/>
      <c r="EV27" s="924"/>
      <c r="EW27" s="925"/>
      <c r="EX27" s="925"/>
      <c r="EY27" s="925"/>
    </row>
    <row r="28" spans="1:155" s="927" customFormat="1" ht="15.75" x14ac:dyDescent="0.25">
      <c r="A28" s="912" t="s">
        <v>359</v>
      </c>
      <c r="B28" s="913" t="s">
        <v>47</v>
      </c>
      <c r="C28" s="914">
        <v>2</v>
      </c>
      <c r="D28" s="914">
        <v>5767</v>
      </c>
      <c r="E28" s="915">
        <v>1.0549999999999999</v>
      </c>
      <c r="F28" s="916">
        <f t="shared" si="0"/>
        <v>6085</v>
      </c>
      <c r="G28" s="915">
        <v>1.01</v>
      </c>
      <c r="H28" s="916">
        <f t="shared" si="1"/>
        <v>6146</v>
      </c>
      <c r="I28" s="917">
        <f t="shared" si="2"/>
        <v>12292</v>
      </c>
      <c r="J28" s="918">
        <f t="shared" si="3"/>
        <v>0</v>
      </c>
      <c r="K28" s="919"/>
      <c r="L28" s="917">
        <f t="shared" si="4"/>
        <v>0</v>
      </c>
      <c r="M28" s="918">
        <f t="shared" si="5"/>
        <v>0</v>
      </c>
      <c r="N28" s="919"/>
      <c r="O28" s="917">
        <f t="shared" si="6"/>
        <v>0</v>
      </c>
      <c r="P28" s="918">
        <f t="shared" si="7"/>
        <v>0</v>
      </c>
      <c r="Q28" s="919"/>
      <c r="R28" s="917">
        <f t="shared" si="8"/>
        <v>0</v>
      </c>
      <c r="S28" s="918">
        <f t="shared" si="9"/>
        <v>0.42102000000000001</v>
      </c>
      <c r="T28" s="919">
        <v>4856</v>
      </c>
      <c r="U28" s="917">
        <f t="shared" si="10"/>
        <v>5175.18</v>
      </c>
      <c r="V28" s="918">
        <f t="shared" si="11"/>
        <v>0</v>
      </c>
      <c r="W28" s="919"/>
      <c r="X28" s="917">
        <f t="shared" si="12"/>
        <v>0</v>
      </c>
      <c r="Y28" s="918">
        <f t="shared" si="13"/>
        <v>0</v>
      </c>
      <c r="Z28" s="919"/>
      <c r="AA28" s="917">
        <f t="shared" si="14"/>
        <v>0</v>
      </c>
      <c r="AB28" s="918">
        <f t="shared" si="15"/>
        <v>0</v>
      </c>
      <c r="AC28" s="919"/>
      <c r="AD28" s="917">
        <f t="shared" si="16"/>
        <v>0</v>
      </c>
      <c r="AE28" s="918">
        <f t="shared" si="17"/>
        <v>0</v>
      </c>
      <c r="AF28" s="919"/>
      <c r="AG28" s="917">
        <f t="shared" si="18"/>
        <v>0</v>
      </c>
      <c r="AH28" s="918">
        <f t="shared" si="19"/>
        <v>0</v>
      </c>
      <c r="AI28" s="919"/>
      <c r="AJ28" s="917">
        <f t="shared" si="20"/>
        <v>0</v>
      </c>
      <c r="AK28" s="918">
        <f t="shared" si="21"/>
        <v>0</v>
      </c>
      <c r="AL28" s="919"/>
      <c r="AM28" s="917">
        <f t="shared" si="22"/>
        <v>0</v>
      </c>
      <c r="AN28" s="920">
        <v>19242</v>
      </c>
      <c r="AO28" s="917">
        <f t="shared" si="23"/>
        <v>21016.82</v>
      </c>
      <c r="AP28" s="920"/>
      <c r="AQ28" s="916">
        <f t="shared" si="24"/>
        <v>0</v>
      </c>
      <c r="AR28" s="917">
        <f t="shared" si="25"/>
        <v>38484</v>
      </c>
      <c r="AS28" s="916">
        <v>12</v>
      </c>
      <c r="AT28" s="921">
        <f t="shared" si="26"/>
        <v>461808</v>
      </c>
      <c r="AU28" s="920"/>
      <c r="AV28" s="922">
        <f t="shared" si="27"/>
        <v>4618.08</v>
      </c>
      <c r="AW28" s="921">
        <f t="shared" si="28"/>
        <v>466426.08</v>
      </c>
      <c r="AX28" s="921">
        <f t="shared" si="29"/>
        <v>140860.68</v>
      </c>
      <c r="AY28" s="921">
        <f t="shared" si="30"/>
        <v>607286.76</v>
      </c>
      <c r="AZ28" s="923">
        <f t="shared" si="31"/>
        <v>466.4</v>
      </c>
      <c r="BA28" s="923">
        <f t="shared" si="32"/>
        <v>140.9</v>
      </c>
      <c r="BB28" s="923">
        <f t="shared" si="33"/>
        <v>607.29999999999995</v>
      </c>
      <c r="BC28" s="915">
        <v>0.95</v>
      </c>
      <c r="BD28" s="923">
        <f t="shared" si="34"/>
        <v>443.1</v>
      </c>
      <c r="BE28" s="923">
        <f t="shared" si="35"/>
        <v>133.80000000000001</v>
      </c>
      <c r="BF28" s="923">
        <f t="shared" si="36"/>
        <v>576.9</v>
      </c>
      <c r="BG28" s="924">
        <f>'[3]свод (2024)'!$B$116</f>
        <v>0.99758349999999996</v>
      </c>
      <c r="BH28" s="923">
        <f t="shared" si="37"/>
        <v>442</v>
      </c>
      <c r="BI28" s="923">
        <f t="shared" si="38"/>
        <v>133.5</v>
      </c>
      <c r="BJ28" s="923">
        <f t="shared" si="39"/>
        <v>575.5</v>
      </c>
      <c r="BK28" s="925">
        <f t="shared" si="40"/>
        <v>-24.4</v>
      </c>
      <c r="BL28" s="925">
        <f t="shared" si="40"/>
        <v>-7.4</v>
      </c>
      <c r="BM28" s="925">
        <f t="shared" si="41"/>
        <v>-31.8</v>
      </c>
      <c r="BN28" s="925">
        <f t="shared" si="42"/>
        <v>0</v>
      </c>
      <c r="BO28" s="925">
        <f t="shared" si="43"/>
        <v>0</v>
      </c>
      <c r="BP28" s="926"/>
      <c r="BQ28" s="925">
        <f t="shared" si="44"/>
        <v>442</v>
      </c>
      <c r="BR28" s="925">
        <f t="shared" si="44"/>
        <v>133.5</v>
      </c>
      <c r="BS28" s="925">
        <f t="shared" si="45"/>
        <v>575.5</v>
      </c>
      <c r="BU28" s="928"/>
      <c r="BV28" s="917"/>
      <c r="BW28" s="928"/>
      <c r="BX28" s="928"/>
      <c r="BY28" s="928"/>
      <c r="BZ28" s="917"/>
      <c r="CA28" s="928"/>
      <c r="CB28" s="917"/>
      <c r="CC28" s="928"/>
      <c r="CD28" s="928"/>
      <c r="CE28" s="928"/>
      <c r="CF28" s="929">
        <f t="shared" si="46"/>
        <v>0</v>
      </c>
      <c r="CG28" s="928"/>
      <c r="CH28" s="928"/>
      <c r="CI28" s="928"/>
      <c r="CJ28" s="925"/>
      <c r="CK28" s="925"/>
      <c r="CL28" s="925"/>
      <c r="CM28" s="925"/>
      <c r="CN28" s="925"/>
      <c r="CO28" s="925"/>
      <c r="CP28" s="925"/>
      <c r="CQ28" s="925"/>
      <c r="CR28" s="925"/>
      <c r="CS28" s="917"/>
      <c r="CT28" s="928"/>
      <c r="CU28" s="928"/>
      <c r="CV28" s="928"/>
      <c r="CX28" s="925"/>
      <c r="CY28" s="925"/>
      <c r="CZ28" s="925"/>
      <c r="DB28" s="925"/>
      <c r="DC28" s="925"/>
      <c r="DD28" s="925"/>
      <c r="DE28" s="925"/>
      <c r="DF28" s="925"/>
      <c r="DG28" s="925"/>
      <c r="DH28" s="925"/>
      <c r="DI28" s="925"/>
      <c r="DJ28" s="925"/>
      <c r="DK28" s="925"/>
      <c r="DL28" s="925"/>
      <c r="DM28" s="925"/>
      <c r="DN28" s="925"/>
      <c r="DO28" s="925"/>
      <c r="DP28" s="925"/>
      <c r="DQ28" s="924"/>
      <c r="DR28" s="925"/>
      <c r="DS28" s="925"/>
      <c r="DT28" s="925"/>
      <c r="DV28" s="925"/>
      <c r="DW28" s="925"/>
      <c r="DX28" s="925"/>
      <c r="DY28" s="925"/>
      <c r="DZ28" s="925"/>
      <c r="EA28" s="925"/>
      <c r="EB28" s="925"/>
      <c r="EC28" s="925"/>
      <c r="ED28" s="925"/>
      <c r="EE28" s="925"/>
      <c r="EF28" s="925"/>
      <c r="EG28" s="925"/>
      <c r="EH28" s="925"/>
      <c r="EI28" s="925"/>
      <c r="EJ28" s="925"/>
      <c r="EK28" s="925"/>
      <c r="EL28" s="925"/>
      <c r="EM28" s="925"/>
      <c r="EN28" s="925"/>
      <c r="EO28" s="925"/>
      <c r="EP28" s="925"/>
      <c r="EQ28" s="925"/>
      <c r="ER28" s="925"/>
      <c r="ES28" s="925"/>
      <c r="ET28" s="925"/>
      <c r="EV28" s="924"/>
      <c r="EW28" s="925"/>
      <c r="EX28" s="925"/>
      <c r="EY28" s="925"/>
    </row>
    <row r="29" spans="1:155" s="927" customFormat="1" ht="15.75" x14ac:dyDescent="0.25">
      <c r="A29" s="912" t="s">
        <v>359</v>
      </c>
      <c r="B29" s="913" t="s">
        <v>36</v>
      </c>
      <c r="C29" s="914">
        <v>4</v>
      </c>
      <c r="D29" s="914">
        <v>13772</v>
      </c>
      <c r="E29" s="915">
        <v>1.0549999999999999</v>
      </c>
      <c r="F29" s="916">
        <f t="shared" si="0"/>
        <v>14530</v>
      </c>
      <c r="G29" s="915">
        <v>1.01</v>
      </c>
      <c r="H29" s="916">
        <f t="shared" si="1"/>
        <v>14676</v>
      </c>
      <c r="I29" s="917">
        <f t="shared" si="2"/>
        <v>58704</v>
      </c>
      <c r="J29" s="918">
        <f t="shared" si="3"/>
        <v>0.25</v>
      </c>
      <c r="K29" s="919">
        <v>13772</v>
      </c>
      <c r="L29" s="917">
        <f t="shared" si="4"/>
        <v>14676</v>
      </c>
      <c r="M29" s="918">
        <f t="shared" si="5"/>
        <v>0</v>
      </c>
      <c r="N29" s="919"/>
      <c r="O29" s="917">
        <f t="shared" si="6"/>
        <v>0</v>
      </c>
      <c r="P29" s="918">
        <f t="shared" si="7"/>
        <v>0</v>
      </c>
      <c r="Q29" s="919"/>
      <c r="R29" s="917">
        <f t="shared" si="8"/>
        <v>0</v>
      </c>
      <c r="S29" s="918">
        <f t="shared" si="9"/>
        <v>0</v>
      </c>
      <c r="T29" s="919"/>
      <c r="U29" s="917">
        <f t="shared" si="10"/>
        <v>0</v>
      </c>
      <c r="V29" s="918">
        <f t="shared" si="11"/>
        <v>0</v>
      </c>
      <c r="W29" s="919"/>
      <c r="X29" s="917">
        <f t="shared" si="12"/>
        <v>0</v>
      </c>
      <c r="Y29" s="918">
        <f t="shared" si="13"/>
        <v>0</v>
      </c>
      <c r="Z29" s="919"/>
      <c r="AA29" s="917">
        <f t="shared" si="14"/>
        <v>0</v>
      </c>
      <c r="AB29" s="918">
        <f t="shared" si="15"/>
        <v>0.2</v>
      </c>
      <c r="AC29" s="919">
        <v>11017.6</v>
      </c>
      <c r="AD29" s="917">
        <f t="shared" si="16"/>
        <v>11740.8</v>
      </c>
      <c r="AE29" s="918">
        <f t="shared" si="17"/>
        <v>0</v>
      </c>
      <c r="AF29" s="919"/>
      <c r="AG29" s="917">
        <f t="shared" si="18"/>
        <v>0</v>
      </c>
      <c r="AH29" s="918">
        <f t="shared" si="19"/>
        <v>0</v>
      </c>
      <c r="AI29" s="919"/>
      <c r="AJ29" s="917">
        <f t="shared" si="20"/>
        <v>0</v>
      </c>
      <c r="AK29" s="918">
        <f t="shared" si="21"/>
        <v>0</v>
      </c>
      <c r="AL29" s="919"/>
      <c r="AM29" s="917">
        <f t="shared" si="22"/>
        <v>0</v>
      </c>
      <c r="AN29" s="920">
        <v>19242</v>
      </c>
      <c r="AO29" s="917">
        <f t="shared" si="23"/>
        <v>0</v>
      </c>
      <c r="AP29" s="920"/>
      <c r="AQ29" s="916">
        <f t="shared" si="24"/>
        <v>0</v>
      </c>
      <c r="AR29" s="917">
        <f t="shared" si="25"/>
        <v>85120.8</v>
      </c>
      <c r="AS29" s="916">
        <v>12</v>
      </c>
      <c r="AT29" s="921">
        <f t="shared" si="26"/>
        <v>1021449.6</v>
      </c>
      <c r="AU29" s="920"/>
      <c r="AV29" s="922">
        <f t="shared" si="27"/>
        <v>10214.5</v>
      </c>
      <c r="AW29" s="921">
        <f t="shared" si="28"/>
        <v>1031664.1</v>
      </c>
      <c r="AX29" s="921">
        <f t="shared" si="29"/>
        <v>311562.56</v>
      </c>
      <c r="AY29" s="921">
        <f t="shared" si="30"/>
        <v>1343226.66</v>
      </c>
      <c r="AZ29" s="923">
        <f t="shared" si="31"/>
        <v>1031.7</v>
      </c>
      <c r="BA29" s="923">
        <f t="shared" si="32"/>
        <v>311.60000000000002</v>
      </c>
      <c r="BB29" s="923">
        <f t="shared" si="33"/>
        <v>1343.3</v>
      </c>
      <c r="BC29" s="915">
        <v>0.95</v>
      </c>
      <c r="BD29" s="923">
        <f t="shared" si="34"/>
        <v>980.1</v>
      </c>
      <c r="BE29" s="923">
        <f t="shared" si="35"/>
        <v>296</v>
      </c>
      <c r="BF29" s="923">
        <f t="shared" si="36"/>
        <v>1276.0999999999999</v>
      </c>
      <c r="BG29" s="924">
        <f>'[3]свод (2024)'!$B$116</f>
        <v>0.99758349999999996</v>
      </c>
      <c r="BH29" s="923">
        <f t="shared" si="37"/>
        <v>977.7</v>
      </c>
      <c r="BI29" s="923">
        <f t="shared" si="38"/>
        <v>295.3</v>
      </c>
      <c r="BJ29" s="923">
        <f t="shared" si="39"/>
        <v>1273</v>
      </c>
      <c r="BK29" s="925">
        <f t="shared" si="40"/>
        <v>-54</v>
      </c>
      <c r="BL29" s="925">
        <f t="shared" si="40"/>
        <v>-16.3</v>
      </c>
      <c r="BM29" s="925">
        <f t="shared" si="41"/>
        <v>-70.3</v>
      </c>
      <c r="BN29" s="925">
        <f t="shared" si="42"/>
        <v>0</v>
      </c>
      <c r="BO29" s="925">
        <f t="shared" si="43"/>
        <v>0</v>
      </c>
      <c r="BP29" s="926"/>
      <c r="BQ29" s="925">
        <f t="shared" si="44"/>
        <v>977.7</v>
      </c>
      <c r="BR29" s="925">
        <f t="shared" si="44"/>
        <v>295.3</v>
      </c>
      <c r="BS29" s="925">
        <f t="shared" si="45"/>
        <v>1273</v>
      </c>
      <c r="BU29" s="928">
        <f>C29</f>
        <v>4</v>
      </c>
      <c r="BV29" s="917"/>
      <c r="BW29" s="928"/>
      <c r="BX29" s="928">
        <f>AW29-X29</f>
        <v>1031664.1</v>
      </c>
      <c r="BY29" s="928"/>
      <c r="BZ29" s="917"/>
      <c r="CA29" s="928"/>
      <c r="CB29" s="917"/>
      <c r="CC29" s="928"/>
      <c r="CD29" s="928"/>
      <c r="CE29" s="928"/>
      <c r="CF29" s="929">
        <f t="shared" si="46"/>
        <v>387066.7</v>
      </c>
      <c r="CG29" s="928"/>
      <c r="CH29" s="928"/>
      <c r="CI29" s="928"/>
      <c r="CJ29" s="925"/>
      <c r="CK29" s="925"/>
      <c r="CL29" s="925"/>
      <c r="CM29" s="925"/>
      <c r="CN29" s="925"/>
      <c r="CO29" s="925"/>
      <c r="CP29" s="925"/>
      <c r="CQ29" s="925"/>
      <c r="CR29" s="925"/>
      <c r="CS29" s="917"/>
      <c r="CT29" s="928"/>
      <c r="CU29" s="928"/>
      <c r="CV29" s="928"/>
      <c r="CX29" s="925"/>
      <c r="CY29" s="925"/>
      <c r="CZ29" s="925"/>
      <c r="DB29" s="925"/>
      <c r="DC29" s="925"/>
      <c r="DD29" s="925"/>
      <c r="DE29" s="925"/>
      <c r="DF29" s="925"/>
      <c r="DG29" s="925"/>
      <c r="DH29" s="925"/>
      <c r="DI29" s="925"/>
      <c r="DJ29" s="925"/>
      <c r="DK29" s="925"/>
      <c r="DL29" s="925"/>
      <c r="DM29" s="925"/>
      <c r="DN29" s="925"/>
      <c r="DO29" s="925"/>
      <c r="DP29" s="925"/>
      <c r="DQ29" s="924"/>
      <c r="DR29" s="925"/>
      <c r="DS29" s="925"/>
      <c r="DT29" s="925"/>
      <c r="DV29" s="925"/>
      <c r="DW29" s="925"/>
      <c r="DX29" s="925"/>
      <c r="DY29" s="925"/>
      <c r="DZ29" s="925"/>
      <c r="EA29" s="925"/>
      <c r="EB29" s="925"/>
      <c r="EC29" s="925"/>
      <c r="ED29" s="925"/>
      <c r="EE29" s="925"/>
      <c r="EF29" s="925"/>
      <c r="EG29" s="925"/>
      <c r="EH29" s="925"/>
      <c r="EI29" s="925"/>
      <c r="EJ29" s="925"/>
      <c r="EK29" s="925"/>
      <c r="EL29" s="925"/>
      <c r="EM29" s="925"/>
      <c r="EN29" s="925"/>
      <c r="EO29" s="925"/>
      <c r="EP29" s="925"/>
      <c r="EQ29" s="925"/>
      <c r="ER29" s="925"/>
      <c r="ES29" s="925"/>
      <c r="ET29" s="925"/>
      <c r="EV29" s="924"/>
      <c r="EW29" s="925"/>
      <c r="EX29" s="925"/>
      <c r="EY29" s="925"/>
    </row>
    <row r="30" spans="1:155" s="927" customFormat="1" ht="15.75" x14ac:dyDescent="0.25">
      <c r="A30" s="912" t="s">
        <v>359</v>
      </c>
      <c r="B30" s="913" t="s">
        <v>704</v>
      </c>
      <c r="C30" s="914">
        <v>1</v>
      </c>
      <c r="D30" s="914">
        <v>5767</v>
      </c>
      <c r="E30" s="915">
        <v>1.0549999999999999</v>
      </c>
      <c r="F30" s="916">
        <f t="shared" si="0"/>
        <v>6085</v>
      </c>
      <c r="G30" s="915">
        <v>1.01</v>
      </c>
      <c r="H30" s="916">
        <f t="shared" si="1"/>
        <v>6146</v>
      </c>
      <c r="I30" s="917">
        <f t="shared" si="2"/>
        <v>6146</v>
      </c>
      <c r="J30" s="918">
        <f t="shared" si="3"/>
        <v>0</v>
      </c>
      <c r="K30" s="919"/>
      <c r="L30" s="917">
        <f t="shared" si="4"/>
        <v>0</v>
      </c>
      <c r="M30" s="918">
        <f t="shared" si="5"/>
        <v>0</v>
      </c>
      <c r="N30" s="919"/>
      <c r="O30" s="917">
        <f t="shared" si="6"/>
        <v>0</v>
      </c>
      <c r="P30" s="918">
        <f t="shared" si="7"/>
        <v>0</v>
      </c>
      <c r="Q30" s="919"/>
      <c r="R30" s="917">
        <f t="shared" si="8"/>
        <v>0</v>
      </c>
      <c r="S30" s="918">
        <f t="shared" si="9"/>
        <v>0.5</v>
      </c>
      <c r="T30" s="919">
        <v>2883.5</v>
      </c>
      <c r="U30" s="917">
        <f t="shared" si="10"/>
        <v>3073</v>
      </c>
      <c r="V30" s="918">
        <f t="shared" si="11"/>
        <v>0</v>
      </c>
      <c r="W30" s="919"/>
      <c r="X30" s="917">
        <f t="shared" si="12"/>
        <v>0</v>
      </c>
      <c r="Y30" s="918">
        <f t="shared" si="13"/>
        <v>0</v>
      </c>
      <c r="Z30" s="919"/>
      <c r="AA30" s="917">
        <f t="shared" si="14"/>
        <v>0</v>
      </c>
      <c r="AB30" s="918">
        <f t="shared" si="15"/>
        <v>0</v>
      </c>
      <c r="AC30" s="919"/>
      <c r="AD30" s="917">
        <f t="shared" si="16"/>
        <v>0</v>
      </c>
      <c r="AE30" s="918">
        <f t="shared" si="17"/>
        <v>0</v>
      </c>
      <c r="AF30" s="919"/>
      <c r="AG30" s="917">
        <f t="shared" si="18"/>
        <v>0</v>
      </c>
      <c r="AH30" s="918">
        <f t="shared" si="19"/>
        <v>0</v>
      </c>
      <c r="AI30" s="919"/>
      <c r="AJ30" s="917">
        <f t="shared" si="20"/>
        <v>0</v>
      </c>
      <c r="AK30" s="918">
        <f t="shared" si="21"/>
        <v>0</v>
      </c>
      <c r="AL30" s="919"/>
      <c r="AM30" s="917">
        <f t="shared" si="22"/>
        <v>0</v>
      </c>
      <c r="AN30" s="920">
        <v>19242</v>
      </c>
      <c r="AO30" s="917">
        <f t="shared" si="23"/>
        <v>10023</v>
      </c>
      <c r="AP30" s="920"/>
      <c r="AQ30" s="916">
        <f t="shared" si="24"/>
        <v>0</v>
      </c>
      <c r="AR30" s="917">
        <f t="shared" si="25"/>
        <v>19242</v>
      </c>
      <c r="AS30" s="916">
        <v>12</v>
      </c>
      <c r="AT30" s="921">
        <f t="shared" si="26"/>
        <v>230904</v>
      </c>
      <c r="AU30" s="920"/>
      <c r="AV30" s="922">
        <f t="shared" si="27"/>
        <v>2309.04</v>
      </c>
      <c r="AW30" s="921">
        <f t="shared" si="28"/>
        <v>233213.04</v>
      </c>
      <c r="AX30" s="921">
        <f t="shared" si="29"/>
        <v>70430.34</v>
      </c>
      <c r="AY30" s="921">
        <f t="shared" si="30"/>
        <v>303643.38</v>
      </c>
      <c r="AZ30" s="923">
        <f t="shared" si="31"/>
        <v>233.2</v>
      </c>
      <c r="BA30" s="923">
        <f t="shared" si="32"/>
        <v>70.400000000000006</v>
      </c>
      <c r="BB30" s="923">
        <f t="shared" si="33"/>
        <v>303.60000000000002</v>
      </c>
      <c r="BC30" s="915">
        <v>0.95</v>
      </c>
      <c r="BD30" s="923">
        <f t="shared" si="34"/>
        <v>221.5</v>
      </c>
      <c r="BE30" s="923">
        <f t="shared" si="35"/>
        <v>66.900000000000006</v>
      </c>
      <c r="BF30" s="923">
        <f t="shared" si="36"/>
        <v>288.39999999999998</v>
      </c>
      <c r="BG30" s="924">
        <f>'[3]свод (2024)'!$B$116</f>
        <v>0.99758349999999996</v>
      </c>
      <c r="BH30" s="923">
        <f t="shared" si="37"/>
        <v>221</v>
      </c>
      <c r="BI30" s="923">
        <f t="shared" si="38"/>
        <v>66.7</v>
      </c>
      <c r="BJ30" s="923">
        <f t="shared" si="39"/>
        <v>287.7</v>
      </c>
      <c r="BK30" s="925">
        <f t="shared" si="40"/>
        <v>-12.2</v>
      </c>
      <c r="BL30" s="925">
        <f t="shared" si="40"/>
        <v>-3.7</v>
      </c>
      <c r="BM30" s="925">
        <f t="shared" si="41"/>
        <v>-15.9</v>
      </c>
      <c r="BN30" s="925">
        <f t="shared" si="42"/>
        <v>0</v>
      </c>
      <c r="BO30" s="925">
        <f t="shared" si="43"/>
        <v>0</v>
      </c>
      <c r="BP30" s="926"/>
      <c r="BQ30" s="925">
        <f t="shared" si="44"/>
        <v>221</v>
      </c>
      <c r="BR30" s="925">
        <f t="shared" si="44"/>
        <v>66.7</v>
      </c>
      <c r="BS30" s="925">
        <f t="shared" si="45"/>
        <v>287.7</v>
      </c>
      <c r="BU30" s="928"/>
      <c r="BV30" s="917"/>
      <c r="BW30" s="928"/>
      <c r="BX30" s="928"/>
      <c r="BY30" s="928"/>
      <c r="BZ30" s="917"/>
      <c r="CA30" s="928"/>
      <c r="CB30" s="917"/>
      <c r="CC30" s="928"/>
      <c r="CD30" s="928"/>
      <c r="CE30" s="928"/>
      <c r="CF30" s="929"/>
      <c r="CG30" s="928"/>
      <c r="CH30" s="928"/>
      <c r="CI30" s="928"/>
      <c r="CJ30" s="925"/>
      <c r="CK30" s="925"/>
      <c r="CL30" s="925"/>
      <c r="CM30" s="925"/>
      <c r="CN30" s="925"/>
      <c r="CO30" s="925"/>
      <c r="CP30" s="925"/>
      <c r="CQ30" s="925"/>
      <c r="CR30" s="925"/>
      <c r="CS30" s="917"/>
      <c r="CT30" s="928"/>
      <c r="CU30" s="928"/>
      <c r="CV30" s="928"/>
      <c r="CX30" s="925"/>
      <c r="CY30" s="925"/>
      <c r="CZ30" s="925"/>
      <c r="DB30" s="925"/>
      <c r="DC30" s="925"/>
      <c r="DD30" s="925"/>
      <c r="DE30" s="925"/>
      <c r="DF30" s="925"/>
      <c r="DG30" s="925"/>
      <c r="DH30" s="925"/>
      <c r="DI30" s="925"/>
      <c r="DJ30" s="925"/>
      <c r="DK30" s="925"/>
      <c r="DL30" s="925"/>
      <c r="DM30" s="925"/>
      <c r="DN30" s="925"/>
      <c r="DO30" s="925"/>
      <c r="DP30" s="925"/>
      <c r="DQ30" s="924"/>
      <c r="DR30" s="925"/>
      <c r="DS30" s="925"/>
      <c r="DT30" s="925"/>
      <c r="DV30" s="925"/>
      <c r="DW30" s="925"/>
      <c r="DX30" s="925"/>
      <c r="DY30" s="925"/>
      <c r="DZ30" s="925"/>
      <c r="EA30" s="925"/>
      <c r="EB30" s="925"/>
      <c r="EC30" s="925"/>
      <c r="ED30" s="925"/>
      <c r="EE30" s="925"/>
      <c r="EF30" s="925"/>
      <c r="EG30" s="925"/>
      <c r="EH30" s="925"/>
      <c r="EI30" s="925"/>
      <c r="EJ30" s="925"/>
      <c r="EK30" s="925"/>
      <c r="EL30" s="925"/>
      <c r="EM30" s="925"/>
      <c r="EN30" s="925"/>
      <c r="EO30" s="925"/>
      <c r="EP30" s="925"/>
      <c r="EQ30" s="925"/>
      <c r="ER30" s="925"/>
      <c r="ES30" s="925"/>
      <c r="ET30" s="925"/>
      <c r="EV30" s="924"/>
      <c r="EW30" s="925"/>
      <c r="EX30" s="925"/>
      <c r="EY30" s="925"/>
    </row>
    <row r="31" spans="1:155" s="927" customFormat="1" ht="15.75" x14ac:dyDescent="0.25">
      <c r="A31" s="912" t="s">
        <v>359</v>
      </c>
      <c r="B31" s="913" t="s">
        <v>35</v>
      </c>
      <c r="C31" s="914">
        <v>63</v>
      </c>
      <c r="D31" s="914">
        <v>13132</v>
      </c>
      <c r="E31" s="915">
        <v>1.0549999999999999</v>
      </c>
      <c r="F31" s="916">
        <f t="shared" si="0"/>
        <v>13855</v>
      </c>
      <c r="G31" s="915">
        <v>1.01</v>
      </c>
      <c r="H31" s="916">
        <f t="shared" si="1"/>
        <v>13994</v>
      </c>
      <c r="I31" s="917">
        <f t="shared" si="2"/>
        <v>881622</v>
      </c>
      <c r="J31" s="918">
        <f t="shared" si="3"/>
        <v>0.25396999999999997</v>
      </c>
      <c r="K31" s="919">
        <v>210112</v>
      </c>
      <c r="L31" s="917">
        <f t="shared" si="4"/>
        <v>223905.54</v>
      </c>
      <c r="M31" s="918">
        <f t="shared" si="5"/>
        <v>0</v>
      </c>
      <c r="N31" s="919"/>
      <c r="O31" s="917">
        <f t="shared" si="6"/>
        <v>0</v>
      </c>
      <c r="P31" s="918">
        <f t="shared" si="7"/>
        <v>0</v>
      </c>
      <c r="Q31" s="919"/>
      <c r="R31" s="917">
        <f t="shared" si="8"/>
        <v>0</v>
      </c>
      <c r="S31" s="918">
        <f t="shared" si="9"/>
        <v>0</v>
      </c>
      <c r="T31" s="919"/>
      <c r="U31" s="917">
        <f t="shared" si="10"/>
        <v>0</v>
      </c>
      <c r="V31" s="918">
        <f t="shared" si="11"/>
        <v>0</v>
      </c>
      <c r="W31" s="919"/>
      <c r="X31" s="917">
        <f t="shared" si="12"/>
        <v>0</v>
      </c>
      <c r="Y31" s="918">
        <f t="shared" si="13"/>
        <v>0</v>
      </c>
      <c r="Z31" s="919"/>
      <c r="AA31" s="917">
        <f t="shared" si="14"/>
        <v>0</v>
      </c>
      <c r="AB31" s="918">
        <f t="shared" si="15"/>
        <v>0.20316999999999999</v>
      </c>
      <c r="AC31" s="919">
        <v>168089.60000000001</v>
      </c>
      <c r="AD31" s="917">
        <f t="shared" si="16"/>
        <v>179119.14</v>
      </c>
      <c r="AE31" s="918">
        <f t="shared" si="17"/>
        <v>6.0299999999999998E-3</v>
      </c>
      <c r="AF31" s="919">
        <v>4990.16</v>
      </c>
      <c r="AG31" s="917">
        <f t="shared" si="18"/>
        <v>5316.18</v>
      </c>
      <c r="AH31" s="918">
        <f t="shared" si="19"/>
        <v>0</v>
      </c>
      <c r="AI31" s="919"/>
      <c r="AJ31" s="917">
        <f t="shared" si="20"/>
        <v>0</v>
      </c>
      <c r="AK31" s="918">
        <f t="shared" si="21"/>
        <v>0</v>
      </c>
      <c r="AL31" s="919"/>
      <c r="AM31" s="917">
        <f t="shared" si="22"/>
        <v>0</v>
      </c>
      <c r="AN31" s="920">
        <v>19242</v>
      </c>
      <c r="AO31" s="917">
        <f t="shared" si="23"/>
        <v>0</v>
      </c>
      <c r="AP31" s="920"/>
      <c r="AQ31" s="916">
        <f t="shared" si="24"/>
        <v>0</v>
      </c>
      <c r="AR31" s="917">
        <f t="shared" si="25"/>
        <v>1289962.8600000001</v>
      </c>
      <c r="AS31" s="916">
        <v>12</v>
      </c>
      <c r="AT31" s="921">
        <f t="shared" si="26"/>
        <v>15479554.32</v>
      </c>
      <c r="AU31" s="920"/>
      <c r="AV31" s="922">
        <f t="shared" si="27"/>
        <v>154795.54</v>
      </c>
      <c r="AW31" s="921">
        <f t="shared" si="28"/>
        <v>15634349.859999999</v>
      </c>
      <c r="AX31" s="921">
        <f t="shared" si="29"/>
        <v>4721573.66</v>
      </c>
      <c r="AY31" s="921">
        <f t="shared" si="30"/>
        <v>20355923.52</v>
      </c>
      <c r="AZ31" s="923">
        <f t="shared" si="31"/>
        <v>15634.3</v>
      </c>
      <c r="BA31" s="923">
        <f t="shared" si="32"/>
        <v>4721.6000000000004</v>
      </c>
      <c r="BB31" s="923">
        <f t="shared" si="33"/>
        <v>20355.900000000001</v>
      </c>
      <c r="BC31" s="915">
        <v>0.95</v>
      </c>
      <c r="BD31" s="923">
        <f t="shared" si="34"/>
        <v>14852.6</v>
      </c>
      <c r="BE31" s="923">
        <f t="shared" si="35"/>
        <v>4485.5</v>
      </c>
      <c r="BF31" s="923">
        <f t="shared" si="36"/>
        <v>19338.099999999999</v>
      </c>
      <c r="BG31" s="924">
        <f>'[3]свод (2024)'!$B$116</f>
        <v>0.99758349999999996</v>
      </c>
      <c r="BH31" s="923">
        <f>ROUND(BD31*BG31,1)</f>
        <v>14816.7</v>
      </c>
      <c r="BI31" s="923">
        <f t="shared" si="38"/>
        <v>4474.6000000000004</v>
      </c>
      <c r="BJ31" s="923">
        <f t="shared" si="39"/>
        <v>19291.3</v>
      </c>
      <c r="BK31" s="925">
        <f t="shared" si="40"/>
        <v>-817.6</v>
      </c>
      <c r="BL31" s="925">
        <f t="shared" si="40"/>
        <v>-247</v>
      </c>
      <c r="BM31" s="925">
        <f t="shared" si="41"/>
        <v>-1064.5999999999999</v>
      </c>
      <c r="BN31" s="925">
        <f t="shared" si="42"/>
        <v>0</v>
      </c>
      <c r="BO31" s="925">
        <f t="shared" si="43"/>
        <v>0</v>
      </c>
      <c r="BP31" s="926"/>
      <c r="BQ31" s="925">
        <f t="shared" si="44"/>
        <v>14816.7</v>
      </c>
      <c r="BR31" s="925">
        <f t="shared" si="44"/>
        <v>4474.6000000000004</v>
      </c>
      <c r="BS31" s="925">
        <f t="shared" si="45"/>
        <v>19291.3</v>
      </c>
      <c r="BU31" s="928">
        <f>C31</f>
        <v>63</v>
      </c>
      <c r="BV31" s="917"/>
      <c r="BW31" s="928"/>
      <c r="BX31" s="928">
        <f>AW31-X31</f>
        <v>15634349.859999999</v>
      </c>
      <c r="BY31" s="928"/>
      <c r="BZ31" s="917"/>
      <c r="CA31" s="928"/>
      <c r="CB31" s="917"/>
      <c r="CC31" s="928"/>
      <c r="CD31" s="928"/>
      <c r="CE31" s="928"/>
      <c r="CF31" s="929">
        <f t="shared" si="46"/>
        <v>6096300.4800000004</v>
      </c>
      <c r="CG31" s="928"/>
      <c r="CH31" s="928"/>
      <c r="CI31" s="928"/>
      <c r="CJ31" s="925"/>
      <c r="CK31" s="925"/>
      <c r="CL31" s="925"/>
      <c r="CM31" s="925"/>
      <c r="CN31" s="925"/>
      <c r="CO31" s="925"/>
      <c r="CP31" s="925"/>
      <c r="CQ31" s="925"/>
      <c r="CR31" s="925"/>
      <c r="CS31" s="917"/>
      <c r="CT31" s="928"/>
      <c r="CU31" s="928"/>
      <c r="CV31" s="928"/>
      <c r="CX31" s="925"/>
      <c r="CY31" s="925"/>
      <c r="CZ31" s="925"/>
      <c r="DB31" s="925"/>
      <c r="DC31" s="925"/>
      <c r="DD31" s="925"/>
      <c r="DE31" s="925"/>
      <c r="DF31" s="925"/>
      <c r="DG31" s="925"/>
      <c r="DH31" s="925"/>
      <c r="DI31" s="925"/>
      <c r="DJ31" s="925"/>
      <c r="DK31" s="925"/>
      <c r="DL31" s="925"/>
      <c r="DM31" s="925"/>
      <c r="DN31" s="925"/>
      <c r="DO31" s="925"/>
      <c r="DP31" s="925"/>
      <c r="DQ31" s="924"/>
      <c r="DR31" s="925"/>
      <c r="DS31" s="925"/>
      <c r="DT31" s="925"/>
      <c r="DV31" s="925"/>
      <c r="DW31" s="925"/>
      <c r="DX31" s="925"/>
      <c r="DY31" s="925"/>
      <c r="DZ31" s="925"/>
      <c r="EA31" s="925"/>
      <c r="EB31" s="925"/>
      <c r="EC31" s="925"/>
      <c r="ED31" s="925"/>
      <c r="EE31" s="925"/>
      <c r="EF31" s="925"/>
      <c r="EG31" s="925"/>
      <c r="EH31" s="925"/>
      <c r="EI31" s="925"/>
      <c r="EJ31" s="925"/>
      <c r="EK31" s="925"/>
      <c r="EL31" s="925"/>
      <c r="EM31" s="925"/>
      <c r="EN31" s="925"/>
      <c r="EO31" s="925"/>
      <c r="EP31" s="925"/>
      <c r="EQ31" s="925"/>
      <c r="ER31" s="925"/>
      <c r="ES31" s="925"/>
      <c r="ET31" s="925"/>
      <c r="EV31" s="924"/>
      <c r="EW31" s="925"/>
      <c r="EX31" s="925"/>
      <c r="EY31" s="925"/>
    </row>
    <row r="32" spans="1:155" s="927" customFormat="1" ht="15.75" x14ac:dyDescent="0.25">
      <c r="A32" s="912" t="s">
        <v>359</v>
      </c>
      <c r="B32" s="913" t="s">
        <v>37</v>
      </c>
      <c r="C32" s="914">
        <v>6.19</v>
      </c>
      <c r="D32" s="914">
        <v>13132</v>
      </c>
      <c r="E32" s="915">
        <v>1.0549999999999999</v>
      </c>
      <c r="F32" s="916">
        <f t="shared" si="0"/>
        <v>13855</v>
      </c>
      <c r="G32" s="915">
        <v>1.01</v>
      </c>
      <c r="H32" s="916">
        <f t="shared" si="1"/>
        <v>13994</v>
      </c>
      <c r="I32" s="917">
        <f t="shared" si="2"/>
        <v>86622.86</v>
      </c>
      <c r="J32" s="918">
        <f t="shared" si="3"/>
        <v>0.20960999999999999</v>
      </c>
      <c r="K32" s="919">
        <v>17038.77</v>
      </c>
      <c r="L32" s="917">
        <f t="shared" si="4"/>
        <v>18157.02</v>
      </c>
      <c r="M32" s="918">
        <f t="shared" si="5"/>
        <v>0</v>
      </c>
      <c r="N32" s="919"/>
      <c r="O32" s="917">
        <f t="shared" si="6"/>
        <v>0</v>
      </c>
      <c r="P32" s="918">
        <f t="shared" si="7"/>
        <v>0</v>
      </c>
      <c r="Q32" s="919"/>
      <c r="R32" s="917">
        <f t="shared" si="8"/>
        <v>0</v>
      </c>
      <c r="S32" s="918">
        <f t="shared" si="9"/>
        <v>0</v>
      </c>
      <c r="T32" s="919"/>
      <c r="U32" s="917">
        <f t="shared" si="10"/>
        <v>0</v>
      </c>
      <c r="V32" s="918">
        <f t="shared" si="11"/>
        <v>0</v>
      </c>
      <c r="W32" s="919"/>
      <c r="X32" s="917">
        <f t="shared" si="12"/>
        <v>0</v>
      </c>
      <c r="Y32" s="918">
        <f t="shared" si="13"/>
        <v>0</v>
      </c>
      <c r="Z32" s="919"/>
      <c r="AA32" s="917">
        <f t="shared" si="14"/>
        <v>0</v>
      </c>
      <c r="AB32" s="918">
        <f t="shared" si="15"/>
        <v>0.16769000000000001</v>
      </c>
      <c r="AC32" s="919">
        <v>13631.02</v>
      </c>
      <c r="AD32" s="917">
        <f t="shared" si="16"/>
        <v>14525.79</v>
      </c>
      <c r="AE32" s="918">
        <f t="shared" si="17"/>
        <v>0</v>
      </c>
      <c r="AF32" s="919"/>
      <c r="AG32" s="917">
        <f t="shared" si="18"/>
        <v>0</v>
      </c>
      <c r="AH32" s="918">
        <f t="shared" si="19"/>
        <v>0</v>
      </c>
      <c r="AI32" s="919"/>
      <c r="AJ32" s="917">
        <f t="shared" si="20"/>
        <v>0</v>
      </c>
      <c r="AK32" s="918">
        <f t="shared" si="21"/>
        <v>0</v>
      </c>
      <c r="AL32" s="919"/>
      <c r="AM32" s="917">
        <f t="shared" si="22"/>
        <v>0</v>
      </c>
      <c r="AN32" s="920">
        <v>19242</v>
      </c>
      <c r="AO32" s="917">
        <f t="shared" si="23"/>
        <v>0</v>
      </c>
      <c r="AP32" s="920"/>
      <c r="AQ32" s="916">
        <f t="shared" si="24"/>
        <v>0</v>
      </c>
      <c r="AR32" s="917">
        <f t="shared" si="25"/>
        <v>119305.67</v>
      </c>
      <c r="AS32" s="916">
        <v>12</v>
      </c>
      <c r="AT32" s="921">
        <f t="shared" si="26"/>
        <v>1431668.04</v>
      </c>
      <c r="AU32" s="920"/>
      <c r="AV32" s="922">
        <f t="shared" si="27"/>
        <v>14316.68</v>
      </c>
      <c r="AW32" s="921">
        <f t="shared" si="28"/>
        <v>1445984.72</v>
      </c>
      <c r="AX32" s="921">
        <f t="shared" si="29"/>
        <v>436687.39</v>
      </c>
      <c r="AY32" s="921">
        <f t="shared" si="30"/>
        <v>1882672.11</v>
      </c>
      <c r="AZ32" s="923">
        <f t="shared" si="31"/>
        <v>1446</v>
      </c>
      <c r="BA32" s="923">
        <f t="shared" si="32"/>
        <v>436.7</v>
      </c>
      <c r="BB32" s="923">
        <f t="shared" si="33"/>
        <v>1882.7</v>
      </c>
      <c r="BC32" s="915">
        <v>0.95</v>
      </c>
      <c r="BD32" s="923">
        <f t="shared" si="34"/>
        <v>1373.7</v>
      </c>
      <c r="BE32" s="923">
        <f t="shared" si="35"/>
        <v>414.9</v>
      </c>
      <c r="BF32" s="923">
        <f t="shared" si="36"/>
        <v>1788.6</v>
      </c>
      <c r="BG32" s="924">
        <f>'[3]свод (2024)'!$B$116</f>
        <v>0.99758349999999996</v>
      </c>
      <c r="BH32" s="923">
        <f t="shared" si="37"/>
        <v>1370.4</v>
      </c>
      <c r="BI32" s="923">
        <f t="shared" si="38"/>
        <v>413.9</v>
      </c>
      <c r="BJ32" s="923">
        <f t="shared" si="39"/>
        <v>1784.3</v>
      </c>
      <c r="BK32" s="925">
        <f t="shared" si="40"/>
        <v>-75.599999999999994</v>
      </c>
      <c r="BL32" s="925">
        <f t="shared" si="40"/>
        <v>-22.8</v>
      </c>
      <c r="BM32" s="925">
        <f t="shared" si="41"/>
        <v>-98.4</v>
      </c>
      <c r="BN32" s="925">
        <f t="shared" si="42"/>
        <v>0</v>
      </c>
      <c r="BO32" s="925">
        <f t="shared" si="43"/>
        <v>0</v>
      </c>
      <c r="BP32" s="926"/>
      <c r="BQ32" s="925">
        <f t="shared" si="44"/>
        <v>1370.4</v>
      </c>
      <c r="BR32" s="925">
        <f t="shared" si="44"/>
        <v>413.9</v>
      </c>
      <c r="BS32" s="925">
        <f t="shared" si="45"/>
        <v>1784.3</v>
      </c>
      <c r="BU32" s="928">
        <f>C32</f>
        <v>6.19</v>
      </c>
      <c r="BV32" s="917"/>
      <c r="BW32" s="928"/>
      <c r="BX32" s="928">
        <f>AW32-X32</f>
        <v>1445984.72</v>
      </c>
      <c r="BY32" s="928"/>
      <c r="BZ32" s="917"/>
      <c r="CA32" s="928"/>
      <c r="CB32" s="917"/>
      <c r="CC32" s="928"/>
      <c r="CD32" s="928"/>
      <c r="CE32" s="928"/>
      <c r="CF32" s="929">
        <f t="shared" si="46"/>
        <v>598985.71</v>
      </c>
      <c r="CG32" s="928"/>
      <c r="CH32" s="928"/>
      <c r="CI32" s="928"/>
      <c r="CJ32" s="925"/>
      <c r="CK32" s="925"/>
      <c r="CL32" s="925"/>
      <c r="CM32" s="925"/>
      <c r="CN32" s="925"/>
      <c r="CO32" s="925"/>
      <c r="CP32" s="925"/>
      <c r="CQ32" s="925"/>
      <c r="CR32" s="925"/>
      <c r="CS32" s="917"/>
      <c r="CT32" s="928"/>
      <c r="CU32" s="928"/>
      <c r="CV32" s="928"/>
      <c r="CX32" s="925"/>
      <c r="CY32" s="925"/>
      <c r="CZ32" s="925"/>
      <c r="DB32" s="925"/>
      <c r="DC32" s="925"/>
      <c r="DD32" s="925"/>
      <c r="DE32" s="925"/>
      <c r="DF32" s="925"/>
      <c r="DG32" s="925"/>
      <c r="DH32" s="925"/>
      <c r="DI32" s="925"/>
      <c r="DJ32" s="925"/>
      <c r="DK32" s="925"/>
      <c r="DL32" s="925"/>
      <c r="DM32" s="925"/>
      <c r="DN32" s="925"/>
      <c r="DO32" s="925"/>
      <c r="DP32" s="925"/>
      <c r="DQ32" s="924"/>
      <c r="DR32" s="925"/>
      <c r="DS32" s="925"/>
      <c r="DT32" s="925"/>
      <c r="DV32" s="925"/>
      <c r="DW32" s="925"/>
      <c r="DX32" s="925"/>
      <c r="DY32" s="925"/>
      <c r="DZ32" s="925"/>
      <c r="EA32" s="925"/>
      <c r="EB32" s="925"/>
      <c r="EC32" s="925"/>
      <c r="ED32" s="925"/>
      <c r="EE32" s="925"/>
      <c r="EF32" s="925"/>
      <c r="EG32" s="925"/>
      <c r="EH32" s="925"/>
      <c r="EI32" s="925"/>
      <c r="EJ32" s="925"/>
      <c r="EK32" s="925"/>
      <c r="EL32" s="925"/>
      <c r="EM32" s="925"/>
      <c r="EN32" s="925"/>
      <c r="EO32" s="925"/>
      <c r="EP32" s="925"/>
      <c r="EQ32" s="925"/>
      <c r="ER32" s="925"/>
      <c r="ES32" s="925"/>
      <c r="ET32" s="925"/>
      <c r="EV32" s="924"/>
      <c r="EW32" s="925"/>
      <c r="EX32" s="925"/>
      <c r="EY32" s="925"/>
    </row>
    <row r="33" spans="1:155" s="927" customFormat="1" ht="15.75" x14ac:dyDescent="0.25">
      <c r="A33" s="912" t="s">
        <v>359</v>
      </c>
      <c r="B33" s="913" t="s">
        <v>1386</v>
      </c>
      <c r="C33" s="914">
        <v>1</v>
      </c>
      <c r="D33" s="914">
        <v>13772</v>
      </c>
      <c r="E33" s="915">
        <v>1.0549999999999999</v>
      </c>
      <c r="F33" s="916">
        <f t="shared" si="0"/>
        <v>14530</v>
      </c>
      <c r="G33" s="915">
        <v>1.01</v>
      </c>
      <c r="H33" s="916">
        <f t="shared" si="1"/>
        <v>14676</v>
      </c>
      <c r="I33" s="917">
        <f t="shared" si="2"/>
        <v>14676</v>
      </c>
      <c r="J33" s="918">
        <f t="shared" si="3"/>
        <v>0.25</v>
      </c>
      <c r="K33" s="919">
        <v>3443</v>
      </c>
      <c r="L33" s="917">
        <f t="shared" si="4"/>
        <v>3669</v>
      </c>
      <c r="M33" s="918">
        <f t="shared" si="5"/>
        <v>0</v>
      </c>
      <c r="N33" s="919"/>
      <c r="O33" s="917">
        <f t="shared" si="6"/>
        <v>0</v>
      </c>
      <c r="P33" s="918">
        <f t="shared" si="7"/>
        <v>0</v>
      </c>
      <c r="Q33" s="919"/>
      <c r="R33" s="917">
        <f t="shared" si="8"/>
        <v>0</v>
      </c>
      <c r="S33" s="918">
        <f t="shared" si="9"/>
        <v>0</v>
      </c>
      <c r="T33" s="919"/>
      <c r="U33" s="917">
        <f t="shared" si="10"/>
        <v>0</v>
      </c>
      <c r="V33" s="918">
        <f t="shared" si="11"/>
        <v>0</v>
      </c>
      <c r="W33" s="919"/>
      <c r="X33" s="917">
        <f t="shared" si="12"/>
        <v>0</v>
      </c>
      <c r="Y33" s="918">
        <f t="shared" si="13"/>
        <v>0</v>
      </c>
      <c r="Z33" s="919"/>
      <c r="AA33" s="917">
        <f t="shared" si="14"/>
        <v>0</v>
      </c>
      <c r="AB33" s="918">
        <f t="shared" si="15"/>
        <v>0.2</v>
      </c>
      <c r="AC33" s="919">
        <v>2754.4</v>
      </c>
      <c r="AD33" s="917">
        <f t="shared" si="16"/>
        <v>2935.2</v>
      </c>
      <c r="AE33" s="918">
        <f t="shared" si="17"/>
        <v>0</v>
      </c>
      <c r="AF33" s="919"/>
      <c r="AG33" s="917">
        <f t="shared" si="18"/>
        <v>0</v>
      </c>
      <c r="AH33" s="918">
        <f t="shared" si="19"/>
        <v>0</v>
      </c>
      <c r="AI33" s="919"/>
      <c r="AJ33" s="917">
        <f t="shared" si="20"/>
        <v>0</v>
      </c>
      <c r="AK33" s="918">
        <f t="shared" si="21"/>
        <v>0</v>
      </c>
      <c r="AL33" s="919"/>
      <c r="AM33" s="917">
        <f t="shared" si="22"/>
        <v>0</v>
      </c>
      <c r="AN33" s="920">
        <v>19242</v>
      </c>
      <c r="AO33" s="917">
        <f t="shared" si="23"/>
        <v>0</v>
      </c>
      <c r="AP33" s="920"/>
      <c r="AQ33" s="916">
        <f t="shared" si="24"/>
        <v>0</v>
      </c>
      <c r="AR33" s="917">
        <f t="shared" si="25"/>
        <v>21280.2</v>
      </c>
      <c r="AS33" s="916">
        <v>12</v>
      </c>
      <c r="AT33" s="921">
        <f t="shared" si="26"/>
        <v>255362.4</v>
      </c>
      <c r="AU33" s="920"/>
      <c r="AV33" s="922">
        <f t="shared" si="27"/>
        <v>2553.62</v>
      </c>
      <c r="AW33" s="921">
        <f t="shared" si="28"/>
        <v>257916.02</v>
      </c>
      <c r="AX33" s="921">
        <f t="shared" si="29"/>
        <v>77890.64</v>
      </c>
      <c r="AY33" s="921">
        <f t="shared" si="30"/>
        <v>335806.66</v>
      </c>
      <c r="AZ33" s="923">
        <f t="shared" si="31"/>
        <v>257.89999999999998</v>
      </c>
      <c r="BA33" s="923">
        <f t="shared" si="32"/>
        <v>77.900000000000006</v>
      </c>
      <c r="BB33" s="923">
        <f t="shared" si="33"/>
        <v>335.8</v>
      </c>
      <c r="BC33" s="915">
        <v>0.95</v>
      </c>
      <c r="BD33" s="923">
        <f t="shared" si="34"/>
        <v>245</v>
      </c>
      <c r="BE33" s="923">
        <f t="shared" si="35"/>
        <v>74</v>
      </c>
      <c r="BF33" s="923">
        <f t="shared" si="36"/>
        <v>319</v>
      </c>
      <c r="BG33" s="924">
        <f>'[3]свод (2024)'!$B$116</f>
        <v>0.99758349999999996</v>
      </c>
      <c r="BH33" s="923">
        <f t="shared" si="37"/>
        <v>244.4</v>
      </c>
      <c r="BI33" s="923">
        <f t="shared" si="38"/>
        <v>73.8</v>
      </c>
      <c r="BJ33" s="923">
        <f t="shared" si="39"/>
        <v>318.2</v>
      </c>
      <c r="BK33" s="925">
        <f t="shared" si="40"/>
        <v>-13.5</v>
      </c>
      <c r="BL33" s="925">
        <f t="shared" si="40"/>
        <v>-4.0999999999999996</v>
      </c>
      <c r="BM33" s="925">
        <f t="shared" si="41"/>
        <v>-17.600000000000001</v>
      </c>
      <c r="BN33" s="925">
        <f t="shared" si="42"/>
        <v>0</v>
      </c>
      <c r="BO33" s="925">
        <f t="shared" si="43"/>
        <v>0</v>
      </c>
      <c r="BP33" s="926"/>
      <c r="BQ33" s="925">
        <f t="shared" si="44"/>
        <v>244.4</v>
      </c>
      <c r="BR33" s="925">
        <f t="shared" si="44"/>
        <v>73.8</v>
      </c>
      <c r="BS33" s="925">
        <f t="shared" si="45"/>
        <v>318.2</v>
      </c>
      <c r="BU33" s="928">
        <f>C33</f>
        <v>1</v>
      </c>
      <c r="BV33" s="917"/>
      <c r="BW33" s="928"/>
      <c r="BX33" s="928">
        <f>AW33-X33</f>
        <v>257916.02</v>
      </c>
      <c r="BY33" s="928"/>
      <c r="BZ33" s="917"/>
      <c r="CA33" s="928"/>
      <c r="CB33" s="917"/>
      <c r="CC33" s="928"/>
      <c r="CD33" s="928"/>
      <c r="CE33" s="928"/>
      <c r="CF33" s="929">
        <f t="shared" si="46"/>
        <v>96766.67</v>
      </c>
      <c r="CG33" s="928"/>
      <c r="CH33" s="928"/>
      <c r="CI33" s="928"/>
      <c r="CJ33" s="925"/>
      <c r="CK33" s="925"/>
      <c r="CL33" s="925"/>
      <c r="CM33" s="925"/>
      <c r="CN33" s="925"/>
      <c r="CO33" s="925"/>
      <c r="CP33" s="925"/>
      <c r="CQ33" s="925"/>
      <c r="CR33" s="925"/>
      <c r="CS33" s="917"/>
      <c r="CT33" s="928"/>
      <c r="CU33" s="928"/>
      <c r="CV33" s="928"/>
      <c r="CX33" s="925"/>
      <c r="CY33" s="925"/>
      <c r="CZ33" s="925"/>
      <c r="DB33" s="925"/>
      <c r="DC33" s="925"/>
      <c r="DD33" s="925"/>
      <c r="DE33" s="925"/>
      <c r="DF33" s="925"/>
      <c r="DG33" s="925"/>
      <c r="DH33" s="925"/>
      <c r="DI33" s="925"/>
      <c r="DJ33" s="925"/>
      <c r="DK33" s="925"/>
      <c r="DL33" s="925"/>
      <c r="DM33" s="925"/>
      <c r="DN33" s="925"/>
      <c r="DO33" s="925"/>
      <c r="DP33" s="925"/>
      <c r="DQ33" s="924"/>
      <c r="DR33" s="925"/>
      <c r="DS33" s="925"/>
      <c r="DT33" s="925"/>
      <c r="DV33" s="925"/>
      <c r="DW33" s="925"/>
      <c r="DX33" s="925"/>
      <c r="DY33" s="925"/>
      <c r="DZ33" s="925"/>
      <c r="EA33" s="925"/>
      <c r="EB33" s="925"/>
      <c r="EC33" s="925"/>
      <c r="ED33" s="925"/>
      <c r="EE33" s="925"/>
      <c r="EF33" s="925"/>
      <c r="EG33" s="925"/>
      <c r="EH33" s="925"/>
      <c r="EI33" s="925"/>
      <c r="EJ33" s="925"/>
      <c r="EK33" s="925"/>
      <c r="EL33" s="925"/>
      <c r="EM33" s="925"/>
      <c r="EN33" s="925"/>
      <c r="EO33" s="925"/>
      <c r="EP33" s="925"/>
      <c r="EQ33" s="925"/>
      <c r="ER33" s="925"/>
      <c r="ES33" s="925"/>
      <c r="ET33" s="925"/>
      <c r="EV33" s="924"/>
      <c r="EW33" s="925"/>
      <c r="EX33" s="925"/>
      <c r="EY33" s="925"/>
    </row>
    <row r="34" spans="1:155" s="927" customFormat="1" ht="24" x14ac:dyDescent="0.25">
      <c r="A34" s="912" t="s">
        <v>359</v>
      </c>
      <c r="B34" s="913" t="s">
        <v>494</v>
      </c>
      <c r="C34" s="914">
        <v>2.5</v>
      </c>
      <c r="D34" s="914">
        <v>4588</v>
      </c>
      <c r="E34" s="915">
        <v>1.0549999999999999</v>
      </c>
      <c r="F34" s="916">
        <f t="shared" si="0"/>
        <v>4841</v>
      </c>
      <c r="G34" s="915">
        <v>1.01</v>
      </c>
      <c r="H34" s="916">
        <f t="shared" si="1"/>
        <v>4890</v>
      </c>
      <c r="I34" s="917">
        <f t="shared" si="2"/>
        <v>12225</v>
      </c>
      <c r="J34" s="918">
        <f t="shared" si="3"/>
        <v>0</v>
      </c>
      <c r="K34" s="919"/>
      <c r="L34" s="917">
        <f t="shared" si="4"/>
        <v>0</v>
      </c>
      <c r="M34" s="918">
        <f t="shared" si="5"/>
        <v>0</v>
      </c>
      <c r="N34" s="919"/>
      <c r="O34" s="917">
        <f t="shared" si="6"/>
        <v>0</v>
      </c>
      <c r="P34" s="918">
        <f t="shared" si="7"/>
        <v>0</v>
      </c>
      <c r="Q34" s="919"/>
      <c r="R34" s="917">
        <f t="shared" si="8"/>
        <v>0</v>
      </c>
      <c r="S34" s="918">
        <f t="shared" si="9"/>
        <v>0.5</v>
      </c>
      <c r="T34" s="919">
        <v>5735</v>
      </c>
      <c r="U34" s="917">
        <f t="shared" si="10"/>
        <v>6112.5</v>
      </c>
      <c r="V34" s="918">
        <f t="shared" si="11"/>
        <v>0</v>
      </c>
      <c r="W34" s="919"/>
      <c r="X34" s="917">
        <f t="shared" si="12"/>
        <v>0</v>
      </c>
      <c r="Y34" s="918">
        <f t="shared" si="13"/>
        <v>0</v>
      </c>
      <c r="Z34" s="919"/>
      <c r="AA34" s="917">
        <f t="shared" si="14"/>
        <v>0</v>
      </c>
      <c r="AB34" s="918">
        <f t="shared" si="15"/>
        <v>0</v>
      </c>
      <c r="AC34" s="919"/>
      <c r="AD34" s="917">
        <f t="shared" si="16"/>
        <v>0</v>
      </c>
      <c r="AE34" s="918">
        <f t="shared" si="17"/>
        <v>0</v>
      </c>
      <c r="AF34" s="919"/>
      <c r="AG34" s="917">
        <f t="shared" si="18"/>
        <v>0</v>
      </c>
      <c r="AH34" s="918">
        <f t="shared" si="19"/>
        <v>0</v>
      </c>
      <c r="AI34" s="919"/>
      <c r="AJ34" s="917">
        <f t="shared" si="20"/>
        <v>0</v>
      </c>
      <c r="AK34" s="918">
        <f t="shared" si="21"/>
        <v>0</v>
      </c>
      <c r="AL34" s="919"/>
      <c r="AM34" s="917">
        <f t="shared" si="22"/>
        <v>0</v>
      </c>
      <c r="AN34" s="920">
        <v>19242</v>
      </c>
      <c r="AO34" s="917">
        <f t="shared" si="23"/>
        <v>29767.5</v>
      </c>
      <c r="AP34" s="920"/>
      <c r="AQ34" s="916">
        <f t="shared" si="24"/>
        <v>0</v>
      </c>
      <c r="AR34" s="917">
        <f t="shared" si="25"/>
        <v>48105</v>
      </c>
      <c r="AS34" s="916">
        <v>12</v>
      </c>
      <c r="AT34" s="921">
        <f t="shared" si="26"/>
        <v>577260</v>
      </c>
      <c r="AU34" s="920"/>
      <c r="AV34" s="922">
        <f t="shared" si="27"/>
        <v>5772.6</v>
      </c>
      <c r="AW34" s="921">
        <f t="shared" si="28"/>
        <v>583032.6</v>
      </c>
      <c r="AX34" s="921">
        <f t="shared" si="29"/>
        <v>176075.85</v>
      </c>
      <c r="AY34" s="921">
        <f t="shared" si="30"/>
        <v>759108.45</v>
      </c>
      <c r="AZ34" s="923">
        <f t="shared" si="31"/>
        <v>583</v>
      </c>
      <c r="BA34" s="923">
        <f t="shared" si="32"/>
        <v>176.1</v>
      </c>
      <c r="BB34" s="923">
        <f t="shared" si="33"/>
        <v>759.1</v>
      </c>
      <c r="BC34" s="915">
        <v>0.95</v>
      </c>
      <c r="BD34" s="923">
        <f t="shared" si="34"/>
        <v>553.9</v>
      </c>
      <c r="BE34" s="923">
        <f t="shared" si="35"/>
        <v>167.3</v>
      </c>
      <c r="BF34" s="923">
        <f t="shared" si="36"/>
        <v>721.2</v>
      </c>
      <c r="BG34" s="924">
        <f>'[3]свод (2024)'!$B$116</f>
        <v>0.99758349999999996</v>
      </c>
      <c r="BH34" s="923">
        <f t="shared" si="37"/>
        <v>552.6</v>
      </c>
      <c r="BI34" s="923">
        <f t="shared" si="38"/>
        <v>166.9</v>
      </c>
      <c r="BJ34" s="923">
        <f t="shared" si="39"/>
        <v>719.5</v>
      </c>
      <c r="BK34" s="925">
        <f t="shared" si="40"/>
        <v>-30.4</v>
      </c>
      <c r="BL34" s="925">
        <f t="shared" si="40"/>
        <v>-9.1999999999999993</v>
      </c>
      <c r="BM34" s="925">
        <f t="shared" si="41"/>
        <v>-39.6</v>
      </c>
      <c r="BN34" s="925">
        <f t="shared" si="42"/>
        <v>0</v>
      </c>
      <c r="BO34" s="925">
        <f t="shared" si="43"/>
        <v>0</v>
      </c>
      <c r="BP34" s="926"/>
      <c r="BQ34" s="925">
        <f t="shared" si="44"/>
        <v>552.6</v>
      </c>
      <c r="BR34" s="925">
        <f t="shared" si="44"/>
        <v>166.9</v>
      </c>
      <c r="BS34" s="925">
        <f t="shared" si="45"/>
        <v>719.5</v>
      </c>
      <c r="BU34" s="928"/>
      <c r="BV34" s="917"/>
      <c r="BW34" s="928"/>
      <c r="BX34" s="928"/>
      <c r="BY34" s="928"/>
      <c r="BZ34" s="917"/>
      <c r="CA34" s="928"/>
      <c r="CB34" s="917"/>
      <c r="CC34" s="928"/>
      <c r="CD34" s="928"/>
      <c r="CE34" s="928"/>
      <c r="CF34" s="929"/>
      <c r="CG34" s="928"/>
      <c r="CH34" s="928"/>
      <c r="CI34" s="928"/>
      <c r="CJ34" s="925"/>
      <c r="CK34" s="925"/>
      <c r="CL34" s="925"/>
      <c r="CM34" s="925"/>
      <c r="CN34" s="925"/>
      <c r="CO34" s="925"/>
      <c r="CP34" s="925"/>
      <c r="CQ34" s="925"/>
      <c r="CR34" s="925"/>
      <c r="CS34" s="917"/>
      <c r="CT34" s="928"/>
      <c r="CU34" s="928"/>
      <c r="CV34" s="928"/>
      <c r="CX34" s="925"/>
      <c r="CY34" s="925"/>
      <c r="CZ34" s="925"/>
      <c r="DB34" s="925"/>
      <c r="DC34" s="925"/>
      <c r="DD34" s="925"/>
      <c r="DE34" s="925"/>
      <c r="DF34" s="925"/>
      <c r="DG34" s="925"/>
      <c r="DH34" s="925"/>
      <c r="DI34" s="925"/>
      <c r="DJ34" s="925"/>
      <c r="DK34" s="925"/>
      <c r="DL34" s="925"/>
      <c r="DM34" s="925"/>
      <c r="DN34" s="925"/>
      <c r="DO34" s="925"/>
      <c r="DP34" s="925"/>
      <c r="DQ34" s="924"/>
      <c r="DR34" s="925"/>
      <c r="DS34" s="925"/>
      <c r="DT34" s="925"/>
      <c r="DV34" s="925"/>
      <c r="DW34" s="925"/>
      <c r="DX34" s="925"/>
      <c r="DY34" s="925"/>
      <c r="DZ34" s="925"/>
      <c r="EA34" s="925"/>
      <c r="EB34" s="925"/>
      <c r="EC34" s="925"/>
      <c r="ED34" s="925"/>
      <c r="EE34" s="925"/>
      <c r="EF34" s="925"/>
      <c r="EG34" s="925"/>
      <c r="EH34" s="925"/>
      <c r="EI34" s="925"/>
      <c r="EJ34" s="925"/>
      <c r="EK34" s="925"/>
      <c r="EL34" s="925"/>
      <c r="EM34" s="925"/>
      <c r="EN34" s="925"/>
      <c r="EO34" s="925"/>
      <c r="EP34" s="925"/>
      <c r="EQ34" s="925"/>
      <c r="ER34" s="925"/>
      <c r="ES34" s="925"/>
      <c r="ET34" s="925"/>
      <c r="EV34" s="924"/>
      <c r="EW34" s="925"/>
      <c r="EX34" s="925"/>
      <c r="EY34" s="925"/>
    </row>
    <row r="35" spans="1:155" s="927" customFormat="1" ht="15.75" x14ac:dyDescent="0.25">
      <c r="A35" s="912" t="s">
        <v>359</v>
      </c>
      <c r="B35" s="913" t="s">
        <v>1387</v>
      </c>
      <c r="C35" s="914">
        <v>1</v>
      </c>
      <c r="D35" s="914">
        <v>4856</v>
      </c>
      <c r="E35" s="915">
        <v>1.0549999999999999</v>
      </c>
      <c r="F35" s="916">
        <f t="shared" si="0"/>
        <v>5124</v>
      </c>
      <c r="G35" s="915">
        <v>1.01</v>
      </c>
      <c r="H35" s="916">
        <f t="shared" si="1"/>
        <v>5176</v>
      </c>
      <c r="I35" s="917">
        <f t="shared" si="2"/>
        <v>5176</v>
      </c>
      <c r="J35" s="918">
        <f t="shared" si="3"/>
        <v>0</v>
      </c>
      <c r="K35" s="919"/>
      <c r="L35" s="917">
        <f t="shared" si="4"/>
        <v>0</v>
      </c>
      <c r="M35" s="918">
        <f t="shared" si="5"/>
        <v>0</v>
      </c>
      <c r="N35" s="919"/>
      <c r="O35" s="917">
        <f t="shared" si="6"/>
        <v>0</v>
      </c>
      <c r="P35" s="918">
        <f t="shared" si="7"/>
        <v>0</v>
      </c>
      <c r="Q35" s="919"/>
      <c r="R35" s="917">
        <f t="shared" si="8"/>
        <v>0</v>
      </c>
      <c r="S35" s="918">
        <f t="shared" si="9"/>
        <v>0</v>
      </c>
      <c r="T35" s="919"/>
      <c r="U35" s="917">
        <f t="shared" si="10"/>
        <v>0</v>
      </c>
      <c r="V35" s="918">
        <f t="shared" si="11"/>
        <v>0</v>
      </c>
      <c r="W35" s="919"/>
      <c r="X35" s="917">
        <f t="shared" si="12"/>
        <v>0</v>
      </c>
      <c r="Y35" s="918">
        <f t="shared" si="13"/>
        <v>0</v>
      </c>
      <c r="Z35" s="919"/>
      <c r="AA35" s="917">
        <f t="shared" si="14"/>
        <v>0</v>
      </c>
      <c r="AB35" s="918">
        <f t="shared" si="15"/>
        <v>0</v>
      </c>
      <c r="AC35" s="919"/>
      <c r="AD35" s="917">
        <f t="shared" si="16"/>
        <v>0</v>
      </c>
      <c r="AE35" s="918">
        <f t="shared" si="17"/>
        <v>0</v>
      </c>
      <c r="AF35" s="919"/>
      <c r="AG35" s="917">
        <f t="shared" si="18"/>
        <v>0</v>
      </c>
      <c r="AH35" s="918">
        <f t="shared" si="19"/>
        <v>0</v>
      </c>
      <c r="AI35" s="919"/>
      <c r="AJ35" s="917">
        <f t="shared" si="20"/>
        <v>0</v>
      </c>
      <c r="AK35" s="918">
        <f t="shared" si="21"/>
        <v>0</v>
      </c>
      <c r="AL35" s="919"/>
      <c r="AM35" s="917">
        <f t="shared" si="22"/>
        <v>0</v>
      </c>
      <c r="AN35" s="920">
        <v>19242</v>
      </c>
      <c r="AO35" s="917">
        <f t="shared" si="23"/>
        <v>14066</v>
      </c>
      <c r="AP35" s="920"/>
      <c r="AQ35" s="916">
        <f t="shared" si="24"/>
        <v>0</v>
      </c>
      <c r="AR35" s="917">
        <f t="shared" si="25"/>
        <v>19242</v>
      </c>
      <c r="AS35" s="916">
        <v>12</v>
      </c>
      <c r="AT35" s="921">
        <f t="shared" si="26"/>
        <v>230904</v>
      </c>
      <c r="AU35" s="920"/>
      <c r="AV35" s="922">
        <f t="shared" si="27"/>
        <v>2309.04</v>
      </c>
      <c r="AW35" s="921">
        <f t="shared" si="28"/>
        <v>233213.04</v>
      </c>
      <c r="AX35" s="921">
        <f t="shared" si="29"/>
        <v>70430.34</v>
      </c>
      <c r="AY35" s="921">
        <f t="shared" si="30"/>
        <v>303643.38</v>
      </c>
      <c r="AZ35" s="923">
        <f t="shared" si="31"/>
        <v>233.2</v>
      </c>
      <c r="BA35" s="923">
        <f t="shared" si="32"/>
        <v>70.400000000000006</v>
      </c>
      <c r="BB35" s="923">
        <f t="shared" si="33"/>
        <v>303.60000000000002</v>
      </c>
      <c r="BC35" s="915">
        <v>0.95</v>
      </c>
      <c r="BD35" s="923">
        <f t="shared" si="34"/>
        <v>221.5</v>
      </c>
      <c r="BE35" s="923">
        <f t="shared" si="35"/>
        <v>66.900000000000006</v>
      </c>
      <c r="BF35" s="923">
        <f t="shared" si="36"/>
        <v>288.39999999999998</v>
      </c>
      <c r="BG35" s="924">
        <f>'[3]свод (2024)'!$B$116</f>
        <v>0.99758349999999996</v>
      </c>
      <c r="BH35" s="923">
        <f t="shared" si="37"/>
        <v>221</v>
      </c>
      <c r="BI35" s="923">
        <f t="shared" si="38"/>
        <v>66.7</v>
      </c>
      <c r="BJ35" s="923">
        <f t="shared" si="39"/>
        <v>287.7</v>
      </c>
      <c r="BK35" s="925">
        <f t="shared" si="40"/>
        <v>-12.2</v>
      </c>
      <c r="BL35" s="925">
        <f t="shared" si="40"/>
        <v>-3.7</v>
      </c>
      <c r="BM35" s="925">
        <f t="shared" si="41"/>
        <v>-15.9</v>
      </c>
      <c r="BN35" s="925">
        <f t="shared" si="42"/>
        <v>0</v>
      </c>
      <c r="BO35" s="925">
        <f t="shared" si="43"/>
        <v>0</v>
      </c>
      <c r="BP35" s="926"/>
      <c r="BQ35" s="925">
        <f t="shared" si="44"/>
        <v>221</v>
      </c>
      <c r="BR35" s="925">
        <f t="shared" si="44"/>
        <v>66.7</v>
      </c>
      <c r="BS35" s="925">
        <f t="shared" si="45"/>
        <v>287.7</v>
      </c>
      <c r="BU35" s="928"/>
      <c r="BV35" s="917"/>
      <c r="BW35" s="928"/>
      <c r="BX35" s="928"/>
      <c r="BY35" s="928"/>
      <c r="BZ35" s="917"/>
      <c r="CA35" s="928"/>
      <c r="CB35" s="917"/>
      <c r="CC35" s="928"/>
      <c r="CD35" s="928"/>
      <c r="CE35" s="928"/>
      <c r="CF35" s="929"/>
      <c r="CG35" s="928"/>
      <c r="CH35" s="928"/>
      <c r="CI35" s="928"/>
      <c r="CJ35" s="925"/>
      <c r="CK35" s="925"/>
      <c r="CL35" s="925"/>
      <c r="CM35" s="925"/>
      <c r="CN35" s="925"/>
      <c r="CO35" s="925"/>
      <c r="CP35" s="925"/>
      <c r="CQ35" s="925"/>
      <c r="CR35" s="925"/>
      <c r="CS35" s="917"/>
      <c r="CT35" s="928"/>
      <c r="CU35" s="928"/>
      <c r="CV35" s="928"/>
      <c r="CX35" s="925"/>
      <c r="CY35" s="925"/>
      <c r="CZ35" s="925"/>
      <c r="DB35" s="925"/>
      <c r="DC35" s="925"/>
      <c r="DD35" s="925"/>
      <c r="DE35" s="925"/>
      <c r="DF35" s="925"/>
      <c r="DG35" s="925"/>
      <c r="DH35" s="925"/>
      <c r="DI35" s="925"/>
      <c r="DJ35" s="925"/>
      <c r="DK35" s="925"/>
      <c r="DL35" s="925"/>
      <c r="DM35" s="925"/>
      <c r="DN35" s="925"/>
      <c r="DO35" s="925"/>
      <c r="DP35" s="925"/>
      <c r="DQ35" s="924"/>
      <c r="DR35" s="925"/>
      <c r="DS35" s="925"/>
      <c r="DT35" s="925"/>
      <c r="DV35" s="925"/>
      <c r="DW35" s="925"/>
      <c r="DX35" s="925"/>
      <c r="DY35" s="925"/>
      <c r="DZ35" s="925"/>
      <c r="EA35" s="925"/>
      <c r="EB35" s="925"/>
      <c r="EC35" s="925"/>
      <c r="ED35" s="925"/>
      <c r="EE35" s="925"/>
      <c r="EF35" s="925"/>
      <c r="EG35" s="925"/>
      <c r="EH35" s="925"/>
      <c r="EI35" s="925"/>
      <c r="EJ35" s="925"/>
      <c r="EK35" s="925"/>
      <c r="EL35" s="925"/>
      <c r="EM35" s="925"/>
      <c r="EN35" s="925"/>
      <c r="EO35" s="925"/>
      <c r="EP35" s="925"/>
      <c r="EQ35" s="925"/>
      <c r="ER35" s="925"/>
      <c r="ES35" s="925"/>
      <c r="ET35" s="925"/>
      <c r="EV35" s="924"/>
      <c r="EW35" s="925"/>
      <c r="EX35" s="925"/>
      <c r="EY35" s="925"/>
    </row>
    <row r="36" spans="1:155" s="927" customFormat="1" ht="15.75" x14ac:dyDescent="0.25">
      <c r="A36" s="912" t="s">
        <v>359</v>
      </c>
      <c r="B36" s="913" t="s">
        <v>703</v>
      </c>
      <c r="C36" s="914">
        <v>1</v>
      </c>
      <c r="D36" s="914">
        <v>10481</v>
      </c>
      <c r="E36" s="915">
        <v>1.0549999999999999</v>
      </c>
      <c r="F36" s="916">
        <f t="shared" si="0"/>
        <v>11058</v>
      </c>
      <c r="G36" s="915">
        <v>1.01</v>
      </c>
      <c r="H36" s="916">
        <f t="shared" si="1"/>
        <v>11169</v>
      </c>
      <c r="I36" s="917">
        <f t="shared" si="2"/>
        <v>11169</v>
      </c>
      <c r="J36" s="918">
        <f t="shared" si="3"/>
        <v>0</v>
      </c>
      <c r="K36" s="919"/>
      <c r="L36" s="917">
        <f t="shared" si="4"/>
        <v>0</v>
      </c>
      <c r="M36" s="918">
        <f t="shared" si="5"/>
        <v>0</v>
      </c>
      <c r="N36" s="919"/>
      <c r="O36" s="917">
        <f t="shared" si="6"/>
        <v>0</v>
      </c>
      <c r="P36" s="918">
        <f t="shared" si="7"/>
        <v>0</v>
      </c>
      <c r="Q36" s="919"/>
      <c r="R36" s="917">
        <f t="shared" si="8"/>
        <v>0</v>
      </c>
      <c r="S36" s="918">
        <f t="shared" si="9"/>
        <v>0</v>
      </c>
      <c r="T36" s="919"/>
      <c r="U36" s="917">
        <f t="shared" si="10"/>
        <v>0</v>
      </c>
      <c r="V36" s="918">
        <f t="shared" si="11"/>
        <v>0</v>
      </c>
      <c r="W36" s="919"/>
      <c r="X36" s="917">
        <f t="shared" si="12"/>
        <v>0</v>
      </c>
      <c r="Y36" s="918">
        <f t="shared" si="13"/>
        <v>1.98</v>
      </c>
      <c r="Z36" s="919">
        <v>20752.38</v>
      </c>
      <c r="AA36" s="917">
        <f t="shared" si="14"/>
        <v>22114.62</v>
      </c>
      <c r="AB36" s="918">
        <f t="shared" si="15"/>
        <v>0.3</v>
      </c>
      <c r="AC36" s="919">
        <v>3144.3</v>
      </c>
      <c r="AD36" s="917">
        <f t="shared" si="16"/>
        <v>3350.7</v>
      </c>
      <c r="AE36" s="918">
        <f t="shared" si="17"/>
        <v>0</v>
      </c>
      <c r="AF36" s="919"/>
      <c r="AG36" s="917">
        <f t="shared" si="18"/>
        <v>0</v>
      </c>
      <c r="AH36" s="918">
        <f t="shared" si="19"/>
        <v>0</v>
      </c>
      <c r="AI36" s="919"/>
      <c r="AJ36" s="917">
        <f t="shared" si="20"/>
        <v>0</v>
      </c>
      <c r="AK36" s="918">
        <f t="shared" si="21"/>
        <v>0</v>
      </c>
      <c r="AL36" s="919"/>
      <c r="AM36" s="917">
        <f t="shared" si="22"/>
        <v>0</v>
      </c>
      <c r="AN36" s="920">
        <v>19242</v>
      </c>
      <c r="AO36" s="917">
        <f t="shared" si="23"/>
        <v>0</v>
      </c>
      <c r="AP36" s="920"/>
      <c r="AQ36" s="916">
        <f t="shared" si="24"/>
        <v>0</v>
      </c>
      <c r="AR36" s="917">
        <f t="shared" si="25"/>
        <v>36634.32</v>
      </c>
      <c r="AS36" s="916">
        <v>12</v>
      </c>
      <c r="AT36" s="921">
        <f t="shared" si="26"/>
        <v>439611.84</v>
      </c>
      <c r="AU36" s="920"/>
      <c r="AV36" s="922">
        <f t="shared" si="27"/>
        <v>4396.12</v>
      </c>
      <c r="AW36" s="921">
        <f t="shared" si="28"/>
        <v>444007.96</v>
      </c>
      <c r="AX36" s="921">
        <f t="shared" si="29"/>
        <v>134090.4</v>
      </c>
      <c r="AY36" s="921">
        <f t="shared" si="30"/>
        <v>578098.36</v>
      </c>
      <c r="AZ36" s="923">
        <f t="shared" si="31"/>
        <v>444</v>
      </c>
      <c r="BA36" s="923">
        <f t="shared" si="32"/>
        <v>134.1</v>
      </c>
      <c r="BB36" s="923">
        <f t="shared" si="33"/>
        <v>578.1</v>
      </c>
      <c r="BC36" s="915">
        <v>0.95</v>
      </c>
      <c r="BD36" s="923">
        <f t="shared" si="34"/>
        <v>421.8</v>
      </c>
      <c r="BE36" s="923">
        <f t="shared" si="35"/>
        <v>127.4</v>
      </c>
      <c r="BF36" s="923">
        <f t="shared" si="36"/>
        <v>549.20000000000005</v>
      </c>
      <c r="BG36" s="924">
        <f>'[3]свод (2024)'!$B$116</f>
        <v>0.99758349999999996</v>
      </c>
      <c r="BH36" s="923">
        <f t="shared" si="37"/>
        <v>420.8</v>
      </c>
      <c r="BI36" s="923">
        <f t="shared" si="38"/>
        <v>127.1</v>
      </c>
      <c r="BJ36" s="923">
        <f t="shared" si="39"/>
        <v>547.9</v>
      </c>
      <c r="BK36" s="925">
        <f t="shared" si="40"/>
        <v>-23.2</v>
      </c>
      <c r="BL36" s="925">
        <f t="shared" si="40"/>
        <v>-7</v>
      </c>
      <c r="BM36" s="925">
        <f t="shared" si="41"/>
        <v>-30.2</v>
      </c>
      <c r="BN36" s="925">
        <f t="shared" si="42"/>
        <v>0</v>
      </c>
      <c r="BO36" s="925">
        <f t="shared" si="43"/>
        <v>0</v>
      </c>
      <c r="BP36" s="926"/>
      <c r="BQ36" s="925">
        <f t="shared" si="44"/>
        <v>420.8</v>
      </c>
      <c r="BR36" s="925">
        <f t="shared" si="44"/>
        <v>127.1</v>
      </c>
      <c r="BS36" s="925">
        <f t="shared" si="45"/>
        <v>547.9</v>
      </c>
      <c r="BU36" s="928"/>
      <c r="BV36" s="917"/>
      <c r="BW36" s="928"/>
      <c r="BX36" s="928"/>
      <c r="BY36" s="928"/>
      <c r="BZ36" s="917"/>
      <c r="CA36" s="928"/>
      <c r="CB36" s="917"/>
      <c r="CC36" s="928"/>
      <c r="CD36" s="928"/>
      <c r="CE36" s="928"/>
      <c r="CF36" s="929"/>
      <c r="CG36" s="928"/>
      <c r="CH36" s="928"/>
      <c r="CI36" s="928"/>
      <c r="CJ36" s="925"/>
      <c r="CK36" s="925"/>
      <c r="CL36" s="925"/>
      <c r="CM36" s="925"/>
      <c r="CN36" s="925"/>
      <c r="CO36" s="925"/>
      <c r="CP36" s="925"/>
      <c r="CQ36" s="925"/>
      <c r="CR36" s="925"/>
      <c r="CS36" s="917"/>
      <c r="CT36" s="928"/>
      <c r="CU36" s="928"/>
      <c r="CV36" s="928"/>
      <c r="CX36" s="925"/>
      <c r="CY36" s="925"/>
      <c r="CZ36" s="925"/>
      <c r="DB36" s="925"/>
      <c r="DC36" s="925"/>
      <c r="DD36" s="925"/>
      <c r="DE36" s="925"/>
      <c r="DF36" s="925"/>
      <c r="DG36" s="925"/>
      <c r="DH36" s="925"/>
      <c r="DI36" s="925"/>
      <c r="DJ36" s="925"/>
      <c r="DK36" s="925"/>
      <c r="DL36" s="925"/>
      <c r="DM36" s="925"/>
      <c r="DN36" s="925"/>
      <c r="DO36" s="925"/>
      <c r="DP36" s="925"/>
      <c r="DQ36" s="924"/>
      <c r="DR36" s="925"/>
      <c r="DS36" s="925"/>
      <c r="DT36" s="925"/>
      <c r="DV36" s="925"/>
      <c r="DW36" s="925"/>
      <c r="DX36" s="925"/>
      <c r="DY36" s="925"/>
      <c r="DZ36" s="925"/>
      <c r="EA36" s="925"/>
      <c r="EB36" s="925"/>
      <c r="EC36" s="925"/>
      <c r="ED36" s="925"/>
      <c r="EE36" s="925"/>
      <c r="EF36" s="925"/>
      <c r="EG36" s="925"/>
      <c r="EH36" s="925"/>
      <c r="EI36" s="925"/>
      <c r="EJ36" s="925"/>
      <c r="EK36" s="925"/>
      <c r="EL36" s="925"/>
      <c r="EM36" s="925"/>
      <c r="EN36" s="925"/>
      <c r="EO36" s="925"/>
      <c r="EP36" s="925"/>
      <c r="EQ36" s="925"/>
      <c r="ER36" s="925"/>
      <c r="ES36" s="925"/>
      <c r="ET36" s="925"/>
      <c r="EV36" s="924"/>
      <c r="EW36" s="925"/>
      <c r="EX36" s="925"/>
      <c r="EY36" s="925"/>
    </row>
    <row r="37" spans="1:155" s="927" customFormat="1" ht="15.75" x14ac:dyDescent="0.25">
      <c r="A37" s="912" t="s">
        <v>359</v>
      </c>
      <c r="B37" s="913" t="s">
        <v>41</v>
      </c>
      <c r="C37" s="914">
        <v>1</v>
      </c>
      <c r="D37" s="914">
        <v>7912</v>
      </c>
      <c r="E37" s="915">
        <v>1.0549999999999999</v>
      </c>
      <c r="F37" s="916">
        <f t="shared" si="0"/>
        <v>8348</v>
      </c>
      <c r="G37" s="915">
        <v>1.01</v>
      </c>
      <c r="H37" s="916">
        <f t="shared" si="1"/>
        <v>8432</v>
      </c>
      <c r="I37" s="917">
        <f t="shared" si="2"/>
        <v>8432</v>
      </c>
      <c r="J37" s="918">
        <f t="shared" si="3"/>
        <v>0</v>
      </c>
      <c r="K37" s="919"/>
      <c r="L37" s="917">
        <f t="shared" si="4"/>
        <v>0</v>
      </c>
      <c r="M37" s="918">
        <f t="shared" si="5"/>
        <v>0</v>
      </c>
      <c r="N37" s="919"/>
      <c r="O37" s="917">
        <f t="shared" si="6"/>
        <v>0</v>
      </c>
      <c r="P37" s="918">
        <f t="shared" si="7"/>
        <v>0</v>
      </c>
      <c r="Q37" s="919"/>
      <c r="R37" s="917">
        <f t="shared" si="8"/>
        <v>0</v>
      </c>
      <c r="S37" s="918">
        <f t="shared" si="9"/>
        <v>0.18</v>
      </c>
      <c r="T37" s="919">
        <v>1424.16</v>
      </c>
      <c r="U37" s="917">
        <f t="shared" si="10"/>
        <v>1517.76</v>
      </c>
      <c r="V37" s="918">
        <f t="shared" si="11"/>
        <v>0</v>
      </c>
      <c r="W37" s="919"/>
      <c r="X37" s="917">
        <f t="shared" si="12"/>
        <v>0</v>
      </c>
      <c r="Y37" s="918">
        <f t="shared" si="13"/>
        <v>0</v>
      </c>
      <c r="Z37" s="919"/>
      <c r="AA37" s="917">
        <f t="shared" si="14"/>
        <v>0</v>
      </c>
      <c r="AB37" s="918">
        <f t="shared" si="15"/>
        <v>0.1</v>
      </c>
      <c r="AC37" s="919">
        <v>791.2</v>
      </c>
      <c r="AD37" s="917">
        <f t="shared" si="16"/>
        <v>843.2</v>
      </c>
      <c r="AE37" s="918">
        <f t="shared" si="17"/>
        <v>0</v>
      </c>
      <c r="AF37" s="919"/>
      <c r="AG37" s="917">
        <f t="shared" si="18"/>
        <v>0</v>
      </c>
      <c r="AH37" s="918">
        <f t="shared" si="19"/>
        <v>0</v>
      </c>
      <c r="AI37" s="919"/>
      <c r="AJ37" s="917">
        <f t="shared" si="20"/>
        <v>0</v>
      </c>
      <c r="AK37" s="918">
        <f t="shared" si="21"/>
        <v>0</v>
      </c>
      <c r="AL37" s="919"/>
      <c r="AM37" s="917">
        <f t="shared" si="22"/>
        <v>0</v>
      </c>
      <c r="AN37" s="920">
        <v>19242</v>
      </c>
      <c r="AO37" s="917">
        <f t="shared" si="23"/>
        <v>8449.0400000000009</v>
      </c>
      <c r="AP37" s="920"/>
      <c r="AQ37" s="916">
        <f t="shared" si="24"/>
        <v>0</v>
      </c>
      <c r="AR37" s="917">
        <f t="shared" si="25"/>
        <v>19242</v>
      </c>
      <c r="AS37" s="916">
        <v>12</v>
      </c>
      <c r="AT37" s="921">
        <f t="shared" si="26"/>
        <v>230904</v>
      </c>
      <c r="AU37" s="920"/>
      <c r="AV37" s="922">
        <f t="shared" si="27"/>
        <v>2309.04</v>
      </c>
      <c r="AW37" s="921">
        <f t="shared" si="28"/>
        <v>233213.04</v>
      </c>
      <c r="AX37" s="921">
        <f t="shared" si="29"/>
        <v>70430.34</v>
      </c>
      <c r="AY37" s="921">
        <f t="shared" si="30"/>
        <v>303643.38</v>
      </c>
      <c r="AZ37" s="923">
        <f t="shared" si="31"/>
        <v>233.2</v>
      </c>
      <c r="BA37" s="923">
        <f t="shared" si="32"/>
        <v>70.400000000000006</v>
      </c>
      <c r="BB37" s="923">
        <f t="shared" si="33"/>
        <v>303.60000000000002</v>
      </c>
      <c r="BC37" s="915">
        <v>0.95</v>
      </c>
      <c r="BD37" s="923">
        <f t="shared" si="34"/>
        <v>221.5</v>
      </c>
      <c r="BE37" s="923">
        <f t="shared" si="35"/>
        <v>66.900000000000006</v>
      </c>
      <c r="BF37" s="923">
        <f t="shared" si="36"/>
        <v>288.39999999999998</v>
      </c>
      <c r="BG37" s="924">
        <f>'[3]свод (2024)'!$B$116</f>
        <v>0.99758349999999996</v>
      </c>
      <c r="BH37" s="923">
        <f t="shared" si="37"/>
        <v>221</v>
      </c>
      <c r="BI37" s="923">
        <f t="shared" si="38"/>
        <v>66.7</v>
      </c>
      <c r="BJ37" s="923">
        <f t="shared" si="39"/>
        <v>287.7</v>
      </c>
      <c r="BK37" s="925">
        <f t="shared" si="40"/>
        <v>-12.2</v>
      </c>
      <c r="BL37" s="925">
        <f t="shared" si="40"/>
        <v>-3.7</v>
      </c>
      <c r="BM37" s="925">
        <f t="shared" si="41"/>
        <v>-15.9</v>
      </c>
      <c r="BN37" s="925">
        <f t="shared" si="42"/>
        <v>0</v>
      </c>
      <c r="BO37" s="925">
        <f t="shared" si="43"/>
        <v>0</v>
      </c>
      <c r="BP37" s="926"/>
      <c r="BQ37" s="925">
        <f t="shared" si="44"/>
        <v>221</v>
      </c>
      <c r="BR37" s="925">
        <f t="shared" si="44"/>
        <v>66.7</v>
      </c>
      <c r="BS37" s="925">
        <f t="shared" si="45"/>
        <v>287.7</v>
      </c>
      <c r="BU37" s="928"/>
      <c r="BV37" s="917"/>
      <c r="BW37" s="928"/>
      <c r="BX37" s="928"/>
      <c r="BY37" s="928"/>
      <c r="BZ37" s="917"/>
      <c r="CA37" s="928"/>
      <c r="CB37" s="917"/>
      <c r="CC37" s="928"/>
      <c r="CD37" s="928"/>
      <c r="CE37" s="928"/>
      <c r="CF37" s="929"/>
      <c r="CG37" s="928"/>
      <c r="CH37" s="928"/>
      <c r="CI37" s="928"/>
      <c r="CJ37" s="925"/>
      <c r="CK37" s="925"/>
      <c r="CL37" s="925"/>
      <c r="CM37" s="925"/>
      <c r="CN37" s="925"/>
      <c r="CO37" s="925"/>
      <c r="CP37" s="925"/>
      <c r="CQ37" s="925"/>
      <c r="CR37" s="925"/>
      <c r="CS37" s="917"/>
      <c r="CT37" s="928"/>
      <c r="CU37" s="928"/>
      <c r="CV37" s="928"/>
      <c r="CX37" s="925"/>
      <c r="CY37" s="925"/>
      <c r="CZ37" s="925"/>
      <c r="DB37" s="925"/>
      <c r="DC37" s="925"/>
      <c r="DD37" s="925"/>
      <c r="DE37" s="925"/>
      <c r="DF37" s="925"/>
      <c r="DG37" s="925"/>
      <c r="DH37" s="925"/>
      <c r="DI37" s="925"/>
      <c r="DJ37" s="925"/>
      <c r="DK37" s="925"/>
      <c r="DL37" s="925"/>
      <c r="DM37" s="925"/>
      <c r="DN37" s="925"/>
      <c r="DO37" s="925"/>
      <c r="DP37" s="925"/>
      <c r="DQ37" s="924"/>
      <c r="DR37" s="925"/>
      <c r="DS37" s="925"/>
      <c r="DT37" s="925"/>
      <c r="DV37" s="925"/>
      <c r="DW37" s="925"/>
      <c r="DX37" s="925"/>
      <c r="DY37" s="925"/>
      <c r="DZ37" s="925"/>
      <c r="EA37" s="925"/>
      <c r="EB37" s="925"/>
      <c r="EC37" s="925"/>
      <c r="ED37" s="925"/>
      <c r="EE37" s="925"/>
      <c r="EF37" s="925"/>
      <c r="EG37" s="925"/>
      <c r="EH37" s="925"/>
      <c r="EI37" s="925"/>
      <c r="EJ37" s="925"/>
      <c r="EK37" s="925"/>
      <c r="EL37" s="925"/>
      <c r="EM37" s="925"/>
      <c r="EN37" s="925"/>
      <c r="EO37" s="925"/>
      <c r="EP37" s="925"/>
      <c r="EQ37" s="925"/>
      <c r="ER37" s="925"/>
      <c r="ES37" s="925"/>
      <c r="ET37" s="925"/>
      <c r="EV37" s="924"/>
      <c r="EW37" s="925"/>
      <c r="EX37" s="925"/>
      <c r="EY37" s="925"/>
    </row>
    <row r="38" spans="1:155" s="927" customFormat="1" ht="15.75" x14ac:dyDescent="0.25">
      <c r="A38" s="912" t="s">
        <v>359</v>
      </c>
      <c r="B38" s="913" t="s">
        <v>44</v>
      </c>
      <c r="C38" s="914">
        <v>3.5</v>
      </c>
      <c r="D38" s="914">
        <v>4588</v>
      </c>
      <c r="E38" s="915">
        <v>1.0549999999999999</v>
      </c>
      <c r="F38" s="916">
        <f t="shared" si="0"/>
        <v>4841</v>
      </c>
      <c r="G38" s="915">
        <v>1.01</v>
      </c>
      <c r="H38" s="916">
        <f t="shared" si="1"/>
        <v>4890</v>
      </c>
      <c r="I38" s="917">
        <f t="shared" si="2"/>
        <v>17115</v>
      </c>
      <c r="J38" s="918">
        <f t="shared" si="3"/>
        <v>0</v>
      </c>
      <c r="K38" s="919"/>
      <c r="L38" s="917">
        <f t="shared" si="4"/>
        <v>0</v>
      </c>
      <c r="M38" s="918">
        <f t="shared" si="5"/>
        <v>0</v>
      </c>
      <c r="N38" s="919"/>
      <c r="O38" s="917">
        <f t="shared" si="6"/>
        <v>0</v>
      </c>
      <c r="P38" s="918">
        <f t="shared" si="7"/>
        <v>0</v>
      </c>
      <c r="Q38" s="919"/>
      <c r="R38" s="917">
        <f t="shared" si="8"/>
        <v>0</v>
      </c>
      <c r="S38" s="918">
        <f t="shared" si="9"/>
        <v>0.5</v>
      </c>
      <c r="T38" s="919">
        <v>8029</v>
      </c>
      <c r="U38" s="917">
        <f t="shared" si="10"/>
        <v>8557.5</v>
      </c>
      <c r="V38" s="918">
        <f t="shared" si="11"/>
        <v>0</v>
      </c>
      <c r="W38" s="919"/>
      <c r="X38" s="917">
        <f t="shared" si="12"/>
        <v>0</v>
      </c>
      <c r="Y38" s="918">
        <f t="shared" si="13"/>
        <v>0</v>
      </c>
      <c r="Z38" s="919"/>
      <c r="AA38" s="917">
        <f t="shared" si="14"/>
        <v>0</v>
      </c>
      <c r="AB38" s="918">
        <f t="shared" si="15"/>
        <v>0</v>
      </c>
      <c r="AC38" s="919"/>
      <c r="AD38" s="917">
        <f t="shared" si="16"/>
        <v>0</v>
      </c>
      <c r="AE38" s="918">
        <f t="shared" si="17"/>
        <v>0</v>
      </c>
      <c r="AF38" s="919"/>
      <c r="AG38" s="917">
        <f t="shared" si="18"/>
        <v>0</v>
      </c>
      <c r="AH38" s="918">
        <f t="shared" si="19"/>
        <v>0</v>
      </c>
      <c r="AI38" s="919"/>
      <c r="AJ38" s="917">
        <f t="shared" si="20"/>
        <v>0</v>
      </c>
      <c r="AK38" s="918">
        <f t="shared" si="21"/>
        <v>0</v>
      </c>
      <c r="AL38" s="919"/>
      <c r="AM38" s="917">
        <f t="shared" si="22"/>
        <v>0</v>
      </c>
      <c r="AN38" s="920">
        <v>19242</v>
      </c>
      <c r="AO38" s="917">
        <f t="shared" si="23"/>
        <v>41674.5</v>
      </c>
      <c r="AP38" s="920"/>
      <c r="AQ38" s="916">
        <f t="shared" si="24"/>
        <v>0</v>
      </c>
      <c r="AR38" s="917">
        <f t="shared" si="25"/>
        <v>67347</v>
      </c>
      <c r="AS38" s="916">
        <v>12</v>
      </c>
      <c r="AT38" s="921">
        <f t="shared" si="26"/>
        <v>808164</v>
      </c>
      <c r="AU38" s="920"/>
      <c r="AV38" s="922">
        <f t="shared" si="27"/>
        <v>8081.64</v>
      </c>
      <c r="AW38" s="921">
        <f t="shared" si="28"/>
        <v>816245.64</v>
      </c>
      <c r="AX38" s="921">
        <f t="shared" si="29"/>
        <v>246506.18</v>
      </c>
      <c r="AY38" s="921">
        <f t="shared" si="30"/>
        <v>1062751.82</v>
      </c>
      <c r="AZ38" s="923">
        <f t="shared" si="31"/>
        <v>816.2</v>
      </c>
      <c r="BA38" s="923">
        <f t="shared" si="32"/>
        <v>246.5</v>
      </c>
      <c r="BB38" s="923">
        <f t="shared" si="33"/>
        <v>1062.7</v>
      </c>
      <c r="BC38" s="915">
        <v>0.95</v>
      </c>
      <c r="BD38" s="923">
        <f t="shared" si="34"/>
        <v>775.4</v>
      </c>
      <c r="BE38" s="923">
        <f t="shared" si="35"/>
        <v>234.2</v>
      </c>
      <c r="BF38" s="923">
        <f t="shared" si="36"/>
        <v>1009.6</v>
      </c>
      <c r="BG38" s="924">
        <f>'[3]свод (2024)'!$B$116</f>
        <v>0.99758349999999996</v>
      </c>
      <c r="BH38" s="923">
        <f t="shared" si="37"/>
        <v>773.5</v>
      </c>
      <c r="BI38" s="923">
        <f t="shared" si="38"/>
        <v>233.6</v>
      </c>
      <c r="BJ38" s="923">
        <f t="shared" si="39"/>
        <v>1007.1</v>
      </c>
      <c r="BK38" s="925">
        <f t="shared" si="40"/>
        <v>-42.7</v>
      </c>
      <c r="BL38" s="925">
        <f t="shared" si="40"/>
        <v>-12.9</v>
      </c>
      <c r="BM38" s="925">
        <f t="shared" si="41"/>
        <v>-55.6</v>
      </c>
      <c r="BN38" s="925">
        <f t="shared" si="42"/>
        <v>0</v>
      </c>
      <c r="BO38" s="925">
        <f t="shared" si="43"/>
        <v>0</v>
      </c>
      <c r="BP38" s="926"/>
      <c r="BQ38" s="925">
        <f t="shared" si="44"/>
        <v>773.5</v>
      </c>
      <c r="BR38" s="925">
        <f t="shared" si="44"/>
        <v>233.6</v>
      </c>
      <c r="BS38" s="925">
        <f t="shared" si="45"/>
        <v>1007.1</v>
      </c>
      <c r="BU38" s="928"/>
      <c r="BV38" s="917"/>
      <c r="BW38" s="928"/>
      <c r="BX38" s="928"/>
      <c r="BY38" s="928"/>
      <c r="BZ38" s="917"/>
      <c r="CA38" s="928"/>
      <c r="CB38" s="917"/>
      <c r="CC38" s="928"/>
      <c r="CD38" s="928"/>
      <c r="CE38" s="928"/>
      <c r="CF38" s="929"/>
      <c r="CG38" s="928"/>
      <c r="CH38" s="928"/>
      <c r="CI38" s="928"/>
      <c r="CJ38" s="925"/>
      <c r="CK38" s="925"/>
      <c r="CL38" s="925"/>
      <c r="CM38" s="925"/>
      <c r="CN38" s="925"/>
      <c r="CO38" s="925"/>
      <c r="CP38" s="925"/>
      <c r="CQ38" s="925"/>
      <c r="CR38" s="925"/>
      <c r="CS38" s="917"/>
      <c r="CT38" s="928"/>
      <c r="CU38" s="928"/>
      <c r="CV38" s="928"/>
      <c r="CX38" s="925"/>
      <c r="CY38" s="925"/>
      <c r="CZ38" s="925"/>
      <c r="DB38" s="925"/>
      <c r="DC38" s="925"/>
      <c r="DD38" s="925"/>
      <c r="DE38" s="925"/>
      <c r="DF38" s="925"/>
      <c r="DG38" s="925"/>
      <c r="DH38" s="925"/>
      <c r="DI38" s="925"/>
      <c r="DJ38" s="925"/>
      <c r="DK38" s="925"/>
      <c r="DL38" s="925"/>
      <c r="DM38" s="925"/>
      <c r="DN38" s="925"/>
      <c r="DO38" s="925"/>
      <c r="DP38" s="925"/>
      <c r="DQ38" s="924"/>
      <c r="DR38" s="925"/>
      <c r="DS38" s="925"/>
      <c r="DT38" s="925"/>
      <c r="DV38" s="925"/>
      <c r="DW38" s="925"/>
      <c r="DX38" s="925"/>
      <c r="DY38" s="925"/>
      <c r="DZ38" s="925"/>
      <c r="EA38" s="925"/>
      <c r="EB38" s="925"/>
      <c r="EC38" s="925"/>
      <c r="ED38" s="925"/>
      <c r="EE38" s="925"/>
      <c r="EF38" s="925"/>
      <c r="EG38" s="925"/>
      <c r="EH38" s="925"/>
      <c r="EI38" s="925"/>
      <c r="EJ38" s="925"/>
      <c r="EK38" s="925"/>
      <c r="EL38" s="925"/>
      <c r="EM38" s="925"/>
      <c r="EN38" s="925"/>
      <c r="EO38" s="925"/>
      <c r="EP38" s="925"/>
      <c r="EQ38" s="925"/>
      <c r="ER38" s="925"/>
      <c r="ES38" s="925"/>
      <c r="ET38" s="925"/>
      <c r="EV38" s="924"/>
      <c r="EW38" s="925"/>
      <c r="EX38" s="925"/>
      <c r="EY38" s="925"/>
    </row>
    <row r="39" spans="1:155" s="927" customFormat="1" ht="15.75" x14ac:dyDescent="0.25">
      <c r="A39" s="912" t="s">
        <v>359</v>
      </c>
      <c r="B39" s="913" t="s">
        <v>34</v>
      </c>
      <c r="C39" s="914">
        <v>1</v>
      </c>
      <c r="D39" s="914">
        <v>13132</v>
      </c>
      <c r="E39" s="915">
        <v>1.0549999999999999</v>
      </c>
      <c r="F39" s="916">
        <f t="shared" si="0"/>
        <v>13855</v>
      </c>
      <c r="G39" s="915">
        <v>1.01</v>
      </c>
      <c r="H39" s="916">
        <f t="shared" si="1"/>
        <v>13994</v>
      </c>
      <c r="I39" s="917">
        <f t="shared" si="2"/>
        <v>13994</v>
      </c>
      <c r="J39" s="918">
        <f t="shared" si="3"/>
        <v>0.25</v>
      </c>
      <c r="K39" s="919">
        <v>3283</v>
      </c>
      <c r="L39" s="917">
        <f t="shared" si="4"/>
        <v>3498.5</v>
      </c>
      <c r="M39" s="918">
        <f t="shared" si="5"/>
        <v>0</v>
      </c>
      <c r="N39" s="919"/>
      <c r="O39" s="917">
        <f t="shared" si="6"/>
        <v>0</v>
      </c>
      <c r="P39" s="918">
        <f t="shared" si="7"/>
        <v>0</v>
      </c>
      <c r="Q39" s="919"/>
      <c r="R39" s="917">
        <f t="shared" si="8"/>
        <v>0</v>
      </c>
      <c r="S39" s="918">
        <f t="shared" si="9"/>
        <v>0</v>
      </c>
      <c r="T39" s="919"/>
      <c r="U39" s="917">
        <f t="shared" si="10"/>
        <v>0</v>
      </c>
      <c r="V39" s="918">
        <f t="shared" si="11"/>
        <v>0</v>
      </c>
      <c r="W39" s="919"/>
      <c r="X39" s="917">
        <f t="shared" si="12"/>
        <v>0</v>
      </c>
      <c r="Y39" s="918">
        <f t="shared" si="13"/>
        <v>0</v>
      </c>
      <c r="Z39" s="919"/>
      <c r="AA39" s="917">
        <f t="shared" si="14"/>
        <v>0</v>
      </c>
      <c r="AB39" s="918">
        <f t="shared" si="15"/>
        <v>0.2</v>
      </c>
      <c r="AC39" s="919">
        <v>2626.4</v>
      </c>
      <c r="AD39" s="917">
        <f t="shared" si="16"/>
        <v>2798.8</v>
      </c>
      <c r="AE39" s="918">
        <f t="shared" si="17"/>
        <v>0</v>
      </c>
      <c r="AF39" s="919"/>
      <c r="AG39" s="917">
        <f t="shared" si="18"/>
        <v>0</v>
      </c>
      <c r="AH39" s="918">
        <f t="shared" si="19"/>
        <v>0</v>
      </c>
      <c r="AI39" s="919"/>
      <c r="AJ39" s="917">
        <f t="shared" si="20"/>
        <v>0</v>
      </c>
      <c r="AK39" s="918">
        <f t="shared" si="21"/>
        <v>0</v>
      </c>
      <c r="AL39" s="919"/>
      <c r="AM39" s="917">
        <f t="shared" si="22"/>
        <v>0</v>
      </c>
      <c r="AN39" s="920">
        <v>19242</v>
      </c>
      <c r="AO39" s="917">
        <f t="shared" si="23"/>
        <v>0</v>
      </c>
      <c r="AP39" s="920"/>
      <c r="AQ39" s="916">
        <f t="shared" si="24"/>
        <v>0</v>
      </c>
      <c r="AR39" s="917">
        <f t="shared" si="25"/>
        <v>20291.3</v>
      </c>
      <c r="AS39" s="916">
        <v>12</v>
      </c>
      <c r="AT39" s="921">
        <f t="shared" si="26"/>
        <v>243495.6</v>
      </c>
      <c r="AU39" s="920"/>
      <c r="AV39" s="922">
        <f t="shared" si="27"/>
        <v>2434.96</v>
      </c>
      <c r="AW39" s="921">
        <f t="shared" si="28"/>
        <v>245930.56</v>
      </c>
      <c r="AX39" s="921">
        <f t="shared" si="29"/>
        <v>74271.03</v>
      </c>
      <c r="AY39" s="921">
        <f t="shared" si="30"/>
        <v>320201.59000000003</v>
      </c>
      <c r="AZ39" s="923">
        <f t="shared" si="31"/>
        <v>245.9</v>
      </c>
      <c r="BA39" s="923">
        <f t="shared" si="32"/>
        <v>74.3</v>
      </c>
      <c r="BB39" s="923">
        <f t="shared" si="33"/>
        <v>320.2</v>
      </c>
      <c r="BC39" s="915">
        <v>0.95</v>
      </c>
      <c r="BD39" s="923">
        <f t="shared" si="34"/>
        <v>233.6</v>
      </c>
      <c r="BE39" s="923">
        <f t="shared" si="35"/>
        <v>70.5</v>
      </c>
      <c r="BF39" s="923">
        <f t="shared" si="36"/>
        <v>304.10000000000002</v>
      </c>
      <c r="BG39" s="924">
        <f>'[3]свод (2024)'!$B$116</f>
        <v>0.99758349999999996</v>
      </c>
      <c r="BH39" s="923">
        <f t="shared" si="37"/>
        <v>233</v>
      </c>
      <c r="BI39" s="923">
        <f t="shared" si="38"/>
        <v>70.400000000000006</v>
      </c>
      <c r="BJ39" s="923">
        <f t="shared" si="39"/>
        <v>303.39999999999998</v>
      </c>
      <c r="BK39" s="925">
        <f t="shared" si="40"/>
        <v>-12.9</v>
      </c>
      <c r="BL39" s="925">
        <f t="shared" si="40"/>
        <v>-3.9</v>
      </c>
      <c r="BM39" s="925">
        <f t="shared" si="41"/>
        <v>-16.8</v>
      </c>
      <c r="BN39" s="925">
        <f t="shared" si="42"/>
        <v>0</v>
      </c>
      <c r="BO39" s="925">
        <f t="shared" si="43"/>
        <v>0</v>
      </c>
      <c r="BP39" s="926"/>
      <c r="BQ39" s="925">
        <f t="shared" si="44"/>
        <v>233</v>
      </c>
      <c r="BR39" s="925">
        <f t="shared" si="44"/>
        <v>70.400000000000006</v>
      </c>
      <c r="BS39" s="925">
        <f t="shared" si="45"/>
        <v>303.39999999999998</v>
      </c>
      <c r="BU39" s="928">
        <f>C39</f>
        <v>1</v>
      </c>
      <c r="BV39" s="917"/>
      <c r="BW39" s="928"/>
      <c r="BX39" s="928">
        <f>AW39-X39</f>
        <v>245930.56</v>
      </c>
      <c r="BY39" s="928"/>
      <c r="BZ39" s="917"/>
      <c r="CA39" s="928"/>
      <c r="CB39" s="917"/>
      <c r="CC39" s="928"/>
      <c r="CD39" s="928"/>
      <c r="CE39" s="928"/>
      <c r="CF39" s="929">
        <f t="shared" si="46"/>
        <v>96766.67</v>
      </c>
      <c r="CG39" s="928"/>
      <c r="CH39" s="928"/>
      <c r="CI39" s="928"/>
      <c r="CJ39" s="925"/>
      <c r="CK39" s="925"/>
      <c r="CL39" s="925"/>
      <c r="CM39" s="925"/>
      <c r="CN39" s="925"/>
      <c r="CO39" s="925"/>
      <c r="CP39" s="925"/>
      <c r="CQ39" s="925"/>
      <c r="CR39" s="925"/>
      <c r="CS39" s="917"/>
      <c r="CT39" s="928"/>
      <c r="CU39" s="928"/>
      <c r="CV39" s="928"/>
      <c r="CX39" s="925"/>
      <c r="CY39" s="925"/>
      <c r="CZ39" s="925"/>
      <c r="DB39" s="925"/>
      <c r="DC39" s="925"/>
      <c r="DD39" s="925"/>
      <c r="DE39" s="925"/>
      <c r="DF39" s="925"/>
      <c r="DG39" s="925"/>
      <c r="DH39" s="925"/>
      <c r="DI39" s="925"/>
      <c r="DJ39" s="925"/>
      <c r="DK39" s="925"/>
      <c r="DL39" s="925"/>
      <c r="DM39" s="925"/>
      <c r="DN39" s="925"/>
      <c r="DO39" s="925"/>
      <c r="DP39" s="925"/>
      <c r="DQ39" s="924"/>
      <c r="DR39" s="925"/>
      <c r="DS39" s="925"/>
      <c r="DT39" s="925"/>
      <c r="DV39" s="925"/>
      <c r="DW39" s="925"/>
      <c r="DX39" s="925"/>
      <c r="DY39" s="925"/>
      <c r="DZ39" s="925"/>
      <c r="EA39" s="925"/>
      <c r="EB39" s="925"/>
      <c r="EC39" s="925"/>
      <c r="ED39" s="925"/>
      <c r="EE39" s="925"/>
      <c r="EF39" s="925"/>
      <c r="EG39" s="925"/>
      <c r="EH39" s="925"/>
      <c r="EI39" s="925"/>
      <c r="EJ39" s="925"/>
      <c r="EK39" s="925"/>
      <c r="EL39" s="925"/>
      <c r="EM39" s="925"/>
      <c r="EN39" s="925"/>
      <c r="EO39" s="925"/>
      <c r="EP39" s="925"/>
      <c r="EQ39" s="925"/>
      <c r="ER39" s="925"/>
      <c r="ES39" s="925"/>
      <c r="ET39" s="925"/>
      <c r="EV39" s="924"/>
      <c r="EW39" s="925"/>
      <c r="EX39" s="925"/>
      <c r="EY39" s="925"/>
    </row>
    <row r="40" spans="1:155" s="927" customFormat="1" ht="15.75" x14ac:dyDescent="0.25">
      <c r="A40" s="912" t="s">
        <v>359</v>
      </c>
      <c r="B40" s="913" t="s">
        <v>399</v>
      </c>
      <c r="C40" s="914">
        <v>0.5</v>
      </c>
      <c r="D40" s="914">
        <v>6707</v>
      </c>
      <c r="E40" s="915">
        <v>1.0549999999999999</v>
      </c>
      <c r="F40" s="916">
        <f t="shared" si="0"/>
        <v>7076</v>
      </c>
      <c r="G40" s="915">
        <v>1.01</v>
      </c>
      <c r="H40" s="916">
        <f t="shared" si="1"/>
        <v>7147</v>
      </c>
      <c r="I40" s="917">
        <f t="shared" si="2"/>
        <v>3573.5</v>
      </c>
      <c r="J40" s="918">
        <f t="shared" si="3"/>
        <v>0</v>
      </c>
      <c r="K40" s="919"/>
      <c r="L40" s="917">
        <f t="shared" si="4"/>
        <v>0</v>
      </c>
      <c r="M40" s="918">
        <f t="shared" si="5"/>
        <v>0</v>
      </c>
      <c r="N40" s="919"/>
      <c r="O40" s="917">
        <f t="shared" si="6"/>
        <v>0</v>
      </c>
      <c r="P40" s="918">
        <f t="shared" si="7"/>
        <v>0</v>
      </c>
      <c r="Q40" s="919"/>
      <c r="R40" s="917">
        <f t="shared" si="8"/>
        <v>0</v>
      </c>
      <c r="S40" s="918">
        <f t="shared" si="9"/>
        <v>0</v>
      </c>
      <c r="T40" s="919"/>
      <c r="U40" s="917">
        <f t="shared" si="10"/>
        <v>0</v>
      </c>
      <c r="V40" s="918">
        <f t="shared" si="11"/>
        <v>0</v>
      </c>
      <c r="W40" s="919"/>
      <c r="X40" s="917">
        <f t="shared" si="12"/>
        <v>0</v>
      </c>
      <c r="Y40" s="918">
        <f t="shared" si="13"/>
        <v>1.98</v>
      </c>
      <c r="Z40" s="919">
        <v>6639.93</v>
      </c>
      <c r="AA40" s="917">
        <f t="shared" si="14"/>
        <v>7075.53</v>
      </c>
      <c r="AB40" s="918">
        <f t="shared" si="15"/>
        <v>0.3</v>
      </c>
      <c r="AC40" s="919">
        <v>1006.05</v>
      </c>
      <c r="AD40" s="917">
        <f t="shared" si="16"/>
        <v>1072.05</v>
      </c>
      <c r="AE40" s="918">
        <f t="shared" si="17"/>
        <v>0</v>
      </c>
      <c r="AF40" s="919"/>
      <c r="AG40" s="917">
        <f t="shared" si="18"/>
        <v>0</v>
      </c>
      <c r="AH40" s="918">
        <f t="shared" si="19"/>
        <v>0</v>
      </c>
      <c r="AI40" s="919"/>
      <c r="AJ40" s="917">
        <f t="shared" si="20"/>
        <v>0</v>
      </c>
      <c r="AK40" s="918">
        <f t="shared" si="21"/>
        <v>0</v>
      </c>
      <c r="AL40" s="919"/>
      <c r="AM40" s="917">
        <f t="shared" si="22"/>
        <v>0</v>
      </c>
      <c r="AN40" s="920">
        <v>19242</v>
      </c>
      <c r="AO40" s="917">
        <f t="shared" si="23"/>
        <v>0</v>
      </c>
      <c r="AP40" s="920"/>
      <c r="AQ40" s="916">
        <f t="shared" si="24"/>
        <v>0</v>
      </c>
      <c r="AR40" s="917">
        <f t="shared" si="25"/>
        <v>11721.08</v>
      </c>
      <c r="AS40" s="916">
        <v>12</v>
      </c>
      <c r="AT40" s="921">
        <f t="shared" si="26"/>
        <v>140652.96</v>
      </c>
      <c r="AU40" s="920"/>
      <c r="AV40" s="922">
        <f t="shared" si="27"/>
        <v>1406.53</v>
      </c>
      <c r="AW40" s="921">
        <f t="shared" si="28"/>
        <v>142059.49</v>
      </c>
      <c r="AX40" s="921">
        <f t="shared" si="29"/>
        <v>42901.97</v>
      </c>
      <c r="AY40" s="921">
        <f t="shared" si="30"/>
        <v>184961.46</v>
      </c>
      <c r="AZ40" s="923">
        <f t="shared" si="31"/>
        <v>142.1</v>
      </c>
      <c r="BA40" s="923">
        <f t="shared" si="32"/>
        <v>42.9</v>
      </c>
      <c r="BB40" s="923">
        <f t="shared" si="33"/>
        <v>185</v>
      </c>
      <c r="BC40" s="915">
        <v>0.95</v>
      </c>
      <c r="BD40" s="923">
        <f t="shared" si="34"/>
        <v>135</v>
      </c>
      <c r="BE40" s="923">
        <f t="shared" si="35"/>
        <v>40.799999999999997</v>
      </c>
      <c r="BF40" s="923">
        <f t="shared" si="36"/>
        <v>175.8</v>
      </c>
      <c r="BG40" s="924">
        <f>'[3]свод (2024)'!$B$116</f>
        <v>0.99758349999999996</v>
      </c>
      <c r="BH40" s="923">
        <f t="shared" si="37"/>
        <v>134.69999999999999</v>
      </c>
      <c r="BI40" s="923">
        <f t="shared" si="38"/>
        <v>40.700000000000003</v>
      </c>
      <c r="BJ40" s="923">
        <f t="shared" si="39"/>
        <v>175.4</v>
      </c>
      <c r="BK40" s="925">
        <f t="shared" si="40"/>
        <v>-7.4</v>
      </c>
      <c r="BL40" s="925">
        <f t="shared" si="40"/>
        <v>-2.2000000000000002</v>
      </c>
      <c r="BM40" s="925">
        <f t="shared" si="41"/>
        <v>-9.6</v>
      </c>
      <c r="BN40" s="925">
        <f t="shared" si="42"/>
        <v>0</v>
      </c>
      <c r="BO40" s="925">
        <f t="shared" si="43"/>
        <v>0</v>
      </c>
      <c r="BP40" s="926"/>
      <c r="BQ40" s="925">
        <f t="shared" si="44"/>
        <v>134.69999999999999</v>
      </c>
      <c r="BR40" s="925">
        <f t="shared" si="44"/>
        <v>40.700000000000003</v>
      </c>
      <c r="BS40" s="925">
        <f t="shared" si="45"/>
        <v>175.4</v>
      </c>
      <c r="BU40" s="928"/>
      <c r="BV40" s="917"/>
      <c r="BW40" s="928"/>
      <c r="BX40" s="928"/>
      <c r="BY40" s="928"/>
      <c r="BZ40" s="917"/>
      <c r="CA40" s="928"/>
      <c r="CB40" s="917"/>
      <c r="CC40" s="928"/>
      <c r="CD40" s="928"/>
      <c r="CE40" s="928"/>
      <c r="CF40" s="929"/>
      <c r="CG40" s="928"/>
      <c r="CH40" s="928"/>
      <c r="CI40" s="928"/>
      <c r="CJ40" s="925"/>
      <c r="CK40" s="925"/>
      <c r="CL40" s="925"/>
      <c r="CM40" s="925"/>
      <c r="CN40" s="925"/>
      <c r="CO40" s="925"/>
      <c r="CP40" s="925"/>
      <c r="CQ40" s="925"/>
      <c r="CR40" s="925"/>
      <c r="CS40" s="917"/>
      <c r="CT40" s="928"/>
      <c r="CU40" s="928"/>
      <c r="CV40" s="928"/>
      <c r="CX40" s="925"/>
      <c r="CY40" s="925"/>
      <c r="CZ40" s="925"/>
      <c r="DB40" s="925"/>
      <c r="DC40" s="925"/>
      <c r="DD40" s="925"/>
      <c r="DE40" s="925"/>
      <c r="DF40" s="925"/>
      <c r="DG40" s="925"/>
      <c r="DH40" s="925"/>
      <c r="DI40" s="925"/>
      <c r="DJ40" s="925"/>
      <c r="DK40" s="925"/>
      <c r="DL40" s="925"/>
      <c r="DM40" s="925"/>
      <c r="DN40" s="925"/>
      <c r="DO40" s="925"/>
      <c r="DP40" s="925"/>
      <c r="DQ40" s="924"/>
      <c r="DR40" s="925"/>
      <c r="DS40" s="925"/>
      <c r="DT40" s="925"/>
      <c r="DV40" s="925"/>
      <c r="DW40" s="925"/>
      <c r="DX40" s="925"/>
      <c r="DY40" s="925"/>
      <c r="DZ40" s="925"/>
      <c r="EA40" s="925"/>
      <c r="EB40" s="925"/>
      <c r="EC40" s="925"/>
      <c r="ED40" s="925"/>
      <c r="EE40" s="925"/>
      <c r="EF40" s="925"/>
      <c r="EG40" s="925"/>
      <c r="EH40" s="925"/>
      <c r="EI40" s="925"/>
      <c r="EJ40" s="925"/>
      <c r="EK40" s="925"/>
      <c r="EL40" s="925"/>
      <c r="EM40" s="925"/>
      <c r="EN40" s="925"/>
      <c r="EO40" s="925"/>
      <c r="EP40" s="925"/>
      <c r="EQ40" s="925"/>
      <c r="ER40" s="925"/>
      <c r="ES40" s="925"/>
      <c r="ET40" s="925"/>
      <c r="EV40" s="924"/>
      <c r="EW40" s="925"/>
      <c r="EX40" s="925"/>
      <c r="EY40" s="925"/>
    </row>
    <row r="41" spans="1:155" s="927" customFormat="1" ht="15.75" x14ac:dyDescent="0.25">
      <c r="A41" s="912" t="s">
        <v>359</v>
      </c>
      <c r="B41" s="913" t="s">
        <v>1388</v>
      </c>
      <c r="C41" s="914">
        <v>0.5</v>
      </c>
      <c r="D41" s="914">
        <v>6707</v>
      </c>
      <c r="E41" s="915">
        <v>1.0549999999999999</v>
      </c>
      <c r="F41" s="916">
        <f t="shared" si="0"/>
        <v>7076</v>
      </c>
      <c r="G41" s="915">
        <v>1.01</v>
      </c>
      <c r="H41" s="916">
        <f t="shared" si="1"/>
        <v>7147</v>
      </c>
      <c r="I41" s="917">
        <f t="shared" si="2"/>
        <v>3573.5</v>
      </c>
      <c r="J41" s="918">
        <f t="shared" si="3"/>
        <v>0</v>
      </c>
      <c r="K41" s="919"/>
      <c r="L41" s="917">
        <f t="shared" si="4"/>
        <v>0</v>
      </c>
      <c r="M41" s="918">
        <f t="shared" si="5"/>
        <v>0</v>
      </c>
      <c r="N41" s="919"/>
      <c r="O41" s="917">
        <f t="shared" si="6"/>
        <v>0</v>
      </c>
      <c r="P41" s="918">
        <f t="shared" si="7"/>
        <v>0</v>
      </c>
      <c r="Q41" s="919"/>
      <c r="R41" s="917">
        <f t="shared" si="8"/>
        <v>0</v>
      </c>
      <c r="S41" s="918">
        <f t="shared" si="9"/>
        <v>0</v>
      </c>
      <c r="T41" s="919"/>
      <c r="U41" s="917">
        <f t="shared" si="10"/>
        <v>0</v>
      </c>
      <c r="V41" s="918">
        <f t="shared" si="11"/>
        <v>0</v>
      </c>
      <c r="W41" s="919"/>
      <c r="X41" s="917">
        <f t="shared" si="12"/>
        <v>0</v>
      </c>
      <c r="Y41" s="918">
        <f t="shared" si="13"/>
        <v>1.98</v>
      </c>
      <c r="Z41" s="919">
        <v>6639.93</v>
      </c>
      <c r="AA41" s="917">
        <f t="shared" si="14"/>
        <v>7075.53</v>
      </c>
      <c r="AB41" s="918">
        <f t="shared" si="15"/>
        <v>0.3</v>
      </c>
      <c r="AC41" s="919">
        <v>1006.05</v>
      </c>
      <c r="AD41" s="917">
        <f t="shared" si="16"/>
        <v>1072.05</v>
      </c>
      <c r="AE41" s="918">
        <f t="shared" si="17"/>
        <v>0</v>
      </c>
      <c r="AF41" s="919"/>
      <c r="AG41" s="917">
        <f t="shared" si="18"/>
        <v>0</v>
      </c>
      <c r="AH41" s="918">
        <f t="shared" si="19"/>
        <v>0</v>
      </c>
      <c r="AI41" s="919"/>
      <c r="AJ41" s="917">
        <f t="shared" si="20"/>
        <v>0</v>
      </c>
      <c r="AK41" s="918">
        <f t="shared" si="21"/>
        <v>0</v>
      </c>
      <c r="AL41" s="919"/>
      <c r="AM41" s="917">
        <f t="shared" si="22"/>
        <v>0</v>
      </c>
      <c r="AN41" s="920">
        <v>19242</v>
      </c>
      <c r="AO41" s="917">
        <f t="shared" si="23"/>
        <v>0</v>
      </c>
      <c r="AP41" s="920"/>
      <c r="AQ41" s="916">
        <f t="shared" si="24"/>
        <v>0</v>
      </c>
      <c r="AR41" s="917">
        <f t="shared" si="25"/>
        <v>11721.08</v>
      </c>
      <c r="AS41" s="916">
        <v>12</v>
      </c>
      <c r="AT41" s="921">
        <f t="shared" si="26"/>
        <v>140652.96</v>
      </c>
      <c r="AU41" s="920"/>
      <c r="AV41" s="922">
        <f t="shared" si="27"/>
        <v>1406.53</v>
      </c>
      <c r="AW41" s="921">
        <f t="shared" si="28"/>
        <v>142059.49</v>
      </c>
      <c r="AX41" s="921">
        <f t="shared" si="29"/>
        <v>42901.97</v>
      </c>
      <c r="AY41" s="921">
        <f t="shared" si="30"/>
        <v>184961.46</v>
      </c>
      <c r="AZ41" s="923">
        <f t="shared" si="31"/>
        <v>142.1</v>
      </c>
      <c r="BA41" s="923">
        <f t="shared" si="32"/>
        <v>42.9</v>
      </c>
      <c r="BB41" s="923">
        <f t="shared" si="33"/>
        <v>185</v>
      </c>
      <c r="BC41" s="915">
        <v>0.95</v>
      </c>
      <c r="BD41" s="923">
        <f t="shared" si="34"/>
        <v>135</v>
      </c>
      <c r="BE41" s="923">
        <f t="shared" si="35"/>
        <v>40.799999999999997</v>
      </c>
      <c r="BF41" s="923">
        <f t="shared" si="36"/>
        <v>175.8</v>
      </c>
      <c r="BG41" s="924">
        <f>'[3]свод (2024)'!$B$116</f>
        <v>0.99758349999999996</v>
      </c>
      <c r="BH41" s="923">
        <f t="shared" si="37"/>
        <v>134.69999999999999</v>
      </c>
      <c r="BI41" s="923">
        <f t="shared" si="38"/>
        <v>40.700000000000003</v>
      </c>
      <c r="BJ41" s="923">
        <f t="shared" si="39"/>
        <v>175.4</v>
      </c>
      <c r="BK41" s="925">
        <f t="shared" si="40"/>
        <v>-7.4</v>
      </c>
      <c r="BL41" s="925">
        <f t="shared" si="40"/>
        <v>-2.2000000000000002</v>
      </c>
      <c r="BM41" s="925">
        <f t="shared" si="41"/>
        <v>-9.6</v>
      </c>
      <c r="BN41" s="925">
        <f t="shared" si="42"/>
        <v>0</v>
      </c>
      <c r="BO41" s="925">
        <f t="shared" si="43"/>
        <v>0</v>
      </c>
      <c r="BP41" s="926"/>
      <c r="BQ41" s="925">
        <f t="shared" si="44"/>
        <v>134.69999999999999</v>
      </c>
      <c r="BR41" s="925">
        <f t="shared" si="44"/>
        <v>40.700000000000003</v>
      </c>
      <c r="BS41" s="925">
        <f t="shared" si="45"/>
        <v>175.4</v>
      </c>
      <c r="BU41" s="928"/>
      <c r="BV41" s="917"/>
      <c r="BW41" s="928"/>
      <c r="BX41" s="928"/>
      <c r="BY41" s="928"/>
      <c r="BZ41" s="917"/>
      <c r="CA41" s="928"/>
      <c r="CB41" s="917"/>
      <c r="CC41" s="928"/>
      <c r="CD41" s="928"/>
      <c r="CE41" s="928"/>
      <c r="CF41" s="929"/>
      <c r="CG41" s="928"/>
      <c r="CH41" s="928"/>
      <c r="CI41" s="928"/>
      <c r="CJ41" s="925"/>
      <c r="CK41" s="925"/>
      <c r="CL41" s="925"/>
      <c r="CM41" s="925"/>
      <c r="CN41" s="925"/>
      <c r="CO41" s="925"/>
      <c r="CP41" s="925"/>
      <c r="CQ41" s="925"/>
      <c r="CR41" s="925"/>
      <c r="CS41" s="917"/>
      <c r="CT41" s="928"/>
      <c r="CU41" s="928"/>
      <c r="CV41" s="928"/>
      <c r="CX41" s="925"/>
      <c r="CY41" s="925"/>
      <c r="CZ41" s="925"/>
      <c r="DB41" s="925"/>
      <c r="DC41" s="925"/>
      <c r="DD41" s="925"/>
      <c r="DE41" s="925"/>
      <c r="DF41" s="925"/>
      <c r="DG41" s="925"/>
      <c r="DH41" s="925"/>
      <c r="DI41" s="925"/>
      <c r="DJ41" s="925"/>
      <c r="DK41" s="925"/>
      <c r="DL41" s="925"/>
      <c r="DM41" s="925"/>
      <c r="DN41" s="925"/>
      <c r="DO41" s="925"/>
      <c r="DP41" s="925"/>
      <c r="DQ41" s="924"/>
      <c r="DR41" s="925"/>
      <c r="DS41" s="925"/>
      <c r="DT41" s="925"/>
      <c r="DV41" s="925"/>
      <c r="DW41" s="925"/>
      <c r="DX41" s="925"/>
      <c r="DY41" s="925"/>
      <c r="DZ41" s="925"/>
      <c r="EA41" s="925"/>
      <c r="EB41" s="925"/>
      <c r="EC41" s="925"/>
      <c r="ED41" s="925"/>
      <c r="EE41" s="925"/>
      <c r="EF41" s="925"/>
      <c r="EG41" s="925"/>
      <c r="EH41" s="925"/>
      <c r="EI41" s="925"/>
      <c r="EJ41" s="925"/>
      <c r="EK41" s="925"/>
      <c r="EL41" s="925"/>
      <c r="EM41" s="925"/>
      <c r="EN41" s="925"/>
      <c r="EO41" s="925"/>
      <c r="EP41" s="925"/>
      <c r="EQ41" s="925"/>
      <c r="ER41" s="925"/>
      <c r="ES41" s="925"/>
      <c r="ET41" s="925"/>
      <c r="EV41" s="924"/>
      <c r="EW41" s="925"/>
      <c r="EX41" s="925"/>
      <c r="EY41" s="925"/>
    </row>
    <row r="42" spans="1:155" s="927" customFormat="1" ht="15.75" x14ac:dyDescent="0.25">
      <c r="A42" s="912" t="s">
        <v>359</v>
      </c>
      <c r="B42" s="913" t="s">
        <v>1389</v>
      </c>
      <c r="C42" s="914">
        <v>6</v>
      </c>
      <c r="D42" s="914">
        <v>4336</v>
      </c>
      <c r="E42" s="915">
        <v>1.0549999999999999</v>
      </c>
      <c r="F42" s="916">
        <f t="shared" si="0"/>
        <v>4575</v>
      </c>
      <c r="G42" s="915">
        <v>1.01</v>
      </c>
      <c r="H42" s="916">
        <f t="shared" si="1"/>
        <v>4621</v>
      </c>
      <c r="I42" s="917">
        <f t="shared" si="2"/>
        <v>27726</v>
      </c>
      <c r="J42" s="918">
        <f t="shared" si="3"/>
        <v>0</v>
      </c>
      <c r="K42" s="919"/>
      <c r="L42" s="917">
        <f t="shared" si="4"/>
        <v>0</v>
      </c>
      <c r="M42" s="918">
        <f t="shared" si="5"/>
        <v>0</v>
      </c>
      <c r="N42" s="919"/>
      <c r="O42" s="917">
        <f t="shared" si="6"/>
        <v>0</v>
      </c>
      <c r="P42" s="918">
        <f t="shared" si="7"/>
        <v>0</v>
      </c>
      <c r="Q42" s="919"/>
      <c r="R42" s="917">
        <f t="shared" si="8"/>
        <v>0</v>
      </c>
      <c r="S42" s="918">
        <f t="shared" si="9"/>
        <v>0.41666999999999998</v>
      </c>
      <c r="T42" s="919">
        <v>10840</v>
      </c>
      <c r="U42" s="917">
        <f t="shared" si="10"/>
        <v>11552.59</v>
      </c>
      <c r="V42" s="918">
        <f t="shared" si="11"/>
        <v>0</v>
      </c>
      <c r="W42" s="919"/>
      <c r="X42" s="917">
        <f t="shared" si="12"/>
        <v>0</v>
      </c>
      <c r="Y42" s="918">
        <f t="shared" si="13"/>
        <v>0</v>
      </c>
      <c r="Z42" s="919"/>
      <c r="AA42" s="917">
        <f t="shared" si="14"/>
        <v>0</v>
      </c>
      <c r="AB42" s="918">
        <f t="shared" si="15"/>
        <v>0</v>
      </c>
      <c r="AC42" s="919"/>
      <c r="AD42" s="917">
        <f t="shared" si="16"/>
        <v>0</v>
      </c>
      <c r="AE42" s="918">
        <f t="shared" si="17"/>
        <v>0</v>
      </c>
      <c r="AF42" s="919"/>
      <c r="AG42" s="917">
        <f t="shared" si="18"/>
        <v>0</v>
      </c>
      <c r="AH42" s="918">
        <f t="shared" si="19"/>
        <v>0</v>
      </c>
      <c r="AI42" s="919"/>
      <c r="AJ42" s="917">
        <f t="shared" si="20"/>
        <v>0</v>
      </c>
      <c r="AK42" s="918">
        <f t="shared" si="21"/>
        <v>0</v>
      </c>
      <c r="AL42" s="919"/>
      <c r="AM42" s="917">
        <f t="shared" si="22"/>
        <v>0</v>
      </c>
      <c r="AN42" s="920">
        <v>19242</v>
      </c>
      <c r="AO42" s="917">
        <f t="shared" si="23"/>
        <v>76173.41</v>
      </c>
      <c r="AP42" s="920">
        <v>1060.29</v>
      </c>
      <c r="AQ42" s="916">
        <f t="shared" si="24"/>
        <v>6361.74</v>
      </c>
      <c r="AR42" s="917">
        <f t="shared" si="25"/>
        <v>121813.74</v>
      </c>
      <c r="AS42" s="916">
        <v>12</v>
      </c>
      <c r="AT42" s="921">
        <f t="shared" si="26"/>
        <v>1461764.88</v>
      </c>
      <c r="AU42" s="920">
        <f>AT42*0.085</f>
        <v>124250.01</v>
      </c>
      <c r="AV42" s="922">
        <f t="shared" si="27"/>
        <v>14617.65</v>
      </c>
      <c r="AW42" s="921">
        <f t="shared" si="28"/>
        <v>1600632.54</v>
      </c>
      <c r="AX42" s="921">
        <f t="shared" si="29"/>
        <v>483391.03</v>
      </c>
      <c r="AY42" s="921">
        <f t="shared" si="30"/>
        <v>2084023.57</v>
      </c>
      <c r="AZ42" s="923">
        <f t="shared" si="31"/>
        <v>1600.6</v>
      </c>
      <c r="BA42" s="923">
        <f t="shared" si="32"/>
        <v>483.4</v>
      </c>
      <c r="BB42" s="923">
        <f t="shared" si="33"/>
        <v>2084</v>
      </c>
      <c r="BC42" s="915">
        <v>0.95</v>
      </c>
      <c r="BD42" s="923">
        <f t="shared" si="34"/>
        <v>1520.6</v>
      </c>
      <c r="BE42" s="923">
        <f t="shared" si="35"/>
        <v>459.2</v>
      </c>
      <c r="BF42" s="923">
        <f t="shared" si="36"/>
        <v>1979.8</v>
      </c>
      <c r="BG42" s="924">
        <f>'[3]свод (2024)'!$B$116</f>
        <v>0.99758349999999996</v>
      </c>
      <c r="BH42" s="923">
        <f>ROUND(BD42*BG42,1)</f>
        <v>1516.9</v>
      </c>
      <c r="BI42" s="923">
        <f t="shared" si="38"/>
        <v>458.1</v>
      </c>
      <c r="BJ42" s="923">
        <f t="shared" si="39"/>
        <v>1975</v>
      </c>
      <c r="BK42" s="925">
        <f t="shared" si="40"/>
        <v>-83.7</v>
      </c>
      <c r="BL42" s="925">
        <f t="shared" si="40"/>
        <v>-25.3</v>
      </c>
      <c r="BM42" s="925">
        <f t="shared" si="41"/>
        <v>-109</v>
      </c>
      <c r="BN42" s="925">
        <f t="shared" si="42"/>
        <v>0</v>
      </c>
      <c r="BO42" s="925">
        <f t="shared" si="43"/>
        <v>0</v>
      </c>
      <c r="BP42" s="926"/>
      <c r="BQ42" s="925">
        <f t="shared" si="44"/>
        <v>1516.9</v>
      </c>
      <c r="BR42" s="925">
        <f t="shared" si="44"/>
        <v>458.1</v>
      </c>
      <c r="BS42" s="925">
        <f t="shared" si="45"/>
        <v>1975</v>
      </c>
      <c r="BU42" s="928"/>
      <c r="BV42" s="917"/>
      <c r="BW42" s="928"/>
      <c r="BX42" s="928"/>
      <c r="BY42" s="928"/>
      <c r="BZ42" s="917"/>
      <c r="CA42" s="928"/>
      <c r="CB42" s="917"/>
      <c r="CC42" s="928"/>
      <c r="CD42" s="928"/>
      <c r="CE42" s="928"/>
      <c r="CF42" s="929"/>
      <c r="CG42" s="928"/>
      <c r="CH42" s="928"/>
      <c r="CI42" s="928"/>
      <c r="CJ42" s="925"/>
      <c r="CK42" s="925"/>
      <c r="CL42" s="925"/>
      <c r="CM42" s="925"/>
      <c r="CN42" s="925"/>
      <c r="CO42" s="925"/>
      <c r="CP42" s="925"/>
      <c r="CQ42" s="925"/>
      <c r="CR42" s="925"/>
      <c r="CS42" s="917"/>
      <c r="CT42" s="928"/>
      <c r="CU42" s="928"/>
      <c r="CV42" s="928"/>
      <c r="CX42" s="925"/>
      <c r="CY42" s="925"/>
      <c r="CZ42" s="925"/>
      <c r="DB42" s="925"/>
      <c r="DC42" s="925"/>
      <c r="DD42" s="925"/>
      <c r="DE42" s="925"/>
      <c r="DF42" s="925"/>
      <c r="DG42" s="925"/>
      <c r="DH42" s="925"/>
      <c r="DI42" s="925"/>
      <c r="DJ42" s="925"/>
      <c r="DK42" s="925"/>
      <c r="DL42" s="925"/>
      <c r="DM42" s="925"/>
      <c r="DN42" s="925"/>
      <c r="DO42" s="925"/>
      <c r="DP42" s="925"/>
      <c r="DQ42" s="924"/>
      <c r="DR42" s="925"/>
      <c r="DS42" s="925"/>
      <c r="DT42" s="925"/>
      <c r="DV42" s="925"/>
      <c r="DW42" s="925"/>
      <c r="DX42" s="925"/>
      <c r="DY42" s="925"/>
      <c r="DZ42" s="925"/>
      <c r="EA42" s="925"/>
      <c r="EB42" s="925"/>
      <c r="EC42" s="925"/>
      <c r="ED42" s="925"/>
      <c r="EE42" s="925"/>
      <c r="EF42" s="925"/>
      <c r="EG42" s="925"/>
      <c r="EH42" s="925"/>
      <c r="EI42" s="925"/>
      <c r="EJ42" s="925"/>
      <c r="EK42" s="925"/>
      <c r="EL42" s="925"/>
      <c r="EM42" s="925"/>
      <c r="EN42" s="925"/>
      <c r="EO42" s="925"/>
      <c r="EP42" s="925"/>
      <c r="EQ42" s="925"/>
      <c r="ER42" s="925"/>
      <c r="ES42" s="925"/>
      <c r="ET42" s="925"/>
      <c r="EV42" s="924"/>
      <c r="EW42" s="925"/>
      <c r="EX42" s="925"/>
      <c r="EY42" s="925"/>
    </row>
    <row r="43" spans="1:155" s="927" customFormat="1" ht="15.75" x14ac:dyDescent="0.25">
      <c r="A43" s="912" t="s">
        <v>359</v>
      </c>
      <c r="B43" s="913" t="s">
        <v>493</v>
      </c>
      <c r="C43" s="914">
        <v>8.82</v>
      </c>
      <c r="D43" s="914">
        <v>13132</v>
      </c>
      <c r="E43" s="915">
        <v>1.0549999999999999</v>
      </c>
      <c r="F43" s="916">
        <f t="shared" si="0"/>
        <v>13855</v>
      </c>
      <c r="G43" s="915">
        <v>1.01</v>
      </c>
      <c r="H43" s="916">
        <f t="shared" si="1"/>
        <v>13994</v>
      </c>
      <c r="I43" s="917">
        <f t="shared" si="2"/>
        <v>123427.08</v>
      </c>
      <c r="J43" s="918">
        <f t="shared" si="3"/>
        <v>0.25</v>
      </c>
      <c r="K43" s="919">
        <v>28956.06</v>
      </c>
      <c r="L43" s="917">
        <f t="shared" si="4"/>
        <v>30856.77</v>
      </c>
      <c r="M43" s="918">
        <f t="shared" si="5"/>
        <v>0</v>
      </c>
      <c r="N43" s="919"/>
      <c r="O43" s="917">
        <f t="shared" si="6"/>
        <v>0</v>
      </c>
      <c r="P43" s="918">
        <f t="shared" si="7"/>
        <v>0</v>
      </c>
      <c r="Q43" s="919"/>
      <c r="R43" s="917">
        <f t="shared" si="8"/>
        <v>0</v>
      </c>
      <c r="S43" s="918">
        <f t="shared" si="9"/>
        <v>0</v>
      </c>
      <c r="T43" s="919"/>
      <c r="U43" s="917">
        <f t="shared" si="10"/>
        <v>0</v>
      </c>
      <c r="V43" s="918">
        <f t="shared" si="11"/>
        <v>0</v>
      </c>
      <c r="W43" s="919"/>
      <c r="X43" s="917">
        <f t="shared" si="12"/>
        <v>0</v>
      </c>
      <c r="Y43" s="918">
        <f t="shared" si="13"/>
        <v>0</v>
      </c>
      <c r="Z43" s="919"/>
      <c r="AA43" s="917">
        <f t="shared" si="14"/>
        <v>0</v>
      </c>
      <c r="AB43" s="918">
        <f t="shared" si="15"/>
        <v>0.2</v>
      </c>
      <c r="AC43" s="919">
        <v>23164.85</v>
      </c>
      <c r="AD43" s="917">
        <f t="shared" si="16"/>
        <v>24685.42</v>
      </c>
      <c r="AE43" s="918">
        <f t="shared" si="17"/>
        <v>0</v>
      </c>
      <c r="AF43" s="919"/>
      <c r="AG43" s="917">
        <f t="shared" si="18"/>
        <v>0</v>
      </c>
      <c r="AH43" s="918">
        <f t="shared" si="19"/>
        <v>0</v>
      </c>
      <c r="AI43" s="919"/>
      <c r="AJ43" s="917">
        <f t="shared" si="20"/>
        <v>0</v>
      </c>
      <c r="AK43" s="918">
        <f t="shared" si="21"/>
        <v>0</v>
      </c>
      <c r="AL43" s="919"/>
      <c r="AM43" s="917">
        <f t="shared" si="22"/>
        <v>0</v>
      </c>
      <c r="AN43" s="920">
        <v>19242</v>
      </c>
      <c r="AO43" s="917">
        <f t="shared" si="23"/>
        <v>0</v>
      </c>
      <c r="AP43" s="920"/>
      <c r="AQ43" s="916">
        <f t="shared" si="24"/>
        <v>0</v>
      </c>
      <c r="AR43" s="917">
        <f t="shared" si="25"/>
        <v>178969.27</v>
      </c>
      <c r="AS43" s="916">
        <v>12</v>
      </c>
      <c r="AT43" s="921">
        <f t="shared" si="26"/>
        <v>2147631.2400000002</v>
      </c>
      <c r="AU43" s="920"/>
      <c r="AV43" s="922">
        <f t="shared" si="27"/>
        <v>21476.31</v>
      </c>
      <c r="AW43" s="921">
        <f t="shared" si="28"/>
        <v>2169107.5499999998</v>
      </c>
      <c r="AX43" s="921">
        <f t="shared" si="29"/>
        <v>655070.48</v>
      </c>
      <c r="AY43" s="921">
        <f t="shared" si="30"/>
        <v>2824178.03</v>
      </c>
      <c r="AZ43" s="923">
        <f t="shared" si="31"/>
        <v>2169.1</v>
      </c>
      <c r="BA43" s="923">
        <f t="shared" si="32"/>
        <v>655.1</v>
      </c>
      <c r="BB43" s="923">
        <f t="shared" si="33"/>
        <v>2824.2</v>
      </c>
      <c r="BC43" s="915">
        <v>0.95</v>
      </c>
      <c r="BD43" s="923">
        <f t="shared" si="34"/>
        <v>2060.6</v>
      </c>
      <c r="BE43" s="923">
        <f t="shared" si="35"/>
        <v>622.29999999999995</v>
      </c>
      <c r="BF43" s="923">
        <f t="shared" si="36"/>
        <v>2682.9</v>
      </c>
      <c r="BG43" s="924">
        <f>'[3]свод (2024)'!$B$116</f>
        <v>0.99758349999999996</v>
      </c>
      <c r="BH43" s="923">
        <f t="shared" si="37"/>
        <v>2055.6</v>
      </c>
      <c r="BI43" s="923">
        <f t="shared" si="38"/>
        <v>620.79999999999995</v>
      </c>
      <c r="BJ43" s="923">
        <f t="shared" si="39"/>
        <v>2676.4</v>
      </c>
      <c r="BK43" s="925">
        <f t="shared" si="40"/>
        <v>-113.5</v>
      </c>
      <c r="BL43" s="925">
        <f t="shared" si="40"/>
        <v>-34.299999999999997</v>
      </c>
      <c r="BM43" s="925">
        <f t="shared" si="41"/>
        <v>-147.80000000000001</v>
      </c>
      <c r="BN43" s="925">
        <f t="shared" si="42"/>
        <v>0</v>
      </c>
      <c r="BO43" s="925">
        <f t="shared" si="43"/>
        <v>0</v>
      </c>
      <c r="BP43" s="926"/>
      <c r="BQ43" s="925">
        <f t="shared" si="44"/>
        <v>2055.6</v>
      </c>
      <c r="BR43" s="925">
        <f t="shared" si="44"/>
        <v>620.79999999999995</v>
      </c>
      <c r="BS43" s="925">
        <f t="shared" si="45"/>
        <v>2676.4</v>
      </c>
      <c r="BU43" s="928">
        <f>C43</f>
        <v>8.82</v>
      </c>
      <c r="BV43" s="917"/>
      <c r="BW43" s="928"/>
      <c r="BX43" s="928">
        <f>AW43-X43</f>
        <v>2169107.5499999998</v>
      </c>
      <c r="BY43" s="928"/>
      <c r="BZ43" s="917"/>
      <c r="CA43" s="928"/>
      <c r="CB43" s="917"/>
      <c r="CC43" s="928"/>
      <c r="CD43" s="928"/>
      <c r="CE43" s="928"/>
      <c r="CF43" s="929">
        <f t="shared" si="46"/>
        <v>853482.07</v>
      </c>
      <c r="CG43" s="928"/>
      <c r="CH43" s="928"/>
      <c r="CI43" s="928"/>
      <c r="CJ43" s="925"/>
      <c r="CK43" s="925"/>
      <c r="CL43" s="925"/>
      <c r="CM43" s="925"/>
      <c r="CN43" s="925"/>
      <c r="CO43" s="925"/>
      <c r="CP43" s="925"/>
      <c r="CQ43" s="925"/>
      <c r="CR43" s="925"/>
      <c r="CS43" s="917"/>
      <c r="CT43" s="928"/>
      <c r="CU43" s="928"/>
      <c r="CV43" s="928"/>
      <c r="CX43" s="925"/>
      <c r="CY43" s="925"/>
      <c r="CZ43" s="925"/>
      <c r="DB43" s="925"/>
      <c r="DC43" s="925"/>
      <c r="DD43" s="925"/>
      <c r="DE43" s="925"/>
      <c r="DF43" s="925"/>
      <c r="DG43" s="925"/>
      <c r="DH43" s="925"/>
      <c r="DI43" s="925"/>
      <c r="DJ43" s="925"/>
      <c r="DK43" s="925"/>
      <c r="DL43" s="925"/>
      <c r="DM43" s="925"/>
      <c r="DN43" s="925"/>
      <c r="DO43" s="925"/>
      <c r="DP43" s="925"/>
      <c r="DQ43" s="924"/>
      <c r="DR43" s="925"/>
      <c r="DS43" s="925"/>
      <c r="DT43" s="925"/>
      <c r="DV43" s="925"/>
      <c r="DW43" s="925"/>
      <c r="DX43" s="925"/>
      <c r="DY43" s="925"/>
      <c r="DZ43" s="925"/>
      <c r="EA43" s="925"/>
      <c r="EB43" s="925"/>
      <c r="EC43" s="925"/>
      <c r="ED43" s="925"/>
      <c r="EE43" s="925"/>
      <c r="EF43" s="925"/>
      <c r="EG43" s="925"/>
      <c r="EH43" s="925"/>
      <c r="EI43" s="925"/>
      <c r="EJ43" s="925"/>
      <c r="EK43" s="925"/>
      <c r="EL43" s="925"/>
      <c r="EM43" s="925"/>
      <c r="EN43" s="925"/>
      <c r="EO43" s="925"/>
      <c r="EP43" s="925"/>
      <c r="EQ43" s="925"/>
      <c r="ER43" s="925"/>
      <c r="ES43" s="925"/>
      <c r="ET43" s="925"/>
      <c r="EV43" s="924"/>
      <c r="EW43" s="925"/>
      <c r="EX43" s="925"/>
      <c r="EY43" s="925"/>
    </row>
    <row r="44" spans="1:155" s="927" customFormat="1" ht="15.75" x14ac:dyDescent="0.25">
      <c r="A44" s="912" t="s">
        <v>359</v>
      </c>
      <c r="B44" s="913" t="s">
        <v>1390</v>
      </c>
      <c r="C44" s="914">
        <v>15</v>
      </c>
      <c r="D44" s="914">
        <v>4336</v>
      </c>
      <c r="E44" s="915">
        <v>1.0549999999999999</v>
      </c>
      <c r="F44" s="916">
        <f t="shared" si="0"/>
        <v>4575</v>
      </c>
      <c r="G44" s="915">
        <v>1.01</v>
      </c>
      <c r="H44" s="916">
        <f t="shared" si="1"/>
        <v>4621</v>
      </c>
      <c r="I44" s="917">
        <f t="shared" si="2"/>
        <v>69315</v>
      </c>
      <c r="J44" s="918">
        <f t="shared" si="3"/>
        <v>0</v>
      </c>
      <c r="K44" s="919"/>
      <c r="L44" s="917">
        <f t="shared" si="4"/>
        <v>0</v>
      </c>
      <c r="M44" s="918">
        <f t="shared" si="5"/>
        <v>0</v>
      </c>
      <c r="N44" s="919"/>
      <c r="O44" s="917">
        <f t="shared" si="6"/>
        <v>0</v>
      </c>
      <c r="P44" s="918">
        <f t="shared" si="7"/>
        <v>0</v>
      </c>
      <c r="Q44" s="919"/>
      <c r="R44" s="917">
        <f t="shared" si="8"/>
        <v>0</v>
      </c>
      <c r="S44" s="918">
        <f t="shared" si="9"/>
        <v>5.1670000000000001E-2</v>
      </c>
      <c r="T44" s="919">
        <v>3360.4</v>
      </c>
      <c r="U44" s="917">
        <f t="shared" si="10"/>
        <v>3581.51</v>
      </c>
      <c r="V44" s="918">
        <f t="shared" si="11"/>
        <v>0</v>
      </c>
      <c r="W44" s="919"/>
      <c r="X44" s="917">
        <f t="shared" si="12"/>
        <v>0</v>
      </c>
      <c r="Y44" s="918">
        <f t="shared" si="13"/>
        <v>0</v>
      </c>
      <c r="Z44" s="919"/>
      <c r="AA44" s="917">
        <f t="shared" si="14"/>
        <v>0</v>
      </c>
      <c r="AB44" s="918">
        <f t="shared" si="15"/>
        <v>0</v>
      </c>
      <c r="AC44" s="919"/>
      <c r="AD44" s="917">
        <f t="shared" si="16"/>
        <v>0</v>
      </c>
      <c r="AE44" s="918">
        <f t="shared" si="17"/>
        <v>0</v>
      </c>
      <c r="AF44" s="919"/>
      <c r="AG44" s="917">
        <f t="shared" si="18"/>
        <v>0</v>
      </c>
      <c r="AH44" s="918">
        <f t="shared" si="19"/>
        <v>0</v>
      </c>
      <c r="AI44" s="919"/>
      <c r="AJ44" s="917">
        <f t="shared" si="20"/>
        <v>0</v>
      </c>
      <c r="AK44" s="918">
        <f t="shared" si="21"/>
        <v>0</v>
      </c>
      <c r="AL44" s="919"/>
      <c r="AM44" s="917">
        <f t="shared" si="22"/>
        <v>0</v>
      </c>
      <c r="AN44" s="920">
        <v>19242</v>
      </c>
      <c r="AO44" s="917">
        <f t="shared" si="23"/>
        <v>215733.49</v>
      </c>
      <c r="AP44" s="920"/>
      <c r="AQ44" s="916">
        <f t="shared" si="24"/>
        <v>0</v>
      </c>
      <c r="AR44" s="917">
        <f t="shared" si="25"/>
        <v>288630</v>
      </c>
      <c r="AS44" s="916">
        <v>12</v>
      </c>
      <c r="AT44" s="921">
        <f t="shared" si="26"/>
        <v>3463560</v>
      </c>
      <c r="AU44" s="920">
        <f>AT44*0.085</f>
        <v>294402.59999999998</v>
      </c>
      <c r="AV44" s="922">
        <f t="shared" si="27"/>
        <v>34635.599999999999</v>
      </c>
      <c r="AW44" s="921">
        <f t="shared" si="28"/>
        <v>3792598.2</v>
      </c>
      <c r="AX44" s="921">
        <f t="shared" si="29"/>
        <v>1145364.6599999999</v>
      </c>
      <c r="AY44" s="921">
        <f t="shared" si="30"/>
        <v>4937962.8600000003</v>
      </c>
      <c r="AZ44" s="923">
        <f t="shared" si="31"/>
        <v>3792.6</v>
      </c>
      <c r="BA44" s="923">
        <f t="shared" si="32"/>
        <v>1145.4000000000001</v>
      </c>
      <c r="BB44" s="923">
        <f t="shared" si="33"/>
        <v>4938</v>
      </c>
      <c r="BC44" s="915">
        <v>0.95</v>
      </c>
      <c r="BD44" s="923">
        <f t="shared" si="34"/>
        <v>3603</v>
      </c>
      <c r="BE44" s="923">
        <f t="shared" si="35"/>
        <v>1088.0999999999999</v>
      </c>
      <c r="BF44" s="923">
        <f t="shared" si="36"/>
        <v>4691.1000000000004</v>
      </c>
      <c r="BG44" s="924">
        <f>'[3]свод (2024)'!$B$116</f>
        <v>0.99758349999999996</v>
      </c>
      <c r="BH44" s="930">
        <f>ROUND(BD44*BG44,1)-44.7</f>
        <v>3549.6</v>
      </c>
      <c r="BI44" s="923">
        <f t="shared" si="38"/>
        <v>1072</v>
      </c>
      <c r="BJ44" s="923">
        <f t="shared" si="39"/>
        <v>4621.6000000000004</v>
      </c>
      <c r="BK44" s="925">
        <f t="shared" si="40"/>
        <v>-243</v>
      </c>
      <c r="BL44" s="925">
        <f t="shared" si="40"/>
        <v>-73.400000000000006</v>
      </c>
      <c r="BM44" s="925">
        <f t="shared" si="41"/>
        <v>-316.39999999999998</v>
      </c>
      <c r="BN44" s="925">
        <f t="shared" si="42"/>
        <v>0</v>
      </c>
      <c r="BO44" s="925">
        <f t="shared" si="43"/>
        <v>0</v>
      </c>
      <c r="BP44" s="926"/>
      <c r="BQ44" s="925">
        <f t="shared" si="44"/>
        <v>3549.6</v>
      </c>
      <c r="BR44" s="925">
        <f t="shared" si="44"/>
        <v>1072</v>
      </c>
      <c r="BS44" s="925">
        <f t="shared" si="45"/>
        <v>4621.6000000000004</v>
      </c>
      <c r="BU44" s="928"/>
      <c r="BV44" s="917"/>
      <c r="BW44" s="928"/>
      <c r="BX44" s="928"/>
      <c r="BY44" s="928"/>
      <c r="BZ44" s="917"/>
      <c r="CA44" s="928"/>
      <c r="CB44" s="917"/>
      <c r="CC44" s="928"/>
      <c r="CD44" s="928"/>
      <c r="CE44" s="928"/>
      <c r="CF44" s="929"/>
      <c r="CG44" s="928"/>
      <c r="CH44" s="928"/>
      <c r="CI44" s="928"/>
      <c r="CJ44" s="925"/>
      <c r="CK44" s="925"/>
      <c r="CL44" s="925"/>
      <c r="CM44" s="925"/>
      <c r="CN44" s="925"/>
      <c r="CO44" s="925"/>
      <c r="CP44" s="925"/>
      <c r="CQ44" s="925"/>
      <c r="CR44" s="925"/>
      <c r="CS44" s="917"/>
      <c r="CT44" s="928"/>
      <c r="CU44" s="928"/>
      <c r="CV44" s="928"/>
      <c r="CX44" s="925"/>
      <c r="CY44" s="925"/>
      <c r="CZ44" s="925"/>
      <c r="DB44" s="925"/>
      <c r="DC44" s="925"/>
      <c r="DD44" s="925"/>
      <c r="DE44" s="925"/>
      <c r="DF44" s="925"/>
      <c r="DG44" s="925"/>
      <c r="DH44" s="925"/>
      <c r="DI44" s="925"/>
      <c r="DJ44" s="925"/>
      <c r="DK44" s="925"/>
      <c r="DL44" s="925"/>
      <c r="DM44" s="925"/>
      <c r="DN44" s="925"/>
      <c r="DO44" s="925"/>
      <c r="DP44" s="925"/>
      <c r="DQ44" s="924"/>
      <c r="DR44" s="925"/>
      <c r="DS44" s="925"/>
      <c r="DT44" s="925"/>
      <c r="DV44" s="925"/>
      <c r="DW44" s="925"/>
      <c r="DX44" s="925"/>
      <c r="DY44" s="925"/>
      <c r="DZ44" s="925"/>
      <c r="EA44" s="925"/>
      <c r="EB44" s="925"/>
      <c r="EC44" s="925"/>
      <c r="ED44" s="925"/>
      <c r="EE44" s="925"/>
      <c r="EF44" s="925"/>
      <c r="EG44" s="925"/>
      <c r="EH44" s="925"/>
      <c r="EI44" s="925"/>
      <c r="EJ44" s="925"/>
      <c r="EK44" s="925"/>
      <c r="EL44" s="925"/>
      <c r="EM44" s="925"/>
      <c r="EN44" s="925"/>
      <c r="EO44" s="925"/>
      <c r="EP44" s="925"/>
      <c r="EQ44" s="925"/>
      <c r="ER44" s="925"/>
      <c r="ES44" s="925"/>
      <c r="ET44" s="925"/>
      <c r="EV44" s="924"/>
      <c r="EW44" s="925"/>
      <c r="EX44" s="925"/>
      <c r="EY44" s="925"/>
    </row>
    <row r="45" spans="1:155" s="927" customFormat="1" ht="15.75" x14ac:dyDescent="0.25">
      <c r="A45" s="912" t="s">
        <v>359</v>
      </c>
      <c r="B45" s="913" t="s">
        <v>398</v>
      </c>
      <c r="C45" s="914">
        <v>1</v>
      </c>
      <c r="D45" s="914">
        <v>6097</v>
      </c>
      <c r="E45" s="915">
        <v>1.0549999999999999</v>
      </c>
      <c r="F45" s="916">
        <f t="shared" si="0"/>
        <v>6433</v>
      </c>
      <c r="G45" s="915">
        <v>1.01</v>
      </c>
      <c r="H45" s="916">
        <f t="shared" si="1"/>
        <v>6498</v>
      </c>
      <c r="I45" s="917">
        <f t="shared" si="2"/>
        <v>6498</v>
      </c>
      <c r="J45" s="918">
        <f t="shared" si="3"/>
        <v>0</v>
      </c>
      <c r="K45" s="919"/>
      <c r="L45" s="917">
        <f t="shared" si="4"/>
        <v>0</v>
      </c>
      <c r="M45" s="918">
        <f t="shared" si="5"/>
        <v>0</v>
      </c>
      <c r="N45" s="919"/>
      <c r="O45" s="917">
        <f t="shared" si="6"/>
        <v>0</v>
      </c>
      <c r="P45" s="918">
        <f t="shared" si="7"/>
        <v>0</v>
      </c>
      <c r="Q45" s="919"/>
      <c r="R45" s="917">
        <f t="shared" si="8"/>
        <v>0</v>
      </c>
      <c r="S45" s="918">
        <f t="shared" si="9"/>
        <v>0</v>
      </c>
      <c r="T45" s="919"/>
      <c r="U45" s="917">
        <f t="shared" si="10"/>
        <v>0</v>
      </c>
      <c r="V45" s="918">
        <f t="shared" si="11"/>
        <v>0</v>
      </c>
      <c r="W45" s="919"/>
      <c r="X45" s="917">
        <f t="shared" si="12"/>
        <v>0</v>
      </c>
      <c r="Y45" s="918">
        <f t="shared" si="13"/>
        <v>1.98</v>
      </c>
      <c r="Z45" s="919">
        <v>12072.06</v>
      </c>
      <c r="AA45" s="917">
        <f t="shared" si="14"/>
        <v>12866.04</v>
      </c>
      <c r="AB45" s="918">
        <f t="shared" si="15"/>
        <v>0.3</v>
      </c>
      <c r="AC45" s="919">
        <v>1829.1</v>
      </c>
      <c r="AD45" s="917">
        <f t="shared" si="16"/>
        <v>1949.4</v>
      </c>
      <c r="AE45" s="918">
        <f t="shared" si="17"/>
        <v>0</v>
      </c>
      <c r="AF45" s="919"/>
      <c r="AG45" s="917">
        <f t="shared" si="18"/>
        <v>0</v>
      </c>
      <c r="AH45" s="918">
        <f t="shared" si="19"/>
        <v>0</v>
      </c>
      <c r="AI45" s="919"/>
      <c r="AJ45" s="917">
        <f t="shared" si="20"/>
        <v>0</v>
      </c>
      <c r="AK45" s="918">
        <f t="shared" si="21"/>
        <v>0</v>
      </c>
      <c r="AL45" s="919"/>
      <c r="AM45" s="917">
        <f t="shared" si="22"/>
        <v>0</v>
      </c>
      <c r="AN45" s="920">
        <v>19242</v>
      </c>
      <c r="AO45" s="917">
        <f t="shared" si="23"/>
        <v>0</v>
      </c>
      <c r="AP45" s="920"/>
      <c r="AQ45" s="916">
        <f t="shared" si="24"/>
        <v>0</v>
      </c>
      <c r="AR45" s="917">
        <f t="shared" si="25"/>
        <v>21313.439999999999</v>
      </c>
      <c r="AS45" s="916">
        <v>12</v>
      </c>
      <c r="AT45" s="921">
        <f t="shared" si="26"/>
        <v>255761.28</v>
      </c>
      <c r="AU45" s="920"/>
      <c r="AV45" s="922">
        <f t="shared" si="27"/>
        <v>2557.61</v>
      </c>
      <c r="AW45" s="921">
        <f t="shared" si="28"/>
        <v>258318.89</v>
      </c>
      <c r="AX45" s="921">
        <f t="shared" si="29"/>
        <v>78012.3</v>
      </c>
      <c r="AY45" s="921">
        <f t="shared" si="30"/>
        <v>336331.19</v>
      </c>
      <c r="AZ45" s="923">
        <f t="shared" si="31"/>
        <v>258.3</v>
      </c>
      <c r="BA45" s="923">
        <f t="shared" si="32"/>
        <v>78</v>
      </c>
      <c r="BB45" s="923">
        <f t="shared" si="33"/>
        <v>336.3</v>
      </c>
      <c r="BC45" s="915">
        <v>0.95</v>
      </c>
      <c r="BD45" s="923">
        <f t="shared" si="34"/>
        <v>245.4</v>
      </c>
      <c r="BE45" s="923">
        <f t="shared" si="35"/>
        <v>74.099999999999994</v>
      </c>
      <c r="BF45" s="923">
        <f t="shared" si="36"/>
        <v>319.5</v>
      </c>
      <c r="BG45" s="924">
        <f>'[3]свод (2024)'!$B$116</f>
        <v>0.99758349999999996</v>
      </c>
      <c r="BH45" s="923">
        <f t="shared" si="37"/>
        <v>244.8</v>
      </c>
      <c r="BI45" s="923">
        <f t="shared" si="38"/>
        <v>73.900000000000006</v>
      </c>
      <c r="BJ45" s="923">
        <f t="shared" si="39"/>
        <v>318.7</v>
      </c>
      <c r="BK45" s="925">
        <f t="shared" si="40"/>
        <v>-13.5</v>
      </c>
      <c r="BL45" s="925">
        <f t="shared" si="40"/>
        <v>-4.0999999999999996</v>
      </c>
      <c r="BM45" s="925">
        <f t="shared" si="41"/>
        <v>-17.600000000000001</v>
      </c>
      <c r="BN45" s="925">
        <f t="shared" si="42"/>
        <v>0</v>
      </c>
      <c r="BO45" s="925">
        <f t="shared" si="43"/>
        <v>0</v>
      </c>
      <c r="BP45" s="926"/>
      <c r="BQ45" s="925">
        <f t="shared" si="44"/>
        <v>244.8</v>
      </c>
      <c r="BR45" s="925">
        <f t="shared" si="44"/>
        <v>73.900000000000006</v>
      </c>
      <c r="BS45" s="925">
        <f t="shared" si="45"/>
        <v>318.7</v>
      </c>
      <c r="BU45" s="928"/>
      <c r="BV45" s="917"/>
      <c r="BW45" s="928"/>
      <c r="BX45" s="928"/>
      <c r="BY45" s="928"/>
      <c r="BZ45" s="917"/>
      <c r="CA45" s="928"/>
      <c r="CB45" s="917"/>
      <c r="CC45" s="928"/>
      <c r="CD45" s="928"/>
      <c r="CE45" s="928"/>
      <c r="CF45" s="929"/>
      <c r="CG45" s="928"/>
      <c r="CH45" s="928"/>
      <c r="CI45" s="928"/>
      <c r="CJ45" s="925"/>
      <c r="CK45" s="925"/>
      <c r="CL45" s="925"/>
      <c r="CM45" s="925"/>
      <c r="CN45" s="925"/>
      <c r="CO45" s="925"/>
      <c r="CP45" s="925"/>
      <c r="CQ45" s="925"/>
      <c r="CR45" s="925"/>
      <c r="CS45" s="917"/>
      <c r="CT45" s="928"/>
      <c r="CU45" s="928"/>
      <c r="CV45" s="928"/>
      <c r="CX45" s="925"/>
      <c r="CY45" s="925"/>
      <c r="CZ45" s="925"/>
      <c r="DB45" s="925"/>
      <c r="DC45" s="925"/>
      <c r="DD45" s="925"/>
      <c r="DE45" s="925"/>
      <c r="DF45" s="925"/>
      <c r="DG45" s="925"/>
      <c r="DH45" s="925"/>
      <c r="DI45" s="925"/>
      <c r="DJ45" s="925"/>
      <c r="DK45" s="925"/>
      <c r="DL45" s="925"/>
      <c r="DM45" s="925"/>
      <c r="DN45" s="925"/>
      <c r="DO45" s="925"/>
      <c r="DP45" s="925"/>
      <c r="DQ45" s="924"/>
      <c r="DR45" s="925"/>
      <c r="DS45" s="925"/>
      <c r="DT45" s="925"/>
      <c r="DV45" s="925"/>
      <c r="DW45" s="925"/>
      <c r="DX45" s="925"/>
      <c r="DY45" s="925"/>
      <c r="DZ45" s="925"/>
      <c r="EA45" s="925"/>
      <c r="EB45" s="925"/>
      <c r="EC45" s="925"/>
      <c r="ED45" s="925"/>
      <c r="EE45" s="925"/>
      <c r="EF45" s="925"/>
      <c r="EG45" s="925"/>
      <c r="EH45" s="925"/>
      <c r="EI45" s="925"/>
      <c r="EJ45" s="925"/>
      <c r="EK45" s="925"/>
      <c r="EL45" s="925"/>
      <c r="EM45" s="925"/>
      <c r="EN45" s="925"/>
      <c r="EO45" s="925"/>
      <c r="EP45" s="925"/>
      <c r="EQ45" s="925"/>
      <c r="ER45" s="925"/>
      <c r="ES45" s="925"/>
      <c r="ET45" s="925"/>
      <c r="EV45" s="924"/>
      <c r="EW45" s="925"/>
      <c r="EX45" s="925"/>
      <c r="EY45" s="925"/>
    </row>
    <row r="46" spans="1:155" s="927" customFormat="1" ht="15.75" x14ac:dyDescent="0.25">
      <c r="A46" s="912" t="s">
        <v>359</v>
      </c>
      <c r="B46" s="913" t="s">
        <v>1391</v>
      </c>
      <c r="C46" s="914">
        <v>0.5</v>
      </c>
      <c r="D46" s="914">
        <v>7755</v>
      </c>
      <c r="E46" s="915">
        <v>1.0549999999999999</v>
      </c>
      <c r="F46" s="916">
        <f t="shared" si="0"/>
        <v>8182</v>
      </c>
      <c r="G46" s="915">
        <v>1.01</v>
      </c>
      <c r="H46" s="916">
        <f t="shared" si="1"/>
        <v>8264</v>
      </c>
      <c r="I46" s="917">
        <f t="shared" si="2"/>
        <v>4132</v>
      </c>
      <c r="J46" s="918">
        <f t="shared" si="3"/>
        <v>0</v>
      </c>
      <c r="K46" s="919"/>
      <c r="L46" s="917">
        <f t="shared" si="4"/>
        <v>0</v>
      </c>
      <c r="M46" s="918">
        <f t="shared" si="5"/>
        <v>0</v>
      </c>
      <c r="N46" s="919"/>
      <c r="O46" s="917">
        <f t="shared" si="6"/>
        <v>0</v>
      </c>
      <c r="P46" s="918">
        <f t="shared" si="7"/>
        <v>0</v>
      </c>
      <c r="Q46" s="919"/>
      <c r="R46" s="917">
        <f t="shared" si="8"/>
        <v>0</v>
      </c>
      <c r="S46" s="918">
        <f t="shared" si="9"/>
        <v>0.46</v>
      </c>
      <c r="T46" s="919">
        <v>1783.65</v>
      </c>
      <c r="U46" s="917">
        <f t="shared" si="10"/>
        <v>1900.72</v>
      </c>
      <c r="V46" s="918">
        <f t="shared" si="11"/>
        <v>0</v>
      </c>
      <c r="W46" s="919"/>
      <c r="X46" s="917">
        <f t="shared" si="12"/>
        <v>0</v>
      </c>
      <c r="Y46" s="918">
        <f t="shared" si="13"/>
        <v>3.96</v>
      </c>
      <c r="Z46" s="919">
        <v>15354.9</v>
      </c>
      <c r="AA46" s="917">
        <f t="shared" si="14"/>
        <v>16362.72</v>
      </c>
      <c r="AB46" s="918">
        <f t="shared" si="15"/>
        <v>0.6</v>
      </c>
      <c r="AC46" s="919">
        <v>2326.5</v>
      </c>
      <c r="AD46" s="917">
        <f t="shared" si="16"/>
        <v>2479.1999999999998</v>
      </c>
      <c r="AE46" s="918">
        <f t="shared" si="17"/>
        <v>0</v>
      </c>
      <c r="AF46" s="919"/>
      <c r="AG46" s="917">
        <f t="shared" si="18"/>
        <v>0</v>
      </c>
      <c r="AH46" s="918">
        <f t="shared" si="19"/>
        <v>0</v>
      </c>
      <c r="AI46" s="919"/>
      <c r="AJ46" s="917">
        <f t="shared" si="20"/>
        <v>0</v>
      </c>
      <c r="AK46" s="918">
        <f t="shared" si="21"/>
        <v>0</v>
      </c>
      <c r="AL46" s="919"/>
      <c r="AM46" s="917">
        <f t="shared" si="22"/>
        <v>0</v>
      </c>
      <c r="AN46" s="920">
        <v>19242</v>
      </c>
      <c r="AO46" s="917">
        <f t="shared" si="23"/>
        <v>0</v>
      </c>
      <c r="AP46" s="920"/>
      <c r="AQ46" s="916">
        <f t="shared" si="24"/>
        <v>0</v>
      </c>
      <c r="AR46" s="917">
        <f t="shared" si="25"/>
        <v>24874.639999999999</v>
      </c>
      <c r="AS46" s="916">
        <v>12</v>
      </c>
      <c r="AT46" s="921">
        <f t="shared" si="26"/>
        <v>298495.68</v>
      </c>
      <c r="AU46" s="920"/>
      <c r="AV46" s="922">
        <f t="shared" si="27"/>
        <v>2984.96</v>
      </c>
      <c r="AW46" s="921">
        <f t="shared" si="28"/>
        <v>301480.64</v>
      </c>
      <c r="AX46" s="921">
        <f t="shared" si="29"/>
        <v>91047.15</v>
      </c>
      <c r="AY46" s="921">
        <f t="shared" si="30"/>
        <v>392527.79</v>
      </c>
      <c r="AZ46" s="923">
        <f t="shared" si="31"/>
        <v>301.5</v>
      </c>
      <c r="BA46" s="923">
        <f t="shared" si="32"/>
        <v>91.1</v>
      </c>
      <c r="BB46" s="923">
        <f t="shared" si="33"/>
        <v>392.6</v>
      </c>
      <c r="BC46" s="915">
        <v>0.95</v>
      </c>
      <c r="BD46" s="923">
        <f t="shared" si="34"/>
        <v>286.39999999999998</v>
      </c>
      <c r="BE46" s="923">
        <f t="shared" si="35"/>
        <v>86.5</v>
      </c>
      <c r="BF46" s="923">
        <f t="shared" si="36"/>
        <v>372.9</v>
      </c>
      <c r="BG46" s="924">
        <f>'[3]свод (2024)'!$B$116</f>
        <v>0.99758349999999996</v>
      </c>
      <c r="BH46" s="923">
        <f t="shared" si="37"/>
        <v>285.7</v>
      </c>
      <c r="BI46" s="923">
        <f t="shared" si="38"/>
        <v>86.3</v>
      </c>
      <c r="BJ46" s="923">
        <f t="shared" si="39"/>
        <v>372</v>
      </c>
      <c r="BK46" s="925">
        <f t="shared" si="40"/>
        <v>-15.8</v>
      </c>
      <c r="BL46" s="925">
        <f t="shared" si="40"/>
        <v>-4.8</v>
      </c>
      <c r="BM46" s="925">
        <f t="shared" si="41"/>
        <v>-20.6</v>
      </c>
      <c r="BN46" s="925">
        <f t="shared" si="42"/>
        <v>0</v>
      </c>
      <c r="BO46" s="925">
        <f t="shared" si="43"/>
        <v>0</v>
      </c>
      <c r="BP46" s="926"/>
      <c r="BQ46" s="925">
        <f t="shared" si="44"/>
        <v>285.7</v>
      </c>
      <c r="BR46" s="925">
        <f t="shared" si="44"/>
        <v>86.3</v>
      </c>
      <c r="BS46" s="925">
        <f t="shared" si="45"/>
        <v>372</v>
      </c>
      <c r="BU46" s="928"/>
      <c r="BV46" s="917"/>
      <c r="BW46" s="928"/>
      <c r="BX46" s="928"/>
      <c r="BY46" s="928"/>
      <c r="BZ46" s="917"/>
      <c r="CA46" s="928"/>
      <c r="CB46" s="917"/>
      <c r="CC46" s="928"/>
      <c r="CD46" s="928"/>
      <c r="CE46" s="928"/>
      <c r="CF46" s="929"/>
      <c r="CG46" s="928"/>
      <c r="CH46" s="928"/>
      <c r="CI46" s="928"/>
      <c r="CJ46" s="925"/>
      <c r="CK46" s="925"/>
      <c r="CL46" s="925"/>
      <c r="CM46" s="925"/>
      <c r="CN46" s="925"/>
      <c r="CO46" s="925"/>
      <c r="CP46" s="925"/>
      <c r="CQ46" s="925"/>
      <c r="CR46" s="925"/>
      <c r="CS46" s="917"/>
      <c r="CT46" s="928"/>
      <c r="CU46" s="928"/>
      <c r="CV46" s="928"/>
      <c r="CX46" s="925"/>
      <c r="CY46" s="925"/>
      <c r="CZ46" s="925"/>
      <c r="DB46" s="925"/>
      <c r="DC46" s="925"/>
      <c r="DD46" s="925"/>
      <c r="DE46" s="925"/>
      <c r="DF46" s="925"/>
      <c r="DG46" s="925"/>
      <c r="DH46" s="925"/>
      <c r="DI46" s="925"/>
      <c r="DJ46" s="925"/>
      <c r="DK46" s="925"/>
      <c r="DL46" s="925"/>
      <c r="DM46" s="925"/>
      <c r="DN46" s="925"/>
      <c r="DO46" s="925"/>
      <c r="DP46" s="925"/>
      <c r="DQ46" s="924"/>
      <c r="DR46" s="925"/>
      <c r="DS46" s="925"/>
      <c r="DT46" s="925"/>
      <c r="DV46" s="925"/>
      <c r="DW46" s="925"/>
      <c r="DX46" s="925"/>
      <c r="DY46" s="925"/>
      <c r="DZ46" s="925"/>
      <c r="EA46" s="925"/>
      <c r="EB46" s="925"/>
      <c r="EC46" s="925"/>
      <c r="ED46" s="925"/>
      <c r="EE46" s="925"/>
      <c r="EF46" s="925"/>
      <c r="EG46" s="925"/>
      <c r="EH46" s="925"/>
      <c r="EI46" s="925"/>
      <c r="EJ46" s="925"/>
      <c r="EK46" s="925"/>
      <c r="EL46" s="925"/>
      <c r="EM46" s="925"/>
      <c r="EN46" s="925"/>
      <c r="EO46" s="925"/>
      <c r="EP46" s="925"/>
      <c r="EQ46" s="925"/>
      <c r="ER46" s="925"/>
      <c r="ES46" s="925"/>
      <c r="ET46" s="925"/>
      <c r="EV46" s="924"/>
      <c r="EW46" s="925"/>
      <c r="EX46" s="925"/>
      <c r="EY46" s="925"/>
    </row>
    <row r="47" spans="1:155" s="927" customFormat="1" ht="24" x14ac:dyDescent="0.25">
      <c r="A47" s="912" t="s">
        <v>359</v>
      </c>
      <c r="B47" s="913" t="s">
        <v>45</v>
      </c>
      <c r="C47" s="914">
        <v>2</v>
      </c>
      <c r="D47" s="914">
        <v>5767</v>
      </c>
      <c r="E47" s="915">
        <v>1.0549999999999999</v>
      </c>
      <c r="F47" s="916">
        <f t="shared" si="0"/>
        <v>6085</v>
      </c>
      <c r="G47" s="915">
        <v>1.01</v>
      </c>
      <c r="H47" s="916">
        <f t="shared" si="1"/>
        <v>6146</v>
      </c>
      <c r="I47" s="917">
        <f t="shared" si="2"/>
        <v>12292</v>
      </c>
      <c r="J47" s="918">
        <f t="shared" si="3"/>
        <v>0</v>
      </c>
      <c r="K47" s="919"/>
      <c r="L47" s="917">
        <f t="shared" si="4"/>
        <v>0</v>
      </c>
      <c r="M47" s="918">
        <f t="shared" si="5"/>
        <v>0</v>
      </c>
      <c r="N47" s="919"/>
      <c r="O47" s="917">
        <f t="shared" si="6"/>
        <v>0</v>
      </c>
      <c r="P47" s="918">
        <f t="shared" si="7"/>
        <v>0</v>
      </c>
      <c r="Q47" s="919"/>
      <c r="R47" s="917">
        <f t="shared" si="8"/>
        <v>0</v>
      </c>
      <c r="S47" s="918">
        <f t="shared" si="9"/>
        <v>0.5</v>
      </c>
      <c r="T47" s="919">
        <v>5767</v>
      </c>
      <c r="U47" s="917">
        <f t="shared" si="10"/>
        <v>6146</v>
      </c>
      <c r="V47" s="918">
        <f t="shared" si="11"/>
        <v>0</v>
      </c>
      <c r="W47" s="919"/>
      <c r="X47" s="917">
        <f t="shared" si="12"/>
        <v>0</v>
      </c>
      <c r="Y47" s="918">
        <f t="shared" si="13"/>
        <v>0</v>
      </c>
      <c r="Z47" s="919"/>
      <c r="AA47" s="917">
        <f t="shared" si="14"/>
        <v>0</v>
      </c>
      <c r="AB47" s="918">
        <f t="shared" si="15"/>
        <v>0</v>
      </c>
      <c r="AC47" s="919"/>
      <c r="AD47" s="917">
        <f t="shared" si="16"/>
        <v>0</v>
      </c>
      <c r="AE47" s="918">
        <f t="shared" si="17"/>
        <v>0</v>
      </c>
      <c r="AF47" s="919"/>
      <c r="AG47" s="917">
        <f t="shared" si="18"/>
        <v>0</v>
      </c>
      <c r="AH47" s="918">
        <f t="shared" si="19"/>
        <v>0</v>
      </c>
      <c r="AI47" s="919"/>
      <c r="AJ47" s="917">
        <f t="shared" si="20"/>
        <v>0</v>
      </c>
      <c r="AK47" s="918">
        <f t="shared" si="21"/>
        <v>0</v>
      </c>
      <c r="AL47" s="919"/>
      <c r="AM47" s="917">
        <f t="shared" si="22"/>
        <v>0</v>
      </c>
      <c r="AN47" s="920">
        <v>19242</v>
      </c>
      <c r="AO47" s="917">
        <f t="shared" si="23"/>
        <v>20046</v>
      </c>
      <c r="AP47" s="920"/>
      <c r="AQ47" s="916">
        <f t="shared" si="24"/>
        <v>0</v>
      </c>
      <c r="AR47" s="917">
        <f t="shared" si="25"/>
        <v>38484</v>
      </c>
      <c r="AS47" s="916">
        <v>12</v>
      </c>
      <c r="AT47" s="921">
        <f t="shared" si="26"/>
        <v>461808</v>
      </c>
      <c r="AU47" s="920"/>
      <c r="AV47" s="922">
        <f t="shared" si="27"/>
        <v>4618.08</v>
      </c>
      <c r="AW47" s="921">
        <f t="shared" si="28"/>
        <v>466426.08</v>
      </c>
      <c r="AX47" s="921">
        <f t="shared" si="29"/>
        <v>140860.68</v>
      </c>
      <c r="AY47" s="921">
        <f t="shared" si="30"/>
        <v>607286.76</v>
      </c>
      <c r="AZ47" s="923">
        <f t="shared" si="31"/>
        <v>466.4</v>
      </c>
      <c r="BA47" s="923">
        <f t="shared" si="32"/>
        <v>140.9</v>
      </c>
      <c r="BB47" s="923">
        <f t="shared" si="33"/>
        <v>607.29999999999995</v>
      </c>
      <c r="BC47" s="915">
        <v>0.95</v>
      </c>
      <c r="BD47" s="923">
        <f t="shared" si="34"/>
        <v>443.1</v>
      </c>
      <c r="BE47" s="923">
        <f t="shared" si="35"/>
        <v>133.80000000000001</v>
      </c>
      <c r="BF47" s="923">
        <f t="shared" si="36"/>
        <v>576.9</v>
      </c>
      <c r="BG47" s="924">
        <f>'[3]свод (2024)'!$B$116</f>
        <v>0.99758349999999996</v>
      </c>
      <c r="BH47" s="923">
        <f t="shared" si="37"/>
        <v>442</v>
      </c>
      <c r="BI47" s="923">
        <f t="shared" si="38"/>
        <v>133.5</v>
      </c>
      <c r="BJ47" s="923">
        <f t="shared" si="39"/>
        <v>575.5</v>
      </c>
      <c r="BK47" s="925">
        <f t="shared" si="40"/>
        <v>-24.4</v>
      </c>
      <c r="BL47" s="925">
        <f t="shared" si="40"/>
        <v>-7.4</v>
      </c>
      <c r="BM47" s="925">
        <f t="shared" si="41"/>
        <v>-31.8</v>
      </c>
      <c r="BN47" s="925">
        <f t="shared" si="42"/>
        <v>0</v>
      </c>
      <c r="BO47" s="925">
        <f t="shared" si="43"/>
        <v>0</v>
      </c>
      <c r="BP47" s="926"/>
      <c r="BQ47" s="925">
        <f t="shared" si="44"/>
        <v>442</v>
      </c>
      <c r="BR47" s="925">
        <f t="shared" si="44"/>
        <v>133.5</v>
      </c>
      <c r="BS47" s="925">
        <f t="shared" si="45"/>
        <v>575.5</v>
      </c>
      <c r="BU47" s="928"/>
      <c r="BV47" s="917"/>
      <c r="BW47" s="928"/>
      <c r="BX47" s="928"/>
      <c r="BY47" s="928"/>
      <c r="BZ47" s="917"/>
      <c r="CA47" s="928"/>
      <c r="CB47" s="917"/>
      <c r="CC47" s="928"/>
      <c r="CD47" s="928"/>
      <c r="CE47" s="928"/>
      <c r="CF47" s="929"/>
      <c r="CG47" s="928"/>
      <c r="CH47" s="928"/>
      <c r="CI47" s="928"/>
      <c r="CJ47" s="925"/>
      <c r="CK47" s="925"/>
      <c r="CL47" s="925"/>
      <c r="CM47" s="925"/>
      <c r="CN47" s="925"/>
      <c r="CO47" s="925"/>
      <c r="CP47" s="925"/>
      <c r="CQ47" s="925"/>
      <c r="CR47" s="925"/>
      <c r="CS47" s="917"/>
      <c r="CT47" s="928"/>
      <c r="CU47" s="928"/>
      <c r="CV47" s="928"/>
      <c r="CX47" s="925"/>
      <c r="CY47" s="925"/>
      <c r="CZ47" s="925"/>
      <c r="DB47" s="925"/>
      <c r="DC47" s="925"/>
      <c r="DD47" s="925"/>
      <c r="DE47" s="925"/>
      <c r="DF47" s="925"/>
      <c r="DG47" s="925"/>
      <c r="DH47" s="925"/>
      <c r="DI47" s="925"/>
      <c r="DJ47" s="925"/>
      <c r="DK47" s="925"/>
      <c r="DL47" s="925"/>
      <c r="DM47" s="925"/>
      <c r="DN47" s="925"/>
      <c r="DO47" s="925"/>
      <c r="DP47" s="925"/>
      <c r="DQ47" s="924"/>
      <c r="DR47" s="925"/>
      <c r="DS47" s="925"/>
      <c r="DT47" s="925"/>
      <c r="DV47" s="925"/>
      <c r="DW47" s="925"/>
      <c r="DX47" s="925"/>
      <c r="DY47" s="925"/>
      <c r="DZ47" s="925"/>
      <c r="EA47" s="925"/>
      <c r="EB47" s="925"/>
      <c r="EC47" s="925"/>
      <c r="ED47" s="925"/>
      <c r="EE47" s="925"/>
      <c r="EF47" s="925"/>
      <c r="EG47" s="925"/>
      <c r="EH47" s="925"/>
      <c r="EI47" s="925"/>
      <c r="EJ47" s="925"/>
      <c r="EK47" s="925"/>
      <c r="EL47" s="925"/>
      <c r="EM47" s="925"/>
      <c r="EN47" s="925"/>
      <c r="EO47" s="925"/>
      <c r="EP47" s="925"/>
      <c r="EQ47" s="925"/>
      <c r="ER47" s="925"/>
      <c r="ES47" s="925"/>
      <c r="ET47" s="925"/>
      <c r="EV47" s="924"/>
      <c r="EW47" s="925"/>
      <c r="EX47" s="925"/>
      <c r="EY47" s="925"/>
    </row>
    <row r="48" spans="1:155" s="927" customFormat="1" ht="15.75" x14ac:dyDescent="0.25">
      <c r="A48" s="931" t="s">
        <v>359</v>
      </c>
      <c r="B48" s="932"/>
      <c r="C48" s="933">
        <f>SUM(C12:C47)</f>
        <v>149.76</v>
      </c>
      <c r="D48" s="933">
        <f t="shared" ref="D48:BO48" si="47">SUM(D12:D47)</f>
        <v>369963</v>
      </c>
      <c r="E48" s="934">
        <f t="shared" si="47"/>
        <v>37.979999999999997</v>
      </c>
      <c r="F48" s="935">
        <f t="shared" si="47"/>
        <v>390331</v>
      </c>
      <c r="G48" s="934">
        <f t="shared" si="47"/>
        <v>36.36</v>
      </c>
      <c r="H48" s="935">
        <f t="shared" si="47"/>
        <v>394248</v>
      </c>
      <c r="I48" s="936">
        <f t="shared" si="47"/>
        <v>1750858.19</v>
      </c>
      <c r="J48" s="937">
        <f t="shared" si="47"/>
        <v>1.9635800000000001</v>
      </c>
      <c r="K48" s="938">
        <f t="shared" si="47"/>
        <v>306151.83</v>
      </c>
      <c r="L48" s="936">
        <f t="shared" si="47"/>
        <v>326249.33</v>
      </c>
      <c r="M48" s="937">
        <f t="shared" si="47"/>
        <v>0</v>
      </c>
      <c r="N48" s="938">
        <f t="shared" si="47"/>
        <v>0</v>
      </c>
      <c r="O48" s="936">
        <f t="shared" si="47"/>
        <v>0</v>
      </c>
      <c r="P48" s="937">
        <f t="shared" si="47"/>
        <v>0</v>
      </c>
      <c r="Q48" s="938">
        <f t="shared" si="47"/>
        <v>0</v>
      </c>
      <c r="R48" s="936">
        <f t="shared" si="47"/>
        <v>0</v>
      </c>
      <c r="S48" s="937">
        <f t="shared" si="47"/>
        <v>4.7382499999999999</v>
      </c>
      <c r="T48" s="938">
        <f t="shared" si="47"/>
        <v>55049.95</v>
      </c>
      <c r="U48" s="936">
        <f t="shared" si="47"/>
        <v>58669.56</v>
      </c>
      <c r="V48" s="937">
        <f t="shared" si="47"/>
        <v>0</v>
      </c>
      <c r="W48" s="938">
        <f t="shared" si="47"/>
        <v>0</v>
      </c>
      <c r="X48" s="936">
        <f t="shared" si="47"/>
        <v>0</v>
      </c>
      <c r="Y48" s="937">
        <f t="shared" si="47"/>
        <v>23.7</v>
      </c>
      <c r="Z48" s="938">
        <f t="shared" si="47"/>
        <v>165987.76999999999</v>
      </c>
      <c r="AA48" s="936">
        <f t="shared" si="47"/>
        <v>176886.14</v>
      </c>
      <c r="AB48" s="937">
        <f t="shared" si="47"/>
        <v>6.4708300000000003</v>
      </c>
      <c r="AC48" s="938">
        <f t="shared" si="47"/>
        <v>303696.21999999997</v>
      </c>
      <c r="AD48" s="936">
        <f t="shared" si="47"/>
        <v>323625.93</v>
      </c>
      <c r="AE48" s="937">
        <f t="shared" si="47"/>
        <v>0.10603</v>
      </c>
      <c r="AF48" s="938">
        <f t="shared" si="47"/>
        <v>6303.36</v>
      </c>
      <c r="AG48" s="936">
        <f t="shared" si="47"/>
        <v>6715.58</v>
      </c>
      <c r="AH48" s="937">
        <f t="shared" si="47"/>
        <v>0</v>
      </c>
      <c r="AI48" s="938">
        <f t="shared" si="47"/>
        <v>0</v>
      </c>
      <c r="AJ48" s="936">
        <f t="shared" si="47"/>
        <v>0</v>
      </c>
      <c r="AK48" s="937">
        <f t="shared" si="47"/>
        <v>0</v>
      </c>
      <c r="AL48" s="938">
        <f t="shared" si="47"/>
        <v>0</v>
      </c>
      <c r="AM48" s="936">
        <f t="shared" si="47"/>
        <v>0</v>
      </c>
      <c r="AN48" s="933">
        <f t="shared" si="47"/>
        <v>692712</v>
      </c>
      <c r="AO48" s="936">
        <f t="shared" si="47"/>
        <v>482939.02</v>
      </c>
      <c r="AP48" s="933">
        <f t="shared" si="47"/>
        <v>1060.29</v>
      </c>
      <c r="AQ48" s="935">
        <f t="shared" si="47"/>
        <v>6361.74</v>
      </c>
      <c r="AR48" s="936">
        <f t="shared" si="47"/>
        <v>3132305.49</v>
      </c>
      <c r="AS48" s="935">
        <f t="shared" si="47"/>
        <v>432</v>
      </c>
      <c r="AT48" s="939">
        <f t="shared" si="47"/>
        <v>37587665.880000003</v>
      </c>
      <c r="AU48" s="933">
        <f t="shared" si="47"/>
        <v>462813</v>
      </c>
      <c r="AV48" s="940">
        <f t="shared" si="47"/>
        <v>375876.65</v>
      </c>
      <c r="AW48" s="939">
        <f t="shared" si="47"/>
        <v>38426355.530000001</v>
      </c>
      <c r="AX48" s="939">
        <f t="shared" si="47"/>
        <v>11604759.42</v>
      </c>
      <c r="AY48" s="939">
        <f t="shared" si="47"/>
        <v>50031114.950000003</v>
      </c>
      <c r="AZ48" s="941">
        <f t="shared" si="47"/>
        <v>38426</v>
      </c>
      <c r="BA48" s="941">
        <f t="shared" si="47"/>
        <v>11604.9</v>
      </c>
      <c r="BB48" s="941">
        <f t="shared" si="47"/>
        <v>50030.9</v>
      </c>
      <c r="BC48" s="934">
        <f t="shared" si="47"/>
        <v>34.200000000000003</v>
      </c>
      <c r="BD48" s="941">
        <f t="shared" si="47"/>
        <v>36504.800000000003</v>
      </c>
      <c r="BE48" s="941">
        <f t="shared" si="47"/>
        <v>11024.6</v>
      </c>
      <c r="BF48" s="941">
        <f t="shared" si="47"/>
        <v>47529.4</v>
      </c>
      <c r="BG48" s="942">
        <f>'[3]свод (2024)'!$B$116</f>
        <v>0.99758349999999996</v>
      </c>
      <c r="BH48" s="941">
        <f t="shared" si="47"/>
        <v>36371.9</v>
      </c>
      <c r="BI48" s="941">
        <f t="shared" si="47"/>
        <v>10984.4</v>
      </c>
      <c r="BJ48" s="941">
        <f t="shared" si="47"/>
        <v>47356.3</v>
      </c>
      <c r="BK48" s="943">
        <f t="shared" si="47"/>
        <v>-2054.1</v>
      </c>
      <c r="BL48" s="943">
        <f t="shared" si="47"/>
        <v>-620.5</v>
      </c>
      <c r="BM48" s="943">
        <f t="shared" si="47"/>
        <v>-2674.6</v>
      </c>
      <c r="BN48" s="943">
        <f t="shared" si="47"/>
        <v>0</v>
      </c>
      <c r="BO48" s="943">
        <f t="shared" si="47"/>
        <v>0</v>
      </c>
      <c r="BP48" s="944">
        <f t="shared" ref="BP48:BS48" si="48">SUM(BP12:BP47)</f>
        <v>0</v>
      </c>
      <c r="BQ48" s="943">
        <f t="shared" si="48"/>
        <v>36371.9</v>
      </c>
      <c r="BR48" s="943">
        <f t="shared" si="48"/>
        <v>10984.4</v>
      </c>
      <c r="BS48" s="943">
        <f t="shared" si="48"/>
        <v>47356.3</v>
      </c>
      <c r="BU48" s="945">
        <f>SUM(BU12:BU47)</f>
        <v>93.01</v>
      </c>
      <c r="BV48" s="946">
        <v>8.4</v>
      </c>
      <c r="BW48" s="947">
        <f t="shared" ref="BW48" si="49">BU48-BV48</f>
        <v>84.61</v>
      </c>
      <c r="BX48" s="945">
        <f>SUM(BX12:BX47)</f>
        <v>23015288.539999999</v>
      </c>
      <c r="BY48" s="947">
        <f>BX48/BU48*BW48</f>
        <v>20936711.789999999</v>
      </c>
      <c r="BZ48" s="946">
        <v>59.8</v>
      </c>
      <c r="CA48" s="947">
        <f t="shared" ref="CA48" si="50">BY48/BZ48/12</f>
        <v>29176.02</v>
      </c>
      <c r="CB48" s="946">
        <v>41718.199999999997</v>
      </c>
      <c r="CC48" s="947">
        <f t="shared" ref="CC48" si="51">(CB48-CA48)*BZ48*12</f>
        <v>9000268.3699999992</v>
      </c>
      <c r="CD48" s="947">
        <f t="shared" ref="CD48:CD79" si="52">CC48*0.302</f>
        <v>2718081.05</v>
      </c>
      <c r="CE48" s="947">
        <f t="shared" ref="CE48" si="53">CC48+CD48</f>
        <v>11718349.42</v>
      </c>
      <c r="CF48" s="948">
        <f>SUM(CF12:CF47)</f>
        <v>9000268.3599999994</v>
      </c>
      <c r="CG48" s="949">
        <f>ROUND(CC48/1000,1)</f>
        <v>9000.2999999999993</v>
      </c>
      <c r="CH48" s="949">
        <f>ROUND(CD48/1000,1)</f>
        <v>2718.1</v>
      </c>
      <c r="CI48" s="950">
        <f>CG48+CH48</f>
        <v>11718.4</v>
      </c>
      <c r="CJ48" s="951">
        <f>BQ48+CG48</f>
        <v>45372.2</v>
      </c>
      <c r="CK48" s="951">
        <f>BR48+CH48</f>
        <v>13702.5</v>
      </c>
      <c r="CL48" s="952">
        <f>CJ48+CK48</f>
        <v>59074.7</v>
      </c>
      <c r="CM48" s="951">
        <f>395.5/6*12</f>
        <v>791</v>
      </c>
      <c r="CN48" s="951">
        <f>CM48*0.302</f>
        <v>238.9</v>
      </c>
      <c r="CO48" s="952">
        <f>CM48+CN48</f>
        <v>1029.9000000000001</v>
      </c>
      <c r="CP48" s="951">
        <f>ROUND(CJ48-CM48,1)</f>
        <v>44581.2</v>
      </c>
      <c r="CQ48" s="951">
        <f>ROUND(CK48-CN48,1)</f>
        <v>13463.6</v>
      </c>
      <c r="CR48" s="952">
        <f>CP48+CQ48</f>
        <v>58044.800000000003</v>
      </c>
      <c r="CS48" s="946">
        <v>38663.800000000003</v>
      </c>
      <c r="CT48" s="953">
        <f>(CB48-CS48)*BZ48*12/1000</f>
        <v>2191.8000000000002</v>
      </c>
      <c r="CU48" s="953">
        <f>CT48*0.302</f>
        <v>661.9</v>
      </c>
      <c r="CV48" s="953">
        <f>CT48+CU48</f>
        <v>2853.7</v>
      </c>
      <c r="CX48" s="951">
        <f>(BY48+CC48)/1000-CM48</f>
        <v>29146</v>
      </c>
      <c r="CY48" s="951">
        <f>CX48*0.302</f>
        <v>8802.1</v>
      </c>
      <c r="CZ48" s="952">
        <f>CX48+CY48</f>
        <v>37948.1</v>
      </c>
      <c r="DB48" s="954"/>
      <c r="DC48" s="954"/>
      <c r="DD48" s="921"/>
      <c r="DE48" s="954"/>
      <c r="DF48" s="954"/>
      <c r="DG48" s="921"/>
      <c r="DH48" s="954"/>
      <c r="DI48" s="954"/>
      <c r="DJ48" s="921"/>
      <c r="DK48" s="954"/>
      <c r="DL48" s="954"/>
      <c r="DM48" s="921"/>
      <c r="DN48" s="954"/>
      <c r="DO48" s="954"/>
      <c r="DP48" s="921"/>
      <c r="DQ48" s="942">
        <f>$DQ$239</f>
        <v>0.97850278000000002</v>
      </c>
      <c r="DR48" s="951">
        <f>ROUND(CP48*DQ48,1)</f>
        <v>43622.8</v>
      </c>
      <c r="DS48" s="951">
        <f>ROUND(CQ48*DQ48,1)</f>
        <v>13174.2</v>
      </c>
      <c r="DT48" s="952">
        <f>DR48+DS48</f>
        <v>56797</v>
      </c>
      <c r="DV48" s="921"/>
      <c r="DW48" s="921"/>
      <c r="DX48" s="921"/>
      <c r="DY48" s="921"/>
      <c r="DZ48" s="921"/>
      <c r="EA48" s="921"/>
      <c r="EB48" s="921"/>
      <c r="EC48" s="921"/>
      <c r="ED48" s="921"/>
      <c r="EE48" s="921"/>
      <c r="EF48" s="921"/>
      <c r="EG48" s="921"/>
      <c r="EH48" s="921"/>
      <c r="EI48" s="921"/>
      <c r="EJ48" s="921"/>
      <c r="EK48" s="921"/>
      <c r="EL48" s="921"/>
      <c r="EM48" s="921"/>
      <c r="EN48" s="921"/>
      <c r="EO48" s="921"/>
      <c r="EP48" s="921"/>
      <c r="EQ48" s="954"/>
      <c r="ER48" s="954"/>
      <c r="ES48" s="954"/>
      <c r="ET48" s="954"/>
      <c r="EV48" s="942">
        <f>EV239</f>
        <v>0.98074006899999999</v>
      </c>
      <c r="EW48" s="951">
        <f>ROUND(CP48*EV48,1)</f>
        <v>43722.6</v>
      </c>
      <c r="EX48" s="951">
        <f>ROUND(CQ48*EV48,1)</f>
        <v>13204.3</v>
      </c>
      <c r="EY48" s="952">
        <f>EW48+EX48</f>
        <v>56926.9</v>
      </c>
    </row>
    <row r="49" spans="1:155" s="927" customFormat="1" ht="15.75" x14ac:dyDescent="0.25">
      <c r="A49" s="931"/>
      <c r="B49" s="932" t="s">
        <v>406</v>
      </c>
      <c r="C49" s="981">
        <f>C31+C43</f>
        <v>71.819999999999993</v>
      </c>
      <c r="D49" s="938"/>
      <c r="E49" s="983"/>
      <c r="F49" s="936"/>
      <c r="G49" s="983"/>
      <c r="H49" s="984">
        <f>H31+H43</f>
        <v>27988</v>
      </c>
      <c r="I49" s="984">
        <f>I31+I43</f>
        <v>1005049.08</v>
      </c>
      <c r="J49" s="937"/>
      <c r="K49" s="938"/>
      <c r="L49" s="984">
        <f>L31+L43</f>
        <v>254762.31</v>
      </c>
      <c r="M49" s="937"/>
      <c r="N49" s="938"/>
      <c r="O49" s="984">
        <f>O31+O43</f>
        <v>0</v>
      </c>
      <c r="P49" s="937"/>
      <c r="Q49" s="938"/>
      <c r="R49" s="984">
        <f>R31+R43</f>
        <v>0</v>
      </c>
      <c r="S49" s="937"/>
      <c r="T49" s="938"/>
      <c r="U49" s="984">
        <f>U31+U43</f>
        <v>0</v>
      </c>
      <c r="V49" s="937"/>
      <c r="W49" s="938"/>
      <c r="X49" s="984">
        <f>X31+X43</f>
        <v>0</v>
      </c>
      <c r="Y49" s="937"/>
      <c r="Z49" s="938"/>
      <c r="AA49" s="984">
        <f>AA31+AA43</f>
        <v>0</v>
      </c>
      <c r="AB49" s="937"/>
      <c r="AC49" s="938"/>
      <c r="AD49" s="984">
        <f>AD31+AD43</f>
        <v>203804.56</v>
      </c>
      <c r="AE49" s="937"/>
      <c r="AF49" s="938"/>
      <c r="AG49" s="984">
        <f>AG31+AG43</f>
        <v>5316.18</v>
      </c>
      <c r="AH49" s="937"/>
      <c r="AI49" s="938"/>
      <c r="AJ49" s="984">
        <f>AJ31+AJ43</f>
        <v>0</v>
      </c>
      <c r="AK49" s="937"/>
      <c r="AL49" s="938"/>
      <c r="AM49" s="984">
        <f>AM31+AM43</f>
        <v>0</v>
      </c>
      <c r="AN49" s="938"/>
      <c r="AO49" s="984">
        <f>AO31+AO43</f>
        <v>0</v>
      </c>
      <c r="AP49" s="938"/>
      <c r="AQ49" s="984">
        <f>AQ31+AQ43</f>
        <v>0</v>
      </c>
      <c r="AR49" s="984">
        <f>AR31+AR43</f>
        <v>1468932.13</v>
      </c>
      <c r="AS49" s="936"/>
      <c r="AT49" s="984">
        <f t="shared" ref="AT49:AW49" si="54">AT31+AT43</f>
        <v>17627185.559999999</v>
      </c>
      <c r="AU49" s="984">
        <f t="shared" si="54"/>
        <v>0</v>
      </c>
      <c r="AV49" s="984">
        <f t="shared" si="54"/>
        <v>176271.85</v>
      </c>
      <c r="AW49" s="984">
        <f t="shared" si="54"/>
        <v>17803457.41</v>
      </c>
      <c r="AX49" s="939"/>
      <c r="AY49" s="939"/>
      <c r="AZ49" s="941"/>
      <c r="BA49" s="941"/>
      <c r="BB49" s="941"/>
      <c r="BC49" s="934"/>
      <c r="BD49" s="941"/>
      <c r="BE49" s="941"/>
      <c r="BF49" s="941"/>
      <c r="BG49" s="942"/>
      <c r="BH49" s="941"/>
      <c r="BI49" s="941"/>
      <c r="BJ49" s="941"/>
      <c r="BK49" s="943"/>
      <c r="BL49" s="943"/>
      <c r="BM49" s="943"/>
      <c r="BN49" s="943"/>
      <c r="BO49" s="943"/>
      <c r="BP49" s="944"/>
      <c r="BQ49" s="943"/>
      <c r="BR49" s="943"/>
      <c r="BS49" s="943"/>
      <c r="BU49" s="945"/>
      <c r="BV49" s="946"/>
      <c r="BW49" s="947"/>
      <c r="BX49" s="945"/>
      <c r="BY49" s="947"/>
      <c r="BZ49" s="946"/>
      <c r="CA49" s="947"/>
      <c r="CB49" s="946"/>
      <c r="CC49" s="947"/>
      <c r="CD49" s="947"/>
      <c r="CE49" s="947"/>
      <c r="CF49" s="948"/>
      <c r="CG49" s="949"/>
      <c r="CH49" s="949"/>
      <c r="CI49" s="950"/>
      <c r="CJ49" s="951"/>
      <c r="CK49" s="951"/>
      <c r="CL49" s="952"/>
      <c r="CM49" s="951"/>
      <c r="CN49" s="951"/>
      <c r="CO49" s="952"/>
      <c r="CP49" s="951"/>
      <c r="CQ49" s="951"/>
      <c r="CR49" s="952"/>
      <c r="CS49" s="946"/>
      <c r="CT49" s="953"/>
      <c r="CU49" s="953"/>
      <c r="CV49" s="953"/>
      <c r="CX49" s="951"/>
      <c r="CY49" s="951"/>
      <c r="CZ49" s="952"/>
      <c r="DB49" s="954"/>
      <c r="DC49" s="954"/>
      <c r="DD49" s="921"/>
      <c r="DE49" s="954"/>
      <c r="DF49" s="954"/>
      <c r="DG49" s="921"/>
      <c r="DH49" s="954"/>
      <c r="DI49" s="954"/>
      <c r="DJ49" s="921"/>
      <c r="DK49" s="954"/>
      <c r="DL49" s="954"/>
      <c r="DM49" s="921"/>
      <c r="DN49" s="954"/>
      <c r="DO49" s="954"/>
      <c r="DP49" s="921"/>
      <c r="DQ49" s="942"/>
      <c r="DR49" s="951"/>
      <c r="DS49" s="951"/>
      <c r="DT49" s="952"/>
      <c r="DV49" s="921"/>
      <c r="DW49" s="921"/>
      <c r="DX49" s="921"/>
      <c r="DY49" s="921"/>
      <c r="DZ49" s="921"/>
      <c r="EA49" s="921"/>
      <c r="EB49" s="921"/>
      <c r="EC49" s="921"/>
      <c r="ED49" s="921"/>
      <c r="EE49" s="921"/>
      <c r="EF49" s="921"/>
      <c r="EG49" s="921"/>
      <c r="EH49" s="921"/>
      <c r="EI49" s="921"/>
      <c r="EJ49" s="921"/>
      <c r="EK49" s="921"/>
      <c r="EL49" s="921"/>
      <c r="EM49" s="921"/>
      <c r="EN49" s="921"/>
      <c r="EO49" s="921"/>
      <c r="EP49" s="921"/>
      <c r="EQ49" s="954"/>
      <c r="ER49" s="954"/>
      <c r="ES49" s="954"/>
      <c r="ET49" s="954"/>
      <c r="EV49" s="942"/>
      <c r="EW49" s="951"/>
      <c r="EX49" s="951"/>
      <c r="EY49" s="952"/>
    </row>
    <row r="50" spans="1:155" s="927" customFormat="1" ht="15.75" x14ac:dyDescent="0.25">
      <c r="A50" s="931"/>
      <c r="B50" s="932" t="s">
        <v>403</v>
      </c>
      <c r="C50" s="981">
        <f>C26+C27+C29+C32+C33+C39</f>
        <v>21.19</v>
      </c>
      <c r="D50" s="938"/>
      <c r="E50" s="983"/>
      <c r="F50" s="936"/>
      <c r="G50" s="983"/>
      <c r="H50" s="984">
        <f>H26+H27+H29+H32+H33+H39</f>
        <v>85328</v>
      </c>
      <c r="I50" s="984">
        <f>I26+I27+I29+I32+I33+I39</f>
        <v>299942.86</v>
      </c>
      <c r="J50" s="937"/>
      <c r="K50" s="938"/>
      <c r="L50" s="984">
        <f>L26+L27+L29+L32+L33+L39</f>
        <v>71487.02</v>
      </c>
      <c r="M50" s="937"/>
      <c r="N50" s="938"/>
      <c r="O50" s="984">
        <f>O26+O27+O29+O32+O33+O39</f>
        <v>0</v>
      </c>
      <c r="P50" s="937"/>
      <c r="Q50" s="938"/>
      <c r="R50" s="984">
        <f>R26+R27+R29+R32+R33+R39</f>
        <v>0</v>
      </c>
      <c r="S50" s="937"/>
      <c r="T50" s="938"/>
      <c r="U50" s="984">
        <f>U26+U27+U29+U32+U33+U39</f>
        <v>0</v>
      </c>
      <c r="V50" s="937"/>
      <c r="W50" s="938"/>
      <c r="X50" s="984">
        <f>X26+X27+X29+X32+X33+X39</f>
        <v>0</v>
      </c>
      <c r="Y50" s="937"/>
      <c r="Z50" s="938"/>
      <c r="AA50" s="984">
        <f>AA26+AA27+AA29+AA32+AA33+AA39</f>
        <v>0</v>
      </c>
      <c r="AB50" s="937"/>
      <c r="AC50" s="938"/>
      <c r="AD50" s="984">
        <f>AD26+AD27+AD29+AD32+AD33+AD39</f>
        <v>57189.79</v>
      </c>
      <c r="AE50" s="937"/>
      <c r="AF50" s="938"/>
      <c r="AG50" s="984">
        <f>AG26+AG27+AG29+AG32+AG33+AG39</f>
        <v>1399.4</v>
      </c>
      <c r="AH50" s="937"/>
      <c r="AI50" s="938"/>
      <c r="AJ50" s="984">
        <f>AJ26+AJ27+AJ29+AJ32+AJ33+AJ39</f>
        <v>0</v>
      </c>
      <c r="AK50" s="937"/>
      <c r="AL50" s="938"/>
      <c r="AM50" s="984">
        <f>AM26+AM27+AM29+AM32+AM33+AM39</f>
        <v>0</v>
      </c>
      <c r="AN50" s="938"/>
      <c r="AO50" s="984">
        <f>AO26+AO27+AO29+AO32+AO33+AO39</f>
        <v>0</v>
      </c>
      <c r="AP50" s="938"/>
      <c r="AQ50" s="984">
        <f>AQ26+AQ27+AQ29+AQ32+AQ33+AQ39</f>
        <v>0</v>
      </c>
      <c r="AR50" s="984">
        <f>AR26+AR27+AR29+AR32+AR33+AR39</f>
        <v>430019.07</v>
      </c>
      <c r="AS50" s="936"/>
      <c r="AT50" s="984">
        <f t="shared" ref="AT50:AW50" si="55">AT26+AT27+AT29+AT32+AT33+AT39</f>
        <v>5160228.84</v>
      </c>
      <c r="AU50" s="984">
        <f t="shared" si="55"/>
        <v>0</v>
      </c>
      <c r="AV50" s="984">
        <f t="shared" si="55"/>
        <v>51602.29</v>
      </c>
      <c r="AW50" s="984">
        <f t="shared" si="55"/>
        <v>5211831.13</v>
      </c>
      <c r="AX50" s="939"/>
      <c r="AY50" s="939"/>
      <c r="AZ50" s="941"/>
      <c r="BA50" s="941"/>
      <c r="BB50" s="941"/>
      <c r="BC50" s="934"/>
      <c r="BD50" s="941"/>
      <c r="BE50" s="941"/>
      <c r="BF50" s="941"/>
      <c r="BG50" s="942"/>
      <c r="BH50" s="941"/>
      <c r="BI50" s="941"/>
      <c r="BJ50" s="941"/>
      <c r="BK50" s="943"/>
      <c r="BL50" s="943"/>
      <c r="BM50" s="943"/>
      <c r="BN50" s="943"/>
      <c r="BO50" s="943"/>
      <c r="BP50" s="944"/>
      <c r="BQ50" s="943"/>
      <c r="BR50" s="943"/>
      <c r="BS50" s="943"/>
      <c r="BU50" s="945"/>
      <c r="BV50" s="946"/>
      <c r="BW50" s="947"/>
      <c r="BX50" s="945"/>
      <c r="BY50" s="947"/>
      <c r="BZ50" s="946"/>
      <c r="CA50" s="947"/>
      <c r="CB50" s="946"/>
      <c r="CC50" s="947"/>
      <c r="CD50" s="947"/>
      <c r="CE50" s="947"/>
      <c r="CF50" s="948"/>
      <c r="CG50" s="949"/>
      <c r="CH50" s="949"/>
      <c r="CI50" s="950"/>
      <c r="CJ50" s="951"/>
      <c r="CK50" s="951"/>
      <c r="CL50" s="952"/>
      <c r="CM50" s="951"/>
      <c r="CN50" s="951"/>
      <c r="CO50" s="952"/>
      <c r="CP50" s="951"/>
      <c r="CQ50" s="951"/>
      <c r="CR50" s="952"/>
      <c r="CS50" s="946"/>
      <c r="CT50" s="953"/>
      <c r="CU50" s="953"/>
      <c r="CV50" s="953"/>
      <c r="CX50" s="951"/>
      <c r="CY50" s="951"/>
      <c r="CZ50" s="952"/>
      <c r="DB50" s="954"/>
      <c r="DC50" s="954"/>
      <c r="DD50" s="921"/>
      <c r="DE50" s="954"/>
      <c r="DF50" s="954"/>
      <c r="DG50" s="921"/>
      <c r="DH50" s="954"/>
      <c r="DI50" s="954"/>
      <c r="DJ50" s="921"/>
      <c r="DK50" s="954"/>
      <c r="DL50" s="954"/>
      <c r="DM50" s="921"/>
      <c r="DN50" s="954"/>
      <c r="DO50" s="954"/>
      <c r="DP50" s="921"/>
      <c r="DQ50" s="942"/>
      <c r="DR50" s="951"/>
      <c r="DS50" s="951"/>
      <c r="DT50" s="952"/>
      <c r="DV50" s="921"/>
      <c r="DW50" s="921"/>
      <c r="DX50" s="921"/>
      <c r="DY50" s="921"/>
      <c r="DZ50" s="921"/>
      <c r="EA50" s="921"/>
      <c r="EB50" s="921"/>
      <c r="EC50" s="921"/>
      <c r="ED50" s="921"/>
      <c r="EE50" s="921"/>
      <c r="EF50" s="921"/>
      <c r="EG50" s="921"/>
      <c r="EH50" s="921"/>
      <c r="EI50" s="921"/>
      <c r="EJ50" s="921"/>
      <c r="EK50" s="921"/>
      <c r="EL50" s="921"/>
      <c r="EM50" s="921"/>
      <c r="EN50" s="921"/>
      <c r="EO50" s="921"/>
      <c r="EP50" s="921"/>
      <c r="EQ50" s="954"/>
      <c r="ER50" s="954"/>
      <c r="ES50" s="954"/>
      <c r="ET50" s="954"/>
      <c r="EV50" s="942"/>
      <c r="EW50" s="951"/>
      <c r="EX50" s="951"/>
      <c r="EY50" s="952"/>
    </row>
    <row r="51" spans="1:155" s="927" customFormat="1" ht="15.75" x14ac:dyDescent="0.25">
      <c r="A51" s="931"/>
      <c r="B51" s="932" t="s">
        <v>404</v>
      </c>
      <c r="C51" s="981">
        <f>C12+C13+C15+C14+C16+C17+C18+C19+C20+C21+C22+C23+C24+C25+C28+C30+C35+C36+C37+C40+C41+C44+C45+C46</f>
        <v>42.75</v>
      </c>
      <c r="D51" s="938"/>
      <c r="E51" s="983"/>
      <c r="F51" s="936"/>
      <c r="G51" s="983"/>
      <c r="H51" s="984">
        <f>H12+H13+H15+H14+H16+H17+H18+H19+H20+H21+H22+H23+H24+H25+H28+H30+H35+H36+H37+H40+H41+H44+H45+H46</f>
        <v>260385</v>
      </c>
      <c r="I51" s="984">
        <f>I12+I13+I15+I14+I16+I17+I18+I19+I20+I21+I22+I23+I24+I25+I28+I30+I35+I36+I37+I40+I41+I44+I45+I46</f>
        <v>376508.25</v>
      </c>
      <c r="J51" s="937"/>
      <c r="K51" s="938"/>
      <c r="L51" s="984">
        <f>L12+L13+L15+L14+L16+L17+L18+L19+L20+L21+L22+L23+L24+L25+L28+L30+L35+L36+L37+L40+L41+L44+L45+L46</f>
        <v>0</v>
      </c>
      <c r="M51" s="937"/>
      <c r="N51" s="938"/>
      <c r="O51" s="984">
        <f>O12+O13+O15+O14+O16+O17+O18+O19+O20+O21+O22+O23+O24+O25+O28+O30+O35+O36+O37+O40+O41+O44+O45+O46</f>
        <v>0</v>
      </c>
      <c r="P51" s="937"/>
      <c r="Q51" s="938"/>
      <c r="R51" s="984">
        <f>R12+R13+R15+R14+R16+R17+R18+R19+R20+R21+R22+R23+R24+R25+R28+R30+R35+R36+R37+R40+R41+R44+R45+R46</f>
        <v>0</v>
      </c>
      <c r="S51" s="937"/>
      <c r="T51" s="938"/>
      <c r="U51" s="984">
        <f>U12+U13+U15+U14+U16+U17+U18+U19+U20+U21+U22+U23+U24+U25+U28+U30+U35+U36+U37+U40+U41+U44+U45+U46</f>
        <v>26300.97</v>
      </c>
      <c r="V51" s="937"/>
      <c r="W51" s="938"/>
      <c r="X51" s="984">
        <f>X12+X13+X15+X14+X16+X17+X18+X19+X20+X21+X22+X23+X24+X25+X28+X30+X35+X36+X37+X40+X41+X44+X45+X46</f>
        <v>0</v>
      </c>
      <c r="Y51" s="937"/>
      <c r="Z51" s="938"/>
      <c r="AA51" s="984">
        <f>AA12+AA13+AA15+AA14+AA16+AA17+AA18+AA19+AA20+AA21+AA22+AA23+AA24+AA25+AA28+AA30+AA35+AA36+AA37+AA40+AA41+AA44+AA45+AA46</f>
        <v>176886.14</v>
      </c>
      <c r="AB51" s="937"/>
      <c r="AC51" s="938"/>
      <c r="AD51" s="984">
        <f>AD12+AD13+AD15+AD14+AD16+AD17+AD18+AD19+AD20+AD21+AD22+AD23+AD24+AD25+AD28+AD30+AD35+AD36+AD37+AD40+AD41+AD44+AD45+AD46</f>
        <v>62631.58</v>
      </c>
      <c r="AE51" s="937"/>
      <c r="AF51" s="938"/>
      <c r="AG51" s="984">
        <f>AG12+AG13+AG15+AG14+AG16+AG17+AG18+AG19+AG20+AG21+AG22+AG23+AG24+AG25+AG28+AG30+AG35+AG36+AG37+AG40+AG41+AG44+AG45+AG46</f>
        <v>0</v>
      </c>
      <c r="AH51" s="937"/>
      <c r="AI51" s="938"/>
      <c r="AJ51" s="984">
        <f>AJ12+AJ13+AJ15+AJ14+AJ16+AJ17+AJ18+AJ19+AJ20+AJ21+AJ22+AJ23+AJ24+AJ25+AJ28+AJ30+AJ35+AJ36+AJ37+AJ40+AJ41+AJ44+AJ45+AJ46</f>
        <v>0</v>
      </c>
      <c r="AK51" s="937"/>
      <c r="AL51" s="938"/>
      <c r="AM51" s="984">
        <f>AM12+AM13+AM15+AM14+AM16+AM17+AM18+AM19+AM20+AM21+AM22+AM23+AM24+AM25+AM28+AM30+AM35+AM36+AM37+AM40+AM41+AM44+AM45+AM46</f>
        <v>0</v>
      </c>
      <c r="AN51" s="938"/>
      <c r="AO51" s="984">
        <f>AO12+AO13+AO15+AO14+AO16+AO17+AO18+AO19+AO20+AO21+AO22+AO23+AO24+AO25+AO28+AO30+AO35+AO36+AO37+AO40+AO41+AO44+AO45+AO46</f>
        <v>315277.61</v>
      </c>
      <c r="AP51" s="938"/>
      <c r="AQ51" s="984">
        <f>AQ12+AQ13+AQ15+AQ14+AQ16+AQ17+AQ18+AQ19+AQ20+AQ21+AQ22+AQ23+AQ24+AQ25+AQ28+AQ30+AQ35+AQ36+AQ37+AQ40+AQ41+AQ44+AQ45+AQ46</f>
        <v>0</v>
      </c>
      <c r="AR51" s="984">
        <f>AR12+AR13+AR15+AR14+AR16+AR17+AR18+AR19+AR20+AR21+AR22+AR23+AR24+AR25+AR28+AR30+AR35+AR36+AR37+AR40+AR41+AR44+AR45+AR46</f>
        <v>957604.55</v>
      </c>
      <c r="AS51" s="936"/>
      <c r="AT51" s="984">
        <f t="shared" ref="AT51:AW51" si="56">AT12+AT13+AT15+AT14+AT16+AT17+AT18+AT19+AT20+AT21+AT22+AT23+AT24+AT25+AT28+AT30+AT35+AT36+AT37+AT40+AT41+AT44+AT45+AT46</f>
        <v>11491254.6</v>
      </c>
      <c r="AU51" s="984">
        <f t="shared" si="56"/>
        <v>338562.99</v>
      </c>
      <c r="AV51" s="984">
        <f t="shared" si="56"/>
        <v>114912.54</v>
      </c>
      <c r="AW51" s="984">
        <f t="shared" si="56"/>
        <v>11944730.130000001</v>
      </c>
      <c r="AX51" s="939"/>
      <c r="AY51" s="939"/>
      <c r="AZ51" s="941"/>
      <c r="BA51" s="941"/>
      <c r="BB51" s="941"/>
      <c r="BC51" s="934"/>
      <c r="BD51" s="941"/>
      <c r="BE51" s="941"/>
      <c r="BF51" s="941"/>
      <c r="BG51" s="942"/>
      <c r="BH51" s="941"/>
      <c r="BI51" s="941"/>
      <c r="BJ51" s="941"/>
      <c r="BK51" s="943"/>
      <c r="BL51" s="943"/>
      <c r="BM51" s="943"/>
      <c r="BN51" s="943"/>
      <c r="BO51" s="943"/>
      <c r="BP51" s="944"/>
      <c r="BQ51" s="943"/>
      <c r="BR51" s="943"/>
      <c r="BS51" s="943"/>
      <c r="BU51" s="945"/>
      <c r="BV51" s="946"/>
      <c r="BW51" s="947"/>
      <c r="BX51" s="945"/>
      <c r="BY51" s="947"/>
      <c r="BZ51" s="946"/>
      <c r="CA51" s="947"/>
      <c r="CB51" s="946"/>
      <c r="CC51" s="947"/>
      <c r="CD51" s="947"/>
      <c r="CE51" s="947"/>
      <c r="CF51" s="948"/>
      <c r="CG51" s="949"/>
      <c r="CH51" s="949"/>
      <c r="CI51" s="950"/>
      <c r="CJ51" s="951"/>
      <c r="CK51" s="951"/>
      <c r="CL51" s="952"/>
      <c r="CM51" s="951"/>
      <c r="CN51" s="951"/>
      <c r="CO51" s="952"/>
      <c r="CP51" s="951"/>
      <c r="CQ51" s="951"/>
      <c r="CR51" s="952"/>
      <c r="CS51" s="946"/>
      <c r="CT51" s="953"/>
      <c r="CU51" s="953"/>
      <c r="CV51" s="953"/>
      <c r="CX51" s="951"/>
      <c r="CY51" s="951"/>
      <c r="CZ51" s="952"/>
      <c r="DB51" s="954"/>
      <c r="DC51" s="954"/>
      <c r="DD51" s="921"/>
      <c r="DE51" s="954"/>
      <c r="DF51" s="954"/>
      <c r="DG51" s="921"/>
      <c r="DH51" s="954"/>
      <c r="DI51" s="954"/>
      <c r="DJ51" s="921"/>
      <c r="DK51" s="954"/>
      <c r="DL51" s="954"/>
      <c r="DM51" s="921"/>
      <c r="DN51" s="954"/>
      <c r="DO51" s="954"/>
      <c r="DP51" s="921"/>
      <c r="DQ51" s="942"/>
      <c r="DR51" s="951"/>
      <c r="DS51" s="951"/>
      <c r="DT51" s="952"/>
      <c r="DV51" s="921"/>
      <c r="DW51" s="921"/>
      <c r="DX51" s="921"/>
      <c r="DY51" s="921"/>
      <c r="DZ51" s="921"/>
      <c r="EA51" s="921"/>
      <c r="EB51" s="921"/>
      <c r="EC51" s="921"/>
      <c r="ED51" s="921"/>
      <c r="EE51" s="921"/>
      <c r="EF51" s="921"/>
      <c r="EG51" s="921"/>
      <c r="EH51" s="921"/>
      <c r="EI51" s="921"/>
      <c r="EJ51" s="921"/>
      <c r="EK51" s="921"/>
      <c r="EL51" s="921"/>
      <c r="EM51" s="921"/>
      <c r="EN51" s="921"/>
      <c r="EO51" s="921"/>
      <c r="EP51" s="921"/>
      <c r="EQ51" s="954"/>
      <c r="ER51" s="954"/>
      <c r="ES51" s="954"/>
      <c r="ET51" s="954"/>
      <c r="EV51" s="942"/>
      <c r="EW51" s="951"/>
      <c r="EX51" s="951"/>
      <c r="EY51" s="952"/>
    </row>
    <row r="52" spans="1:155" s="927" customFormat="1" ht="15.75" x14ac:dyDescent="0.25">
      <c r="A52" s="931"/>
      <c r="B52" s="932" t="s">
        <v>405</v>
      </c>
      <c r="C52" s="981">
        <f>C34+C38+C42+C47</f>
        <v>14</v>
      </c>
      <c r="D52" s="938"/>
      <c r="E52" s="983"/>
      <c r="F52" s="936"/>
      <c r="G52" s="983"/>
      <c r="H52" s="984">
        <f>H34+H38+H42+H47</f>
        <v>20547</v>
      </c>
      <c r="I52" s="984">
        <f>I34+I38+I42+I47</f>
        <v>69358</v>
      </c>
      <c r="J52" s="937"/>
      <c r="K52" s="938"/>
      <c r="L52" s="984">
        <f>L34+L38+L42+L47</f>
        <v>0</v>
      </c>
      <c r="M52" s="937"/>
      <c r="N52" s="938"/>
      <c r="O52" s="984">
        <f>O34+O38+O42+O47</f>
        <v>0</v>
      </c>
      <c r="P52" s="937"/>
      <c r="Q52" s="938"/>
      <c r="R52" s="984">
        <f>R34+R38+R42+R47</f>
        <v>0</v>
      </c>
      <c r="S52" s="937"/>
      <c r="T52" s="938"/>
      <c r="U52" s="984">
        <f>U34+U38+U42+U47</f>
        <v>32368.59</v>
      </c>
      <c r="V52" s="937"/>
      <c r="W52" s="938"/>
      <c r="X52" s="984">
        <f>X34+X38+X42+X47</f>
        <v>0</v>
      </c>
      <c r="Y52" s="937"/>
      <c r="Z52" s="938"/>
      <c r="AA52" s="984">
        <f>AA34+AA38+AA42+AA47</f>
        <v>0</v>
      </c>
      <c r="AB52" s="937"/>
      <c r="AC52" s="938"/>
      <c r="AD52" s="984">
        <f>AD34+AD38+AD42+AD47</f>
        <v>0</v>
      </c>
      <c r="AE52" s="937"/>
      <c r="AF52" s="938"/>
      <c r="AG52" s="984">
        <f>AG34+AG38+AG42+AG47</f>
        <v>0</v>
      </c>
      <c r="AH52" s="937"/>
      <c r="AI52" s="938"/>
      <c r="AJ52" s="984">
        <f>AJ34+AJ38+AJ42+AJ47</f>
        <v>0</v>
      </c>
      <c r="AK52" s="937"/>
      <c r="AL52" s="938"/>
      <c r="AM52" s="984">
        <f>AM34+AM38+AM42+AM47</f>
        <v>0</v>
      </c>
      <c r="AN52" s="938"/>
      <c r="AO52" s="984">
        <f>AO34+AO38+AO42+AO47</f>
        <v>167661.41</v>
      </c>
      <c r="AP52" s="938"/>
      <c r="AQ52" s="984">
        <f>AQ34+AQ38+AQ42+AQ47</f>
        <v>6361.74</v>
      </c>
      <c r="AR52" s="984">
        <f>AR34+AR38+AR42+AR47</f>
        <v>275749.74</v>
      </c>
      <c r="AS52" s="936"/>
      <c r="AT52" s="984">
        <f t="shared" ref="AT52:AW52" si="57">AT34+AT38+AT42+AT47</f>
        <v>3308996.88</v>
      </c>
      <c r="AU52" s="984">
        <f t="shared" si="57"/>
        <v>124250.01</v>
      </c>
      <c r="AV52" s="984">
        <f t="shared" si="57"/>
        <v>33089.97</v>
      </c>
      <c r="AW52" s="984">
        <f t="shared" si="57"/>
        <v>3466336.86</v>
      </c>
      <c r="AX52" s="939"/>
      <c r="AY52" s="939"/>
      <c r="AZ52" s="941"/>
      <c r="BA52" s="941"/>
      <c r="BB52" s="941"/>
      <c r="BC52" s="934"/>
      <c r="BD52" s="941"/>
      <c r="BE52" s="941"/>
      <c r="BF52" s="941"/>
      <c r="BG52" s="942"/>
      <c r="BH52" s="941"/>
      <c r="BI52" s="941"/>
      <c r="BJ52" s="941"/>
      <c r="BK52" s="943"/>
      <c r="BL52" s="943"/>
      <c r="BM52" s="943"/>
      <c r="BN52" s="943"/>
      <c r="BO52" s="943"/>
      <c r="BP52" s="944"/>
      <c r="BQ52" s="943"/>
      <c r="BR52" s="943"/>
      <c r="BS52" s="943"/>
      <c r="BU52" s="945"/>
      <c r="BV52" s="946"/>
      <c r="BW52" s="947"/>
      <c r="BX52" s="945"/>
      <c r="BY52" s="947"/>
      <c r="BZ52" s="946"/>
      <c r="CA52" s="947"/>
      <c r="CB52" s="946"/>
      <c r="CC52" s="947"/>
      <c r="CD52" s="947"/>
      <c r="CE52" s="947"/>
      <c r="CF52" s="948"/>
      <c r="CG52" s="949"/>
      <c r="CH52" s="949"/>
      <c r="CI52" s="950"/>
      <c r="CJ52" s="951"/>
      <c r="CK52" s="951"/>
      <c r="CL52" s="952"/>
      <c r="CM52" s="951"/>
      <c r="CN52" s="951"/>
      <c r="CO52" s="952"/>
      <c r="CP52" s="951"/>
      <c r="CQ52" s="951"/>
      <c r="CR52" s="952"/>
      <c r="CS52" s="946"/>
      <c r="CT52" s="953"/>
      <c r="CU52" s="953"/>
      <c r="CV52" s="953"/>
      <c r="CX52" s="951"/>
      <c r="CY52" s="951"/>
      <c r="CZ52" s="952"/>
      <c r="DB52" s="954"/>
      <c r="DC52" s="954"/>
      <c r="DD52" s="921"/>
      <c r="DE52" s="954"/>
      <c r="DF52" s="954"/>
      <c r="DG52" s="921"/>
      <c r="DH52" s="954"/>
      <c r="DI52" s="954"/>
      <c r="DJ52" s="921"/>
      <c r="DK52" s="954"/>
      <c r="DL52" s="954"/>
      <c r="DM52" s="921"/>
      <c r="DN52" s="954"/>
      <c r="DO52" s="954"/>
      <c r="DP52" s="921"/>
      <c r="DQ52" s="942"/>
      <c r="DR52" s="951"/>
      <c r="DS52" s="951"/>
      <c r="DT52" s="952"/>
      <c r="DV52" s="921"/>
      <c r="DW52" s="921"/>
      <c r="DX52" s="921"/>
      <c r="DY52" s="921"/>
      <c r="DZ52" s="921"/>
      <c r="EA52" s="921"/>
      <c r="EB52" s="921"/>
      <c r="EC52" s="921"/>
      <c r="ED52" s="921"/>
      <c r="EE52" s="921"/>
      <c r="EF52" s="921"/>
      <c r="EG52" s="921"/>
      <c r="EH52" s="921"/>
      <c r="EI52" s="921"/>
      <c r="EJ52" s="921"/>
      <c r="EK52" s="921"/>
      <c r="EL52" s="921"/>
      <c r="EM52" s="921"/>
      <c r="EN52" s="921"/>
      <c r="EO52" s="921"/>
      <c r="EP52" s="921"/>
      <c r="EQ52" s="954"/>
      <c r="ER52" s="954"/>
      <c r="ES52" s="954"/>
      <c r="ET52" s="954"/>
      <c r="EV52" s="942"/>
      <c r="EW52" s="951"/>
      <c r="EX52" s="951"/>
      <c r="EY52" s="952"/>
    </row>
    <row r="53" spans="1:155" s="927" customFormat="1" ht="15.75" x14ac:dyDescent="0.25">
      <c r="A53" s="931"/>
      <c r="B53" s="932"/>
      <c r="C53" s="982">
        <f>C48-C49-C50-C51-C52</f>
        <v>0</v>
      </c>
      <c r="D53" s="938"/>
      <c r="E53" s="983"/>
      <c r="F53" s="936"/>
      <c r="G53" s="983"/>
      <c r="H53" s="985">
        <f>H48-H49-H50-H51-H52</f>
        <v>0</v>
      </c>
      <c r="I53" s="985">
        <f>I48-I49-I50-I51-I52</f>
        <v>0</v>
      </c>
      <c r="J53" s="937"/>
      <c r="K53" s="938"/>
      <c r="L53" s="985">
        <f>L48-L49-L50-L51-L52</f>
        <v>0</v>
      </c>
      <c r="M53" s="937"/>
      <c r="N53" s="938"/>
      <c r="O53" s="985">
        <f>O48-O49-O50-O51-O52</f>
        <v>0</v>
      </c>
      <c r="P53" s="937"/>
      <c r="Q53" s="938"/>
      <c r="R53" s="985">
        <f>R48-R49-R50-R51-R52</f>
        <v>0</v>
      </c>
      <c r="S53" s="937"/>
      <c r="T53" s="938"/>
      <c r="U53" s="985">
        <f>U48-U49-U50-U51-U52</f>
        <v>0</v>
      </c>
      <c r="V53" s="937"/>
      <c r="W53" s="938"/>
      <c r="X53" s="985">
        <f>X48-X49-X50-X51-X52</f>
        <v>0</v>
      </c>
      <c r="Y53" s="937"/>
      <c r="Z53" s="938"/>
      <c r="AA53" s="985">
        <f>AA48-AA49-AA50-AA51-AA52</f>
        <v>0</v>
      </c>
      <c r="AB53" s="937"/>
      <c r="AC53" s="938"/>
      <c r="AD53" s="985">
        <f>AD48-AD49-AD50-AD51-AD52</f>
        <v>0</v>
      </c>
      <c r="AE53" s="937"/>
      <c r="AF53" s="938"/>
      <c r="AG53" s="985">
        <f>AG48-AG49-AG50-AG51-AG52</f>
        <v>0</v>
      </c>
      <c r="AH53" s="937"/>
      <c r="AI53" s="938"/>
      <c r="AJ53" s="985">
        <f>AJ48-AJ49-AJ50-AJ51-AJ52</f>
        <v>0</v>
      </c>
      <c r="AK53" s="937"/>
      <c r="AL53" s="938"/>
      <c r="AM53" s="985">
        <f>AM48-AM49-AM50-AM51-AM52</f>
        <v>0</v>
      </c>
      <c r="AN53" s="938"/>
      <c r="AO53" s="985">
        <f>AO48-AO49-AO50-AO51-AO52</f>
        <v>0</v>
      </c>
      <c r="AP53" s="938"/>
      <c r="AQ53" s="985">
        <f>AQ48-AQ49-AQ50-AQ51-AQ52</f>
        <v>0</v>
      </c>
      <c r="AR53" s="985">
        <f>AR48-AR49-AR50-AR51-AR52</f>
        <v>0</v>
      </c>
      <c r="AS53" s="936"/>
      <c r="AT53" s="985">
        <f t="shared" ref="AT53:AW53" si="58">AT48-AT49-AT50-AT51-AT52</f>
        <v>0</v>
      </c>
      <c r="AU53" s="985">
        <f t="shared" si="58"/>
        <v>0</v>
      </c>
      <c r="AV53" s="985">
        <f t="shared" si="58"/>
        <v>0</v>
      </c>
      <c r="AW53" s="985">
        <f t="shared" si="58"/>
        <v>0</v>
      </c>
      <c r="AX53" s="939"/>
      <c r="AY53" s="939"/>
      <c r="AZ53" s="941"/>
      <c r="BA53" s="941"/>
      <c r="BB53" s="941"/>
      <c r="BC53" s="934"/>
      <c r="BD53" s="941"/>
      <c r="BE53" s="941"/>
      <c r="BF53" s="941"/>
      <c r="BG53" s="942"/>
      <c r="BH53" s="941"/>
      <c r="BI53" s="941"/>
      <c r="BJ53" s="941"/>
      <c r="BK53" s="943"/>
      <c r="BL53" s="943"/>
      <c r="BM53" s="943"/>
      <c r="BN53" s="943"/>
      <c r="BO53" s="943"/>
      <c r="BP53" s="944"/>
      <c r="BQ53" s="943"/>
      <c r="BR53" s="943"/>
      <c r="BS53" s="943"/>
      <c r="BU53" s="945"/>
      <c r="BV53" s="946"/>
      <c r="BW53" s="947"/>
      <c r="BX53" s="945"/>
      <c r="BY53" s="947"/>
      <c r="BZ53" s="946"/>
      <c r="CA53" s="947"/>
      <c r="CB53" s="946"/>
      <c r="CC53" s="947"/>
      <c r="CD53" s="947"/>
      <c r="CE53" s="947"/>
      <c r="CF53" s="948"/>
      <c r="CG53" s="949"/>
      <c r="CH53" s="949"/>
      <c r="CI53" s="950"/>
      <c r="CJ53" s="951"/>
      <c r="CK53" s="951"/>
      <c r="CL53" s="952"/>
      <c r="CM53" s="951"/>
      <c r="CN53" s="951"/>
      <c r="CO53" s="952"/>
      <c r="CP53" s="951"/>
      <c r="CQ53" s="951"/>
      <c r="CR53" s="952"/>
      <c r="CS53" s="946"/>
      <c r="CT53" s="953"/>
      <c r="CU53" s="953"/>
      <c r="CV53" s="953"/>
      <c r="CX53" s="951"/>
      <c r="CY53" s="951"/>
      <c r="CZ53" s="952"/>
      <c r="DB53" s="954"/>
      <c r="DC53" s="954"/>
      <c r="DD53" s="921"/>
      <c r="DE53" s="954"/>
      <c r="DF53" s="954"/>
      <c r="DG53" s="921"/>
      <c r="DH53" s="954"/>
      <c r="DI53" s="954"/>
      <c r="DJ53" s="921"/>
      <c r="DK53" s="954"/>
      <c r="DL53" s="954"/>
      <c r="DM53" s="921"/>
      <c r="DN53" s="954"/>
      <c r="DO53" s="954"/>
      <c r="DP53" s="921"/>
      <c r="DQ53" s="942"/>
      <c r="DR53" s="951"/>
      <c r="DS53" s="951"/>
      <c r="DT53" s="952"/>
      <c r="DV53" s="921"/>
      <c r="DW53" s="921"/>
      <c r="DX53" s="921"/>
      <c r="DY53" s="921"/>
      <c r="DZ53" s="921"/>
      <c r="EA53" s="921"/>
      <c r="EB53" s="921"/>
      <c r="EC53" s="921"/>
      <c r="ED53" s="921"/>
      <c r="EE53" s="921"/>
      <c r="EF53" s="921"/>
      <c r="EG53" s="921"/>
      <c r="EH53" s="921"/>
      <c r="EI53" s="921"/>
      <c r="EJ53" s="921"/>
      <c r="EK53" s="921"/>
      <c r="EL53" s="921"/>
      <c r="EM53" s="921"/>
      <c r="EN53" s="921"/>
      <c r="EO53" s="921"/>
      <c r="EP53" s="921"/>
      <c r="EQ53" s="954"/>
      <c r="ER53" s="954"/>
      <c r="ES53" s="954"/>
      <c r="ET53" s="954"/>
      <c r="EV53" s="942"/>
      <c r="EW53" s="951"/>
      <c r="EX53" s="951"/>
      <c r="EY53" s="952"/>
    </row>
    <row r="54" spans="1:155" s="927" customFormat="1" ht="15.75" x14ac:dyDescent="0.25">
      <c r="A54" s="931"/>
      <c r="B54" s="932" t="s">
        <v>806</v>
      </c>
      <c r="C54" s="933"/>
      <c r="D54" s="933"/>
      <c r="E54" s="934"/>
      <c r="F54" s="935"/>
      <c r="G54" s="934"/>
      <c r="H54" s="935"/>
      <c r="I54" s="936"/>
      <c r="J54" s="937"/>
      <c r="K54" s="938"/>
      <c r="L54" s="936"/>
      <c r="M54" s="937"/>
      <c r="N54" s="938"/>
      <c r="O54" s="936"/>
      <c r="P54" s="937"/>
      <c r="Q54" s="938"/>
      <c r="R54" s="936"/>
      <c r="S54" s="937"/>
      <c r="T54" s="938"/>
      <c r="U54" s="936"/>
      <c r="V54" s="937"/>
      <c r="W54" s="938"/>
      <c r="X54" s="936"/>
      <c r="Y54" s="937"/>
      <c r="Z54" s="938"/>
      <c r="AA54" s="936"/>
      <c r="AB54" s="937"/>
      <c r="AC54" s="938"/>
      <c r="AD54" s="936"/>
      <c r="AE54" s="937"/>
      <c r="AF54" s="938"/>
      <c r="AG54" s="936"/>
      <c r="AH54" s="937"/>
      <c r="AI54" s="938"/>
      <c r="AJ54" s="936"/>
      <c r="AK54" s="937"/>
      <c r="AL54" s="938"/>
      <c r="AM54" s="936"/>
      <c r="AN54" s="933"/>
      <c r="AO54" s="936"/>
      <c r="AP54" s="933"/>
      <c r="AQ54" s="935"/>
      <c r="AR54" s="936"/>
      <c r="AS54" s="935"/>
      <c r="AT54" s="939"/>
      <c r="AU54" s="933"/>
      <c r="AV54" s="940"/>
      <c r="AW54" s="389">
        <f>AW48/12-AO48</f>
        <v>2719257.27</v>
      </c>
      <c r="AX54" s="939"/>
      <c r="AY54" s="939"/>
      <c r="AZ54" s="941"/>
      <c r="BA54" s="941"/>
      <c r="BB54" s="941"/>
      <c r="BC54" s="934"/>
      <c r="BD54" s="941"/>
      <c r="BE54" s="941"/>
      <c r="BF54" s="941"/>
      <c r="BG54" s="942"/>
      <c r="BH54" s="941"/>
      <c r="BI54" s="941"/>
      <c r="BJ54" s="941"/>
      <c r="BK54" s="943"/>
      <c r="BL54" s="943"/>
      <c r="BM54" s="943"/>
      <c r="BN54" s="943"/>
      <c r="BO54" s="943"/>
      <c r="BP54" s="944"/>
      <c r="BQ54" s="943"/>
      <c r="BR54" s="943"/>
      <c r="BS54" s="943"/>
      <c r="BU54" s="945"/>
      <c r="BV54" s="946"/>
      <c r="BW54" s="947"/>
      <c r="BX54" s="945"/>
      <c r="BY54" s="947"/>
      <c r="BZ54" s="946"/>
      <c r="CA54" s="947"/>
      <c r="CB54" s="946"/>
      <c r="CC54" s="947"/>
      <c r="CD54" s="947"/>
      <c r="CE54" s="947"/>
      <c r="CF54" s="948"/>
      <c r="CG54" s="949"/>
      <c r="CH54" s="949"/>
      <c r="CI54" s="950"/>
      <c r="CJ54" s="951"/>
      <c r="CK54" s="951"/>
      <c r="CL54" s="952"/>
      <c r="CM54" s="951"/>
      <c r="CN54" s="951"/>
      <c r="CO54" s="952"/>
      <c r="CP54" s="951"/>
      <c r="CQ54" s="951"/>
      <c r="CR54" s="952"/>
      <c r="CS54" s="946"/>
      <c r="CT54" s="953"/>
      <c r="CU54" s="953"/>
      <c r="CV54" s="953"/>
      <c r="CX54" s="951"/>
      <c r="CY54" s="951"/>
      <c r="CZ54" s="952"/>
      <c r="DB54" s="954"/>
      <c r="DC54" s="954"/>
      <c r="DD54" s="921"/>
      <c r="DE54" s="954"/>
      <c r="DF54" s="954"/>
      <c r="DG54" s="921"/>
      <c r="DH54" s="954"/>
      <c r="DI54" s="954"/>
      <c r="DJ54" s="921"/>
      <c r="DK54" s="954"/>
      <c r="DL54" s="954"/>
      <c r="DM54" s="921"/>
      <c r="DN54" s="954"/>
      <c r="DO54" s="954"/>
      <c r="DP54" s="921"/>
      <c r="DQ54" s="942"/>
      <c r="DR54" s="951"/>
      <c r="DS54" s="951"/>
      <c r="DT54" s="952"/>
      <c r="DV54" s="921"/>
      <c r="DW54" s="921"/>
      <c r="DX54" s="921"/>
      <c r="DY54" s="921"/>
      <c r="DZ54" s="921"/>
      <c r="EA54" s="921"/>
      <c r="EB54" s="921"/>
      <c r="EC54" s="921"/>
      <c r="ED54" s="921"/>
      <c r="EE54" s="921"/>
      <c r="EF54" s="921"/>
      <c r="EG54" s="921"/>
      <c r="EH54" s="921"/>
      <c r="EI54" s="921"/>
      <c r="EJ54" s="921"/>
      <c r="EK54" s="921"/>
      <c r="EL54" s="921"/>
      <c r="EM54" s="921"/>
      <c r="EN54" s="921"/>
      <c r="EO54" s="921"/>
      <c r="EP54" s="921"/>
      <c r="EQ54" s="954"/>
      <c r="ER54" s="954"/>
      <c r="ES54" s="954"/>
      <c r="ET54" s="954"/>
      <c r="EV54" s="942"/>
      <c r="EW54" s="951"/>
      <c r="EX54" s="951"/>
      <c r="EY54" s="952"/>
    </row>
    <row r="55" spans="1:155" s="927" customFormat="1" ht="15.75" x14ac:dyDescent="0.25">
      <c r="A55" s="931"/>
      <c r="B55" s="932" t="s">
        <v>406</v>
      </c>
      <c r="C55" s="933"/>
      <c r="D55" s="933"/>
      <c r="E55" s="934"/>
      <c r="F55" s="935"/>
      <c r="G55" s="934"/>
      <c r="H55" s="935"/>
      <c r="I55" s="936"/>
      <c r="J55" s="937"/>
      <c r="K55" s="938"/>
      <c r="L55" s="936"/>
      <c r="M55" s="937"/>
      <c r="N55" s="938"/>
      <c r="O55" s="936"/>
      <c r="P55" s="937"/>
      <c r="Q55" s="938"/>
      <c r="R55" s="936"/>
      <c r="S55" s="937"/>
      <c r="T55" s="938"/>
      <c r="U55" s="936"/>
      <c r="V55" s="937"/>
      <c r="W55" s="938"/>
      <c r="X55" s="936"/>
      <c r="Y55" s="937"/>
      <c r="Z55" s="938"/>
      <c r="AA55" s="936"/>
      <c r="AB55" s="937"/>
      <c r="AC55" s="938"/>
      <c r="AD55" s="936"/>
      <c r="AE55" s="937"/>
      <c r="AF55" s="938"/>
      <c r="AG55" s="936"/>
      <c r="AH55" s="937"/>
      <c r="AI55" s="938"/>
      <c r="AJ55" s="936"/>
      <c r="AK55" s="937"/>
      <c r="AL55" s="938"/>
      <c r="AM55" s="936"/>
      <c r="AN55" s="933"/>
      <c r="AO55" s="936"/>
      <c r="AP55" s="933"/>
      <c r="AQ55" s="935"/>
      <c r="AR55" s="936"/>
      <c r="AS55" s="935"/>
      <c r="AT55" s="939"/>
      <c r="AU55" s="933"/>
      <c r="AV55" s="940"/>
      <c r="AW55" s="389">
        <f>AW49/12-AO49</f>
        <v>1483621.45</v>
      </c>
      <c r="AX55" s="939"/>
      <c r="AY55" s="939"/>
      <c r="AZ55" s="941"/>
      <c r="BA55" s="941"/>
      <c r="BB55" s="941"/>
      <c r="BC55" s="934"/>
      <c r="BD55" s="941"/>
      <c r="BE55" s="941"/>
      <c r="BF55" s="941"/>
      <c r="BG55" s="942"/>
      <c r="BH55" s="941"/>
      <c r="BI55" s="941"/>
      <c r="BJ55" s="941"/>
      <c r="BK55" s="943"/>
      <c r="BL55" s="943"/>
      <c r="BM55" s="943"/>
      <c r="BN55" s="943"/>
      <c r="BO55" s="943"/>
      <c r="BP55" s="944"/>
      <c r="BQ55" s="943"/>
      <c r="BR55" s="943"/>
      <c r="BS55" s="943"/>
      <c r="BU55" s="945"/>
      <c r="BV55" s="946"/>
      <c r="BW55" s="947"/>
      <c r="BX55" s="945"/>
      <c r="BY55" s="947"/>
      <c r="BZ55" s="946"/>
      <c r="CA55" s="947"/>
      <c r="CB55" s="946"/>
      <c r="CC55" s="947"/>
      <c r="CD55" s="947"/>
      <c r="CE55" s="947"/>
      <c r="CF55" s="948"/>
      <c r="CG55" s="949"/>
      <c r="CH55" s="949"/>
      <c r="CI55" s="950"/>
      <c r="CJ55" s="951"/>
      <c r="CK55" s="951"/>
      <c r="CL55" s="952"/>
      <c r="CM55" s="951"/>
      <c r="CN55" s="951"/>
      <c r="CO55" s="952"/>
      <c r="CP55" s="951"/>
      <c r="CQ55" s="951"/>
      <c r="CR55" s="952"/>
      <c r="CS55" s="946"/>
      <c r="CT55" s="953"/>
      <c r="CU55" s="953"/>
      <c r="CV55" s="953"/>
      <c r="CX55" s="951"/>
      <c r="CY55" s="951"/>
      <c r="CZ55" s="952"/>
      <c r="DB55" s="954"/>
      <c r="DC55" s="954"/>
      <c r="DD55" s="921"/>
      <c r="DE55" s="954"/>
      <c r="DF55" s="954"/>
      <c r="DG55" s="921"/>
      <c r="DH55" s="954"/>
      <c r="DI55" s="954"/>
      <c r="DJ55" s="921"/>
      <c r="DK55" s="954"/>
      <c r="DL55" s="954"/>
      <c r="DM55" s="921"/>
      <c r="DN55" s="954"/>
      <c r="DO55" s="954"/>
      <c r="DP55" s="921"/>
      <c r="DQ55" s="942"/>
      <c r="DR55" s="951"/>
      <c r="DS55" s="951"/>
      <c r="DT55" s="952"/>
      <c r="DV55" s="921"/>
      <c r="DW55" s="921"/>
      <c r="DX55" s="921"/>
      <c r="DY55" s="921"/>
      <c r="DZ55" s="921"/>
      <c r="EA55" s="921"/>
      <c r="EB55" s="921"/>
      <c r="EC55" s="921"/>
      <c r="ED55" s="921"/>
      <c r="EE55" s="921"/>
      <c r="EF55" s="921"/>
      <c r="EG55" s="921"/>
      <c r="EH55" s="921"/>
      <c r="EI55" s="921"/>
      <c r="EJ55" s="921"/>
      <c r="EK55" s="921"/>
      <c r="EL55" s="921"/>
      <c r="EM55" s="921"/>
      <c r="EN55" s="921"/>
      <c r="EO55" s="921"/>
      <c r="EP55" s="921"/>
      <c r="EQ55" s="954"/>
      <c r="ER55" s="954"/>
      <c r="ES55" s="954"/>
      <c r="ET55" s="954"/>
      <c r="EV55" s="942"/>
      <c r="EW55" s="951"/>
      <c r="EX55" s="951"/>
      <c r="EY55" s="952"/>
    </row>
    <row r="56" spans="1:155" s="927" customFormat="1" ht="15.75" x14ac:dyDescent="0.25">
      <c r="A56" s="931"/>
      <c r="B56" s="932" t="s">
        <v>403</v>
      </c>
      <c r="C56" s="933"/>
      <c r="D56" s="933"/>
      <c r="E56" s="934"/>
      <c r="F56" s="935"/>
      <c r="G56" s="934"/>
      <c r="H56" s="935"/>
      <c r="I56" s="936"/>
      <c r="J56" s="937"/>
      <c r="K56" s="938"/>
      <c r="L56" s="936"/>
      <c r="M56" s="937"/>
      <c r="N56" s="938"/>
      <c r="O56" s="936"/>
      <c r="P56" s="937"/>
      <c r="Q56" s="938"/>
      <c r="R56" s="936"/>
      <c r="S56" s="937"/>
      <c r="T56" s="938"/>
      <c r="U56" s="936"/>
      <c r="V56" s="937"/>
      <c r="W56" s="938"/>
      <c r="X56" s="936"/>
      <c r="Y56" s="937"/>
      <c r="Z56" s="938"/>
      <c r="AA56" s="936"/>
      <c r="AB56" s="937"/>
      <c r="AC56" s="938"/>
      <c r="AD56" s="936"/>
      <c r="AE56" s="937"/>
      <c r="AF56" s="938"/>
      <c r="AG56" s="936"/>
      <c r="AH56" s="937"/>
      <c r="AI56" s="938"/>
      <c r="AJ56" s="936"/>
      <c r="AK56" s="937"/>
      <c r="AL56" s="938"/>
      <c r="AM56" s="936"/>
      <c r="AN56" s="933"/>
      <c r="AO56" s="936"/>
      <c r="AP56" s="933"/>
      <c r="AQ56" s="935"/>
      <c r="AR56" s="936"/>
      <c r="AS56" s="935"/>
      <c r="AT56" s="939"/>
      <c r="AU56" s="933"/>
      <c r="AV56" s="940"/>
      <c r="AW56" s="389">
        <f>AW50/12-AO50</f>
        <v>434319.26</v>
      </c>
      <c r="AX56" s="939"/>
      <c r="AY56" s="939"/>
      <c r="AZ56" s="941"/>
      <c r="BA56" s="941"/>
      <c r="BB56" s="941"/>
      <c r="BC56" s="934"/>
      <c r="BD56" s="941"/>
      <c r="BE56" s="941"/>
      <c r="BF56" s="941"/>
      <c r="BG56" s="942"/>
      <c r="BH56" s="941"/>
      <c r="BI56" s="941"/>
      <c r="BJ56" s="941"/>
      <c r="BK56" s="943"/>
      <c r="BL56" s="943"/>
      <c r="BM56" s="943"/>
      <c r="BN56" s="943"/>
      <c r="BO56" s="943"/>
      <c r="BP56" s="944"/>
      <c r="BQ56" s="943"/>
      <c r="BR56" s="943"/>
      <c r="BS56" s="943"/>
      <c r="BU56" s="945"/>
      <c r="BV56" s="946"/>
      <c r="BW56" s="947"/>
      <c r="BX56" s="945"/>
      <c r="BY56" s="947"/>
      <c r="BZ56" s="946"/>
      <c r="CA56" s="947"/>
      <c r="CB56" s="946"/>
      <c r="CC56" s="947"/>
      <c r="CD56" s="947"/>
      <c r="CE56" s="947"/>
      <c r="CF56" s="948"/>
      <c r="CG56" s="949"/>
      <c r="CH56" s="949"/>
      <c r="CI56" s="950"/>
      <c r="CJ56" s="951"/>
      <c r="CK56" s="951"/>
      <c r="CL56" s="952"/>
      <c r="CM56" s="951"/>
      <c r="CN56" s="951"/>
      <c r="CO56" s="952"/>
      <c r="CP56" s="951"/>
      <c r="CQ56" s="951"/>
      <c r="CR56" s="952"/>
      <c r="CS56" s="946"/>
      <c r="CT56" s="953"/>
      <c r="CU56" s="953"/>
      <c r="CV56" s="953"/>
      <c r="CX56" s="951"/>
      <c r="CY56" s="951"/>
      <c r="CZ56" s="952"/>
      <c r="DB56" s="954"/>
      <c r="DC56" s="954"/>
      <c r="DD56" s="921"/>
      <c r="DE56" s="954"/>
      <c r="DF56" s="954"/>
      <c r="DG56" s="921"/>
      <c r="DH56" s="954"/>
      <c r="DI56" s="954"/>
      <c r="DJ56" s="921"/>
      <c r="DK56" s="954"/>
      <c r="DL56" s="954"/>
      <c r="DM56" s="921"/>
      <c r="DN56" s="954"/>
      <c r="DO56" s="954"/>
      <c r="DP56" s="921"/>
      <c r="DQ56" s="942"/>
      <c r="DR56" s="951"/>
      <c r="DS56" s="951"/>
      <c r="DT56" s="952"/>
      <c r="DV56" s="921"/>
      <c r="DW56" s="921"/>
      <c r="DX56" s="921"/>
      <c r="DY56" s="921"/>
      <c r="DZ56" s="921"/>
      <c r="EA56" s="921"/>
      <c r="EB56" s="921"/>
      <c r="EC56" s="921"/>
      <c r="ED56" s="921"/>
      <c r="EE56" s="921"/>
      <c r="EF56" s="921"/>
      <c r="EG56" s="921"/>
      <c r="EH56" s="921"/>
      <c r="EI56" s="921"/>
      <c r="EJ56" s="921"/>
      <c r="EK56" s="921"/>
      <c r="EL56" s="921"/>
      <c r="EM56" s="921"/>
      <c r="EN56" s="921"/>
      <c r="EO56" s="921"/>
      <c r="EP56" s="921"/>
      <c r="EQ56" s="954"/>
      <c r="ER56" s="954"/>
      <c r="ES56" s="954"/>
      <c r="ET56" s="954"/>
      <c r="EV56" s="942"/>
      <c r="EW56" s="951"/>
      <c r="EX56" s="951"/>
      <c r="EY56" s="952"/>
    </row>
    <row r="57" spans="1:155" s="927" customFormat="1" ht="15.75" x14ac:dyDescent="0.25">
      <c r="A57" s="931"/>
      <c r="B57" s="932" t="s">
        <v>404</v>
      </c>
      <c r="C57" s="933"/>
      <c r="D57" s="933"/>
      <c r="E57" s="934"/>
      <c r="F57" s="935"/>
      <c r="G57" s="934"/>
      <c r="H57" s="935"/>
      <c r="I57" s="936"/>
      <c r="J57" s="937"/>
      <c r="K57" s="938"/>
      <c r="L57" s="936"/>
      <c r="M57" s="937"/>
      <c r="N57" s="938"/>
      <c r="O57" s="936"/>
      <c r="P57" s="937"/>
      <c r="Q57" s="938"/>
      <c r="R57" s="936"/>
      <c r="S57" s="937"/>
      <c r="T57" s="938"/>
      <c r="U57" s="936"/>
      <c r="V57" s="937"/>
      <c r="W57" s="938"/>
      <c r="X57" s="936"/>
      <c r="Y57" s="937"/>
      <c r="Z57" s="938"/>
      <c r="AA57" s="936"/>
      <c r="AB57" s="937"/>
      <c r="AC57" s="938"/>
      <c r="AD57" s="936"/>
      <c r="AE57" s="937"/>
      <c r="AF57" s="938"/>
      <c r="AG57" s="936"/>
      <c r="AH57" s="937"/>
      <c r="AI57" s="938"/>
      <c r="AJ57" s="936"/>
      <c r="AK57" s="937"/>
      <c r="AL57" s="938"/>
      <c r="AM57" s="936"/>
      <c r="AN57" s="933"/>
      <c r="AO57" s="936"/>
      <c r="AP57" s="933"/>
      <c r="AQ57" s="935"/>
      <c r="AR57" s="936"/>
      <c r="AS57" s="935"/>
      <c r="AT57" s="939"/>
      <c r="AU57" s="933"/>
      <c r="AV57" s="940"/>
      <c r="AW57" s="389">
        <f>AW51/12-AO51</f>
        <v>680116.57</v>
      </c>
      <c r="AX57" s="939"/>
      <c r="AY57" s="939"/>
      <c r="AZ57" s="941"/>
      <c r="BA57" s="941"/>
      <c r="BB57" s="941"/>
      <c r="BC57" s="934"/>
      <c r="BD57" s="941"/>
      <c r="BE57" s="941"/>
      <c r="BF57" s="941"/>
      <c r="BG57" s="942"/>
      <c r="BH57" s="941"/>
      <c r="BI57" s="941"/>
      <c r="BJ57" s="941"/>
      <c r="BK57" s="943"/>
      <c r="BL57" s="943"/>
      <c r="BM57" s="943"/>
      <c r="BN57" s="943"/>
      <c r="BO57" s="943"/>
      <c r="BP57" s="944"/>
      <c r="BQ57" s="943"/>
      <c r="BR57" s="943"/>
      <c r="BS57" s="943"/>
      <c r="BU57" s="945"/>
      <c r="BV57" s="946"/>
      <c r="BW57" s="947"/>
      <c r="BX57" s="945"/>
      <c r="BY57" s="947"/>
      <c r="BZ57" s="946"/>
      <c r="CA57" s="947"/>
      <c r="CB57" s="946"/>
      <c r="CC57" s="947"/>
      <c r="CD57" s="947"/>
      <c r="CE57" s="947"/>
      <c r="CF57" s="948"/>
      <c r="CG57" s="949"/>
      <c r="CH57" s="949"/>
      <c r="CI57" s="950"/>
      <c r="CJ57" s="951"/>
      <c r="CK57" s="951"/>
      <c r="CL57" s="952"/>
      <c r="CM57" s="951"/>
      <c r="CN57" s="951"/>
      <c r="CO57" s="952"/>
      <c r="CP57" s="951"/>
      <c r="CQ57" s="951"/>
      <c r="CR57" s="952"/>
      <c r="CS57" s="946"/>
      <c r="CT57" s="953"/>
      <c r="CU57" s="953"/>
      <c r="CV57" s="953"/>
      <c r="CX57" s="951"/>
      <c r="CY57" s="951"/>
      <c r="CZ57" s="952"/>
      <c r="DB57" s="954"/>
      <c r="DC57" s="954"/>
      <c r="DD57" s="921"/>
      <c r="DE57" s="954"/>
      <c r="DF57" s="954"/>
      <c r="DG57" s="921"/>
      <c r="DH57" s="954"/>
      <c r="DI57" s="954"/>
      <c r="DJ57" s="921"/>
      <c r="DK57" s="954"/>
      <c r="DL57" s="954"/>
      <c r="DM57" s="921"/>
      <c r="DN57" s="954"/>
      <c r="DO57" s="954"/>
      <c r="DP57" s="921"/>
      <c r="DQ57" s="942"/>
      <c r="DR57" s="951"/>
      <c r="DS57" s="951"/>
      <c r="DT57" s="952"/>
      <c r="DV57" s="921"/>
      <c r="DW57" s="921"/>
      <c r="DX57" s="921"/>
      <c r="DY57" s="921"/>
      <c r="DZ57" s="921"/>
      <c r="EA57" s="921"/>
      <c r="EB57" s="921"/>
      <c r="EC57" s="921"/>
      <c r="ED57" s="921"/>
      <c r="EE57" s="921"/>
      <c r="EF57" s="921"/>
      <c r="EG57" s="921"/>
      <c r="EH57" s="921"/>
      <c r="EI57" s="921"/>
      <c r="EJ57" s="921"/>
      <c r="EK57" s="921"/>
      <c r="EL57" s="921"/>
      <c r="EM57" s="921"/>
      <c r="EN57" s="921"/>
      <c r="EO57" s="921"/>
      <c r="EP57" s="921"/>
      <c r="EQ57" s="954"/>
      <c r="ER57" s="954"/>
      <c r="ES57" s="954"/>
      <c r="ET57" s="954"/>
      <c r="EV57" s="942"/>
      <c r="EW57" s="951"/>
      <c r="EX57" s="951"/>
      <c r="EY57" s="952"/>
    </row>
    <row r="58" spans="1:155" s="927" customFormat="1" ht="15.75" x14ac:dyDescent="0.25">
      <c r="A58" s="931"/>
      <c r="B58" s="932" t="s">
        <v>405</v>
      </c>
      <c r="C58" s="933"/>
      <c r="D58" s="933"/>
      <c r="E58" s="934"/>
      <c r="F58" s="935"/>
      <c r="G58" s="934"/>
      <c r="H58" s="935"/>
      <c r="I58" s="936"/>
      <c r="J58" s="937"/>
      <c r="K58" s="938"/>
      <c r="L58" s="936"/>
      <c r="M58" s="937"/>
      <c r="N58" s="938"/>
      <c r="O58" s="936"/>
      <c r="P58" s="937"/>
      <c r="Q58" s="938"/>
      <c r="R58" s="936"/>
      <c r="S58" s="937"/>
      <c r="T58" s="938"/>
      <c r="U58" s="936"/>
      <c r="V58" s="937"/>
      <c r="W58" s="938"/>
      <c r="X58" s="936"/>
      <c r="Y58" s="937"/>
      <c r="Z58" s="938"/>
      <c r="AA58" s="936"/>
      <c r="AB58" s="937"/>
      <c r="AC58" s="938"/>
      <c r="AD58" s="936"/>
      <c r="AE58" s="937"/>
      <c r="AF58" s="938"/>
      <c r="AG58" s="936"/>
      <c r="AH58" s="937"/>
      <c r="AI58" s="938"/>
      <c r="AJ58" s="936"/>
      <c r="AK58" s="937"/>
      <c r="AL58" s="938"/>
      <c r="AM58" s="936"/>
      <c r="AN58" s="933"/>
      <c r="AO58" s="936"/>
      <c r="AP58" s="933"/>
      <c r="AQ58" s="935"/>
      <c r="AR58" s="936"/>
      <c r="AS58" s="935"/>
      <c r="AT58" s="939"/>
      <c r="AU58" s="933"/>
      <c r="AV58" s="940"/>
      <c r="AW58" s="389">
        <f>AW52/12-AO52</f>
        <v>121200</v>
      </c>
      <c r="AX58" s="939"/>
      <c r="AY58" s="939"/>
      <c r="AZ58" s="941"/>
      <c r="BA58" s="941"/>
      <c r="BB58" s="941"/>
      <c r="BC58" s="934"/>
      <c r="BD58" s="941"/>
      <c r="BE58" s="941"/>
      <c r="BF58" s="941"/>
      <c r="BG58" s="942"/>
      <c r="BH58" s="941"/>
      <c r="BI58" s="941"/>
      <c r="BJ58" s="941"/>
      <c r="BK58" s="943"/>
      <c r="BL58" s="943"/>
      <c r="BM58" s="943"/>
      <c r="BN58" s="943"/>
      <c r="BO58" s="943"/>
      <c r="BP58" s="944"/>
      <c r="BQ58" s="943"/>
      <c r="BR58" s="943"/>
      <c r="BS58" s="943"/>
      <c r="BU58" s="945"/>
      <c r="BV58" s="946"/>
      <c r="BW58" s="947"/>
      <c r="BX58" s="945"/>
      <c r="BY58" s="947"/>
      <c r="BZ58" s="946"/>
      <c r="CA58" s="947"/>
      <c r="CB58" s="946"/>
      <c r="CC58" s="947"/>
      <c r="CD58" s="947"/>
      <c r="CE58" s="947"/>
      <c r="CF58" s="948"/>
      <c r="CG58" s="949"/>
      <c r="CH58" s="949"/>
      <c r="CI58" s="950"/>
      <c r="CJ58" s="951"/>
      <c r="CK58" s="951"/>
      <c r="CL58" s="952"/>
      <c r="CM58" s="951"/>
      <c r="CN58" s="951"/>
      <c r="CO58" s="952"/>
      <c r="CP58" s="951"/>
      <c r="CQ58" s="951"/>
      <c r="CR58" s="952"/>
      <c r="CS58" s="946"/>
      <c r="CT58" s="953"/>
      <c r="CU58" s="953"/>
      <c r="CV58" s="953"/>
      <c r="CX58" s="951"/>
      <c r="CY58" s="951"/>
      <c r="CZ58" s="952"/>
      <c r="DB58" s="954"/>
      <c r="DC58" s="954"/>
      <c r="DD58" s="921"/>
      <c r="DE58" s="954"/>
      <c r="DF58" s="954"/>
      <c r="DG58" s="921"/>
      <c r="DH58" s="954"/>
      <c r="DI58" s="954"/>
      <c r="DJ58" s="921"/>
      <c r="DK58" s="954"/>
      <c r="DL58" s="954"/>
      <c r="DM58" s="921"/>
      <c r="DN58" s="954"/>
      <c r="DO58" s="954"/>
      <c r="DP58" s="921"/>
      <c r="DQ58" s="942"/>
      <c r="DR58" s="951"/>
      <c r="DS58" s="951"/>
      <c r="DT58" s="952"/>
      <c r="DV58" s="921"/>
      <c r="DW58" s="921"/>
      <c r="DX58" s="921"/>
      <c r="DY58" s="921"/>
      <c r="DZ58" s="921"/>
      <c r="EA58" s="921"/>
      <c r="EB58" s="921"/>
      <c r="EC58" s="921"/>
      <c r="ED58" s="921"/>
      <c r="EE58" s="921"/>
      <c r="EF58" s="921"/>
      <c r="EG58" s="921"/>
      <c r="EH58" s="921"/>
      <c r="EI58" s="921"/>
      <c r="EJ58" s="921"/>
      <c r="EK58" s="921"/>
      <c r="EL58" s="921"/>
      <c r="EM58" s="921"/>
      <c r="EN58" s="921"/>
      <c r="EO58" s="921"/>
      <c r="EP58" s="921"/>
      <c r="EQ58" s="954"/>
      <c r="ER58" s="954"/>
      <c r="ES58" s="954"/>
      <c r="ET58" s="954"/>
      <c r="EV58" s="942"/>
      <c r="EW58" s="951"/>
      <c r="EX58" s="951"/>
      <c r="EY58" s="952"/>
    </row>
    <row r="59" spans="1:155" s="927" customFormat="1" ht="15.75" x14ac:dyDescent="0.25">
      <c r="A59" s="931"/>
      <c r="B59" s="932" t="s">
        <v>499</v>
      </c>
      <c r="C59" s="933"/>
      <c r="D59" s="933"/>
      <c r="E59" s="934"/>
      <c r="F59" s="935"/>
      <c r="G59" s="934"/>
      <c r="H59" s="935"/>
      <c r="I59" s="936"/>
      <c r="J59" s="937"/>
      <c r="K59" s="938"/>
      <c r="L59" s="936"/>
      <c r="M59" s="937"/>
      <c r="N59" s="938"/>
      <c r="O59" s="936"/>
      <c r="P59" s="937"/>
      <c r="Q59" s="938"/>
      <c r="R59" s="936"/>
      <c r="S59" s="937"/>
      <c r="T59" s="938"/>
      <c r="U59" s="936"/>
      <c r="V59" s="937"/>
      <c r="W59" s="938"/>
      <c r="X59" s="936"/>
      <c r="Y59" s="937"/>
      <c r="Z59" s="938"/>
      <c r="AA59" s="936"/>
      <c r="AB59" s="937"/>
      <c r="AC59" s="938"/>
      <c r="AD59" s="936"/>
      <c r="AE59" s="937"/>
      <c r="AF59" s="938"/>
      <c r="AG59" s="936"/>
      <c r="AH59" s="937"/>
      <c r="AI59" s="938"/>
      <c r="AJ59" s="936"/>
      <c r="AK59" s="937"/>
      <c r="AL59" s="938"/>
      <c r="AM59" s="936"/>
      <c r="AN59" s="933"/>
      <c r="AO59" s="936"/>
      <c r="AP59" s="933"/>
      <c r="AQ59" s="935"/>
      <c r="AR59" s="936"/>
      <c r="AS59" s="935"/>
      <c r="AT59" s="939"/>
      <c r="AU59" s="933"/>
      <c r="AV59" s="940"/>
      <c r="AW59" s="986"/>
      <c r="AX59" s="939"/>
      <c r="AY59" s="939"/>
      <c r="AZ59" s="941"/>
      <c r="BA59" s="941"/>
      <c r="BB59" s="941"/>
      <c r="BC59" s="934"/>
      <c r="BD59" s="941"/>
      <c r="BE59" s="941"/>
      <c r="BF59" s="941"/>
      <c r="BG59" s="942"/>
      <c r="BH59" s="941"/>
      <c r="BI59" s="941"/>
      <c r="BJ59" s="941"/>
      <c r="BK59" s="943"/>
      <c r="BL59" s="943"/>
      <c r="BM59" s="943"/>
      <c r="BN59" s="943"/>
      <c r="BO59" s="943"/>
      <c r="BP59" s="944"/>
      <c r="BQ59" s="943"/>
      <c r="BR59" s="943"/>
      <c r="BS59" s="943"/>
      <c r="BU59" s="945"/>
      <c r="BV59" s="946"/>
      <c r="BW59" s="947"/>
      <c r="BX59" s="945"/>
      <c r="BY59" s="947"/>
      <c r="BZ59" s="946"/>
      <c r="CA59" s="947"/>
      <c r="CB59" s="946"/>
      <c r="CC59" s="947"/>
      <c r="CD59" s="947"/>
      <c r="CE59" s="947"/>
      <c r="CF59" s="948"/>
      <c r="CG59" s="949"/>
      <c r="CH59" s="949"/>
      <c r="CI59" s="950"/>
      <c r="CJ59" s="951"/>
      <c r="CK59" s="951"/>
      <c r="CL59" s="952"/>
      <c r="CM59" s="951"/>
      <c r="CN59" s="951"/>
      <c r="CO59" s="952"/>
      <c r="CP59" s="951"/>
      <c r="CQ59" s="951"/>
      <c r="CR59" s="952"/>
      <c r="CS59" s="946"/>
      <c r="CT59" s="953"/>
      <c r="CU59" s="953"/>
      <c r="CV59" s="953"/>
      <c r="CX59" s="951"/>
      <c r="CY59" s="951"/>
      <c r="CZ59" s="952"/>
      <c r="DB59" s="954"/>
      <c r="DC59" s="954"/>
      <c r="DD59" s="921"/>
      <c r="DE59" s="954"/>
      <c r="DF59" s="954"/>
      <c r="DG59" s="921"/>
      <c r="DH59" s="954"/>
      <c r="DI59" s="954"/>
      <c r="DJ59" s="921"/>
      <c r="DK59" s="954"/>
      <c r="DL59" s="954"/>
      <c r="DM59" s="921"/>
      <c r="DN59" s="954"/>
      <c r="DO59" s="954"/>
      <c r="DP59" s="921"/>
      <c r="DQ59" s="942"/>
      <c r="DR59" s="951"/>
      <c r="DS59" s="951"/>
      <c r="DT59" s="952"/>
      <c r="DV59" s="921"/>
      <c r="DW59" s="921"/>
      <c r="DX59" s="921"/>
      <c r="DY59" s="921"/>
      <c r="DZ59" s="921"/>
      <c r="EA59" s="921"/>
      <c r="EB59" s="921"/>
      <c r="EC59" s="921"/>
      <c r="ED59" s="921"/>
      <c r="EE59" s="921"/>
      <c r="EF59" s="921"/>
      <c r="EG59" s="921"/>
      <c r="EH59" s="921"/>
      <c r="EI59" s="921"/>
      <c r="EJ59" s="921"/>
      <c r="EK59" s="921"/>
      <c r="EL59" s="921"/>
      <c r="EM59" s="921"/>
      <c r="EN59" s="921"/>
      <c r="EO59" s="921"/>
      <c r="EP59" s="921"/>
      <c r="EQ59" s="954"/>
      <c r="ER59" s="954"/>
      <c r="ES59" s="954"/>
      <c r="ET59" s="954"/>
      <c r="EV59" s="942"/>
      <c r="EW59" s="951"/>
      <c r="EX59" s="951"/>
      <c r="EY59" s="952"/>
    </row>
    <row r="60" spans="1:155" s="927" customFormat="1" ht="15.75" x14ac:dyDescent="0.25">
      <c r="A60" s="931"/>
      <c r="B60" s="932" t="s">
        <v>406</v>
      </c>
      <c r="C60" s="933"/>
      <c r="D60" s="933"/>
      <c r="E60" s="934"/>
      <c r="F60" s="935"/>
      <c r="G60" s="934"/>
      <c r="H60" s="935"/>
      <c r="I60" s="936"/>
      <c r="J60" s="937"/>
      <c r="K60" s="938"/>
      <c r="L60" s="936"/>
      <c r="M60" s="937"/>
      <c r="N60" s="938"/>
      <c r="O60" s="936"/>
      <c r="P60" s="937"/>
      <c r="Q60" s="938"/>
      <c r="R60" s="936"/>
      <c r="S60" s="937"/>
      <c r="T60" s="938"/>
      <c r="U60" s="936"/>
      <c r="V60" s="937"/>
      <c r="W60" s="938"/>
      <c r="X60" s="936"/>
      <c r="Y60" s="937"/>
      <c r="Z60" s="938"/>
      <c r="AA60" s="936"/>
      <c r="AB60" s="937"/>
      <c r="AC60" s="938"/>
      <c r="AD60" s="936"/>
      <c r="AE60" s="937"/>
      <c r="AF60" s="938"/>
      <c r="AG60" s="936"/>
      <c r="AH60" s="937"/>
      <c r="AI60" s="938"/>
      <c r="AJ60" s="936"/>
      <c r="AK60" s="937"/>
      <c r="AL60" s="938"/>
      <c r="AM60" s="936"/>
      <c r="AN60" s="933"/>
      <c r="AO60" s="936"/>
      <c r="AP60" s="933"/>
      <c r="AQ60" s="935"/>
      <c r="AR60" s="936"/>
      <c r="AS60" s="935"/>
      <c r="AT60" s="939"/>
      <c r="AU60" s="933"/>
      <c r="AV60" s="940"/>
      <c r="AW60" s="336">
        <f>AW55/I49</f>
        <v>1.47617</v>
      </c>
      <c r="AX60" s="939"/>
      <c r="AY60" s="939"/>
      <c r="AZ60" s="941"/>
      <c r="BA60" s="941"/>
      <c r="BB60" s="941"/>
      <c r="BC60" s="934"/>
      <c r="BD60" s="941"/>
      <c r="BE60" s="941"/>
      <c r="BF60" s="941"/>
      <c r="BG60" s="942"/>
      <c r="BH60" s="941"/>
      <c r="BI60" s="941"/>
      <c r="BJ60" s="941"/>
      <c r="BK60" s="943"/>
      <c r="BL60" s="943"/>
      <c r="BM60" s="943"/>
      <c r="BN60" s="943"/>
      <c r="BO60" s="943"/>
      <c r="BP60" s="944"/>
      <c r="BQ60" s="943"/>
      <c r="BR60" s="943"/>
      <c r="BS60" s="943"/>
      <c r="BU60" s="945"/>
      <c r="BV60" s="946"/>
      <c r="BW60" s="947"/>
      <c r="BX60" s="945"/>
      <c r="BY60" s="947"/>
      <c r="BZ60" s="946"/>
      <c r="CA60" s="947"/>
      <c r="CB60" s="946"/>
      <c r="CC60" s="947"/>
      <c r="CD60" s="947"/>
      <c r="CE60" s="947"/>
      <c r="CF60" s="948"/>
      <c r="CG60" s="949"/>
      <c r="CH60" s="949"/>
      <c r="CI60" s="950"/>
      <c r="CJ60" s="951"/>
      <c r="CK60" s="951"/>
      <c r="CL60" s="952"/>
      <c r="CM60" s="951"/>
      <c r="CN60" s="951"/>
      <c r="CO60" s="952"/>
      <c r="CP60" s="951"/>
      <c r="CQ60" s="951"/>
      <c r="CR60" s="952"/>
      <c r="CS60" s="946"/>
      <c r="CT60" s="953"/>
      <c r="CU60" s="953"/>
      <c r="CV60" s="953"/>
      <c r="CX60" s="951"/>
      <c r="CY60" s="951"/>
      <c r="CZ60" s="952"/>
      <c r="DB60" s="954"/>
      <c r="DC60" s="954"/>
      <c r="DD60" s="921"/>
      <c r="DE60" s="954"/>
      <c r="DF60" s="954"/>
      <c r="DG60" s="921"/>
      <c r="DH60" s="954"/>
      <c r="DI60" s="954"/>
      <c r="DJ60" s="921"/>
      <c r="DK60" s="954"/>
      <c r="DL60" s="954"/>
      <c r="DM60" s="921"/>
      <c r="DN60" s="954"/>
      <c r="DO60" s="954"/>
      <c r="DP60" s="921"/>
      <c r="DQ60" s="942"/>
      <c r="DR60" s="951"/>
      <c r="DS60" s="951"/>
      <c r="DT60" s="952"/>
      <c r="DV60" s="921"/>
      <c r="DW60" s="921"/>
      <c r="DX60" s="921"/>
      <c r="DY60" s="921"/>
      <c r="DZ60" s="921"/>
      <c r="EA60" s="921"/>
      <c r="EB60" s="921"/>
      <c r="EC60" s="921"/>
      <c r="ED60" s="921"/>
      <c r="EE60" s="921"/>
      <c r="EF60" s="921"/>
      <c r="EG60" s="921"/>
      <c r="EH60" s="921"/>
      <c r="EI60" s="921"/>
      <c r="EJ60" s="921"/>
      <c r="EK60" s="921"/>
      <c r="EL60" s="921"/>
      <c r="EM60" s="921"/>
      <c r="EN60" s="921"/>
      <c r="EO60" s="921"/>
      <c r="EP60" s="921"/>
      <c r="EQ60" s="954"/>
      <c r="ER60" s="954"/>
      <c r="ES60" s="954"/>
      <c r="ET60" s="954"/>
      <c r="EV60" s="942"/>
      <c r="EW60" s="951"/>
      <c r="EX60" s="951"/>
      <c r="EY60" s="952"/>
    </row>
    <row r="61" spans="1:155" s="927" customFormat="1" ht="15.75" x14ac:dyDescent="0.25">
      <c r="A61" s="931"/>
      <c r="B61" s="932" t="s">
        <v>498</v>
      </c>
      <c r="C61" s="933"/>
      <c r="D61" s="933"/>
      <c r="E61" s="934"/>
      <c r="F61" s="935"/>
      <c r="G61" s="934"/>
      <c r="H61" s="935"/>
      <c r="I61" s="936"/>
      <c r="J61" s="937"/>
      <c r="K61" s="938"/>
      <c r="L61" s="936"/>
      <c r="M61" s="937"/>
      <c r="N61" s="938"/>
      <c r="O61" s="936"/>
      <c r="P61" s="937"/>
      <c r="Q61" s="938"/>
      <c r="R61" s="936"/>
      <c r="S61" s="937"/>
      <c r="T61" s="938"/>
      <c r="U61" s="936"/>
      <c r="V61" s="937"/>
      <c r="W61" s="938"/>
      <c r="X61" s="936"/>
      <c r="Y61" s="937"/>
      <c r="Z61" s="938"/>
      <c r="AA61" s="936"/>
      <c r="AB61" s="937"/>
      <c r="AC61" s="938"/>
      <c r="AD61" s="936"/>
      <c r="AE61" s="937"/>
      <c r="AF61" s="938"/>
      <c r="AG61" s="936"/>
      <c r="AH61" s="937"/>
      <c r="AI61" s="938"/>
      <c r="AJ61" s="936"/>
      <c r="AK61" s="937"/>
      <c r="AL61" s="938"/>
      <c r="AM61" s="936"/>
      <c r="AN61" s="933"/>
      <c r="AO61" s="936"/>
      <c r="AP61" s="933"/>
      <c r="AQ61" s="935"/>
      <c r="AR61" s="936"/>
      <c r="AS61" s="935"/>
      <c r="AT61" s="939"/>
      <c r="AU61" s="933"/>
      <c r="AV61" s="940"/>
      <c r="AW61" s="986"/>
      <c r="AX61" s="939"/>
      <c r="AY61" s="939"/>
      <c r="AZ61" s="941"/>
      <c r="BA61" s="941"/>
      <c r="BB61" s="941"/>
      <c r="BC61" s="934"/>
      <c r="BD61" s="941"/>
      <c r="BE61" s="941"/>
      <c r="BF61" s="941"/>
      <c r="BG61" s="942"/>
      <c r="BH61" s="941"/>
      <c r="BI61" s="941"/>
      <c r="BJ61" s="941"/>
      <c r="BK61" s="943"/>
      <c r="BL61" s="943"/>
      <c r="BM61" s="943"/>
      <c r="BN61" s="943"/>
      <c r="BO61" s="943"/>
      <c r="BP61" s="944"/>
      <c r="BQ61" s="943"/>
      <c r="BR61" s="943"/>
      <c r="BS61" s="943"/>
      <c r="BU61" s="945"/>
      <c r="BV61" s="946"/>
      <c r="BW61" s="947"/>
      <c r="BX61" s="945"/>
      <c r="BY61" s="947"/>
      <c r="BZ61" s="946"/>
      <c r="CA61" s="947"/>
      <c r="CB61" s="946"/>
      <c r="CC61" s="947"/>
      <c r="CD61" s="947"/>
      <c r="CE61" s="947"/>
      <c r="CF61" s="948"/>
      <c r="CG61" s="949"/>
      <c r="CH61" s="949"/>
      <c r="CI61" s="950"/>
      <c r="CJ61" s="951"/>
      <c r="CK61" s="951"/>
      <c r="CL61" s="952"/>
      <c r="CM61" s="951"/>
      <c r="CN61" s="951"/>
      <c r="CO61" s="952"/>
      <c r="CP61" s="951"/>
      <c r="CQ61" s="951"/>
      <c r="CR61" s="952"/>
      <c r="CS61" s="946"/>
      <c r="CT61" s="953"/>
      <c r="CU61" s="953"/>
      <c r="CV61" s="953"/>
      <c r="CX61" s="951"/>
      <c r="CY61" s="951"/>
      <c r="CZ61" s="952"/>
      <c r="DB61" s="954"/>
      <c r="DC61" s="954"/>
      <c r="DD61" s="921"/>
      <c r="DE61" s="954"/>
      <c r="DF61" s="954"/>
      <c r="DG61" s="921"/>
      <c r="DH61" s="954"/>
      <c r="DI61" s="954"/>
      <c r="DJ61" s="921"/>
      <c r="DK61" s="954"/>
      <c r="DL61" s="954"/>
      <c r="DM61" s="921"/>
      <c r="DN61" s="954"/>
      <c r="DO61" s="954"/>
      <c r="DP61" s="921"/>
      <c r="DQ61" s="942"/>
      <c r="DR61" s="951"/>
      <c r="DS61" s="951"/>
      <c r="DT61" s="952"/>
      <c r="DV61" s="921"/>
      <c r="DW61" s="921"/>
      <c r="DX61" s="921"/>
      <c r="DY61" s="921"/>
      <c r="DZ61" s="921"/>
      <c r="EA61" s="921"/>
      <c r="EB61" s="921"/>
      <c r="EC61" s="921"/>
      <c r="ED61" s="921"/>
      <c r="EE61" s="921"/>
      <c r="EF61" s="921"/>
      <c r="EG61" s="921"/>
      <c r="EH61" s="921"/>
      <c r="EI61" s="921"/>
      <c r="EJ61" s="921"/>
      <c r="EK61" s="921"/>
      <c r="EL61" s="921"/>
      <c r="EM61" s="921"/>
      <c r="EN61" s="921"/>
      <c r="EO61" s="921"/>
      <c r="EP61" s="921"/>
      <c r="EQ61" s="954"/>
      <c r="ER61" s="954"/>
      <c r="ES61" s="954"/>
      <c r="ET61" s="954"/>
      <c r="EV61" s="942"/>
      <c r="EW61" s="951"/>
      <c r="EX61" s="951"/>
      <c r="EY61" s="952"/>
    </row>
    <row r="62" spans="1:155" s="927" customFormat="1" ht="15.75" x14ac:dyDescent="0.25">
      <c r="A62" s="931"/>
      <c r="B62" s="932" t="s">
        <v>403</v>
      </c>
      <c r="C62" s="933"/>
      <c r="D62" s="933"/>
      <c r="E62" s="934"/>
      <c r="F62" s="935"/>
      <c r="G62" s="934"/>
      <c r="H62" s="935"/>
      <c r="I62" s="936"/>
      <c r="J62" s="937"/>
      <c r="K62" s="938"/>
      <c r="L62" s="936"/>
      <c r="M62" s="937"/>
      <c r="N62" s="938"/>
      <c r="O62" s="936"/>
      <c r="P62" s="937"/>
      <c r="Q62" s="938"/>
      <c r="R62" s="936"/>
      <c r="S62" s="937"/>
      <c r="T62" s="938"/>
      <c r="U62" s="936"/>
      <c r="V62" s="937"/>
      <c r="W62" s="938"/>
      <c r="X62" s="936"/>
      <c r="Y62" s="937"/>
      <c r="Z62" s="938"/>
      <c r="AA62" s="936"/>
      <c r="AB62" s="937"/>
      <c r="AC62" s="938"/>
      <c r="AD62" s="936"/>
      <c r="AE62" s="937"/>
      <c r="AF62" s="938"/>
      <c r="AG62" s="936"/>
      <c r="AH62" s="937"/>
      <c r="AI62" s="938"/>
      <c r="AJ62" s="936"/>
      <c r="AK62" s="937"/>
      <c r="AL62" s="938"/>
      <c r="AM62" s="936"/>
      <c r="AN62" s="933"/>
      <c r="AO62" s="936"/>
      <c r="AP62" s="933"/>
      <c r="AQ62" s="935"/>
      <c r="AR62" s="936"/>
      <c r="AS62" s="935"/>
      <c r="AT62" s="939"/>
      <c r="AU62" s="933"/>
      <c r="AV62" s="940"/>
      <c r="AW62" s="337">
        <f>AW56/AW55</f>
        <v>0.29274</v>
      </c>
      <c r="AX62" s="939"/>
      <c r="AY62" s="939"/>
      <c r="AZ62" s="941"/>
      <c r="BA62" s="941"/>
      <c r="BB62" s="941"/>
      <c r="BC62" s="934"/>
      <c r="BD62" s="941"/>
      <c r="BE62" s="941"/>
      <c r="BF62" s="941"/>
      <c r="BG62" s="942"/>
      <c r="BH62" s="941"/>
      <c r="BI62" s="941"/>
      <c r="BJ62" s="941"/>
      <c r="BK62" s="943"/>
      <c r="BL62" s="943"/>
      <c r="BM62" s="943"/>
      <c r="BN62" s="943"/>
      <c r="BO62" s="943"/>
      <c r="BP62" s="944"/>
      <c r="BQ62" s="943"/>
      <c r="BR62" s="943"/>
      <c r="BS62" s="943"/>
      <c r="BU62" s="945"/>
      <c r="BV62" s="946"/>
      <c r="BW62" s="947"/>
      <c r="BX62" s="945"/>
      <c r="BY62" s="947"/>
      <c r="BZ62" s="946"/>
      <c r="CA62" s="947"/>
      <c r="CB62" s="946"/>
      <c r="CC62" s="947"/>
      <c r="CD62" s="947"/>
      <c r="CE62" s="947"/>
      <c r="CF62" s="948"/>
      <c r="CG62" s="949"/>
      <c r="CH62" s="949"/>
      <c r="CI62" s="950"/>
      <c r="CJ62" s="951"/>
      <c r="CK62" s="951"/>
      <c r="CL62" s="952"/>
      <c r="CM62" s="951"/>
      <c r="CN62" s="951"/>
      <c r="CO62" s="952"/>
      <c r="CP62" s="951"/>
      <c r="CQ62" s="951"/>
      <c r="CR62" s="952"/>
      <c r="CS62" s="946"/>
      <c r="CT62" s="953"/>
      <c r="CU62" s="953"/>
      <c r="CV62" s="953"/>
      <c r="CX62" s="951"/>
      <c r="CY62" s="951"/>
      <c r="CZ62" s="952"/>
      <c r="DB62" s="954"/>
      <c r="DC62" s="954"/>
      <c r="DD62" s="921"/>
      <c r="DE62" s="954"/>
      <c r="DF62" s="954"/>
      <c r="DG62" s="921"/>
      <c r="DH62" s="954"/>
      <c r="DI62" s="954"/>
      <c r="DJ62" s="921"/>
      <c r="DK62" s="954"/>
      <c r="DL62" s="954"/>
      <c r="DM62" s="921"/>
      <c r="DN62" s="954"/>
      <c r="DO62" s="954"/>
      <c r="DP62" s="921"/>
      <c r="DQ62" s="942"/>
      <c r="DR62" s="951"/>
      <c r="DS62" s="951"/>
      <c r="DT62" s="952"/>
      <c r="DV62" s="921"/>
      <c r="DW62" s="921"/>
      <c r="DX62" s="921"/>
      <c r="DY62" s="921"/>
      <c r="DZ62" s="921"/>
      <c r="EA62" s="921"/>
      <c r="EB62" s="921"/>
      <c r="EC62" s="921"/>
      <c r="ED62" s="921"/>
      <c r="EE62" s="921"/>
      <c r="EF62" s="921"/>
      <c r="EG62" s="921"/>
      <c r="EH62" s="921"/>
      <c r="EI62" s="921"/>
      <c r="EJ62" s="921"/>
      <c r="EK62" s="921"/>
      <c r="EL62" s="921"/>
      <c r="EM62" s="921"/>
      <c r="EN62" s="921"/>
      <c r="EO62" s="921"/>
      <c r="EP62" s="921"/>
      <c r="EQ62" s="954"/>
      <c r="ER62" s="954"/>
      <c r="ES62" s="954"/>
      <c r="ET62" s="954"/>
      <c r="EV62" s="942"/>
      <c r="EW62" s="951"/>
      <c r="EX62" s="951"/>
      <c r="EY62" s="952"/>
    </row>
    <row r="63" spans="1:155" s="927" customFormat="1" ht="15.75" x14ac:dyDescent="0.25">
      <c r="A63" s="931"/>
      <c r="B63" s="932" t="s">
        <v>404</v>
      </c>
      <c r="C63" s="933"/>
      <c r="D63" s="933"/>
      <c r="E63" s="934"/>
      <c r="F63" s="935"/>
      <c r="G63" s="934"/>
      <c r="H63" s="935"/>
      <c r="I63" s="936"/>
      <c r="J63" s="937"/>
      <c r="K63" s="938"/>
      <c r="L63" s="936"/>
      <c r="M63" s="937"/>
      <c r="N63" s="938"/>
      <c r="O63" s="936"/>
      <c r="P63" s="937"/>
      <c r="Q63" s="938"/>
      <c r="R63" s="936"/>
      <c r="S63" s="937"/>
      <c r="T63" s="938"/>
      <c r="U63" s="936"/>
      <c r="V63" s="937"/>
      <c r="W63" s="938"/>
      <c r="X63" s="936"/>
      <c r="Y63" s="937"/>
      <c r="Z63" s="938"/>
      <c r="AA63" s="936"/>
      <c r="AB63" s="937"/>
      <c r="AC63" s="938"/>
      <c r="AD63" s="936"/>
      <c r="AE63" s="937"/>
      <c r="AF63" s="938"/>
      <c r="AG63" s="936"/>
      <c r="AH63" s="937"/>
      <c r="AI63" s="938"/>
      <c r="AJ63" s="936"/>
      <c r="AK63" s="937"/>
      <c r="AL63" s="938"/>
      <c r="AM63" s="936"/>
      <c r="AN63" s="933"/>
      <c r="AO63" s="936"/>
      <c r="AP63" s="933"/>
      <c r="AQ63" s="935"/>
      <c r="AR63" s="936"/>
      <c r="AS63" s="935"/>
      <c r="AT63" s="939"/>
      <c r="AU63" s="933"/>
      <c r="AV63" s="940"/>
      <c r="AW63" s="338">
        <f>AW57/AW55</f>
        <v>0.45841999999999999</v>
      </c>
      <c r="AX63" s="939"/>
      <c r="AY63" s="939"/>
      <c r="AZ63" s="941"/>
      <c r="BA63" s="941"/>
      <c r="BB63" s="941"/>
      <c r="BC63" s="934"/>
      <c r="BD63" s="941"/>
      <c r="BE63" s="941"/>
      <c r="BF63" s="941"/>
      <c r="BG63" s="942"/>
      <c r="BH63" s="941"/>
      <c r="BI63" s="941"/>
      <c r="BJ63" s="941"/>
      <c r="BK63" s="943"/>
      <c r="BL63" s="943"/>
      <c r="BM63" s="943"/>
      <c r="BN63" s="943"/>
      <c r="BO63" s="943"/>
      <c r="BP63" s="944"/>
      <c r="BQ63" s="943"/>
      <c r="BR63" s="943"/>
      <c r="BS63" s="943"/>
      <c r="BU63" s="945"/>
      <c r="BV63" s="946"/>
      <c r="BW63" s="947"/>
      <c r="BX63" s="945"/>
      <c r="BY63" s="947"/>
      <c r="BZ63" s="946"/>
      <c r="CA63" s="947"/>
      <c r="CB63" s="946"/>
      <c r="CC63" s="947"/>
      <c r="CD63" s="947"/>
      <c r="CE63" s="947"/>
      <c r="CF63" s="948"/>
      <c r="CG63" s="949"/>
      <c r="CH63" s="949"/>
      <c r="CI63" s="950"/>
      <c r="CJ63" s="951"/>
      <c r="CK63" s="951"/>
      <c r="CL63" s="952"/>
      <c r="CM63" s="951"/>
      <c r="CN63" s="951"/>
      <c r="CO63" s="952"/>
      <c r="CP63" s="951"/>
      <c r="CQ63" s="951"/>
      <c r="CR63" s="952"/>
      <c r="CS63" s="946"/>
      <c r="CT63" s="953"/>
      <c r="CU63" s="953"/>
      <c r="CV63" s="953"/>
      <c r="CX63" s="951"/>
      <c r="CY63" s="951"/>
      <c r="CZ63" s="952"/>
      <c r="DB63" s="954"/>
      <c r="DC63" s="954"/>
      <c r="DD63" s="921"/>
      <c r="DE63" s="954"/>
      <c r="DF63" s="954"/>
      <c r="DG63" s="921"/>
      <c r="DH63" s="954"/>
      <c r="DI63" s="954"/>
      <c r="DJ63" s="921"/>
      <c r="DK63" s="954"/>
      <c r="DL63" s="954"/>
      <c r="DM63" s="921"/>
      <c r="DN63" s="954"/>
      <c r="DO63" s="954"/>
      <c r="DP63" s="921"/>
      <c r="DQ63" s="942"/>
      <c r="DR63" s="951"/>
      <c r="DS63" s="951"/>
      <c r="DT63" s="952"/>
      <c r="DV63" s="921"/>
      <c r="DW63" s="921"/>
      <c r="DX63" s="921"/>
      <c r="DY63" s="921"/>
      <c r="DZ63" s="921"/>
      <c r="EA63" s="921"/>
      <c r="EB63" s="921"/>
      <c r="EC63" s="921"/>
      <c r="ED63" s="921"/>
      <c r="EE63" s="921"/>
      <c r="EF63" s="921"/>
      <c r="EG63" s="921"/>
      <c r="EH63" s="921"/>
      <c r="EI63" s="921"/>
      <c r="EJ63" s="921"/>
      <c r="EK63" s="921"/>
      <c r="EL63" s="921"/>
      <c r="EM63" s="921"/>
      <c r="EN63" s="921"/>
      <c r="EO63" s="921"/>
      <c r="EP63" s="921"/>
      <c r="EQ63" s="954"/>
      <c r="ER63" s="954"/>
      <c r="ES63" s="954"/>
      <c r="ET63" s="954"/>
      <c r="EV63" s="942"/>
      <c r="EW63" s="951"/>
      <c r="EX63" s="951"/>
      <c r="EY63" s="952"/>
    </row>
    <row r="64" spans="1:155" s="927" customFormat="1" ht="15.75" x14ac:dyDescent="0.25">
      <c r="A64" s="931"/>
      <c r="B64" s="932" t="s">
        <v>405</v>
      </c>
      <c r="C64" s="933"/>
      <c r="D64" s="933"/>
      <c r="E64" s="934"/>
      <c r="F64" s="935"/>
      <c r="G64" s="934"/>
      <c r="H64" s="935"/>
      <c r="I64" s="936"/>
      <c r="J64" s="937"/>
      <c r="K64" s="938"/>
      <c r="L64" s="936"/>
      <c r="M64" s="937"/>
      <c r="N64" s="938"/>
      <c r="O64" s="936"/>
      <c r="P64" s="937"/>
      <c r="Q64" s="938"/>
      <c r="R64" s="936"/>
      <c r="S64" s="937"/>
      <c r="T64" s="938"/>
      <c r="U64" s="936"/>
      <c r="V64" s="937"/>
      <c r="W64" s="938"/>
      <c r="X64" s="936"/>
      <c r="Y64" s="937"/>
      <c r="Z64" s="938"/>
      <c r="AA64" s="936"/>
      <c r="AB64" s="937"/>
      <c r="AC64" s="938"/>
      <c r="AD64" s="936"/>
      <c r="AE64" s="937"/>
      <c r="AF64" s="938"/>
      <c r="AG64" s="936"/>
      <c r="AH64" s="937"/>
      <c r="AI64" s="938"/>
      <c r="AJ64" s="936"/>
      <c r="AK64" s="937"/>
      <c r="AL64" s="938"/>
      <c r="AM64" s="936"/>
      <c r="AN64" s="933"/>
      <c r="AO64" s="936"/>
      <c r="AP64" s="933"/>
      <c r="AQ64" s="935"/>
      <c r="AR64" s="936"/>
      <c r="AS64" s="935"/>
      <c r="AT64" s="939"/>
      <c r="AU64" s="933"/>
      <c r="AV64" s="940"/>
      <c r="AW64" s="339">
        <f>AW58/AW55</f>
        <v>8.1689999999999999E-2</v>
      </c>
      <c r="AX64" s="939"/>
      <c r="AY64" s="939"/>
      <c r="AZ64" s="941"/>
      <c r="BA64" s="941"/>
      <c r="BB64" s="941"/>
      <c r="BC64" s="934"/>
      <c r="BD64" s="941"/>
      <c r="BE64" s="941"/>
      <c r="BF64" s="941"/>
      <c r="BG64" s="942"/>
      <c r="BH64" s="941"/>
      <c r="BI64" s="941"/>
      <c r="BJ64" s="941"/>
      <c r="BK64" s="943"/>
      <c r="BL64" s="943"/>
      <c r="BM64" s="943"/>
      <c r="BN64" s="943"/>
      <c r="BO64" s="943"/>
      <c r="BP64" s="944"/>
      <c r="BQ64" s="943"/>
      <c r="BR64" s="943"/>
      <c r="BS64" s="943"/>
      <c r="BU64" s="945"/>
      <c r="BV64" s="946"/>
      <c r="BW64" s="947"/>
      <c r="BX64" s="945"/>
      <c r="BY64" s="947"/>
      <c r="BZ64" s="946"/>
      <c r="CA64" s="947"/>
      <c r="CB64" s="946"/>
      <c r="CC64" s="947"/>
      <c r="CD64" s="947"/>
      <c r="CE64" s="947"/>
      <c r="CF64" s="948"/>
      <c r="CG64" s="949"/>
      <c r="CH64" s="949"/>
      <c r="CI64" s="950"/>
      <c r="CJ64" s="951"/>
      <c r="CK64" s="951"/>
      <c r="CL64" s="952"/>
      <c r="CM64" s="951"/>
      <c r="CN64" s="951"/>
      <c r="CO64" s="952"/>
      <c r="CP64" s="951"/>
      <c r="CQ64" s="951"/>
      <c r="CR64" s="952"/>
      <c r="CS64" s="946"/>
      <c r="CT64" s="953"/>
      <c r="CU64" s="953"/>
      <c r="CV64" s="953"/>
      <c r="CX64" s="951"/>
      <c r="CY64" s="951"/>
      <c r="CZ64" s="952"/>
      <c r="DB64" s="954"/>
      <c r="DC64" s="954"/>
      <c r="DD64" s="921"/>
      <c r="DE64" s="954"/>
      <c r="DF64" s="954"/>
      <c r="DG64" s="921"/>
      <c r="DH64" s="954"/>
      <c r="DI64" s="954"/>
      <c r="DJ64" s="921"/>
      <c r="DK64" s="954"/>
      <c r="DL64" s="954"/>
      <c r="DM64" s="921"/>
      <c r="DN64" s="954"/>
      <c r="DO64" s="954"/>
      <c r="DP64" s="921"/>
      <c r="DQ64" s="942"/>
      <c r="DR64" s="951"/>
      <c r="DS64" s="951"/>
      <c r="DT64" s="952"/>
      <c r="DV64" s="921"/>
      <c r="DW64" s="921"/>
      <c r="DX64" s="921"/>
      <c r="DY64" s="921"/>
      <c r="DZ64" s="921"/>
      <c r="EA64" s="921"/>
      <c r="EB64" s="921"/>
      <c r="EC64" s="921"/>
      <c r="ED64" s="921"/>
      <c r="EE64" s="921"/>
      <c r="EF64" s="921"/>
      <c r="EG64" s="921"/>
      <c r="EH64" s="921"/>
      <c r="EI64" s="921"/>
      <c r="EJ64" s="921"/>
      <c r="EK64" s="921"/>
      <c r="EL64" s="921"/>
      <c r="EM64" s="921"/>
      <c r="EN64" s="921"/>
      <c r="EO64" s="921"/>
      <c r="EP64" s="921"/>
      <c r="EQ64" s="954"/>
      <c r="ER64" s="954"/>
      <c r="ES64" s="954"/>
      <c r="ET64" s="954"/>
      <c r="EV64" s="942"/>
      <c r="EW64" s="951"/>
      <c r="EX64" s="951"/>
      <c r="EY64" s="952"/>
    </row>
    <row r="65" spans="1:155" s="927" customFormat="1" ht="15.75" x14ac:dyDescent="0.25">
      <c r="A65" s="931"/>
      <c r="B65" s="932" t="s">
        <v>807</v>
      </c>
      <c r="C65" s="933"/>
      <c r="D65" s="933"/>
      <c r="E65" s="934"/>
      <c r="F65" s="935"/>
      <c r="G65" s="934"/>
      <c r="H65" s="935"/>
      <c r="I65" s="936"/>
      <c r="J65" s="937"/>
      <c r="K65" s="938"/>
      <c r="L65" s="936"/>
      <c r="M65" s="937"/>
      <c r="N65" s="938"/>
      <c r="O65" s="936"/>
      <c r="P65" s="937"/>
      <c r="Q65" s="938"/>
      <c r="R65" s="936"/>
      <c r="S65" s="937"/>
      <c r="T65" s="938"/>
      <c r="U65" s="936"/>
      <c r="V65" s="937"/>
      <c r="W65" s="938"/>
      <c r="X65" s="936"/>
      <c r="Y65" s="937"/>
      <c r="Z65" s="938"/>
      <c r="AA65" s="936"/>
      <c r="AB65" s="937"/>
      <c r="AC65" s="938"/>
      <c r="AD65" s="936"/>
      <c r="AE65" s="937"/>
      <c r="AF65" s="938"/>
      <c r="AG65" s="936"/>
      <c r="AH65" s="937"/>
      <c r="AI65" s="938"/>
      <c r="AJ65" s="936"/>
      <c r="AK65" s="937"/>
      <c r="AL65" s="938"/>
      <c r="AM65" s="936"/>
      <c r="AN65" s="933"/>
      <c r="AO65" s="936"/>
      <c r="AP65" s="933"/>
      <c r="AQ65" s="935"/>
      <c r="AR65" s="936"/>
      <c r="AS65" s="935"/>
      <c r="AT65" s="939"/>
      <c r="AU65" s="933"/>
      <c r="AV65" s="940"/>
      <c r="AW65" s="335">
        <f>(AW48/12)/AW54</f>
        <v>1.1776</v>
      </c>
      <c r="AX65" s="939"/>
      <c r="AY65" s="939"/>
      <c r="AZ65" s="941"/>
      <c r="BA65" s="941"/>
      <c r="BB65" s="941"/>
      <c r="BC65" s="934"/>
      <c r="BD65" s="941"/>
      <c r="BE65" s="941"/>
      <c r="BF65" s="941"/>
      <c r="BG65" s="942"/>
      <c r="BH65" s="941"/>
      <c r="BI65" s="941"/>
      <c r="BJ65" s="941"/>
      <c r="BK65" s="943"/>
      <c r="BL65" s="943"/>
      <c r="BM65" s="943"/>
      <c r="BN65" s="943"/>
      <c r="BO65" s="943"/>
      <c r="BP65" s="944"/>
      <c r="BQ65" s="943"/>
      <c r="BR65" s="943"/>
      <c r="BS65" s="943"/>
      <c r="BU65" s="945"/>
      <c r="BV65" s="946"/>
      <c r="BW65" s="947"/>
      <c r="BX65" s="945"/>
      <c r="BY65" s="947"/>
      <c r="BZ65" s="946"/>
      <c r="CA65" s="947"/>
      <c r="CB65" s="946"/>
      <c r="CC65" s="947"/>
      <c r="CD65" s="947"/>
      <c r="CE65" s="947"/>
      <c r="CF65" s="948"/>
      <c r="CG65" s="949"/>
      <c r="CH65" s="949"/>
      <c r="CI65" s="950"/>
      <c r="CJ65" s="951"/>
      <c r="CK65" s="951"/>
      <c r="CL65" s="952"/>
      <c r="CM65" s="951"/>
      <c r="CN65" s="951"/>
      <c r="CO65" s="952"/>
      <c r="CP65" s="951"/>
      <c r="CQ65" s="951"/>
      <c r="CR65" s="952"/>
      <c r="CS65" s="946"/>
      <c r="CT65" s="953"/>
      <c r="CU65" s="953"/>
      <c r="CV65" s="953"/>
      <c r="CX65" s="951"/>
      <c r="CY65" s="951"/>
      <c r="CZ65" s="952"/>
      <c r="DB65" s="954"/>
      <c r="DC65" s="954"/>
      <c r="DD65" s="921"/>
      <c r="DE65" s="954"/>
      <c r="DF65" s="954"/>
      <c r="DG65" s="921"/>
      <c r="DH65" s="954"/>
      <c r="DI65" s="954"/>
      <c r="DJ65" s="921"/>
      <c r="DK65" s="954"/>
      <c r="DL65" s="954"/>
      <c r="DM65" s="921"/>
      <c r="DN65" s="954"/>
      <c r="DO65" s="954"/>
      <c r="DP65" s="921"/>
      <c r="DQ65" s="942"/>
      <c r="DR65" s="951"/>
      <c r="DS65" s="951"/>
      <c r="DT65" s="952"/>
      <c r="DV65" s="921"/>
      <c r="DW65" s="921"/>
      <c r="DX65" s="921"/>
      <c r="DY65" s="921"/>
      <c r="DZ65" s="921"/>
      <c r="EA65" s="921"/>
      <c r="EB65" s="921"/>
      <c r="EC65" s="921"/>
      <c r="ED65" s="921"/>
      <c r="EE65" s="921"/>
      <c r="EF65" s="921"/>
      <c r="EG65" s="921"/>
      <c r="EH65" s="921"/>
      <c r="EI65" s="921"/>
      <c r="EJ65" s="921"/>
      <c r="EK65" s="921"/>
      <c r="EL65" s="921"/>
      <c r="EM65" s="921"/>
      <c r="EN65" s="921"/>
      <c r="EO65" s="921"/>
      <c r="EP65" s="921"/>
      <c r="EQ65" s="954"/>
      <c r="ER65" s="954"/>
      <c r="ES65" s="954"/>
      <c r="ET65" s="954"/>
      <c r="EV65" s="942"/>
      <c r="EW65" s="951"/>
      <c r="EX65" s="951"/>
      <c r="EY65" s="952"/>
    </row>
    <row r="66" spans="1:155" s="927" customFormat="1" ht="15.75" x14ac:dyDescent="0.25">
      <c r="A66" s="931"/>
      <c r="B66" s="932"/>
      <c r="C66" s="933"/>
      <c r="D66" s="933"/>
      <c r="E66" s="934"/>
      <c r="F66" s="935"/>
      <c r="G66" s="934"/>
      <c r="H66" s="935"/>
      <c r="I66" s="936"/>
      <c r="J66" s="937"/>
      <c r="K66" s="938"/>
      <c r="L66" s="936"/>
      <c r="M66" s="937"/>
      <c r="N66" s="938"/>
      <c r="O66" s="936"/>
      <c r="P66" s="937"/>
      <c r="Q66" s="938"/>
      <c r="R66" s="936"/>
      <c r="S66" s="937"/>
      <c r="T66" s="938"/>
      <c r="U66" s="936"/>
      <c r="V66" s="937"/>
      <c r="W66" s="938"/>
      <c r="X66" s="936"/>
      <c r="Y66" s="937"/>
      <c r="Z66" s="938"/>
      <c r="AA66" s="936"/>
      <c r="AB66" s="937"/>
      <c r="AC66" s="938"/>
      <c r="AD66" s="936"/>
      <c r="AE66" s="937"/>
      <c r="AF66" s="938"/>
      <c r="AG66" s="936"/>
      <c r="AH66" s="937"/>
      <c r="AI66" s="938"/>
      <c r="AJ66" s="936"/>
      <c r="AK66" s="937"/>
      <c r="AL66" s="938"/>
      <c r="AM66" s="936"/>
      <c r="AN66" s="933"/>
      <c r="AO66" s="936"/>
      <c r="AP66" s="933"/>
      <c r="AQ66" s="935"/>
      <c r="AR66" s="936"/>
      <c r="AS66" s="935"/>
      <c r="AT66" s="939"/>
      <c r="AU66" s="933"/>
      <c r="AV66" s="940"/>
      <c r="AW66" s="939"/>
      <c r="AX66" s="939"/>
      <c r="AY66" s="939"/>
      <c r="AZ66" s="941"/>
      <c r="BA66" s="941"/>
      <c r="BB66" s="941"/>
      <c r="BC66" s="934"/>
      <c r="BD66" s="941"/>
      <c r="BE66" s="941"/>
      <c r="BF66" s="941"/>
      <c r="BG66" s="942"/>
      <c r="BH66" s="941"/>
      <c r="BI66" s="941"/>
      <c r="BJ66" s="941"/>
      <c r="BK66" s="943"/>
      <c r="BL66" s="943"/>
      <c r="BM66" s="943"/>
      <c r="BN66" s="943"/>
      <c r="BO66" s="943"/>
      <c r="BP66" s="944"/>
      <c r="BQ66" s="943"/>
      <c r="BR66" s="943"/>
      <c r="BS66" s="943"/>
      <c r="BU66" s="945"/>
      <c r="BV66" s="946"/>
      <c r="BW66" s="947"/>
      <c r="BX66" s="945"/>
      <c r="BY66" s="947"/>
      <c r="BZ66" s="946"/>
      <c r="CA66" s="947"/>
      <c r="CB66" s="946"/>
      <c r="CC66" s="947"/>
      <c r="CD66" s="947"/>
      <c r="CE66" s="947"/>
      <c r="CF66" s="948"/>
      <c r="CG66" s="949"/>
      <c r="CH66" s="949"/>
      <c r="CI66" s="950"/>
      <c r="CJ66" s="951"/>
      <c r="CK66" s="951"/>
      <c r="CL66" s="952"/>
      <c r="CM66" s="951"/>
      <c r="CN66" s="951"/>
      <c r="CO66" s="952"/>
      <c r="CP66" s="951"/>
      <c r="CQ66" s="951"/>
      <c r="CR66" s="952"/>
      <c r="CS66" s="946"/>
      <c r="CT66" s="953"/>
      <c r="CU66" s="953"/>
      <c r="CV66" s="953"/>
      <c r="CX66" s="951"/>
      <c r="CY66" s="951"/>
      <c r="CZ66" s="952"/>
      <c r="DB66" s="954"/>
      <c r="DC66" s="954"/>
      <c r="DD66" s="921"/>
      <c r="DE66" s="954"/>
      <c r="DF66" s="954"/>
      <c r="DG66" s="921"/>
      <c r="DH66" s="954"/>
      <c r="DI66" s="954"/>
      <c r="DJ66" s="921"/>
      <c r="DK66" s="954"/>
      <c r="DL66" s="954"/>
      <c r="DM66" s="921"/>
      <c r="DN66" s="954"/>
      <c r="DO66" s="954"/>
      <c r="DP66" s="921"/>
      <c r="DQ66" s="942"/>
      <c r="DR66" s="951"/>
      <c r="DS66" s="951"/>
      <c r="DT66" s="952"/>
      <c r="DV66" s="921"/>
      <c r="DW66" s="921"/>
      <c r="DX66" s="921"/>
      <c r="DY66" s="921"/>
      <c r="DZ66" s="921"/>
      <c r="EA66" s="921"/>
      <c r="EB66" s="921"/>
      <c r="EC66" s="921"/>
      <c r="ED66" s="921"/>
      <c r="EE66" s="921"/>
      <c r="EF66" s="921"/>
      <c r="EG66" s="921"/>
      <c r="EH66" s="921"/>
      <c r="EI66" s="921"/>
      <c r="EJ66" s="921"/>
      <c r="EK66" s="921"/>
      <c r="EL66" s="921"/>
      <c r="EM66" s="921"/>
      <c r="EN66" s="921"/>
      <c r="EO66" s="921"/>
      <c r="EP66" s="921"/>
      <c r="EQ66" s="954"/>
      <c r="ER66" s="954"/>
      <c r="ES66" s="954"/>
      <c r="ET66" s="954"/>
      <c r="EV66" s="942"/>
      <c r="EW66" s="951"/>
      <c r="EX66" s="951"/>
      <c r="EY66" s="952"/>
    </row>
    <row r="67" spans="1:155" s="927" customFormat="1" ht="20.100000000000001" customHeight="1" x14ac:dyDescent="0.25">
      <c r="A67" s="912" t="s">
        <v>286</v>
      </c>
      <c r="B67" s="913" t="s">
        <v>701</v>
      </c>
      <c r="C67" s="914">
        <v>0.75</v>
      </c>
      <c r="D67" s="914">
        <v>7755</v>
      </c>
      <c r="E67" s="915">
        <v>1.0549999999999999</v>
      </c>
      <c r="F67" s="916">
        <f t="shared" si="0"/>
        <v>8182</v>
      </c>
      <c r="G67" s="915">
        <v>1.01</v>
      </c>
      <c r="H67" s="916">
        <f t="shared" si="1"/>
        <v>8264</v>
      </c>
      <c r="I67" s="917">
        <f t="shared" si="2"/>
        <v>6198</v>
      </c>
      <c r="J67" s="918">
        <f t="shared" si="3"/>
        <v>0</v>
      </c>
      <c r="K67" s="919"/>
      <c r="L67" s="917">
        <f t="shared" si="4"/>
        <v>0</v>
      </c>
      <c r="M67" s="918">
        <f t="shared" si="5"/>
        <v>0</v>
      </c>
      <c r="N67" s="919"/>
      <c r="O67" s="917">
        <f t="shared" si="6"/>
        <v>0</v>
      </c>
      <c r="P67" s="918">
        <f t="shared" si="7"/>
        <v>0</v>
      </c>
      <c r="Q67" s="919"/>
      <c r="R67" s="917">
        <f t="shared" si="8"/>
        <v>0</v>
      </c>
      <c r="S67" s="918">
        <f t="shared" si="9"/>
        <v>0</v>
      </c>
      <c r="T67" s="919"/>
      <c r="U67" s="917">
        <f t="shared" si="10"/>
        <v>0</v>
      </c>
      <c r="V67" s="918">
        <f t="shared" si="11"/>
        <v>0</v>
      </c>
      <c r="W67" s="919"/>
      <c r="X67" s="917">
        <f t="shared" si="12"/>
        <v>0</v>
      </c>
      <c r="Y67" s="918">
        <f t="shared" si="13"/>
        <v>1.99</v>
      </c>
      <c r="Z67" s="919">
        <v>11574.34</v>
      </c>
      <c r="AA67" s="917">
        <f t="shared" si="14"/>
        <v>12334.02</v>
      </c>
      <c r="AB67" s="918">
        <f t="shared" si="15"/>
        <v>0.1</v>
      </c>
      <c r="AC67" s="919">
        <v>581.63</v>
      </c>
      <c r="AD67" s="917">
        <f t="shared" si="16"/>
        <v>619.79999999999995</v>
      </c>
      <c r="AE67" s="918">
        <f t="shared" si="17"/>
        <v>0</v>
      </c>
      <c r="AF67" s="919"/>
      <c r="AG67" s="917">
        <f t="shared" si="18"/>
        <v>0</v>
      </c>
      <c r="AH67" s="918">
        <f t="shared" si="19"/>
        <v>0</v>
      </c>
      <c r="AI67" s="919"/>
      <c r="AJ67" s="917">
        <f t="shared" si="20"/>
        <v>0</v>
      </c>
      <c r="AK67" s="918">
        <f t="shared" si="21"/>
        <v>0</v>
      </c>
      <c r="AL67" s="919"/>
      <c r="AM67" s="917">
        <f t="shared" si="22"/>
        <v>0</v>
      </c>
      <c r="AN67" s="920">
        <v>19242</v>
      </c>
      <c r="AO67" s="917">
        <f t="shared" si="23"/>
        <v>0</v>
      </c>
      <c r="AP67" s="920"/>
      <c r="AQ67" s="916">
        <f t="shared" si="24"/>
        <v>0</v>
      </c>
      <c r="AR67" s="917">
        <f t="shared" si="25"/>
        <v>19151.82</v>
      </c>
      <c r="AS67" s="916">
        <v>12</v>
      </c>
      <c r="AT67" s="921">
        <f t="shared" si="26"/>
        <v>229821.84</v>
      </c>
      <c r="AU67" s="920"/>
      <c r="AV67" s="922">
        <f t="shared" si="27"/>
        <v>2298.2199999999998</v>
      </c>
      <c r="AW67" s="921">
        <f t="shared" si="28"/>
        <v>232120.06</v>
      </c>
      <c r="AX67" s="921">
        <f t="shared" si="29"/>
        <v>70100.259999999995</v>
      </c>
      <c r="AY67" s="921">
        <f t="shared" si="30"/>
        <v>302220.32</v>
      </c>
      <c r="AZ67" s="923">
        <f t="shared" si="31"/>
        <v>232.1</v>
      </c>
      <c r="BA67" s="923">
        <f t="shared" si="32"/>
        <v>70.099999999999994</v>
      </c>
      <c r="BB67" s="923">
        <f t="shared" si="33"/>
        <v>302.2</v>
      </c>
      <c r="BC67" s="915">
        <v>0.95</v>
      </c>
      <c r="BD67" s="923">
        <f t="shared" si="34"/>
        <v>220.5</v>
      </c>
      <c r="BE67" s="923">
        <f t="shared" si="35"/>
        <v>66.599999999999994</v>
      </c>
      <c r="BF67" s="923">
        <f t="shared" si="36"/>
        <v>287.10000000000002</v>
      </c>
      <c r="BG67" s="924">
        <f>'[3]свод (2024)'!$B$116</f>
        <v>0.99758349999999996</v>
      </c>
      <c r="BH67" s="923">
        <f t="shared" si="37"/>
        <v>220</v>
      </c>
      <c r="BI67" s="923">
        <f t="shared" si="38"/>
        <v>66.400000000000006</v>
      </c>
      <c r="BJ67" s="923">
        <f t="shared" si="39"/>
        <v>286.39999999999998</v>
      </c>
      <c r="BK67" s="925">
        <f t="shared" si="40"/>
        <v>-12.1</v>
      </c>
      <c r="BL67" s="925">
        <f t="shared" si="40"/>
        <v>-3.7</v>
      </c>
      <c r="BM67" s="925">
        <f t="shared" si="41"/>
        <v>-15.8</v>
      </c>
      <c r="BN67" s="925">
        <f t="shared" si="42"/>
        <v>0</v>
      </c>
      <c r="BO67" s="925">
        <f t="shared" si="43"/>
        <v>0</v>
      </c>
      <c r="BP67" s="926"/>
      <c r="BQ67" s="925">
        <f t="shared" si="44"/>
        <v>220</v>
      </c>
      <c r="BR67" s="925">
        <f t="shared" si="44"/>
        <v>66.400000000000006</v>
      </c>
      <c r="BS67" s="925">
        <f t="shared" si="45"/>
        <v>286.39999999999998</v>
      </c>
      <c r="BU67" s="928"/>
      <c r="BV67" s="917"/>
      <c r="BW67" s="928"/>
      <c r="BX67" s="928"/>
      <c r="BY67" s="928"/>
      <c r="BZ67" s="917"/>
      <c r="CA67" s="928"/>
      <c r="CB67" s="917"/>
      <c r="CC67" s="928"/>
      <c r="CD67" s="928"/>
      <c r="CE67" s="928"/>
      <c r="CF67" s="929"/>
      <c r="CG67" s="928"/>
      <c r="CH67" s="928"/>
      <c r="CI67" s="928"/>
      <c r="CJ67" s="925"/>
      <c r="CK67" s="925"/>
      <c r="CL67" s="925"/>
      <c r="CM67" s="925"/>
      <c r="CN67" s="925"/>
      <c r="CO67" s="925"/>
      <c r="CP67" s="925"/>
      <c r="CQ67" s="925"/>
      <c r="CR67" s="925"/>
      <c r="CS67" s="917"/>
      <c r="CT67" s="928"/>
      <c r="CU67" s="928"/>
      <c r="CV67" s="928"/>
      <c r="CX67" s="925"/>
      <c r="CY67" s="925"/>
      <c r="CZ67" s="925"/>
      <c r="DB67" s="925"/>
      <c r="DC67" s="925"/>
      <c r="DD67" s="925"/>
      <c r="DE67" s="925"/>
      <c r="DF67" s="925"/>
      <c r="DG67" s="925"/>
      <c r="DH67" s="925"/>
      <c r="DI67" s="925"/>
      <c r="DJ67" s="925"/>
      <c r="DK67" s="925"/>
      <c r="DL67" s="925"/>
      <c r="DM67" s="925"/>
      <c r="DN67" s="925"/>
      <c r="DO67" s="925"/>
      <c r="DP67" s="925"/>
      <c r="DQ67" s="924"/>
      <c r="DR67" s="925"/>
      <c r="DS67" s="925"/>
      <c r="DT67" s="925"/>
      <c r="DV67" s="925"/>
      <c r="DW67" s="925"/>
      <c r="DX67" s="925"/>
      <c r="DY67" s="925"/>
      <c r="DZ67" s="925"/>
      <c r="EA67" s="925"/>
      <c r="EB67" s="925"/>
      <c r="EC67" s="925"/>
      <c r="ED67" s="925"/>
      <c r="EE67" s="925"/>
      <c r="EF67" s="925"/>
      <c r="EG67" s="925"/>
      <c r="EH67" s="925"/>
      <c r="EI67" s="925"/>
      <c r="EJ67" s="925"/>
      <c r="EK67" s="925"/>
      <c r="EL67" s="925"/>
      <c r="EM67" s="925"/>
      <c r="EN67" s="925"/>
      <c r="EO67" s="925"/>
      <c r="EP67" s="925"/>
      <c r="EQ67" s="925"/>
      <c r="ER67" s="925"/>
      <c r="ES67" s="925"/>
      <c r="ET67" s="925"/>
      <c r="EV67" s="924"/>
      <c r="EW67" s="925"/>
      <c r="EX67" s="925"/>
      <c r="EY67" s="925"/>
    </row>
    <row r="68" spans="1:155" s="927" customFormat="1" ht="20.100000000000001" customHeight="1" x14ac:dyDescent="0.25">
      <c r="A68" s="912" t="s">
        <v>286</v>
      </c>
      <c r="B68" s="913" t="s">
        <v>32</v>
      </c>
      <c r="C68" s="914">
        <v>1</v>
      </c>
      <c r="D68" s="914">
        <v>22544</v>
      </c>
      <c r="E68" s="915">
        <v>1.0549999999999999</v>
      </c>
      <c r="F68" s="916">
        <f t="shared" si="0"/>
        <v>23784</v>
      </c>
      <c r="G68" s="915">
        <v>1.01</v>
      </c>
      <c r="H68" s="916">
        <f t="shared" si="1"/>
        <v>24022</v>
      </c>
      <c r="I68" s="917">
        <f t="shared" si="2"/>
        <v>24022</v>
      </c>
      <c r="J68" s="918">
        <f t="shared" si="3"/>
        <v>0</v>
      </c>
      <c r="K68" s="919"/>
      <c r="L68" s="917">
        <f t="shared" si="4"/>
        <v>0</v>
      </c>
      <c r="M68" s="918">
        <f t="shared" si="5"/>
        <v>0</v>
      </c>
      <c r="N68" s="919"/>
      <c r="O68" s="917">
        <f t="shared" si="6"/>
        <v>0</v>
      </c>
      <c r="P68" s="918">
        <f t="shared" si="7"/>
        <v>0</v>
      </c>
      <c r="Q68" s="919"/>
      <c r="R68" s="917">
        <f t="shared" si="8"/>
        <v>0</v>
      </c>
      <c r="S68" s="918">
        <f t="shared" si="9"/>
        <v>0</v>
      </c>
      <c r="T68" s="919"/>
      <c r="U68" s="917">
        <f t="shared" si="10"/>
        <v>0</v>
      </c>
      <c r="V68" s="918">
        <f t="shared" si="11"/>
        <v>0</v>
      </c>
      <c r="W68" s="919"/>
      <c r="X68" s="917">
        <f t="shared" si="12"/>
        <v>0</v>
      </c>
      <c r="Y68" s="918">
        <f t="shared" si="13"/>
        <v>0.28000000000000003</v>
      </c>
      <c r="Z68" s="919">
        <v>6312.32</v>
      </c>
      <c r="AA68" s="917">
        <f t="shared" si="14"/>
        <v>6726.16</v>
      </c>
      <c r="AB68" s="918">
        <f t="shared" si="15"/>
        <v>0.1</v>
      </c>
      <c r="AC68" s="919">
        <v>2254.4</v>
      </c>
      <c r="AD68" s="917">
        <f t="shared" si="16"/>
        <v>2402.1999999999998</v>
      </c>
      <c r="AE68" s="918">
        <f t="shared" si="17"/>
        <v>0</v>
      </c>
      <c r="AF68" s="919"/>
      <c r="AG68" s="917">
        <f t="shared" si="18"/>
        <v>0</v>
      </c>
      <c r="AH68" s="918">
        <f t="shared" si="19"/>
        <v>0</v>
      </c>
      <c r="AI68" s="919"/>
      <c r="AJ68" s="917">
        <f t="shared" si="20"/>
        <v>0</v>
      </c>
      <c r="AK68" s="918">
        <f t="shared" si="21"/>
        <v>0</v>
      </c>
      <c r="AL68" s="919"/>
      <c r="AM68" s="917">
        <f t="shared" si="22"/>
        <v>0</v>
      </c>
      <c r="AN68" s="920">
        <v>19242</v>
      </c>
      <c r="AO68" s="917">
        <f t="shared" si="23"/>
        <v>0</v>
      </c>
      <c r="AP68" s="920"/>
      <c r="AQ68" s="916">
        <f t="shared" si="24"/>
        <v>0</v>
      </c>
      <c r="AR68" s="917">
        <f t="shared" si="25"/>
        <v>33150.36</v>
      </c>
      <c r="AS68" s="916">
        <v>12</v>
      </c>
      <c r="AT68" s="921">
        <f t="shared" si="26"/>
        <v>397804.32</v>
      </c>
      <c r="AU68" s="920"/>
      <c r="AV68" s="922">
        <f t="shared" si="27"/>
        <v>3978.04</v>
      </c>
      <c r="AW68" s="921">
        <f t="shared" si="28"/>
        <v>401782.36</v>
      </c>
      <c r="AX68" s="921">
        <f t="shared" si="29"/>
        <v>121338.27</v>
      </c>
      <c r="AY68" s="921">
        <f t="shared" si="30"/>
        <v>523120.63</v>
      </c>
      <c r="AZ68" s="923">
        <f t="shared" si="31"/>
        <v>401.8</v>
      </c>
      <c r="BA68" s="923">
        <f t="shared" si="32"/>
        <v>121.3</v>
      </c>
      <c r="BB68" s="923">
        <f t="shared" si="33"/>
        <v>523.1</v>
      </c>
      <c r="BC68" s="915">
        <v>0.95</v>
      </c>
      <c r="BD68" s="923">
        <f t="shared" si="34"/>
        <v>381.7</v>
      </c>
      <c r="BE68" s="923">
        <f t="shared" si="35"/>
        <v>115.3</v>
      </c>
      <c r="BF68" s="923">
        <f t="shared" si="36"/>
        <v>497</v>
      </c>
      <c r="BG68" s="924">
        <f>'[3]свод (2024)'!$B$116</f>
        <v>0.99758349999999996</v>
      </c>
      <c r="BH68" s="923">
        <f t="shared" si="37"/>
        <v>380.8</v>
      </c>
      <c r="BI68" s="923">
        <f t="shared" si="38"/>
        <v>115</v>
      </c>
      <c r="BJ68" s="923">
        <f t="shared" si="39"/>
        <v>495.8</v>
      </c>
      <c r="BK68" s="925">
        <f t="shared" si="40"/>
        <v>-21</v>
      </c>
      <c r="BL68" s="925">
        <f t="shared" si="40"/>
        <v>-6.3</v>
      </c>
      <c r="BM68" s="925">
        <f t="shared" si="41"/>
        <v>-27.3</v>
      </c>
      <c r="BN68" s="925">
        <f t="shared" si="42"/>
        <v>0</v>
      </c>
      <c r="BO68" s="925">
        <f t="shared" si="43"/>
        <v>0</v>
      </c>
      <c r="BP68" s="926"/>
      <c r="BQ68" s="925">
        <f t="shared" si="44"/>
        <v>380.8</v>
      </c>
      <c r="BR68" s="925">
        <f t="shared" si="44"/>
        <v>115</v>
      </c>
      <c r="BS68" s="925">
        <f t="shared" si="45"/>
        <v>495.8</v>
      </c>
      <c r="BU68" s="928"/>
      <c r="BV68" s="917"/>
      <c r="BW68" s="928"/>
      <c r="BX68" s="928"/>
      <c r="BY68" s="928"/>
      <c r="BZ68" s="917"/>
      <c r="CA68" s="928"/>
      <c r="CB68" s="917"/>
      <c r="CC68" s="928"/>
      <c r="CD68" s="928"/>
      <c r="CE68" s="928"/>
      <c r="CF68" s="929"/>
      <c r="CG68" s="928"/>
      <c r="CH68" s="928"/>
      <c r="CI68" s="928"/>
      <c r="CJ68" s="925"/>
      <c r="CK68" s="925"/>
      <c r="CL68" s="925"/>
      <c r="CM68" s="925"/>
      <c r="CN68" s="925"/>
      <c r="CO68" s="925"/>
      <c r="CP68" s="925"/>
      <c r="CQ68" s="925"/>
      <c r="CR68" s="925"/>
      <c r="CS68" s="917"/>
      <c r="CT68" s="928"/>
      <c r="CU68" s="928"/>
      <c r="CV68" s="928"/>
      <c r="CX68" s="925"/>
      <c r="CY68" s="925"/>
      <c r="CZ68" s="925"/>
      <c r="DB68" s="925"/>
      <c r="DC68" s="925"/>
      <c r="DD68" s="925"/>
      <c r="DE68" s="925"/>
      <c r="DF68" s="925"/>
      <c r="DG68" s="925"/>
      <c r="DH68" s="925"/>
      <c r="DI68" s="925"/>
      <c r="DJ68" s="925"/>
      <c r="DK68" s="925"/>
      <c r="DL68" s="925"/>
      <c r="DM68" s="925"/>
      <c r="DN68" s="925"/>
      <c r="DO68" s="925"/>
      <c r="DP68" s="925"/>
      <c r="DQ68" s="924"/>
      <c r="DR68" s="925"/>
      <c r="DS68" s="925"/>
      <c r="DT68" s="925"/>
      <c r="DV68" s="925"/>
      <c r="DW68" s="925"/>
      <c r="DX68" s="925"/>
      <c r="DY68" s="925"/>
      <c r="DZ68" s="925"/>
      <c r="EA68" s="925"/>
      <c r="EB68" s="925"/>
      <c r="EC68" s="925"/>
      <c r="ED68" s="925"/>
      <c r="EE68" s="925"/>
      <c r="EF68" s="925"/>
      <c r="EG68" s="925"/>
      <c r="EH68" s="925"/>
      <c r="EI68" s="925"/>
      <c r="EJ68" s="925"/>
      <c r="EK68" s="925"/>
      <c r="EL68" s="925"/>
      <c r="EM68" s="925"/>
      <c r="EN68" s="925"/>
      <c r="EO68" s="925"/>
      <c r="EP68" s="925"/>
      <c r="EQ68" s="925"/>
      <c r="ER68" s="925"/>
      <c r="ES68" s="925"/>
      <c r="ET68" s="925"/>
      <c r="EV68" s="924"/>
      <c r="EW68" s="925"/>
      <c r="EX68" s="925"/>
      <c r="EY68" s="925"/>
    </row>
    <row r="69" spans="1:155" s="927" customFormat="1" ht="20.100000000000001" customHeight="1" x14ac:dyDescent="0.25">
      <c r="A69" s="912" t="s">
        <v>286</v>
      </c>
      <c r="B69" s="913" t="s">
        <v>1380</v>
      </c>
      <c r="C69" s="914">
        <v>1</v>
      </c>
      <c r="D69" s="914">
        <v>25048</v>
      </c>
      <c r="E69" s="915">
        <v>1.0549999999999999</v>
      </c>
      <c r="F69" s="916">
        <f t="shared" si="0"/>
        <v>26426</v>
      </c>
      <c r="G69" s="915">
        <v>1.01</v>
      </c>
      <c r="H69" s="916">
        <f t="shared" si="1"/>
        <v>26691</v>
      </c>
      <c r="I69" s="917">
        <f t="shared" si="2"/>
        <v>26691</v>
      </c>
      <c r="J69" s="918">
        <f t="shared" si="3"/>
        <v>0</v>
      </c>
      <c r="K69" s="919"/>
      <c r="L69" s="917">
        <f t="shared" si="4"/>
        <v>0</v>
      </c>
      <c r="M69" s="918">
        <f t="shared" si="5"/>
        <v>0</v>
      </c>
      <c r="N69" s="919"/>
      <c r="O69" s="917">
        <f t="shared" si="6"/>
        <v>0</v>
      </c>
      <c r="P69" s="918">
        <f t="shared" si="7"/>
        <v>0</v>
      </c>
      <c r="Q69" s="919"/>
      <c r="R69" s="917">
        <f t="shared" si="8"/>
        <v>0</v>
      </c>
      <c r="S69" s="918">
        <f t="shared" si="9"/>
        <v>0</v>
      </c>
      <c r="T69" s="919"/>
      <c r="U69" s="917">
        <f t="shared" si="10"/>
        <v>0</v>
      </c>
      <c r="V69" s="918">
        <f t="shared" si="11"/>
        <v>0</v>
      </c>
      <c r="W69" s="919"/>
      <c r="X69" s="917">
        <f t="shared" si="12"/>
        <v>0</v>
      </c>
      <c r="Y69" s="918">
        <f t="shared" si="13"/>
        <v>0.28499999999999998</v>
      </c>
      <c r="Z69" s="919">
        <v>7138.68</v>
      </c>
      <c r="AA69" s="917">
        <f t="shared" si="14"/>
        <v>7606.94</v>
      </c>
      <c r="AB69" s="918">
        <f t="shared" si="15"/>
        <v>0.15</v>
      </c>
      <c r="AC69" s="919">
        <v>3757.2</v>
      </c>
      <c r="AD69" s="917">
        <f t="shared" si="16"/>
        <v>4003.65</v>
      </c>
      <c r="AE69" s="918">
        <f t="shared" si="17"/>
        <v>0</v>
      </c>
      <c r="AF69" s="919"/>
      <c r="AG69" s="917">
        <f t="shared" si="18"/>
        <v>0</v>
      </c>
      <c r="AH69" s="918">
        <f t="shared" si="19"/>
        <v>0</v>
      </c>
      <c r="AI69" s="919"/>
      <c r="AJ69" s="917">
        <f t="shared" si="20"/>
        <v>0</v>
      </c>
      <c r="AK69" s="918">
        <f t="shared" si="21"/>
        <v>0</v>
      </c>
      <c r="AL69" s="919"/>
      <c r="AM69" s="917">
        <f t="shared" si="22"/>
        <v>0</v>
      </c>
      <c r="AN69" s="920">
        <v>19242</v>
      </c>
      <c r="AO69" s="917">
        <f t="shared" si="23"/>
        <v>0</v>
      </c>
      <c r="AP69" s="920"/>
      <c r="AQ69" s="916">
        <f t="shared" si="24"/>
        <v>0</v>
      </c>
      <c r="AR69" s="917">
        <f t="shared" si="25"/>
        <v>38301.589999999997</v>
      </c>
      <c r="AS69" s="916">
        <v>12</v>
      </c>
      <c r="AT69" s="921">
        <f t="shared" si="26"/>
        <v>459619.08</v>
      </c>
      <c r="AU69" s="920"/>
      <c r="AV69" s="922">
        <f t="shared" si="27"/>
        <v>4596.1899999999996</v>
      </c>
      <c r="AW69" s="921">
        <f t="shared" si="28"/>
        <v>464215.27</v>
      </c>
      <c r="AX69" s="921">
        <f t="shared" si="29"/>
        <v>140193.01</v>
      </c>
      <c r="AY69" s="921">
        <f t="shared" si="30"/>
        <v>604408.28</v>
      </c>
      <c r="AZ69" s="923">
        <f t="shared" si="31"/>
        <v>464.2</v>
      </c>
      <c r="BA69" s="923">
        <f t="shared" si="32"/>
        <v>140.19999999999999</v>
      </c>
      <c r="BB69" s="923">
        <f t="shared" si="33"/>
        <v>604.4</v>
      </c>
      <c r="BC69" s="915">
        <v>0.95</v>
      </c>
      <c r="BD69" s="923">
        <f t="shared" si="34"/>
        <v>441</v>
      </c>
      <c r="BE69" s="923">
        <f t="shared" si="35"/>
        <v>133.19999999999999</v>
      </c>
      <c r="BF69" s="923">
        <f t="shared" si="36"/>
        <v>574.20000000000005</v>
      </c>
      <c r="BG69" s="924">
        <f>'[3]свод (2024)'!$B$116</f>
        <v>0.99758349999999996</v>
      </c>
      <c r="BH69" s="923">
        <f t="shared" si="37"/>
        <v>439.9</v>
      </c>
      <c r="BI69" s="923">
        <f t="shared" si="38"/>
        <v>132.80000000000001</v>
      </c>
      <c r="BJ69" s="923">
        <f t="shared" si="39"/>
        <v>572.70000000000005</v>
      </c>
      <c r="BK69" s="925">
        <f t="shared" si="40"/>
        <v>-24.3</v>
      </c>
      <c r="BL69" s="925">
        <f t="shared" si="40"/>
        <v>-7.4</v>
      </c>
      <c r="BM69" s="925">
        <f t="shared" si="41"/>
        <v>-31.7</v>
      </c>
      <c r="BN69" s="925">
        <f t="shared" si="42"/>
        <v>0</v>
      </c>
      <c r="BO69" s="925">
        <f t="shared" si="43"/>
        <v>0</v>
      </c>
      <c r="BP69" s="926"/>
      <c r="BQ69" s="925">
        <f t="shared" si="44"/>
        <v>439.9</v>
      </c>
      <c r="BR69" s="925">
        <f t="shared" si="44"/>
        <v>132.80000000000001</v>
      </c>
      <c r="BS69" s="925">
        <f t="shared" si="45"/>
        <v>572.70000000000005</v>
      </c>
      <c r="BU69" s="928"/>
      <c r="BV69" s="917"/>
      <c r="BW69" s="928"/>
      <c r="BX69" s="928"/>
      <c r="BY69" s="928"/>
      <c r="BZ69" s="917"/>
      <c r="CA69" s="928"/>
      <c r="CB69" s="917"/>
      <c r="CC69" s="928"/>
      <c r="CD69" s="928"/>
      <c r="CE69" s="928"/>
      <c r="CF69" s="929"/>
      <c r="CG69" s="928"/>
      <c r="CH69" s="928"/>
      <c r="CI69" s="928"/>
      <c r="CJ69" s="925"/>
      <c r="CK69" s="925"/>
      <c r="CL69" s="925"/>
      <c r="CM69" s="925"/>
      <c r="CN69" s="925"/>
      <c r="CO69" s="925"/>
      <c r="CP69" s="925"/>
      <c r="CQ69" s="925"/>
      <c r="CR69" s="925"/>
      <c r="CS69" s="917"/>
      <c r="CT69" s="928"/>
      <c r="CU69" s="928"/>
      <c r="CV69" s="928"/>
      <c r="CX69" s="925"/>
      <c r="CY69" s="925"/>
      <c r="CZ69" s="925"/>
      <c r="DB69" s="925"/>
      <c r="DC69" s="925"/>
      <c r="DD69" s="925"/>
      <c r="DE69" s="925"/>
      <c r="DF69" s="925"/>
      <c r="DG69" s="925"/>
      <c r="DH69" s="925"/>
      <c r="DI69" s="925"/>
      <c r="DJ69" s="925"/>
      <c r="DK69" s="925"/>
      <c r="DL69" s="925"/>
      <c r="DM69" s="925"/>
      <c r="DN69" s="925"/>
      <c r="DO69" s="925"/>
      <c r="DP69" s="925"/>
      <c r="DQ69" s="924"/>
      <c r="DR69" s="925"/>
      <c r="DS69" s="925"/>
      <c r="DT69" s="925"/>
      <c r="DV69" s="925"/>
      <c r="DW69" s="925"/>
      <c r="DX69" s="925"/>
      <c r="DY69" s="925"/>
      <c r="DZ69" s="925"/>
      <c r="EA69" s="925"/>
      <c r="EB69" s="925"/>
      <c r="EC69" s="925"/>
      <c r="ED69" s="925"/>
      <c r="EE69" s="925"/>
      <c r="EF69" s="925"/>
      <c r="EG69" s="925"/>
      <c r="EH69" s="925"/>
      <c r="EI69" s="925"/>
      <c r="EJ69" s="925"/>
      <c r="EK69" s="925"/>
      <c r="EL69" s="925"/>
      <c r="EM69" s="925"/>
      <c r="EN69" s="925"/>
      <c r="EO69" s="925"/>
      <c r="EP69" s="925"/>
      <c r="EQ69" s="925"/>
      <c r="ER69" s="925"/>
      <c r="ES69" s="925"/>
      <c r="ET69" s="925"/>
      <c r="EV69" s="924"/>
      <c r="EW69" s="925"/>
      <c r="EX69" s="925"/>
      <c r="EY69" s="925"/>
    </row>
    <row r="70" spans="1:155" s="927" customFormat="1" ht="20.100000000000001" customHeight="1" x14ac:dyDescent="0.25">
      <c r="A70" s="912" t="s">
        <v>286</v>
      </c>
      <c r="B70" s="913" t="s">
        <v>39</v>
      </c>
      <c r="C70" s="914">
        <v>1</v>
      </c>
      <c r="D70" s="914">
        <v>6097</v>
      </c>
      <c r="E70" s="915">
        <v>1.0549999999999999</v>
      </c>
      <c r="F70" s="916">
        <f t="shared" si="0"/>
        <v>6433</v>
      </c>
      <c r="G70" s="915">
        <v>1.01</v>
      </c>
      <c r="H70" s="916">
        <f t="shared" si="1"/>
        <v>6498</v>
      </c>
      <c r="I70" s="917">
        <f t="shared" si="2"/>
        <v>6498</v>
      </c>
      <c r="J70" s="918">
        <f t="shared" si="3"/>
        <v>0</v>
      </c>
      <c r="K70" s="919"/>
      <c r="L70" s="917">
        <f t="shared" si="4"/>
        <v>0</v>
      </c>
      <c r="M70" s="918">
        <f t="shared" si="5"/>
        <v>0</v>
      </c>
      <c r="N70" s="919"/>
      <c r="O70" s="917">
        <f t="shared" si="6"/>
        <v>0</v>
      </c>
      <c r="P70" s="918">
        <f t="shared" si="7"/>
        <v>0</v>
      </c>
      <c r="Q70" s="919"/>
      <c r="R70" s="917">
        <f t="shared" si="8"/>
        <v>0</v>
      </c>
      <c r="S70" s="918">
        <f t="shared" si="9"/>
        <v>0</v>
      </c>
      <c r="T70" s="919"/>
      <c r="U70" s="917">
        <f t="shared" si="10"/>
        <v>0</v>
      </c>
      <c r="V70" s="918">
        <f t="shared" si="11"/>
        <v>0</v>
      </c>
      <c r="W70" s="919"/>
      <c r="X70" s="917">
        <f t="shared" si="12"/>
        <v>0</v>
      </c>
      <c r="Y70" s="918">
        <f t="shared" si="13"/>
        <v>1.99</v>
      </c>
      <c r="Z70" s="919">
        <v>12133.03</v>
      </c>
      <c r="AA70" s="917">
        <f t="shared" si="14"/>
        <v>12931.02</v>
      </c>
      <c r="AB70" s="918">
        <f t="shared" si="15"/>
        <v>0.1</v>
      </c>
      <c r="AC70" s="919">
        <v>609.70000000000005</v>
      </c>
      <c r="AD70" s="917">
        <f t="shared" si="16"/>
        <v>649.79999999999995</v>
      </c>
      <c r="AE70" s="918">
        <f t="shared" si="17"/>
        <v>0</v>
      </c>
      <c r="AF70" s="919"/>
      <c r="AG70" s="917">
        <f t="shared" si="18"/>
        <v>0</v>
      </c>
      <c r="AH70" s="918">
        <f t="shared" si="19"/>
        <v>0</v>
      </c>
      <c r="AI70" s="919"/>
      <c r="AJ70" s="917">
        <f t="shared" si="20"/>
        <v>0</v>
      </c>
      <c r="AK70" s="918">
        <f t="shared" si="21"/>
        <v>0</v>
      </c>
      <c r="AL70" s="919"/>
      <c r="AM70" s="917">
        <f t="shared" si="22"/>
        <v>0</v>
      </c>
      <c r="AN70" s="920">
        <v>19242</v>
      </c>
      <c r="AO70" s="917">
        <f t="shared" si="23"/>
        <v>0</v>
      </c>
      <c r="AP70" s="920"/>
      <c r="AQ70" s="916">
        <f t="shared" si="24"/>
        <v>0</v>
      </c>
      <c r="AR70" s="917">
        <f t="shared" si="25"/>
        <v>20078.82</v>
      </c>
      <c r="AS70" s="916">
        <v>12</v>
      </c>
      <c r="AT70" s="921">
        <f t="shared" si="26"/>
        <v>240945.84</v>
      </c>
      <c r="AU70" s="920"/>
      <c r="AV70" s="922">
        <f t="shared" si="27"/>
        <v>2409.46</v>
      </c>
      <c r="AW70" s="921">
        <f t="shared" si="28"/>
        <v>243355.3</v>
      </c>
      <c r="AX70" s="921">
        <f t="shared" si="29"/>
        <v>73493.3</v>
      </c>
      <c r="AY70" s="921">
        <f t="shared" si="30"/>
        <v>316848.59999999998</v>
      </c>
      <c r="AZ70" s="923">
        <f t="shared" si="31"/>
        <v>243.4</v>
      </c>
      <c r="BA70" s="923">
        <f t="shared" si="32"/>
        <v>73.5</v>
      </c>
      <c r="BB70" s="923">
        <f t="shared" si="33"/>
        <v>316.89999999999998</v>
      </c>
      <c r="BC70" s="915">
        <v>0.95</v>
      </c>
      <c r="BD70" s="923">
        <f t="shared" si="34"/>
        <v>231.2</v>
      </c>
      <c r="BE70" s="923">
        <f t="shared" si="35"/>
        <v>69.8</v>
      </c>
      <c r="BF70" s="923">
        <f t="shared" si="36"/>
        <v>301</v>
      </c>
      <c r="BG70" s="924">
        <f>'[3]свод (2024)'!$B$116</f>
        <v>0.99758349999999996</v>
      </c>
      <c r="BH70" s="923">
        <f t="shared" si="37"/>
        <v>230.6</v>
      </c>
      <c r="BI70" s="923">
        <f t="shared" si="38"/>
        <v>69.599999999999994</v>
      </c>
      <c r="BJ70" s="923">
        <f t="shared" si="39"/>
        <v>300.2</v>
      </c>
      <c r="BK70" s="925">
        <f t="shared" si="40"/>
        <v>-12.8</v>
      </c>
      <c r="BL70" s="925">
        <f t="shared" si="40"/>
        <v>-3.9</v>
      </c>
      <c r="BM70" s="925">
        <f t="shared" si="41"/>
        <v>-16.7</v>
      </c>
      <c r="BN70" s="925">
        <f t="shared" si="42"/>
        <v>0</v>
      </c>
      <c r="BO70" s="925">
        <f t="shared" si="43"/>
        <v>0</v>
      </c>
      <c r="BP70" s="926"/>
      <c r="BQ70" s="925">
        <f t="shared" si="44"/>
        <v>230.6</v>
      </c>
      <c r="BR70" s="925">
        <f t="shared" si="44"/>
        <v>69.599999999999994</v>
      </c>
      <c r="BS70" s="925">
        <f t="shared" si="45"/>
        <v>300.2</v>
      </c>
      <c r="BU70" s="928"/>
      <c r="BV70" s="917"/>
      <c r="BW70" s="928"/>
      <c r="BX70" s="928"/>
      <c r="BY70" s="928"/>
      <c r="BZ70" s="917"/>
      <c r="CA70" s="928"/>
      <c r="CB70" s="917"/>
      <c r="CC70" s="928"/>
      <c r="CD70" s="928"/>
      <c r="CE70" s="928"/>
      <c r="CF70" s="929"/>
      <c r="CG70" s="928"/>
      <c r="CH70" s="928"/>
      <c r="CI70" s="928"/>
      <c r="CJ70" s="925"/>
      <c r="CK70" s="925"/>
      <c r="CL70" s="925"/>
      <c r="CM70" s="925"/>
      <c r="CN70" s="925"/>
      <c r="CO70" s="925"/>
      <c r="CP70" s="925"/>
      <c r="CQ70" s="925"/>
      <c r="CR70" s="925"/>
      <c r="CS70" s="917"/>
      <c r="CT70" s="928"/>
      <c r="CU70" s="928"/>
      <c r="CV70" s="928"/>
      <c r="CX70" s="925"/>
      <c r="CY70" s="925"/>
      <c r="CZ70" s="925"/>
      <c r="DB70" s="925"/>
      <c r="DC70" s="925"/>
      <c r="DD70" s="925"/>
      <c r="DE70" s="925"/>
      <c r="DF70" s="925"/>
      <c r="DG70" s="925"/>
      <c r="DH70" s="925"/>
      <c r="DI70" s="925"/>
      <c r="DJ70" s="925"/>
      <c r="DK70" s="925"/>
      <c r="DL70" s="925"/>
      <c r="DM70" s="925"/>
      <c r="DN70" s="925"/>
      <c r="DO70" s="925"/>
      <c r="DP70" s="925"/>
      <c r="DQ70" s="924"/>
      <c r="DR70" s="925"/>
      <c r="DS70" s="925"/>
      <c r="DT70" s="925"/>
      <c r="DV70" s="925"/>
      <c r="DW70" s="925"/>
      <c r="DX70" s="925"/>
      <c r="DY70" s="925"/>
      <c r="DZ70" s="925"/>
      <c r="EA70" s="925"/>
      <c r="EB70" s="925"/>
      <c r="EC70" s="925"/>
      <c r="ED70" s="925"/>
      <c r="EE70" s="925"/>
      <c r="EF70" s="925"/>
      <c r="EG70" s="925"/>
      <c r="EH70" s="925"/>
      <c r="EI70" s="925"/>
      <c r="EJ70" s="925"/>
      <c r="EK70" s="925"/>
      <c r="EL70" s="925"/>
      <c r="EM70" s="925"/>
      <c r="EN70" s="925"/>
      <c r="EO70" s="925"/>
      <c r="EP70" s="925"/>
      <c r="EQ70" s="925"/>
      <c r="ER70" s="925"/>
      <c r="ES70" s="925"/>
      <c r="ET70" s="925"/>
      <c r="EV70" s="924"/>
      <c r="EW70" s="925"/>
      <c r="EX70" s="925"/>
      <c r="EY70" s="925"/>
    </row>
    <row r="71" spans="1:155" s="927" customFormat="1" ht="31.5" x14ac:dyDescent="0.25">
      <c r="A71" s="912" t="s">
        <v>286</v>
      </c>
      <c r="B71" s="913" t="s">
        <v>30</v>
      </c>
      <c r="C71" s="914">
        <v>1</v>
      </c>
      <c r="D71" s="914">
        <v>22544</v>
      </c>
      <c r="E71" s="915">
        <v>1.0549999999999999</v>
      </c>
      <c r="F71" s="916">
        <f t="shared" si="0"/>
        <v>23784</v>
      </c>
      <c r="G71" s="915">
        <v>1.01</v>
      </c>
      <c r="H71" s="916">
        <f t="shared" si="1"/>
        <v>24022</v>
      </c>
      <c r="I71" s="917">
        <f t="shared" si="2"/>
        <v>24022</v>
      </c>
      <c r="J71" s="918">
        <f t="shared" si="3"/>
        <v>0</v>
      </c>
      <c r="K71" s="919"/>
      <c r="L71" s="917">
        <f t="shared" si="4"/>
        <v>0</v>
      </c>
      <c r="M71" s="918">
        <f t="shared" si="5"/>
        <v>0</v>
      </c>
      <c r="N71" s="919"/>
      <c r="O71" s="917">
        <f t="shared" si="6"/>
        <v>0</v>
      </c>
      <c r="P71" s="918">
        <f t="shared" si="7"/>
        <v>0</v>
      </c>
      <c r="Q71" s="988"/>
      <c r="R71" s="917">
        <f t="shared" si="8"/>
        <v>0</v>
      </c>
      <c r="S71" s="918">
        <f t="shared" si="9"/>
        <v>0</v>
      </c>
      <c r="T71" s="919"/>
      <c r="U71" s="917">
        <f t="shared" si="10"/>
        <v>0</v>
      </c>
      <c r="V71" s="918">
        <f t="shared" si="11"/>
        <v>0</v>
      </c>
      <c r="W71" s="919"/>
      <c r="X71" s="917">
        <f t="shared" si="12"/>
        <v>0</v>
      </c>
      <c r="Y71" s="918">
        <f t="shared" si="13"/>
        <v>0.28000000000000003</v>
      </c>
      <c r="Z71" s="919">
        <v>6312.32</v>
      </c>
      <c r="AA71" s="917">
        <f t="shared" si="14"/>
        <v>6726.16</v>
      </c>
      <c r="AB71" s="918">
        <f t="shared" si="15"/>
        <v>0.1</v>
      </c>
      <c r="AC71" s="919">
        <v>2254.4</v>
      </c>
      <c r="AD71" s="917">
        <f t="shared" si="16"/>
        <v>2402.1999999999998</v>
      </c>
      <c r="AE71" s="918">
        <f t="shared" si="17"/>
        <v>0</v>
      </c>
      <c r="AF71" s="919"/>
      <c r="AG71" s="917">
        <f t="shared" si="18"/>
        <v>0</v>
      </c>
      <c r="AH71" s="918">
        <f t="shared" si="19"/>
        <v>0</v>
      </c>
      <c r="AI71" s="919"/>
      <c r="AJ71" s="917">
        <f t="shared" si="20"/>
        <v>0</v>
      </c>
      <c r="AK71" s="918">
        <f t="shared" si="21"/>
        <v>0</v>
      </c>
      <c r="AL71" s="919"/>
      <c r="AM71" s="917">
        <f t="shared" si="22"/>
        <v>0</v>
      </c>
      <c r="AN71" s="920">
        <v>19242</v>
      </c>
      <c r="AO71" s="917">
        <f t="shared" si="23"/>
        <v>0</v>
      </c>
      <c r="AP71" s="920"/>
      <c r="AQ71" s="916">
        <f t="shared" si="24"/>
        <v>0</v>
      </c>
      <c r="AR71" s="917">
        <f t="shared" si="25"/>
        <v>33150.36</v>
      </c>
      <c r="AS71" s="916">
        <v>12</v>
      </c>
      <c r="AT71" s="921">
        <f t="shared" si="26"/>
        <v>397804.32</v>
      </c>
      <c r="AU71" s="920"/>
      <c r="AV71" s="922">
        <f t="shared" si="27"/>
        <v>3978.04</v>
      </c>
      <c r="AW71" s="921">
        <f t="shared" si="28"/>
        <v>401782.36</v>
      </c>
      <c r="AX71" s="921">
        <f t="shared" si="29"/>
        <v>121338.27</v>
      </c>
      <c r="AY71" s="921">
        <f t="shared" si="30"/>
        <v>523120.63</v>
      </c>
      <c r="AZ71" s="923">
        <f t="shared" si="31"/>
        <v>401.8</v>
      </c>
      <c r="BA71" s="923">
        <f t="shared" si="32"/>
        <v>121.3</v>
      </c>
      <c r="BB71" s="923">
        <f t="shared" si="33"/>
        <v>523.1</v>
      </c>
      <c r="BC71" s="915">
        <v>0.95</v>
      </c>
      <c r="BD71" s="923">
        <f t="shared" si="34"/>
        <v>381.7</v>
      </c>
      <c r="BE71" s="923">
        <f t="shared" si="35"/>
        <v>115.3</v>
      </c>
      <c r="BF71" s="923">
        <f t="shared" si="36"/>
        <v>497</v>
      </c>
      <c r="BG71" s="924">
        <f>'[3]свод (2024)'!$B$116</f>
        <v>0.99758349999999996</v>
      </c>
      <c r="BH71" s="923">
        <f t="shared" si="37"/>
        <v>380.8</v>
      </c>
      <c r="BI71" s="923">
        <f t="shared" si="38"/>
        <v>115</v>
      </c>
      <c r="BJ71" s="923">
        <f t="shared" si="39"/>
        <v>495.8</v>
      </c>
      <c r="BK71" s="925">
        <f t="shared" si="40"/>
        <v>-21</v>
      </c>
      <c r="BL71" s="925">
        <f t="shared" si="40"/>
        <v>-6.3</v>
      </c>
      <c r="BM71" s="925">
        <f t="shared" si="41"/>
        <v>-27.3</v>
      </c>
      <c r="BN71" s="925">
        <f t="shared" si="42"/>
        <v>0</v>
      </c>
      <c r="BO71" s="925">
        <f t="shared" si="43"/>
        <v>0</v>
      </c>
      <c r="BP71" s="926"/>
      <c r="BQ71" s="925">
        <f t="shared" si="44"/>
        <v>380.8</v>
      </c>
      <c r="BR71" s="925">
        <f t="shared" si="44"/>
        <v>115</v>
      </c>
      <c r="BS71" s="925">
        <f t="shared" si="45"/>
        <v>495.8</v>
      </c>
      <c r="BU71" s="928"/>
      <c r="BV71" s="917"/>
      <c r="BW71" s="928"/>
      <c r="BX71" s="928"/>
      <c r="BY71" s="928"/>
      <c r="BZ71" s="917"/>
      <c r="CA71" s="928"/>
      <c r="CB71" s="917"/>
      <c r="CC71" s="928"/>
      <c r="CD71" s="928"/>
      <c r="CE71" s="928"/>
      <c r="CF71" s="929"/>
      <c r="CG71" s="928"/>
      <c r="CH71" s="928"/>
      <c r="CI71" s="928"/>
      <c r="CJ71" s="925"/>
      <c r="CK71" s="925"/>
      <c r="CL71" s="925"/>
      <c r="CM71" s="925"/>
      <c r="CN71" s="925"/>
      <c r="CO71" s="925"/>
      <c r="CP71" s="925"/>
      <c r="CQ71" s="925"/>
      <c r="CR71" s="925"/>
      <c r="CS71" s="917"/>
      <c r="CT71" s="928"/>
      <c r="CU71" s="928"/>
      <c r="CV71" s="928"/>
      <c r="CX71" s="925"/>
      <c r="CY71" s="925"/>
      <c r="CZ71" s="925"/>
      <c r="DB71" s="925"/>
      <c r="DC71" s="925"/>
      <c r="DD71" s="925"/>
      <c r="DE71" s="925"/>
      <c r="DF71" s="925"/>
      <c r="DG71" s="925"/>
      <c r="DH71" s="925"/>
      <c r="DI71" s="925"/>
      <c r="DJ71" s="925"/>
      <c r="DK71" s="925"/>
      <c r="DL71" s="925"/>
      <c r="DM71" s="925"/>
      <c r="DN71" s="925"/>
      <c r="DO71" s="925"/>
      <c r="DP71" s="925"/>
      <c r="DQ71" s="924"/>
      <c r="DR71" s="925"/>
      <c r="DS71" s="925"/>
      <c r="DT71" s="925"/>
      <c r="DV71" s="925"/>
      <c r="DW71" s="925"/>
      <c r="DX71" s="925"/>
      <c r="DY71" s="925"/>
      <c r="DZ71" s="925"/>
      <c r="EA71" s="925"/>
      <c r="EB71" s="925"/>
      <c r="EC71" s="925"/>
      <c r="ED71" s="925"/>
      <c r="EE71" s="925"/>
      <c r="EF71" s="925"/>
      <c r="EG71" s="925"/>
      <c r="EH71" s="925"/>
      <c r="EI71" s="925"/>
      <c r="EJ71" s="925"/>
      <c r="EK71" s="925"/>
      <c r="EL71" s="925"/>
      <c r="EM71" s="925"/>
      <c r="EN71" s="925"/>
      <c r="EO71" s="925"/>
      <c r="EP71" s="925"/>
      <c r="EQ71" s="925"/>
      <c r="ER71" s="925"/>
      <c r="ES71" s="925"/>
      <c r="ET71" s="925"/>
      <c r="EV71" s="924"/>
      <c r="EW71" s="925"/>
      <c r="EX71" s="925"/>
      <c r="EY71" s="925"/>
    </row>
    <row r="72" spans="1:155" s="927" customFormat="1" ht="20.100000000000001" customHeight="1" x14ac:dyDescent="0.25">
      <c r="A72" s="912" t="s">
        <v>286</v>
      </c>
      <c r="B72" s="913" t="s">
        <v>628</v>
      </c>
      <c r="C72" s="914">
        <v>0.25</v>
      </c>
      <c r="D72" s="914">
        <v>5805</v>
      </c>
      <c r="E72" s="915">
        <v>1.0549999999999999</v>
      </c>
      <c r="F72" s="916">
        <f t="shared" si="0"/>
        <v>6125</v>
      </c>
      <c r="G72" s="915">
        <v>1.01</v>
      </c>
      <c r="H72" s="916">
        <f t="shared" si="1"/>
        <v>6187</v>
      </c>
      <c r="I72" s="917">
        <f t="shared" si="2"/>
        <v>1546.75</v>
      </c>
      <c r="J72" s="918">
        <f t="shared" si="3"/>
        <v>0</v>
      </c>
      <c r="K72" s="919"/>
      <c r="L72" s="917">
        <f t="shared" si="4"/>
        <v>0</v>
      </c>
      <c r="M72" s="918">
        <f t="shared" si="5"/>
        <v>0</v>
      </c>
      <c r="N72" s="919"/>
      <c r="O72" s="917">
        <f t="shared" si="6"/>
        <v>0</v>
      </c>
      <c r="P72" s="918">
        <f t="shared" si="7"/>
        <v>0</v>
      </c>
      <c r="Q72" s="919"/>
      <c r="R72" s="917">
        <f t="shared" si="8"/>
        <v>0</v>
      </c>
      <c r="S72" s="918">
        <f t="shared" si="9"/>
        <v>0</v>
      </c>
      <c r="T72" s="919"/>
      <c r="U72" s="917">
        <f t="shared" si="10"/>
        <v>0</v>
      </c>
      <c r="V72" s="918">
        <f t="shared" si="11"/>
        <v>0</v>
      </c>
      <c r="W72" s="919"/>
      <c r="X72" s="917">
        <f t="shared" si="12"/>
        <v>0</v>
      </c>
      <c r="Y72" s="918">
        <f t="shared" si="13"/>
        <v>1.99</v>
      </c>
      <c r="Z72" s="919">
        <v>2887.99</v>
      </c>
      <c r="AA72" s="917">
        <f t="shared" si="14"/>
        <v>3078.03</v>
      </c>
      <c r="AB72" s="918">
        <f t="shared" si="15"/>
        <v>0.1</v>
      </c>
      <c r="AC72" s="919">
        <v>145.13</v>
      </c>
      <c r="AD72" s="917">
        <f t="shared" si="16"/>
        <v>154.68</v>
      </c>
      <c r="AE72" s="918">
        <f t="shared" si="17"/>
        <v>0</v>
      </c>
      <c r="AF72" s="919"/>
      <c r="AG72" s="917">
        <f t="shared" si="18"/>
        <v>0</v>
      </c>
      <c r="AH72" s="918">
        <f t="shared" si="19"/>
        <v>0</v>
      </c>
      <c r="AI72" s="919"/>
      <c r="AJ72" s="917">
        <f t="shared" si="20"/>
        <v>0</v>
      </c>
      <c r="AK72" s="918">
        <f t="shared" si="21"/>
        <v>0</v>
      </c>
      <c r="AL72" s="919"/>
      <c r="AM72" s="917">
        <f t="shared" si="22"/>
        <v>0</v>
      </c>
      <c r="AN72" s="920">
        <v>19242</v>
      </c>
      <c r="AO72" s="917">
        <f t="shared" si="23"/>
        <v>31.04</v>
      </c>
      <c r="AP72" s="920"/>
      <c r="AQ72" s="916">
        <f t="shared" si="24"/>
        <v>0</v>
      </c>
      <c r="AR72" s="917">
        <f t="shared" si="25"/>
        <v>4810.5</v>
      </c>
      <c r="AS72" s="916">
        <v>12</v>
      </c>
      <c r="AT72" s="921">
        <f t="shared" si="26"/>
        <v>57726</v>
      </c>
      <c r="AU72" s="920"/>
      <c r="AV72" s="922">
        <f t="shared" si="27"/>
        <v>577.26</v>
      </c>
      <c r="AW72" s="921">
        <f t="shared" si="28"/>
        <v>58303.26</v>
      </c>
      <c r="AX72" s="921">
        <f t="shared" si="29"/>
        <v>17607.580000000002</v>
      </c>
      <c r="AY72" s="921">
        <f t="shared" si="30"/>
        <v>75910.84</v>
      </c>
      <c r="AZ72" s="923">
        <f t="shared" si="31"/>
        <v>58.3</v>
      </c>
      <c r="BA72" s="923">
        <f t="shared" si="32"/>
        <v>17.600000000000001</v>
      </c>
      <c r="BB72" s="923">
        <f t="shared" si="33"/>
        <v>75.900000000000006</v>
      </c>
      <c r="BC72" s="915">
        <v>0.95</v>
      </c>
      <c r="BD72" s="923">
        <f t="shared" si="34"/>
        <v>55.4</v>
      </c>
      <c r="BE72" s="923">
        <f t="shared" si="35"/>
        <v>16.7</v>
      </c>
      <c r="BF72" s="923">
        <f t="shared" si="36"/>
        <v>72.099999999999994</v>
      </c>
      <c r="BG72" s="924">
        <f>'[3]свод (2024)'!$B$116</f>
        <v>0.99758349999999996</v>
      </c>
      <c r="BH72" s="923">
        <f t="shared" si="37"/>
        <v>55.3</v>
      </c>
      <c r="BI72" s="923">
        <f t="shared" si="38"/>
        <v>16.7</v>
      </c>
      <c r="BJ72" s="923">
        <f t="shared" si="39"/>
        <v>72</v>
      </c>
      <c r="BK72" s="925">
        <f t="shared" si="40"/>
        <v>-3</v>
      </c>
      <c r="BL72" s="925">
        <f t="shared" si="40"/>
        <v>-0.9</v>
      </c>
      <c r="BM72" s="925">
        <f t="shared" si="41"/>
        <v>-3.9</v>
      </c>
      <c r="BN72" s="925">
        <f t="shared" si="42"/>
        <v>0</v>
      </c>
      <c r="BO72" s="925">
        <f t="shared" si="43"/>
        <v>0</v>
      </c>
      <c r="BP72" s="926"/>
      <c r="BQ72" s="925">
        <f t="shared" si="44"/>
        <v>55.3</v>
      </c>
      <c r="BR72" s="925">
        <f t="shared" si="44"/>
        <v>16.7</v>
      </c>
      <c r="BS72" s="925">
        <f t="shared" si="45"/>
        <v>72</v>
      </c>
      <c r="BU72" s="928"/>
      <c r="BV72" s="917"/>
      <c r="BW72" s="928"/>
      <c r="BX72" s="928"/>
      <c r="BY72" s="928"/>
      <c r="BZ72" s="917"/>
      <c r="CA72" s="928"/>
      <c r="CB72" s="917"/>
      <c r="CC72" s="928"/>
      <c r="CD72" s="928"/>
      <c r="CE72" s="928"/>
      <c r="CF72" s="929"/>
      <c r="CG72" s="928"/>
      <c r="CH72" s="928"/>
      <c r="CI72" s="928"/>
      <c r="CJ72" s="925"/>
      <c r="CK72" s="925"/>
      <c r="CL72" s="925"/>
      <c r="CM72" s="925"/>
      <c r="CN72" s="925"/>
      <c r="CO72" s="925"/>
      <c r="CP72" s="925"/>
      <c r="CQ72" s="925"/>
      <c r="CR72" s="925"/>
      <c r="CS72" s="917"/>
      <c r="CT72" s="928"/>
      <c r="CU72" s="928"/>
      <c r="CV72" s="928"/>
      <c r="CX72" s="925"/>
      <c r="CY72" s="925"/>
      <c r="CZ72" s="925"/>
      <c r="DB72" s="925"/>
      <c r="DC72" s="925"/>
      <c r="DD72" s="925"/>
      <c r="DE72" s="925"/>
      <c r="DF72" s="925"/>
      <c r="DG72" s="925"/>
      <c r="DH72" s="925"/>
      <c r="DI72" s="925"/>
      <c r="DJ72" s="925"/>
      <c r="DK72" s="925"/>
      <c r="DL72" s="925"/>
      <c r="DM72" s="925"/>
      <c r="DN72" s="925"/>
      <c r="DO72" s="925"/>
      <c r="DP72" s="925"/>
      <c r="DQ72" s="924"/>
      <c r="DR72" s="925"/>
      <c r="DS72" s="925"/>
      <c r="DT72" s="925"/>
      <c r="DV72" s="925"/>
      <c r="DW72" s="925"/>
      <c r="DX72" s="925"/>
      <c r="DY72" s="925"/>
      <c r="DZ72" s="925"/>
      <c r="EA72" s="925"/>
      <c r="EB72" s="925"/>
      <c r="EC72" s="925"/>
      <c r="ED72" s="925"/>
      <c r="EE72" s="925"/>
      <c r="EF72" s="925"/>
      <c r="EG72" s="925"/>
      <c r="EH72" s="925"/>
      <c r="EI72" s="925"/>
      <c r="EJ72" s="925"/>
      <c r="EK72" s="925"/>
      <c r="EL72" s="925"/>
      <c r="EM72" s="925"/>
      <c r="EN72" s="925"/>
      <c r="EO72" s="925"/>
      <c r="EP72" s="925"/>
      <c r="EQ72" s="925"/>
      <c r="ER72" s="925"/>
      <c r="ES72" s="925"/>
      <c r="ET72" s="925"/>
      <c r="EV72" s="924"/>
      <c r="EW72" s="925"/>
      <c r="EX72" s="925"/>
      <c r="EY72" s="925"/>
    </row>
    <row r="73" spans="1:155" s="927" customFormat="1" ht="20.100000000000001" customHeight="1" x14ac:dyDescent="0.25">
      <c r="A73" s="912" t="s">
        <v>286</v>
      </c>
      <c r="B73" s="913" t="s">
        <v>36</v>
      </c>
      <c r="C73" s="914">
        <v>1</v>
      </c>
      <c r="D73" s="914">
        <v>13772</v>
      </c>
      <c r="E73" s="915">
        <v>1.0549999999999999</v>
      </c>
      <c r="F73" s="916">
        <f t="shared" si="0"/>
        <v>14530</v>
      </c>
      <c r="G73" s="915">
        <v>1.01</v>
      </c>
      <c r="H73" s="916">
        <f t="shared" si="1"/>
        <v>14676</v>
      </c>
      <c r="I73" s="917">
        <f t="shared" si="2"/>
        <v>14676</v>
      </c>
      <c r="J73" s="918">
        <f t="shared" si="3"/>
        <v>0.25</v>
      </c>
      <c r="K73" s="919">
        <v>3443</v>
      </c>
      <c r="L73" s="917">
        <f t="shared" si="4"/>
        <v>3669</v>
      </c>
      <c r="M73" s="918">
        <f t="shared" si="5"/>
        <v>0</v>
      </c>
      <c r="N73" s="919"/>
      <c r="O73" s="917">
        <f t="shared" si="6"/>
        <v>0</v>
      </c>
      <c r="P73" s="918">
        <f t="shared" si="7"/>
        <v>0</v>
      </c>
      <c r="Q73" s="919"/>
      <c r="R73" s="917">
        <f t="shared" si="8"/>
        <v>0</v>
      </c>
      <c r="S73" s="918">
        <f t="shared" si="9"/>
        <v>0</v>
      </c>
      <c r="T73" s="919"/>
      <c r="U73" s="917">
        <f t="shared" si="10"/>
        <v>0</v>
      </c>
      <c r="V73" s="918">
        <f t="shared" si="11"/>
        <v>0</v>
      </c>
      <c r="W73" s="919"/>
      <c r="X73" s="917">
        <f t="shared" si="12"/>
        <v>0</v>
      </c>
      <c r="Y73" s="918">
        <f t="shared" si="13"/>
        <v>0</v>
      </c>
      <c r="Z73" s="919"/>
      <c r="AA73" s="917">
        <f t="shared" si="14"/>
        <v>0</v>
      </c>
      <c r="AB73" s="918">
        <f t="shared" si="15"/>
        <v>0.2</v>
      </c>
      <c r="AC73" s="919">
        <v>2754.4</v>
      </c>
      <c r="AD73" s="917">
        <f t="shared" si="16"/>
        <v>2935.2</v>
      </c>
      <c r="AE73" s="918">
        <f t="shared" si="17"/>
        <v>0</v>
      </c>
      <c r="AF73" s="919"/>
      <c r="AG73" s="917">
        <f t="shared" si="18"/>
        <v>0</v>
      </c>
      <c r="AH73" s="918">
        <f t="shared" si="19"/>
        <v>0</v>
      </c>
      <c r="AI73" s="919"/>
      <c r="AJ73" s="917">
        <f t="shared" si="20"/>
        <v>0</v>
      </c>
      <c r="AK73" s="918">
        <f t="shared" si="21"/>
        <v>0</v>
      </c>
      <c r="AL73" s="919"/>
      <c r="AM73" s="917">
        <f t="shared" si="22"/>
        <v>0</v>
      </c>
      <c r="AN73" s="920">
        <v>19242</v>
      </c>
      <c r="AO73" s="917">
        <f t="shared" si="23"/>
        <v>0</v>
      </c>
      <c r="AP73" s="920"/>
      <c r="AQ73" s="916">
        <f t="shared" si="24"/>
        <v>0</v>
      </c>
      <c r="AR73" s="917">
        <f t="shared" si="25"/>
        <v>21280.2</v>
      </c>
      <c r="AS73" s="916">
        <v>12</v>
      </c>
      <c r="AT73" s="921">
        <f t="shared" si="26"/>
        <v>255362.4</v>
      </c>
      <c r="AU73" s="920"/>
      <c r="AV73" s="922">
        <f t="shared" si="27"/>
        <v>2553.62</v>
      </c>
      <c r="AW73" s="921">
        <f t="shared" si="28"/>
        <v>257916.02</v>
      </c>
      <c r="AX73" s="921">
        <f t="shared" si="29"/>
        <v>77890.64</v>
      </c>
      <c r="AY73" s="921">
        <f t="shared" si="30"/>
        <v>335806.66</v>
      </c>
      <c r="AZ73" s="923">
        <f t="shared" si="31"/>
        <v>257.89999999999998</v>
      </c>
      <c r="BA73" s="923">
        <f t="shared" si="32"/>
        <v>77.900000000000006</v>
      </c>
      <c r="BB73" s="923">
        <f t="shared" si="33"/>
        <v>335.8</v>
      </c>
      <c r="BC73" s="915">
        <v>0.95</v>
      </c>
      <c r="BD73" s="923">
        <f t="shared" si="34"/>
        <v>245</v>
      </c>
      <c r="BE73" s="923">
        <f t="shared" si="35"/>
        <v>74</v>
      </c>
      <c r="BF73" s="923">
        <f t="shared" si="36"/>
        <v>319</v>
      </c>
      <c r="BG73" s="924">
        <f>'[3]свод (2024)'!$B$116</f>
        <v>0.99758349999999996</v>
      </c>
      <c r="BH73" s="923">
        <f t="shared" si="37"/>
        <v>244.4</v>
      </c>
      <c r="BI73" s="923">
        <f t="shared" si="38"/>
        <v>73.8</v>
      </c>
      <c r="BJ73" s="923">
        <f t="shared" si="39"/>
        <v>318.2</v>
      </c>
      <c r="BK73" s="925">
        <f t="shared" si="40"/>
        <v>-13.5</v>
      </c>
      <c r="BL73" s="925">
        <f t="shared" si="40"/>
        <v>-4.0999999999999996</v>
      </c>
      <c r="BM73" s="925">
        <f t="shared" si="41"/>
        <v>-17.600000000000001</v>
      </c>
      <c r="BN73" s="925">
        <f t="shared" si="42"/>
        <v>0</v>
      </c>
      <c r="BO73" s="925">
        <f t="shared" si="43"/>
        <v>0</v>
      </c>
      <c r="BP73" s="926"/>
      <c r="BQ73" s="925">
        <f t="shared" si="44"/>
        <v>244.4</v>
      </c>
      <c r="BR73" s="925">
        <f t="shared" si="44"/>
        <v>73.8</v>
      </c>
      <c r="BS73" s="925">
        <f t="shared" si="45"/>
        <v>318.2</v>
      </c>
      <c r="BU73" s="928">
        <f>C73</f>
        <v>1</v>
      </c>
      <c r="BV73" s="917"/>
      <c r="BW73" s="928"/>
      <c r="BX73" s="928">
        <f>AW73-X73</f>
        <v>257916.02</v>
      </c>
      <c r="BY73" s="928"/>
      <c r="BZ73" s="917"/>
      <c r="CA73" s="928"/>
      <c r="CB73" s="917"/>
      <c r="CC73" s="928"/>
      <c r="CD73" s="928"/>
      <c r="CE73" s="928"/>
      <c r="CF73" s="929">
        <f>CC$79/BU$79*BU73</f>
        <v>37004.699999999997</v>
      </c>
      <c r="CG73" s="928"/>
      <c r="CH73" s="928"/>
      <c r="CI73" s="928"/>
      <c r="CJ73" s="925"/>
      <c r="CK73" s="925"/>
      <c r="CL73" s="925"/>
      <c r="CM73" s="925"/>
      <c r="CN73" s="925"/>
      <c r="CO73" s="925"/>
      <c r="CP73" s="925"/>
      <c r="CQ73" s="925"/>
      <c r="CR73" s="925"/>
      <c r="CS73" s="917"/>
      <c r="CT73" s="928"/>
      <c r="CU73" s="928"/>
      <c r="CV73" s="928"/>
      <c r="CX73" s="925"/>
      <c r="CY73" s="925"/>
      <c r="CZ73" s="925"/>
      <c r="DB73" s="925"/>
      <c r="DC73" s="925"/>
      <c r="DD73" s="925"/>
      <c r="DE73" s="925"/>
      <c r="DF73" s="925"/>
      <c r="DG73" s="925"/>
      <c r="DH73" s="925"/>
      <c r="DI73" s="925"/>
      <c r="DJ73" s="925"/>
      <c r="DK73" s="925"/>
      <c r="DL73" s="925"/>
      <c r="DM73" s="925"/>
      <c r="DN73" s="925"/>
      <c r="DO73" s="925"/>
      <c r="DP73" s="925"/>
      <c r="DQ73" s="924"/>
      <c r="DR73" s="925"/>
      <c r="DS73" s="925"/>
      <c r="DT73" s="925"/>
      <c r="DV73" s="925"/>
      <c r="DW73" s="925"/>
      <c r="DX73" s="925"/>
      <c r="DY73" s="925"/>
      <c r="DZ73" s="925"/>
      <c r="EA73" s="925"/>
      <c r="EB73" s="925"/>
      <c r="EC73" s="925"/>
      <c r="ED73" s="925"/>
      <c r="EE73" s="925"/>
      <c r="EF73" s="925"/>
      <c r="EG73" s="925"/>
      <c r="EH73" s="925"/>
      <c r="EI73" s="925"/>
      <c r="EJ73" s="925"/>
      <c r="EK73" s="925"/>
      <c r="EL73" s="925"/>
      <c r="EM73" s="925"/>
      <c r="EN73" s="925"/>
      <c r="EO73" s="925"/>
      <c r="EP73" s="925"/>
      <c r="EQ73" s="925"/>
      <c r="ER73" s="925"/>
      <c r="ES73" s="925"/>
      <c r="ET73" s="925"/>
      <c r="EV73" s="924"/>
      <c r="EW73" s="925"/>
      <c r="EX73" s="925"/>
      <c r="EY73" s="925"/>
    </row>
    <row r="74" spans="1:155" s="927" customFormat="1" ht="20.100000000000001" customHeight="1" x14ac:dyDescent="0.25">
      <c r="A74" s="912" t="s">
        <v>286</v>
      </c>
      <c r="B74" s="913" t="s">
        <v>35</v>
      </c>
      <c r="C74" s="914">
        <v>9.5</v>
      </c>
      <c r="D74" s="914">
        <v>13132</v>
      </c>
      <c r="E74" s="915">
        <v>1.0549999999999999</v>
      </c>
      <c r="F74" s="916">
        <f t="shared" si="0"/>
        <v>13855</v>
      </c>
      <c r="G74" s="915">
        <v>1.01</v>
      </c>
      <c r="H74" s="916">
        <f t="shared" si="1"/>
        <v>13994</v>
      </c>
      <c r="I74" s="917">
        <f t="shared" si="2"/>
        <v>132943</v>
      </c>
      <c r="J74" s="918">
        <f t="shared" si="3"/>
        <v>0.16841999999999999</v>
      </c>
      <c r="K74" s="919">
        <v>21011.19</v>
      </c>
      <c r="L74" s="917">
        <f t="shared" si="4"/>
        <v>22390.26</v>
      </c>
      <c r="M74" s="918">
        <f t="shared" si="5"/>
        <v>0</v>
      </c>
      <c r="N74" s="919"/>
      <c r="O74" s="917">
        <f t="shared" si="6"/>
        <v>0</v>
      </c>
      <c r="P74" s="918">
        <f t="shared" si="7"/>
        <v>0</v>
      </c>
      <c r="Q74" s="919"/>
      <c r="R74" s="917">
        <f t="shared" si="8"/>
        <v>0</v>
      </c>
      <c r="S74" s="918">
        <f t="shared" si="9"/>
        <v>0</v>
      </c>
      <c r="T74" s="919"/>
      <c r="U74" s="917">
        <f t="shared" si="10"/>
        <v>0</v>
      </c>
      <c r="V74" s="918">
        <f t="shared" si="11"/>
        <v>0</v>
      </c>
      <c r="W74" s="919"/>
      <c r="X74" s="917">
        <f t="shared" si="12"/>
        <v>0</v>
      </c>
      <c r="Y74" s="918">
        <f t="shared" si="13"/>
        <v>0</v>
      </c>
      <c r="Z74" s="919"/>
      <c r="AA74" s="917">
        <f t="shared" si="14"/>
        <v>0</v>
      </c>
      <c r="AB74" s="918">
        <f t="shared" si="15"/>
        <v>0.12836</v>
      </c>
      <c r="AC74" s="919">
        <v>16013.73</v>
      </c>
      <c r="AD74" s="917">
        <f t="shared" si="16"/>
        <v>17064.560000000001</v>
      </c>
      <c r="AE74" s="918">
        <f t="shared" si="17"/>
        <v>1.14E-2</v>
      </c>
      <c r="AF74" s="919">
        <v>1422.63</v>
      </c>
      <c r="AG74" s="917">
        <f t="shared" si="18"/>
        <v>1515.55</v>
      </c>
      <c r="AH74" s="918">
        <f t="shared" si="19"/>
        <v>0</v>
      </c>
      <c r="AI74" s="919"/>
      <c r="AJ74" s="917">
        <f t="shared" si="20"/>
        <v>0</v>
      </c>
      <c r="AK74" s="918">
        <f t="shared" si="21"/>
        <v>0</v>
      </c>
      <c r="AL74" s="919"/>
      <c r="AM74" s="917">
        <f t="shared" si="22"/>
        <v>0</v>
      </c>
      <c r="AN74" s="920">
        <v>19242</v>
      </c>
      <c r="AO74" s="917">
        <f t="shared" si="23"/>
        <v>8885.6299999999992</v>
      </c>
      <c r="AP74" s="920"/>
      <c r="AQ74" s="916">
        <f t="shared" si="24"/>
        <v>0</v>
      </c>
      <c r="AR74" s="917">
        <f t="shared" si="25"/>
        <v>182799</v>
      </c>
      <c r="AS74" s="916">
        <v>12</v>
      </c>
      <c r="AT74" s="921">
        <f t="shared" si="26"/>
        <v>2193588</v>
      </c>
      <c r="AU74" s="920"/>
      <c r="AV74" s="922">
        <f t="shared" si="27"/>
        <v>21935.88</v>
      </c>
      <c r="AW74" s="921">
        <f t="shared" si="28"/>
        <v>2215523.88</v>
      </c>
      <c r="AX74" s="921">
        <f t="shared" si="29"/>
        <v>669088.21</v>
      </c>
      <c r="AY74" s="921">
        <f t="shared" si="30"/>
        <v>2884612.09</v>
      </c>
      <c r="AZ74" s="923">
        <f t="shared" si="31"/>
        <v>2215.5</v>
      </c>
      <c r="BA74" s="923">
        <f t="shared" si="32"/>
        <v>669.1</v>
      </c>
      <c r="BB74" s="923">
        <f t="shared" si="33"/>
        <v>2884.6</v>
      </c>
      <c r="BC74" s="915">
        <v>0.95</v>
      </c>
      <c r="BD74" s="923">
        <f t="shared" si="34"/>
        <v>2104.6999999999998</v>
      </c>
      <c r="BE74" s="923">
        <f t="shared" si="35"/>
        <v>635.6</v>
      </c>
      <c r="BF74" s="923">
        <f t="shared" si="36"/>
        <v>2740.3</v>
      </c>
      <c r="BG74" s="924">
        <f>'[3]свод (2024)'!$B$116</f>
        <v>0.99758349999999996</v>
      </c>
      <c r="BH74" s="923">
        <f t="shared" si="37"/>
        <v>2099.6</v>
      </c>
      <c r="BI74" s="923">
        <f t="shared" si="38"/>
        <v>634.1</v>
      </c>
      <c r="BJ74" s="923">
        <f t="shared" si="39"/>
        <v>2733.7</v>
      </c>
      <c r="BK74" s="925">
        <f t="shared" si="40"/>
        <v>-115.9</v>
      </c>
      <c r="BL74" s="925">
        <f t="shared" si="40"/>
        <v>-35</v>
      </c>
      <c r="BM74" s="925">
        <f t="shared" si="41"/>
        <v>-150.9</v>
      </c>
      <c r="BN74" s="925">
        <f t="shared" si="42"/>
        <v>0</v>
      </c>
      <c r="BO74" s="925">
        <f t="shared" si="43"/>
        <v>0</v>
      </c>
      <c r="BP74" s="926"/>
      <c r="BQ74" s="925">
        <f t="shared" si="44"/>
        <v>2099.6</v>
      </c>
      <c r="BR74" s="925">
        <f t="shared" si="44"/>
        <v>634.1</v>
      </c>
      <c r="BS74" s="925">
        <f t="shared" si="45"/>
        <v>2733.7</v>
      </c>
      <c r="BU74" s="928">
        <f>C74</f>
        <v>9.5</v>
      </c>
      <c r="BV74" s="917"/>
      <c r="BW74" s="928"/>
      <c r="BX74" s="928">
        <f>AW74-X74</f>
        <v>2215523.88</v>
      </c>
      <c r="BY74" s="928"/>
      <c r="BZ74" s="917"/>
      <c r="CA74" s="928"/>
      <c r="CB74" s="917"/>
      <c r="CC74" s="928"/>
      <c r="CD74" s="928"/>
      <c r="CE74" s="928"/>
      <c r="CF74" s="929">
        <f t="shared" ref="CF74:CF75" si="59">CC$79/BU$79*BU74</f>
        <v>351544.67</v>
      </c>
      <c r="CG74" s="928"/>
      <c r="CH74" s="928"/>
      <c r="CI74" s="928"/>
      <c r="CJ74" s="925"/>
      <c r="CK74" s="925"/>
      <c r="CL74" s="925"/>
      <c r="CM74" s="925"/>
      <c r="CN74" s="925"/>
      <c r="CO74" s="925"/>
      <c r="CP74" s="925"/>
      <c r="CQ74" s="925"/>
      <c r="CR74" s="925"/>
      <c r="CS74" s="917"/>
      <c r="CT74" s="928"/>
      <c r="CU74" s="928"/>
      <c r="CV74" s="928"/>
      <c r="CX74" s="925"/>
      <c r="CY74" s="925"/>
      <c r="CZ74" s="925"/>
      <c r="DB74" s="925"/>
      <c r="DC74" s="925"/>
      <c r="DD74" s="925"/>
      <c r="DE74" s="925"/>
      <c r="DF74" s="925"/>
      <c r="DG74" s="925"/>
      <c r="DH74" s="925"/>
      <c r="DI74" s="925"/>
      <c r="DJ74" s="925"/>
      <c r="DK74" s="925"/>
      <c r="DL74" s="925"/>
      <c r="DM74" s="925"/>
      <c r="DN74" s="925"/>
      <c r="DO74" s="925"/>
      <c r="DP74" s="925"/>
      <c r="DQ74" s="924"/>
      <c r="DR74" s="925"/>
      <c r="DS74" s="925"/>
      <c r="DT74" s="925"/>
      <c r="DV74" s="925"/>
      <c r="DW74" s="925"/>
      <c r="DX74" s="925"/>
      <c r="DY74" s="925"/>
      <c r="DZ74" s="925"/>
      <c r="EA74" s="925"/>
      <c r="EB74" s="925"/>
      <c r="EC74" s="925"/>
      <c r="ED74" s="925"/>
      <c r="EE74" s="925"/>
      <c r="EF74" s="925"/>
      <c r="EG74" s="925"/>
      <c r="EH74" s="925"/>
      <c r="EI74" s="925"/>
      <c r="EJ74" s="925"/>
      <c r="EK74" s="925"/>
      <c r="EL74" s="925"/>
      <c r="EM74" s="925"/>
      <c r="EN74" s="925"/>
      <c r="EO74" s="925"/>
      <c r="EP74" s="925"/>
      <c r="EQ74" s="925"/>
      <c r="ER74" s="925"/>
      <c r="ES74" s="925"/>
      <c r="ET74" s="925"/>
      <c r="EV74" s="924"/>
      <c r="EW74" s="925"/>
      <c r="EX74" s="925"/>
      <c r="EY74" s="925"/>
    </row>
    <row r="75" spans="1:155" s="927" customFormat="1" ht="20.100000000000001" customHeight="1" x14ac:dyDescent="0.25">
      <c r="A75" s="912" t="s">
        <v>286</v>
      </c>
      <c r="B75" s="913" t="s">
        <v>37</v>
      </c>
      <c r="C75" s="914">
        <v>1</v>
      </c>
      <c r="D75" s="914">
        <v>13132</v>
      </c>
      <c r="E75" s="915">
        <v>1.0549999999999999</v>
      </c>
      <c r="F75" s="916">
        <f t="shared" si="0"/>
        <v>13855</v>
      </c>
      <c r="G75" s="915">
        <v>1.01</v>
      </c>
      <c r="H75" s="916">
        <f t="shared" si="1"/>
        <v>13994</v>
      </c>
      <c r="I75" s="917">
        <f t="shared" si="2"/>
        <v>13994</v>
      </c>
      <c r="J75" s="918">
        <f t="shared" si="3"/>
        <v>0.17499999999999999</v>
      </c>
      <c r="K75" s="919">
        <v>2298.1</v>
      </c>
      <c r="L75" s="917">
        <f t="shared" si="4"/>
        <v>2448.9499999999998</v>
      </c>
      <c r="M75" s="918">
        <f t="shared" si="5"/>
        <v>0</v>
      </c>
      <c r="N75" s="919"/>
      <c r="O75" s="917">
        <f t="shared" si="6"/>
        <v>0</v>
      </c>
      <c r="P75" s="918">
        <f t="shared" si="7"/>
        <v>0</v>
      </c>
      <c r="Q75" s="919"/>
      <c r="R75" s="917">
        <f t="shared" si="8"/>
        <v>0</v>
      </c>
      <c r="S75" s="918">
        <f t="shared" si="9"/>
        <v>0</v>
      </c>
      <c r="T75" s="919"/>
      <c r="U75" s="917">
        <f t="shared" si="10"/>
        <v>0</v>
      </c>
      <c r="V75" s="918">
        <f t="shared" si="11"/>
        <v>0</v>
      </c>
      <c r="W75" s="919"/>
      <c r="X75" s="917">
        <f t="shared" si="12"/>
        <v>0</v>
      </c>
      <c r="Y75" s="918">
        <f t="shared" si="13"/>
        <v>0</v>
      </c>
      <c r="Z75" s="919"/>
      <c r="AA75" s="917">
        <f t="shared" si="14"/>
        <v>0</v>
      </c>
      <c r="AB75" s="918">
        <f t="shared" si="15"/>
        <v>0</v>
      </c>
      <c r="AC75" s="919"/>
      <c r="AD75" s="917">
        <f t="shared" si="16"/>
        <v>0</v>
      </c>
      <c r="AE75" s="918">
        <f t="shared" si="17"/>
        <v>0</v>
      </c>
      <c r="AF75" s="919"/>
      <c r="AG75" s="917">
        <f t="shared" si="18"/>
        <v>0</v>
      </c>
      <c r="AH75" s="918">
        <f t="shared" si="19"/>
        <v>0</v>
      </c>
      <c r="AI75" s="919"/>
      <c r="AJ75" s="917">
        <f t="shared" si="20"/>
        <v>0</v>
      </c>
      <c r="AK75" s="918">
        <f t="shared" si="21"/>
        <v>0</v>
      </c>
      <c r="AL75" s="919"/>
      <c r="AM75" s="917">
        <f t="shared" si="22"/>
        <v>0</v>
      </c>
      <c r="AN75" s="920">
        <v>19242</v>
      </c>
      <c r="AO75" s="917">
        <f t="shared" si="23"/>
        <v>2799.05</v>
      </c>
      <c r="AP75" s="920"/>
      <c r="AQ75" s="916">
        <f t="shared" si="24"/>
        <v>0</v>
      </c>
      <c r="AR75" s="917">
        <f t="shared" si="25"/>
        <v>19242</v>
      </c>
      <c r="AS75" s="916">
        <v>12</v>
      </c>
      <c r="AT75" s="921">
        <f t="shared" si="26"/>
        <v>230904</v>
      </c>
      <c r="AU75" s="920"/>
      <c r="AV75" s="922">
        <f t="shared" si="27"/>
        <v>2309.04</v>
      </c>
      <c r="AW75" s="921">
        <f t="shared" si="28"/>
        <v>233213.04</v>
      </c>
      <c r="AX75" s="921">
        <f t="shared" si="29"/>
        <v>70430.34</v>
      </c>
      <c r="AY75" s="921">
        <f t="shared" si="30"/>
        <v>303643.38</v>
      </c>
      <c r="AZ75" s="923">
        <f t="shared" si="31"/>
        <v>233.2</v>
      </c>
      <c r="BA75" s="923">
        <f t="shared" si="32"/>
        <v>70.400000000000006</v>
      </c>
      <c r="BB75" s="923">
        <f t="shared" si="33"/>
        <v>303.60000000000002</v>
      </c>
      <c r="BC75" s="915">
        <v>0.95</v>
      </c>
      <c r="BD75" s="923">
        <f t="shared" si="34"/>
        <v>221.5</v>
      </c>
      <c r="BE75" s="923">
        <f t="shared" si="35"/>
        <v>66.900000000000006</v>
      </c>
      <c r="BF75" s="923">
        <f t="shared" si="36"/>
        <v>288.39999999999998</v>
      </c>
      <c r="BG75" s="924">
        <f>'[3]свод (2024)'!$B$116</f>
        <v>0.99758349999999996</v>
      </c>
      <c r="BH75" s="923">
        <f t="shared" si="37"/>
        <v>221</v>
      </c>
      <c r="BI75" s="923">
        <f t="shared" si="38"/>
        <v>66.7</v>
      </c>
      <c r="BJ75" s="923">
        <f t="shared" si="39"/>
        <v>287.7</v>
      </c>
      <c r="BK75" s="925">
        <f t="shared" si="40"/>
        <v>-12.2</v>
      </c>
      <c r="BL75" s="925">
        <f t="shared" si="40"/>
        <v>-3.7</v>
      </c>
      <c r="BM75" s="925">
        <f t="shared" si="41"/>
        <v>-15.9</v>
      </c>
      <c r="BN75" s="925">
        <f t="shared" si="42"/>
        <v>0</v>
      </c>
      <c r="BO75" s="925">
        <f t="shared" si="43"/>
        <v>0</v>
      </c>
      <c r="BP75" s="926"/>
      <c r="BQ75" s="925">
        <f t="shared" si="44"/>
        <v>221</v>
      </c>
      <c r="BR75" s="925">
        <f t="shared" si="44"/>
        <v>66.7</v>
      </c>
      <c r="BS75" s="925">
        <f t="shared" si="45"/>
        <v>287.7</v>
      </c>
      <c r="BU75" s="928">
        <f>C75</f>
        <v>1</v>
      </c>
      <c r="BV75" s="917"/>
      <c r="BW75" s="928"/>
      <c r="BX75" s="928">
        <f>AW75-X75</f>
        <v>233213.04</v>
      </c>
      <c r="BY75" s="928"/>
      <c r="BZ75" s="917"/>
      <c r="CA75" s="928"/>
      <c r="CB75" s="917"/>
      <c r="CC75" s="928"/>
      <c r="CD75" s="928"/>
      <c r="CE75" s="928"/>
      <c r="CF75" s="929">
        <f t="shared" si="59"/>
        <v>37004.699999999997</v>
      </c>
      <c r="CG75" s="928"/>
      <c r="CH75" s="928"/>
      <c r="CI75" s="928"/>
      <c r="CJ75" s="925"/>
      <c r="CK75" s="925"/>
      <c r="CL75" s="925"/>
      <c r="CM75" s="925"/>
      <c r="CN75" s="925"/>
      <c r="CO75" s="925"/>
      <c r="CP75" s="925"/>
      <c r="CQ75" s="925"/>
      <c r="CR75" s="925"/>
      <c r="CS75" s="917"/>
      <c r="CT75" s="928"/>
      <c r="CU75" s="928"/>
      <c r="CV75" s="928"/>
      <c r="CX75" s="925"/>
      <c r="CY75" s="925"/>
      <c r="CZ75" s="925"/>
      <c r="DB75" s="925"/>
      <c r="DC75" s="925"/>
      <c r="DD75" s="925"/>
      <c r="DE75" s="925"/>
      <c r="DF75" s="925"/>
      <c r="DG75" s="925"/>
      <c r="DH75" s="925"/>
      <c r="DI75" s="925"/>
      <c r="DJ75" s="925"/>
      <c r="DK75" s="925"/>
      <c r="DL75" s="925"/>
      <c r="DM75" s="925"/>
      <c r="DN75" s="925"/>
      <c r="DO75" s="925"/>
      <c r="DP75" s="925"/>
      <c r="DQ75" s="924"/>
      <c r="DR75" s="925"/>
      <c r="DS75" s="925"/>
      <c r="DT75" s="925"/>
      <c r="DV75" s="925"/>
      <c r="DW75" s="925"/>
      <c r="DX75" s="925"/>
      <c r="DY75" s="925"/>
      <c r="DZ75" s="925"/>
      <c r="EA75" s="925"/>
      <c r="EB75" s="925"/>
      <c r="EC75" s="925"/>
      <c r="ED75" s="925"/>
      <c r="EE75" s="925"/>
      <c r="EF75" s="925"/>
      <c r="EG75" s="925"/>
      <c r="EH75" s="925"/>
      <c r="EI75" s="925"/>
      <c r="EJ75" s="925"/>
      <c r="EK75" s="925"/>
      <c r="EL75" s="925"/>
      <c r="EM75" s="925"/>
      <c r="EN75" s="925"/>
      <c r="EO75" s="925"/>
      <c r="EP75" s="925"/>
      <c r="EQ75" s="925"/>
      <c r="ER75" s="925"/>
      <c r="ES75" s="925"/>
      <c r="ET75" s="925"/>
      <c r="EV75" s="924"/>
      <c r="EW75" s="925"/>
      <c r="EX75" s="925"/>
      <c r="EY75" s="925"/>
    </row>
    <row r="76" spans="1:155" s="927" customFormat="1" ht="20.100000000000001" customHeight="1" x14ac:dyDescent="0.25">
      <c r="A76" s="912" t="s">
        <v>286</v>
      </c>
      <c r="B76" s="913" t="s">
        <v>41</v>
      </c>
      <c r="C76" s="914">
        <v>1</v>
      </c>
      <c r="D76" s="914">
        <v>7912</v>
      </c>
      <c r="E76" s="915">
        <v>1.0549999999999999</v>
      </c>
      <c r="F76" s="916">
        <f t="shared" si="0"/>
        <v>8348</v>
      </c>
      <c r="G76" s="915">
        <v>1.01</v>
      </c>
      <c r="H76" s="916">
        <f t="shared" si="1"/>
        <v>8432</v>
      </c>
      <c r="I76" s="917">
        <f t="shared" si="2"/>
        <v>8432</v>
      </c>
      <c r="J76" s="918">
        <f t="shared" si="3"/>
        <v>0</v>
      </c>
      <c r="K76" s="919"/>
      <c r="L76" s="917">
        <f t="shared" si="4"/>
        <v>0</v>
      </c>
      <c r="M76" s="918">
        <f t="shared" si="5"/>
        <v>0</v>
      </c>
      <c r="N76" s="919"/>
      <c r="O76" s="917">
        <f t="shared" si="6"/>
        <v>0</v>
      </c>
      <c r="P76" s="918">
        <f t="shared" si="7"/>
        <v>0</v>
      </c>
      <c r="Q76" s="919"/>
      <c r="R76" s="917">
        <f t="shared" si="8"/>
        <v>0</v>
      </c>
      <c r="S76" s="918">
        <f t="shared" si="9"/>
        <v>0</v>
      </c>
      <c r="T76" s="919"/>
      <c r="U76" s="917">
        <f t="shared" si="10"/>
        <v>0</v>
      </c>
      <c r="V76" s="918">
        <f t="shared" si="11"/>
        <v>0</v>
      </c>
      <c r="W76" s="919"/>
      <c r="X76" s="917">
        <f t="shared" si="12"/>
        <v>0</v>
      </c>
      <c r="Y76" s="918">
        <f t="shared" si="13"/>
        <v>0</v>
      </c>
      <c r="Z76" s="919"/>
      <c r="AA76" s="917">
        <f t="shared" si="14"/>
        <v>0</v>
      </c>
      <c r="AB76" s="918">
        <f t="shared" si="15"/>
        <v>0.125</v>
      </c>
      <c r="AC76" s="919">
        <v>989</v>
      </c>
      <c r="AD76" s="917">
        <f t="shared" si="16"/>
        <v>1054</v>
      </c>
      <c r="AE76" s="918">
        <f t="shared" si="17"/>
        <v>0</v>
      </c>
      <c r="AF76" s="919"/>
      <c r="AG76" s="917">
        <f t="shared" si="18"/>
        <v>0</v>
      </c>
      <c r="AH76" s="918">
        <f t="shared" si="19"/>
        <v>0</v>
      </c>
      <c r="AI76" s="919"/>
      <c r="AJ76" s="917">
        <f t="shared" si="20"/>
        <v>0</v>
      </c>
      <c r="AK76" s="918">
        <f t="shared" si="21"/>
        <v>0</v>
      </c>
      <c r="AL76" s="919"/>
      <c r="AM76" s="917">
        <f t="shared" si="22"/>
        <v>0</v>
      </c>
      <c r="AN76" s="920">
        <v>19242</v>
      </c>
      <c r="AO76" s="917">
        <f t="shared" si="23"/>
        <v>9756</v>
      </c>
      <c r="AP76" s="920"/>
      <c r="AQ76" s="916">
        <f t="shared" si="24"/>
        <v>0</v>
      </c>
      <c r="AR76" s="917">
        <f t="shared" si="25"/>
        <v>19242</v>
      </c>
      <c r="AS76" s="916">
        <v>12</v>
      </c>
      <c r="AT76" s="921">
        <f t="shared" si="26"/>
        <v>230904</v>
      </c>
      <c r="AU76" s="920"/>
      <c r="AV76" s="922">
        <f t="shared" si="27"/>
        <v>2309.04</v>
      </c>
      <c r="AW76" s="921">
        <f t="shared" si="28"/>
        <v>233213.04</v>
      </c>
      <c r="AX76" s="921">
        <f t="shared" si="29"/>
        <v>70430.34</v>
      </c>
      <c r="AY76" s="921">
        <f t="shared" si="30"/>
        <v>303643.38</v>
      </c>
      <c r="AZ76" s="923">
        <f t="shared" si="31"/>
        <v>233.2</v>
      </c>
      <c r="BA76" s="923">
        <f t="shared" si="32"/>
        <v>70.400000000000006</v>
      </c>
      <c r="BB76" s="923">
        <f t="shared" si="33"/>
        <v>303.60000000000002</v>
      </c>
      <c r="BC76" s="915">
        <v>0.95</v>
      </c>
      <c r="BD76" s="923">
        <f t="shared" si="34"/>
        <v>221.5</v>
      </c>
      <c r="BE76" s="923">
        <f t="shared" si="35"/>
        <v>66.900000000000006</v>
      </c>
      <c r="BF76" s="923">
        <f t="shared" si="36"/>
        <v>288.39999999999998</v>
      </c>
      <c r="BG76" s="924">
        <f>'[3]свод (2024)'!$B$116</f>
        <v>0.99758349999999996</v>
      </c>
      <c r="BH76" s="923">
        <f t="shared" si="37"/>
        <v>221</v>
      </c>
      <c r="BI76" s="923">
        <f t="shared" si="38"/>
        <v>66.7</v>
      </c>
      <c r="BJ76" s="923">
        <f t="shared" si="39"/>
        <v>287.7</v>
      </c>
      <c r="BK76" s="925">
        <f t="shared" si="40"/>
        <v>-12.2</v>
      </c>
      <c r="BL76" s="925">
        <f t="shared" si="40"/>
        <v>-3.7</v>
      </c>
      <c r="BM76" s="925">
        <f t="shared" si="41"/>
        <v>-15.9</v>
      </c>
      <c r="BN76" s="925">
        <f t="shared" si="42"/>
        <v>0</v>
      </c>
      <c r="BO76" s="925">
        <f t="shared" si="43"/>
        <v>0</v>
      </c>
      <c r="BP76" s="926"/>
      <c r="BQ76" s="925">
        <f t="shared" si="44"/>
        <v>221</v>
      </c>
      <c r="BR76" s="925">
        <f t="shared" si="44"/>
        <v>66.7</v>
      </c>
      <c r="BS76" s="925">
        <f t="shared" si="45"/>
        <v>287.7</v>
      </c>
      <c r="BU76" s="928"/>
      <c r="BV76" s="917"/>
      <c r="BW76" s="928"/>
      <c r="BX76" s="928"/>
      <c r="BY76" s="928"/>
      <c r="BZ76" s="917"/>
      <c r="CA76" s="928"/>
      <c r="CB76" s="917"/>
      <c r="CC76" s="928"/>
      <c r="CD76" s="928"/>
      <c r="CE76" s="928"/>
      <c r="CF76" s="929"/>
      <c r="CG76" s="928"/>
      <c r="CH76" s="928"/>
      <c r="CI76" s="928"/>
      <c r="CJ76" s="925"/>
      <c r="CK76" s="925"/>
      <c r="CL76" s="925"/>
      <c r="CM76" s="925"/>
      <c r="CN76" s="925"/>
      <c r="CO76" s="925"/>
      <c r="CP76" s="925"/>
      <c r="CQ76" s="925"/>
      <c r="CR76" s="925"/>
      <c r="CS76" s="917"/>
      <c r="CT76" s="928"/>
      <c r="CU76" s="928"/>
      <c r="CV76" s="928"/>
      <c r="CX76" s="925"/>
      <c r="CY76" s="925"/>
      <c r="CZ76" s="925"/>
      <c r="DB76" s="925"/>
      <c r="DC76" s="925"/>
      <c r="DD76" s="925"/>
      <c r="DE76" s="925"/>
      <c r="DF76" s="925"/>
      <c r="DG76" s="925"/>
      <c r="DH76" s="925"/>
      <c r="DI76" s="925"/>
      <c r="DJ76" s="925"/>
      <c r="DK76" s="925"/>
      <c r="DL76" s="925"/>
      <c r="DM76" s="925"/>
      <c r="DN76" s="925"/>
      <c r="DO76" s="925"/>
      <c r="DP76" s="925"/>
      <c r="DQ76" s="924"/>
      <c r="DR76" s="925"/>
      <c r="DS76" s="925"/>
      <c r="DT76" s="925"/>
      <c r="DV76" s="925"/>
      <c r="DW76" s="925"/>
      <c r="DX76" s="925"/>
      <c r="DY76" s="925"/>
      <c r="DZ76" s="925"/>
      <c r="EA76" s="925"/>
      <c r="EB76" s="925"/>
      <c r="EC76" s="925"/>
      <c r="ED76" s="925"/>
      <c r="EE76" s="925"/>
      <c r="EF76" s="925"/>
      <c r="EG76" s="925"/>
      <c r="EH76" s="925"/>
      <c r="EI76" s="925"/>
      <c r="EJ76" s="925"/>
      <c r="EK76" s="925"/>
      <c r="EL76" s="925"/>
      <c r="EM76" s="925"/>
      <c r="EN76" s="925"/>
      <c r="EO76" s="925"/>
      <c r="EP76" s="925"/>
      <c r="EQ76" s="925"/>
      <c r="ER76" s="925"/>
      <c r="ES76" s="925"/>
      <c r="ET76" s="925"/>
      <c r="EV76" s="924"/>
      <c r="EW76" s="925"/>
      <c r="EX76" s="925"/>
      <c r="EY76" s="925"/>
    </row>
    <row r="77" spans="1:155" s="927" customFormat="1" ht="20.100000000000001" customHeight="1" x14ac:dyDescent="0.25">
      <c r="A77" s="912" t="s">
        <v>286</v>
      </c>
      <c r="B77" s="913" t="s">
        <v>399</v>
      </c>
      <c r="C77" s="914">
        <v>0.25</v>
      </c>
      <c r="D77" s="914">
        <v>6707</v>
      </c>
      <c r="E77" s="915">
        <v>1.0549999999999999</v>
      </c>
      <c r="F77" s="916">
        <f t="shared" si="0"/>
        <v>7076</v>
      </c>
      <c r="G77" s="915">
        <v>1.01</v>
      </c>
      <c r="H77" s="916">
        <f t="shared" si="1"/>
        <v>7147</v>
      </c>
      <c r="I77" s="917">
        <f t="shared" si="2"/>
        <v>1786.75</v>
      </c>
      <c r="J77" s="918">
        <f t="shared" si="3"/>
        <v>0</v>
      </c>
      <c r="K77" s="919"/>
      <c r="L77" s="917">
        <f t="shared" si="4"/>
        <v>0</v>
      </c>
      <c r="M77" s="918">
        <f t="shared" si="5"/>
        <v>0</v>
      </c>
      <c r="N77" s="919"/>
      <c r="O77" s="917">
        <f t="shared" si="6"/>
        <v>0</v>
      </c>
      <c r="P77" s="918">
        <f t="shared" si="7"/>
        <v>0</v>
      </c>
      <c r="Q77" s="919"/>
      <c r="R77" s="917">
        <f t="shared" si="8"/>
        <v>0</v>
      </c>
      <c r="S77" s="918">
        <f t="shared" si="9"/>
        <v>0</v>
      </c>
      <c r="T77" s="919"/>
      <c r="U77" s="917">
        <f t="shared" si="10"/>
        <v>0</v>
      </c>
      <c r="V77" s="918">
        <f t="shared" si="11"/>
        <v>0</v>
      </c>
      <c r="W77" s="919"/>
      <c r="X77" s="917">
        <f t="shared" si="12"/>
        <v>0</v>
      </c>
      <c r="Y77" s="918">
        <f t="shared" si="13"/>
        <v>1.99</v>
      </c>
      <c r="Z77" s="919">
        <v>3336.73</v>
      </c>
      <c r="AA77" s="917">
        <f t="shared" si="14"/>
        <v>3555.63</v>
      </c>
      <c r="AB77" s="918">
        <f t="shared" si="15"/>
        <v>0.15</v>
      </c>
      <c r="AC77" s="919">
        <v>251.51</v>
      </c>
      <c r="AD77" s="917">
        <f t="shared" si="16"/>
        <v>268.01</v>
      </c>
      <c r="AE77" s="918">
        <f t="shared" si="17"/>
        <v>0</v>
      </c>
      <c r="AF77" s="919"/>
      <c r="AG77" s="917">
        <f t="shared" si="18"/>
        <v>0</v>
      </c>
      <c r="AH77" s="918">
        <f t="shared" si="19"/>
        <v>0</v>
      </c>
      <c r="AI77" s="919"/>
      <c r="AJ77" s="917">
        <f t="shared" si="20"/>
        <v>0</v>
      </c>
      <c r="AK77" s="918">
        <f t="shared" si="21"/>
        <v>0</v>
      </c>
      <c r="AL77" s="919"/>
      <c r="AM77" s="917">
        <f t="shared" si="22"/>
        <v>0</v>
      </c>
      <c r="AN77" s="920">
        <v>19242</v>
      </c>
      <c r="AO77" s="917">
        <f t="shared" si="23"/>
        <v>0</v>
      </c>
      <c r="AP77" s="920"/>
      <c r="AQ77" s="916">
        <f t="shared" si="24"/>
        <v>0</v>
      </c>
      <c r="AR77" s="917">
        <f t="shared" si="25"/>
        <v>5610.39</v>
      </c>
      <c r="AS77" s="916">
        <v>12</v>
      </c>
      <c r="AT77" s="921">
        <f t="shared" si="26"/>
        <v>67324.679999999993</v>
      </c>
      <c r="AU77" s="920"/>
      <c r="AV77" s="922">
        <f t="shared" si="27"/>
        <v>673.25</v>
      </c>
      <c r="AW77" s="921">
        <f t="shared" si="28"/>
        <v>67997.929999999993</v>
      </c>
      <c r="AX77" s="921">
        <f t="shared" si="29"/>
        <v>20535.37</v>
      </c>
      <c r="AY77" s="921">
        <f t="shared" si="30"/>
        <v>88533.3</v>
      </c>
      <c r="AZ77" s="923">
        <f t="shared" si="31"/>
        <v>68</v>
      </c>
      <c r="BA77" s="923">
        <f t="shared" si="32"/>
        <v>20.5</v>
      </c>
      <c r="BB77" s="923">
        <f t="shared" si="33"/>
        <v>88.5</v>
      </c>
      <c r="BC77" s="915">
        <v>0.95</v>
      </c>
      <c r="BD77" s="923">
        <f t="shared" si="34"/>
        <v>64.599999999999994</v>
      </c>
      <c r="BE77" s="923">
        <f t="shared" si="35"/>
        <v>19.5</v>
      </c>
      <c r="BF77" s="923">
        <f t="shared" si="36"/>
        <v>84.1</v>
      </c>
      <c r="BG77" s="924">
        <f>'[3]свод (2024)'!$B$116</f>
        <v>0.99758349999999996</v>
      </c>
      <c r="BH77" s="923">
        <f t="shared" si="37"/>
        <v>64.400000000000006</v>
      </c>
      <c r="BI77" s="923">
        <f t="shared" si="38"/>
        <v>19.399999999999999</v>
      </c>
      <c r="BJ77" s="923">
        <f t="shared" si="39"/>
        <v>83.8</v>
      </c>
      <c r="BK77" s="925">
        <f t="shared" si="40"/>
        <v>-3.6</v>
      </c>
      <c r="BL77" s="925">
        <f t="shared" si="40"/>
        <v>-1.1000000000000001</v>
      </c>
      <c r="BM77" s="925">
        <f t="shared" si="41"/>
        <v>-4.7</v>
      </c>
      <c r="BN77" s="925">
        <f t="shared" si="42"/>
        <v>0</v>
      </c>
      <c r="BO77" s="925">
        <f t="shared" si="43"/>
        <v>0</v>
      </c>
      <c r="BP77" s="926"/>
      <c r="BQ77" s="925">
        <f t="shared" si="44"/>
        <v>64.400000000000006</v>
      </c>
      <c r="BR77" s="925">
        <f t="shared" si="44"/>
        <v>19.399999999999999</v>
      </c>
      <c r="BS77" s="925">
        <f t="shared" si="45"/>
        <v>83.8</v>
      </c>
      <c r="BU77" s="928"/>
      <c r="BV77" s="917"/>
      <c r="BW77" s="928"/>
      <c r="BX77" s="928"/>
      <c r="BY77" s="928"/>
      <c r="BZ77" s="917"/>
      <c r="CA77" s="928"/>
      <c r="CB77" s="917"/>
      <c r="CC77" s="928"/>
      <c r="CD77" s="928"/>
      <c r="CE77" s="928"/>
      <c r="CF77" s="929"/>
      <c r="CG77" s="928"/>
      <c r="CH77" s="928"/>
      <c r="CI77" s="928"/>
      <c r="CJ77" s="925"/>
      <c r="CK77" s="925"/>
      <c r="CL77" s="925"/>
      <c r="CM77" s="925"/>
      <c r="CN77" s="925"/>
      <c r="CO77" s="925"/>
      <c r="CP77" s="925"/>
      <c r="CQ77" s="925"/>
      <c r="CR77" s="925"/>
      <c r="CS77" s="917"/>
      <c r="CT77" s="928"/>
      <c r="CU77" s="928"/>
      <c r="CV77" s="928"/>
      <c r="CX77" s="925"/>
      <c r="CY77" s="925"/>
      <c r="CZ77" s="925"/>
      <c r="DB77" s="925"/>
      <c r="DC77" s="925"/>
      <c r="DD77" s="925"/>
      <c r="DE77" s="925"/>
      <c r="DF77" s="925"/>
      <c r="DG77" s="925"/>
      <c r="DH77" s="925"/>
      <c r="DI77" s="925"/>
      <c r="DJ77" s="925"/>
      <c r="DK77" s="925"/>
      <c r="DL77" s="925"/>
      <c r="DM77" s="925"/>
      <c r="DN77" s="925"/>
      <c r="DO77" s="925"/>
      <c r="DP77" s="925"/>
      <c r="DQ77" s="924"/>
      <c r="DR77" s="925"/>
      <c r="DS77" s="925"/>
      <c r="DT77" s="925"/>
      <c r="DV77" s="925"/>
      <c r="DW77" s="925"/>
      <c r="DX77" s="925"/>
      <c r="DY77" s="925"/>
      <c r="DZ77" s="925"/>
      <c r="EA77" s="925"/>
      <c r="EB77" s="925"/>
      <c r="EC77" s="925"/>
      <c r="ED77" s="925"/>
      <c r="EE77" s="925"/>
      <c r="EF77" s="925"/>
      <c r="EG77" s="925"/>
      <c r="EH77" s="925"/>
      <c r="EI77" s="925"/>
      <c r="EJ77" s="925"/>
      <c r="EK77" s="925"/>
      <c r="EL77" s="925"/>
      <c r="EM77" s="925"/>
      <c r="EN77" s="925"/>
      <c r="EO77" s="925"/>
      <c r="EP77" s="925"/>
      <c r="EQ77" s="925"/>
      <c r="ER77" s="925"/>
      <c r="ES77" s="925"/>
      <c r="ET77" s="925"/>
      <c r="EV77" s="924"/>
      <c r="EW77" s="925"/>
      <c r="EX77" s="925"/>
      <c r="EY77" s="925"/>
    </row>
    <row r="78" spans="1:155" s="927" customFormat="1" ht="20.100000000000001" customHeight="1" x14ac:dyDescent="0.25">
      <c r="A78" s="912" t="s">
        <v>286</v>
      </c>
      <c r="B78" s="913" t="s">
        <v>1390</v>
      </c>
      <c r="C78" s="914">
        <v>1</v>
      </c>
      <c r="D78" s="914">
        <v>4336</v>
      </c>
      <c r="E78" s="915">
        <v>1.0549999999999999</v>
      </c>
      <c r="F78" s="916">
        <f t="shared" si="0"/>
        <v>4575</v>
      </c>
      <c r="G78" s="915">
        <v>1.01</v>
      </c>
      <c r="H78" s="916">
        <f t="shared" si="1"/>
        <v>4621</v>
      </c>
      <c r="I78" s="917">
        <f t="shared" si="2"/>
        <v>4621</v>
      </c>
      <c r="J78" s="918">
        <f t="shared" si="3"/>
        <v>0</v>
      </c>
      <c r="K78" s="919"/>
      <c r="L78" s="917">
        <f t="shared" si="4"/>
        <v>0</v>
      </c>
      <c r="M78" s="918">
        <f t="shared" si="5"/>
        <v>0</v>
      </c>
      <c r="N78" s="919"/>
      <c r="O78" s="917">
        <f t="shared" si="6"/>
        <v>0</v>
      </c>
      <c r="P78" s="918">
        <f t="shared" si="7"/>
        <v>0</v>
      </c>
      <c r="Q78" s="919"/>
      <c r="R78" s="917">
        <f t="shared" si="8"/>
        <v>0</v>
      </c>
      <c r="S78" s="918">
        <f t="shared" si="9"/>
        <v>0</v>
      </c>
      <c r="T78" s="919"/>
      <c r="U78" s="917">
        <f t="shared" si="10"/>
        <v>0</v>
      </c>
      <c r="V78" s="918">
        <f t="shared" si="11"/>
        <v>0</v>
      </c>
      <c r="W78" s="919"/>
      <c r="X78" s="917">
        <f t="shared" si="12"/>
        <v>0</v>
      </c>
      <c r="Y78" s="918">
        <f t="shared" si="13"/>
        <v>0</v>
      </c>
      <c r="Z78" s="919"/>
      <c r="AA78" s="917">
        <f t="shared" si="14"/>
        <v>0</v>
      </c>
      <c r="AB78" s="918">
        <f t="shared" si="15"/>
        <v>0</v>
      </c>
      <c r="AC78" s="919"/>
      <c r="AD78" s="917">
        <f t="shared" si="16"/>
        <v>0</v>
      </c>
      <c r="AE78" s="918">
        <f t="shared" si="17"/>
        <v>0</v>
      </c>
      <c r="AF78" s="919"/>
      <c r="AG78" s="917">
        <f t="shared" si="18"/>
        <v>0</v>
      </c>
      <c r="AH78" s="918">
        <f t="shared" si="19"/>
        <v>0</v>
      </c>
      <c r="AI78" s="919"/>
      <c r="AJ78" s="917">
        <f t="shared" si="20"/>
        <v>0</v>
      </c>
      <c r="AK78" s="918">
        <f t="shared" si="21"/>
        <v>0</v>
      </c>
      <c r="AL78" s="919"/>
      <c r="AM78" s="917">
        <f t="shared" si="22"/>
        <v>0</v>
      </c>
      <c r="AN78" s="920">
        <v>19242</v>
      </c>
      <c r="AO78" s="917">
        <f t="shared" si="23"/>
        <v>14621</v>
      </c>
      <c r="AP78" s="920"/>
      <c r="AQ78" s="916">
        <f t="shared" si="24"/>
        <v>0</v>
      </c>
      <c r="AR78" s="917">
        <f t="shared" si="25"/>
        <v>19242</v>
      </c>
      <c r="AS78" s="916">
        <v>12</v>
      </c>
      <c r="AT78" s="921">
        <f t="shared" si="26"/>
        <v>230904</v>
      </c>
      <c r="AU78" s="920">
        <f>AT78*0.085</f>
        <v>19626.84</v>
      </c>
      <c r="AV78" s="922">
        <f t="shared" si="27"/>
        <v>2309.04</v>
      </c>
      <c r="AW78" s="921">
        <f t="shared" si="28"/>
        <v>252839.88</v>
      </c>
      <c r="AX78" s="921">
        <f t="shared" si="29"/>
        <v>76357.64</v>
      </c>
      <c r="AY78" s="921">
        <f t="shared" si="30"/>
        <v>329197.52</v>
      </c>
      <c r="AZ78" s="923">
        <f t="shared" si="31"/>
        <v>252.8</v>
      </c>
      <c r="BA78" s="923">
        <f t="shared" si="32"/>
        <v>76.3</v>
      </c>
      <c r="BB78" s="923">
        <f t="shared" si="33"/>
        <v>329.1</v>
      </c>
      <c r="BC78" s="915">
        <v>0.95</v>
      </c>
      <c r="BD78" s="923">
        <f t="shared" si="34"/>
        <v>240.2</v>
      </c>
      <c r="BE78" s="923">
        <f t="shared" si="35"/>
        <v>72.5</v>
      </c>
      <c r="BF78" s="923">
        <f t="shared" si="36"/>
        <v>312.7</v>
      </c>
      <c r="BG78" s="924">
        <f>'[3]свод (2024)'!$B$116</f>
        <v>0.99758349999999996</v>
      </c>
      <c r="BH78" s="923">
        <f t="shared" si="37"/>
        <v>239.6</v>
      </c>
      <c r="BI78" s="923">
        <f t="shared" si="38"/>
        <v>72.400000000000006</v>
      </c>
      <c r="BJ78" s="923">
        <f t="shared" si="39"/>
        <v>312</v>
      </c>
      <c r="BK78" s="925">
        <f t="shared" si="40"/>
        <v>-13.2</v>
      </c>
      <c r="BL78" s="925">
        <f t="shared" si="40"/>
        <v>-3.9</v>
      </c>
      <c r="BM78" s="925">
        <f t="shared" si="41"/>
        <v>-17.100000000000001</v>
      </c>
      <c r="BN78" s="925">
        <f t="shared" si="42"/>
        <v>0</v>
      </c>
      <c r="BO78" s="925">
        <f t="shared" si="43"/>
        <v>0</v>
      </c>
      <c r="BP78" s="926"/>
      <c r="BQ78" s="925">
        <f t="shared" si="44"/>
        <v>239.6</v>
      </c>
      <c r="BR78" s="925">
        <f t="shared" si="44"/>
        <v>72.400000000000006</v>
      </c>
      <c r="BS78" s="925">
        <f t="shared" si="45"/>
        <v>312</v>
      </c>
      <c r="BU78" s="928"/>
      <c r="BV78" s="917"/>
      <c r="BW78" s="928"/>
      <c r="BX78" s="928"/>
      <c r="BY78" s="928"/>
      <c r="BZ78" s="917"/>
      <c r="CA78" s="928"/>
      <c r="CB78" s="917"/>
      <c r="CC78" s="928"/>
      <c r="CD78" s="928"/>
      <c r="CE78" s="928"/>
      <c r="CF78" s="929"/>
      <c r="CG78" s="928"/>
      <c r="CH78" s="928"/>
      <c r="CI78" s="928"/>
      <c r="CJ78" s="925"/>
      <c r="CK78" s="925"/>
      <c r="CL78" s="925"/>
      <c r="CM78" s="925"/>
      <c r="CN78" s="925"/>
      <c r="CO78" s="925"/>
      <c r="CP78" s="925"/>
      <c r="CQ78" s="925"/>
      <c r="CR78" s="925"/>
      <c r="CS78" s="917"/>
      <c r="CT78" s="928"/>
      <c r="CU78" s="928"/>
      <c r="CV78" s="928"/>
      <c r="CX78" s="925"/>
      <c r="CY78" s="925"/>
      <c r="CZ78" s="925"/>
      <c r="DB78" s="925"/>
      <c r="DC78" s="925"/>
      <c r="DD78" s="925"/>
      <c r="DE78" s="925"/>
      <c r="DF78" s="925"/>
      <c r="DG78" s="925"/>
      <c r="DH78" s="925"/>
      <c r="DI78" s="925"/>
      <c r="DJ78" s="925"/>
      <c r="DK78" s="925"/>
      <c r="DL78" s="925"/>
      <c r="DM78" s="925"/>
      <c r="DN78" s="925"/>
      <c r="DO78" s="925"/>
      <c r="DP78" s="925"/>
      <c r="DQ78" s="924"/>
      <c r="DR78" s="925"/>
      <c r="DS78" s="925"/>
      <c r="DT78" s="925"/>
      <c r="DV78" s="925"/>
      <c r="DW78" s="925"/>
      <c r="DX78" s="925"/>
      <c r="DY78" s="925"/>
      <c r="DZ78" s="925"/>
      <c r="EA78" s="925"/>
      <c r="EB78" s="925"/>
      <c r="EC78" s="925"/>
      <c r="ED78" s="925"/>
      <c r="EE78" s="925"/>
      <c r="EF78" s="925"/>
      <c r="EG78" s="925"/>
      <c r="EH78" s="925"/>
      <c r="EI78" s="925"/>
      <c r="EJ78" s="925"/>
      <c r="EK78" s="925"/>
      <c r="EL78" s="925"/>
      <c r="EM78" s="925"/>
      <c r="EN78" s="925"/>
      <c r="EO78" s="925"/>
      <c r="EP78" s="925"/>
      <c r="EQ78" s="925"/>
      <c r="ER78" s="925"/>
      <c r="ES78" s="925"/>
      <c r="ET78" s="925"/>
      <c r="EV78" s="924"/>
      <c r="EW78" s="925"/>
      <c r="EX78" s="925"/>
      <c r="EY78" s="925"/>
    </row>
    <row r="79" spans="1:155" s="927" customFormat="1" ht="20.100000000000001" customHeight="1" x14ac:dyDescent="0.25">
      <c r="A79" s="931" t="s">
        <v>286</v>
      </c>
      <c r="B79" s="932"/>
      <c r="C79" s="933">
        <f>SUM(C67:C78)</f>
        <v>18.75</v>
      </c>
      <c r="D79" s="933">
        <f t="shared" ref="D79:BO79" si="60">SUM(D67:D78)</f>
        <v>148784</v>
      </c>
      <c r="E79" s="934">
        <f t="shared" si="60"/>
        <v>12.66</v>
      </c>
      <c r="F79" s="935">
        <f t="shared" si="60"/>
        <v>156973</v>
      </c>
      <c r="G79" s="934">
        <f t="shared" si="60"/>
        <v>12.12</v>
      </c>
      <c r="H79" s="935">
        <f t="shared" si="60"/>
        <v>158548</v>
      </c>
      <c r="I79" s="936">
        <f t="shared" si="60"/>
        <v>265430.5</v>
      </c>
      <c r="J79" s="937">
        <f t="shared" si="60"/>
        <v>0.59341999999999995</v>
      </c>
      <c r="K79" s="938">
        <f t="shared" si="60"/>
        <v>26752.29</v>
      </c>
      <c r="L79" s="936">
        <f t="shared" si="60"/>
        <v>28508.21</v>
      </c>
      <c r="M79" s="937">
        <f t="shared" si="60"/>
        <v>0</v>
      </c>
      <c r="N79" s="938">
        <f t="shared" si="60"/>
        <v>0</v>
      </c>
      <c r="O79" s="936">
        <f t="shared" si="60"/>
        <v>0</v>
      </c>
      <c r="P79" s="937">
        <f t="shared" si="60"/>
        <v>0</v>
      </c>
      <c r="Q79" s="938">
        <f t="shared" si="60"/>
        <v>0</v>
      </c>
      <c r="R79" s="936">
        <f t="shared" si="60"/>
        <v>0</v>
      </c>
      <c r="S79" s="937">
        <f t="shared" si="60"/>
        <v>0</v>
      </c>
      <c r="T79" s="938">
        <f t="shared" si="60"/>
        <v>0</v>
      </c>
      <c r="U79" s="936">
        <f t="shared" si="60"/>
        <v>0</v>
      </c>
      <c r="V79" s="937">
        <f t="shared" si="60"/>
        <v>0</v>
      </c>
      <c r="W79" s="938">
        <f t="shared" si="60"/>
        <v>0</v>
      </c>
      <c r="X79" s="936">
        <f t="shared" si="60"/>
        <v>0</v>
      </c>
      <c r="Y79" s="937">
        <f t="shared" si="60"/>
        <v>8.8049999999999997</v>
      </c>
      <c r="Z79" s="938">
        <f t="shared" si="60"/>
        <v>49695.41</v>
      </c>
      <c r="AA79" s="936">
        <f t="shared" si="60"/>
        <v>52957.96</v>
      </c>
      <c r="AB79" s="937">
        <f t="shared" si="60"/>
        <v>1.25336</v>
      </c>
      <c r="AC79" s="938">
        <f t="shared" si="60"/>
        <v>29611.1</v>
      </c>
      <c r="AD79" s="936">
        <f t="shared" si="60"/>
        <v>31554.1</v>
      </c>
      <c r="AE79" s="937">
        <f t="shared" si="60"/>
        <v>1.14E-2</v>
      </c>
      <c r="AF79" s="938">
        <f t="shared" si="60"/>
        <v>1422.63</v>
      </c>
      <c r="AG79" s="936">
        <f t="shared" si="60"/>
        <v>1515.55</v>
      </c>
      <c r="AH79" s="937">
        <f t="shared" si="60"/>
        <v>0</v>
      </c>
      <c r="AI79" s="938">
        <f t="shared" si="60"/>
        <v>0</v>
      </c>
      <c r="AJ79" s="936">
        <f t="shared" si="60"/>
        <v>0</v>
      </c>
      <c r="AK79" s="937">
        <f t="shared" si="60"/>
        <v>0</v>
      </c>
      <c r="AL79" s="938">
        <f t="shared" si="60"/>
        <v>0</v>
      </c>
      <c r="AM79" s="936">
        <f t="shared" si="60"/>
        <v>0</v>
      </c>
      <c r="AN79" s="933">
        <f t="shared" si="60"/>
        <v>230904</v>
      </c>
      <c r="AO79" s="936">
        <f t="shared" si="60"/>
        <v>36092.720000000001</v>
      </c>
      <c r="AP79" s="933">
        <f t="shared" si="60"/>
        <v>0</v>
      </c>
      <c r="AQ79" s="935">
        <f t="shared" si="60"/>
        <v>0</v>
      </c>
      <c r="AR79" s="936">
        <f t="shared" si="60"/>
        <v>416059.04</v>
      </c>
      <c r="AS79" s="935">
        <f t="shared" si="60"/>
        <v>144</v>
      </c>
      <c r="AT79" s="939">
        <f t="shared" si="60"/>
        <v>4992708.4800000004</v>
      </c>
      <c r="AU79" s="933">
        <f t="shared" si="60"/>
        <v>19626.84</v>
      </c>
      <c r="AV79" s="940">
        <f t="shared" si="60"/>
        <v>49927.08</v>
      </c>
      <c r="AW79" s="939">
        <f t="shared" si="60"/>
        <v>5062262.4000000004</v>
      </c>
      <c r="AX79" s="939">
        <f t="shared" si="60"/>
        <v>1528803.23</v>
      </c>
      <c r="AY79" s="939">
        <f t="shared" si="60"/>
        <v>6591065.6299999999</v>
      </c>
      <c r="AZ79" s="941">
        <f t="shared" si="60"/>
        <v>5062.2</v>
      </c>
      <c r="BA79" s="941">
        <f t="shared" si="60"/>
        <v>1528.6</v>
      </c>
      <c r="BB79" s="941">
        <f t="shared" si="60"/>
        <v>6590.8</v>
      </c>
      <c r="BC79" s="934">
        <f t="shared" si="60"/>
        <v>11.4</v>
      </c>
      <c r="BD79" s="941">
        <f t="shared" si="60"/>
        <v>4809</v>
      </c>
      <c r="BE79" s="941">
        <f t="shared" si="60"/>
        <v>1452.3</v>
      </c>
      <c r="BF79" s="941">
        <f t="shared" si="60"/>
        <v>6261.3</v>
      </c>
      <c r="BG79" s="942">
        <f>'[3]свод (2024)'!$B$116</f>
        <v>0.99758349999999996</v>
      </c>
      <c r="BH79" s="941">
        <f t="shared" si="60"/>
        <v>4797.3999999999996</v>
      </c>
      <c r="BI79" s="941">
        <f t="shared" si="60"/>
        <v>1448.6</v>
      </c>
      <c r="BJ79" s="941">
        <f t="shared" si="60"/>
        <v>6246</v>
      </c>
      <c r="BK79" s="943">
        <f t="shared" si="60"/>
        <v>-264.8</v>
      </c>
      <c r="BL79" s="943">
        <f t="shared" si="60"/>
        <v>-80</v>
      </c>
      <c r="BM79" s="943">
        <f t="shared" si="60"/>
        <v>-344.8</v>
      </c>
      <c r="BN79" s="943">
        <f t="shared" si="60"/>
        <v>0</v>
      </c>
      <c r="BO79" s="943">
        <f t="shared" si="60"/>
        <v>0</v>
      </c>
      <c r="BP79" s="944">
        <f t="shared" ref="BP79:BS79" si="61">SUM(BP67:BP78)</f>
        <v>0</v>
      </c>
      <c r="BQ79" s="943">
        <f t="shared" si="61"/>
        <v>4797.3999999999996</v>
      </c>
      <c r="BR79" s="943">
        <f t="shared" si="61"/>
        <v>1448.6</v>
      </c>
      <c r="BS79" s="943">
        <f t="shared" si="61"/>
        <v>6246</v>
      </c>
      <c r="BU79" s="945">
        <f>SUM(BU67:BU78)</f>
        <v>11.5</v>
      </c>
      <c r="BV79" s="946">
        <v>4.8</v>
      </c>
      <c r="BW79" s="947">
        <f t="shared" ref="BW79" si="62">BU79-BV79</f>
        <v>6.7</v>
      </c>
      <c r="BX79" s="945">
        <f>SUM(BX67:BX78)</f>
        <v>2706652.94</v>
      </c>
      <c r="BY79" s="947">
        <f>BX79/BU79*BW79</f>
        <v>1576919.54</v>
      </c>
      <c r="BZ79" s="946">
        <v>4</v>
      </c>
      <c r="CA79" s="947">
        <f t="shared" ref="CA79" si="63">BY79/BZ79/12</f>
        <v>32852.49</v>
      </c>
      <c r="CB79" s="946">
        <v>41718.199999999997</v>
      </c>
      <c r="CC79" s="947">
        <f t="shared" ref="CC79" si="64">(CB79-CA79)*BZ79*12</f>
        <v>425554.08</v>
      </c>
      <c r="CD79" s="947">
        <f t="shared" si="52"/>
        <v>128517.33</v>
      </c>
      <c r="CE79" s="947">
        <f t="shared" ref="CE79" si="65">CC79+CD79</f>
        <v>554071.41</v>
      </c>
      <c r="CF79" s="948">
        <f>SUM(CF67:CF78)</f>
        <v>425554.07</v>
      </c>
      <c r="CG79" s="949">
        <f>ROUND(CC79/1000,1)</f>
        <v>425.6</v>
      </c>
      <c r="CH79" s="949">
        <f>ROUND(CD79/1000,1)</f>
        <v>128.5</v>
      </c>
      <c r="CI79" s="950">
        <f>CG79+CH79</f>
        <v>554.1</v>
      </c>
      <c r="CJ79" s="951">
        <f>BQ79+CG79</f>
        <v>5223</v>
      </c>
      <c r="CK79" s="951">
        <f>BR79+CH79</f>
        <v>1577.1</v>
      </c>
      <c r="CL79" s="952">
        <f>CJ79+CK79</f>
        <v>6800.1</v>
      </c>
      <c r="CM79" s="951">
        <f>0/6*12</f>
        <v>0</v>
      </c>
      <c r="CN79" s="951">
        <f>CM79*0.302</f>
        <v>0</v>
      </c>
      <c r="CO79" s="952">
        <f>CM79+CN79</f>
        <v>0</v>
      </c>
      <c r="CP79" s="951">
        <f>ROUND(CJ79-CM79,1)</f>
        <v>5223</v>
      </c>
      <c r="CQ79" s="951">
        <f>ROUND(CK79-CN79,1)</f>
        <v>1577.1</v>
      </c>
      <c r="CR79" s="952">
        <f>CP79+CQ79</f>
        <v>6800.1</v>
      </c>
      <c r="CS79" s="946">
        <v>38663.800000000003</v>
      </c>
      <c r="CT79" s="953">
        <f>(CB79-CS79)*BZ79*12/1000</f>
        <v>146.6</v>
      </c>
      <c r="CU79" s="953">
        <f>CT79*0.302</f>
        <v>44.3</v>
      </c>
      <c r="CV79" s="953">
        <f>CT79+CU79</f>
        <v>190.9</v>
      </c>
      <c r="CX79" s="951">
        <f>(BY79+CC79)/1000-CM79</f>
        <v>2002.5</v>
      </c>
      <c r="CY79" s="951">
        <f>CX79*0.302</f>
        <v>604.79999999999995</v>
      </c>
      <c r="CZ79" s="952">
        <f>CX79+CY79</f>
        <v>2607.3000000000002</v>
      </c>
      <c r="DB79" s="954"/>
      <c r="DC79" s="954"/>
      <c r="DD79" s="921"/>
      <c r="DE79" s="954"/>
      <c r="DF79" s="954"/>
      <c r="DG79" s="921"/>
      <c r="DH79" s="954"/>
      <c r="DI79" s="954"/>
      <c r="DJ79" s="921"/>
      <c r="DK79" s="954"/>
      <c r="DL79" s="954"/>
      <c r="DM79" s="921"/>
      <c r="DN79" s="954"/>
      <c r="DO79" s="954"/>
      <c r="DP79" s="921"/>
      <c r="DQ79" s="942">
        <f>$DQ$239</f>
        <v>0.97850278000000002</v>
      </c>
      <c r="DR79" s="951">
        <f>ROUND(CP79*DQ79,1)</f>
        <v>5110.7</v>
      </c>
      <c r="DS79" s="951">
        <f>ROUND(CQ79*DQ79,1)</f>
        <v>1543.2</v>
      </c>
      <c r="DT79" s="952">
        <f>DR79+DS79</f>
        <v>6653.9</v>
      </c>
      <c r="DV79" s="921"/>
      <c r="DW79" s="921"/>
      <c r="DX79" s="921"/>
      <c r="DY79" s="921"/>
      <c r="DZ79" s="921"/>
      <c r="EA79" s="921"/>
      <c r="EB79" s="921"/>
      <c r="EC79" s="921"/>
      <c r="ED79" s="921"/>
      <c r="EE79" s="921"/>
      <c r="EF79" s="921"/>
      <c r="EG79" s="921"/>
      <c r="EH79" s="921"/>
      <c r="EI79" s="921"/>
      <c r="EJ79" s="921"/>
      <c r="EK79" s="921"/>
      <c r="EL79" s="921"/>
      <c r="EM79" s="921"/>
      <c r="EN79" s="921"/>
      <c r="EO79" s="921"/>
      <c r="EP79" s="921"/>
      <c r="EQ79" s="954"/>
      <c r="ER79" s="954"/>
      <c r="ES79" s="954"/>
      <c r="ET79" s="954"/>
      <c r="EV79" s="942">
        <f>EV239</f>
        <v>0.98074006899999999</v>
      </c>
      <c r="EW79" s="951">
        <f>ROUND(CP79*EV79,1)</f>
        <v>5122.3999999999996</v>
      </c>
      <c r="EX79" s="951">
        <f>ROUND(CQ79*EV79,1)</f>
        <v>1546.7</v>
      </c>
      <c r="EY79" s="952">
        <f>EW79+EX79</f>
        <v>6669.1</v>
      </c>
    </row>
    <row r="80" spans="1:155" s="927" customFormat="1" ht="15.75" x14ac:dyDescent="0.25">
      <c r="A80" s="931"/>
      <c r="B80" s="932" t="s">
        <v>406</v>
      </c>
      <c r="C80" s="981">
        <f>C74</f>
        <v>9.5</v>
      </c>
      <c r="D80" s="938"/>
      <c r="E80" s="983"/>
      <c r="F80" s="936"/>
      <c r="G80" s="983"/>
      <c r="H80" s="984">
        <f t="shared" ref="H80:I80" si="66">H74</f>
        <v>13994</v>
      </c>
      <c r="I80" s="984">
        <f t="shared" si="66"/>
        <v>132943</v>
      </c>
      <c r="J80" s="937"/>
      <c r="K80" s="938"/>
      <c r="L80" s="984">
        <f>L74</f>
        <v>22390.26</v>
      </c>
      <c r="M80" s="937"/>
      <c r="N80" s="938"/>
      <c r="O80" s="984">
        <f>O74</f>
        <v>0</v>
      </c>
      <c r="P80" s="937"/>
      <c r="Q80" s="938"/>
      <c r="R80" s="984">
        <f>R74</f>
        <v>0</v>
      </c>
      <c r="S80" s="937"/>
      <c r="T80" s="938"/>
      <c r="U80" s="984">
        <f>U74</f>
        <v>0</v>
      </c>
      <c r="V80" s="937"/>
      <c r="W80" s="938"/>
      <c r="X80" s="984">
        <f>X74</f>
        <v>0</v>
      </c>
      <c r="Y80" s="937"/>
      <c r="Z80" s="938"/>
      <c r="AA80" s="984">
        <f>AA74</f>
        <v>0</v>
      </c>
      <c r="AB80" s="937"/>
      <c r="AC80" s="938"/>
      <c r="AD80" s="984">
        <f>AD74</f>
        <v>17064.560000000001</v>
      </c>
      <c r="AE80" s="937"/>
      <c r="AF80" s="938"/>
      <c r="AG80" s="984">
        <f>AG74</f>
        <v>1515.55</v>
      </c>
      <c r="AH80" s="937"/>
      <c r="AI80" s="938"/>
      <c r="AJ80" s="984">
        <f>AJ74</f>
        <v>0</v>
      </c>
      <c r="AK80" s="937"/>
      <c r="AL80" s="938"/>
      <c r="AM80" s="984">
        <f>AM74</f>
        <v>0</v>
      </c>
      <c r="AN80" s="938"/>
      <c r="AO80" s="984">
        <f>AO74</f>
        <v>8885.6299999999992</v>
      </c>
      <c r="AP80" s="938"/>
      <c r="AQ80" s="984">
        <f t="shared" ref="AQ80:AR80" si="67">AQ74</f>
        <v>0</v>
      </c>
      <c r="AR80" s="984">
        <f t="shared" si="67"/>
        <v>182799</v>
      </c>
      <c r="AS80" s="936"/>
      <c r="AT80" s="984">
        <f t="shared" ref="AT80:AW80" si="68">AT74</f>
        <v>2193588</v>
      </c>
      <c r="AU80" s="984">
        <f t="shared" si="68"/>
        <v>0</v>
      </c>
      <c r="AV80" s="984">
        <f t="shared" si="68"/>
        <v>21935.88</v>
      </c>
      <c r="AW80" s="984">
        <f t="shared" si="68"/>
        <v>2215523.88</v>
      </c>
      <c r="AX80" s="939"/>
      <c r="AY80" s="939"/>
      <c r="AZ80" s="941"/>
      <c r="BA80" s="941"/>
      <c r="BB80" s="941"/>
      <c r="BC80" s="934"/>
      <c r="BD80" s="941"/>
      <c r="BE80" s="941"/>
      <c r="BF80" s="941"/>
      <c r="BG80" s="942"/>
      <c r="BH80" s="941"/>
      <c r="BI80" s="941"/>
      <c r="BJ80" s="941"/>
      <c r="BK80" s="943"/>
      <c r="BL80" s="943"/>
      <c r="BM80" s="943"/>
      <c r="BN80" s="943"/>
      <c r="BO80" s="943"/>
      <c r="BP80" s="944"/>
      <c r="BQ80" s="943"/>
      <c r="BR80" s="943"/>
      <c r="BS80" s="943"/>
      <c r="BU80" s="945"/>
      <c r="BV80" s="946"/>
      <c r="BW80" s="947"/>
      <c r="BX80" s="945"/>
      <c r="BY80" s="947"/>
      <c r="BZ80" s="946"/>
      <c r="CA80" s="947"/>
      <c r="CB80" s="946"/>
      <c r="CC80" s="947"/>
      <c r="CD80" s="947"/>
      <c r="CE80" s="947"/>
      <c r="CF80" s="948"/>
      <c r="CG80" s="949"/>
      <c r="CH80" s="949"/>
      <c r="CI80" s="950"/>
      <c r="CJ80" s="951"/>
      <c r="CK80" s="951"/>
      <c r="CL80" s="952"/>
      <c r="CM80" s="951"/>
      <c r="CN80" s="951"/>
      <c r="CO80" s="952"/>
      <c r="CP80" s="951"/>
      <c r="CQ80" s="951"/>
      <c r="CR80" s="952"/>
      <c r="CS80" s="946"/>
      <c r="CT80" s="953"/>
      <c r="CU80" s="953"/>
      <c r="CV80" s="953"/>
      <c r="CX80" s="951"/>
      <c r="CY80" s="951"/>
      <c r="CZ80" s="952"/>
      <c r="DB80" s="954"/>
      <c r="DC80" s="954"/>
      <c r="DD80" s="921"/>
      <c r="DE80" s="954"/>
      <c r="DF80" s="954"/>
      <c r="DG80" s="921"/>
      <c r="DH80" s="954"/>
      <c r="DI80" s="954"/>
      <c r="DJ80" s="921"/>
      <c r="DK80" s="954"/>
      <c r="DL80" s="954"/>
      <c r="DM80" s="921"/>
      <c r="DN80" s="954"/>
      <c r="DO80" s="954"/>
      <c r="DP80" s="921"/>
      <c r="DQ80" s="942"/>
      <c r="DR80" s="951"/>
      <c r="DS80" s="951"/>
      <c r="DT80" s="952"/>
      <c r="DV80" s="921"/>
      <c r="DW80" s="921"/>
      <c r="DX80" s="921"/>
      <c r="DY80" s="921"/>
      <c r="DZ80" s="921"/>
      <c r="EA80" s="921"/>
      <c r="EB80" s="921"/>
      <c r="EC80" s="921"/>
      <c r="ED80" s="921"/>
      <c r="EE80" s="921"/>
      <c r="EF80" s="921"/>
      <c r="EG80" s="921"/>
      <c r="EH80" s="921"/>
      <c r="EI80" s="921"/>
      <c r="EJ80" s="921"/>
      <c r="EK80" s="921"/>
      <c r="EL80" s="921"/>
      <c r="EM80" s="921"/>
      <c r="EN80" s="921"/>
      <c r="EO80" s="921"/>
      <c r="EP80" s="921"/>
      <c r="EQ80" s="954"/>
      <c r="ER80" s="954"/>
      <c r="ES80" s="954"/>
      <c r="ET80" s="954"/>
      <c r="EV80" s="942"/>
      <c r="EW80" s="951"/>
      <c r="EX80" s="951"/>
      <c r="EY80" s="952"/>
    </row>
    <row r="81" spans="1:155" s="927" customFormat="1" ht="15.75" x14ac:dyDescent="0.25">
      <c r="A81" s="931"/>
      <c r="B81" s="932" t="s">
        <v>403</v>
      </c>
      <c r="C81" s="981">
        <f>C73+C75</f>
        <v>2</v>
      </c>
      <c r="D81" s="938"/>
      <c r="E81" s="983"/>
      <c r="F81" s="936"/>
      <c r="G81" s="983"/>
      <c r="H81" s="984">
        <f t="shared" ref="H81:I81" si="69">H73+H75</f>
        <v>28670</v>
      </c>
      <c r="I81" s="984">
        <f t="shared" si="69"/>
        <v>28670</v>
      </c>
      <c r="J81" s="937"/>
      <c r="K81" s="938"/>
      <c r="L81" s="984">
        <f>L73+L75</f>
        <v>6117.95</v>
      </c>
      <c r="M81" s="937"/>
      <c r="N81" s="938"/>
      <c r="O81" s="984">
        <f>O73+O75</f>
        <v>0</v>
      </c>
      <c r="P81" s="937"/>
      <c r="Q81" s="938"/>
      <c r="R81" s="984">
        <f>R73+R75</f>
        <v>0</v>
      </c>
      <c r="S81" s="937"/>
      <c r="T81" s="938"/>
      <c r="U81" s="984">
        <f>U73+U75</f>
        <v>0</v>
      </c>
      <c r="V81" s="937"/>
      <c r="W81" s="938"/>
      <c r="X81" s="984">
        <f>X73+X75</f>
        <v>0</v>
      </c>
      <c r="Y81" s="937"/>
      <c r="Z81" s="938"/>
      <c r="AA81" s="984">
        <f>AA73+AA75</f>
        <v>0</v>
      </c>
      <c r="AB81" s="937"/>
      <c r="AC81" s="938"/>
      <c r="AD81" s="984">
        <f>AD73+AD75</f>
        <v>2935.2</v>
      </c>
      <c r="AE81" s="937"/>
      <c r="AF81" s="938"/>
      <c r="AG81" s="984">
        <f>AG73+AG75</f>
        <v>0</v>
      </c>
      <c r="AH81" s="937"/>
      <c r="AI81" s="938"/>
      <c r="AJ81" s="984">
        <f>AJ73+AJ75</f>
        <v>0</v>
      </c>
      <c r="AK81" s="937"/>
      <c r="AL81" s="938"/>
      <c r="AM81" s="984">
        <f>AM73+AM75</f>
        <v>0</v>
      </c>
      <c r="AN81" s="938"/>
      <c r="AO81" s="984">
        <f>AO73+AO75</f>
        <v>2799.05</v>
      </c>
      <c r="AP81" s="938"/>
      <c r="AQ81" s="984">
        <f t="shared" ref="AQ81:AR81" si="70">AQ73+AQ75</f>
        <v>0</v>
      </c>
      <c r="AR81" s="984">
        <f t="shared" si="70"/>
        <v>40522.199999999997</v>
      </c>
      <c r="AS81" s="936"/>
      <c r="AT81" s="984">
        <f t="shared" ref="AT81:AW81" si="71">AT73+AT75</f>
        <v>486266.4</v>
      </c>
      <c r="AU81" s="984">
        <f t="shared" si="71"/>
        <v>0</v>
      </c>
      <c r="AV81" s="984">
        <f t="shared" si="71"/>
        <v>4862.66</v>
      </c>
      <c r="AW81" s="984">
        <f t="shared" si="71"/>
        <v>491129.06</v>
      </c>
      <c r="AX81" s="939"/>
      <c r="AY81" s="939"/>
      <c r="AZ81" s="941"/>
      <c r="BA81" s="941"/>
      <c r="BB81" s="941"/>
      <c r="BC81" s="934"/>
      <c r="BD81" s="941"/>
      <c r="BE81" s="941"/>
      <c r="BF81" s="941"/>
      <c r="BG81" s="942"/>
      <c r="BH81" s="941"/>
      <c r="BI81" s="941"/>
      <c r="BJ81" s="941"/>
      <c r="BK81" s="943"/>
      <c r="BL81" s="943"/>
      <c r="BM81" s="943"/>
      <c r="BN81" s="943"/>
      <c r="BO81" s="943"/>
      <c r="BP81" s="944"/>
      <c r="BQ81" s="943"/>
      <c r="BR81" s="943"/>
      <c r="BS81" s="943"/>
      <c r="BU81" s="945"/>
      <c r="BV81" s="946"/>
      <c r="BW81" s="947"/>
      <c r="BX81" s="945"/>
      <c r="BY81" s="947"/>
      <c r="BZ81" s="946"/>
      <c r="CA81" s="947"/>
      <c r="CB81" s="946"/>
      <c r="CC81" s="947"/>
      <c r="CD81" s="947"/>
      <c r="CE81" s="947"/>
      <c r="CF81" s="948"/>
      <c r="CG81" s="949"/>
      <c r="CH81" s="949"/>
      <c r="CI81" s="950"/>
      <c r="CJ81" s="951"/>
      <c r="CK81" s="951"/>
      <c r="CL81" s="952"/>
      <c r="CM81" s="951"/>
      <c r="CN81" s="951"/>
      <c r="CO81" s="952"/>
      <c r="CP81" s="951"/>
      <c r="CQ81" s="951"/>
      <c r="CR81" s="952"/>
      <c r="CS81" s="946"/>
      <c r="CT81" s="953"/>
      <c r="CU81" s="953"/>
      <c r="CV81" s="953"/>
      <c r="CX81" s="951"/>
      <c r="CY81" s="951"/>
      <c r="CZ81" s="952"/>
      <c r="DB81" s="954"/>
      <c r="DC81" s="954"/>
      <c r="DD81" s="921"/>
      <c r="DE81" s="954"/>
      <c r="DF81" s="954"/>
      <c r="DG81" s="921"/>
      <c r="DH81" s="954"/>
      <c r="DI81" s="954"/>
      <c r="DJ81" s="921"/>
      <c r="DK81" s="954"/>
      <c r="DL81" s="954"/>
      <c r="DM81" s="921"/>
      <c r="DN81" s="954"/>
      <c r="DO81" s="954"/>
      <c r="DP81" s="921"/>
      <c r="DQ81" s="942"/>
      <c r="DR81" s="951"/>
      <c r="DS81" s="951"/>
      <c r="DT81" s="952"/>
      <c r="DV81" s="921"/>
      <c r="DW81" s="921"/>
      <c r="DX81" s="921"/>
      <c r="DY81" s="921"/>
      <c r="DZ81" s="921"/>
      <c r="EA81" s="921"/>
      <c r="EB81" s="921"/>
      <c r="EC81" s="921"/>
      <c r="ED81" s="921"/>
      <c r="EE81" s="921"/>
      <c r="EF81" s="921"/>
      <c r="EG81" s="921"/>
      <c r="EH81" s="921"/>
      <c r="EI81" s="921"/>
      <c r="EJ81" s="921"/>
      <c r="EK81" s="921"/>
      <c r="EL81" s="921"/>
      <c r="EM81" s="921"/>
      <c r="EN81" s="921"/>
      <c r="EO81" s="921"/>
      <c r="EP81" s="921"/>
      <c r="EQ81" s="954"/>
      <c r="ER81" s="954"/>
      <c r="ES81" s="954"/>
      <c r="ET81" s="954"/>
      <c r="EV81" s="942"/>
      <c r="EW81" s="951"/>
      <c r="EX81" s="951"/>
      <c r="EY81" s="952"/>
    </row>
    <row r="82" spans="1:155" s="927" customFormat="1" ht="15.75" x14ac:dyDescent="0.25">
      <c r="A82" s="931"/>
      <c r="B82" s="932" t="s">
        <v>404</v>
      </c>
      <c r="C82" s="981">
        <f>C67+C68+C69+C70+C71+C72+C76+C77+C78</f>
        <v>7.25</v>
      </c>
      <c r="D82" s="938"/>
      <c r="E82" s="983"/>
      <c r="F82" s="936"/>
      <c r="G82" s="983"/>
      <c r="H82" s="984">
        <f t="shared" ref="H82:I82" si="72">H67+H68+H69+H70+H71+H72+H76+H77+H78</f>
        <v>115884</v>
      </c>
      <c r="I82" s="984">
        <f t="shared" si="72"/>
        <v>103817.5</v>
      </c>
      <c r="J82" s="937"/>
      <c r="K82" s="938"/>
      <c r="L82" s="984">
        <f>L67+L68+L69+L70+L71+L72+L76+L77+L78</f>
        <v>0</v>
      </c>
      <c r="M82" s="937"/>
      <c r="N82" s="938"/>
      <c r="O82" s="984">
        <f>O67+O68+O69+O70+O71+O72+O76+O77+O78</f>
        <v>0</v>
      </c>
      <c r="P82" s="937"/>
      <c r="Q82" s="938"/>
      <c r="R82" s="984">
        <f>R67+R68+R69+R70+R71+R72+R76+R77+R78</f>
        <v>0</v>
      </c>
      <c r="S82" s="937"/>
      <c r="T82" s="938"/>
      <c r="U82" s="984">
        <f>U67+U68+U69+U70+U71+U72+U76+U77+U78</f>
        <v>0</v>
      </c>
      <c r="V82" s="937"/>
      <c r="W82" s="938"/>
      <c r="X82" s="984">
        <f>X67+X68+X69+X70+X71+X72+X76+X77+X78</f>
        <v>0</v>
      </c>
      <c r="Y82" s="937"/>
      <c r="Z82" s="938"/>
      <c r="AA82" s="984">
        <f>AA67+AA68+AA69+AA70+AA71+AA72+AA76+AA77+AA78</f>
        <v>52957.96</v>
      </c>
      <c r="AB82" s="937"/>
      <c r="AC82" s="938"/>
      <c r="AD82" s="984">
        <f>AD67+AD68+AD69+AD70+AD71+AD72+AD76+AD77+AD78</f>
        <v>11554.34</v>
      </c>
      <c r="AE82" s="937"/>
      <c r="AF82" s="938"/>
      <c r="AG82" s="984">
        <f>AG67+AG68+AG69+AG70+AG71+AG72+AG76+AG77+AG78</f>
        <v>0</v>
      </c>
      <c r="AH82" s="937"/>
      <c r="AI82" s="938"/>
      <c r="AJ82" s="984">
        <f>AJ67+AJ68+AJ69+AJ70+AJ71+AJ72+AJ76+AJ77+AJ78</f>
        <v>0</v>
      </c>
      <c r="AK82" s="937"/>
      <c r="AL82" s="938"/>
      <c r="AM82" s="984">
        <f>AM67+AM68+AM69+AM70+AM71+AM72+AM76+AM77+AM78</f>
        <v>0</v>
      </c>
      <c r="AN82" s="938"/>
      <c r="AO82" s="984">
        <f>AO67+AO68+AO69+AO70+AO71+AO72+AO76+AO77+AO78</f>
        <v>24408.04</v>
      </c>
      <c r="AP82" s="938"/>
      <c r="AQ82" s="984">
        <f t="shared" ref="AQ82:AR82" si="73">AQ67+AQ68+AQ69+AQ70+AQ71+AQ72+AQ76+AQ77+AQ78</f>
        <v>0</v>
      </c>
      <c r="AR82" s="984">
        <f t="shared" si="73"/>
        <v>192737.84</v>
      </c>
      <c r="AS82" s="936"/>
      <c r="AT82" s="984">
        <f t="shared" ref="AT82:AW82" si="74">AT67+AT68+AT69+AT70+AT71+AT72+AT76+AT77+AT78</f>
        <v>2312854.08</v>
      </c>
      <c r="AU82" s="984">
        <f t="shared" si="74"/>
        <v>19626.84</v>
      </c>
      <c r="AV82" s="984">
        <f t="shared" si="74"/>
        <v>23128.54</v>
      </c>
      <c r="AW82" s="984">
        <f t="shared" si="74"/>
        <v>2355609.46</v>
      </c>
      <c r="AX82" s="939"/>
      <c r="AY82" s="939"/>
      <c r="AZ82" s="941"/>
      <c r="BA82" s="941"/>
      <c r="BB82" s="941"/>
      <c r="BC82" s="934"/>
      <c r="BD82" s="941"/>
      <c r="BE82" s="941"/>
      <c r="BF82" s="941"/>
      <c r="BG82" s="942"/>
      <c r="BH82" s="941"/>
      <c r="BI82" s="941"/>
      <c r="BJ82" s="941"/>
      <c r="BK82" s="943"/>
      <c r="BL82" s="943"/>
      <c r="BM82" s="943"/>
      <c r="BN82" s="943"/>
      <c r="BO82" s="943"/>
      <c r="BP82" s="944"/>
      <c r="BQ82" s="943"/>
      <c r="BR82" s="943"/>
      <c r="BS82" s="943"/>
      <c r="BU82" s="945"/>
      <c r="BV82" s="946"/>
      <c r="BW82" s="947"/>
      <c r="BX82" s="945"/>
      <c r="BY82" s="947"/>
      <c r="BZ82" s="946"/>
      <c r="CA82" s="947"/>
      <c r="CB82" s="946"/>
      <c r="CC82" s="947"/>
      <c r="CD82" s="947"/>
      <c r="CE82" s="947"/>
      <c r="CF82" s="948"/>
      <c r="CG82" s="949"/>
      <c r="CH82" s="949"/>
      <c r="CI82" s="950"/>
      <c r="CJ82" s="951"/>
      <c r="CK82" s="951"/>
      <c r="CL82" s="952"/>
      <c r="CM82" s="951"/>
      <c r="CN82" s="951"/>
      <c r="CO82" s="952"/>
      <c r="CP82" s="951"/>
      <c r="CQ82" s="951"/>
      <c r="CR82" s="952"/>
      <c r="CS82" s="946"/>
      <c r="CT82" s="953"/>
      <c r="CU82" s="953"/>
      <c r="CV82" s="953"/>
      <c r="CX82" s="951"/>
      <c r="CY82" s="951"/>
      <c r="CZ82" s="952"/>
      <c r="DB82" s="954"/>
      <c r="DC82" s="954"/>
      <c r="DD82" s="921"/>
      <c r="DE82" s="954"/>
      <c r="DF82" s="954"/>
      <c r="DG82" s="921"/>
      <c r="DH82" s="954"/>
      <c r="DI82" s="954"/>
      <c r="DJ82" s="921"/>
      <c r="DK82" s="954"/>
      <c r="DL82" s="954"/>
      <c r="DM82" s="921"/>
      <c r="DN82" s="954"/>
      <c r="DO82" s="954"/>
      <c r="DP82" s="921"/>
      <c r="DQ82" s="942"/>
      <c r="DR82" s="951"/>
      <c r="DS82" s="951"/>
      <c r="DT82" s="952"/>
      <c r="DV82" s="921"/>
      <c r="DW82" s="921"/>
      <c r="DX82" s="921"/>
      <c r="DY82" s="921"/>
      <c r="DZ82" s="921"/>
      <c r="EA82" s="921"/>
      <c r="EB82" s="921"/>
      <c r="EC82" s="921"/>
      <c r="ED82" s="921"/>
      <c r="EE82" s="921"/>
      <c r="EF82" s="921"/>
      <c r="EG82" s="921"/>
      <c r="EH82" s="921"/>
      <c r="EI82" s="921"/>
      <c r="EJ82" s="921"/>
      <c r="EK82" s="921"/>
      <c r="EL82" s="921"/>
      <c r="EM82" s="921"/>
      <c r="EN82" s="921"/>
      <c r="EO82" s="921"/>
      <c r="EP82" s="921"/>
      <c r="EQ82" s="954"/>
      <c r="ER82" s="954"/>
      <c r="ES82" s="954"/>
      <c r="ET82" s="954"/>
      <c r="EV82" s="942"/>
      <c r="EW82" s="951"/>
      <c r="EX82" s="951"/>
      <c r="EY82" s="952"/>
    </row>
    <row r="83" spans="1:155" s="927" customFormat="1" ht="15.75" x14ac:dyDescent="0.25">
      <c r="A83" s="931"/>
      <c r="B83" s="932" t="s">
        <v>405</v>
      </c>
      <c r="C83" s="933">
        <v>0</v>
      </c>
      <c r="D83" s="938"/>
      <c r="E83" s="983"/>
      <c r="F83" s="936"/>
      <c r="G83" s="983"/>
      <c r="H83" s="938">
        <v>0</v>
      </c>
      <c r="I83" s="938">
        <v>0</v>
      </c>
      <c r="J83" s="937"/>
      <c r="K83" s="938"/>
      <c r="L83" s="938">
        <v>0</v>
      </c>
      <c r="M83" s="937"/>
      <c r="N83" s="938"/>
      <c r="O83" s="938">
        <v>0</v>
      </c>
      <c r="P83" s="937"/>
      <c r="Q83" s="938"/>
      <c r="R83" s="938">
        <v>0</v>
      </c>
      <c r="S83" s="937"/>
      <c r="T83" s="938"/>
      <c r="U83" s="938">
        <v>0</v>
      </c>
      <c r="V83" s="937"/>
      <c r="W83" s="938"/>
      <c r="X83" s="938">
        <v>0</v>
      </c>
      <c r="Y83" s="937"/>
      <c r="Z83" s="938"/>
      <c r="AA83" s="938">
        <v>0</v>
      </c>
      <c r="AB83" s="937"/>
      <c r="AC83" s="938"/>
      <c r="AD83" s="938">
        <v>0</v>
      </c>
      <c r="AE83" s="937"/>
      <c r="AF83" s="938"/>
      <c r="AG83" s="938">
        <v>0</v>
      </c>
      <c r="AH83" s="937"/>
      <c r="AI83" s="938"/>
      <c r="AJ83" s="938">
        <v>0</v>
      </c>
      <c r="AK83" s="937"/>
      <c r="AL83" s="938"/>
      <c r="AM83" s="938">
        <v>0</v>
      </c>
      <c r="AN83" s="938"/>
      <c r="AO83" s="938">
        <v>0</v>
      </c>
      <c r="AP83" s="938"/>
      <c r="AQ83" s="938">
        <v>0</v>
      </c>
      <c r="AR83" s="938">
        <v>0</v>
      </c>
      <c r="AS83" s="936"/>
      <c r="AT83" s="938">
        <v>0</v>
      </c>
      <c r="AU83" s="938">
        <v>0</v>
      </c>
      <c r="AV83" s="938">
        <v>0</v>
      </c>
      <c r="AW83" s="938">
        <v>0</v>
      </c>
      <c r="AX83" s="939"/>
      <c r="AY83" s="939"/>
      <c r="AZ83" s="941"/>
      <c r="BA83" s="941"/>
      <c r="BB83" s="941"/>
      <c r="BC83" s="934"/>
      <c r="BD83" s="941"/>
      <c r="BE83" s="941"/>
      <c r="BF83" s="941"/>
      <c r="BG83" s="942"/>
      <c r="BH83" s="941"/>
      <c r="BI83" s="941"/>
      <c r="BJ83" s="941"/>
      <c r="BK83" s="943"/>
      <c r="BL83" s="943"/>
      <c r="BM83" s="943"/>
      <c r="BN83" s="943"/>
      <c r="BO83" s="943"/>
      <c r="BP83" s="944"/>
      <c r="BQ83" s="943"/>
      <c r="BR83" s="943"/>
      <c r="BS83" s="943"/>
      <c r="BU83" s="945"/>
      <c r="BV83" s="946"/>
      <c r="BW83" s="947"/>
      <c r="BX83" s="945"/>
      <c r="BY83" s="947"/>
      <c r="BZ83" s="946"/>
      <c r="CA83" s="947"/>
      <c r="CB83" s="946"/>
      <c r="CC83" s="947"/>
      <c r="CD83" s="947"/>
      <c r="CE83" s="947"/>
      <c r="CF83" s="948"/>
      <c r="CG83" s="949"/>
      <c r="CH83" s="949"/>
      <c r="CI83" s="950"/>
      <c r="CJ83" s="951"/>
      <c r="CK83" s="951"/>
      <c r="CL83" s="952"/>
      <c r="CM83" s="951"/>
      <c r="CN83" s="951"/>
      <c r="CO83" s="952"/>
      <c r="CP83" s="951"/>
      <c r="CQ83" s="951"/>
      <c r="CR83" s="952"/>
      <c r="CS83" s="946"/>
      <c r="CT83" s="953"/>
      <c r="CU83" s="953"/>
      <c r="CV83" s="953"/>
      <c r="CX83" s="951"/>
      <c r="CY83" s="951"/>
      <c r="CZ83" s="952"/>
      <c r="DB83" s="954"/>
      <c r="DC83" s="954"/>
      <c r="DD83" s="921"/>
      <c r="DE83" s="954"/>
      <c r="DF83" s="954"/>
      <c r="DG83" s="921"/>
      <c r="DH83" s="954"/>
      <c r="DI83" s="954"/>
      <c r="DJ83" s="921"/>
      <c r="DK83" s="954"/>
      <c r="DL83" s="954"/>
      <c r="DM83" s="921"/>
      <c r="DN83" s="954"/>
      <c r="DO83" s="954"/>
      <c r="DP83" s="921"/>
      <c r="DQ83" s="942"/>
      <c r="DR83" s="951"/>
      <c r="DS83" s="951"/>
      <c r="DT83" s="952"/>
      <c r="DV83" s="921"/>
      <c r="DW83" s="921"/>
      <c r="DX83" s="921"/>
      <c r="DY83" s="921"/>
      <c r="DZ83" s="921"/>
      <c r="EA83" s="921"/>
      <c r="EB83" s="921"/>
      <c r="EC83" s="921"/>
      <c r="ED83" s="921"/>
      <c r="EE83" s="921"/>
      <c r="EF83" s="921"/>
      <c r="EG83" s="921"/>
      <c r="EH83" s="921"/>
      <c r="EI83" s="921"/>
      <c r="EJ83" s="921"/>
      <c r="EK83" s="921"/>
      <c r="EL83" s="921"/>
      <c r="EM83" s="921"/>
      <c r="EN83" s="921"/>
      <c r="EO83" s="921"/>
      <c r="EP83" s="921"/>
      <c r="EQ83" s="954"/>
      <c r="ER83" s="954"/>
      <c r="ES83" s="954"/>
      <c r="ET83" s="954"/>
      <c r="EV83" s="942"/>
      <c r="EW83" s="951"/>
      <c r="EX83" s="951"/>
      <c r="EY83" s="952"/>
    </row>
    <row r="84" spans="1:155" s="927" customFormat="1" ht="15.75" x14ac:dyDescent="0.25">
      <c r="A84" s="931"/>
      <c r="B84" s="932"/>
      <c r="C84" s="982">
        <f>C79-C80-C81-C82-C83</f>
        <v>0</v>
      </c>
      <c r="D84" s="938"/>
      <c r="E84" s="983"/>
      <c r="F84" s="936"/>
      <c r="G84" s="983"/>
      <c r="H84" s="985">
        <f>H79-H80-H81-H82-H83</f>
        <v>0</v>
      </c>
      <c r="I84" s="985">
        <f>I79-I80-I81-I82-I83</f>
        <v>0</v>
      </c>
      <c r="J84" s="937"/>
      <c r="K84" s="938"/>
      <c r="L84" s="985">
        <f>L79-L80-L81-L82-L83</f>
        <v>0</v>
      </c>
      <c r="M84" s="937"/>
      <c r="N84" s="938"/>
      <c r="O84" s="985">
        <f>O79-O80-O81-O82-O83</f>
        <v>0</v>
      </c>
      <c r="P84" s="937"/>
      <c r="Q84" s="938"/>
      <c r="R84" s="985">
        <f>R79-R80-R81-R82-R83</f>
        <v>0</v>
      </c>
      <c r="S84" s="937"/>
      <c r="T84" s="938"/>
      <c r="U84" s="985">
        <f>U79-U80-U81-U82-U83</f>
        <v>0</v>
      </c>
      <c r="V84" s="937"/>
      <c r="W84" s="938"/>
      <c r="X84" s="985">
        <f>X79-X80-X81-X82-X83</f>
        <v>0</v>
      </c>
      <c r="Y84" s="937"/>
      <c r="Z84" s="938"/>
      <c r="AA84" s="985">
        <f>AA79-AA80-AA81-AA82-AA83</f>
        <v>0</v>
      </c>
      <c r="AB84" s="937"/>
      <c r="AC84" s="938"/>
      <c r="AD84" s="985">
        <f>AD79-AD80-AD81-AD82-AD83</f>
        <v>0</v>
      </c>
      <c r="AE84" s="937"/>
      <c r="AF84" s="938"/>
      <c r="AG84" s="985">
        <f>AG79-AG80-AG81-AG82-AG83</f>
        <v>0</v>
      </c>
      <c r="AH84" s="937"/>
      <c r="AI84" s="938"/>
      <c r="AJ84" s="985">
        <f>AJ79-AJ80-AJ81-AJ82-AJ83</f>
        <v>0</v>
      </c>
      <c r="AK84" s="937"/>
      <c r="AL84" s="938"/>
      <c r="AM84" s="985">
        <f>AM79-AM80-AM81-AM82-AM83</f>
        <v>0</v>
      </c>
      <c r="AN84" s="938"/>
      <c r="AO84" s="985">
        <f>AO79-AO80-AO81-AO82-AO83</f>
        <v>0</v>
      </c>
      <c r="AP84" s="938"/>
      <c r="AQ84" s="985">
        <f>AQ79-AQ80-AQ81-AQ82-AQ83</f>
        <v>0</v>
      </c>
      <c r="AR84" s="985">
        <f>AR79-AR80-AR81-AR82-AR83</f>
        <v>0</v>
      </c>
      <c r="AS84" s="936"/>
      <c r="AT84" s="985">
        <f t="shared" ref="AT84:AW84" si="75">AT79-AT80-AT81-AT82-AT83</f>
        <v>0</v>
      </c>
      <c r="AU84" s="985">
        <f t="shared" si="75"/>
        <v>0</v>
      </c>
      <c r="AV84" s="985">
        <f t="shared" si="75"/>
        <v>0</v>
      </c>
      <c r="AW84" s="985">
        <f t="shared" si="75"/>
        <v>0</v>
      </c>
      <c r="AX84" s="939"/>
      <c r="AY84" s="939"/>
      <c r="AZ84" s="941"/>
      <c r="BA84" s="941"/>
      <c r="BB84" s="941"/>
      <c r="BC84" s="934"/>
      <c r="BD84" s="941"/>
      <c r="BE84" s="941"/>
      <c r="BF84" s="941"/>
      <c r="BG84" s="942"/>
      <c r="BH84" s="941"/>
      <c r="BI84" s="941"/>
      <c r="BJ84" s="941"/>
      <c r="BK84" s="943"/>
      <c r="BL84" s="943"/>
      <c r="BM84" s="943"/>
      <c r="BN84" s="943"/>
      <c r="BO84" s="943"/>
      <c r="BP84" s="944"/>
      <c r="BQ84" s="943"/>
      <c r="BR84" s="943"/>
      <c r="BS84" s="943"/>
      <c r="BU84" s="945"/>
      <c r="BV84" s="946"/>
      <c r="BW84" s="947"/>
      <c r="BX84" s="945"/>
      <c r="BY84" s="947"/>
      <c r="BZ84" s="946"/>
      <c r="CA84" s="947"/>
      <c r="CB84" s="946"/>
      <c r="CC84" s="947"/>
      <c r="CD84" s="947"/>
      <c r="CE84" s="947"/>
      <c r="CF84" s="948"/>
      <c r="CG84" s="949"/>
      <c r="CH84" s="949"/>
      <c r="CI84" s="950"/>
      <c r="CJ84" s="951"/>
      <c r="CK84" s="951"/>
      <c r="CL84" s="952"/>
      <c r="CM84" s="951"/>
      <c r="CN84" s="951"/>
      <c r="CO84" s="952"/>
      <c r="CP84" s="951"/>
      <c r="CQ84" s="951"/>
      <c r="CR84" s="952"/>
      <c r="CS84" s="946"/>
      <c r="CT84" s="953"/>
      <c r="CU84" s="953"/>
      <c r="CV84" s="953"/>
      <c r="CX84" s="951"/>
      <c r="CY84" s="951"/>
      <c r="CZ84" s="952"/>
      <c r="DB84" s="954"/>
      <c r="DC84" s="954"/>
      <c r="DD84" s="921"/>
      <c r="DE84" s="954"/>
      <c r="DF84" s="954"/>
      <c r="DG84" s="921"/>
      <c r="DH84" s="954"/>
      <c r="DI84" s="954"/>
      <c r="DJ84" s="921"/>
      <c r="DK84" s="954"/>
      <c r="DL84" s="954"/>
      <c r="DM84" s="921"/>
      <c r="DN84" s="954"/>
      <c r="DO84" s="954"/>
      <c r="DP84" s="921"/>
      <c r="DQ84" s="942"/>
      <c r="DR84" s="951"/>
      <c r="DS84" s="951"/>
      <c r="DT84" s="952"/>
      <c r="DV84" s="921"/>
      <c r="DW84" s="921"/>
      <c r="DX84" s="921"/>
      <c r="DY84" s="921"/>
      <c r="DZ84" s="921"/>
      <c r="EA84" s="921"/>
      <c r="EB84" s="921"/>
      <c r="EC84" s="921"/>
      <c r="ED84" s="921"/>
      <c r="EE84" s="921"/>
      <c r="EF84" s="921"/>
      <c r="EG84" s="921"/>
      <c r="EH84" s="921"/>
      <c r="EI84" s="921"/>
      <c r="EJ84" s="921"/>
      <c r="EK84" s="921"/>
      <c r="EL84" s="921"/>
      <c r="EM84" s="921"/>
      <c r="EN84" s="921"/>
      <c r="EO84" s="921"/>
      <c r="EP84" s="921"/>
      <c r="EQ84" s="954"/>
      <c r="ER84" s="954"/>
      <c r="ES84" s="954"/>
      <c r="ET84" s="954"/>
      <c r="EV84" s="942"/>
      <c r="EW84" s="951"/>
      <c r="EX84" s="951"/>
      <c r="EY84" s="952"/>
    </row>
    <row r="85" spans="1:155" s="927" customFormat="1" ht="15.75" x14ac:dyDescent="0.25">
      <c r="A85" s="931"/>
      <c r="B85" s="932" t="s">
        <v>806</v>
      </c>
      <c r="C85" s="933"/>
      <c r="D85" s="933"/>
      <c r="E85" s="934"/>
      <c r="F85" s="935"/>
      <c r="G85" s="934"/>
      <c r="H85" s="935"/>
      <c r="I85" s="936"/>
      <c r="J85" s="937"/>
      <c r="K85" s="938"/>
      <c r="L85" s="936"/>
      <c r="M85" s="937"/>
      <c r="N85" s="938"/>
      <c r="O85" s="936"/>
      <c r="P85" s="937"/>
      <c r="Q85" s="938"/>
      <c r="R85" s="936"/>
      <c r="S85" s="937"/>
      <c r="T85" s="938"/>
      <c r="U85" s="936"/>
      <c r="V85" s="937"/>
      <c r="W85" s="938"/>
      <c r="X85" s="936"/>
      <c r="Y85" s="937"/>
      <c r="Z85" s="938"/>
      <c r="AA85" s="936"/>
      <c r="AB85" s="937"/>
      <c r="AC85" s="938"/>
      <c r="AD85" s="936"/>
      <c r="AE85" s="937"/>
      <c r="AF85" s="938"/>
      <c r="AG85" s="936"/>
      <c r="AH85" s="937"/>
      <c r="AI85" s="938"/>
      <c r="AJ85" s="936"/>
      <c r="AK85" s="937"/>
      <c r="AL85" s="938"/>
      <c r="AM85" s="936"/>
      <c r="AN85" s="933"/>
      <c r="AO85" s="936"/>
      <c r="AP85" s="933"/>
      <c r="AQ85" s="935"/>
      <c r="AR85" s="936"/>
      <c r="AS85" s="935"/>
      <c r="AT85" s="939"/>
      <c r="AU85" s="933"/>
      <c r="AV85" s="940"/>
      <c r="AW85" s="389">
        <f>AW79/12-AO79</f>
        <v>385762.48</v>
      </c>
      <c r="AX85" s="939"/>
      <c r="AY85" s="939"/>
      <c r="AZ85" s="941"/>
      <c r="BA85" s="941"/>
      <c r="BB85" s="941"/>
      <c r="BC85" s="934"/>
      <c r="BD85" s="941"/>
      <c r="BE85" s="941"/>
      <c r="BF85" s="941"/>
      <c r="BG85" s="942"/>
      <c r="BH85" s="941"/>
      <c r="BI85" s="941"/>
      <c r="BJ85" s="941"/>
      <c r="BK85" s="943"/>
      <c r="BL85" s="943"/>
      <c r="BM85" s="943"/>
      <c r="BN85" s="943"/>
      <c r="BO85" s="943"/>
      <c r="BP85" s="944"/>
      <c r="BQ85" s="943"/>
      <c r="BR85" s="943"/>
      <c r="BS85" s="943"/>
      <c r="BU85" s="945"/>
      <c r="BV85" s="946"/>
      <c r="BW85" s="947"/>
      <c r="BX85" s="945"/>
      <c r="BY85" s="947"/>
      <c r="BZ85" s="946"/>
      <c r="CA85" s="947"/>
      <c r="CB85" s="946"/>
      <c r="CC85" s="947"/>
      <c r="CD85" s="947"/>
      <c r="CE85" s="947"/>
      <c r="CF85" s="948"/>
      <c r="CG85" s="949"/>
      <c r="CH85" s="949"/>
      <c r="CI85" s="950"/>
      <c r="CJ85" s="951"/>
      <c r="CK85" s="951"/>
      <c r="CL85" s="952"/>
      <c r="CM85" s="951"/>
      <c r="CN85" s="951"/>
      <c r="CO85" s="952"/>
      <c r="CP85" s="951"/>
      <c r="CQ85" s="951"/>
      <c r="CR85" s="952"/>
      <c r="CS85" s="946"/>
      <c r="CT85" s="953"/>
      <c r="CU85" s="953"/>
      <c r="CV85" s="953"/>
      <c r="CX85" s="951"/>
      <c r="CY85" s="951"/>
      <c r="CZ85" s="952"/>
      <c r="DB85" s="954"/>
      <c r="DC85" s="954"/>
      <c r="DD85" s="921"/>
      <c r="DE85" s="954"/>
      <c r="DF85" s="954"/>
      <c r="DG85" s="921"/>
      <c r="DH85" s="954"/>
      <c r="DI85" s="954"/>
      <c r="DJ85" s="921"/>
      <c r="DK85" s="954"/>
      <c r="DL85" s="954"/>
      <c r="DM85" s="921"/>
      <c r="DN85" s="954"/>
      <c r="DO85" s="954"/>
      <c r="DP85" s="921"/>
      <c r="DQ85" s="942"/>
      <c r="DR85" s="951"/>
      <c r="DS85" s="951"/>
      <c r="DT85" s="952"/>
      <c r="DV85" s="921"/>
      <c r="DW85" s="921"/>
      <c r="DX85" s="921"/>
      <c r="DY85" s="921"/>
      <c r="DZ85" s="921"/>
      <c r="EA85" s="921"/>
      <c r="EB85" s="921"/>
      <c r="EC85" s="921"/>
      <c r="ED85" s="921"/>
      <c r="EE85" s="921"/>
      <c r="EF85" s="921"/>
      <c r="EG85" s="921"/>
      <c r="EH85" s="921"/>
      <c r="EI85" s="921"/>
      <c r="EJ85" s="921"/>
      <c r="EK85" s="921"/>
      <c r="EL85" s="921"/>
      <c r="EM85" s="921"/>
      <c r="EN85" s="921"/>
      <c r="EO85" s="921"/>
      <c r="EP85" s="921"/>
      <c r="EQ85" s="954"/>
      <c r="ER85" s="954"/>
      <c r="ES85" s="954"/>
      <c r="ET85" s="954"/>
      <c r="EV85" s="942"/>
      <c r="EW85" s="951"/>
      <c r="EX85" s="951"/>
      <c r="EY85" s="952"/>
    </row>
    <row r="86" spans="1:155" s="927" customFormat="1" ht="15.75" x14ac:dyDescent="0.25">
      <c r="A86" s="931"/>
      <c r="B86" s="932" t="s">
        <v>406</v>
      </c>
      <c r="C86" s="933"/>
      <c r="D86" s="933"/>
      <c r="E86" s="934"/>
      <c r="F86" s="935"/>
      <c r="G86" s="934"/>
      <c r="H86" s="935"/>
      <c r="I86" s="936"/>
      <c r="J86" s="937"/>
      <c r="K86" s="938"/>
      <c r="L86" s="936"/>
      <c r="M86" s="937"/>
      <c r="N86" s="938"/>
      <c r="O86" s="936"/>
      <c r="P86" s="937"/>
      <c r="Q86" s="938"/>
      <c r="R86" s="936"/>
      <c r="S86" s="937"/>
      <c r="T86" s="938"/>
      <c r="U86" s="936"/>
      <c r="V86" s="937"/>
      <c r="W86" s="938"/>
      <c r="X86" s="936"/>
      <c r="Y86" s="937"/>
      <c r="Z86" s="938"/>
      <c r="AA86" s="936"/>
      <c r="AB86" s="937"/>
      <c r="AC86" s="938"/>
      <c r="AD86" s="936"/>
      <c r="AE86" s="937"/>
      <c r="AF86" s="938"/>
      <c r="AG86" s="936"/>
      <c r="AH86" s="937"/>
      <c r="AI86" s="938"/>
      <c r="AJ86" s="936"/>
      <c r="AK86" s="937"/>
      <c r="AL86" s="938"/>
      <c r="AM86" s="936"/>
      <c r="AN86" s="933"/>
      <c r="AO86" s="936"/>
      <c r="AP86" s="933"/>
      <c r="AQ86" s="935"/>
      <c r="AR86" s="936"/>
      <c r="AS86" s="935"/>
      <c r="AT86" s="939"/>
      <c r="AU86" s="933"/>
      <c r="AV86" s="940"/>
      <c r="AW86" s="389">
        <f>AW80/12-AO80</f>
        <v>175741.36</v>
      </c>
      <c r="AX86" s="939"/>
      <c r="AY86" s="939"/>
      <c r="AZ86" s="941"/>
      <c r="BA86" s="941"/>
      <c r="BB86" s="941"/>
      <c r="BC86" s="934"/>
      <c r="BD86" s="941"/>
      <c r="BE86" s="941"/>
      <c r="BF86" s="941"/>
      <c r="BG86" s="942"/>
      <c r="BH86" s="941"/>
      <c r="BI86" s="941"/>
      <c r="BJ86" s="941"/>
      <c r="BK86" s="943"/>
      <c r="BL86" s="943"/>
      <c r="BM86" s="943"/>
      <c r="BN86" s="943"/>
      <c r="BO86" s="943"/>
      <c r="BP86" s="944"/>
      <c r="BQ86" s="943"/>
      <c r="BR86" s="943"/>
      <c r="BS86" s="943"/>
      <c r="BU86" s="945"/>
      <c r="BV86" s="946"/>
      <c r="BW86" s="947"/>
      <c r="BX86" s="945"/>
      <c r="BY86" s="947"/>
      <c r="BZ86" s="946"/>
      <c r="CA86" s="947"/>
      <c r="CB86" s="946"/>
      <c r="CC86" s="947"/>
      <c r="CD86" s="947"/>
      <c r="CE86" s="947"/>
      <c r="CF86" s="948"/>
      <c r="CG86" s="949"/>
      <c r="CH86" s="949"/>
      <c r="CI86" s="950"/>
      <c r="CJ86" s="951"/>
      <c r="CK86" s="951"/>
      <c r="CL86" s="952"/>
      <c r="CM86" s="951"/>
      <c r="CN86" s="951"/>
      <c r="CO86" s="952"/>
      <c r="CP86" s="951"/>
      <c r="CQ86" s="951"/>
      <c r="CR86" s="952"/>
      <c r="CS86" s="946"/>
      <c r="CT86" s="953"/>
      <c r="CU86" s="953"/>
      <c r="CV86" s="953"/>
      <c r="CX86" s="951"/>
      <c r="CY86" s="951"/>
      <c r="CZ86" s="952"/>
      <c r="DB86" s="954"/>
      <c r="DC86" s="954"/>
      <c r="DD86" s="921"/>
      <c r="DE86" s="954"/>
      <c r="DF86" s="954"/>
      <c r="DG86" s="921"/>
      <c r="DH86" s="954"/>
      <c r="DI86" s="954"/>
      <c r="DJ86" s="921"/>
      <c r="DK86" s="954"/>
      <c r="DL86" s="954"/>
      <c r="DM86" s="921"/>
      <c r="DN86" s="954"/>
      <c r="DO86" s="954"/>
      <c r="DP86" s="921"/>
      <c r="DQ86" s="942"/>
      <c r="DR86" s="951"/>
      <c r="DS86" s="951"/>
      <c r="DT86" s="952"/>
      <c r="DV86" s="921"/>
      <c r="DW86" s="921"/>
      <c r="DX86" s="921"/>
      <c r="DY86" s="921"/>
      <c r="DZ86" s="921"/>
      <c r="EA86" s="921"/>
      <c r="EB86" s="921"/>
      <c r="EC86" s="921"/>
      <c r="ED86" s="921"/>
      <c r="EE86" s="921"/>
      <c r="EF86" s="921"/>
      <c r="EG86" s="921"/>
      <c r="EH86" s="921"/>
      <c r="EI86" s="921"/>
      <c r="EJ86" s="921"/>
      <c r="EK86" s="921"/>
      <c r="EL86" s="921"/>
      <c r="EM86" s="921"/>
      <c r="EN86" s="921"/>
      <c r="EO86" s="921"/>
      <c r="EP86" s="921"/>
      <c r="EQ86" s="954"/>
      <c r="ER86" s="954"/>
      <c r="ES86" s="954"/>
      <c r="ET86" s="954"/>
      <c r="EV86" s="942"/>
      <c r="EW86" s="951"/>
      <c r="EX86" s="951"/>
      <c r="EY86" s="952"/>
    </row>
    <row r="87" spans="1:155" s="927" customFormat="1" ht="15.75" x14ac:dyDescent="0.25">
      <c r="A87" s="931"/>
      <c r="B87" s="932" t="s">
        <v>403</v>
      </c>
      <c r="C87" s="933"/>
      <c r="D87" s="933"/>
      <c r="E87" s="934"/>
      <c r="F87" s="935"/>
      <c r="G87" s="934"/>
      <c r="H87" s="935"/>
      <c r="I87" s="936"/>
      <c r="J87" s="937"/>
      <c r="K87" s="938"/>
      <c r="L87" s="936"/>
      <c r="M87" s="937"/>
      <c r="N87" s="938"/>
      <c r="O87" s="936"/>
      <c r="P87" s="937"/>
      <c r="Q87" s="938"/>
      <c r="R87" s="936"/>
      <c r="S87" s="937"/>
      <c r="T87" s="938"/>
      <c r="U87" s="936"/>
      <c r="V87" s="937"/>
      <c r="W87" s="938"/>
      <c r="X87" s="936"/>
      <c r="Y87" s="937"/>
      <c r="Z87" s="938"/>
      <c r="AA87" s="936"/>
      <c r="AB87" s="937"/>
      <c r="AC87" s="938"/>
      <c r="AD87" s="936"/>
      <c r="AE87" s="937"/>
      <c r="AF87" s="938"/>
      <c r="AG87" s="936"/>
      <c r="AH87" s="937"/>
      <c r="AI87" s="938"/>
      <c r="AJ87" s="936"/>
      <c r="AK87" s="937"/>
      <c r="AL87" s="938"/>
      <c r="AM87" s="936"/>
      <c r="AN87" s="933"/>
      <c r="AO87" s="936"/>
      <c r="AP87" s="933"/>
      <c r="AQ87" s="935"/>
      <c r="AR87" s="936"/>
      <c r="AS87" s="935"/>
      <c r="AT87" s="939"/>
      <c r="AU87" s="933"/>
      <c r="AV87" s="940"/>
      <c r="AW87" s="389">
        <f>AW81/12-AO81</f>
        <v>38128.370000000003</v>
      </c>
      <c r="AX87" s="939"/>
      <c r="AY87" s="939"/>
      <c r="AZ87" s="941"/>
      <c r="BA87" s="941"/>
      <c r="BB87" s="941"/>
      <c r="BC87" s="934"/>
      <c r="BD87" s="941"/>
      <c r="BE87" s="941"/>
      <c r="BF87" s="941"/>
      <c r="BG87" s="942"/>
      <c r="BH87" s="941"/>
      <c r="BI87" s="941"/>
      <c r="BJ87" s="941"/>
      <c r="BK87" s="943"/>
      <c r="BL87" s="943"/>
      <c r="BM87" s="943"/>
      <c r="BN87" s="943"/>
      <c r="BO87" s="943"/>
      <c r="BP87" s="944"/>
      <c r="BQ87" s="943"/>
      <c r="BR87" s="943"/>
      <c r="BS87" s="943"/>
      <c r="BU87" s="945"/>
      <c r="BV87" s="946"/>
      <c r="BW87" s="947"/>
      <c r="BX87" s="945"/>
      <c r="BY87" s="947"/>
      <c r="BZ87" s="946"/>
      <c r="CA87" s="947"/>
      <c r="CB87" s="946"/>
      <c r="CC87" s="947"/>
      <c r="CD87" s="947"/>
      <c r="CE87" s="947"/>
      <c r="CF87" s="948"/>
      <c r="CG87" s="949"/>
      <c r="CH87" s="949"/>
      <c r="CI87" s="950"/>
      <c r="CJ87" s="951"/>
      <c r="CK87" s="951"/>
      <c r="CL87" s="952"/>
      <c r="CM87" s="951"/>
      <c r="CN87" s="951"/>
      <c r="CO87" s="952"/>
      <c r="CP87" s="951"/>
      <c r="CQ87" s="951"/>
      <c r="CR87" s="952"/>
      <c r="CS87" s="946"/>
      <c r="CT87" s="953"/>
      <c r="CU87" s="953"/>
      <c r="CV87" s="953"/>
      <c r="CX87" s="951"/>
      <c r="CY87" s="951"/>
      <c r="CZ87" s="952"/>
      <c r="DB87" s="954"/>
      <c r="DC87" s="954"/>
      <c r="DD87" s="921"/>
      <c r="DE87" s="954"/>
      <c r="DF87" s="954"/>
      <c r="DG87" s="921"/>
      <c r="DH87" s="954"/>
      <c r="DI87" s="954"/>
      <c r="DJ87" s="921"/>
      <c r="DK87" s="954"/>
      <c r="DL87" s="954"/>
      <c r="DM87" s="921"/>
      <c r="DN87" s="954"/>
      <c r="DO87" s="954"/>
      <c r="DP87" s="921"/>
      <c r="DQ87" s="942"/>
      <c r="DR87" s="951"/>
      <c r="DS87" s="951"/>
      <c r="DT87" s="952"/>
      <c r="DV87" s="921"/>
      <c r="DW87" s="921"/>
      <c r="DX87" s="921"/>
      <c r="DY87" s="921"/>
      <c r="DZ87" s="921"/>
      <c r="EA87" s="921"/>
      <c r="EB87" s="921"/>
      <c r="EC87" s="921"/>
      <c r="ED87" s="921"/>
      <c r="EE87" s="921"/>
      <c r="EF87" s="921"/>
      <c r="EG87" s="921"/>
      <c r="EH87" s="921"/>
      <c r="EI87" s="921"/>
      <c r="EJ87" s="921"/>
      <c r="EK87" s="921"/>
      <c r="EL87" s="921"/>
      <c r="EM87" s="921"/>
      <c r="EN87" s="921"/>
      <c r="EO87" s="921"/>
      <c r="EP87" s="921"/>
      <c r="EQ87" s="954"/>
      <c r="ER87" s="954"/>
      <c r="ES87" s="954"/>
      <c r="ET87" s="954"/>
      <c r="EV87" s="942"/>
      <c r="EW87" s="951"/>
      <c r="EX87" s="951"/>
      <c r="EY87" s="952"/>
    </row>
    <row r="88" spans="1:155" s="927" customFormat="1" ht="15.75" x14ac:dyDescent="0.25">
      <c r="A88" s="931"/>
      <c r="B88" s="932" t="s">
        <v>404</v>
      </c>
      <c r="C88" s="933"/>
      <c r="D88" s="933"/>
      <c r="E88" s="934"/>
      <c r="F88" s="935"/>
      <c r="G88" s="934"/>
      <c r="H88" s="935"/>
      <c r="I88" s="936"/>
      <c r="J88" s="937"/>
      <c r="K88" s="938"/>
      <c r="L88" s="936"/>
      <c r="M88" s="937"/>
      <c r="N88" s="938"/>
      <c r="O88" s="936"/>
      <c r="P88" s="937"/>
      <c r="Q88" s="938"/>
      <c r="R88" s="936"/>
      <c r="S88" s="937"/>
      <c r="T88" s="938"/>
      <c r="U88" s="936"/>
      <c r="V88" s="937"/>
      <c r="W88" s="938"/>
      <c r="X88" s="936"/>
      <c r="Y88" s="937"/>
      <c r="Z88" s="938"/>
      <c r="AA88" s="936"/>
      <c r="AB88" s="937"/>
      <c r="AC88" s="938"/>
      <c r="AD88" s="936"/>
      <c r="AE88" s="937"/>
      <c r="AF88" s="938"/>
      <c r="AG88" s="936"/>
      <c r="AH88" s="937"/>
      <c r="AI88" s="938"/>
      <c r="AJ88" s="936"/>
      <c r="AK88" s="937"/>
      <c r="AL88" s="938"/>
      <c r="AM88" s="936"/>
      <c r="AN88" s="933"/>
      <c r="AO88" s="936"/>
      <c r="AP88" s="933"/>
      <c r="AQ88" s="935"/>
      <c r="AR88" s="936"/>
      <c r="AS88" s="935"/>
      <c r="AT88" s="939"/>
      <c r="AU88" s="933"/>
      <c r="AV88" s="940"/>
      <c r="AW88" s="389">
        <f>AW82/12-AO82</f>
        <v>171892.75</v>
      </c>
      <c r="AX88" s="939"/>
      <c r="AY88" s="939"/>
      <c r="AZ88" s="941"/>
      <c r="BA88" s="941"/>
      <c r="BB88" s="941"/>
      <c r="BC88" s="934"/>
      <c r="BD88" s="941"/>
      <c r="BE88" s="941"/>
      <c r="BF88" s="941"/>
      <c r="BG88" s="942"/>
      <c r="BH88" s="941"/>
      <c r="BI88" s="941"/>
      <c r="BJ88" s="941"/>
      <c r="BK88" s="943"/>
      <c r="BL88" s="943"/>
      <c r="BM88" s="943"/>
      <c r="BN88" s="943"/>
      <c r="BO88" s="943"/>
      <c r="BP88" s="944"/>
      <c r="BQ88" s="943"/>
      <c r="BR88" s="943"/>
      <c r="BS88" s="943"/>
      <c r="BU88" s="945"/>
      <c r="BV88" s="946"/>
      <c r="BW88" s="947"/>
      <c r="BX88" s="945"/>
      <c r="BY88" s="947"/>
      <c r="BZ88" s="946"/>
      <c r="CA88" s="947"/>
      <c r="CB88" s="946"/>
      <c r="CC88" s="947"/>
      <c r="CD88" s="947"/>
      <c r="CE88" s="947"/>
      <c r="CF88" s="948"/>
      <c r="CG88" s="949"/>
      <c r="CH88" s="949"/>
      <c r="CI88" s="950"/>
      <c r="CJ88" s="951"/>
      <c r="CK88" s="951"/>
      <c r="CL88" s="952"/>
      <c r="CM88" s="951"/>
      <c r="CN88" s="951"/>
      <c r="CO88" s="952"/>
      <c r="CP88" s="951"/>
      <c r="CQ88" s="951"/>
      <c r="CR88" s="952"/>
      <c r="CS88" s="946"/>
      <c r="CT88" s="953"/>
      <c r="CU88" s="953"/>
      <c r="CV88" s="953"/>
      <c r="CX88" s="951"/>
      <c r="CY88" s="951"/>
      <c r="CZ88" s="952"/>
      <c r="DB88" s="954"/>
      <c r="DC88" s="954"/>
      <c r="DD88" s="921"/>
      <c r="DE88" s="954"/>
      <c r="DF88" s="954"/>
      <c r="DG88" s="921"/>
      <c r="DH88" s="954"/>
      <c r="DI88" s="954"/>
      <c r="DJ88" s="921"/>
      <c r="DK88" s="954"/>
      <c r="DL88" s="954"/>
      <c r="DM88" s="921"/>
      <c r="DN88" s="954"/>
      <c r="DO88" s="954"/>
      <c r="DP88" s="921"/>
      <c r="DQ88" s="942"/>
      <c r="DR88" s="951"/>
      <c r="DS88" s="951"/>
      <c r="DT88" s="952"/>
      <c r="DV88" s="921"/>
      <c r="DW88" s="921"/>
      <c r="DX88" s="921"/>
      <c r="DY88" s="921"/>
      <c r="DZ88" s="921"/>
      <c r="EA88" s="921"/>
      <c r="EB88" s="921"/>
      <c r="EC88" s="921"/>
      <c r="ED88" s="921"/>
      <c r="EE88" s="921"/>
      <c r="EF88" s="921"/>
      <c r="EG88" s="921"/>
      <c r="EH88" s="921"/>
      <c r="EI88" s="921"/>
      <c r="EJ88" s="921"/>
      <c r="EK88" s="921"/>
      <c r="EL88" s="921"/>
      <c r="EM88" s="921"/>
      <c r="EN88" s="921"/>
      <c r="EO88" s="921"/>
      <c r="EP88" s="921"/>
      <c r="EQ88" s="954"/>
      <c r="ER88" s="954"/>
      <c r="ES88" s="954"/>
      <c r="ET88" s="954"/>
      <c r="EV88" s="942"/>
      <c r="EW88" s="951"/>
      <c r="EX88" s="951"/>
      <c r="EY88" s="952"/>
    </row>
    <row r="89" spans="1:155" s="927" customFormat="1" ht="15.75" x14ac:dyDescent="0.25">
      <c r="A89" s="931"/>
      <c r="B89" s="932" t="s">
        <v>405</v>
      </c>
      <c r="C89" s="933"/>
      <c r="D89" s="933"/>
      <c r="E89" s="934"/>
      <c r="F89" s="935"/>
      <c r="G89" s="934"/>
      <c r="H89" s="935"/>
      <c r="I89" s="936"/>
      <c r="J89" s="937"/>
      <c r="K89" s="938"/>
      <c r="L89" s="936"/>
      <c r="M89" s="937"/>
      <c r="N89" s="938"/>
      <c r="O89" s="936"/>
      <c r="P89" s="937"/>
      <c r="Q89" s="938"/>
      <c r="R89" s="936"/>
      <c r="S89" s="937"/>
      <c r="T89" s="938"/>
      <c r="U89" s="936"/>
      <c r="V89" s="937"/>
      <c r="W89" s="938"/>
      <c r="X89" s="936"/>
      <c r="Y89" s="937"/>
      <c r="Z89" s="938"/>
      <c r="AA89" s="936"/>
      <c r="AB89" s="937"/>
      <c r="AC89" s="938"/>
      <c r="AD89" s="936"/>
      <c r="AE89" s="937"/>
      <c r="AF89" s="938"/>
      <c r="AG89" s="936"/>
      <c r="AH89" s="937"/>
      <c r="AI89" s="938"/>
      <c r="AJ89" s="936"/>
      <c r="AK89" s="937"/>
      <c r="AL89" s="938"/>
      <c r="AM89" s="936"/>
      <c r="AN89" s="933"/>
      <c r="AO89" s="936"/>
      <c r="AP89" s="933"/>
      <c r="AQ89" s="935"/>
      <c r="AR89" s="936"/>
      <c r="AS89" s="935"/>
      <c r="AT89" s="939"/>
      <c r="AU89" s="933"/>
      <c r="AV89" s="940"/>
      <c r="AW89" s="389">
        <f>AW83/12-AO83</f>
        <v>0</v>
      </c>
      <c r="AX89" s="939"/>
      <c r="AY89" s="939"/>
      <c r="AZ89" s="941"/>
      <c r="BA89" s="941"/>
      <c r="BB89" s="941"/>
      <c r="BC89" s="934"/>
      <c r="BD89" s="941"/>
      <c r="BE89" s="941"/>
      <c r="BF89" s="941"/>
      <c r="BG89" s="942"/>
      <c r="BH89" s="941"/>
      <c r="BI89" s="941"/>
      <c r="BJ89" s="941"/>
      <c r="BK89" s="943"/>
      <c r="BL89" s="943"/>
      <c r="BM89" s="943"/>
      <c r="BN89" s="943"/>
      <c r="BO89" s="943"/>
      <c r="BP89" s="944"/>
      <c r="BQ89" s="943"/>
      <c r="BR89" s="943"/>
      <c r="BS89" s="943"/>
      <c r="BU89" s="945"/>
      <c r="BV89" s="946"/>
      <c r="BW89" s="947"/>
      <c r="BX89" s="945"/>
      <c r="BY89" s="947"/>
      <c r="BZ89" s="946"/>
      <c r="CA89" s="947"/>
      <c r="CB89" s="946"/>
      <c r="CC89" s="947"/>
      <c r="CD89" s="947"/>
      <c r="CE89" s="947"/>
      <c r="CF89" s="948"/>
      <c r="CG89" s="949"/>
      <c r="CH89" s="949"/>
      <c r="CI89" s="950"/>
      <c r="CJ89" s="951"/>
      <c r="CK89" s="951"/>
      <c r="CL89" s="952"/>
      <c r="CM89" s="951"/>
      <c r="CN89" s="951"/>
      <c r="CO89" s="952"/>
      <c r="CP89" s="951"/>
      <c r="CQ89" s="951"/>
      <c r="CR89" s="952"/>
      <c r="CS89" s="946"/>
      <c r="CT89" s="953"/>
      <c r="CU89" s="953"/>
      <c r="CV89" s="953"/>
      <c r="CX89" s="951"/>
      <c r="CY89" s="951"/>
      <c r="CZ89" s="952"/>
      <c r="DB89" s="954"/>
      <c r="DC89" s="954"/>
      <c r="DD89" s="921"/>
      <c r="DE89" s="954"/>
      <c r="DF89" s="954"/>
      <c r="DG89" s="921"/>
      <c r="DH89" s="954"/>
      <c r="DI89" s="954"/>
      <c r="DJ89" s="921"/>
      <c r="DK89" s="954"/>
      <c r="DL89" s="954"/>
      <c r="DM89" s="921"/>
      <c r="DN89" s="954"/>
      <c r="DO89" s="954"/>
      <c r="DP89" s="921"/>
      <c r="DQ89" s="942"/>
      <c r="DR89" s="951"/>
      <c r="DS89" s="951"/>
      <c r="DT89" s="952"/>
      <c r="DV89" s="921"/>
      <c r="DW89" s="921"/>
      <c r="DX89" s="921"/>
      <c r="DY89" s="921"/>
      <c r="DZ89" s="921"/>
      <c r="EA89" s="921"/>
      <c r="EB89" s="921"/>
      <c r="EC89" s="921"/>
      <c r="ED89" s="921"/>
      <c r="EE89" s="921"/>
      <c r="EF89" s="921"/>
      <c r="EG89" s="921"/>
      <c r="EH89" s="921"/>
      <c r="EI89" s="921"/>
      <c r="EJ89" s="921"/>
      <c r="EK89" s="921"/>
      <c r="EL89" s="921"/>
      <c r="EM89" s="921"/>
      <c r="EN89" s="921"/>
      <c r="EO89" s="921"/>
      <c r="EP89" s="921"/>
      <c r="EQ89" s="954"/>
      <c r="ER89" s="954"/>
      <c r="ES89" s="954"/>
      <c r="ET89" s="954"/>
      <c r="EV89" s="942"/>
      <c r="EW89" s="951"/>
      <c r="EX89" s="951"/>
      <c r="EY89" s="952"/>
    </row>
    <row r="90" spans="1:155" s="927" customFormat="1" ht="15.75" x14ac:dyDescent="0.25">
      <c r="A90" s="931"/>
      <c r="B90" s="932" t="s">
        <v>499</v>
      </c>
      <c r="C90" s="933"/>
      <c r="D90" s="933"/>
      <c r="E90" s="934"/>
      <c r="F90" s="935"/>
      <c r="G90" s="934"/>
      <c r="H90" s="935"/>
      <c r="I90" s="936"/>
      <c r="J90" s="937"/>
      <c r="K90" s="938"/>
      <c r="L90" s="936"/>
      <c r="M90" s="937"/>
      <c r="N90" s="938"/>
      <c r="O90" s="936"/>
      <c r="P90" s="937"/>
      <c r="Q90" s="938"/>
      <c r="R90" s="936"/>
      <c r="S90" s="937"/>
      <c r="T90" s="938"/>
      <c r="U90" s="936"/>
      <c r="V90" s="937"/>
      <c r="W90" s="938"/>
      <c r="X90" s="936"/>
      <c r="Y90" s="937"/>
      <c r="Z90" s="938"/>
      <c r="AA90" s="936"/>
      <c r="AB90" s="937"/>
      <c r="AC90" s="938"/>
      <c r="AD90" s="936"/>
      <c r="AE90" s="937"/>
      <c r="AF90" s="938"/>
      <c r="AG90" s="936"/>
      <c r="AH90" s="937"/>
      <c r="AI90" s="938"/>
      <c r="AJ90" s="936"/>
      <c r="AK90" s="937"/>
      <c r="AL90" s="938"/>
      <c r="AM90" s="936"/>
      <c r="AN90" s="933"/>
      <c r="AO90" s="936"/>
      <c r="AP90" s="933"/>
      <c r="AQ90" s="935"/>
      <c r="AR90" s="936"/>
      <c r="AS90" s="935"/>
      <c r="AT90" s="939"/>
      <c r="AU90" s="933"/>
      <c r="AV90" s="940"/>
      <c r="AW90" s="986"/>
      <c r="AX90" s="939"/>
      <c r="AY90" s="939"/>
      <c r="AZ90" s="941"/>
      <c r="BA90" s="941"/>
      <c r="BB90" s="941"/>
      <c r="BC90" s="934"/>
      <c r="BD90" s="941"/>
      <c r="BE90" s="941"/>
      <c r="BF90" s="941"/>
      <c r="BG90" s="942"/>
      <c r="BH90" s="941"/>
      <c r="BI90" s="941"/>
      <c r="BJ90" s="941"/>
      <c r="BK90" s="943"/>
      <c r="BL90" s="943"/>
      <c r="BM90" s="943"/>
      <c r="BN90" s="943"/>
      <c r="BO90" s="943"/>
      <c r="BP90" s="944"/>
      <c r="BQ90" s="943"/>
      <c r="BR90" s="943"/>
      <c r="BS90" s="943"/>
      <c r="BU90" s="945"/>
      <c r="BV90" s="946"/>
      <c r="BW90" s="947"/>
      <c r="BX90" s="945"/>
      <c r="BY90" s="947"/>
      <c r="BZ90" s="946"/>
      <c r="CA90" s="947"/>
      <c r="CB90" s="946"/>
      <c r="CC90" s="947"/>
      <c r="CD90" s="947"/>
      <c r="CE90" s="947"/>
      <c r="CF90" s="948"/>
      <c r="CG90" s="949"/>
      <c r="CH90" s="949"/>
      <c r="CI90" s="950"/>
      <c r="CJ90" s="951"/>
      <c r="CK90" s="951"/>
      <c r="CL90" s="952"/>
      <c r="CM90" s="951"/>
      <c r="CN90" s="951"/>
      <c r="CO90" s="952"/>
      <c r="CP90" s="951"/>
      <c r="CQ90" s="951"/>
      <c r="CR90" s="952"/>
      <c r="CS90" s="946"/>
      <c r="CT90" s="953"/>
      <c r="CU90" s="953"/>
      <c r="CV90" s="953"/>
      <c r="CX90" s="951"/>
      <c r="CY90" s="951"/>
      <c r="CZ90" s="952"/>
      <c r="DB90" s="954"/>
      <c r="DC90" s="954"/>
      <c r="DD90" s="921"/>
      <c r="DE90" s="954"/>
      <c r="DF90" s="954"/>
      <c r="DG90" s="921"/>
      <c r="DH90" s="954"/>
      <c r="DI90" s="954"/>
      <c r="DJ90" s="921"/>
      <c r="DK90" s="954"/>
      <c r="DL90" s="954"/>
      <c r="DM90" s="921"/>
      <c r="DN90" s="954"/>
      <c r="DO90" s="954"/>
      <c r="DP90" s="921"/>
      <c r="DQ90" s="942"/>
      <c r="DR90" s="951"/>
      <c r="DS90" s="951"/>
      <c r="DT90" s="952"/>
      <c r="DV90" s="921"/>
      <c r="DW90" s="921"/>
      <c r="DX90" s="921"/>
      <c r="DY90" s="921"/>
      <c r="DZ90" s="921"/>
      <c r="EA90" s="921"/>
      <c r="EB90" s="921"/>
      <c r="EC90" s="921"/>
      <c r="ED90" s="921"/>
      <c r="EE90" s="921"/>
      <c r="EF90" s="921"/>
      <c r="EG90" s="921"/>
      <c r="EH90" s="921"/>
      <c r="EI90" s="921"/>
      <c r="EJ90" s="921"/>
      <c r="EK90" s="921"/>
      <c r="EL90" s="921"/>
      <c r="EM90" s="921"/>
      <c r="EN90" s="921"/>
      <c r="EO90" s="921"/>
      <c r="EP90" s="921"/>
      <c r="EQ90" s="954"/>
      <c r="ER90" s="954"/>
      <c r="ES90" s="954"/>
      <c r="ET90" s="954"/>
      <c r="EV90" s="942"/>
      <c r="EW90" s="951"/>
      <c r="EX90" s="951"/>
      <c r="EY90" s="952"/>
    </row>
    <row r="91" spans="1:155" s="927" customFormat="1" ht="15.75" x14ac:dyDescent="0.25">
      <c r="A91" s="931"/>
      <c r="B91" s="932" t="s">
        <v>406</v>
      </c>
      <c r="C91" s="933"/>
      <c r="D91" s="933"/>
      <c r="E91" s="934"/>
      <c r="F91" s="935"/>
      <c r="G91" s="934"/>
      <c r="H91" s="935"/>
      <c r="I91" s="936"/>
      <c r="J91" s="937"/>
      <c r="K91" s="938"/>
      <c r="L91" s="936"/>
      <c r="M91" s="937"/>
      <c r="N91" s="938"/>
      <c r="O91" s="936"/>
      <c r="P91" s="937"/>
      <c r="Q91" s="938"/>
      <c r="R91" s="936"/>
      <c r="S91" s="937"/>
      <c r="T91" s="938"/>
      <c r="U91" s="936"/>
      <c r="V91" s="937"/>
      <c r="W91" s="938"/>
      <c r="X91" s="936"/>
      <c r="Y91" s="937"/>
      <c r="Z91" s="938"/>
      <c r="AA91" s="936"/>
      <c r="AB91" s="937"/>
      <c r="AC91" s="938"/>
      <c r="AD91" s="936"/>
      <c r="AE91" s="937"/>
      <c r="AF91" s="938"/>
      <c r="AG91" s="936"/>
      <c r="AH91" s="937"/>
      <c r="AI91" s="938"/>
      <c r="AJ91" s="936"/>
      <c r="AK91" s="937"/>
      <c r="AL91" s="938"/>
      <c r="AM91" s="936"/>
      <c r="AN91" s="933"/>
      <c r="AO91" s="936"/>
      <c r="AP91" s="933"/>
      <c r="AQ91" s="935"/>
      <c r="AR91" s="936"/>
      <c r="AS91" s="935"/>
      <c r="AT91" s="939"/>
      <c r="AU91" s="933"/>
      <c r="AV91" s="940"/>
      <c r="AW91" s="336">
        <f>AW86/I80</f>
        <v>1.32193</v>
      </c>
      <c r="AX91" s="939"/>
      <c r="AY91" s="939"/>
      <c r="AZ91" s="941"/>
      <c r="BA91" s="941"/>
      <c r="BB91" s="941"/>
      <c r="BC91" s="934"/>
      <c r="BD91" s="941"/>
      <c r="BE91" s="941"/>
      <c r="BF91" s="941"/>
      <c r="BG91" s="942"/>
      <c r="BH91" s="941"/>
      <c r="BI91" s="941"/>
      <c r="BJ91" s="941"/>
      <c r="BK91" s="943"/>
      <c r="BL91" s="943"/>
      <c r="BM91" s="943"/>
      <c r="BN91" s="943"/>
      <c r="BO91" s="943"/>
      <c r="BP91" s="944"/>
      <c r="BQ91" s="943"/>
      <c r="BR91" s="943"/>
      <c r="BS91" s="943"/>
      <c r="BU91" s="945"/>
      <c r="BV91" s="946"/>
      <c r="BW91" s="947"/>
      <c r="BX91" s="945"/>
      <c r="BY91" s="947"/>
      <c r="BZ91" s="946"/>
      <c r="CA91" s="947"/>
      <c r="CB91" s="946"/>
      <c r="CC91" s="947"/>
      <c r="CD91" s="947"/>
      <c r="CE91" s="947"/>
      <c r="CF91" s="948"/>
      <c r="CG91" s="949"/>
      <c r="CH91" s="949"/>
      <c r="CI91" s="950"/>
      <c r="CJ91" s="951"/>
      <c r="CK91" s="951"/>
      <c r="CL91" s="952"/>
      <c r="CM91" s="951"/>
      <c r="CN91" s="951"/>
      <c r="CO91" s="952"/>
      <c r="CP91" s="951"/>
      <c r="CQ91" s="951"/>
      <c r="CR91" s="952"/>
      <c r="CS91" s="946"/>
      <c r="CT91" s="953"/>
      <c r="CU91" s="953"/>
      <c r="CV91" s="953"/>
      <c r="CX91" s="951"/>
      <c r="CY91" s="951"/>
      <c r="CZ91" s="952"/>
      <c r="DB91" s="954"/>
      <c r="DC91" s="954"/>
      <c r="DD91" s="921"/>
      <c r="DE91" s="954"/>
      <c r="DF91" s="954"/>
      <c r="DG91" s="921"/>
      <c r="DH91" s="954"/>
      <c r="DI91" s="954"/>
      <c r="DJ91" s="921"/>
      <c r="DK91" s="954"/>
      <c r="DL91" s="954"/>
      <c r="DM91" s="921"/>
      <c r="DN91" s="954"/>
      <c r="DO91" s="954"/>
      <c r="DP91" s="921"/>
      <c r="DQ91" s="942"/>
      <c r="DR91" s="951"/>
      <c r="DS91" s="951"/>
      <c r="DT91" s="952"/>
      <c r="DV91" s="921"/>
      <c r="DW91" s="921"/>
      <c r="DX91" s="921"/>
      <c r="DY91" s="921"/>
      <c r="DZ91" s="921"/>
      <c r="EA91" s="921"/>
      <c r="EB91" s="921"/>
      <c r="EC91" s="921"/>
      <c r="ED91" s="921"/>
      <c r="EE91" s="921"/>
      <c r="EF91" s="921"/>
      <c r="EG91" s="921"/>
      <c r="EH91" s="921"/>
      <c r="EI91" s="921"/>
      <c r="EJ91" s="921"/>
      <c r="EK91" s="921"/>
      <c r="EL91" s="921"/>
      <c r="EM91" s="921"/>
      <c r="EN91" s="921"/>
      <c r="EO91" s="921"/>
      <c r="EP91" s="921"/>
      <c r="EQ91" s="954"/>
      <c r="ER91" s="954"/>
      <c r="ES91" s="954"/>
      <c r="ET91" s="954"/>
      <c r="EV91" s="942"/>
      <c r="EW91" s="951"/>
      <c r="EX91" s="951"/>
      <c r="EY91" s="952"/>
    </row>
    <row r="92" spans="1:155" s="927" customFormat="1" ht="15.75" x14ac:dyDescent="0.25">
      <c r="A92" s="931"/>
      <c r="B92" s="932" t="s">
        <v>498</v>
      </c>
      <c r="C92" s="933"/>
      <c r="D92" s="933"/>
      <c r="E92" s="934"/>
      <c r="F92" s="935"/>
      <c r="G92" s="934"/>
      <c r="H92" s="935"/>
      <c r="I92" s="936"/>
      <c r="J92" s="937"/>
      <c r="K92" s="938"/>
      <c r="L92" s="936"/>
      <c r="M92" s="937"/>
      <c r="N92" s="938"/>
      <c r="O92" s="936"/>
      <c r="P92" s="937"/>
      <c r="Q92" s="938"/>
      <c r="R92" s="936"/>
      <c r="S92" s="937"/>
      <c r="T92" s="938"/>
      <c r="U92" s="936"/>
      <c r="V92" s="937"/>
      <c r="W92" s="938"/>
      <c r="X92" s="936"/>
      <c r="Y92" s="937"/>
      <c r="Z92" s="938"/>
      <c r="AA92" s="936"/>
      <c r="AB92" s="937"/>
      <c r="AC92" s="938"/>
      <c r="AD92" s="936"/>
      <c r="AE92" s="937"/>
      <c r="AF92" s="938"/>
      <c r="AG92" s="936"/>
      <c r="AH92" s="937"/>
      <c r="AI92" s="938"/>
      <c r="AJ92" s="936"/>
      <c r="AK92" s="937"/>
      <c r="AL92" s="938"/>
      <c r="AM92" s="936"/>
      <c r="AN92" s="933"/>
      <c r="AO92" s="936"/>
      <c r="AP92" s="933"/>
      <c r="AQ92" s="935"/>
      <c r="AR92" s="936"/>
      <c r="AS92" s="935"/>
      <c r="AT92" s="939"/>
      <c r="AU92" s="933"/>
      <c r="AV92" s="940"/>
      <c r="AW92" s="986"/>
      <c r="AX92" s="939"/>
      <c r="AY92" s="939"/>
      <c r="AZ92" s="941"/>
      <c r="BA92" s="941"/>
      <c r="BB92" s="941"/>
      <c r="BC92" s="934"/>
      <c r="BD92" s="941"/>
      <c r="BE92" s="941"/>
      <c r="BF92" s="941"/>
      <c r="BG92" s="942"/>
      <c r="BH92" s="941"/>
      <c r="BI92" s="941"/>
      <c r="BJ92" s="941"/>
      <c r="BK92" s="943"/>
      <c r="BL92" s="943"/>
      <c r="BM92" s="943"/>
      <c r="BN92" s="943"/>
      <c r="BO92" s="943"/>
      <c r="BP92" s="944"/>
      <c r="BQ92" s="943"/>
      <c r="BR92" s="943"/>
      <c r="BS92" s="943"/>
      <c r="BU92" s="945"/>
      <c r="BV92" s="946"/>
      <c r="BW92" s="947"/>
      <c r="BX92" s="945"/>
      <c r="BY92" s="947"/>
      <c r="BZ92" s="946"/>
      <c r="CA92" s="947"/>
      <c r="CB92" s="946"/>
      <c r="CC92" s="947"/>
      <c r="CD92" s="947"/>
      <c r="CE92" s="947"/>
      <c r="CF92" s="948"/>
      <c r="CG92" s="949"/>
      <c r="CH92" s="949"/>
      <c r="CI92" s="950"/>
      <c r="CJ92" s="951"/>
      <c r="CK92" s="951"/>
      <c r="CL92" s="952"/>
      <c r="CM92" s="951"/>
      <c r="CN92" s="951"/>
      <c r="CO92" s="952"/>
      <c r="CP92" s="951"/>
      <c r="CQ92" s="951"/>
      <c r="CR92" s="952"/>
      <c r="CS92" s="946"/>
      <c r="CT92" s="953"/>
      <c r="CU92" s="953"/>
      <c r="CV92" s="953"/>
      <c r="CX92" s="951"/>
      <c r="CY92" s="951"/>
      <c r="CZ92" s="952"/>
      <c r="DB92" s="954"/>
      <c r="DC92" s="954"/>
      <c r="DD92" s="921"/>
      <c r="DE92" s="954"/>
      <c r="DF92" s="954"/>
      <c r="DG92" s="921"/>
      <c r="DH92" s="954"/>
      <c r="DI92" s="954"/>
      <c r="DJ92" s="921"/>
      <c r="DK92" s="954"/>
      <c r="DL92" s="954"/>
      <c r="DM92" s="921"/>
      <c r="DN92" s="954"/>
      <c r="DO92" s="954"/>
      <c r="DP92" s="921"/>
      <c r="DQ92" s="942"/>
      <c r="DR92" s="951"/>
      <c r="DS92" s="951"/>
      <c r="DT92" s="952"/>
      <c r="DV92" s="921"/>
      <c r="DW92" s="921"/>
      <c r="DX92" s="921"/>
      <c r="DY92" s="921"/>
      <c r="DZ92" s="921"/>
      <c r="EA92" s="921"/>
      <c r="EB92" s="921"/>
      <c r="EC92" s="921"/>
      <c r="ED92" s="921"/>
      <c r="EE92" s="921"/>
      <c r="EF92" s="921"/>
      <c r="EG92" s="921"/>
      <c r="EH92" s="921"/>
      <c r="EI92" s="921"/>
      <c r="EJ92" s="921"/>
      <c r="EK92" s="921"/>
      <c r="EL92" s="921"/>
      <c r="EM92" s="921"/>
      <c r="EN92" s="921"/>
      <c r="EO92" s="921"/>
      <c r="EP92" s="921"/>
      <c r="EQ92" s="954"/>
      <c r="ER92" s="954"/>
      <c r="ES92" s="954"/>
      <c r="ET92" s="954"/>
      <c r="EV92" s="942"/>
      <c r="EW92" s="951"/>
      <c r="EX92" s="951"/>
      <c r="EY92" s="952"/>
    </row>
    <row r="93" spans="1:155" s="927" customFormat="1" ht="15.75" x14ac:dyDescent="0.25">
      <c r="A93" s="931"/>
      <c r="B93" s="932" t="s">
        <v>403</v>
      </c>
      <c r="C93" s="933"/>
      <c r="D93" s="933"/>
      <c r="E93" s="934"/>
      <c r="F93" s="935"/>
      <c r="G93" s="934"/>
      <c r="H93" s="935"/>
      <c r="I93" s="936"/>
      <c r="J93" s="937"/>
      <c r="K93" s="938"/>
      <c r="L93" s="936"/>
      <c r="M93" s="937"/>
      <c r="N93" s="938"/>
      <c r="O93" s="936"/>
      <c r="P93" s="937"/>
      <c r="Q93" s="938"/>
      <c r="R93" s="936"/>
      <c r="S93" s="937"/>
      <c r="T93" s="938"/>
      <c r="U93" s="936"/>
      <c r="V93" s="937"/>
      <c r="W93" s="938"/>
      <c r="X93" s="936"/>
      <c r="Y93" s="937"/>
      <c r="Z93" s="938"/>
      <c r="AA93" s="936"/>
      <c r="AB93" s="937"/>
      <c r="AC93" s="938"/>
      <c r="AD93" s="936"/>
      <c r="AE93" s="937"/>
      <c r="AF93" s="938"/>
      <c r="AG93" s="936"/>
      <c r="AH93" s="937"/>
      <c r="AI93" s="938"/>
      <c r="AJ93" s="936"/>
      <c r="AK93" s="937"/>
      <c r="AL93" s="938"/>
      <c r="AM93" s="936"/>
      <c r="AN93" s="933"/>
      <c r="AO93" s="936"/>
      <c r="AP93" s="933"/>
      <c r="AQ93" s="935"/>
      <c r="AR93" s="936"/>
      <c r="AS93" s="935"/>
      <c r="AT93" s="939"/>
      <c r="AU93" s="933"/>
      <c r="AV93" s="940"/>
      <c r="AW93" s="337">
        <f>AW87/AW86</f>
        <v>0.21695999999999999</v>
      </c>
      <c r="AX93" s="939"/>
      <c r="AY93" s="939"/>
      <c r="AZ93" s="941"/>
      <c r="BA93" s="941"/>
      <c r="BB93" s="941"/>
      <c r="BC93" s="934"/>
      <c r="BD93" s="941"/>
      <c r="BE93" s="941"/>
      <c r="BF93" s="941"/>
      <c r="BG93" s="942"/>
      <c r="BH93" s="941"/>
      <c r="BI93" s="941"/>
      <c r="BJ93" s="941"/>
      <c r="BK93" s="943"/>
      <c r="BL93" s="943"/>
      <c r="BM93" s="943"/>
      <c r="BN93" s="943"/>
      <c r="BO93" s="943"/>
      <c r="BP93" s="944"/>
      <c r="BQ93" s="943"/>
      <c r="BR93" s="943"/>
      <c r="BS93" s="943"/>
      <c r="BU93" s="945"/>
      <c r="BV93" s="946"/>
      <c r="BW93" s="947"/>
      <c r="BX93" s="945"/>
      <c r="BY93" s="947"/>
      <c r="BZ93" s="946"/>
      <c r="CA93" s="947"/>
      <c r="CB93" s="946"/>
      <c r="CC93" s="947"/>
      <c r="CD93" s="947"/>
      <c r="CE93" s="947"/>
      <c r="CF93" s="948"/>
      <c r="CG93" s="949"/>
      <c r="CH93" s="949"/>
      <c r="CI93" s="950"/>
      <c r="CJ93" s="951"/>
      <c r="CK93" s="951"/>
      <c r="CL93" s="952"/>
      <c r="CM93" s="951"/>
      <c r="CN93" s="951"/>
      <c r="CO93" s="952"/>
      <c r="CP93" s="951"/>
      <c r="CQ93" s="951"/>
      <c r="CR93" s="952"/>
      <c r="CS93" s="946"/>
      <c r="CT93" s="953"/>
      <c r="CU93" s="953"/>
      <c r="CV93" s="953"/>
      <c r="CX93" s="951"/>
      <c r="CY93" s="951"/>
      <c r="CZ93" s="952"/>
      <c r="DB93" s="954"/>
      <c r="DC93" s="954"/>
      <c r="DD93" s="921"/>
      <c r="DE93" s="954"/>
      <c r="DF93" s="954"/>
      <c r="DG93" s="921"/>
      <c r="DH93" s="954"/>
      <c r="DI93" s="954"/>
      <c r="DJ93" s="921"/>
      <c r="DK93" s="954"/>
      <c r="DL93" s="954"/>
      <c r="DM93" s="921"/>
      <c r="DN93" s="954"/>
      <c r="DO93" s="954"/>
      <c r="DP93" s="921"/>
      <c r="DQ93" s="942"/>
      <c r="DR93" s="951"/>
      <c r="DS93" s="951"/>
      <c r="DT93" s="952"/>
      <c r="DV93" s="921"/>
      <c r="DW93" s="921"/>
      <c r="DX93" s="921"/>
      <c r="DY93" s="921"/>
      <c r="DZ93" s="921"/>
      <c r="EA93" s="921"/>
      <c r="EB93" s="921"/>
      <c r="EC93" s="921"/>
      <c r="ED93" s="921"/>
      <c r="EE93" s="921"/>
      <c r="EF93" s="921"/>
      <c r="EG93" s="921"/>
      <c r="EH93" s="921"/>
      <c r="EI93" s="921"/>
      <c r="EJ93" s="921"/>
      <c r="EK93" s="921"/>
      <c r="EL93" s="921"/>
      <c r="EM93" s="921"/>
      <c r="EN93" s="921"/>
      <c r="EO93" s="921"/>
      <c r="EP93" s="921"/>
      <c r="EQ93" s="954"/>
      <c r="ER93" s="954"/>
      <c r="ES93" s="954"/>
      <c r="ET93" s="954"/>
      <c r="EV93" s="942"/>
      <c r="EW93" s="951"/>
      <c r="EX93" s="951"/>
      <c r="EY93" s="952"/>
    </row>
    <row r="94" spans="1:155" s="927" customFormat="1" ht="15.75" x14ac:dyDescent="0.25">
      <c r="A94" s="931"/>
      <c r="B94" s="932" t="s">
        <v>404</v>
      </c>
      <c r="C94" s="933"/>
      <c r="D94" s="933"/>
      <c r="E94" s="934"/>
      <c r="F94" s="935"/>
      <c r="G94" s="934"/>
      <c r="H94" s="935"/>
      <c r="I94" s="936"/>
      <c r="J94" s="937"/>
      <c r="K94" s="938"/>
      <c r="L94" s="936"/>
      <c r="M94" s="937"/>
      <c r="N94" s="938"/>
      <c r="O94" s="936"/>
      <c r="P94" s="937"/>
      <c r="Q94" s="938"/>
      <c r="R94" s="936"/>
      <c r="S94" s="937"/>
      <c r="T94" s="938"/>
      <c r="U94" s="936"/>
      <c r="V94" s="937"/>
      <c r="W94" s="938"/>
      <c r="X94" s="936"/>
      <c r="Y94" s="937"/>
      <c r="Z94" s="938"/>
      <c r="AA94" s="936"/>
      <c r="AB94" s="937"/>
      <c r="AC94" s="938"/>
      <c r="AD94" s="936"/>
      <c r="AE94" s="937"/>
      <c r="AF94" s="938"/>
      <c r="AG94" s="936"/>
      <c r="AH94" s="937"/>
      <c r="AI94" s="938"/>
      <c r="AJ94" s="936"/>
      <c r="AK94" s="937"/>
      <c r="AL94" s="938"/>
      <c r="AM94" s="936"/>
      <c r="AN94" s="933"/>
      <c r="AO94" s="936"/>
      <c r="AP94" s="933"/>
      <c r="AQ94" s="935"/>
      <c r="AR94" s="936"/>
      <c r="AS94" s="935"/>
      <c r="AT94" s="939"/>
      <c r="AU94" s="933"/>
      <c r="AV94" s="940"/>
      <c r="AW94" s="338">
        <f>AW88/AW86</f>
        <v>0.97809999999999997</v>
      </c>
      <c r="AX94" s="939"/>
      <c r="AY94" s="939"/>
      <c r="AZ94" s="941"/>
      <c r="BA94" s="941"/>
      <c r="BB94" s="941"/>
      <c r="BC94" s="934"/>
      <c r="BD94" s="941"/>
      <c r="BE94" s="941"/>
      <c r="BF94" s="941"/>
      <c r="BG94" s="942"/>
      <c r="BH94" s="941"/>
      <c r="BI94" s="941"/>
      <c r="BJ94" s="941"/>
      <c r="BK94" s="943"/>
      <c r="BL94" s="943"/>
      <c r="BM94" s="943"/>
      <c r="BN94" s="943"/>
      <c r="BO94" s="943"/>
      <c r="BP94" s="944"/>
      <c r="BQ94" s="943"/>
      <c r="BR94" s="943"/>
      <c r="BS94" s="943"/>
      <c r="BU94" s="945"/>
      <c r="BV94" s="946"/>
      <c r="BW94" s="947"/>
      <c r="BX94" s="945"/>
      <c r="BY94" s="947"/>
      <c r="BZ94" s="946"/>
      <c r="CA94" s="947"/>
      <c r="CB94" s="946"/>
      <c r="CC94" s="947"/>
      <c r="CD94" s="947"/>
      <c r="CE94" s="947"/>
      <c r="CF94" s="948"/>
      <c r="CG94" s="949"/>
      <c r="CH94" s="949"/>
      <c r="CI94" s="950"/>
      <c r="CJ94" s="951"/>
      <c r="CK94" s="951"/>
      <c r="CL94" s="952"/>
      <c r="CM94" s="951"/>
      <c r="CN94" s="951"/>
      <c r="CO94" s="952"/>
      <c r="CP94" s="951"/>
      <c r="CQ94" s="951"/>
      <c r="CR94" s="952"/>
      <c r="CS94" s="946"/>
      <c r="CT94" s="953"/>
      <c r="CU94" s="953"/>
      <c r="CV94" s="953"/>
      <c r="CX94" s="951"/>
      <c r="CY94" s="951"/>
      <c r="CZ94" s="952"/>
      <c r="DB94" s="954"/>
      <c r="DC94" s="954"/>
      <c r="DD94" s="921"/>
      <c r="DE94" s="954"/>
      <c r="DF94" s="954"/>
      <c r="DG94" s="921"/>
      <c r="DH94" s="954"/>
      <c r="DI94" s="954"/>
      <c r="DJ94" s="921"/>
      <c r="DK94" s="954"/>
      <c r="DL94" s="954"/>
      <c r="DM94" s="921"/>
      <c r="DN94" s="954"/>
      <c r="DO94" s="954"/>
      <c r="DP94" s="921"/>
      <c r="DQ94" s="942"/>
      <c r="DR94" s="951"/>
      <c r="DS94" s="951"/>
      <c r="DT94" s="952"/>
      <c r="DV94" s="921"/>
      <c r="DW94" s="921"/>
      <c r="DX94" s="921"/>
      <c r="DY94" s="921"/>
      <c r="DZ94" s="921"/>
      <c r="EA94" s="921"/>
      <c r="EB94" s="921"/>
      <c r="EC94" s="921"/>
      <c r="ED94" s="921"/>
      <c r="EE94" s="921"/>
      <c r="EF94" s="921"/>
      <c r="EG94" s="921"/>
      <c r="EH94" s="921"/>
      <c r="EI94" s="921"/>
      <c r="EJ94" s="921"/>
      <c r="EK94" s="921"/>
      <c r="EL94" s="921"/>
      <c r="EM94" s="921"/>
      <c r="EN94" s="921"/>
      <c r="EO94" s="921"/>
      <c r="EP94" s="921"/>
      <c r="EQ94" s="954"/>
      <c r="ER94" s="954"/>
      <c r="ES94" s="954"/>
      <c r="ET94" s="954"/>
      <c r="EV94" s="942"/>
      <c r="EW94" s="951"/>
      <c r="EX94" s="951"/>
      <c r="EY94" s="952"/>
    </row>
    <row r="95" spans="1:155" s="927" customFormat="1" ht="15.75" x14ac:dyDescent="0.25">
      <c r="A95" s="931"/>
      <c r="B95" s="932" t="s">
        <v>405</v>
      </c>
      <c r="C95" s="933"/>
      <c r="D95" s="933"/>
      <c r="E95" s="934"/>
      <c r="F95" s="935"/>
      <c r="G95" s="934"/>
      <c r="H95" s="935"/>
      <c r="I95" s="936"/>
      <c r="J95" s="937"/>
      <c r="K95" s="938"/>
      <c r="L95" s="936"/>
      <c r="M95" s="937"/>
      <c r="N95" s="938"/>
      <c r="O95" s="936"/>
      <c r="P95" s="937"/>
      <c r="Q95" s="938"/>
      <c r="R95" s="936"/>
      <c r="S95" s="937"/>
      <c r="T95" s="938"/>
      <c r="U95" s="936"/>
      <c r="V95" s="937"/>
      <c r="W95" s="938"/>
      <c r="X95" s="936"/>
      <c r="Y95" s="937"/>
      <c r="Z95" s="938"/>
      <c r="AA95" s="936"/>
      <c r="AB95" s="937"/>
      <c r="AC95" s="938"/>
      <c r="AD95" s="936"/>
      <c r="AE95" s="937"/>
      <c r="AF95" s="938"/>
      <c r="AG95" s="936"/>
      <c r="AH95" s="937"/>
      <c r="AI95" s="938"/>
      <c r="AJ95" s="936"/>
      <c r="AK95" s="937"/>
      <c r="AL95" s="938"/>
      <c r="AM95" s="936"/>
      <c r="AN95" s="933"/>
      <c r="AO95" s="936"/>
      <c r="AP95" s="933"/>
      <c r="AQ95" s="935"/>
      <c r="AR95" s="936"/>
      <c r="AS95" s="935"/>
      <c r="AT95" s="939"/>
      <c r="AU95" s="933"/>
      <c r="AV95" s="940"/>
      <c r="AW95" s="339">
        <f>AW89/AW86</f>
        <v>0</v>
      </c>
      <c r="AX95" s="939"/>
      <c r="AY95" s="939"/>
      <c r="AZ95" s="941"/>
      <c r="BA95" s="941"/>
      <c r="BB95" s="941"/>
      <c r="BC95" s="934"/>
      <c r="BD95" s="941"/>
      <c r="BE95" s="941"/>
      <c r="BF95" s="941"/>
      <c r="BG95" s="942"/>
      <c r="BH95" s="941"/>
      <c r="BI95" s="941"/>
      <c r="BJ95" s="941"/>
      <c r="BK95" s="943"/>
      <c r="BL95" s="943"/>
      <c r="BM95" s="943"/>
      <c r="BN95" s="943"/>
      <c r="BO95" s="943"/>
      <c r="BP95" s="944"/>
      <c r="BQ95" s="943"/>
      <c r="BR95" s="943"/>
      <c r="BS95" s="943"/>
      <c r="BU95" s="945"/>
      <c r="BV95" s="946"/>
      <c r="BW95" s="947"/>
      <c r="BX95" s="945"/>
      <c r="BY95" s="947"/>
      <c r="BZ95" s="946"/>
      <c r="CA95" s="947"/>
      <c r="CB95" s="946"/>
      <c r="CC95" s="947"/>
      <c r="CD95" s="947"/>
      <c r="CE95" s="947"/>
      <c r="CF95" s="948"/>
      <c r="CG95" s="949"/>
      <c r="CH95" s="949"/>
      <c r="CI95" s="950"/>
      <c r="CJ95" s="951"/>
      <c r="CK95" s="951"/>
      <c r="CL95" s="952"/>
      <c r="CM95" s="951"/>
      <c r="CN95" s="951"/>
      <c r="CO95" s="952"/>
      <c r="CP95" s="951"/>
      <c r="CQ95" s="951"/>
      <c r="CR95" s="952"/>
      <c r="CS95" s="946"/>
      <c r="CT95" s="953"/>
      <c r="CU95" s="953"/>
      <c r="CV95" s="953"/>
      <c r="CX95" s="951"/>
      <c r="CY95" s="951"/>
      <c r="CZ95" s="952"/>
      <c r="DB95" s="954"/>
      <c r="DC95" s="954"/>
      <c r="DD95" s="921"/>
      <c r="DE95" s="954"/>
      <c r="DF95" s="954"/>
      <c r="DG95" s="921"/>
      <c r="DH95" s="954"/>
      <c r="DI95" s="954"/>
      <c r="DJ95" s="921"/>
      <c r="DK95" s="954"/>
      <c r="DL95" s="954"/>
      <c r="DM95" s="921"/>
      <c r="DN95" s="954"/>
      <c r="DO95" s="954"/>
      <c r="DP95" s="921"/>
      <c r="DQ95" s="942"/>
      <c r="DR95" s="951"/>
      <c r="DS95" s="951"/>
      <c r="DT95" s="952"/>
      <c r="DV95" s="921"/>
      <c r="DW95" s="921"/>
      <c r="DX95" s="921"/>
      <c r="DY95" s="921"/>
      <c r="DZ95" s="921"/>
      <c r="EA95" s="921"/>
      <c r="EB95" s="921"/>
      <c r="EC95" s="921"/>
      <c r="ED95" s="921"/>
      <c r="EE95" s="921"/>
      <c r="EF95" s="921"/>
      <c r="EG95" s="921"/>
      <c r="EH95" s="921"/>
      <c r="EI95" s="921"/>
      <c r="EJ95" s="921"/>
      <c r="EK95" s="921"/>
      <c r="EL95" s="921"/>
      <c r="EM95" s="921"/>
      <c r="EN95" s="921"/>
      <c r="EO95" s="921"/>
      <c r="EP95" s="921"/>
      <c r="EQ95" s="954"/>
      <c r="ER95" s="954"/>
      <c r="ES95" s="954"/>
      <c r="ET95" s="954"/>
      <c r="EV95" s="942"/>
      <c r="EW95" s="951"/>
      <c r="EX95" s="951"/>
      <c r="EY95" s="952"/>
    </row>
    <row r="96" spans="1:155" s="927" customFormat="1" ht="15.75" x14ac:dyDescent="0.25">
      <c r="A96" s="931"/>
      <c r="B96" s="932" t="s">
        <v>807</v>
      </c>
      <c r="C96" s="933"/>
      <c r="D96" s="933"/>
      <c r="E96" s="934"/>
      <c r="F96" s="935"/>
      <c r="G96" s="934"/>
      <c r="H96" s="935"/>
      <c r="I96" s="936"/>
      <c r="J96" s="937"/>
      <c r="K96" s="938"/>
      <c r="L96" s="936"/>
      <c r="M96" s="937"/>
      <c r="N96" s="938"/>
      <c r="O96" s="936"/>
      <c r="P96" s="937"/>
      <c r="Q96" s="938"/>
      <c r="R96" s="936"/>
      <c r="S96" s="937"/>
      <c r="T96" s="938"/>
      <c r="U96" s="936"/>
      <c r="V96" s="937"/>
      <c r="W96" s="938"/>
      <c r="X96" s="936"/>
      <c r="Y96" s="937"/>
      <c r="Z96" s="938"/>
      <c r="AA96" s="936"/>
      <c r="AB96" s="937"/>
      <c r="AC96" s="938"/>
      <c r="AD96" s="936"/>
      <c r="AE96" s="937"/>
      <c r="AF96" s="938"/>
      <c r="AG96" s="936"/>
      <c r="AH96" s="937"/>
      <c r="AI96" s="938"/>
      <c r="AJ96" s="936"/>
      <c r="AK96" s="937"/>
      <c r="AL96" s="938"/>
      <c r="AM96" s="936"/>
      <c r="AN96" s="933"/>
      <c r="AO96" s="936"/>
      <c r="AP96" s="933"/>
      <c r="AQ96" s="935"/>
      <c r="AR96" s="936"/>
      <c r="AS96" s="935"/>
      <c r="AT96" s="939"/>
      <c r="AU96" s="933"/>
      <c r="AV96" s="940"/>
      <c r="AW96" s="335">
        <f>(AW79/12)/AW85</f>
        <v>1.0935600000000001</v>
      </c>
      <c r="AX96" s="939"/>
      <c r="AY96" s="939"/>
      <c r="AZ96" s="941"/>
      <c r="BA96" s="941"/>
      <c r="BB96" s="941"/>
      <c r="BC96" s="934"/>
      <c r="BD96" s="941"/>
      <c r="BE96" s="941"/>
      <c r="BF96" s="941"/>
      <c r="BG96" s="942"/>
      <c r="BH96" s="941"/>
      <c r="BI96" s="941"/>
      <c r="BJ96" s="941"/>
      <c r="BK96" s="943"/>
      <c r="BL96" s="943"/>
      <c r="BM96" s="943"/>
      <c r="BN96" s="943"/>
      <c r="BO96" s="943"/>
      <c r="BP96" s="944"/>
      <c r="BQ96" s="943"/>
      <c r="BR96" s="943"/>
      <c r="BS96" s="943"/>
      <c r="BU96" s="945"/>
      <c r="BV96" s="946"/>
      <c r="BW96" s="947"/>
      <c r="BX96" s="945"/>
      <c r="BY96" s="947"/>
      <c r="BZ96" s="946"/>
      <c r="CA96" s="947"/>
      <c r="CB96" s="946"/>
      <c r="CC96" s="947"/>
      <c r="CD96" s="947"/>
      <c r="CE96" s="947"/>
      <c r="CF96" s="948"/>
      <c r="CG96" s="949"/>
      <c r="CH96" s="949"/>
      <c r="CI96" s="950"/>
      <c r="CJ96" s="951"/>
      <c r="CK96" s="951"/>
      <c r="CL96" s="952"/>
      <c r="CM96" s="951"/>
      <c r="CN96" s="951"/>
      <c r="CO96" s="952"/>
      <c r="CP96" s="951"/>
      <c r="CQ96" s="951"/>
      <c r="CR96" s="952"/>
      <c r="CS96" s="946"/>
      <c r="CT96" s="953"/>
      <c r="CU96" s="953"/>
      <c r="CV96" s="953"/>
      <c r="CX96" s="951"/>
      <c r="CY96" s="951"/>
      <c r="CZ96" s="952"/>
      <c r="DB96" s="954"/>
      <c r="DC96" s="954"/>
      <c r="DD96" s="921"/>
      <c r="DE96" s="954"/>
      <c r="DF96" s="954"/>
      <c r="DG96" s="921"/>
      <c r="DH96" s="954"/>
      <c r="DI96" s="954"/>
      <c r="DJ96" s="921"/>
      <c r="DK96" s="954"/>
      <c r="DL96" s="954"/>
      <c r="DM96" s="921"/>
      <c r="DN96" s="954"/>
      <c r="DO96" s="954"/>
      <c r="DP96" s="921"/>
      <c r="DQ96" s="942"/>
      <c r="DR96" s="951"/>
      <c r="DS96" s="951"/>
      <c r="DT96" s="952"/>
      <c r="DV96" s="921"/>
      <c r="DW96" s="921"/>
      <c r="DX96" s="921"/>
      <c r="DY96" s="921"/>
      <c r="DZ96" s="921"/>
      <c r="EA96" s="921"/>
      <c r="EB96" s="921"/>
      <c r="EC96" s="921"/>
      <c r="ED96" s="921"/>
      <c r="EE96" s="921"/>
      <c r="EF96" s="921"/>
      <c r="EG96" s="921"/>
      <c r="EH96" s="921"/>
      <c r="EI96" s="921"/>
      <c r="EJ96" s="921"/>
      <c r="EK96" s="921"/>
      <c r="EL96" s="921"/>
      <c r="EM96" s="921"/>
      <c r="EN96" s="921"/>
      <c r="EO96" s="921"/>
      <c r="EP96" s="921"/>
      <c r="EQ96" s="954"/>
      <c r="ER96" s="954"/>
      <c r="ES96" s="954"/>
      <c r="ET96" s="954"/>
      <c r="EV96" s="942"/>
      <c r="EW96" s="951"/>
      <c r="EX96" s="951"/>
      <c r="EY96" s="952"/>
    </row>
    <row r="97" spans="1:155" s="927" customFormat="1" ht="15.75" x14ac:dyDescent="0.25">
      <c r="A97" s="931"/>
      <c r="B97" s="932"/>
      <c r="C97" s="933"/>
      <c r="D97" s="933"/>
      <c r="E97" s="934"/>
      <c r="F97" s="935"/>
      <c r="G97" s="934"/>
      <c r="H97" s="935"/>
      <c r="I97" s="936"/>
      <c r="J97" s="937"/>
      <c r="K97" s="938"/>
      <c r="L97" s="936"/>
      <c r="M97" s="937"/>
      <c r="N97" s="938"/>
      <c r="O97" s="936"/>
      <c r="P97" s="937"/>
      <c r="Q97" s="938"/>
      <c r="R97" s="936"/>
      <c r="S97" s="937"/>
      <c r="T97" s="938"/>
      <c r="U97" s="936"/>
      <c r="V97" s="937"/>
      <c r="W97" s="938"/>
      <c r="X97" s="936"/>
      <c r="Y97" s="937"/>
      <c r="Z97" s="938"/>
      <c r="AA97" s="936"/>
      <c r="AB97" s="937"/>
      <c r="AC97" s="938"/>
      <c r="AD97" s="936"/>
      <c r="AE97" s="937"/>
      <c r="AF97" s="938"/>
      <c r="AG97" s="936"/>
      <c r="AH97" s="937"/>
      <c r="AI97" s="938"/>
      <c r="AJ97" s="936"/>
      <c r="AK97" s="937"/>
      <c r="AL97" s="938"/>
      <c r="AM97" s="936"/>
      <c r="AN97" s="933"/>
      <c r="AO97" s="936"/>
      <c r="AP97" s="933"/>
      <c r="AQ97" s="935"/>
      <c r="AR97" s="936"/>
      <c r="AS97" s="935"/>
      <c r="AT97" s="939"/>
      <c r="AU97" s="933"/>
      <c r="AV97" s="940"/>
      <c r="AW97" s="939"/>
      <c r="AX97" s="939"/>
      <c r="AY97" s="939"/>
      <c r="AZ97" s="941"/>
      <c r="BA97" s="941"/>
      <c r="BB97" s="941"/>
      <c r="BC97" s="934"/>
      <c r="BD97" s="941"/>
      <c r="BE97" s="941"/>
      <c r="BF97" s="941"/>
      <c r="BG97" s="942"/>
      <c r="BH97" s="941"/>
      <c r="BI97" s="941"/>
      <c r="BJ97" s="941"/>
      <c r="BK97" s="943"/>
      <c r="BL97" s="943"/>
      <c r="BM97" s="943"/>
      <c r="BN97" s="943"/>
      <c r="BO97" s="943"/>
      <c r="BP97" s="944"/>
      <c r="BQ97" s="943"/>
      <c r="BR97" s="943"/>
      <c r="BS97" s="943"/>
      <c r="BU97" s="945"/>
      <c r="BV97" s="946"/>
      <c r="BW97" s="947"/>
      <c r="BX97" s="945"/>
      <c r="BY97" s="947"/>
      <c r="BZ97" s="946"/>
      <c r="CA97" s="947"/>
      <c r="CB97" s="946"/>
      <c r="CC97" s="947"/>
      <c r="CD97" s="947"/>
      <c r="CE97" s="947"/>
      <c r="CF97" s="948"/>
      <c r="CG97" s="949"/>
      <c r="CH97" s="949"/>
      <c r="CI97" s="950"/>
      <c r="CJ97" s="951"/>
      <c r="CK97" s="951"/>
      <c r="CL97" s="952"/>
      <c r="CM97" s="951"/>
      <c r="CN97" s="951"/>
      <c r="CO97" s="952"/>
      <c r="CP97" s="951"/>
      <c r="CQ97" s="951"/>
      <c r="CR97" s="952"/>
      <c r="CS97" s="946"/>
      <c r="CT97" s="953"/>
      <c r="CU97" s="953"/>
      <c r="CV97" s="953"/>
      <c r="CX97" s="951"/>
      <c r="CY97" s="951"/>
      <c r="CZ97" s="952"/>
      <c r="DB97" s="954"/>
      <c r="DC97" s="954"/>
      <c r="DD97" s="921"/>
      <c r="DE97" s="954"/>
      <c r="DF97" s="954"/>
      <c r="DG97" s="921"/>
      <c r="DH97" s="954"/>
      <c r="DI97" s="954"/>
      <c r="DJ97" s="921"/>
      <c r="DK97" s="954"/>
      <c r="DL97" s="954"/>
      <c r="DM97" s="921"/>
      <c r="DN97" s="954"/>
      <c r="DO97" s="954"/>
      <c r="DP97" s="921"/>
      <c r="DQ97" s="942"/>
      <c r="DR97" s="951"/>
      <c r="DS97" s="951"/>
      <c r="DT97" s="952"/>
      <c r="DV97" s="921"/>
      <c r="DW97" s="921"/>
      <c r="DX97" s="921"/>
      <c r="DY97" s="921"/>
      <c r="DZ97" s="921"/>
      <c r="EA97" s="921"/>
      <c r="EB97" s="921"/>
      <c r="EC97" s="921"/>
      <c r="ED97" s="921"/>
      <c r="EE97" s="921"/>
      <c r="EF97" s="921"/>
      <c r="EG97" s="921"/>
      <c r="EH97" s="921"/>
      <c r="EI97" s="921"/>
      <c r="EJ97" s="921"/>
      <c r="EK97" s="921"/>
      <c r="EL97" s="921"/>
      <c r="EM97" s="921"/>
      <c r="EN97" s="921"/>
      <c r="EO97" s="921"/>
      <c r="EP97" s="921"/>
      <c r="EQ97" s="954"/>
      <c r="ER97" s="954"/>
      <c r="ES97" s="954"/>
      <c r="ET97" s="954"/>
      <c r="EV97" s="942"/>
      <c r="EW97" s="951"/>
      <c r="EX97" s="951"/>
      <c r="EY97" s="952"/>
    </row>
    <row r="98" spans="1:155" s="927" customFormat="1" ht="15.75" x14ac:dyDescent="0.25">
      <c r="A98" s="912" t="s">
        <v>61</v>
      </c>
      <c r="B98" s="913" t="s">
        <v>701</v>
      </c>
      <c r="C98" s="914">
        <v>1</v>
      </c>
      <c r="D98" s="914">
        <v>7755</v>
      </c>
      <c r="E98" s="915">
        <v>1.0549999999999999</v>
      </c>
      <c r="F98" s="916">
        <f t="shared" si="0"/>
        <v>8182</v>
      </c>
      <c r="G98" s="915">
        <v>1.01</v>
      </c>
      <c r="H98" s="916">
        <f t="shared" si="1"/>
        <v>8264</v>
      </c>
      <c r="I98" s="917">
        <f t="shared" si="2"/>
        <v>8264</v>
      </c>
      <c r="J98" s="918">
        <f t="shared" si="3"/>
        <v>0</v>
      </c>
      <c r="K98" s="919"/>
      <c r="L98" s="917">
        <f t="shared" si="4"/>
        <v>0</v>
      </c>
      <c r="M98" s="918">
        <f t="shared" si="5"/>
        <v>0.04</v>
      </c>
      <c r="N98" s="919">
        <v>310.2</v>
      </c>
      <c r="O98" s="917">
        <f t="shared" si="6"/>
        <v>330.56</v>
      </c>
      <c r="P98" s="918">
        <f t="shared" si="7"/>
        <v>0</v>
      </c>
      <c r="Q98" s="919"/>
      <c r="R98" s="917">
        <f t="shared" si="8"/>
        <v>0</v>
      </c>
      <c r="S98" s="918">
        <f t="shared" si="9"/>
        <v>0</v>
      </c>
      <c r="T98" s="919"/>
      <c r="U98" s="917">
        <f t="shared" si="10"/>
        <v>0</v>
      </c>
      <c r="V98" s="918">
        <f t="shared" si="11"/>
        <v>0</v>
      </c>
      <c r="W98" s="919"/>
      <c r="X98" s="917">
        <f t="shared" si="12"/>
        <v>0</v>
      </c>
      <c r="Y98" s="918">
        <f t="shared" si="13"/>
        <v>1.99</v>
      </c>
      <c r="Z98" s="919">
        <v>15432.45</v>
      </c>
      <c r="AA98" s="917">
        <f t="shared" si="14"/>
        <v>16445.36</v>
      </c>
      <c r="AB98" s="918">
        <f t="shared" si="15"/>
        <v>0.2</v>
      </c>
      <c r="AC98" s="919">
        <v>1551</v>
      </c>
      <c r="AD98" s="917">
        <f t="shared" si="16"/>
        <v>1652.8</v>
      </c>
      <c r="AE98" s="918">
        <f t="shared" si="17"/>
        <v>0</v>
      </c>
      <c r="AF98" s="919"/>
      <c r="AG98" s="917">
        <f t="shared" si="18"/>
        <v>0</v>
      </c>
      <c r="AH98" s="918">
        <f t="shared" si="19"/>
        <v>0</v>
      </c>
      <c r="AI98" s="919"/>
      <c r="AJ98" s="917">
        <f t="shared" si="20"/>
        <v>0</v>
      </c>
      <c r="AK98" s="918">
        <f t="shared" si="21"/>
        <v>0</v>
      </c>
      <c r="AL98" s="919"/>
      <c r="AM98" s="917">
        <f t="shared" si="22"/>
        <v>0</v>
      </c>
      <c r="AN98" s="920">
        <v>19242</v>
      </c>
      <c r="AO98" s="917">
        <f t="shared" si="23"/>
        <v>0</v>
      </c>
      <c r="AP98" s="920"/>
      <c r="AQ98" s="916">
        <f t="shared" si="24"/>
        <v>0</v>
      </c>
      <c r="AR98" s="917">
        <f t="shared" si="25"/>
        <v>26692.720000000001</v>
      </c>
      <c r="AS98" s="916">
        <v>12</v>
      </c>
      <c r="AT98" s="921">
        <f t="shared" si="26"/>
        <v>320312.64</v>
      </c>
      <c r="AU98" s="920"/>
      <c r="AV98" s="922">
        <f t="shared" si="27"/>
        <v>3203.13</v>
      </c>
      <c r="AW98" s="921">
        <f t="shared" si="28"/>
        <v>323515.77</v>
      </c>
      <c r="AX98" s="921">
        <f t="shared" si="29"/>
        <v>97701.759999999995</v>
      </c>
      <c r="AY98" s="921">
        <f t="shared" si="30"/>
        <v>421217.53</v>
      </c>
      <c r="AZ98" s="923">
        <f t="shared" si="31"/>
        <v>323.5</v>
      </c>
      <c r="BA98" s="923">
        <f t="shared" si="32"/>
        <v>97.7</v>
      </c>
      <c r="BB98" s="923">
        <f t="shared" si="33"/>
        <v>421.2</v>
      </c>
      <c r="BC98" s="915">
        <v>0.95</v>
      </c>
      <c r="BD98" s="923">
        <f t="shared" si="34"/>
        <v>307.3</v>
      </c>
      <c r="BE98" s="923">
        <f t="shared" si="35"/>
        <v>92.8</v>
      </c>
      <c r="BF98" s="923">
        <f t="shared" si="36"/>
        <v>400.1</v>
      </c>
      <c r="BG98" s="924">
        <f>'[3]свод (2024)'!$B$116</f>
        <v>0.99758349999999996</v>
      </c>
      <c r="BH98" s="923">
        <f t="shared" si="37"/>
        <v>306.60000000000002</v>
      </c>
      <c r="BI98" s="923">
        <f t="shared" si="38"/>
        <v>92.6</v>
      </c>
      <c r="BJ98" s="923">
        <f t="shared" si="39"/>
        <v>399.2</v>
      </c>
      <c r="BK98" s="925">
        <f t="shared" si="40"/>
        <v>-16.899999999999999</v>
      </c>
      <c r="BL98" s="925">
        <f t="shared" si="40"/>
        <v>-5.0999999999999996</v>
      </c>
      <c r="BM98" s="925">
        <f t="shared" si="41"/>
        <v>-22</v>
      </c>
      <c r="BN98" s="925">
        <f t="shared" si="42"/>
        <v>0</v>
      </c>
      <c r="BO98" s="925">
        <f t="shared" si="43"/>
        <v>0</v>
      </c>
      <c r="BP98" s="926"/>
      <c r="BQ98" s="925">
        <f t="shared" si="44"/>
        <v>306.60000000000002</v>
      </c>
      <c r="BR98" s="925">
        <f t="shared" si="44"/>
        <v>92.6</v>
      </c>
      <c r="BS98" s="925">
        <f t="shared" si="45"/>
        <v>399.2</v>
      </c>
      <c r="BU98" s="928"/>
      <c r="BV98" s="917"/>
      <c r="BW98" s="928"/>
      <c r="BX98" s="928"/>
      <c r="BY98" s="928"/>
      <c r="BZ98" s="917"/>
      <c r="CA98" s="928"/>
      <c r="CB98" s="917"/>
      <c r="CC98" s="928"/>
      <c r="CD98" s="928"/>
      <c r="CE98" s="928"/>
      <c r="CF98" s="929"/>
      <c r="CG98" s="928"/>
      <c r="CH98" s="928"/>
      <c r="CI98" s="928"/>
      <c r="CJ98" s="925"/>
      <c r="CK98" s="925"/>
      <c r="CL98" s="925"/>
      <c r="CM98" s="925"/>
      <c r="CN98" s="925"/>
      <c r="CO98" s="925"/>
      <c r="CP98" s="925"/>
      <c r="CQ98" s="925"/>
      <c r="CR98" s="925"/>
      <c r="CS98" s="917"/>
      <c r="CT98" s="928"/>
      <c r="CU98" s="928"/>
      <c r="CV98" s="928"/>
      <c r="CX98" s="925"/>
      <c r="CY98" s="925"/>
      <c r="CZ98" s="925"/>
      <c r="DB98" s="925"/>
      <c r="DC98" s="925"/>
      <c r="DD98" s="925"/>
      <c r="DE98" s="925"/>
      <c r="DF98" s="925"/>
      <c r="DG98" s="925"/>
      <c r="DH98" s="925"/>
      <c r="DI98" s="925"/>
      <c r="DJ98" s="925"/>
      <c r="DK98" s="925"/>
      <c r="DL98" s="925"/>
      <c r="DM98" s="925"/>
      <c r="DN98" s="925"/>
      <c r="DO98" s="925"/>
      <c r="DP98" s="925"/>
      <c r="DQ98" s="924"/>
      <c r="DR98" s="925"/>
      <c r="DS98" s="925"/>
      <c r="DT98" s="925"/>
      <c r="DV98" s="925"/>
      <c r="DW98" s="925"/>
      <c r="DX98" s="925"/>
      <c r="DY98" s="925"/>
      <c r="DZ98" s="925"/>
      <c r="EA98" s="925"/>
      <c r="EB98" s="925"/>
      <c r="EC98" s="925"/>
      <c r="ED98" s="925"/>
      <c r="EE98" s="925"/>
      <c r="EF98" s="925"/>
      <c r="EG98" s="925"/>
      <c r="EH98" s="925"/>
      <c r="EI98" s="925"/>
      <c r="EJ98" s="925"/>
      <c r="EK98" s="925"/>
      <c r="EL98" s="925"/>
      <c r="EM98" s="925"/>
      <c r="EN98" s="925"/>
      <c r="EO98" s="925"/>
      <c r="EP98" s="925"/>
      <c r="EQ98" s="925"/>
      <c r="ER98" s="925"/>
      <c r="ES98" s="925"/>
      <c r="ET98" s="925"/>
      <c r="EV98" s="924"/>
      <c r="EW98" s="925"/>
      <c r="EX98" s="925"/>
      <c r="EY98" s="925"/>
    </row>
    <row r="99" spans="1:155" s="927" customFormat="1" ht="15.75" x14ac:dyDescent="0.25">
      <c r="A99" s="912" t="s">
        <v>61</v>
      </c>
      <c r="B99" s="913" t="s">
        <v>1392</v>
      </c>
      <c r="C99" s="914">
        <v>2</v>
      </c>
      <c r="D99" s="914">
        <v>4336</v>
      </c>
      <c r="E99" s="915">
        <v>1.0549999999999999</v>
      </c>
      <c r="F99" s="916">
        <f t="shared" si="0"/>
        <v>4575</v>
      </c>
      <c r="G99" s="915">
        <v>1.01</v>
      </c>
      <c r="H99" s="916">
        <f t="shared" si="1"/>
        <v>4621</v>
      </c>
      <c r="I99" s="917">
        <f t="shared" si="2"/>
        <v>9242</v>
      </c>
      <c r="J99" s="918">
        <f t="shared" si="3"/>
        <v>0</v>
      </c>
      <c r="K99" s="919"/>
      <c r="L99" s="917">
        <f t="shared" si="4"/>
        <v>0</v>
      </c>
      <c r="M99" s="918">
        <f t="shared" si="5"/>
        <v>0</v>
      </c>
      <c r="N99" s="919"/>
      <c r="O99" s="917">
        <f t="shared" si="6"/>
        <v>0</v>
      </c>
      <c r="P99" s="918">
        <f t="shared" si="7"/>
        <v>0</v>
      </c>
      <c r="Q99" s="919"/>
      <c r="R99" s="917">
        <f t="shared" si="8"/>
        <v>0</v>
      </c>
      <c r="S99" s="918">
        <f t="shared" si="9"/>
        <v>0</v>
      </c>
      <c r="T99" s="919"/>
      <c r="U99" s="917">
        <f t="shared" si="10"/>
        <v>0</v>
      </c>
      <c r="V99" s="918">
        <f t="shared" si="11"/>
        <v>0</v>
      </c>
      <c r="W99" s="919"/>
      <c r="X99" s="917">
        <f t="shared" si="12"/>
        <v>0</v>
      </c>
      <c r="Y99" s="918">
        <f t="shared" si="13"/>
        <v>0</v>
      </c>
      <c r="Z99" s="919"/>
      <c r="AA99" s="917">
        <f t="shared" si="14"/>
        <v>0</v>
      </c>
      <c r="AB99" s="918">
        <f t="shared" si="15"/>
        <v>0</v>
      </c>
      <c r="AC99" s="919"/>
      <c r="AD99" s="917">
        <f t="shared" si="16"/>
        <v>0</v>
      </c>
      <c r="AE99" s="918">
        <f t="shared" si="17"/>
        <v>0</v>
      </c>
      <c r="AF99" s="919"/>
      <c r="AG99" s="917">
        <f t="shared" si="18"/>
        <v>0</v>
      </c>
      <c r="AH99" s="918">
        <f t="shared" si="19"/>
        <v>0</v>
      </c>
      <c r="AI99" s="919"/>
      <c r="AJ99" s="917">
        <f t="shared" si="20"/>
        <v>0</v>
      </c>
      <c r="AK99" s="918">
        <f t="shared" si="21"/>
        <v>0</v>
      </c>
      <c r="AL99" s="919"/>
      <c r="AM99" s="917">
        <f t="shared" si="22"/>
        <v>0</v>
      </c>
      <c r="AN99" s="920">
        <v>19242</v>
      </c>
      <c r="AO99" s="917">
        <f t="shared" si="23"/>
        <v>29242</v>
      </c>
      <c r="AP99" s="920"/>
      <c r="AQ99" s="916">
        <f t="shared" si="24"/>
        <v>0</v>
      </c>
      <c r="AR99" s="917">
        <f t="shared" si="25"/>
        <v>38484</v>
      </c>
      <c r="AS99" s="916">
        <v>12</v>
      </c>
      <c r="AT99" s="921">
        <f t="shared" si="26"/>
        <v>461808</v>
      </c>
      <c r="AU99" s="920">
        <f t="shared" ref="AU99:AU100" si="76">AT99*0.085</f>
        <v>39253.68</v>
      </c>
      <c r="AV99" s="922">
        <f t="shared" si="27"/>
        <v>4618.08</v>
      </c>
      <c r="AW99" s="921">
        <f t="shared" si="28"/>
        <v>505679.76</v>
      </c>
      <c r="AX99" s="921">
        <f t="shared" si="29"/>
        <v>152715.29</v>
      </c>
      <c r="AY99" s="921">
        <f t="shared" si="30"/>
        <v>658395.05000000005</v>
      </c>
      <c r="AZ99" s="923">
        <f t="shared" si="31"/>
        <v>505.7</v>
      </c>
      <c r="BA99" s="923">
        <f t="shared" si="32"/>
        <v>152.69999999999999</v>
      </c>
      <c r="BB99" s="923">
        <f t="shared" si="33"/>
        <v>658.4</v>
      </c>
      <c r="BC99" s="915">
        <v>0.95</v>
      </c>
      <c r="BD99" s="923">
        <f t="shared" si="34"/>
        <v>480.4</v>
      </c>
      <c r="BE99" s="923">
        <f t="shared" si="35"/>
        <v>145.1</v>
      </c>
      <c r="BF99" s="923">
        <f t="shared" si="36"/>
        <v>625.5</v>
      </c>
      <c r="BG99" s="924">
        <f>'[3]свод (2024)'!$B$116</f>
        <v>0.99758349999999996</v>
      </c>
      <c r="BH99" s="923">
        <f t="shared" si="37"/>
        <v>479.2</v>
      </c>
      <c r="BI99" s="923">
        <f t="shared" si="38"/>
        <v>144.69999999999999</v>
      </c>
      <c r="BJ99" s="923">
        <f t="shared" si="39"/>
        <v>623.9</v>
      </c>
      <c r="BK99" s="925">
        <f t="shared" si="40"/>
        <v>-26.5</v>
      </c>
      <c r="BL99" s="925">
        <f t="shared" si="40"/>
        <v>-8</v>
      </c>
      <c r="BM99" s="925">
        <f t="shared" si="41"/>
        <v>-34.5</v>
      </c>
      <c r="BN99" s="925">
        <f t="shared" si="42"/>
        <v>0</v>
      </c>
      <c r="BO99" s="925">
        <f t="shared" si="43"/>
        <v>0</v>
      </c>
      <c r="BP99" s="926"/>
      <c r="BQ99" s="925">
        <f t="shared" si="44"/>
        <v>479.2</v>
      </c>
      <c r="BR99" s="925">
        <f t="shared" si="44"/>
        <v>144.69999999999999</v>
      </c>
      <c r="BS99" s="925">
        <f t="shared" si="45"/>
        <v>623.9</v>
      </c>
      <c r="BU99" s="928"/>
      <c r="BV99" s="917"/>
      <c r="BW99" s="928"/>
      <c r="BX99" s="928"/>
      <c r="BY99" s="928"/>
      <c r="BZ99" s="917"/>
      <c r="CA99" s="928"/>
      <c r="CB99" s="917"/>
      <c r="CC99" s="928"/>
      <c r="CD99" s="928"/>
      <c r="CE99" s="928"/>
      <c r="CF99" s="929"/>
      <c r="CG99" s="928"/>
      <c r="CH99" s="928"/>
      <c r="CI99" s="928"/>
      <c r="CJ99" s="925"/>
      <c r="CK99" s="925"/>
      <c r="CL99" s="925"/>
      <c r="CM99" s="925"/>
      <c r="CN99" s="925"/>
      <c r="CO99" s="925"/>
      <c r="CP99" s="925"/>
      <c r="CQ99" s="925"/>
      <c r="CR99" s="925"/>
      <c r="CS99" s="917"/>
      <c r="CT99" s="928"/>
      <c r="CU99" s="928"/>
      <c r="CV99" s="928"/>
      <c r="CX99" s="925"/>
      <c r="CY99" s="925"/>
      <c r="CZ99" s="925"/>
      <c r="DB99" s="925"/>
      <c r="DC99" s="925"/>
      <c r="DD99" s="925"/>
      <c r="DE99" s="925"/>
      <c r="DF99" s="925"/>
      <c r="DG99" s="925"/>
      <c r="DH99" s="925"/>
      <c r="DI99" s="925"/>
      <c r="DJ99" s="925"/>
      <c r="DK99" s="925"/>
      <c r="DL99" s="925"/>
      <c r="DM99" s="925"/>
      <c r="DN99" s="925"/>
      <c r="DO99" s="925"/>
      <c r="DP99" s="925"/>
      <c r="DQ99" s="924"/>
      <c r="DR99" s="925"/>
      <c r="DS99" s="925"/>
      <c r="DT99" s="925"/>
      <c r="DV99" s="925"/>
      <c r="DW99" s="925"/>
      <c r="DX99" s="925"/>
      <c r="DY99" s="925"/>
      <c r="DZ99" s="925"/>
      <c r="EA99" s="925"/>
      <c r="EB99" s="925"/>
      <c r="EC99" s="925"/>
      <c r="ED99" s="925"/>
      <c r="EE99" s="925"/>
      <c r="EF99" s="925"/>
      <c r="EG99" s="925"/>
      <c r="EH99" s="925"/>
      <c r="EI99" s="925"/>
      <c r="EJ99" s="925"/>
      <c r="EK99" s="925"/>
      <c r="EL99" s="925"/>
      <c r="EM99" s="925"/>
      <c r="EN99" s="925"/>
      <c r="EO99" s="925"/>
      <c r="EP99" s="925"/>
      <c r="EQ99" s="925"/>
      <c r="ER99" s="925"/>
      <c r="ES99" s="925"/>
      <c r="ET99" s="925"/>
      <c r="EV99" s="924"/>
      <c r="EW99" s="925"/>
      <c r="EX99" s="925"/>
      <c r="EY99" s="925"/>
    </row>
    <row r="100" spans="1:155" s="927" customFormat="1" ht="15.75" x14ac:dyDescent="0.25">
      <c r="A100" s="912" t="s">
        <v>61</v>
      </c>
      <c r="B100" s="913" t="s">
        <v>42</v>
      </c>
      <c r="C100" s="914">
        <v>0.5</v>
      </c>
      <c r="D100" s="914">
        <v>6707</v>
      </c>
      <c r="E100" s="915">
        <v>1.0549999999999999</v>
      </c>
      <c r="F100" s="916">
        <f t="shared" si="0"/>
        <v>7076</v>
      </c>
      <c r="G100" s="915">
        <v>1.01</v>
      </c>
      <c r="H100" s="916">
        <f t="shared" si="1"/>
        <v>7147</v>
      </c>
      <c r="I100" s="917">
        <f t="shared" si="2"/>
        <v>3573.5</v>
      </c>
      <c r="J100" s="918">
        <f t="shared" si="3"/>
        <v>0</v>
      </c>
      <c r="K100" s="919"/>
      <c r="L100" s="917">
        <f t="shared" si="4"/>
        <v>0</v>
      </c>
      <c r="M100" s="918">
        <f t="shared" si="5"/>
        <v>0</v>
      </c>
      <c r="N100" s="919"/>
      <c r="O100" s="917">
        <f t="shared" si="6"/>
        <v>0</v>
      </c>
      <c r="P100" s="918">
        <f t="shared" si="7"/>
        <v>0</v>
      </c>
      <c r="Q100" s="919"/>
      <c r="R100" s="917">
        <f t="shared" si="8"/>
        <v>0</v>
      </c>
      <c r="S100" s="918">
        <f t="shared" si="9"/>
        <v>0</v>
      </c>
      <c r="T100" s="919"/>
      <c r="U100" s="917">
        <f t="shared" si="10"/>
        <v>0</v>
      </c>
      <c r="V100" s="918">
        <f t="shared" si="11"/>
        <v>0</v>
      </c>
      <c r="W100" s="919"/>
      <c r="X100" s="917">
        <f t="shared" si="12"/>
        <v>0</v>
      </c>
      <c r="Y100" s="918">
        <f t="shared" si="13"/>
        <v>0</v>
      </c>
      <c r="Z100" s="919"/>
      <c r="AA100" s="917">
        <f t="shared" si="14"/>
        <v>0</v>
      </c>
      <c r="AB100" s="918">
        <f t="shared" si="15"/>
        <v>0.15</v>
      </c>
      <c r="AC100" s="919">
        <v>503.03</v>
      </c>
      <c r="AD100" s="917">
        <f t="shared" si="16"/>
        <v>536.03</v>
      </c>
      <c r="AE100" s="918">
        <f t="shared" si="17"/>
        <v>0</v>
      </c>
      <c r="AF100" s="919"/>
      <c r="AG100" s="917">
        <f t="shared" si="18"/>
        <v>0</v>
      </c>
      <c r="AH100" s="918">
        <f t="shared" si="19"/>
        <v>0</v>
      </c>
      <c r="AI100" s="919"/>
      <c r="AJ100" s="917">
        <f t="shared" si="20"/>
        <v>0</v>
      </c>
      <c r="AK100" s="918">
        <f t="shared" si="21"/>
        <v>0</v>
      </c>
      <c r="AL100" s="919"/>
      <c r="AM100" s="917">
        <f t="shared" si="22"/>
        <v>0</v>
      </c>
      <c r="AN100" s="920">
        <v>19242</v>
      </c>
      <c r="AO100" s="917">
        <f t="shared" si="23"/>
        <v>5511.47</v>
      </c>
      <c r="AP100" s="920"/>
      <c r="AQ100" s="916">
        <f t="shared" si="24"/>
        <v>0</v>
      </c>
      <c r="AR100" s="917">
        <f t="shared" si="25"/>
        <v>9621</v>
      </c>
      <c r="AS100" s="916">
        <v>12</v>
      </c>
      <c r="AT100" s="921">
        <f t="shared" si="26"/>
        <v>115452</v>
      </c>
      <c r="AU100" s="920">
        <f t="shared" si="76"/>
        <v>9813.42</v>
      </c>
      <c r="AV100" s="922">
        <f t="shared" si="27"/>
        <v>1154.52</v>
      </c>
      <c r="AW100" s="921">
        <f t="shared" si="28"/>
        <v>126419.94</v>
      </c>
      <c r="AX100" s="921">
        <f t="shared" si="29"/>
        <v>38178.82</v>
      </c>
      <c r="AY100" s="921">
        <f t="shared" si="30"/>
        <v>164598.76</v>
      </c>
      <c r="AZ100" s="923">
        <f t="shared" si="31"/>
        <v>126.4</v>
      </c>
      <c r="BA100" s="923">
        <f t="shared" si="32"/>
        <v>38.200000000000003</v>
      </c>
      <c r="BB100" s="923">
        <f t="shared" si="33"/>
        <v>164.6</v>
      </c>
      <c r="BC100" s="915">
        <v>0.95</v>
      </c>
      <c r="BD100" s="923">
        <f t="shared" si="34"/>
        <v>120.1</v>
      </c>
      <c r="BE100" s="923">
        <f t="shared" si="35"/>
        <v>36.299999999999997</v>
      </c>
      <c r="BF100" s="923">
        <f t="shared" si="36"/>
        <v>156.4</v>
      </c>
      <c r="BG100" s="924">
        <f>'[3]свод (2024)'!$B$116</f>
        <v>0.99758349999999996</v>
      </c>
      <c r="BH100" s="923">
        <f t="shared" si="37"/>
        <v>119.8</v>
      </c>
      <c r="BI100" s="923">
        <f t="shared" si="38"/>
        <v>36.200000000000003</v>
      </c>
      <c r="BJ100" s="923">
        <f t="shared" si="39"/>
        <v>156</v>
      </c>
      <c r="BK100" s="925">
        <f t="shared" si="40"/>
        <v>-6.6</v>
      </c>
      <c r="BL100" s="925">
        <f t="shared" si="40"/>
        <v>-2</v>
      </c>
      <c r="BM100" s="925">
        <f t="shared" si="41"/>
        <v>-8.6</v>
      </c>
      <c r="BN100" s="925">
        <f t="shared" si="42"/>
        <v>0</v>
      </c>
      <c r="BO100" s="925">
        <f t="shared" si="43"/>
        <v>0</v>
      </c>
      <c r="BP100" s="926"/>
      <c r="BQ100" s="925">
        <f t="shared" si="44"/>
        <v>119.8</v>
      </c>
      <c r="BR100" s="925">
        <f t="shared" si="44"/>
        <v>36.200000000000003</v>
      </c>
      <c r="BS100" s="925">
        <f t="shared" si="45"/>
        <v>156</v>
      </c>
      <c r="BU100" s="928"/>
      <c r="BV100" s="917"/>
      <c r="BW100" s="928"/>
      <c r="BX100" s="928"/>
      <c r="BY100" s="928"/>
      <c r="BZ100" s="917"/>
      <c r="CA100" s="928"/>
      <c r="CB100" s="917"/>
      <c r="CC100" s="928"/>
      <c r="CD100" s="928"/>
      <c r="CE100" s="928"/>
      <c r="CF100" s="929"/>
      <c r="CG100" s="928"/>
      <c r="CH100" s="928"/>
      <c r="CI100" s="928"/>
      <c r="CJ100" s="925"/>
      <c r="CK100" s="925"/>
      <c r="CL100" s="925"/>
      <c r="CM100" s="925"/>
      <c r="CN100" s="925"/>
      <c r="CO100" s="925"/>
      <c r="CP100" s="925"/>
      <c r="CQ100" s="925"/>
      <c r="CR100" s="925"/>
      <c r="CS100" s="917"/>
      <c r="CT100" s="928"/>
      <c r="CU100" s="928"/>
      <c r="CV100" s="928"/>
      <c r="CX100" s="925"/>
      <c r="CY100" s="925"/>
      <c r="CZ100" s="925"/>
      <c r="DB100" s="925"/>
      <c r="DC100" s="925"/>
      <c r="DD100" s="925"/>
      <c r="DE100" s="925"/>
      <c r="DF100" s="925"/>
      <c r="DG100" s="925"/>
      <c r="DH100" s="925"/>
      <c r="DI100" s="925"/>
      <c r="DJ100" s="925"/>
      <c r="DK100" s="925"/>
      <c r="DL100" s="925"/>
      <c r="DM100" s="925"/>
      <c r="DN100" s="925"/>
      <c r="DO100" s="925"/>
      <c r="DP100" s="925"/>
      <c r="DQ100" s="924"/>
      <c r="DR100" s="925"/>
      <c r="DS100" s="925"/>
      <c r="DT100" s="925"/>
      <c r="DV100" s="925"/>
      <c r="DW100" s="925"/>
      <c r="DX100" s="925"/>
      <c r="DY100" s="925"/>
      <c r="DZ100" s="925"/>
      <c r="EA100" s="925"/>
      <c r="EB100" s="925"/>
      <c r="EC100" s="925"/>
      <c r="ED100" s="925"/>
      <c r="EE100" s="925"/>
      <c r="EF100" s="925"/>
      <c r="EG100" s="925"/>
      <c r="EH100" s="925"/>
      <c r="EI100" s="925"/>
      <c r="EJ100" s="925"/>
      <c r="EK100" s="925"/>
      <c r="EL100" s="925"/>
      <c r="EM100" s="925"/>
      <c r="EN100" s="925"/>
      <c r="EO100" s="925"/>
      <c r="EP100" s="925"/>
      <c r="EQ100" s="925"/>
      <c r="ER100" s="925"/>
      <c r="ES100" s="925"/>
      <c r="ET100" s="925"/>
      <c r="EV100" s="924"/>
      <c r="EW100" s="925"/>
      <c r="EX100" s="925"/>
      <c r="EY100" s="925"/>
    </row>
    <row r="101" spans="1:155" s="927" customFormat="1" ht="15.75" x14ac:dyDescent="0.25">
      <c r="A101" s="912" t="s">
        <v>61</v>
      </c>
      <c r="B101" s="913" t="s">
        <v>1393</v>
      </c>
      <c r="C101" s="914">
        <v>1</v>
      </c>
      <c r="D101" s="914">
        <v>4336</v>
      </c>
      <c r="E101" s="915">
        <v>1.0549999999999999</v>
      </c>
      <c r="F101" s="916">
        <f t="shared" si="0"/>
        <v>4575</v>
      </c>
      <c r="G101" s="915">
        <v>1.01</v>
      </c>
      <c r="H101" s="916">
        <f t="shared" si="1"/>
        <v>4621</v>
      </c>
      <c r="I101" s="917">
        <f t="shared" si="2"/>
        <v>4621</v>
      </c>
      <c r="J101" s="918">
        <f t="shared" si="3"/>
        <v>0</v>
      </c>
      <c r="K101" s="919"/>
      <c r="L101" s="917">
        <f t="shared" si="4"/>
        <v>0</v>
      </c>
      <c r="M101" s="918">
        <f t="shared" si="5"/>
        <v>0</v>
      </c>
      <c r="N101" s="919"/>
      <c r="O101" s="917">
        <f t="shared" si="6"/>
        <v>0</v>
      </c>
      <c r="P101" s="918">
        <f t="shared" si="7"/>
        <v>0</v>
      </c>
      <c r="Q101" s="919"/>
      <c r="R101" s="917">
        <f t="shared" si="8"/>
        <v>0</v>
      </c>
      <c r="S101" s="918">
        <f t="shared" si="9"/>
        <v>0</v>
      </c>
      <c r="T101" s="919"/>
      <c r="U101" s="917">
        <f t="shared" si="10"/>
        <v>0</v>
      </c>
      <c r="V101" s="918">
        <f t="shared" si="11"/>
        <v>0</v>
      </c>
      <c r="W101" s="919"/>
      <c r="X101" s="917">
        <f t="shared" si="12"/>
        <v>0</v>
      </c>
      <c r="Y101" s="918">
        <f t="shared" si="13"/>
        <v>0</v>
      </c>
      <c r="Z101" s="919"/>
      <c r="AA101" s="917">
        <f t="shared" si="14"/>
        <v>0</v>
      </c>
      <c r="AB101" s="918">
        <f t="shared" si="15"/>
        <v>0</v>
      </c>
      <c r="AC101" s="919"/>
      <c r="AD101" s="917">
        <f t="shared" si="16"/>
        <v>0</v>
      </c>
      <c r="AE101" s="918">
        <f t="shared" si="17"/>
        <v>0</v>
      </c>
      <c r="AF101" s="919"/>
      <c r="AG101" s="917">
        <f t="shared" si="18"/>
        <v>0</v>
      </c>
      <c r="AH101" s="918">
        <f t="shared" si="19"/>
        <v>0</v>
      </c>
      <c r="AI101" s="919"/>
      <c r="AJ101" s="917">
        <f t="shared" si="20"/>
        <v>0</v>
      </c>
      <c r="AK101" s="918">
        <f t="shared" si="21"/>
        <v>0</v>
      </c>
      <c r="AL101" s="919"/>
      <c r="AM101" s="917">
        <f t="shared" si="22"/>
        <v>0</v>
      </c>
      <c r="AN101" s="920">
        <v>19242</v>
      </c>
      <c r="AO101" s="917">
        <f t="shared" si="23"/>
        <v>14621</v>
      </c>
      <c r="AP101" s="920"/>
      <c r="AQ101" s="916">
        <f t="shared" si="24"/>
        <v>0</v>
      </c>
      <c r="AR101" s="917">
        <f t="shared" si="25"/>
        <v>19242</v>
      </c>
      <c r="AS101" s="916">
        <v>12</v>
      </c>
      <c r="AT101" s="921">
        <f t="shared" si="26"/>
        <v>230904</v>
      </c>
      <c r="AU101" s="920"/>
      <c r="AV101" s="922">
        <f t="shared" si="27"/>
        <v>2309.04</v>
      </c>
      <c r="AW101" s="921">
        <f t="shared" si="28"/>
        <v>233213.04</v>
      </c>
      <c r="AX101" s="921">
        <f t="shared" si="29"/>
        <v>70430.34</v>
      </c>
      <c r="AY101" s="921">
        <f t="shared" si="30"/>
        <v>303643.38</v>
      </c>
      <c r="AZ101" s="923">
        <f t="shared" si="31"/>
        <v>233.2</v>
      </c>
      <c r="BA101" s="923">
        <f t="shared" si="32"/>
        <v>70.400000000000006</v>
      </c>
      <c r="BB101" s="923">
        <f t="shared" si="33"/>
        <v>303.60000000000002</v>
      </c>
      <c r="BC101" s="915">
        <v>0.95</v>
      </c>
      <c r="BD101" s="923">
        <f t="shared" si="34"/>
        <v>221.5</v>
      </c>
      <c r="BE101" s="923">
        <f t="shared" si="35"/>
        <v>66.900000000000006</v>
      </c>
      <c r="BF101" s="923">
        <f t="shared" si="36"/>
        <v>288.39999999999998</v>
      </c>
      <c r="BG101" s="924">
        <f>'[3]свод (2024)'!$B$116</f>
        <v>0.99758349999999996</v>
      </c>
      <c r="BH101" s="923">
        <f t="shared" si="37"/>
        <v>221</v>
      </c>
      <c r="BI101" s="923">
        <f t="shared" si="38"/>
        <v>66.7</v>
      </c>
      <c r="BJ101" s="923">
        <f t="shared" si="39"/>
        <v>287.7</v>
      </c>
      <c r="BK101" s="925">
        <f t="shared" si="40"/>
        <v>-12.2</v>
      </c>
      <c r="BL101" s="925">
        <f t="shared" si="40"/>
        <v>-3.7</v>
      </c>
      <c r="BM101" s="925">
        <f t="shared" si="41"/>
        <v>-15.9</v>
      </c>
      <c r="BN101" s="925">
        <f t="shared" si="42"/>
        <v>0</v>
      </c>
      <c r="BO101" s="925">
        <f t="shared" si="43"/>
        <v>0</v>
      </c>
      <c r="BP101" s="926"/>
      <c r="BQ101" s="925">
        <f t="shared" si="44"/>
        <v>221</v>
      </c>
      <c r="BR101" s="925">
        <f t="shared" si="44"/>
        <v>66.7</v>
      </c>
      <c r="BS101" s="925">
        <f t="shared" si="45"/>
        <v>287.7</v>
      </c>
      <c r="BU101" s="928"/>
      <c r="BV101" s="917"/>
      <c r="BW101" s="928"/>
      <c r="BX101" s="928"/>
      <c r="BY101" s="928"/>
      <c r="BZ101" s="917"/>
      <c r="CA101" s="928"/>
      <c r="CB101" s="917"/>
      <c r="CC101" s="928"/>
      <c r="CD101" s="928"/>
      <c r="CE101" s="928"/>
      <c r="CF101" s="929"/>
      <c r="CG101" s="928"/>
      <c r="CH101" s="928"/>
      <c r="CI101" s="928"/>
      <c r="CJ101" s="925"/>
      <c r="CK101" s="925"/>
      <c r="CL101" s="925"/>
      <c r="CM101" s="925"/>
      <c r="CN101" s="925"/>
      <c r="CO101" s="925"/>
      <c r="CP101" s="925"/>
      <c r="CQ101" s="925"/>
      <c r="CR101" s="925"/>
      <c r="CS101" s="917"/>
      <c r="CT101" s="928"/>
      <c r="CU101" s="928"/>
      <c r="CV101" s="928"/>
      <c r="CX101" s="925"/>
      <c r="CY101" s="925"/>
      <c r="CZ101" s="925"/>
      <c r="DB101" s="925"/>
      <c r="DC101" s="925"/>
      <c r="DD101" s="925"/>
      <c r="DE101" s="925"/>
      <c r="DF101" s="925"/>
      <c r="DG101" s="925"/>
      <c r="DH101" s="925"/>
      <c r="DI101" s="925"/>
      <c r="DJ101" s="925"/>
      <c r="DK101" s="925"/>
      <c r="DL101" s="925"/>
      <c r="DM101" s="925"/>
      <c r="DN101" s="925"/>
      <c r="DO101" s="925"/>
      <c r="DP101" s="925"/>
      <c r="DQ101" s="924"/>
      <c r="DR101" s="925"/>
      <c r="DS101" s="925"/>
      <c r="DT101" s="925"/>
      <c r="DV101" s="925"/>
      <c r="DW101" s="925"/>
      <c r="DX101" s="925"/>
      <c r="DY101" s="925"/>
      <c r="DZ101" s="925"/>
      <c r="EA101" s="925"/>
      <c r="EB101" s="925"/>
      <c r="EC101" s="925"/>
      <c r="ED101" s="925"/>
      <c r="EE101" s="925"/>
      <c r="EF101" s="925"/>
      <c r="EG101" s="925"/>
      <c r="EH101" s="925"/>
      <c r="EI101" s="925"/>
      <c r="EJ101" s="925"/>
      <c r="EK101" s="925"/>
      <c r="EL101" s="925"/>
      <c r="EM101" s="925"/>
      <c r="EN101" s="925"/>
      <c r="EO101" s="925"/>
      <c r="EP101" s="925"/>
      <c r="EQ101" s="925"/>
      <c r="ER101" s="925"/>
      <c r="ES101" s="925"/>
      <c r="ET101" s="925"/>
      <c r="EV101" s="924"/>
      <c r="EW101" s="925"/>
      <c r="EX101" s="925"/>
      <c r="EY101" s="925"/>
    </row>
    <row r="102" spans="1:155" s="927" customFormat="1" ht="15.75" x14ac:dyDescent="0.25">
      <c r="A102" s="912" t="s">
        <v>61</v>
      </c>
      <c r="B102" s="913" t="s">
        <v>32</v>
      </c>
      <c r="C102" s="914">
        <v>1</v>
      </c>
      <c r="D102" s="914">
        <v>22544</v>
      </c>
      <c r="E102" s="915">
        <v>1.0549999999999999</v>
      </c>
      <c r="F102" s="916">
        <f t="shared" si="0"/>
        <v>23784</v>
      </c>
      <c r="G102" s="915">
        <v>1.01</v>
      </c>
      <c r="H102" s="916">
        <f t="shared" si="1"/>
        <v>24022</v>
      </c>
      <c r="I102" s="917">
        <f t="shared" si="2"/>
        <v>24022</v>
      </c>
      <c r="J102" s="918">
        <f t="shared" si="3"/>
        <v>0</v>
      </c>
      <c r="K102" s="919"/>
      <c r="L102" s="917">
        <f t="shared" si="4"/>
        <v>0</v>
      </c>
      <c r="M102" s="918">
        <f t="shared" si="5"/>
        <v>0.04</v>
      </c>
      <c r="N102" s="919">
        <v>901.76</v>
      </c>
      <c r="O102" s="917">
        <f t="shared" si="6"/>
        <v>960.88</v>
      </c>
      <c r="P102" s="918">
        <f t="shared" si="7"/>
        <v>0</v>
      </c>
      <c r="Q102" s="919"/>
      <c r="R102" s="917">
        <f t="shared" si="8"/>
        <v>0</v>
      </c>
      <c r="S102" s="918">
        <f t="shared" si="9"/>
        <v>0</v>
      </c>
      <c r="T102" s="919"/>
      <c r="U102" s="917">
        <f t="shared" si="10"/>
        <v>0</v>
      </c>
      <c r="V102" s="918">
        <f t="shared" si="11"/>
        <v>0</v>
      </c>
      <c r="W102" s="919"/>
      <c r="X102" s="917">
        <f t="shared" si="12"/>
        <v>0</v>
      </c>
      <c r="Y102" s="918">
        <f t="shared" si="13"/>
        <v>0.35</v>
      </c>
      <c r="Z102" s="919">
        <v>7890.4</v>
      </c>
      <c r="AA102" s="917">
        <f t="shared" si="14"/>
        <v>8407.7000000000007</v>
      </c>
      <c r="AB102" s="918">
        <f t="shared" si="15"/>
        <v>0.2</v>
      </c>
      <c r="AC102" s="919">
        <v>4508.8</v>
      </c>
      <c r="AD102" s="917">
        <f t="shared" si="16"/>
        <v>4804.3999999999996</v>
      </c>
      <c r="AE102" s="918">
        <f t="shared" si="17"/>
        <v>0</v>
      </c>
      <c r="AF102" s="919"/>
      <c r="AG102" s="917">
        <f t="shared" si="18"/>
        <v>0</v>
      </c>
      <c r="AH102" s="918">
        <f t="shared" si="19"/>
        <v>0</v>
      </c>
      <c r="AI102" s="919"/>
      <c r="AJ102" s="917">
        <f t="shared" si="20"/>
        <v>0</v>
      </c>
      <c r="AK102" s="918">
        <f t="shared" si="21"/>
        <v>0</v>
      </c>
      <c r="AL102" s="919"/>
      <c r="AM102" s="917">
        <f t="shared" si="22"/>
        <v>0</v>
      </c>
      <c r="AN102" s="920">
        <v>19242</v>
      </c>
      <c r="AO102" s="917">
        <f t="shared" si="23"/>
        <v>0</v>
      </c>
      <c r="AP102" s="920"/>
      <c r="AQ102" s="916">
        <f t="shared" si="24"/>
        <v>0</v>
      </c>
      <c r="AR102" s="917">
        <f t="shared" si="25"/>
        <v>38194.980000000003</v>
      </c>
      <c r="AS102" s="916">
        <v>12</v>
      </c>
      <c r="AT102" s="921">
        <f t="shared" si="26"/>
        <v>458339.76</v>
      </c>
      <c r="AU102" s="920"/>
      <c r="AV102" s="922">
        <f t="shared" si="27"/>
        <v>4583.3999999999996</v>
      </c>
      <c r="AW102" s="921">
        <f t="shared" si="28"/>
        <v>462923.16</v>
      </c>
      <c r="AX102" s="921">
        <f t="shared" si="29"/>
        <v>139802.79</v>
      </c>
      <c r="AY102" s="921">
        <f t="shared" si="30"/>
        <v>602725.94999999995</v>
      </c>
      <c r="AZ102" s="923">
        <f t="shared" si="31"/>
        <v>462.9</v>
      </c>
      <c r="BA102" s="923">
        <f t="shared" si="32"/>
        <v>139.80000000000001</v>
      </c>
      <c r="BB102" s="923">
        <f t="shared" si="33"/>
        <v>602.70000000000005</v>
      </c>
      <c r="BC102" s="915">
        <v>0.95</v>
      </c>
      <c r="BD102" s="923">
        <f t="shared" si="34"/>
        <v>439.8</v>
      </c>
      <c r="BE102" s="923">
        <f t="shared" si="35"/>
        <v>132.80000000000001</v>
      </c>
      <c r="BF102" s="923">
        <f t="shared" si="36"/>
        <v>572.6</v>
      </c>
      <c r="BG102" s="924">
        <f>'[3]свод (2024)'!$B$116</f>
        <v>0.99758349999999996</v>
      </c>
      <c r="BH102" s="923">
        <f t="shared" si="37"/>
        <v>438.7</v>
      </c>
      <c r="BI102" s="923">
        <f t="shared" si="38"/>
        <v>132.5</v>
      </c>
      <c r="BJ102" s="923">
        <f t="shared" si="39"/>
        <v>571.20000000000005</v>
      </c>
      <c r="BK102" s="925">
        <f t="shared" si="40"/>
        <v>-24.2</v>
      </c>
      <c r="BL102" s="925">
        <f t="shared" si="40"/>
        <v>-7.3</v>
      </c>
      <c r="BM102" s="925">
        <f t="shared" si="41"/>
        <v>-31.5</v>
      </c>
      <c r="BN102" s="925">
        <f t="shared" si="42"/>
        <v>0</v>
      </c>
      <c r="BO102" s="925">
        <f t="shared" si="43"/>
        <v>0</v>
      </c>
      <c r="BP102" s="926"/>
      <c r="BQ102" s="925">
        <f t="shared" si="44"/>
        <v>438.7</v>
      </c>
      <c r="BR102" s="925">
        <f t="shared" si="44"/>
        <v>132.5</v>
      </c>
      <c r="BS102" s="925">
        <f t="shared" si="45"/>
        <v>571.20000000000005</v>
      </c>
      <c r="BU102" s="928"/>
      <c r="BV102" s="917"/>
      <c r="BW102" s="928"/>
      <c r="BX102" s="928"/>
      <c r="BY102" s="928"/>
      <c r="BZ102" s="917"/>
      <c r="CA102" s="928"/>
      <c r="CB102" s="917"/>
      <c r="CC102" s="928"/>
      <c r="CD102" s="928"/>
      <c r="CE102" s="928"/>
      <c r="CF102" s="929"/>
      <c r="CG102" s="928"/>
      <c r="CH102" s="928"/>
      <c r="CI102" s="928"/>
      <c r="CJ102" s="925"/>
      <c r="CK102" s="925"/>
      <c r="CL102" s="925"/>
      <c r="CM102" s="925"/>
      <c r="CN102" s="925"/>
      <c r="CO102" s="925"/>
      <c r="CP102" s="925"/>
      <c r="CQ102" s="925"/>
      <c r="CR102" s="925"/>
      <c r="CS102" s="917"/>
      <c r="CT102" s="928"/>
      <c r="CU102" s="928"/>
      <c r="CV102" s="928"/>
      <c r="CX102" s="925"/>
      <c r="CY102" s="925"/>
      <c r="CZ102" s="925"/>
      <c r="DB102" s="925"/>
      <c r="DC102" s="925"/>
      <c r="DD102" s="925"/>
      <c r="DE102" s="925"/>
      <c r="DF102" s="925"/>
      <c r="DG102" s="925"/>
      <c r="DH102" s="925"/>
      <c r="DI102" s="925"/>
      <c r="DJ102" s="925"/>
      <c r="DK102" s="925"/>
      <c r="DL102" s="925"/>
      <c r="DM102" s="925"/>
      <c r="DN102" s="925"/>
      <c r="DO102" s="925"/>
      <c r="DP102" s="925"/>
      <c r="DQ102" s="924"/>
      <c r="DR102" s="925"/>
      <c r="DS102" s="925"/>
      <c r="DT102" s="925"/>
      <c r="DV102" s="925"/>
      <c r="DW102" s="925"/>
      <c r="DX102" s="925"/>
      <c r="DY102" s="925"/>
      <c r="DZ102" s="925"/>
      <c r="EA102" s="925"/>
      <c r="EB102" s="925"/>
      <c r="EC102" s="925"/>
      <c r="ED102" s="925"/>
      <c r="EE102" s="925"/>
      <c r="EF102" s="925"/>
      <c r="EG102" s="925"/>
      <c r="EH102" s="925"/>
      <c r="EI102" s="925"/>
      <c r="EJ102" s="925"/>
      <c r="EK102" s="925"/>
      <c r="EL102" s="925"/>
      <c r="EM102" s="925"/>
      <c r="EN102" s="925"/>
      <c r="EO102" s="925"/>
      <c r="EP102" s="925"/>
      <c r="EQ102" s="925"/>
      <c r="ER102" s="925"/>
      <c r="ES102" s="925"/>
      <c r="ET102" s="925"/>
      <c r="EV102" s="924"/>
      <c r="EW102" s="925"/>
      <c r="EX102" s="925"/>
      <c r="EY102" s="925"/>
    </row>
    <row r="103" spans="1:155" s="927" customFormat="1" ht="15.75" x14ac:dyDescent="0.25">
      <c r="A103" s="912" t="s">
        <v>61</v>
      </c>
      <c r="B103" s="913" t="s">
        <v>1394</v>
      </c>
      <c r="C103" s="914">
        <v>0.5</v>
      </c>
      <c r="D103" s="914">
        <v>4336</v>
      </c>
      <c r="E103" s="915">
        <v>1.0549999999999999</v>
      </c>
      <c r="F103" s="916">
        <f t="shared" si="0"/>
        <v>4575</v>
      </c>
      <c r="G103" s="915">
        <v>1.01</v>
      </c>
      <c r="H103" s="916">
        <f t="shared" si="1"/>
        <v>4621</v>
      </c>
      <c r="I103" s="917">
        <f t="shared" si="2"/>
        <v>2310.5</v>
      </c>
      <c r="J103" s="918">
        <f t="shared" si="3"/>
        <v>0</v>
      </c>
      <c r="K103" s="919"/>
      <c r="L103" s="917">
        <f t="shared" si="4"/>
        <v>0</v>
      </c>
      <c r="M103" s="918">
        <f t="shared" si="5"/>
        <v>0</v>
      </c>
      <c r="N103" s="919"/>
      <c r="O103" s="917">
        <f t="shared" si="6"/>
        <v>0</v>
      </c>
      <c r="P103" s="918">
        <f t="shared" si="7"/>
        <v>0</v>
      </c>
      <c r="Q103" s="919"/>
      <c r="R103" s="917">
        <f t="shared" si="8"/>
        <v>0</v>
      </c>
      <c r="S103" s="918">
        <f t="shared" si="9"/>
        <v>0</v>
      </c>
      <c r="T103" s="919"/>
      <c r="U103" s="917">
        <f t="shared" si="10"/>
        <v>0</v>
      </c>
      <c r="V103" s="918">
        <f t="shared" si="11"/>
        <v>0</v>
      </c>
      <c r="W103" s="919"/>
      <c r="X103" s="917">
        <f t="shared" si="12"/>
        <v>0</v>
      </c>
      <c r="Y103" s="918">
        <f t="shared" si="13"/>
        <v>0</v>
      </c>
      <c r="Z103" s="919"/>
      <c r="AA103" s="917">
        <f t="shared" si="14"/>
        <v>0</v>
      </c>
      <c r="AB103" s="918">
        <f t="shared" si="15"/>
        <v>0</v>
      </c>
      <c r="AC103" s="919"/>
      <c r="AD103" s="917">
        <f t="shared" si="16"/>
        <v>0</v>
      </c>
      <c r="AE103" s="918">
        <f t="shared" si="17"/>
        <v>0</v>
      </c>
      <c r="AF103" s="919"/>
      <c r="AG103" s="917">
        <f t="shared" si="18"/>
        <v>0</v>
      </c>
      <c r="AH103" s="918">
        <f t="shared" si="19"/>
        <v>0</v>
      </c>
      <c r="AI103" s="919"/>
      <c r="AJ103" s="917">
        <f t="shared" si="20"/>
        <v>0</v>
      </c>
      <c r="AK103" s="918">
        <f t="shared" si="21"/>
        <v>0</v>
      </c>
      <c r="AL103" s="919"/>
      <c r="AM103" s="917">
        <f t="shared" si="22"/>
        <v>0</v>
      </c>
      <c r="AN103" s="920">
        <v>19242</v>
      </c>
      <c r="AO103" s="917">
        <f t="shared" si="23"/>
        <v>7310.5</v>
      </c>
      <c r="AP103" s="920"/>
      <c r="AQ103" s="916">
        <f t="shared" si="24"/>
        <v>0</v>
      </c>
      <c r="AR103" s="917">
        <f t="shared" si="25"/>
        <v>9621</v>
      </c>
      <c r="AS103" s="916">
        <v>12</v>
      </c>
      <c r="AT103" s="921">
        <f t="shared" si="26"/>
        <v>115452</v>
      </c>
      <c r="AU103" s="920">
        <f>AT103*0.085</f>
        <v>9813.42</v>
      </c>
      <c r="AV103" s="922">
        <f t="shared" si="27"/>
        <v>1154.52</v>
      </c>
      <c r="AW103" s="921">
        <f t="shared" si="28"/>
        <v>126419.94</v>
      </c>
      <c r="AX103" s="921">
        <f t="shared" si="29"/>
        <v>38178.82</v>
      </c>
      <c r="AY103" s="921">
        <f t="shared" si="30"/>
        <v>164598.76</v>
      </c>
      <c r="AZ103" s="923">
        <f t="shared" si="31"/>
        <v>126.4</v>
      </c>
      <c r="BA103" s="923">
        <f t="shared" si="32"/>
        <v>38.200000000000003</v>
      </c>
      <c r="BB103" s="923">
        <f t="shared" si="33"/>
        <v>164.6</v>
      </c>
      <c r="BC103" s="915">
        <v>0.95</v>
      </c>
      <c r="BD103" s="923">
        <f t="shared" si="34"/>
        <v>120.1</v>
      </c>
      <c r="BE103" s="923">
        <f t="shared" si="35"/>
        <v>36.299999999999997</v>
      </c>
      <c r="BF103" s="923">
        <f t="shared" si="36"/>
        <v>156.4</v>
      </c>
      <c r="BG103" s="924">
        <f>'[3]свод (2024)'!$B$116</f>
        <v>0.99758349999999996</v>
      </c>
      <c r="BH103" s="923">
        <f t="shared" si="37"/>
        <v>119.8</v>
      </c>
      <c r="BI103" s="923">
        <f t="shared" si="38"/>
        <v>36.200000000000003</v>
      </c>
      <c r="BJ103" s="923">
        <f t="shared" si="39"/>
        <v>156</v>
      </c>
      <c r="BK103" s="925">
        <f t="shared" si="40"/>
        <v>-6.6</v>
      </c>
      <c r="BL103" s="925">
        <f t="shared" si="40"/>
        <v>-2</v>
      </c>
      <c r="BM103" s="925">
        <f t="shared" si="41"/>
        <v>-8.6</v>
      </c>
      <c r="BN103" s="925">
        <f t="shared" si="42"/>
        <v>0</v>
      </c>
      <c r="BO103" s="925">
        <f t="shared" si="43"/>
        <v>0</v>
      </c>
      <c r="BP103" s="926"/>
      <c r="BQ103" s="925">
        <f t="shared" si="44"/>
        <v>119.8</v>
      </c>
      <c r="BR103" s="925">
        <f t="shared" si="44"/>
        <v>36.200000000000003</v>
      </c>
      <c r="BS103" s="925">
        <f t="shared" si="45"/>
        <v>156</v>
      </c>
      <c r="BU103" s="928"/>
      <c r="BV103" s="917"/>
      <c r="BW103" s="928"/>
      <c r="BX103" s="928"/>
      <c r="BY103" s="928"/>
      <c r="BZ103" s="917"/>
      <c r="CA103" s="928"/>
      <c r="CB103" s="917"/>
      <c r="CC103" s="928"/>
      <c r="CD103" s="928"/>
      <c r="CE103" s="928"/>
      <c r="CF103" s="929"/>
      <c r="CG103" s="928"/>
      <c r="CH103" s="928"/>
      <c r="CI103" s="928"/>
      <c r="CJ103" s="925"/>
      <c r="CK103" s="925"/>
      <c r="CL103" s="925"/>
      <c r="CM103" s="925"/>
      <c r="CN103" s="925"/>
      <c r="CO103" s="925"/>
      <c r="CP103" s="925"/>
      <c r="CQ103" s="925"/>
      <c r="CR103" s="925"/>
      <c r="CS103" s="917"/>
      <c r="CT103" s="928"/>
      <c r="CU103" s="928"/>
      <c r="CV103" s="928"/>
      <c r="CX103" s="925"/>
      <c r="CY103" s="925"/>
      <c r="CZ103" s="925"/>
      <c r="DB103" s="925"/>
      <c r="DC103" s="925"/>
      <c r="DD103" s="925"/>
      <c r="DE103" s="925"/>
      <c r="DF103" s="925"/>
      <c r="DG103" s="925"/>
      <c r="DH103" s="925"/>
      <c r="DI103" s="925"/>
      <c r="DJ103" s="925"/>
      <c r="DK103" s="925"/>
      <c r="DL103" s="925"/>
      <c r="DM103" s="925"/>
      <c r="DN103" s="925"/>
      <c r="DO103" s="925"/>
      <c r="DP103" s="925"/>
      <c r="DQ103" s="924"/>
      <c r="DR103" s="925"/>
      <c r="DS103" s="925"/>
      <c r="DT103" s="925"/>
      <c r="DV103" s="925"/>
      <c r="DW103" s="925"/>
      <c r="DX103" s="925"/>
      <c r="DY103" s="925"/>
      <c r="DZ103" s="925"/>
      <c r="EA103" s="925"/>
      <c r="EB103" s="925"/>
      <c r="EC103" s="925"/>
      <c r="ED103" s="925"/>
      <c r="EE103" s="925"/>
      <c r="EF103" s="925"/>
      <c r="EG103" s="925"/>
      <c r="EH103" s="925"/>
      <c r="EI103" s="925"/>
      <c r="EJ103" s="925"/>
      <c r="EK103" s="925"/>
      <c r="EL103" s="925"/>
      <c r="EM103" s="925"/>
      <c r="EN103" s="925"/>
      <c r="EO103" s="925"/>
      <c r="EP103" s="925"/>
      <c r="EQ103" s="925"/>
      <c r="ER103" s="925"/>
      <c r="ES103" s="925"/>
      <c r="ET103" s="925"/>
      <c r="EV103" s="924"/>
      <c r="EW103" s="925"/>
      <c r="EX103" s="925"/>
      <c r="EY103" s="925"/>
    </row>
    <row r="104" spans="1:155" s="927" customFormat="1" ht="15.75" x14ac:dyDescent="0.25">
      <c r="A104" s="912" t="s">
        <v>61</v>
      </c>
      <c r="B104" s="913" t="s">
        <v>1380</v>
      </c>
      <c r="C104" s="914">
        <v>1</v>
      </c>
      <c r="D104" s="914">
        <v>25048</v>
      </c>
      <c r="E104" s="915">
        <v>1.0549999999999999</v>
      </c>
      <c r="F104" s="916">
        <f t="shared" si="0"/>
        <v>26426</v>
      </c>
      <c r="G104" s="915">
        <v>1.01</v>
      </c>
      <c r="H104" s="916">
        <f t="shared" si="1"/>
        <v>26691</v>
      </c>
      <c r="I104" s="917">
        <f t="shared" si="2"/>
        <v>26691</v>
      </c>
      <c r="J104" s="918">
        <f t="shared" si="3"/>
        <v>0</v>
      </c>
      <c r="K104" s="919"/>
      <c r="L104" s="917">
        <f t="shared" si="4"/>
        <v>0</v>
      </c>
      <c r="M104" s="918">
        <f t="shared" si="5"/>
        <v>0.04</v>
      </c>
      <c r="N104" s="919">
        <v>1001.92</v>
      </c>
      <c r="O104" s="917">
        <f t="shared" si="6"/>
        <v>1067.6400000000001</v>
      </c>
      <c r="P104" s="918">
        <f t="shared" si="7"/>
        <v>0</v>
      </c>
      <c r="Q104" s="919"/>
      <c r="R104" s="917">
        <f t="shared" si="8"/>
        <v>0</v>
      </c>
      <c r="S104" s="918">
        <f t="shared" si="9"/>
        <v>0</v>
      </c>
      <c r="T104" s="919"/>
      <c r="U104" s="917">
        <f t="shared" si="10"/>
        <v>0</v>
      </c>
      <c r="V104" s="918">
        <f t="shared" si="11"/>
        <v>0</v>
      </c>
      <c r="W104" s="919"/>
      <c r="X104" s="917">
        <f t="shared" si="12"/>
        <v>0</v>
      </c>
      <c r="Y104" s="918">
        <f t="shared" si="13"/>
        <v>0.38</v>
      </c>
      <c r="Z104" s="919">
        <v>9518.24</v>
      </c>
      <c r="AA104" s="917">
        <f t="shared" si="14"/>
        <v>10142.58</v>
      </c>
      <c r="AB104" s="918">
        <f t="shared" si="15"/>
        <v>0.2</v>
      </c>
      <c r="AC104" s="919">
        <v>5009.6000000000004</v>
      </c>
      <c r="AD104" s="917">
        <f t="shared" si="16"/>
        <v>5338.2</v>
      </c>
      <c r="AE104" s="918">
        <f t="shared" si="17"/>
        <v>0</v>
      </c>
      <c r="AF104" s="919"/>
      <c r="AG104" s="917">
        <f t="shared" si="18"/>
        <v>0</v>
      </c>
      <c r="AH104" s="918">
        <f t="shared" si="19"/>
        <v>0</v>
      </c>
      <c r="AI104" s="919"/>
      <c r="AJ104" s="917">
        <f t="shared" si="20"/>
        <v>0</v>
      </c>
      <c r="AK104" s="918">
        <f t="shared" si="21"/>
        <v>0</v>
      </c>
      <c r="AL104" s="919"/>
      <c r="AM104" s="917">
        <f t="shared" si="22"/>
        <v>0</v>
      </c>
      <c r="AN104" s="920">
        <v>19242</v>
      </c>
      <c r="AO104" s="917">
        <f t="shared" si="23"/>
        <v>0</v>
      </c>
      <c r="AP104" s="920"/>
      <c r="AQ104" s="916">
        <f t="shared" si="24"/>
        <v>0</v>
      </c>
      <c r="AR104" s="917">
        <f t="shared" si="25"/>
        <v>43239.42</v>
      </c>
      <c r="AS104" s="916">
        <v>12</v>
      </c>
      <c r="AT104" s="921">
        <f t="shared" si="26"/>
        <v>518873.04</v>
      </c>
      <c r="AU104" s="920"/>
      <c r="AV104" s="922">
        <f t="shared" si="27"/>
        <v>5188.7299999999996</v>
      </c>
      <c r="AW104" s="921">
        <f t="shared" si="28"/>
        <v>524061.77</v>
      </c>
      <c r="AX104" s="921">
        <f t="shared" si="29"/>
        <v>158266.65</v>
      </c>
      <c r="AY104" s="921">
        <f t="shared" si="30"/>
        <v>682328.42</v>
      </c>
      <c r="AZ104" s="923">
        <f t="shared" si="31"/>
        <v>524.1</v>
      </c>
      <c r="BA104" s="923">
        <f t="shared" si="32"/>
        <v>158.30000000000001</v>
      </c>
      <c r="BB104" s="923">
        <f t="shared" si="33"/>
        <v>682.4</v>
      </c>
      <c r="BC104" s="915">
        <v>0.95</v>
      </c>
      <c r="BD104" s="923">
        <f t="shared" si="34"/>
        <v>497.9</v>
      </c>
      <c r="BE104" s="923">
        <f t="shared" si="35"/>
        <v>150.4</v>
      </c>
      <c r="BF104" s="923">
        <f t="shared" si="36"/>
        <v>648.29999999999995</v>
      </c>
      <c r="BG104" s="924">
        <f>'[3]свод (2024)'!$B$116</f>
        <v>0.99758349999999996</v>
      </c>
      <c r="BH104" s="923">
        <f t="shared" si="37"/>
        <v>496.7</v>
      </c>
      <c r="BI104" s="923">
        <f t="shared" si="38"/>
        <v>150</v>
      </c>
      <c r="BJ104" s="923">
        <f t="shared" si="39"/>
        <v>646.70000000000005</v>
      </c>
      <c r="BK104" s="925">
        <f t="shared" si="40"/>
        <v>-27.4</v>
      </c>
      <c r="BL104" s="925">
        <f t="shared" si="40"/>
        <v>-8.3000000000000007</v>
      </c>
      <c r="BM104" s="925">
        <f t="shared" si="41"/>
        <v>-35.700000000000003</v>
      </c>
      <c r="BN104" s="925">
        <f t="shared" si="42"/>
        <v>0</v>
      </c>
      <c r="BO104" s="925">
        <f t="shared" si="43"/>
        <v>0</v>
      </c>
      <c r="BP104" s="926"/>
      <c r="BQ104" s="925">
        <f t="shared" si="44"/>
        <v>496.7</v>
      </c>
      <c r="BR104" s="925">
        <f t="shared" si="44"/>
        <v>150</v>
      </c>
      <c r="BS104" s="925">
        <f t="shared" si="45"/>
        <v>646.70000000000005</v>
      </c>
      <c r="BU104" s="928"/>
      <c r="BV104" s="917"/>
      <c r="BW104" s="928"/>
      <c r="BX104" s="928"/>
      <c r="BY104" s="928"/>
      <c r="BZ104" s="917"/>
      <c r="CA104" s="928"/>
      <c r="CB104" s="917"/>
      <c r="CC104" s="928"/>
      <c r="CD104" s="928"/>
      <c r="CE104" s="928"/>
      <c r="CF104" s="929"/>
      <c r="CG104" s="928"/>
      <c r="CH104" s="928"/>
      <c r="CI104" s="928"/>
      <c r="CJ104" s="925"/>
      <c r="CK104" s="925"/>
      <c r="CL104" s="925"/>
      <c r="CM104" s="925"/>
      <c r="CN104" s="925"/>
      <c r="CO104" s="925"/>
      <c r="CP104" s="925"/>
      <c r="CQ104" s="925"/>
      <c r="CR104" s="925"/>
      <c r="CS104" s="917"/>
      <c r="CT104" s="928"/>
      <c r="CU104" s="928"/>
      <c r="CV104" s="928"/>
      <c r="CX104" s="925"/>
      <c r="CY104" s="925"/>
      <c r="CZ104" s="925"/>
      <c r="DB104" s="925"/>
      <c r="DC104" s="925"/>
      <c r="DD104" s="925"/>
      <c r="DE104" s="925"/>
      <c r="DF104" s="925"/>
      <c r="DG104" s="925"/>
      <c r="DH104" s="925"/>
      <c r="DI104" s="925"/>
      <c r="DJ104" s="925"/>
      <c r="DK104" s="925"/>
      <c r="DL104" s="925"/>
      <c r="DM104" s="925"/>
      <c r="DN104" s="925"/>
      <c r="DO104" s="925"/>
      <c r="DP104" s="925"/>
      <c r="DQ104" s="924"/>
      <c r="DR104" s="925"/>
      <c r="DS104" s="925"/>
      <c r="DT104" s="925"/>
      <c r="DV104" s="925"/>
      <c r="DW104" s="925"/>
      <c r="DX104" s="925"/>
      <c r="DY104" s="925"/>
      <c r="DZ104" s="925"/>
      <c r="EA104" s="925"/>
      <c r="EB104" s="925"/>
      <c r="EC104" s="925"/>
      <c r="ED104" s="925"/>
      <c r="EE104" s="925"/>
      <c r="EF104" s="925"/>
      <c r="EG104" s="925"/>
      <c r="EH104" s="925"/>
      <c r="EI104" s="925"/>
      <c r="EJ104" s="925"/>
      <c r="EK104" s="925"/>
      <c r="EL104" s="925"/>
      <c r="EM104" s="925"/>
      <c r="EN104" s="925"/>
      <c r="EO104" s="925"/>
      <c r="EP104" s="925"/>
      <c r="EQ104" s="925"/>
      <c r="ER104" s="925"/>
      <c r="ES104" s="925"/>
      <c r="ET104" s="925"/>
      <c r="EV104" s="924"/>
      <c r="EW104" s="925"/>
      <c r="EX104" s="925"/>
      <c r="EY104" s="925"/>
    </row>
    <row r="105" spans="1:155" s="927" customFormat="1" ht="15.75" x14ac:dyDescent="0.25">
      <c r="A105" s="912" t="s">
        <v>61</v>
      </c>
      <c r="B105" s="913" t="s">
        <v>40</v>
      </c>
      <c r="C105" s="914">
        <v>1</v>
      </c>
      <c r="D105" s="914">
        <v>6707</v>
      </c>
      <c r="E105" s="915">
        <v>1.0549999999999999</v>
      </c>
      <c r="F105" s="916">
        <f t="shared" si="0"/>
        <v>7076</v>
      </c>
      <c r="G105" s="915">
        <v>1.01</v>
      </c>
      <c r="H105" s="916">
        <f t="shared" si="1"/>
        <v>7147</v>
      </c>
      <c r="I105" s="917">
        <f t="shared" si="2"/>
        <v>7147</v>
      </c>
      <c r="J105" s="918">
        <f t="shared" si="3"/>
        <v>0</v>
      </c>
      <c r="K105" s="919"/>
      <c r="L105" s="917">
        <f t="shared" si="4"/>
        <v>0</v>
      </c>
      <c r="M105" s="918">
        <f t="shared" si="5"/>
        <v>0.04</v>
      </c>
      <c r="N105" s="919">
        <v>268.27999999999997</v>
      </c>
      <c r="O105" s="917">
        <f t="shared" si="6"/>
        <v>285.88</v>
      </c>
      <c r="P105" s="918">
        <f t="shared" si="7"/>
        <v>0</v>
      </c>
      <c r="Q105" s="919"/>
      <c r="R105" s="917">
        <f t="shared" si="8"/>
        <v>0</v>
      </c>
      <c r="S105" s="918">
        <f t="shared" si="9"/>
        <v>0</v>
      </c>
      <c r="T105" s="919"/>
      <c r="U105" s="917">
        <f t="shared" si="10"/>
        <v>0</v>
      </c>
      <c r="V105" s="918">
        <f t="shared" si="11"/>
        <v>0</v>
      </c>
      <c r="W105" s="919"/>
      <c r="X105" s="917">
        <f t="shared" si="12"/>
        <v>0</v>
      </c>
      <c r="Y105" s="918">
        <f t="shared" si="13"/>
        <v>1.99</v>
      </c>
      <c r="Z105" s="919">
        <v>13346.93</v>
      </c>
      <c r="AA105" s="917">
        <f t="shared" si="14"/>
        <v>14222.53</v>
      </c>
      <c r="AB105" s="918">
        <f t="shared" si="15"/>
        <v>0.3</v>
      </c>
      <c r="AC105" s="919">
        <v>2012.1</v>
      </c>
      <c r="AD105" s="917">
        <f t="shared" si="16"/>
        <v>2144.1</v>
      </c>
      <c r="AE105" s="918">
        <f t="shared" si="17"/>
        <v>0</v>
      </c>
      <c r="AF105" s="919"/>
      <c r="AG105" s="917">
        <f t="shared" si="18"/>
        <v>0</v>
      </c>
      <c r="AH105" s="918">
        <f t="shared" si="19"/>
        <v>0</v>
      </c>
      <c r="AI105" s="919"/>
      <c r="AJ105" s="917">
        <f t="shared" si="20"/>
        <v>0</v>
      </c>
      <c r="AK105" s="918">
        <f t="shared" si="21"/>
        <v>0</v>
      </c>
      <c r="AL105" s="919"/>
      <c r="AM105" s="917">
        <f t="shared" si="22"/>
        <v>0</v>
      </c>
      <c r="AN105" s="920">
        <v>19242</v>
      </c>
      <c r="AO105" s="917">
        <f t="shared" si="23"/>
        <v>0</v>
      </c>
      <c r="AP105" s="920"/>
      <c r="AQ105" s="916">
        <f t="shared" si="24"/>
        <v>0</v>
      </c>
      <c r="AR105" s="917">
        <f t="shared" si="25"/>
        <v>23799.51</v>
      </c>
      <c r="AS105" s="916">
        <v>12</v>
      </c>
      <c r="AT105" s="921">
        <f t="shared" si="26"/>
        <v>285594.12</v>
      </c>
      <c r="AU105" s="920"/>
      <c r="AV105" s="922">
        <f t="shared" si="27"/>
        <v>2855.94</v>
      </c>
      <c r="AW105" s="921">
        <f t="shared" si="28"/>
        <v>288450.06</v>
      </c>
      <c r="AX105" s="921">
        <f t="shared" si="29"/>
        <v>87111.92</v>
      </c>
      <c r="AY105" s="921">
        <f t="shared" si="30"/>
        <v>375561.98</v>
      </c>
      <c r="AZ105" s="923">
        <f t="shared" si="31"/>
        <v>288.5</v>
      </c>
      <c r="BA105" s="923">
        <f t="shared" si="32"/>
        <v>87.1</v>
      </c>
      <c r="BB105" s="923">
        <f t="shared" si="33"/>
        <v>375.6</v>
      </c>
      <c r="BC105" s="915">
        <v>0.95</v>
      </c>
      <c r="BD105" s="923">
        <f t="shared" si="34"/>
        <v>274.10000000000002</v>
      </c>
      <c r="BE105" s="923">
        <f t="shared" si="35"/>
        <v>82.8</v>
      </c>
      <c r="BF105" s="923">
        <f t="shared" si="36"/>
        <v>356.9</v>
      </c>
      <c r="BG105" s="924">
        <f>'[3]свод (2024)'!$B$116</f>
        <v>0.99758349999999996</v>
      </c>
      <c r="BH105" s="923">
        <f t="shared" si="37"/>
        <v>273.39999999999998</v>
      </c>
      <c r="BI105" s="923">
        <f t="shared" si="38"/>
        <v>82.6</v>
      </c>
      <c r="BJ105" s="923">
        <f t="shared" si="39"/>
        <v>356</v>
      </c>
      <c r="BK105" s="925">
        <f t="shared" si="40"/>
        <v>-15.1</v>
      </c>
      <c r="BL105" s="925">
        <f t="shared" si="40"/>
        <v>-4.5</v>
      </c>
      <c r="BM105" s="925">
        <f t="shared" si="41"/>
        <v>-19.600000000000001</v>
      </c>
      <c r="BN105" s="925">
        <f t="shared" si="42"/>
        <v>0</v>
      </c>
      <c r="BO105" s="925">
        <f t="shared" si="43"/>
        <v>0</v>
      </c>
      <c r="BP105" s="926"/>
      <c r="BQ105" s="925">
        <f t="shared" si="44"/>
        <v>273.39999999999998</v>
      </c>
      <c r="BR105" s="925">
        <f t="shared" si="44"/>
        <v>82.6</v>
      </c>
      <c r="BS105" s="925">
        <f t="shared" si="45"/>
        <v>356</v>
      </c>
      <c r="BU105" s="928"/>
      <c r="BV105" s="917"/>
      <c r="BW105" s="928"/>
      <c r="BX105" s="928"/>
      <c r="BY105" s="928"/>
      <c r="BZ105" s="917"/>
      <c r="CA105" s="928"/>
      <c r="CB105" s="917"/>
      <c r="CC105" s="928"/>
      <c r="CD105" s="928"/>
      <c r="CE105" s="928"/>
      <c r="CF105" s="929"/>
      <c r="CG105" s="928"/>
      <c r="CH105" s="928"/>
      <c r="CI105" s="928"/>
      <c r="CJ105" s="925"/>
      <c r="CK105" s="925"/>
      <c r="CL105" s="925"/>
      <c r="CM105" s="925"/>
      <c r="CN105" s="925"/>
      <c r="CO105" s="925"/>
      <c r="CP105" s="925"/>
      <c r="CQ105" s="925"/>
      <c r="CR105" s="925"/>
      <c r="CS105" s="917"/>
      <c r="CT105" s="928"/>
      <c r="CU105" s="928"/>
      <c r="CV105" s="928"/>
      <c r="CX105" s="925"/>
      <c r="CY105" s="925"/>
      <c r="CZ105" s="925"/>
      <c r="DB105" s="925"/>
      <c r="DC105" s="925"/>
      <c r="DD105" s="925"/>
      <c r="DE105" s="925"/>
      <c r="DF105" s="925"/>
      <c r="DG105" s="925"/>
      <c r="DH105" s="925"/>
      <c r="DI105" s="925"/>
      <c r="DJ105" s="925"/>
      <c r="DK105" s="925"/>
      <c r="DL105" s="925"/>
      <c r="DM105" s="925"/>
      <c r="DN105" s="925"/>
      <c r="DO105" s="925"/>
      <c r="DP105" s="925"/>
      <c r="DQ105" s="924"/>
      <c r="DR105" s="925"/>
      <c r="DS105" s="925"/>
      <c r="DT105" s="925"/>
      <c r="DV105" s="925"/>
      <c r="DW105" s="925"/>
      <c r="DX105" s="925"/>
      <c r="DY105" s="925"/>
      <c r="DZ105" s="925"/>
      <c r="EA105" s="925"/>
      <c r="EB105" s="925"/>
      <c r="EC105" s="925"/>
      <c r="ED105" s="925"/>
      <c r="EE105" s="925"/>
      <c r="EF105" s="925"/>
      <c r="EG105" s="925"/>
      <c r="EH105" s="925"/>
      <c r="EI105" s="925"/>
      <c r="EJ105" s="925"/>
      <c r="EK105" s="925"/>
      <c r="EL105" s="925"/>
      <c r="EM105" s="925"/>
      <c r="EN105" s="925"/>
      <c r="EO105" s="925"/>
      <c r="EP105" s="925"/>
      <c r="EQ105" s="925"/>
      <c r="ER105" s="925"/>
      <c r="ES105" s="925"/>
      <c r="ET105" s="925"/>
      <c r="EV105" s="924"/>
      <c r="EW105" s="925"/>
      <c r="EX105" s="925"/>
      <c r="EY105" s="925"/>
    </row>
    <row r="106" spans="1:155" s="927" customFormat="1" ht="15.75" x14ac:dyDescent="0.25">
      <c r="A106" s="912" t="s">
        <v>61</v>
      </c>
      <c r="B106" s="913" t="s">
        <v>33</v>
      </c>
      <c r="C106" s="914">
        <v>4</v>
      </c>
      <c r="D106" s="914">
        <v>13466</v>
      </c>
      <c r="E106" s="915">
        <v>1.0549999999999999</v>
      </c>
      <c r="F106" s="916">
        <f t="shared" si="0"/>
        <v>14207</v>
      </c>
      <c r="G106" s="915">
        <v>1.01</v>
      </c>
      <c r="H106" s="916">
        <f t="shared" si="1"/>
        <v>14350</v>
      </c>
      <c r="I106" s="917">
        <f t="shared" si="2"/>
        <v>57400</v>
      </c>
      <c r="J106" s="918">
        <f t="shared" si="3"/>
        <v>0</v>
      </c>
      <c r="K106" s="919"/>
      <c r="L106" s="917">
        <f t="shared" si="4"/>
        <v>0</v>
      </c>
      <c r="M106" s="918">
        <f t="shared" si="5"/>
        <v>0.03</v>
      </c>
      <c r="N106" s="919">
        <v>1615.92</v>
      </c>
      <c r="O106" s="917">
        <f t="shared" si="6"/>
        <v>1722</v>
      </c>
      <c r="P106" s="918">
        <f t="shared" si="7"/>
        <v>0</v>
      </c>
      <c r="Q106" s="988"/>
      <c r="R106" s="917">
        <f t="shared" si="8"/>
        <v>0</v>
      </c>
      <c r="S106" s="918">
        <f t="shared" si="9"/>
        <v>7.4999999999999997E-2</v>
      </c>
      <c r="T106" s="919">
        <v>4039.8</v>
      </c>
      <c r="U106" s="917">
        <f t="shared" si="10"/>
        <v>4305</v>
      </c>
      <c r="V106" s="918">
        <f t="shared" si="11"/>
        <v>0</v>
      </c>
      <c r="W106" s="919"/>
      <c r="X106" s="917">
        <f t="shared" si="12"/>
        <v>0</v>
      </c>
      <c r="Y106" s="918">
        <f t="shared" si="13"/>
        <v>1.2</v>
      </c>
      <c r="Z106" s="919">
        <v>64636.800000000003</v>
      </c>
      <c r="AA106" s="917">
        <f t="shared" si="14"/>
        <v>68880</v>
      </c>
      <c r="AB106" s="918">
        <f t="shared" si="15"/>
        <v>0.2</v>
      </c>
      <c r="AC106" s="919">
        <v>10772.8</v>
      </c>
      <c r="AD106" s="917">
        <f t="shared" si="16"/>
        <v>11480</v>
      </c>
      <c r="AE106" s="918">
        <f t="shared" si="17"/>
        <v>0</v>
      </c>
      <c r="AF106" s="919"/>
      <c r="AG106" s="917">
        <f t="shared" si="18"/>
        <v>0</v>
      </c>
      <c r="AH106" s="918">
        <f t="shared" si="19"/>
        <v>0</v>
      </c>
      <c r="AI106" s="919"/>
      <c r="AJ106" s="917">
        <f t="shared" si="20"/>
        <v>0</v>
      </c>
      <c r="AK106" s="918">
        <f t="shared" si="21"/>
        <v>0</v>
      </c>
      <c r="AL106" s="919"/>
      <c r="AM106" s="917">
        <f t="shared" si="22"/>
        <v>0</v>
      </c>
      <c r="AN106" s="920">
        <v>19242</v>
      </c>
      <c r="AO106" s="917">
        <f t="shared" si="23"/>
        <v>0</v>
      </c>
      <c r="AP106" s="920"/>
      <c r="AQ106" s="916">
        <f t="shared" si="24"/>
        <v>0</v>
      </c>
      <c r="AR106" s="917">
        <f t="shared" si="25"/>
        <v>143787</v>
      </c>
      <c r="AS106" s="916">
        <v>12</v>
      </c>
      <c r="AT106" s="921">
        <f t="shared" si="26"/>
        <v>1725444</v>
      </c>
      <c r="AU106" s="920"/>
      <c r="AV106" s="922">
        <f t="shared" si="27"/>
        <v>17254.439999999999</v>
      </c>
      <c r="AW106" s="921">
        <f t="shared" si="28"/>
        <v>1742698.44</v>
      </c>
      <c r="AX106" s="921">
        <f t="shared" si="29"/>
        <v>526294.93000000005</v>
      </c>
      <c r="AY106" s="921">
        <f t="shared" si="30"/>
        <v>2268993.37</v>
      </c>
      <c r="AZ106" s="923">
        <f t="shared" si="31"/>
        <v>1742.7</v>
      </c>
      <c r="BA106" s="923">
        <f t="shared" si="32"/>
        <v>526.29999999999995</v>
      </c>
      <c r="BB106" s="923">
        <f t="shared" si="33"/>
        <v>2269</v>
      </c>
      <c r="BC106" s="915">
        <v>0.95</v>
      </c>
      <c r="BD106" s="923">
        <f t="shared" si="34"/>
        <v>1655.6</v>
      </c>
      <c r="BE106" s="923">
        <f t="shared" si="35"/>
        <v>500</v>
      </c>
      <c r="BF106" s="923">
        <f t="shared" si="36"/>
        <v>2155.6</v>
      </c>
      <c r="BG106" s="924">
        <f>'[3]свод (2024)'!$B$116</f>
        <v>0.99758349999999996</v>
      </c>
      <c r="BH106" s="923">
        <f t="shared" si="37"/>
        <v>1651.6</v>
      </c>
      <c r="BI106" s="923">
        <f t="shared" si="38"/>
        <v>498.8</v>
      </c>
      <c r="BJ106" s="923">
        <f t="shared" si="39"/>
        <v>2150.4</v>
      </c>
      <c r="BK106" s="925">
        <f t="shared" si="40"/>
        <v>-91.1</v>
      </c>
      <c r="BL106" s="925">
        <f t="shared" si="40"/>
        <v>-27.5</v>
      </c>
      <c r="BM106" s="925">
        <f t="shared" si="41"/>
        <v>-118.6</v>
      </c>
      <c r="BN106" s="925">
        <f t="shared" si="42"/>
        <v>0</v>
      </c>
      <c r="BO106" s="925">
        <f t="shared" si="43"/>
        <v>0</v>
      </c>
      <c r="BP106" s="926"/>
      <c r="BQ106" s="925">
        <f t="shared" si="44"/>
        <v>1651.6</v>
      </c>
      <c r="BR106" s="925">
        <f t="shared" si="44"/>
        <v>498.8</v>
      </c>
      <c r="BS106" s="925">
        <f t="shared" si="45"/>
        <v>2150.4</v>
      </c>
      <c r="BU106" s="928"/>
      <c r="BV106" s="917"/>
      <c r="BW106" s="928"/>
      <c r="BX106" s="928"/>
      <c r="BY106" s="928"/>
      <c r="BZ106" s="917"/>
      <c r="CA106" s="928"/>
      <c r="CB106" s="917"/>
      <c r="CC106" s="928"/>
      <c r="CD106" s="928"/>
      <c r="CE106" s="928"/>
      <c r="CF106" s="929"/>
      <c r="CG106" s="928"/>
      <c r="CH106" s="928"/>
      <c r="CI106" s="928"/>
      <c r="CJ106" s="925"/>
      <c r="CK106" s="925"/>
      <c r="CL106" s="925"/>
      <c r="CM106" s="925"/>
      <c r="CN106" s="925"/>
      <c r="CO106" s="925"/>
      <c r="CP106" s="925"/>
      <c r="CQ106" s="925"/>
      <c r="CR106" s="925"/>
      <c r="CS106" s="917"/>
      <c r="CT106" s="928"/>
      <c r="CU106" s="928"/>
      <c r="CV106" s="928"/>
      <c r="CX106" s="925"/>
      <c r="CY106" s="925"/>
      <c r="CZ106" s="925"/>
      <c r="DB106" s="925"/>
      <c r="DC106" s="925"/>
      <c r="DD106" s="925"/>
      <c r="DE106" s="925"/>
      <c r="DF106" s="925"/>
      <c r="DG106" s="925"/>
      <c r="DH106" s="925"/>
      <c r="DI106" s="925"/>
      <c r="DJ106" s="925"/>
      <c r="DK106" s="925"/>
      <c r="DL106" s="925"/>
      <c r="DM106" s="925"/>
      <c r="DN106" s="925"/>
      <c r="DO106" s="925"/>
      <c r="DP106" s="925"/>
      <c r="DQ106" s="924"/>
      <c r="DR106" s="925"/>
      <c r="DS106" s="925"/>
      <c r="DT106" s="925"/>
      <c r="DV106" s="925"/>
      <c r="DW106" s="925"/>
      <c r="DX106" s="925"/>
      <c r="DY106" s="925"/>
      <c r="DZ106" s="925"/>
      <c r="EA106" s="925"/>
      <c r="EB106" s="925"/>
      <c r="EC106" s="925"/>
      <c r="ED106" s="925"/>
      <c r="EE106" s="925"/>
      <c r="EF106" s="925"/>
      <c r="EG106" s="925"/>
      <c r="EH106" s="925"/>
      <c r="EI106" s="925"/>
      <c r="EJ106" s="925"/>
      <c r="EK106" s="925"/>
      <c r="EL106" s="925"/>
      <c r="EM106" s="925"/>
      <c r="EN106" s="925"/>
      <c r="EO106" s="925"/>
      <c r="EP106" s="925"/>
      <c r="EQ106" s="925"/>
      <c r="ER106" s="925"/>
      <c r="ES106" s="925"/>
      <c r="ET106" s="925"/>
      <c r="EV106" s="924"/>
      <c r="EW106" s="925"/>
      <c r="EX106" s="925"/>
      <c r="EY106" s="925"/>
    </row>
    <row r="107" spans="1:155" s="927" customFormat="1" ht="15.75" x14ac:dyDescent="0.25">
      <c r="A107" s="912" t="s">
        <v>61</v>
      </c>
      <c r="B107" s="913" t="s">
        <v>39</v>
      </c>
      <c r="C107" s="914">
        <v>1</v>
      </c>
      <c r="D107" s="914">
        <v>6097</v>
      </c>
      <c r="E107" s="915">
        <v>1.0549999999999999</v>
      </c>
      <c r="F107" s="916">
        <f t="shared" si="0"/>
        <v>6433</v>
      </c>
      <c r="G107" s="915">
        <v>1.01</v>
      </c>
      <c r="H107" s="916">
        <f t="shared" si="1"/>
        <v>6498</v>
      </c>
      <c r="I107" s="917">
        <f t="shared" si="2"/>
        <v>6498</v>
      </c>
      <c r="J107" s="918">
        <f t="shared" si="3"/>
        <v>0</v>
      </c>
      <c r="K107" s="919"/>
      <c r="L107" s="917">
        <f t="shared" si="4"/>
        <v>0</v>
      </c>
      <c r="M107" s="918">
        <f t="shared" si="5"/>
        <v>0</v>
      </c>
      <c r="N107" s="919"/>
      <c r="O107" s="917">
        <f t="shared" si="6"/>
        <v>0</v>
      </c>
      <c r="P107" s="918">
        <f t="shared" si="7"/>
        <v>0</v>
      </c>
      <c r="Q107" s="919"/>
      <c r="R107" s="917">
        <f t="shared" si="8"/>
        <v>0</v>
      </c>
      <c r="S107" s="918">
        <f t="shared" si="9"/>
        <v>0</v>
      </c>
      <c r="T107" s="919"/>
      <c r="U107" s="917">
        <f t="shared" si="10"/>
        <v>0</v>
      </c>
      <c r="V107" s="918">
        <f t="shared" si="11"/>
        <v>0</v>
      </c>
      <c r="W107" s="919"/>
      <c r="X107" s="917">
        <f t="shared" si="12"/>
        <v>0</v>
      </c>
      <c r="Y107" s="918">
        <f t="shared" si="13"/>
        <v>0</v>
      </c>
      <c r="Z107" s="919"/>
      <c r="AA107" s="917">
        <f t="shared" si="14"/>
        <v>0</v>
      </c>
      <c r="AB107" s="918">
        <f t="shared" si="15"/>
        <v>0.3</v>
      </c>
      <c r="AC107" s="919">
        <v>1829.1</v>
      </c>
      <c r="AD107" s="917">
        <f t="shared" si="16"/>
        <v>1949.4</v>
      </c>
      <c r="AE107" s="918">
        <f t="shared" si="17"/>
        <v>0</v>
      </c>
      <c r="AF107" s="919"/>
      <c r="AG107" s="917">
        <f t="shared" si="18"/>
        <v>0</v>
      </c>
      <c r="AH107" s="918">
        <f t="shared" si="19"/>
        <v>0</v>
      </c>
      <c r="AI107" s="919"/>
      <c r="AJ107" s="917">
        <f t="shared" si="20"/>
        <v>0</v>
      </c>
      <c r="AK107" s="918">
        <f t="shared" si="21"/>
        <v>0</v>
      </c>
      <c r="AL107" s="919"/>
      <c r="AM107" s="917">
        <f t="shared" si="22"/>
        <v>0</v>
      </c>
      <c r="AN107" s="920">
        <v>19242</v>
      </c>
      <c r="AO107" s="917">
        <f t="shared" si="23"/>
        <v>10794.6</v>
      </c>
      <c r="AP107" s="920"/>
      <c r="AQ107" s="916">
        <f t="shared" si="24"/>
        <v>0</v>
      </c>
      <c r="AR107" s="917">
        <f t="shared" si="25"/>
        <v>19242</v>
      </c>
      <c r="AS107" s="916">
        <v>12</v>
      </c>
      <c r="AT107" s="921">
        <f t="shared" si="26"/>
        <v>230904</v>
      </c>
      <c r="AU107" s="920"/>
      <c r="AV107" s="922">
        <f t="shared" si="27"/>
        <v>2309.04</v>
      </c>
      <c r="AW107" s="921">
        <f t="shared" si="28"/>
        <v>233213.04</v>
      </c>
      <c r="AX107" s="921">
        <f t="shared" si="29"/>
        <v>70430.34</v>
      </c>
      <c r="AY107" s="921">
        <f t="shared" si="30"/>
        <v>303643.38</v>
      </c>
      <c r="AZ107" s="923">
        <f t="shared" si="31"/>
        <v>233.2</v>
      </c>
      <c r="BA107" s="923">
        <f t="shared" si="32"/>
        <v>70.400000000000006</v>
      </c>
      <c r="BB107" s="923">
        <f t="shared" si="33"/>
        <v>303.60000000000002</v>
      </c>
      <c r="BC107" s="915">
        <v>0.95</v>
      </c>
      <c r="BD107" s="923">
        <f t="shared" si="34"/>
        <v>221.5</v>
      </c>
      <c r="BE107" s="923">
        <f t="shared" si="35"/>
        <v>66.900000000000006</v>
      </c>
      <c r="BF107" s="923">
        <f t="shared" si="36"/>
        <v>288.39999999999998</v>
      </c>
      <c r="BG107" s="924">
        <f>'[3]свод (2024)'!$B$116</f>
        <v>0.99758349999999996</v>
      </c>
      <c r="BH107" s="923">
        <f t="shared" si="37"/>
        <v>221</v>
      </c>
      <c r="BI107" s="923">
        <f t="shared" si="38"/>
        <v>66.7</v>
      </c>
      <c r="BJ107" s="923">
        <f t="shared" si="39"/>
        <v>287.7</v>
      </c>
      <c r="BK107" s="925">
        <f t="shared" si="40"/>
        <v>-12.2</v>
      </c>
      <c r="BL107" s="925">
        <f t="shared" si="40"/>
        <v>-3.7</v>
      </c>
      <c r="BM107" s="925">
        <f t="shared" si="41"/>
        <v>-15.9</v>
      </c>
      <c r="BN107" s="925">
        <f t="shared" si="42"/>
        <v>0</v>
      </c>
      <c r="BO107" s="925">
        <f t="shared" si="43"/>
        <v>0</v>
      </c>
      <c r="BP107" s="926"/>
      <c r="BQ107" s="925">
        <f t="shared" si="44"/>
        <v>221</v>
      </c>
      <c r="BR107" s="925">
        <f t="shared" si="44"/>
        <v>66.7</v>
      </c>
      <c r="BS107" s="925">
        <f t="shared" si="45"/>
        <v>287.7</v>
      </c>
      <c r="BU107" s="928"/>
      <c r="BV107" s="917"/>
      <c r="BW107" s="928"/>
      <c r="BX107" s="928"/>
      <c r="BY107" s="928"/>
      <c r="BZ107" s="917"/>
      <c r="CA107" s="928"/>
      <c r="CB107" s="917"/>
      <c r="CC107" s="928"/>
      <c r="CD107" s="928"/>
      <c r="CE107" s="928"/>
      <c r="CF107" s="929"/>
      <c r="CG107" s="928"/>
      <c r="CH107" s="928"/>
      <c r="CI107" s="928"/>
      <c r="CJ107" s="925"/>
      <c r="CK107" s="925"/>
      <c r="CL107" s="925"/>
      <c r="CM107" s="925"/>
      <c r="CN107" s="925"/>
      <c r="CO107" s="925"/>
      <c r="CP107" s="925"/>
      <c r="CQ107" s="925"/>
      <c r="CR107" s="925"/>
      <c r="CS107" s="917"/>
      <c r="CT107" s="928"/>
      <c r="CU107" s="928"/>
      <c r="CV107" s="928"/>
      <c r="CX107" s="925"/>
      <c r="CY107" s="925"/>
      <c r="CZ107" s="925"/>
      <c r="DB107" s="925"/>
      <c r="DC107" s="925"/>
      <c r="DD107" s="925"/>
      <c r="DE107" s="925"/>
      <c r="DF107" s="925"/>
      <c r="DG107" s="925"/>
      <c r="DH107" s="925"/>
      <c r="DI107" s="925"/>
      <c r="DJ107" s="925"/>
      <c r="DK107" s="925"/>
      <c r="DL107" s="925"/>
      <c r="DM107" s="925"/>
      <c r="DN107" s="925"/>
      <c r="DO107" s="925"/>
      <c r="DP107" s="925"/>
      <c r="DQ107" s="924"/>
      <c r="DR107" s="925"/>
      <c r="DS107" s="925"/>
      <c r="DT107" s="925"/>
      <c r="DV107" s="925"/>
      <c r="DW107" s="925"/>
      <c r="DX107" s="925"/>
      <c r="DY107" s="925"/>
      <c r="DZ107" s="925"/>
      <c r="EA107" s="925"/>
      <c r="EB107" s="925"/>
      <c r="EC107" s="925"/>
      <c r="ED107" s="925"/>
      <c r="EE107" s="925"/>
      <c r="EF107" s="925"/>
      <c r="EG107" s="925"/>
      <c r="EH107" s="925"/>
      <c r="EI107" s="925"/>
      <c r="EJ107" s="925"/>
      <c r="EK107" s="925"/>
      <c r="EL107" s="925"/>
      <c r="EM107" s="925"/>
      <c r="EN107" s="925"/>
      <c r="EO107" s="925"/>
      <c r="EP107" s="925"/>
      <c r="EQ107" s="925"/>
      <c r="ER107" s="925"/>
      <c r="ES107" s="925"/>
      <c r="ET107" s="925"/>
      <c r="EV107" s="924"/>
      <c r="EW107" s="925"/>
      <c r="EX107" s="925"/>
      <c r="EY107" s="925"/>
    </row>
    <row r="108" spans="1:155" s="927" customFormat="1" ht="24" x14ac:dyDescent="0.25">
      <c r="A108" s="912" t="s">
        <v>61</v>
      </c>
      <c r="B108" s="913" t="s">
        <v>1395</v>
      </c>
      <c r="C108" s="914">
        <v>1</v>
      </c>
      <c r="D108" s="914">
        <v>22544</v>
      </c>
      <c r="E108" s="915">
        <v>1.0549999999999999</v>
      </c>
      <c r="F108" s="916">
        <f t="shared" si="0"/>
        <v>23784</v>
      </c>
      <c r="G108" s="915">
        <v>1.01</v>
      </c>
      <c r="H108" s="916">
        <f t="shared" si="1"/>
        <v>24022</v>
      </c>
      <c r="I108" s="917">
        <f t="shared" si="2"/>
        <v>24022</v>
      </c>
      <c r="J108" s="918">
        <f t="shared" si="3"/>
        <v>0</v>
      </c>
      <c r="K108" s="919"/>
      <c r="L108" s="917">
        <f t="shared" si="4"/>
        <v>0</v>
      </c>
      <c r="M108" s="918">
        <f t="shared" si="5"/>
        <v>0.04</v>
      </c>
      <c r="N108" s="919">
        <v>901.76</v>
      </c>
      <c r="O108" s="917">
        <f t="shared" si="6"/>
        <v>960.88</v>
      </c>
      <c r="P108" s="918">
        <f t="shared" si="7"/>
        <v>0</v>
      </c>
      <c r="Q108" s="919"/>
      <c r="R108" s="917">
        <f t="shared" si="8"/>
        <v>0</v>
      </c>
      <c r="S108" s="918">
        <f t="shared" si="9"/>
        <v>0</v>
      </c>
      <c r="T108" s="919"/>
      <c r="U108" s="917">
        <f t="shared" si="10"/>
        <v>0</v>
      </c>
      <c r="V108" s="918">
        <f t="shared" si="11"/>
        <v>0</v>
      </c>
      <c r="W108" s="919"/>
      <c r="X108" s="917">
        <f t="shared" si="12"/>
        <v>0</v>
      </c>
      <c r="Y108" s="918">
        <f t="shared" si="13"/>
        <v>0.34</v>
      </c>
      <c r="Z108" s="919">
        <v>7664.96</v>
      </c>
      <c r="AA108" s="917">
        <f t="shared" si="14"/>
        <v>8167.48</v>
      </c>
      <c r="AB108" s="918">
        <f t="shared" si="15"/>
        <v>0.15</v>
      </c>
      <c r="AC108" s="919">
        <v>3381.6</v>
      </c>
      <c r="AD108" s="917">
        <f t="shared" si="16"/>
        <v>3603.3</v>
      </c>
      <c r="AE108" s="918">
        <f t="shared" si="17"/>
        <v>0</v>
      </c>
      <c r="AF108" s="919"/>
      <c r="AG108" s="917">
        <f t="shared" si="18"/>
        <v>0</v>
      </c>
      <c r="AH108" s="918">
        <f t="shared" si="19"/>
        <v>0</v>
      </c>
      <c r="AI108" s="919"/>
      <c r="AJ108" s="917">
        <f t="shared" si="20"/>
        <v>0</v>
      </c>
      <c r="AK108" s="918">
        <f t="shared" si="21"/>
        <v>0</v>
      </c>
      <c r="AL108" s="919"/>
      <c r="AM108" s="917">
        <f t="shared" si="22"/>
        <v>0</v>
      </c>
      <c r="AN108" s="920">
        <v>19242</v>
      </c>
      <c r="AO108" s="917">
        <f t="shared" si="23"/>
        <v>0</v>
      </c>
      <c r="AP108" s="920"/>
      <c r="AQ108" s="916">
        <f t="shared" si="24"/>
        <v>0</v>
      </c>
      <c r="AR108" s="917">
        <f t="shared" si="25"/>
        <v>36753.660000000003</v>
      </c>
      <c r="AS108" s="916">
        <v>12</v>
      </c>
      <c r="AT108" s="921">
        <f t="shared" si="26"/>
        <v>441043.92</v>
      </c>
      <c r="AU108" s="920"/>
      <c r="AV108" s="922">
        <f t="shared" si="27"/>
        <v>4410.4399999999996</v>
      </c>
      <c r="AW108" s="921">
        <f t="shared" si="28"/>
        <v>445454.36</v>
      </c>
      <c r="AX108" s="921">
        <f t="shared" si="29"/>
        <v>134527.22</v>
      </c>
      <c r="AY108" s="921">
        <f t="shared" si="30"/>
        <v>579981.57999999996</v>
      </c>
      <c r="AZ108" s="923">
        <f t="shared" si="31"/>
        <v>445.5</v>
      </c>
      <c r="BA108" s="923">
        <f t="shared" si="32"/>
        <v>134.5</v>
      </c>
      <c r="BB108" s="923">
        <f t="shared" si="33"/>
        <v>580</v>
      </c>
      <c r="BC108" s="915">
        <v>0.95</v>
      </c>
      <c r="BD108" s="923">
        <f t="shared" si="34"/>
        <v>423.2</v>
      </c>
      <c r="BE108" s="923">
        <f t="shared" si="35"/>
        <v>127.8</v>
      </c>
      <c r="BF108" s="923">
        <f t="shared" si="36"/>
        <v>551</v>
      </c>
      <c r="BG108" s="924">
        <f>'[3]свод (2024)'!$B$116</f>
        <v>0.99758349999999996</v>
      </c>
      <c r="BH108" s="923">
        <f t="shared" si="37"/>
        <v>422.2</v>
      </c>
      <c r="BI108" s="923">
        <f t="shared" si="38"/>
        <v>127.5</v>
      </c>
      <c r="BJ108" s="923">
        <f t="shared" si="39"/>
        <v>549.70000000000005</v>
      </c>
      <c r="BK108" s="925">
        <f t="shared" si="40"/>
        <v>-23.3</v>
      </c>
      <c r="BL108" s="925">
        <f t="shared" si="40"/>
        <v>-7</v>
      </c>
      <c r="BM108" s="925">
        <f t="shared" si="41"/>
        <v>-30.3</v>
      </c>
      <c r="BN108" s="925">
        <f t="shared" si="42"/>
        <v>0</v>
      </c>
      <c r="BO108" s="925">
        <f t="shared" si="43"/>
        <v>0</v>
      </c>
      <c r="BP108" s="926"/>
      <c r="BQ108" s="925">
        <f t="shared" si="44"/>
        <v>422.2</v>
      </c>
      <c r="BR108" s="925">
        <f t="shared" si="44"/>
        <v>127.5</v>
      </c>
      <c r="BS108" s="925">
        <f t="shared" si="45"/>
        <v>549.70000000000005</v>
      </c>
      <c r="BU108" s="928"/>
      <c r="BV108" s="917"/>
      <c r="BW108" s="928"/>
      <c r="BX108" s="928"/>
      <c r="BY108" s="928"/>
      <c r="BZ108" s="917"/>
      <c r="CA108" s="928"/>
      <c r="CB108" s="917"/>
      <c r="CC108" s="928"/>
      <c r="CD108" s="928"/>
      <c r="CE108" s="928"/>
      <c r="CF108" s="929"/>
      <c r="CG108" s="928"/>
      <c r="CH108" s="928"/>
      <c r="CI108" s="928"/>
      <c r="CJ108" s="925"/>
      <c r="CK108" s="925"/>
      <c r="CL108" s="925"/>
      <c r="CM108" s="925"/>
      <c r="CN108" s="925"/>
      <c r="CO108" s="925"/>
      <c r="CP108" s="925"/>
      <c r="CQ108" s="925"/>
      <c r="CR108" s="925"/>
      <c r="CS108" s="917"/>
      <c r="CT108" s="928"/>
      <c r="CU108" s="928"/>
      <c r="CV108" s="928"/>
      <c r="CX108" s="925"/>
      <c r="CY108" s="925"/>
      <c r="CZ108" s="925"/>
      <c r="DB108" s="925"/>
      <c r="DC108" s="925"/>
      <c r="DD108" s="925"/>
      <c r="DE108" s="925"/>
      <c r="DF108" s="925"/>
      <c r="DG108" s="925"/>
      <c r="DH108" s="925"/>
      <c r="DI108" s="925"/>
      <c r="DJ108" s="925"/>
      <c r="DK108" s="925"/>
      <c r="DL108" s="925"/>
      <c r="DM108" s="925"/>
      <c r="DN108" s="925"/>
      <c r="DO108" s="925"/>
      <c r="DP108" s="925"/>
      <c r="DQ108" s="924"/>
      <c r="DR108" s="925"/>
      <c r="DS108" s="925"/>
      <c r="DT108" s="925"/>
      <c r="DV108" s="925"/>
      <c r="DW108" s="925"/>
      <c r="DX108" s="925"/>
      <c r="DY108" s="925"/>
      <c r="DZ108" s="925"/>
      <c r="EA108" s="925"/>
      <c r="EB108" s="925"/>
      <c r="EC108" s="925"/>
      <c r="ED108" s="925"/>
      <c r="EE108" s="925"/>
      <c r="EF108" s="925"/>
      <c r="EG108" s="925"/>
      <c r="EH108" s="925"/>
      <c r="EI108" s="925"/>
      <c r="EJ108" s="925"/>
      <c r="EK108" s="925"/>
      <c r="EL108" s="925"/>
      <c r="EM108" s="925"/>
      <c r="EN108" s="925"/>
      <c r="EO108" s="925"/>
      <c r="EP108" s="925"/>
      <c r="EQ108" s="925"/>
      <c r="ER108" s="925"/>
      <c r="ES108" s="925"/>
      <c r="ET108" s="925"/>
      <c r="EV108" s="924"/>
      <c r="EW108" s="925"/>
      <c r="EX108" s="925"/>
      <c r="EY108" s="925"/>
    </row>
    <row r="109" spans="1:155" s="927" customFormat="1" ht="24" x14ac:dyDescent="0.25">
      <c r="A109" s="912" t="s">
        <v>61</v>
      </c>
      <c r="B109" s="913" t="s">
        <v>1384</v>
      </c>
      <c r="C109" s="914">
        <v>1</v>
      </c>
      <c r="D109" s="914">
        <v>22544</v>
      </c>
      <c r="E109" s="915">
        <v>1.0549999999999999</v>
      </c>
      <c r="F109" s="916">
        <f t="shared" si="0"/>
        <v>23784</v>
      </c>
      <c r="G109" s="915">
        <v>1.01</v>
      </c>
      <c r="H109" s="916">
        <f t="shared" si="1"/>
        <v>24022</v>
      </c>
      <c r="I109" s="917">
        <f t="shared" si="2"/>
        <v>24022</v>
      </c>
      <c r="J109" s="918">
        <f t="shared" si="3"/>
        <v>0</v>
      </c>
      <c r="K109" s="919"/>
      <c r="L109" s="917">
        <f t="shared" si="4"/>
        <v>0</v>
      </c>
      <c r="M109" s="918">
        <f t="shared" si="5"/>
        <v>0</v>
      </c>
      <c r="N109" s="919"/>
      <c r="O109" s="917">
        <f t="shared" si="6"/>
        <v>0</v>
      </c>
      <c r="P109" s="918">
        <f t="shared" si="7"/>
        <v>0</v>
      </c>
      <c r="Q109" s="988"/>
      <c r="R109" s="917">
        <f t="shared" si="8"/>
        <v>0</v>
      </c>
      <c r="S109" s="918">
        <f t="shared" si="9"/>
        <v>0</v>
      </c>
      <c r="T109" s="919"/>
      <c r="U109" s="917">
        <f t="shared" si="10"/>
        <v>0</v>
      </c>
      <c r="V109" s="918">
        <f t="shared" si="11"/>
        <v>0</v>
      </c>
      <c r="W109" s="919"/>
      <c r="X109" s="917">
        <f t="shared" si="12"/>
        <v>0</v>
      </c>
      <c r="Y109" s="918">
        <f t="shared" si="13"/>
        <v>0.34</v>
      </c>
      <c r="Z109" s="919">
        <v>7664.96</v>
      </c>
      <c r="AA109" s="917">
        <f t="shared" si="14"/>
        <v>8167.48</v>
      </c>
      <c r="AB109" s="918">
        <f t="shared" si="15"/>
        <v>0.2</v>
      </c>
      <c r="AC109" s="919">
        <v>4508.8</v>
      </c>
      <c r="AD109" s="917">
        <f t="shared" si="16"/>
        <v>4804.3999999999996</v>
      </c>
      <c r="AE109" s="918">
        <f t="shared" si="17"/>
        <v>0</v>
      </c>
      <c r="AF109" s="919"/>
      <c r="AG109" s="917">
        <f t="shared" si="18"/>
        <v>0</v>
      </c>
      <c r="AH109" s="918">
        <f t="shared" si="19"/>
        <v>0</v>
      </c>
      <c r="AI109" s="919"/>
      <c r="AJ109" s="917">
        <f t="shared" si="20"/>
        <v>0</v>
      </c>
      <c r="AK109" s="918">
        <f t="shared" si="21"/>
        <v>0</v>
      </c>
      <c r="AL109" s="919"/>
      <c r="AM109" s="917">
        <f t="shared" si="22"/>
        <v>0</v>
      </c>
      <c r="AN109" s="920">
        <v>19242</v>
      </c>
      <c r="AO109" s="917">
        <f t="shared" si="23"/>
        <v>0</v>
      </c>
      <c r="AP109" s="920"/>
      <c r="AQ109" s="916">
        <f t="shared" si="24"/>
        <v>0</v>
      </c>
      <c r="AR109" s="917">
        <f t="shared" si="25"/>
        <v>36993.879999999997</v>
      </c>
      <c r="AS109" s="916">
        <v>12</v>
      </c>
      <c r="AT109" s="921">
        <f t="shared" si="26"/>
        <v>443926.56</v>
      </c>
      <c r="AU109" s="920"/>
      <c r="AV109" s="922">
        <f t="shared" si="27"/>
        <v>4439.2700000000004</v>
      </c>
      <c r="AW109" s="921">
        <f t="shared" si="28"/>
        <v>448365.83</v>
      </c>
      <c r="AX109" s="921">
        <f t="shared" si="29"/>
        <v>135406.48000000001</v>
      </c>
      <c r="AY109" s="921">
        <f t="shared" si="30"/>
        <v>583772.31000000006</v>
      </c>
      <c r="AZ109" s="923">
        <f t="shared" si="31"/>
        <v>448.4</v>
      </c>
      <c r="BA109" s="923">
        <f t="shared" si="32"/>
        <v>135.4</v>
      </c>
      <c r="BB109" s="923">
        <f t="shared" si="33"/>
        <v>583.79999999999995</v>
      </c>
      <c r="BC109" s="915">
        <v>0.95</v>
      </c>
      <c r="BD109" s="923">
        <f t="shared" si="34"/>
        <v>426</v>
      </c>
      <c r="BE109" s="923">
        <f t="shared" si="35"/>
        <v>128.69999999999999</v>
      </c>
      <c r="BF109" s="923">
        <f t="shared" si="36"/>
        <v>554.70000000000005</v>
      </c>
      <c r="BG109" s="924">
        <f>'[3]свод (2024)'!$B$116</f>
        <v>0.99758349999999996</v>
      </c>
      <c r="BH109" s="923">
        <f t="shared" si="37"/>
        <v>425</v>
      </c>
      <c r="BI109" s="923">
        <f t="shared" si="38"/>
        <v>128.4</v>
      </c>
      <c r="BJ109" s="923">
        <f t="shared" si="39"/>
        <v>553.4</v>
      </c>
      <c r="BK109" s="925">
        <f t="shared" si="40"/>
        <v>-23.4</v>
      </c>
      <c r="BL109" s="925">
        <f t="shared" si="40"/>
        <v>-7</v>
      </c>
      <c r="BM109" s="925">
        <f t="shared" si="41"/>
        <v>-30.4</v>
      </c>
      <c r="BN109" s="925">
        <f t="shared" si="42"/>
        <v>0</v>
      </c>
      <c r="BO109" s="925">
        <f t="shared" si="43"/>
        <v>0</v>
      </c>
      <c r="BP109" s="926"/>
      <c r="BQ109" s="925">
        <f t="shared" si="44"/>
        <v>425</v>
      </c>
      <c r="BR109" s="925">
        <f t="shared" si="44"/>
        <v>128.4</v>
      </c>
      <c r="BS109" s="925">
        <f t="shared" si="45"/>
        <v>553.4</v>
      </c>
      <c r="BU109" s="928"/>
      <c r="BV109" s="917"/>
      <c r="BW109" s="928"/>
      <c r="BX109" s="928"/>
      <c r="BY109" s="928"/>
      <c r="BZ109" s="917"/>
      <c r="CA109" s="928"/>
      <c r="CB109" s="917"/>
      <c r="CC109" s="928"/>
      <c r="CD109" s="928"/>
      <c r="CE109" s="928"/>
      <c r="CF109" s="929"/>
      <c r="CG109" s="928"/>
      <c r="CH109" s="928"/>
      <c r="CI109" s="928"/>
      <c r="CJ109" s="925"/>
      <c r="CK109" s="925"/>
      <c r="CL109" s="925"/>
      <c r="CM109" s="925"/>
      <c r="CN109" s="925"/>
      <c r="CO109" s="925"/>
      <c r="CP109" s="925"/>
      <c r="CQ109" s="925"/>
      <c r="CR109" s="925"/>
      <c r="CS109" s="917"/>
      <c r="CT109" s="928"/>
      <c r="CU109" s="928"/>
      <c r="CV109" s="928"/>
      <c r="CX109" s="925"/>
      <c r="CY109" s="925"/>
      <c r="CZ109" s="925"/>
      <c r="DB109" s="925"/>
      <c r="DC109" s="925"/>
      <c r="DD109" s="925"/>
      <c r="DE109" s="925"/>
      <c r="DF109" s="925"/>
      <c r="DG109" s="925"/>
      <c r="DH109" s="925"/>
      <c r="DI109" s="925"/>
      <c r="DJ109" s="925"/>
      <c r="DK109" s="925"/>
      <c r="DL109" s="925"/>
      <c r="DM109" s="925"/>
      <c r="DN109" s="925"/>
      <c r="DO109" s="925"/>
      <c r="DP109" s="925"/>
      <c r="DQ109" s="924"/>
      <c r="DR109" s="925"/>
      <c r="DS109" s="925"/>
      <c r="DT109" s="925"/>
      <c r="DV109" s="925"/>
      <c r="DW109" s="925"/>
      <c r="DX109" s="925"/>
      <c r="DY109" s="925"/>
      <c r="DZ109" s="925"/>
      <c r="EA109" s="925"/>
      <c r="EB109" s="925"/>
      <c r="EC109" s="925"/>
      <c r="ED109" s="925"/>
      <c r="EE109" s="925"/>
      <c r="EF109" s="925"/>
      <c r="EG109" s="925"/>
      <c r="EH109" s="925"/>
      <c r="EI109" s="925"/>
      <c r="EJ109" s="925"/>
      <c r="EK109" s="925"/>
      <c r="EL109" s="925"/>
      <c r="EM109" s="925"/>
      <c r="EN109" s="925"/>
      <c r="EO109" s="925"/>
      <c r="EP109" s="925"/>
      <c r="EQ109" s="925"/>
      <c r="ER109" s="925"/>
      <c r="ES109" s="925"/>
      <c r="ET109" s="925"/>
      <c r="EV109" s="924"/>
      <c r="EW109" s="925"/>
      <c r="EX109" s="925"/>
      <c r="EY109" s="925"/>
    </row>
    <row r="110" spans="1:155" s="927" customFormat="1" ht="24" x14ac:dyDescent="0.25">
      <c r="A110" s="912" t="s">
        <v>61</v>
      </c>
      <c r="B110" s="913" t="s">
        <v>30</v>
      </c>
      <c r="C110" s="914">
        <v>1</v>
      </c>
      <c r="D110" s="914">
        <v>22544</v>
      </c>
      <c r="E110" s="915">
        <v>1.0549999999999999</v>
      </c>
      <c r="F110" s="916">
        <f t="shared" si="0"/>
        <v>23784</v>
      </c>
      <c r="G110" s="915">
        <v>1.01</v>
      </c>
      <c r="H110" s="916">
        <f t="shared" si="1"/>
        <v>24022</v>
      </c>
      <c r="I110" s="917">
        <f t="shared" si="2"/>
        <v>24022</v>
      </c>
      <c r="J110" s="918">
        <f t="shared" si="3"/>
        <v>0</v>
      </c>
      <c r="K110" s="919"/>
      <c r="L110" s="917">
        <f t="shared" si="4"/>
        <v>0</v>
      </c>
      <c r="M110" s="918">
        <f t="shared" si="5"/>
        <v>0.04</v>
      </c>
      <c r="N110" s="919">
        <v>901.76</v>
      </c>
      <c r="O110" s="917">
        <f t="shared" si="6"/>
        <v>960.88</v>
      </c>
      <c r="P110" s="918">
        <f t="shared" si="7"/>
        <v>0</v>
      </c>
      <c r="Q110" s="988"/>
      <c r="R110" s="917">
        <f t="shared" si="8"/>
        <v>0</v>
      </c>
      <c r="S110" s="918">
        <f t="shared" si="9"/>
        <v>0</v>
      </c>
      <c r="T110" s="919"/>
      <c r="U110" s="917">
        <f t="shared" si="10"/>
        <v>0</v>
      </c>
      <c r="V110" s="918">
        <f t="shared" si="11"/>
        <v>0</v>
      </c>
      <c r="W110" s="919"/>
      <c r="X110" s="917">
        <f t="shared" si="12"/>
        <v>0</v>
      </c>
      <c r="Y110" s="918">
        <f t="shared" si="13"/>
        <v>0.34</v>
      </c>
      <c r="Z110" s="919">
        <v>7664.96</v>
      </c>
      <c r="AA110" s="917">
        <f t="shared" si="14"/>
        <v>8167.48</v>
      </c>
      <c r="AB110" s="918">
        <f t="shared" si="15"/>
        <v>0.2</v>
      </c>
      <c r="AC110" s="919">
        <v>4508.8</v>
      </c>
      <c r="AD110" s="917">
        <f t="shared" si="16"/>
        <v>4804.3999999999996</v>
      </c>
      <c r="AE110" s="918">
        <f t="shared" si="17"/>
        <v>0.1</v>
      </c>
      <c r="AF110" s="919">
        <v>2254.4</v>
      </c>
      <c r="AG110" s="917">
        <f t="shared" si="18"/>
        <v>2402.1999999999998</v>
      </c>
      <c r="AH110" s="918">
        <f t="shared" si="19"/>
        <v>0</v>
      </c>
      <c r="AI110" s="919"/>
      <c r="AJ110" s="917">
        <f t="shared" si="20"/>
        <v>0</v>
      </c>
      <c r="AK110" s="918">
        <f t="shared" si="21"/>
        <v>0</v>
      </c>
      <c r="AL110" s="919"/>
      <c r="AM110" s="917">
        <f t="shared" si="22"/>
        <v>0</v>
      </c>
      <c r="AN110" s="920">
        <v>19242</v>
      </c>
      <c r="AO110" s="917">
        <f t="shared" si="23"/>
        <v>0</v>
      </c>
      <c r="AP110" s="920"/>
      <c r="AQ110" s="916">
        <f t="shared" si="24"/>
        <v>0</v>
      </c>
      <c r="AR110" s="917">
        <f t="shared" si="25"/>
        <v>40356.959999999999</v>
      </c>
      <c r="AS110" s="916">
        <v>12</v>
      </c>
      <c r="AT110" s="921">
        <f t="shared" si="26"/>
        <v>484283.52</v>
      </c>
      <c r="AU110" s="920"/>
      <c r="AV110" s="922">
        <f t="shared" si="27"/>
        <v>4842.84</v>
      </c>
      <c r="AW110" s="921">
        <f t="shared" si="28"/>
        <v>489126.36</v>
      </c>
      <c r="AX110" s="921">
        <f t="shared" si="29"/>
        <v>147716.16</v>
      </c>
      <c r="AY110" s="921">
        <f t="shared" si="30"/>
        <v>636842.52</v>
      </c>
      <c r="AZ110" s="923">
        <f t="shared" si="31"/>
        <v>489.1</v>
      </c>
      <c r="BA110" s="923">
        <f t="shared" si="32"/>
        <v>147.69999999999999</v>
      </c>
      <c r="BB110" s="923">
        <f t="shared" si="33"/>
        <v>636.79999999999995</v>
      </c>
      <c r="BC110" s="915">
        <v>0.95</v>
      </c>
      <c r="BD110" s="923">
        <f t="shared" si="34"/>
        <v>464.6</v>
      </c>
      <c r="BE110" s="923">
        <f t="shared" si="35"/>
        <v>140.30000000000001</v>
      </c>
      <c r="BF110" s="923">
        <f t="shared" si="36"/>
        <v>604.9</v>
      </c>
      <c r="BG110" s="924">
        <f>'[3]свод (2024)'!$B$116</f>
        <v>0.99758349999999996</v>
      </c>
      <c r="BH110" s="923">
        <f t="shared" si="37"/>
        <v>463.5</v>
      </c>
      <c r="BI110" s="923">
        <f t="shared" si="38"/>
        <v>140</v>
      </c>
      <c r="BJ110" s="923">
        <f t="shared" si="39"/>
        <v>603.5</v>
      </c>
      <c r="BK110" s="925">
        <f t="shared" si="40"/>
        <v>-25.6</v>
      </c>
      <c r="BL110" s="925">
        <f t="shared" si="40"/>
        <v>-7.7</v>
      </c>
      <c r="BM110" s="925">
        <f t="shared" si="41"/>
        <v>-33.299999999999997</v>
      </c>
      <c r="BN110" s="925">
        <f t="shared" si="42"/>
        <v>0</v>
      </c>
      <c r="BO110" s="925">
        <f t="shared" si="43"/>
        <v>0</v>
      </c>
      <c r="BP110" s="926"/>
      <c r="BQ110" s="925">
        <f t="shared" si="44"/>
        <v>463.5</v>
      </c>
      <c r="BR110" s="925">
        <f t="shared" si="44"/>
        <v>140</v>
      </c>
      <c r="BS110" s="925">
        <f t="shared" si="45"/>
        <v>603.5</v>
      </c>
      <c r="BU110" s="928"/>
      <c r="BV110" s="917"/>
      <c r="BW110" s="928"/>
      <c r="BX110" s="928"/>
      <c r="BY110" s="928"/>
      <c r="BZ110" s="917"/>
      <c r="CA110" s="928"/>
      <c r="CB110" s="917"/>
      <c r="CC110" s="928"/>
      <c r="CD110" s="928"/>
      <c r="CE110" s="928"/>
      <c r="CF110" s="929"/>
      <c r="CG110" s="928"/>
      <c r="CH110" s="928"/>
      <c r="CI110" s="928"/>
      <c r="CJ110" s="925"/>
      <c r="CK110" s="925"/>
      <c r="CL110" s="925"/>
      <c r="CM110" s="925"/>
      <c r="CN110" s="925"/>
      <c r="CO110" s="925"/>
      <c r="CP110" s="925"/>
      <c r="CQ110" s="925"/>
      <c r="CR110" s="925"/>
      <c r="CS110" s="917"/>
      <c r="CT110" s="928"/>
      <c r="CU110" s="928"/>
      <c r="CV110" s="928"/>
      <c r="CX110" s="925"/>
      <c r="CY110" s="925"/>
      <c r="CZ110" s="925"/>
      <c r="DB110" s="925"/>
      <c r="DC110" s="925"/>
      <c r="DD110" s="925"/>
      <c r="DE110" s="925"/>
      <c r="DF110" s="925"/>
      <c r="DG110" s="925"/>
      <c r="DH110" s="925"/>
      <c r="DI110" s="925"/>
      <c r="DJ110" s="925"/>
      <c r="DK110" s="925"/>
      <c r="DL110" s="925"/>
      <c r="DM110" s="925"/>
      <c r="DN110" s="925"/>
      <c r="DO110" s="925"/>
      <c r="DP110" s="925"/>
      <c r="DQ110" s="924"/>
      <c r="DR110" s="925"/>
      <c r="DS110" s="925"/>
      <c r="DT110" s="925"/>
      <c r="DV110" s="925"/>
      <c r="DW110" s="925"/>
      <c r="DX110" s="925"/>
      <c r="DY110" s="925"/>
      <c r="DZ110" s="925"/>
      <c r="EA110" s="925"/>
      <c r="EB110" s="925"/>
      <c r="EC110" s="925"/>
      <c r="ED110" s="925"/>
      <c r="EE110" s="925"/>
      <c r="EF110" s="925"/>
      <c r="EG110" s="925"/>
      <c r="EH110" s="925"/>
      <c r="EI110" s="925"/>
      <c r="EJ110" s="925"/>
      <c r="EK110" s="925"/>
      <c r="EL110" s="925"/>
      <c r="EM110" s="925"/>
      <c r="EN110" s="925"/>
      <c r="EO110" s="925"/>
      <c r="EP110" s="925"/>
      <c r="EQ110" s="925"/>
      <c r="ER110" s="925"/>
      <c r="ES110" s="925"/>
      <c r="ET110" s="925"/>
      <c r="EV110" s="924"/>
      <c r="EW110" s="925"/>
      <c r="EX110" s="925"/>
      <c r="EY110" s="925"/>
    </row>
    <row r="111" spans="1:155" s="927" customFormat="1" ht="15.75" x14ac:dyDescent="0.25">
      <c r="A111" s="912" t="s">
        <v>61</v>
      </c>
      <c r="B111" s="913" t="s">
        <v>1396</v>
      </c>
      <c r="C111" s="914">
        <v>0.5</v>
      </c>
      <c r="D111" s="914">
        <v>7755</v>
      </c>
      <c r="E111" s="915">
        <v>1.0549999999999999</v>
      </c>
      <c r="F111" s="916">
        <f t="shared" si="0"/>
        <v>8182</v>
      </c>
      <c r="G111" s="915">
        <v>1.01</v>
      </c>
      <c r="H111" s="916">
        <f t="shared" si="1"/>
        <v>8264</v>
      </c>
      <c r="I111" s="917">
        <f t="shared" si="2"/>
        <v>4132</v>
      </c>
      <c r="J111" s="918">
        <f t="shared" si="3"/>
        <v>0</v>
      </c>
      <c r="K111" s="919"/>
      <c r="L111" s="917">
        <f t="shared" si="4"/>
        <v>0</v>
      </c>
      <c r="M111" s="918">
        <f t="shared" si="5"/>
        <v>0</v>
      </c>
      <c r="N111" s="919"/>
      <c r="O111" s="917">
        <f t="shared" si="6"/>
        <v>0</v>
      </c>
      <c r="P111" s="918">
        <f t="shared" si="7"/>
        <v>0</v>
      </c>
      <c r="Q111" s="919"/>
      <c r="R111" s="917">
        <f t="shared" si="8"/>
        <v>0</v>
      </c>
      <c r="S111" s="918">
        <f t="shared" si="9"/>
        <v>0</v>
      </c>
      <c r="T111" s="919"/>
      <c r="U111" s="917">
        <f t="shared" si="10"/>
        <v>0</v>
      </c>
      <c r="V111" s="918">
        <f t="shared" si="11"/>
        <v>0</v>
      </c>
      <c r="W111" s="919"/>
      <c r="X111" s="917">
        <f t="shared" si="12"/>
        <v>0</v>
      </c>
      <c r="Y111" s="918">
        <f t="shared" si="13"/>
        <v>1.99</v>
      </c>
      <c r="Z111" s="919">
        <v>7716.23</v>
      </c>
      <c r="AA111" s="917">
        <f t="shared" si="14"/>
        <v>8222.68</v>
      </c>
      <c r="AB111" s="918">
        <f t="shared" si="15"/>
        <v>0.2</v>
      </c>
      <c r="AC111" s="919">
        <v>775.5</v>
      </c>
      <c r="AD111" s="917">
        <f t="shared" si="16"/>
        <v>826.4</v>
      </c>
      <c r="AE111" s="918">
        <f t="shared" si="17"/>
        <v>0</v>
      </c>
      <c r="AF111" s="919"/>
      <c r="AG111" s="917">
        <f t="shared" si="18"/>
        <v>0</v>
      </c>
      <c r="AH111" s="918">
        <f t="shared" si="19"/>
        <v>0</v>
      </c>
      <c r="AI111" s="919"/>
      <c r="AJ111" s="917">
        <f t="shared" si="20"/>
        <v>0</v>
      </c>
      <c r="AK111" s="918">
        <f t="shared" si="21"/>
        <v>0</v>
      </c>
      <c r="AL111" s="919"/>
      <c r="AM111" s="917">
        <f t="shared" si="22"/>
        <v>0</v>
      </c>
      <c r="AN111" s="920">
        <v>19242</v>
      </c>
      <c r="AO111" s="917">
        <f t="shared" si="23"/>
        <v>0</v>
      </c>
      <c r="AP111" s="920"/>
      <c r="AQ111" s="916">
        <f t="shared" si="24"/>
        <v>0</v>
      </c>
      <c r="AR111" s="917">
        <f t="shared" si="25"/>
        <v>13181.08</v>
      </c>
      <c r="AS111" s="916">
        <v>12</v>
      </c>
      <c r="AT111" s="921">
        <f t="shared" si="26"/>
        <v>158172.96</v>
      </c>
      <c r="AU111" s="920"/>
      <c r="AV111" s="922">
        <f t="shared" si="27"/>
        <v>1581.73</v>
      </c>
      <c r="AW111" s="921">
        <f t="shared" si="28"/>
        <v>159754.69</v>
      </c>
      <c r="AX111" s="921">
        <f t="shared" si="29"/>
        <v>48245.919999999998</v>
      </c>
      <c r="AY111" s="921">
        <f t="shared" si="30"/>
        <v>208000.61</v>
      </c>
      <c r="AZ111" s="923">
        <f t="shared" si="31"/>
        <v>159.80000000000001</v>
      </c>
      <c r="BA111" s="923">
        <f t="shared" si="32"/>
        <v>48.3</v>
      </c>
      <c r="BB111" s="923">
        <f t="shared" si="33"/>
        <v>208.1</v>
      </c>
      <c r="BC111" s="915">
        <v>0.95</v>
      </c>
      <c r="BD111" s="923">
        <f t="shared" si="34"/>
        <v>151.80000000000001</v>
      </c>
      <c r="BE111" s="923">
        <f t="shared" si="35"/>
        <v>45.8</v>
      </c>
      <c r="BF111" s="923">
        <f t="shared" si="36"/>
        <v>197.6</v>
      </c>
      <c r="BG111" s="924">
        <f>'[3]свод (2024)'!$B$116</f>
        <v>0.99758349999999996</v>
      </c>
      <c r="BH111" s="923">
        <f t="shared" si="37"/>
        <v>151.4</v>
      </c>
      <c r="BI111" s="923">
        <f t="shared" si="38"/>
        <v>45.7</v>
      </c>
      <c r="BJ111" s="923">
        <f t="shared" si="39"/>
        <v>197.1</v>
      </c>
      <c r="BK111" s="925">
        <f t="shared" si="40"/>
        <v>-8.4</v>
      </c>
      <c r="BL111" s="925">
        <f t="shared" si="40"/>
        <v>-2.6</v>
      </c>
      <c r="BM111" s="925">
        <f t="shared" si="41"/>
        <v>-11</v>
      </c>
      <c r="BN111" s="925">
        <f t="shared" si="42"/>
        <v>0</v>
      </c>
      <c r="BO111" s="925">
        <f t="shared" si="43"/>
        <v>0</v>
      </c>
      <c r="BP111" s="926"/>
      <c r="BQ111" s="925">
        <f t="shared" si="44"/>
        <v>151.4</v>
      </c>
      <c r="BR111" s="925">
        <f t="shared" si="44"/>
        <v>45.7</v>
      </c>
      <c r="BS111" s="925">
        <f t="shared" si="45"/>
        <v>197.1</v>
      </c>
      <c r="BU111" s="928"/>
      <c r="BV111" s="917"/>
      <c r="BW111" s="928"/>
      <c r="BX111" s="928"/>
      <c r="BY111" s="928"/>
      <c r="BZ111" s="917"/>
      <c r="CA111" s="928"/>
      <c r="CB111" s="917"/>
      <c r="CC111" s="928"/>
      <c r="CD111" s="928"/>
      <c r="CE111" s="928"/>
      <c r="CF111" s="929"/>
      <c r="CG111" s="928"/>
      <c r="CH111" s="928"/>
      <c r="CI111" s="928"/>
      <c r="CJ111" s="925"/>
      <c r="CK111" s="925"/>
      <c r="CL111" s="925"/>
      <c r="CM111" s="925"/>
      <c r="CN111" s="925"/>
      <c r="CO111" s="925"/>
      <c r="CP111" s="925"/>
      <c r="CQ111" s="925"/>
      <c r="CR111" s="925"/>
      <c r="CS111" s="917"/>
      <c r="CT111" s="928"/>
      <c r="CU111" s="928"/>
      <c r="CV111" s="928"/>
      <c r="CX111" s="925"/>
      <c r="CY111" s="925"/>
      <c r="CZ111" s="925"/>
      <c r="DB111" s="925"/>
      <c r="DC111" s="925"/>
      <c r="DD111" s="925"/>
      <c r="DE111" s="925"/>
      <c r="DF111" s="925"/>
      <c r="DG111" s="925"/>
      <c r="DH111" s="925"/>
      <c r="DI111" s="925"/>
      <c r="DJ111" s="925"/>
      <c r="DK111" s="925"/>
      <c r="DL111" s="925"/>
      <c r="DM111" s="925"/>
      <c r="DN111" s="925"/>
      <c r="DO111" s="925"/>
      <c r="DP111" s="925"/>
      <c r="DQ111" s="924"/>
      <c r="DR111" s="925"/>
      <c r="DS111" s="925"/>
      <c r="DT111" s="925"/>
      <c r="DV111" s="925"/>
      <c r="DW111" s="925"/>
      <c r="DX111" s="925"/>
      <c r="DY111" s="925"/>
      <c r="DZ111" s="925"/>
      <c r="EA111" s="925"/>
      <c r="EB111" s="925"/>
      <c r="EC111" s="925"/>
      <c r="ED111" s="925"/>
      <c r="EE111" s="925"/>
      <c r="EF111" s="925"/>
      <c r="EG111" s="925"/>
      <c r="EH111" s="925"/>
      <c r="EI111" s="925"/>
      <c r="EJ111" s="925"/>
      <c r="EK111" s="925"/>
      <c r="EL111" s="925"/>
      <c r="EM111" s="925"/>
      <c r="EN111" s="925"/>
      <c r="EO111" s="925"/>
      <c r="EP111" s="925"/>
      <c r="EQ111" s="925"/>
      <c r="ER111" s="925"/>
      <c r="ES111" s="925"/>
      <c r="ET111" s="925"/>
      <c r="EV111" s="924"/>
      <c r="EW111" s="925"/>
      <c r="EX111" s="925"/>
      <c r="EY111" s="925"/>
    </row>
    <row r="112" spans="1:155" s="927" customFormat="1" ht="15.75" x14ac:dyDescent="0.25">
      <c r="A112" s="912" t="s">
        <v>61</v>
      </c>
      <c r="B112" s="913" t="s">
        <v>1397</v>
      </c>
      <c r="C112" s="914">
        <v>1</v>
      </c>
      <c r="D112" s="914">
        <v>6707</v>
      </c>
      <c r="E112" s="915">
        <v>1.0549999999999999</v>
      </c>
      <c r="F112" s="916">
        <f t="shared" si="0"/>
        <v>7076</v>
      </c>
      <c r="G112" s="915">
        <v>1.01</v>
      </c>
      <c r="H112" s="916">
        <f t="shared" si="1"/>
        <v>7147</v>
      </c>
      <c r="I112" s="917">
        <f t="shared" si="2"/>
        <v>7147</v>
      </c>
      <c r="J112" s="918">
        <f t="shared" si="3"/>
        <v>0</v>
      </c>
      <c r="K112" s="919"/>
      <c r="L112" s="917">
        <f t="shared" si="4"/>
        <v>0</v>
      </c>
      <c r="M112" s="918">
        <f t="shared" si="5"/>
        <v>0.04</v>
      </c>
      <c r="N112" s="919">
        <v>268.27999999999997</v>
      </c>
      <c r="O112" s="917">
        <f t="shared" si="6"/>
        <v>285.88</v>
      </c>
      <c r="P112" s="918">
        <f t="shared" si="7"/>
        <v>0</v>
      </c>
      <c r="Q112" s="919"/>
      <c r="R112" s="917">
        <f t="shared" si="8"/>
        <v>0</v>
      </c>
      <c r="S112" s="918">
        <f t="shared" si="9"/>
        <v>0.2</v>
      </c>
      <c r="T112" s="919">
        <v>1341.4</v>
      </c>
      <c r="U112" s="917">
        <f t="shared" si="10"/>
        <v>1429.4</v>
      </c>
      <c r="V112" s="918">
        <f t="shared" si="11"/>
        <v>0</v>
      </c>
      <c r="W112" s="919"/>
      <c r="X112" s="917">
        <f t="shared" si="12"/>
        <v>0</v>
      </c>
      <c r="Y112" s="918">
        <f t="shared" si="13"/>
        <v>1.99</v>
      </c>
      <c r="Z112" s="919">
        <v>13346.93</v>
      </c>
      <c r="AA112" s="917">
        <f t="shared" si="14"/>
        <v>14222.53</v>
      </c>
      <c r="AB112" s="918">
        <f t="shared" si="15"/>
        <v>0.3</v>
      </c>
      <c r="AC112" s="919">
        <v>2012.1</v>
      </c>
      <c r="AD112" s="917">
        <f t="shared" si="16"/>
        <v>2144.1</v>
      </c>
      <c r="AE112" s="918">
        <f t="shared" si="17"/>
        <v>0</v>
      </c>
      <c r="AF112" s="919"/>
      <c r="AG112" s="917">
        <f t="shared" si="18"/>
        <v>0</v>
      </c>
      <c r="AH112" s="918">
        <f t="shared" si="19"/>
        <v>0</v>
      </c>
      <c r="AI112" s="919"/>
      <c r="AJ112" s="917">
        <f t="shared" si="20"/>
        <v>0</v>
      </c>
      <c r="AK112" s="918">
        <f t="shared" si="21"/>
        <v>0</v>
      </c>
      <c r="AL112" s="919"/>
      <c r="AM112" s="917">
        <f t="shared" si="22"/>
        <v>0</v>
      </c>
      <c r="AN112" s="920">
        <v>19242</v>
      </c>
      <c r="AO112" s="917">
        <f t="shared" si="23"/>
        <v>0</v>
      </c>
      <c r="AP112" s="920"/>
      <c r="AQ112" s="916">
        <f t="shared" si="24"/>
        <v>0</v>
      </c>
      <c r="AR112" s="917">
        <f t="shared" si="25"/>
        <v>25228.91</v>
      </c>
      <c r="AS112" s="916">
        <v>12</v>
      </c>
      <c r="AT112" s="921">
        <f t="shared" si="26"/>
        <v>302746.92</v>
      </c>
      <c r="AU112" s="920"/>
      <c r="AV112" s="922">
        <f t="shared" si="27"/>
        <v>3027.47</v>
      </c>
      <c r="AW112" s="921">
        <f t="shared" si="28"/>
        <v>305774.39</v>
      </c>
      <c r="AX112" s="921">
        <f t="shared" si="29"/>
        <v>92343.87</v>
      </c>
      <c r="AY112" s="921">
        <f t="shared" si="30"/>
        <v>398118.26</v>
      </c>
      <c r="AZ112" s="923">
        <f t="shared" si="31"/>
        <v>305.8</v>
      </c>
      <c r="BA112" s="923">
        <f t="shared" si="32"/>
        <v>92.4</v>
      </c>
      <c r="BB112" s="923">
        <f t="shared" si="33"/>
        <v>398.2</v>
      </c>
      <c r="BC112" s="915">
        <v>0.95</v>
      </c>
      <c r="BD112" s="923">
        <f t="shared" si="34"/>
        <v>290.5</v>
      </c>
      <c r="BE112" s="923">
        <f t="shared" si="35"/>
        <v>87.7</v>
      </c>
      <c r="BF112" s="923">
        <f t="shared" si="36"/>
        <v>378.2</v>
      </c>
      <c r="BG112" s="924">
        <f>'[3]свод (2024)'!$B$116</f>
        <v>0.99758349999999996</v>
      </c>
      <c r="BH112" s="923">
        <f t="shared" si="37"/>
        <v>289.8</v>
      </c>
      <c r="BI112" s="923">
        <f t="shared" si="38"/>
        <v>87.5</v>
      </c>
      <c r="BJ112" s="923">
        <f t="shared" si="39"/>
        <v>377.3</v>
      </c>
      <c r="BK112" s="925">
        <f t="shared" si="40"/>
        <v>-16</v>
      </c>
      <c r="BL112" s="925">
        <f t="shared" si="40"/>
        <v>-4.9000000000000004</v>
      </c>
      <c r="BM112" s="925">
        <f t="shared" si="41"/>
        <v>-20.9</v>
      </c>
      <c r="BN112" s="925">
        <f t="shared" si="42"/>
        <v>0</v>
      </c>
      <c r="BO112" s="925">
        <f t="shared" si="43"/>
        <v>0</v>
      </c>
      <c r="BP112" s="926"/>
      <c r="BQ112" s="925">
        <f t="shared" si="44"/>
        <v>289.8</v>
      </c>
      <c r="BR112" s="925">
        <f t="shared" si="44"/>
        <v>87.5</v>
      </c>
      <c r="BS112" s="925">
        <f t="shared" si="45"/>
        <v>377.3</v>
      </c>
      <c r="BU112" s="928"/>
      <c r="BV112" s="917"/>
      <c r="BW112" s="928"/>
      <c r="BX112" s="928"/>
      <c r="BY112" s="928"/>
      <c r="BZ112" s="917"/>
      <c r="CA112" s="928"/>
      <c r="CB112" s="917"/>
      <c r="CC112" s="928"/>
      <c r="CD112" s="928"/>
      <c r="CE112" s="928"/>
      <c r="CF112" s="929"/>
      <c r="CG112" s="928"/>
      <c r="CH112" s="928"/>
      <c r="CI112" s="928"/>
      <c r="CJ112" s="925"/>
      <c r="CK112" s="925"/>
      <c r="CL112" s="925"/>
      <c r="CM112" s="925"/>
      <c r="CN112" s="925"/>
      <c r="CO112" s="925"/>
      <c r="CP112" s="925"/>
      <c r="CQ112" s="925"/>
      <c r="CR112" s="925"/>
      <c r="CS112" s="917"/>
      <c r="CT112" s="928"/>
      <c r="CU112" s="928"/>
      <c r="CV112" s="928"/>
      <c r="CX112" s="925"/>
      <c r="CY112" s="925"/>
      <c r="CZ112" s="925"/>
      <c r="DB112" s="925"/>
      <c r="DC112" s="925"/>
      <c r="DD112" s="925"/>
      <c r="DE112" s="925"/>
      <c r="DF112" s="925"/>
      <c r="DG112" s="925"/>
      <c r="DH112" s="925"/>
      <c r="DI112" s="925"/>
      <c r="DJ112" s="925"/>
      <c r="DK112" s="925"/>
      <c r="DL112" s="925"/>
      <c r="DM112" s="925"/>
      <c r="DN112" s="925"/>
      <c r="DO112" s="925"/>
      <c r="DP112" s="925"/>
      <c r="DQ112" s="924"/>
      <c r="DR112" s="925"/>
      <c r="DS112" s="925"/>
      <c r="DT112" s="925"/>
      <c r="DV112" s="925"/>
      <c r="DW112" s="925"/>
      <c r="DX112" s="925"/>
      <c r="DY112" s="925"/>
      <c r="DZ112" s="925"/>
      <c r="EA112" s="925"/>
      <c r="EB112" s="925"/>
      <c r="EC112" s="925"/>
      <c r="ED112" s="925"/>
      <c r="EE112" s="925"/>
      <c r="EF112" s="925"/>
      <c r="EG112" s="925"/>
      <c r="EH112" s="925"/>
      <c r="EI112" s="925"/>
      <c r="EJ112" s="925"/>
      <c r="EK112" s="925"/>
      <c r="EL112" s="925"/>
      <c r="EM112" s="925"/>
      <c r="EN112" s="925"/>
      <c r="EO112" s="925"/>
      <c r="EP112" s="925"/>
      <c r="EQ112" s="925"/>
      <c r="ER112" s="925"/>
      <c r="ES112" s="925"/>
      <c r="ET112" s="925"/>
      <c r="EV112" s="924"/>
      <c r="EW112" s="925"/>
      <c r="EX112" s="925"/>
      <c r="EY112" s="925"/>
    </row>
    <row r="113" spans="1:155" s="927" customFormat="1" ht="15.75" x14ac:dyDescent="0.25">
      <c r="A113" s="912" t="s">
        <v>61</v>
      </c>
      <c r="B113" s="913" t="s">
        <v>38</v>
      </c>
      <c r="C113" s="914">
        <v>6.25</v>
      </c>
      <c r="D113" s="914">
        <v>13132</v>
      </c>
      <c r="E113" s="915">
        <v>1.0549999999999999</v>
      </c>
      <c r="F113" s="916">
        <f t="shared" ref="F113:F212" si="77">ROUNDUP(D113*E113,0)</f>
        <v>13855</v>
      </c>
      <c r="G113" s="915">
        <v>1.01</v>
      </c>
      <c r="H113" s="916">
        <f t="shared" ref="H113:H212" si="78">ROUNDUP(F113*G113,0)</f>
        <v>13994</v>
      </c>
      <c r="I113" s="917">
        <f t="shared" ref="I113:I212" si="79">ROUND(C113*H113,2)</f>
        <v>87462.5</v>
      </c>
      <c r="J113" s="918">
        <f t="shared" ref="J113:J212" si="80">IF(K113&gt;0,(ROUND(K113/($C113*$D113),5)),0)</f>
        <v>0.21</v>
      </c>
      <c r="K113" s="919">
        <v>17235.75</v>
      </c>
      <c r="L113" s="917">
        <f t="shared" ref="L113:L212" si="81">ROUND($I113*J113,2)</f>
        <v>18367.13</v>
      </c>
      <c r="M113" s="918">
        <f t="shared" ref="M113:M212" si="82">IF(N113&gt;0,(ROUND(N113/($C113*$D113),5)),0)</f>
        <v>0</v>
      </c>
      <c r="N113" s="919"/>
      <c r="O113" s="917">
        <f t="shared" ref="O113:O212" si="83">ROUND($I113*M113,2)</f>
        <v>0</v>
      </c>
      <c r="P113" s="918">
        <f t="shared" ref="P113:P212" si="84">IF(Q113&gt;0,(ROUND(Q113/($C113*$D113),5)),0)</f>
        <v>0</v>
      </c>
      <c r="Q113" s="919"/>
      <c r="R113" s="917">
        <f t="shared" ref="R113:R212" si="85">ROUND($I113*P113,2)</f>
        <v>0</v>
      </c>
      <c r="S113" s="918">
        <f t="shared" ref="S113:S212" si="86">IF(T113&gt;0,(ROUND(T113/($C113*$D113),5)),0)</f>
        <v>0</v>
      </c>
      <c r="T113" s="919"/>
      <c r="U113" s="917">
        <f t="shared" ref="U113:U212" si="87">ROUND($I113*S113,2)</f>
        <v>0</v>
      </c>
      <c r="V113" s="918">
        <f t="shared" ref="V113:V212" si="88">IF(W113&gt;0,(ROUND(W113/($C113*$D113),5)),0)</f>
        <v>0</v>
      </c>
      <c r="W113" s="919"/>
      <c r="X113" s="917">
        <f t="shared" ref="X113:X212" si="89">ROUND($I113*V113,2)</f>
        <v>0</v>
      </c>
      <c r="Y113" s="918">
        <f t="shared" ref="Y113:Y212" si="90">IF(Z113&gt;0,(ROUND(Z113/($C113*$D113),5)),0)</f>
        <v>0</v>
      </c>
      <c r="Z113" s="919"/>
      <c r="AA113" s="917">
        <f t="shared" ref="AA113:AA212" si="91">ROUND($I113*Y113,2)</f>
        <v>0</v>
      </c>
      <c r="AB113" s="918">
        <f t="shared" ref="AB113:AB212" si="92">IF(AC113&gt;0,(ROUND(AC113/($C113*$D113),5)),0)</f>
        <v>0.18667</v>
      </c>
      <c r="AC113" s="919">
        <v>15320.67</v>
      </c>
      <c r="AD113" s="917">
        <f t="shared" ref="AD113:AD212" si="93">ROUND($I113*AB113,2)</f>
        <v>16326.62</v>
      </c>
      <c r="AE113" s="918">
        <f t="shared" ref="AE113:AE212" si="94">IF(AF113&gt;0,(ROUND(AF113/($C113*$D113),5)),0)</f>
        <v>0</v>
      </c>
      <c r="AF113" s="919"/>
      <c r="AG113" s="917">
        <f t="shared" ref="AG113:AG212" si="95">ROUND($I113*AE113,2)</f>
        <v>0</v>
      </c>
      <c r="AH113" s="918">
        <f t="shared" ref="AH113:AH212" si="96">IF(AI113&gt;0,(ROUND(AI113/($C113*$D113),5)),0)</f>
        <v>0</v>
      </c>
      <c r="AI113" s="919"/>
      <c r="AJ113" s="917">
        <f t="shared" ref="AJ113:AJ212" si="97">ROUND($I113*AH113,2)</f>
        <v>0</v>
      </c>
      <c r="AK113" s="918">
        <f t="shared" ref="AK113:AK212" si="98">IF(AL113&gt;0,(ROUND(AL113/($C113*$D113),5)),0)</f>
        <v>0</v>
      </c>
      <c r="AL113" s="919"/>
      <c r="AM113" s="917">
        <f t="shared" ref="AM113:AM212" si="99">ROUND($I113*AK113,2)</f>
        <v>0</v>
      </c>
      <c r="AN113" s="920">
        <v>19242</v>
      </c>
      <c r="AO113" s="917">
        <f t="shared" ref="AO113:AO212" si="100">ROUND(IF(((I113+L113+O113+R113+U113+X113+AA113+AD113+AG113+AJ113+AM113)&gt;(AN113*C113)),0,((AN113*C113)-(I113+L113+O113+R113+U113+X113+AA113+AD113+AG113+AJ113+AM113))),2)</f>
        <v>0</v>
      </c>
      <c r="AP113" s="920"/>
      <c r="AQ113" s="916">
        <f t="shared" ref="AQ113:AQ212" si="101">ROUND(C113*AP113,2)</f>
        <v>0</v>
      </c>
      <c r="AR113" s="917">
        <f t="shared" ref="AR113:AR212" si="102">ROUND((I113+L113+O113+R113+U113+X113+AA113+AD113+AG113+AJ113+AM113+AO113+AQ113),2)</f>
        <v>122156.25</v>
      </c>
      <c r="AS113" s="916">
        <v>12</v>
      </c>
      <c r="AT113" s="921">
        <f t="shared" ref="AT113:AT212" si="103">ROUND(AR113*AS113,2)</f>
        <v>1465875</v>
      </c>
      <c r="AU113" s="920"/>
      <c r="AV113" s="922">
        <f t="shared" ref="AV113:AV212" si="104">ROUND(AT113*0.01,2)</f>
        <v>14658.75</v>
      </c>
      <c r="AW113" s="921">
        <f t="shared" ref="AW113:AW212" si="105">ROUND((AT113+AU113+AV113),2)</f>
        <v>1480533.75</v>
      </c>
      <c r="AX113" s="921">
        <f t="shared" ref="AX113:AX212" si="106">ROUND(AW113*0.302,2)</f>
        <v>447121.19</v>
      </c>
      <c r="AY113" s="921">
        <f t="shared" ref="AY113:AY212" si="107">ROUND((AW113+AX113),2)</f>
        <v>1927654.94</v>
      </c>
      <c r="AZ113" s="923">
        <f t="shared" ref="AZ113:AZ212" si="108">ROUND(AW113/1000,1)</f>
        <v>1480.5</v>
      </c>
      <c r="BA113" s="923">
        <f t="shared" ref="BA113:BA212" si="109">ROUND(AZ113*0.302,1)</f>
        <v>447.1</v>
      </c>
      <c r="BB113" s="923">
        <f t="shared" ref="BB113:BB212" si="110">ROUND((AZ113+BA113),1)</f>
        <v>1927.6</v>
      </c>
      <c r="BC113" s="915">
        <v>0.95</v>
      </c>
      <c r="BD113" s="923">
        <f t="shared" ref="BD113:BD212" si="111">ROUND(AZ113*BC113,1)</f>
        <v>1406.5</v>
      </c>
      <c r="BE113" s="923">
        <f t="shared" ref="BE113:BE212" si="112">ROUND(BD113*0.302,1)</f>
        <v>424.8</v>
      </c>
      <c r="BF113" s="923">
        <f t="shared" ref="BF113:BF212" si="113">ROUND((BD113+BE113),1)</f>
        <v>1831.3</v>
      </c>
      <c r="BG113" s="924">
        <f>'[3]свод (2024)'!$B$116</f>
        <v>0.99758349999999996</v>
      </c>
      <c r="BH113" s="923">
        <f t="shared" ref="BH113:BH212" si="114">ROUND(BD113*BG113,1)</f>
        <v>1403.1</v>
      </c>
      <c r="BI113" s="923">
        <f t="shared" ref="BI113:BI212" si="115">ROUND(BH113*0.302,1)</f>
        <v>423.7</v>
      </c>
      <c r="BJ113" s="923">
        <f t="shared" ref="BJ113:BJ212" si="116">ROUND((BH113+BI113),1)</f>
        <v>1826.8</v>
      </c>
      <c r="BK113" s="925">
        <f t="shared" ref="BK113:BL212" si="117">ROUND((BH113-AZ113),1)</f>
        <v>-77.400000000000006</v>
      </c>
      <c r="BL113" s="925">
        <f t="shared" si="117"/>
        <v>-23.4</v>
      </c>
      <c r="BM113" s="925">
        <f t="shared" ref="BM113:BM212" si="118">ROUND((BK113+BL113),1)</f>
        <v>-100.8</v>
      </c>
      <c r="BN113" s="925">
        <f t="shared" ref="BN113:BN212" si="119">ROUND(BP113/1.302,1)</f>
        <v>0</v>
      </c>
      <c r="BO113" s="925">
        <f t="shared" ref="BO113:BO212" si="120">ROUND((BP113-BN113),1)</f>
        <v>0</v>
      </c>
      <c r="BP113" s="926"/>
      <c r="BQ113" s="925">
        <f t="shared" ref="BQ113:BR212" si="121">ROUND((BH113-BN113),1)</f>
        <v>1403.1</v>
      </c>
      <c r="BR113" s="925">
        <f t="shared" si="121"/>
        <v>423.7</v>
      </c>
      <c r="BS113" s="925">
        <f t="shared" ref="BS113:BS212" si="122">ROUND((BQ113+BR113),1)</f>
        <v>1826.8</v>
      </c>
      <c r="BU113" s="928">
        <f t="shared" ref="BU113:BU212" si="123">C113</f>
        <v>6.25</v>
      </c>
      <c r="BV113" s="917"/>
      <c r="BW113" s="928"/>
      <c r="BX113" s="928">
        <f t="shared" ref="BX113:BX212" si="124">AW113-X113</f>
        <v>1480533.75</v>
      </c>
      <c r="BY113" s="928"/>
      <c r="BZ113" s="917"/>
      <c r="CA113" s="928"/>
      <c r="CB113" s="917"/>
      <c r="CC113" s="928"/>
      <c r="CD113" s="928"/>
      <c r="CE113" s="928"/>
      <c r="CF113" s="929">
        <f>CC$134/BU$134*BU113</f>
        <v>534039.99</v>
      </c>
      <c r="CG113" s="928"/>
      <c r="CH113" s="928"/>
      <c r="CI113" s="928"/>
      <c r="CJ113" s="925"/>
      <c r="CK113" s="925"/>
      <c r="CL113" s="925"/>
      <c r="CM113" s="925"/>
      <c r="CN113" s="925"/>
      <c r="CO113" s="925"/>
      <c r="CP113" s="925"/>
      <c r="CQ113" s="925"/>
      <c r="CR113" s="925"/>
      <c r="CS113" s="917"/>
      <c r="CT113" s="928"/>
      <c r="CU113" s="928"/>
      <c r="CV113" s="928"/>
      <c r="CX113" s="925"/>
      <c r="CY113" s="925"/>
      <c r="CZ113" s="925"/>
      <c r="DB113" s="925"/>
      <c r="DC113" s="925"/>
      <c r="DD113" s="925"/>
      <c r="DE113" s="925"/>
      <c r="DF113" s="925"/>
      <c r="DG113" s="925"/>
      <c r="DH113" s="925"/>
      <c r="DI113" s="925"/>
      <c r="DJ113" s="925"/>
      <c r="DK113" s="925"/>
      <c r="DL113" s="925"/>
      <c r="DM113" s="925"/>
      <c r="DN113" s="925"/>
      <c r="DO113" s="925"/>
      <c r="DP113" s="925"/>
      <c r="DQ113" s="924"/>
      <c r="DR113" s="925"/>
      <c r="DS113" s="925"/>
      <c r="DT113" s="925"/>
      <c r="DV113" s="925"/>
      <c r="DW113" s="925"/>
      <c r="DX113" s="925"/>
      <c r="DY113" s="925"/>
      <c r="DZ113" s="925"/>
      <c r="EA113" s="925"/>
      <c r="EB113" s="925"/>
      <c r="EC113" s="925"/>
      <c r="ED113" s="925"/>
      <c r="EE113" s="925"/>
      <c r="EF113" s="925"/>
      <c r="EG113" s="925"/>
      <c r="EH113" s="925"/>
      <c r="EI113" s="925"/>
      <c r="EJ113" s="925"/>
      <c r="EK113" s="925"/>
      <c r="EL113" s="925"/>
      <c r="EM113" s="925"/>
      <c r="EN113" s="925"/>
      <c r="EO113" s="925"/>
      <c r="EP113" s="925"/>
      <c r="EQ113" s="925"/>
      <c r="ER113" s="925"/>
      <c r="ES113" s="925"/>
      <c r="ET113" s="925"/>
      <c r="EV113" s="924"/>
      <c r="EW113" s="925"/>
      <c r="EX113" s="925"/>
      <c r="EY113" s="925"/>
    </row>
    <row r="114" spans="1:155" s="927" customFormat="1" ht="15.75" x14ac:dyDescent="0.25">
      <c r="A114" s="912" t="s">
        <v>61</v>
      </c>
      <c r="B114" s="913" t="s">
        <v>1398</v>
      </c>
      <c r="C114" s="914">
        <v>4</v>
      </c>
      <c r="D114" s="914">
        <v>4588</v>
      </c>
      <c r="E114" s="915">
        <v>1.0549999999999999</v>
      </c>
      <c r="F114" s="916">
        <f t="shared" si="77"/>
        <v>4841</v>
      </c>
      <c r="G114" s="915">
        <v>1.01</v>
      </c>
      <c r="H114" s="916">
        <f t="shared" si="78"/>
        <v>4890</v>
      </c>
      <c r="I114" s="917">
        <f t="shared" si="79"/>
        <v>19560</v>
      </c>
      <c r="J114" s="918">
        <f t="shared" si="80"/>
        <v>0</v>
      </c>
      <c r="K114" s="919"/>
      <c r="L114" s="917">
        <f t="shared" si="81"/>
        <v>0</v>
      </c>
      <c r="M114" s="918">
        <f t="shared" si="82"/>
        <v>0</v>
      </c>
      <c r="N114" s="919"/>
      <c r="O114" s="917">
        <f t="shared" si="83"/>
        <v>0</v>
      </c>
      <c r="P114" s="918">
        <f t="shared" si="84"/>
        <v>0</v>
      </c>
      <c r="Q114" s="919"/>
      <c r="R114" s="917">
        <f t="shared" si="85"/>
        <v>0</v>
      </c>
      <c r="S114" s="918">
        <f t="shared" si="86"/>
        <v>0</v>
      </c>
      <c r="T114" s="919"/>
      <c r="U114" s="917">
        <f t="shared" si="87"/>
        <v>0</v>
      </c>
      <c r="V114" s="918">
        <f t="shared" si="88"/>
        <v>0</v>
      </c>
      <c r="W114" s="919"/>
      <c r="X114" s="917">
        <f t="shared" si="89"/>
        <v>0</v>
      </c>
      <c r="Y114" s="918">
        <f t="shared" si="90"/>
        <v>0</v>
      </c>
      <c r="Z114" s="919"/>
      <c r="AA114" s="917">
        <f t="shared" si="91"/>
        <v>0</v>
      </c>
      <c r="AB114" s="918">
        <f t="shared" si="92"/>
        <v>0</v>
      </c>
      <c r="AC114" s="919"/>
      <c r="AD114" s="917">
        <f t="shared" si="93"/>
        <v>0</v>
      </c>
      <c r="AE114" s="918">
        <f t="shared" si="94"/>
        <v>0</v>
      </c>
      <c r="AF114" s="919"/>
      <c r="AG114" s="917">
        <f t="shared" si="95"/>
        <v>0</v>
      </c>
      <c r="AH114" s="918">
        <f t="shared" si="96"/>
        <v>0</v>
      </c>
      <c r="AI114" s="919"/>
      <c r="AJ114" s="917">
        <f t="shared" si="97"/>
        <v>0</v>
      </c>
      <c r="AK114" s="918">
        <f t="shared" si="98"/>
        <v>0</v>
      </c>
      <c r="AL114" s="919"/>
      <c r="AM114" s="917">
        <f t="shared" si="99"/>
        <v>0</v>
      </c>
      <c r="AN114" s="920">
        <v>19242</v>
      </c>
      <c r="AO114" s="917">
        <f t="shared" si="100"/>
        <v>57408</v>
      </c>
      <c r="AP114" s="920">
        <v>1060.29</v>
      </c>
      <c r="AQ114" s="916">
        <f t="shared" si="101"/>
        <v>4241.16</v>
      </c>
      <c r="AR114" s="917">
        <f t="shared" si="102"/>
        <v>81209.16</v>
      </c>
      <c r="AS114" s="916">
        <v>12</v>
      </c>
      <c r="AT114" s="921">
        <f t="shared" si="103"/>
        <v>974509.92</v>
      </c>
      <c r="AU114" s="920">
        <f t="shared" ref="AU114:AU115" si="125">AT114*0.085</f>
        <v>82833.34</v>
      </c>
      <c r="AV114" s="922">
        <f t="shared" si="104"/>
        <v>9745.1</v>
      </c>
      <c r="AW114" s="921">
        <f t="shared" si="105"/>
        <v>1067088.3600000001</v>
      </c>
      <c r="AX114" s="921">
        <f t="shared" si="106"/>
        <v>322260.68</v>
      </c>
      <c r="AY114" s="921">
        <f t="shared" si="107"/>
        <v>1389349.04</v>
      </c>
      <c r="AZ114" s="923">
        <f t="shared" si="108"/>
        <v>1067.0999999999999</v>
      </c>
      <c r="BA114" s="923">
        <f t="shared" si="109"/>
        <v>322.3</v>
      </c>
      <c r="BB114" s="923">
        <f t="shared" si="110"/>
        <v>1389.4</v>
      </c>
      <c r="BC114" s="915">
        <v>0.95</v>
      </c>
      <c r="BD114" s="923">
        <f t="shared" si="111"/>
        <v>1013.7</v>
      </c>
      <c r="BE114" s="923">
        <f t="shared" si="112"/>
        <v>306.10000000000002</v>
      </c>
      <c r="BF114" s="923">
        <f t="shared" si="113"/>
        <v>1319.8</v>
      </c>
      <c r="BG114" s="924">
        <f>'[3]свод (2024)'!$B$116</f>
        <v>0.99758349999999996</v>
      </c>
      <c r="BH114" s="923">
        <f t="shared" si="114"/>
        <v>1011.3</v>
      </c>
      <c r="BI114" s="923">
        <f t="shared" si="115"/>
        <v>305.39999999999998</v>
      </c>
      <c r="BJ114" s="923">
        <f t="shared" si="116"/>
        <v>1316.7</v>
      </c>
      <c r="BK114" s="925">
        <f t="shared" si="117"/>
        <v>-55.8</v>
      </c>
      <c r="BL114" s="925">
        <f t="shared" si="117"/>
        <v>-16.899999999999999</v>
      </c>
      <c r="BM114" s="925">
        <f t="shared" si="118"/>
        <v>-72.7</v>
      </c>
      <c r="BN114" s="925">
        <f t="shared" si="119"/>
        <v>0</v>
      </c>
      <c r="BO114" s="925">
        <f t="shared" si="120"/>
        <v>0</v>
      </c>
      <c r="BP114" s="926"/>
      <c r="BQ114" s="925">
        <f t="shared" si="121"/>
        <v>1011.3</v>
      </c>
      <c r="BR114" s="925">
        <f t="shared" si="121"/>
        <v>305.39999999999998</v>
      </c>
      <c r="BS114" s="925">
        <f t="shared" si="122"/>
        <v>1316.7</v>
      </c>
      <c r="BU114" s="928"/>
      <c r="BV114" s="917"/>
      <c r="BW114" s="928"/>
      <c r="BX114" s="928"/>
      <c r="BY114" s="928"/>
      <c r="BZ114" s="917"/>
      <c r="CA114" s="928"/>
      <c r="CB114" s="917"/>
      <c r="CC114" s="928"/>
      <c r="CD114" s="928"/>
      <c r="CE114" s="928"/>
      <c r="CF114" s="929"/>
      <c r="CG114" s="928"/>
      <c r="CH114" s="928"/>
      <c r="CI114" s="928"/>
      <c r="CJ114" s="925"/>
      <c r="CK114" s="925"/>
      <c r="CL114" s="925"/>
      <c r="CM114" s="925"/>
      <c r="CN114" s="925"/>
      <c r="CO114" s="925"/>
      <c r="CP114" s="925"/>
      <c r="CQ114" s="925"/>
      <c r="CR114" s="925"/>
      <c r="CS114" s="917"/>
      <c r="CT114" s="928"/>
      <c r="CU114" s="928"/>
      <c r="CV114" s="928"/>
      <c r="CX114" s="925"/>
      <c r="CY114" s="925"/>
      <c r="CZ114" s="925"/>
      <c r="DB114" s="925"/>
      <c r="DC114" s="925"/>
      <c r="DD114" s="925"/>
      <c r="DE114" s="925"/>
      <c r="DF114" s="925"/>
      <c r="DG114" s="925"/>
      <c r="DH114" s="925"/>
      <c r="DI114" s="925"/>
      <c r="DJ114" s="925"/>
      <c r="DK114" s="925"/>
      <c r="DL114" s="925"/>
      <c r="DM114" s="925"/>
      <c r="DN114" s="925"/>
      <c r="DO114" s="925"/>
      <c r="DP114" s="925"/>
      <c r="DQ114" s="924"/>
      <c r="DR114" s="925"/>
      <c r="DS114" s="925"/>
      <c r="DT114" s="925"/>
      <c r="DV114" s="925"/>
      <c r="DW114" s="925"/>
      <c r="DX114" s="925"/>
      <c r="DY114" s="925"/>
      <c r="DZ114" s="925"/>
      <c r="EA114" s="925"/>
      <c r="EB114" s="925"/>
      <c r="EC114" s="925"/>
      <c r="ED114" s="925"/>
      <c r="EE114" s="925"/>
      <c r="EF114" s="925"/>
      <c r="EG114" s="925"/>
      <c r="EH114" s="925"/>
      <c r="EI114" s="925"/>
      <c r="EJ114" s="925"/>
      <c r="EK114" s="925"/>
      <c r="EL114" s="925"/>
      <c r="EM114" s="925"/>
      <c r="EN114" s="925"/>
      <c r="EO114" s="925"/>
      <c r="EP114" s="925"/>
      <c r="EQ114" s="925"/>
      <c r="ER114" s="925"/>
      <c r="ES114" s="925"/>
      <c r="ET114" s="925"/>
      <c r="EV114" s="924"/>
      <c r="EW114" s="925"/>
      <c r="EX114" s="925"/>
      <c r="EY114" s="925"/>
    </row>
    <row r="115" spans="1:155" s="927" customFormat="1" ht="15.75" x14ac:dyDescent="0.25">
      <c r="A115" s="912" t="s">
        <v>61</v>
      </c>
      <c r="B115" s="913" t="s">
        <v>1399</v>
      </c>
      <c r="C115" s="914">
        <v>1</v>
      </c>
      <c r="D115" s="914">
        <v>4588</v>
      </c>
      <c r="E115" s="915">
        <v>1.0549999999999999</v>
      </c>
      <c r="F115" s="916">
        <f t="shared" si="77"/>
        <v>4841</v>
      </c>
      <c r="G115" s="915">
        <v>1.01</v>
      </c>
      <c r="H115" s="916">
        <f t="shared" si="78"/>
        <v>4890</v>
      </c>
      <c r="I115" s="917">
        <f t="shared" si="79"/>
        <v>4890</v>
      </c>
      <c r="J115" s="918">
        <f t="shared" si="80"/>
        <v>0</v>
      </c>
      <c r="K115" s="919"/>
      <c r="L115" s="917">
        <f t="shared" si="81"/>
        <v>0</v>
      </c>
      <c r="M115" s="918">
        <f t="shared" si="82"/>
        <v>0</v>
      </c>
      <c r="N115" s="919"/>
      <c r="O115" s="917">
        <f t="shared" si="83"/>
        <v>0</v>
      </c>
      <c r="P115" s="918">
        <f t="shared" si="84"/>
        <v>0</v>
      </c>
      <c r="Q115" s="919"/>
      <c r="R115" s="917">
        <f t="shared" si="85"/>
        <v>0</v>
      </c>
      <c r="S115" s="918">
        <f t="shared" si="86"/>
        <v>0</v>
      </c>
      <c r="T115" s="919"/>
      <c r="U115" s="917">
        <f t="shared" si="87"/>
        <v>0</v>
      </c>
      <c r="V115" s="918">
        <f t="shared" si="88"/>
        <v>0</v>
      </c>
      <c r="W115" s="919"/>
      <c r="X115" s="917">
        <f t="shared" si="89"/>
        <v>0</v>
      </c>
      <c r="Y115" s="918">
        <f t="shared" si="90"/>
        <v>0</v>
      </c>
      <c r="Z115" s="919"/>
      <c r="AA115" s="917">
        <f t="shared" si="91"/>
        <v>0</v>
      </c>
      <c r="AB115" s="918">
        <f t="shared" si="92"/>
        <v>0</v>
      </c>
      <c r="AC115" s="919"/>
      <c r="AD115" s="917">
        <f t="shared" si="93"/>
        <v>0</v>
      </c>
      <c r="AE115" s="918">
        <f t="shared" si="94"/>
        <v>0</v>
      </c>
      <c r="AF115" s="919"/>
      <c r="AG115" s="917">
        <f t="shared" si="95"/>
        <v>0</v>
      </c>
      <c r="AH115" s="918">
        <f t="shared" si="96"/>
        <v>0</v>
      </c>
      <c r="AI115" s="919"/>
      <c r="AJ115" s="917">
        <f t="shared" si="97"/>
        <v>0</v>
      </c>
      <c r="AK115" s="918">
        <f t="shared" si="98"/>
        <v>0</v>
      </c>
      <c r="AL115" s="919"/>
      <c r="AM115" s="917">
        <f t="shared" si="99"/>
        <v>0</v>
      </c>
      <c r="AN115" s="920">
        <v>19242</v>
      </c>
      <c r="AO115" s="917">
        <f t="shared" si="100"/>
        <v>14352</v>
      </c>
      <c r="AP115" s="920"/>
      <c r="AQ115" s="916">
        <f t="shared" si="101"/>
        <v>0</v>
      </c>
      <c r="AR115" s="917">
        <f t="shared" si="102"/>
        <v>19242</v>
      </c>
      <c r="AS115" s="916">
        <v>12</v>
      </c>
      <c r="AT115" s="921">
        <f t="shared" si="103"/>
        <v>230904</v>
      </c>
      <c r="AU115" s="920">
        <f t="shared" si="125"/>
        <v>19626.84</v>
      </c>
      <c r="AV115" s="922">
        <f t="shared" si="104"/>
        <v>2309.04</v>
      </c>
      <c r="AW115" s="921">
        <f t="shared" si="105"/>
        <v>252839.88</v>
      </c>
      <c r="AX115" s="921">
        <f t="shared" si="106"/>
        <v>76357.64</v>
      </c>
      <c r="AY115" s="921">
        <f t="shared" si="107"/>
        <v>329197.52</v>
      </c>
      <c r="AZ115" s="923">
        <f t="shared" si="108"/>
        <v>252.8</v>
      </c>
      <c r="BA115" s="923">
        <f t="shared" si="109"/>
        <v>76.3</v>
      </c>
      <c r="BB115" s="923">
        <f t="shared" si="110"/>
        <v>329.1</v>
      </c>
      <c r="BC115" s="915">
        <v>0.95</v>
      </c>
      <c r="BD115" s="923">
        <f t="shared" si="111"/>
        <v>240.2</v>
      </c>
      <c r="BE115" s="923">
        <f t="shared" si="112"/>
        <v>72.5</v>
      </c>
      <c r="BF115" s="923">
        <f t="shared" si="113"/>
        <v>312.7</v>
      </c>
      <c r="BG115" s="924">
        <f>'[3]свод (2024)'!$B$116</f>
        <v>0.99758349999999996</v>
      </c>
      <c r="BH115" s="923">
        <f t="shared" si="114"/>
        <v>239.6</v>
      </c>
      <c r="BI115" s="923">
        <f t="shared" si="115"/>
        <v>72.400000000000006</v>
      </c>
      <c r="BJ115" s="923">
        <f t="shared" si="116"/>
        <v>312</v>
      </c>
      <c r="BK115" s="925">
        <f t="shared" si="117"/>
        <v>-13.2</v>
      </c>
      <c r="BL115" s="925">
        <f t="shared" si="117"/>
        <v>-3.9</v>
      </c>
      <c r="BM115" s="925">
        <f t="shared" si="118"/>
        <v>-17.100000000000001</v>
      </c>
      <c r="BN115" s="925">
        <f t="shared" si="119"/>
        <v>0</v>
      </c>
      <c r="BO115" s="925">
        <f t="shared" si="120"/>
        <v>0</v>
      </c>
      <c r="BP115" s="926"/>
      <c r="BQ115" s="925">
        <f t="shared" si="121"/>
        <v>239.6</v>
      </c>
      <c r="BR115" s="925">
        <f t="shared" si="121"/>
        <v>72.400000000000006</v>
      </c>
      <c r="BS115" s="925">
        <f t="shared" si="122"/>
        <v>312</v>
      </c>
      <c r="BU115" s="928"/>
      <c r="BV115" s="917"/>
      <c r="BW115" s="928"/>
      <c r="BX115" s="928"/>
      <c r="BY115" s="928"/>
      <c r="BZ115" s="917"/>
      <c r="CA115" s="928"/>
      <c r="CB115" s="917"/>
      <c r="CC115" s="928"/>
      <c r="CD115" s="928"/>
      <c r="CE115" s="928"/>
      <c r="CF115" s="929"/>
      <c r="CG115" s="928"/>
      <c r="CH115" s="928"/>
      <c r="CI115" s="928"/>
      <c r="CJ115" s="925"/>
      <c r="CK115" s="925"/>
      <c r="CL115" s="925"/>
      <c r="CM115" s="925"/>
      <c r="CN115" s="925"/>
      <c r="CO115" s="925"/>
      <c r="CP115" s="925"/>
      <c r="CQ115" s="925"/>
      <c r="CR115" s="925"/>
      <c r="CS115" s="917"/>
      <c r="CT115" s="928"/>
      <c r="CU115" s="928"/>
      <c r="CV115" s="928"/>
      <c r="CX115" s="925"/>
      <c r="CY115" s="925"/>
      <c r="CZ115" s="925"/>
      <c r="DB115" s="925"/>
      <c r="DC115" s="925"/>
      <c r="DD115" s="925"/>
      <c r="DE115" s="925"/>
      <c r="DF115" s="925"/>
      <c r="DG115" s="925"/>
      <c r="DH115" s="925"/>
      <c r="DI115" s="925"/>
      <c r="DJ115" s="925"/>
      <c r="DK115" s="925"/>
      <c r="DL115" s="925"/>
      <c r="DM115" s="925"/>
      <c r="DN115" s="925"/>
      <c r="DO115" s="925"/>
      <c r="DP115" s="925"/>
      <c r="DQ115" s="924"/>
      <c r="DR115" s="925"/>
      <c r="DS115" s="925"/>
      <c r="DT115" s="925"/>
      <c r="DV115" s="925"/>
      <c r="DW115" s="925"/>
      <c r="DX115" s="925"/>
      <c r="DY115" s="925"/>
      <c r="DZ115" s="925"/>
      <c r="EA115" s="925"/>
      <c r="EB115" s="925"/>
      <c r="EC115" s="925"/>
      <c r="ED115" s="925"/>
      <c r="EE115" s="925"/>
      <c r="EF115" s="925"/>
      <c r="EG115" s="925"/>
      <c r="EH115" s="925"/>
      <c r="EI115" s="925"/>
      <c r="EJ115" s="925"/>
      <c r="EK115" s="925"/>
      <c r="EL115" s="925"/>
      <c r="EM115" s="925"/>
      <c r="EN115" s="925"/>
      <c r="EO115" s="925"/>
      <c r="EP115" s="925"/>
      <c r="EQ115" s="925"/>
      <c r="ER115" s="925"/>
      <c r="ES115" s="925"/>
      <c r="ET115" s="925"/>
      <c r="EV115" s="924"/>
      <c r="EW115" s="925"/>
      <c r="EX115" s="925"/>
      <c r="EY115" s="925"/>
    </row>
    <row r="116" spans="1:155" s="927" customFormat="1" ht="15.75" x14ac:dyDescent="0.25">
      <c r="A116" s="912" t="s">
        <v>61</v>
      </c>
      <c r="B116" s="913" t="s">
        <v>36</v>
      </c>
      <c r="C116" s="914">
        <v>7</v>
      </c>
      <c r="D116" s="914">
        <v>13772</v>
      </c>
      <c r="E116" s="915">
        <v>1.0549999999999999</v>
      </c>
      <c r="F116" s="916">
        <f t="shared" si="77"/>
        <v>14530</v>
      </c>
      <c r="G116" s="915">
        <v>1.01</v>
      </c>
      <c r="H116" s="916">
        <f t="shared" si="78"/>
        <v>14676</v>
      </c>
      <c r="I116" s="917">
        <f t="shared" si="79"/>
        <v>102732</v>
      </c>
      <c r="J116" s="918">
        <f t="shared" si="80"/>
        <v>0.15714</v>
      </c>
      <c r="K116" s="919">
        <v>15149.2</v>
      </c>
      <c r="L116" s="917">
        <f t="shared" si="81"/>
        <v>16143.31</v>
      </c>
      <c r="M116" s="918">
        <f t="shared" si="82"/>
        <v>0</v>
      </c>
      <c r="N116" s="919"/>
      <c r="O116" s="917">
        <f t="shared" si="83"/>
        <v>0</v>
      </c>
      <c r="P116" s="918">
        <f t="shared" si="84"/>
        <v>0</v>
      </c>
      <c r="Q116" s="919"/>
      <c r="R116" s="917">
        <f t="shared" si="85"/>
        <v>0</v>
      </c>
      <c r="S116" s="918">
        <f t="shared" si="86"/>
        <v>0</v>
      </c>
      <c r="T116" s="919"/>
      <c r="U116" s="917">
        <f t="shared" si="87"/>
        <v>0</v>
      </c>
      <c r="V116" s="918">
        <f t="shared" si="88"/>
        <v>0</v>
      </c>
      <c r="W116" s="919"/>
      <c r="X116" s="917">
        <f t="shared" si="89"/>
        <v>0</v>
      </c>
      <c r="Y116" s="918">
        <f t="shared" si="90"/>
        <v>0</v>
      </c>
      <c r="Z116" s="919"/>
      <c r="AA116" s="917">
        <f t="shared" si="91"/>
        <v>0</v>
      </c>
      <c r="AB116" s="918">
        <f t="shared" si="92"/>
        <v>0.10357</v>
      </c>
      <c r="AC116" s="919">
        <v>9984.7000000000007</v>
      </c>
      <c r="AD116" s="917">
        <f t="shared" si="93"/>
        <v>10639.95</v>
      </c>
      <c r="AE116" s="918">
        <f t="shared" si="94"/>
        <v>0</v>
      </c>
      <c r="AF116" s="919"/>
      <c r="AG116" s="917">
        <f t="shared" si="95"/>
        <v>0</v>
      </c>
      <c r="AH116" s="918">
        <f t="shared" si="96"/>
        <v>0</v>
      </c>
      <c r="AI116" s="919"/>
      <c r="AJ116" s="917">
        <f t="shared" si="97"/>
        <v>0</v>
      </c>
      <c r="AK116" s="918">
        <f t="shared" si="98"/>
        <v>0</v>
      </c>
      <c r="AL116" s="919"/>
      <c r="AM116" s="917">
        <f t="shared" si="99"/>
        <v>0</v>
      </c>
      <c r="AN116" s="920">
        <v>19242</v>
      </c>
      <c r="AO116" s="917">
        <f t="shared" si="100"/>
        <v>5178.74</v>
      </c>
      <c r="AP116" s="920"/>
      <c r="AQ116" s="916">
        <f t="shared" si="101"/>
        <v>0</v>
      </c>
      <c r="AR116" s="917">
        <f t="shared" si="102"/>
        <v>134694</v>
      </c>
      <c r="AS116" s="916">
        <v>12</v>
      </c>
      <c r="AT116" s="921">
        <f t="shared" si="103"/>
        <v>1616328</v>
      </c>
      <c r="AU116" s="920"/>
      <c r="AV116" s="922">
        <f t="shared" si="104"/>
        <v>16163.28</v>
      </c>
      <c r="AW116" s="921">
        <f t="shared" si="105"/>
        <v>1632491.28</v>
      </c>
      <c r="AX116" s="921">
        <f t="shared" si="106"/>
        <v>493012.37</v>
      </c>
      <c r="AY116" s="921">
        <f t="shared" si="107"/>
        <v>2125503.65</v>
      </c>
      <c r="AZ116" s="923">
        <f t="shared" si="108"/>
        <v>1632.5</v>
      </c>
      <c r="BA116" s="923">
        <f t="shared" si="109"/>
        <v>493</v>
      </c>
      <c r="BB116" s="923">
        <f t="shared" si="110"/>
        <v>2125.5</v>
      </c>
      <c r="BC116" s="915">
        <v>0.95</v>
      </c>
      <c r="BD116" s="923">
        <f t="shared" si="111"/>
        <v>1550.9</v>
      </c>
      <c r="BE116" s="923">
        <f t="shared" si="112"/>
        <v>468.4</v>
      </c>
      <c r="BF116" s="923">
        <f t="shared" si="113"/>
        <v>2019.3</v>
      </c>
      <c r="BG116" s="924">
        <f>'[3]свод (2024)'!$B$116</f>
        <v>0.99758349999999996</v>
      </c>
      <c r="BH116" s="923">
        <f t="shared" si="114"/>
        <v>1547.2</v>
      </c>
      <c r="BI116" s="923">
        <f t="shared" si="115"/>
        <v>467.3</v>
      </c>
      <c r="BJ116" s="923">
        <f t="shared" si="116"/>
        <v>2014.5</v>
      </c>
      <c r="BK116" s="925">
        <f t="shared" si="117"/>
        <v>-85.3</v>
      </c>
      <c r="BL116" s="925">
        <f t="shared" si="117"/>
        <v>-25.7</v>
      </c>
      <c r="BM116" s="925">
        <f t="shared" si="118"/>
        <v>-111</v>
      </c>
      <c r="BN116" s="925">
        <f t="shared" si="119"/>
        <v>0</v>
      </c>
      <c r="BO116" s="925">
        <f t="shared" si="120"/>
        <v>0</v>
      </c>
      <c r="BP116" s="926"/>
      <c r="BQ116" s="925">
        <f t="shared" si="121"/>
        <v>1547.2</v>
      </c>
      <c r="BR116" s="925">
        <f t="shared" si="121"/>
        <v>467.3</v>
      </c>
      <c r="BS116" s="925">
        <f t="shared" si="122"/>
        <v>2014.5</v>
      </c>
      <c r="BU116" s="928">
        <f t="shared" si="123"/>
        <v>7</v>
      </c>
      <c r="BV116" s="917"/>
      <c r="BW116" s="928"/>
      <c r="BX116" s="928">
        <f t="shared" si="124"/>
        <v>1632491.28</v>
      </c>
      <c r="BY116" s="928"/>
      <c r="BZ116" s="917"/>
      <c r="CA116" s="928"/>
      <c r="CB116" s="917"/>
      <c r="CC116" s="928"/>
      <c r="CD116" s="928"/>
      <c r="CE116" s="928"/>
      <c r="CF116" s="929">
        <f t="shared" ref="CF116:CF124" si="126">CC$134/BU$134*BU116</f>
        <v>598124.78</v>
      </c>
      <c r="CG116" s="928"/>
      <c r="CH116" s="928"/>
      <c r="CI116" s="928"/>
      <c r="CJ116" s="925"/>
      <c r="CK116" s="925"/>
      <c r="CL116" s="925"/>
      <c r="CM116" s="925"/>
      <c r="CN116" s="925"/>
      <c r="CO116" s="925"/>
      <c r="CP116" s="925"/>
      <c r="CQ116" s="925"/>
      <c r="CR116" s="925"/>
      <c r="CS116" s="917"/>
      <c r="CT116" s="928"/>
      <c r="CU116" s="928"/>
      <c r="CV116" s="928"/>
      <c r="CX116" s="925"/>
      <c r="CY116" s="925"/>
      <c r="CZ116" s="925"/>
      <c r="DB116" s="925"/>
      <c r="DC116" s="925"/>
      <c r="DD116" s="925"/>
      <c r="DE116" s="925"/>
      <c r="DF116" s="925"/>
      <c r="DG116" s="925"/>
      <c r="DH116" s="925"/>
      <c r="DI116" s="925"/>
      <c r="DJ116" s="925"/>
      <c r="DK116" s="925"/>
      <c r="DL116" s="925"/>
      <c r="DM116" s="925"/>
      <c r="DN116" s="925"/>
      <c r="DO116" s="925"/>
      <c r="DP116" s="925"/>
      <c r="DQ116" s="924"/>
      <c r="DR116" s="925"/>
      <c r="DS116" s="925"/>
      <c r="DT116" s="925"/>
      <c r="DV116" s="925"/>
      <c r="DW116" s="925"/>
      <c r="DX116" s="925"/>
      <c r="DY116" s="925"/>
      <c r="DZ116" s="925"/>
      <c r="EA116" s="925"/>
      <c r="EB116" s="925"/>
      <c r="EC116" s="925"/>
      <c r="ED116" s="925"/>
      <c r="EE116" s="925"/>
      <c r="EF116" s="925"/>
      <c r="EG116" s="925"/>
      <c r="EH116" s="925"/>
      <c r="EI116" s="925"/>
      <c r="EJ116" s="925"/>
      <c r="EK116" s="925"/>
      <c r="EL116" s="925"/>
      <c r="EM116" s="925"/>
      <c r="EN116" s="925"/>
      <c r="EO116" s="925"/>
      <c r="EP116" s="925"/>
      <c r="EQ116" s="925"/>
      <c r="ER116" s="925"/>
      <c r="ES116" s="925"/>
      <c r="ET116" s="925"/>
      <c r="EV116" s="924"/>
      <c r="EW116" s="925"/>
      <c r="EX116" s="925"/>
      <c r="EY116" s="925"/>
    </row>
    <row r="117" spans="1:155" s="927" customFormat="1" ht="15.75" x14ac:dyDescent="0.25">
      <c r="A117" s="912" t="s">
        <v>61</v>
      </c>
      <c r="B117" s="913" t="s">
        <v>35</v>
      </c>
      <c r="C117" s="914">
        <v>46.67</v>
      </c>
      <c r="D117" s="914">
        <v>13132</v>
      </c>
      <c r="E117" s="915">
        <v>1.0549999999999999</v>
      </c>
      <c r="F117" s="916">
        <f t="shared" si="77"/>
        <v>13855</v>
      </c>
      <c r="G117" s="915">
        <v>1.01</v>
      </c>
      <c r="H117" s="916">
        <f t="shared" si="78"/>
        <v>13994</v>
      </c>
      <c r="I117" s="917">
        <f t="shared" si="79"/>
        <v>653099.98</v>
      </c>
      <c r="J117" s="918">
        <f t="shared" si="80"/>
        <v>0.19855999999999999</v>
      </c>
      <c r="K117" s="919">
        <v>121689.87</v>
      </c>
      <c r="L117" s="917">
        <f t="shared" si="81"/>
        <v>129679.53</v>
      </c>
      <c r="M117" s="918">
        <f t="shared" si="82"/>
        <v>0</v>
      </c>
      <c r="N117" s="919"/>
      <c r="O117" s="917">
        <f t="shared" si="83"/>
        <v>0</v>
      </c>
      <c r="P117" s="918">
        <f t="shared" si="84"/>
        <v>0</v>
      </c>
      <c r="Q117" s="919"/>
      <c r="R117" s="917">
        <f t="shared" si="85"/>
        <v>0</v>
      </c>
      <c r="S117" s="918">
        <f t="shared" si="86"/>
        <v>0</v>
      </c>
      <c r="T117" s="919"/>
      <c r="U117" s="917">
        <f t="shared" si="87"/>
        <v>0</v>
      </c>
      <c r="V117" s="918">
        <f t="shared" si="88"/>
        <v>0</v>
      </c>
      <c r="W117" s="919"/>
      <c r="X117" s="917">
        <f t="shared" si="89"/>
        <v>0</v>
      </c>
      <c r="Y117" s="918">
        <f t="shared" si="90"/>
        <v>0</v>
      </c>
      <c r="Z117" s="919"/>
      <c r="AA117" s="917">
        <f t="shared" si="91"/>
        <v>0</v>
      </c>
      <c r="AB117" s="918">
        <f t="shared" si="92"/>
        <v>0.16200999999999999</v>
      </c>
      <c r="AC117" s="919">
        <v>99292.51</v>
      </c>
      <c r="AD117" s="917">
        <f t="shared" si="93"/>
        <v>105808.73</v>
      </c>
      <c r="AE117" s="918">
        <f t="shared" si="94"/>
        <v>4.2900000000000004E-3</v>
      </c>
      <c r="AF117" s="919">
        <v>2626.4</v>
      </c>
      <c r="AG117" s="917">
        <f t="shared" si="95"/>
        <v>2801.8</v>
      </c>
      <c r="AH117" s="918">
        <f t="shared" si="96"/>
        <v>0</v>
      </c>
      <c r="AI117" s="919"/>
      <c r="AJ117" s="917">
        <f t="shared" si="97"/>
        <v>0</v>
      </c>
      <c r="AK117" s="918">
        <f t="shared" si="98"/>
        <v>0</v>
      </c>
      <c r="AL117" s="919"/>
      <c r="AM117" s="917">
        <f t="shared" si="99"/>
        <v>0</v>
      </c>
      <c r="AN117" s="920">
        <v>19242</v>
      </c>
      <c r="AO117" s="917">
        <f t="shared" si="100"/>
        <v>6634.1</v>
      </c>
      <c r="AP117" s="920"/>
      <c r="AQ117" s="916">
        <f t="shared" si="101"/>
        <v>0</v>
      </c>
      <c r="AR117" s="917">
        <f t="shared" si="102"/>
        <v>898024.14</v>
      </c>
      <c r="AS117" s="916">
        <v>12</v>
      </c>
      <c r="AT117" s="921">
        <f t="shared" si="103"/>
        <v>10776289.68</v>
      </c>
      <c r="AU117" s="920"/>
      <c r="AV117" s="922">
        <f t="shared" si="104"/>
        <v>107762.9</v>
      </c>
      <c r="AW117" s="921">
        <f t="shared" si="105"/>
        <v>10884052.58</v>
      </c>
      <c r="AX117" s="921">
        <f t="shared" si="106"/>
        <v>3286983.88</v>
      </c>
      <c r="AY117" s="921">
        <f t="shared" si="107"/>
        <v>14171036.460000001</v>
      </c>
      <c r="AZ117" s="923">
        <f t="shared" si="108"/>
        <v>10884.1</v>
      </c>
      <c r="BA117" s="923">
        <f t="shared" si="109"/>
        <v>3287</v>
      </c>
      <c r="BB117" s="923">
        <f t="shared" si="110"/>
        <v>14171.1</v>
      </c>
      <c r="BC117" s="915">
        <v>0.95</v>
      </c>
      <c r="BD117" s="923">
        <f t="shared" si="111"/>
        <v>10339.9</v>
      </c>
      <c r="BE117" s="923">
        <f t="shared" si="112"/>
        <v>3122.6</v>
      </c>
      <c r="BF117" s="923">
        <f t="shared" si="113"/>
        <v>13462.5</v>
      </c>
      <c r="BG117" s="924">
        <f>'[3]свод (2024)'!$B$116</f>
        <v>0.99758349999999996</v>
      </c>
      <c r="BH117" s="923">
        <f t="shared" si="114"/>
        <v>10314.9</v>
      </c>
      <c r="BI117" s="923">
        <f t="shared" si="115"/>
        <v>3115.1</v>
      </c>
      <c r="BJ117" s="923">
        <f t="shared" si="116"/>
        <v>13430</v>
      </c>
      <c r="BK117" s="925">
        <f t="shared" si="117"/>
        <v>-569.20000000000005</v>
      </c>
      <c r="BL117" s="925">
        <f t="shared" si="117"/>
        <v>-171.9</v>
      </c>
      <c r="BM117" s="925">
        <f t="shared" si="118"/>
        <v>-741.1</v>
      </c>
      <c r="BN117" s="925">
        <f t="shared" si="119"/>
        <v>0</v>
      </c>
      <c r="BO117" s="925">
        <f t="shared" si="120"/>
        <v>0</v>
      </c>
      <c r="BP117" s="926"/>
      <c r="BQ117" s="925">
        <f t="shared" si="121"/>
        <v>10314.9</v>
      </c>
      <c r="BR117" s="925">
        <f t="shared" si="121"/>
        <v>3115.1</v>
      </c>
      <c r="BS117" s="925">
        <f t="shared" si="122"/>
        <v>13430</v>
      </c>
      <c r="BU117" s="928">
        <f t="shared" si="123"/>
        <v>46.67</v>
      </c>
      <c r="BV117" s="917"/>
      <c r="BW117" s="928"/>
      <c r="BX117" s="928">
        <f t="shared" si="124"/>
        <v>10884052.58</v>
      </c>
      <c r="BY117" s="928"/>
      <c r="BZ117" s="917"/>
      <c r="CA117" s="928"/>
      <c r="CB117" s="917"/>
      <c r="CC117" s="928"/>
      <c r="CD117" s="928"/>
      <c r="CE117" s="928"/>
      <c r="CF117" s="929">
        <f t="shared" si="126"/>
        <v>3987783.38</v>
      </c>
      <c r="CG117" s="928"/>
      <c r="CH117" s="928"/>
      <c r="CI117" s="928"/>
      <c r="CJ117" s="925"/>
      <c r="CK117" s="925"/>
      <c r="CL117" s="925"/>
      <c r="CM117" s="925"/>
      <c r="CN117" s="925"/>
      <c r="CO117" s="925"/>
      <c r="CP117" s="925"/>
      <c r="CQ117" s="925"/>
      <c r="CR117" s="925"/>
      <c r="CS117" s="917"/>
      <c r="CT117" s="928"/>
      <c r="CU117" s="928"/>
      <c r="CV117" s="928"/>
      <c r="CX117" s="925"/>
      <c r="CY117" s="925"/>
      <c r="CZ117" s="925"/>
      <c r="DB117" s="925"/>
      <c r="DC117" s="925"/>
      <c r="DD117" s="925"/>
      <c r="DE117" s="925"/>
      <c r="DF117" s="925"/>
      <c r="DG117" s="925"/>
      <c r="DH117" s="925"/>
      <c r="DI117" s="925"/>
      <c r="DJ117" s="925"/>
      <c r="DK117" s="925"/>
      <c r="DL117" s="925"/>
      <c r="DM117" s="925"/>
      <c r="DN117" s="925"/>
      <c r="DO117" s="925"/>
      <c r="DP117" s="925"/>
      <c r="DQ117" s="924"/>
      <c r="DR117" s="925"/>
      <c r="DS117" s="925"/>
      <c r="DT117" s="925"/>
      <c r="DV117" s="925"/>
      <c r="DW117" s="925"/>
      <c r="DX117" s="925"/>
      <c r="DY117" s="925"/>
      <c r="DZ117" s="925"/>
      <c r="EA117" s="925"/>
      <c r="EB117" s="925"/>
      <c r="EC117" s="925"/>
      <c r="ED117" s="925"/>
      <c r="EE117" s="925"/>
      <c r="EF117" s="925"/>
      <c r="EG117" s="925"/>
      <c r="EH117" s="925"/>
      <c r="EI117" s="925"/>
      <c r="EJ117" s="925"/>
      <c r="EK117" s="925"/>
      <c r="EL117" s="925"/>
      <c r="EM117" s="925"/>
      <c r="EN117" s="925"/>
      <c r="EO117" s="925"/>
      <c r="EP117" s="925"/>
      <c r="EQ117" s="925"/>
      <c r="ER117" s="925"/>
      <c r="ES117" s="925"/>
      <c r="ET117" s="925"/>
      <c r="EV117" s="924"/>
      <c r="EW117" s="925"/>
      <c r="EX117" s="925"/>
      <c r="EY117" s="925"/>
    </row>
    <row r="118" spans="1:155" s="927" customFormat="1" ht="15.75" x14ac:dyDescent="0.25">
      <c r="A118" s="912" t="s">
        <v>61</v>
      </c>
      <c r="B118" s="913" t="s">
        <v>37</v>
      </c>
      <c r="C118" s="914">
        <v>7</v>
      </c>
      <c r="D118" s="914">
        <v>13132</v>
      </c>
      <c r="E118" s="915">
        <v>1.0549999999999999</v>
      </c>
      <c r="F118" s="916">
        <f t="shared" si="77"/>
        <v>13855</v>
      </c>
      <c r="G118" s="915">
        <v>1.01</v>
      </c>
      <c r="H118" s="916">
        <f t="shared" si="78"/>
        <v>13994</v>
      </c>
      <c r="I118" s="917">
        <f t="shared" si="79"/>
        <v>97958</v>
      </c>
      <c r="J118" s="918">
        <f t="shared" si="80"/>
        <v>0.11214</v>
      </c>
      <c r="K118" s="919">
        <v>10308.620000000001</v>
      </c>
      <c r="L118" s="917">
        <f t="shared" si="81"/>
        <v>10985.01</v>
      </c>
      <c r="M118" s="918">
        <f t="shared" si="82"/>
        <v>0</v>
      </c>
      <c r="N118" s="919"/>
      <c r="O118" s="917">
        <f t="shared" si="83"/>
        <v>0</v>
      </c>
      <c r="P118" s="918">
        <f t="shared" si="84"/>
        <v>0</v>
      </c>
      <c r="Q118" s="919"/>
      <c r="R118" s="917">
        <f t="shared" si="85"/>
        <v>0</v>
      </c>
      <c r="S118" s="918">
        <f t="shared" si="86"/>
        <v>0</v>
      </c>
      <c r="T118" s="919"/>
      <c r="U118" s="917">
        <f t="shared" si="87"/>
        <v>0</v>
      </c>
      <c r="V118" s="918">
        <f t="shared" si="88"/>
        <v>0</v>
      </c>
      <c r="W118" s="919"/>
      <c r="X118" s="917">
        <f t="shared" si="89"/>
        <v>0</v>
      </c>
      <c r="Y118" s="918">
        <f t="shared" si="90"/>
        <v>0</v>
      </c>
      <c r="Z118" s="919"/>
      <c r="AA118" s="917">
        <f t="shared" si="91"/>
        <v>0</v>
      </c>
      <c r="AB118" s="918">
        <f t="shared" si="92"/>
        <v>9.2859999999999998E-2</v>
      </c>
      <c r="AC118" s="919">
        <v>8535.7999999999993</v>
      </c>
      <c r="AD118" s="917">
        <f t="shared" si="93"/>
        <v>9096.3799999999992</v>
      </c>
      <c r="AE118" s="918">
        <f t="shared" si="94"/>
        <v>0</v>
      </c>
      <c r="AF118" s="919"/>
      <c r="AG118" s="917">
        <f t="shared" si="95"/>
        <v>0</v>
      </c>
      <c r="AH118" s="918">
        <f t="shared" si="96"/>
        <v>0</v>
      </c>
      <c r="AI118" s="919"/>
      <c r="AJ118" s="917">
        <f t="shared" si="97"/>
        <v>0</v>
      </c>
      <c r="AK118" s="918">
        <f t="shared" si="98"/>
        <v>0</v>
      </c>
      <c r="AL118" s="919"/>
      <c r="AM118" s="917">
        <f t="shared" si="99"/>
        <v>0</v>
      </c>
      <c r="AN118" s="920">
        <v>19242</v>
      </c>
      <c r="AO118" s="917">
        <f t="shared" si="100"/>
        <v>16654.61</v>
      </c>
      <c r="AP118" s="920"/>
      <c r="AQ118" s="916">
        <f t="shared" si="101"/>
        <v>0</v>
      </c>
      <c r="AR118" s="917">
        <f t="shared" si="102"/>
        <v>134694</v>
      </c>
      <c r="AS118" s="916">
        <v>12</v>
      </c>
      <c r="AT118" s="921">
        <f t="shared" si="103"/>
        <v>1616328</v>
      </c>
      <c r="AU118" s="920"/>
      <c r="AV118" s="922">
        <f t="shared" si="104"/>
        <v>16163.28</v>
      </c>
      <c r="AW118" s="921">
        <f t="shared" si="105"/>
        <v>1632491.28</v>
      </c>
      <c r="AX118" s="921">
        <f t="shared" si="106"/>
        <v>493012.37</v>
      </c>
      <c r="AY118" s="921">
        <f t="shared" si="107"/>
        <v>2125503.65</v>
      </c>
      <c r="AZ118" s="923">
        <f t="shared" si="108"/>
        <v>1632.5</v>
      </c>
      <c r="BA118" s="923">
        <f t="shared" si="109"/>
        <v>493</v>
      </c>
      <c r="BB118" s="923">
        <f t="shared" si="110"/>
        <v>2125.5</v>
      </c>
      <c r="BC118" s="915">
        <v>0.95</v>
      </c>
      <c r="BD118" s="923">
        <f t="shared" si="111"/>
        <v>1550.9</v>
      </c>
      <c r="BE118" s="923">
        <f t="shared" si="112"/>
        <v>468.4</v>
      </c>
      <c r="BF118" s="923">
        <f t="shared" si="113"/>
        <v>2019.3</v>
      </c>
      <c r="BG118" s="924">
        <f>'[3]свод (2024)'!$B$116</f>
        <v>0.99758349999999996</v>
      </c>
      <c r="BH118" s="923">
        <f t="shared" si="114"/>
        <v>1547.2</v>
      </c>
      <c r="BI118" s="923">
        <f t="shared" si="115"/>
        <v>467.3</v>
      </c>
      <c r="BJ118" s="923">
        <f t="shared" si="116"/>
        <v>2014.5</v>
      </c>
      <c r="BK118" s="925">
        <f t="shared" si="117"/>
        <v>-85.3</v>
      </c>
      <c r="BL118" s="925">
        <f t="shared" si="117"/>
        <v>-25.7</v>
      </c>
      <c r="BM118" s="925">
        <f t="shared" si="118"/>
        <v>-111</v>
      </c>
      <c r="BN118" s="925">
        <f t="shared" si="119"/>
        <v>0</v>
      </c>
      <c r="BO118" s="925">
        <f t="shared" si="120"/>
        <v>0</v>
      </c>
      <c r="BP118" s="926"/>
      <c r="BQ118" s="925">
        <f t="shared" si="121"/>
        <v>1547.2</v>
      </c>
      <c r="BR118" s="925">
        <f t="shared" si="121"/>
        <v>467.3</v>
      </c>
      <c r="BS118" s="925">
        <f t="shared" si="122"/>
        <v>2014.5</v>
      </c>
      <c r="BU118" s="928">
        <f t="shared" si="123"/>
        <v>7</v>
      </c>
      <c r="BV118" s="917"/>
      <c r="BW118" s="928"/>
      <c r="BX118" s="928">
        <f t="shared" si="124"/>
        <v>1632491.28</v>
      </c>
      <c r="BY118" s="928"/>
      <c r="BZ118" s="917"/>
      <c r="CA118" s="928"/>
      <c r="CB118" s="917"/>
      <c r="CC118" s="928"/>
      <c r="CD118" s="928"/>
      <c r="CE118" s="928"/>
      <c r="CF118" s="929">
        <f t="shared" si="126"/>
        <v>598124.78</v>
      </c>
      <c r="CG118" s="928"/>
      <c r="CH118" s="928"/>
      <c r="CI118" s="928"/>
      <c r="CJ118" s="925"/>
      <c r="CK118" s="925"/>
      <c r="CL118" s="925"/>
      <c r="CM118" s="925"/>
      <c r="CN118" s="925"/>
      <c r="CO118" s="925"/>
      <c r="CP118" s="925"/>
      <c r="CQ118" s="925"/>
      <c r="CR118" s="925"/>
      <c r="CS118" s="917"/>
      <c r="CT118" s="928"/>
      <c r="CU118" s="928"/>
      <c r="CV118" s="928"/>
      <c r="CX118" s="925"/>
      <c r="CY118" s="925"/>
      <c r="CZ118" s="925"/>
      <c r="DB118" s="925"/>
      <c r="DC118" s="925"/>
      <c r="DD118" s="925"/>
      <c r="DE118" s="925"/>
      <c r="DF118" s="925"/>
      <c r="DG118" s="925"/>
      <c r="DH118" s="925"/>
      <c r="DI118" s="925"/>
      <c r="DJ118" s="925"/>
      <c r="DK118" s="925"/>
      <c r="DL118" s="925"/>
      <c r="DM118" s="925"/>
      <c r="DN118" s="925"/>
      <c r="DO118" s="925"/>
      <c r="DP118" s="925"/>
      <c r="DQ118" s="924"/>
      <c r="DR118" s="925"/>
      <c r="DS118" s="925"/>
      <c r="DT118" s="925"/>
      <c r="DV118" s="925"/>
      <c r="DW118" s="925"/>
      <c r="DX118" s="925"/>
      <c r="DY118" s="925"/>
      <c r="DZ118" s="925"/>
      <c r="EA118" s="925"/>
      <c r="EB118" s="925"/>
      <c r="EC118" s="925"/>
      <c r="ED118" s="925"/>
      <c r="EE118" s="925"/>
      <c r="EF118" s="925"/>
      <c r="EG118" s="925"/>
      <c r="EH118" s="925"/>
      <c r="EI118" s="925"/>
      <c r="EJ118" s="925"/>
      <c r="EK118" s="925"/>
      <c r="EL118" s="925"/>
      <c r="EM118" s="925"/>
      <c r="EN118" s="925"/>
      <c r="EO118" s="925"/>
      <c r="EP118" s="925"/>
      <c r="EQ118" s="925"/>
      <c r="ER118" s="925"/>
      <c r="ES118" s="925"/>
      <c r="ET118" s="925"/>
      <c r="EV118" s="924"/>
      <c r="EW118" s="925"/>
      <c r="EX118" s="925"/>
      <c r="EY118" s="925"/>
    </row>
    <row r="119" spans="1:155" s="927" customFormat="1" ht="15.75" x14ac:dyDescent="0.25">
      <c r="A119" s="912" t="s">
        <v>61</v>
      </c>
      <c r="B119" s="913" t="s">
        <v>1386</v>
      </c>
      <c r="C119" s="914">
        <v>1</v>
      </c>
      <c r="D119" s="914">
        <v>13772</v>
      </c>
      <c r="E119" s="915">
        <v>1.0549999999999999</v>
      </c>
      <c r="F119" s="916">
        <f t="shared" si="77"/>
        <v>14530</v>
      </c>
      <c r="G119" s="915">
        <v>1.01</v>
      </c>
      <c r="H119" s="916">
        <f t="shared" si="78"/>
        <v>14676</v>
      </c>
      <c r="I119" s="917">
        <f t="shared" si="79"/>
        <v>14676</v>
      </c>
      <c r="J119" s="918">
        <f t="shared" si="80"/>
        <v>0.25</v>
      </c>
      <c r="K119" s="919">
        <v>3443</v>
      </c>
      <c r="L119" s="917">
        <f t="shared" si="81"/>
        <v>3669</v>
      </c>
      <c r="M119" s="918">
        <f t="shared" si="82"/>
        <v>0</v>
      </c>
      <c r="N119" s="919"/>
      <c r="O119" s="917">
        <f t="shared" si="83"/>
        <v>0</v>
      </c>
      <c r="P119" s="918">
        <f t="shared" si="84"/>
        <v>0</v>
      </c>
      <c r="Q119" s="919"/>
      <c r="R119" s="917">
        <f t="shared" si="85"/>
        <v>0</v>
      </c>
      <c r="S119" s="918">
        <f t="shared" si="86"/>
        <v>0</v>
      </c>
      <c r="T119" s="919"/>
      <c r="U119" s="917">
        <f t="shared" si="87"/>
        <v>0</v>
      </c>
      <c r="V119" s="918">
        <f t="shared" si="88"/>
        <v>0</v>
      </c>
      <c r="W119" s="919"/>
      <c r="X119" s="917">
        <f t="shared" si="89"/>
        <v>0</v>
      </c>
      <c r="Y119" s="918">
        <f t="shared" si="90"/>
        <v>0</v>
      </c>
      <c r="Z119" s="919"/>
      <c r="AA119" s="917">
        <f t="shared" si="91"/>
        <v>0</v>
      </c>
      <c r="AB119" s="918">
        <f t="shared" si="92"/>
        <v>0.2</v>
      </c>
      <c r="AC119" s="919">
        <v>2754.4</v>
      </c>
      <c r="AD119" s="917">
        <f t="shared" si="93"/>
        <v>2935.2</v>
      </c>
      <c r="AE119" s="918">
        <f t="shared" si="94"/>
        <v>0</v>
      </c>
      <c r="AF119" s="919"/>
      <c r="AG119" s="917">
        <f t="shared" si="95"/>
        <v>0</v>
      </c>
      <c r="AH119" s="918">
        <f t="shared" si="96"/>
        <v>0</v>
      </c>
      <c r="AI119" s="919"/>
      <c r="AJ119" s="917">
        <f t="shared" si="97"/>
        <v>0</v>
      </c>
      <c r="AK119" s="918">
        <f t="shared" si="98"/>
        <v>0</v>
      </c>
      <c r="AL119" s="919"/>
      <c r="AM119" s="917">
        <f t="shared" si="99"/>
        <v>0</v>
      </c>
      <c r="AN119" s="920">
        <v>19242</v>
      </c>
      <c r="AO119" s="917">
        <f t="shared" si="100"/>
        <v>0</v>
      </c>
      <c r="AP119" s="920"/>
      <c r="AQ119" s="916">
        <f t="shared" si="101"/>
        <v>0</v>
      </c>
      <c r="AR119" s="917">
        <f t="shared" si="102"/>
        <v>21280.2</v>
      </c>
      <c r="AS119" s="916">
        <v>12</v>
      </c>
      <c r="AT119" s="921">
        <f t="shared" si="103"/>
        <v>255362.4</v>
      </c>
      <c r="AU119" s="920"/>
      <c r="AV119" s="922">
        <f t="shared" si="104"/>
        <v>2553.62</v>
      </c>
      <c r="AW119" s="921">
        <f t="shared" si="105"/>
        <v>257916.02</v>
      </c>
      <c r="AX119" s="921">
        <f t="shared" si="106"/>
        <v>77890.64</v>
      </c>
      <c r="AY119" s="921">
        <f t="shared" si="107"/>
        <v>335806.66</v>
      </c>
      <c r="AZ119" s="923">
        <f t="shared" si="108"/>
        <v>257.89999999999998</v>
      </c>
      <c r="BA119" s="923">
        <f t="shared" si="109"/>
        <v>77.900000000000006</v>
      </c>
      <c r="BB119" s="923">
        <f t="shared" si="110"/>
        <v>335.8</v>
      </c>
      <c r="BC119" s="915">
        <v>0.95</v>
      </c>
      <c r="BD119" s="923">
        <f t="shared" si="111"/>
        <v>245</v>
      </c>
      <c r="BE119" s="923">
        <f t="shared" si="112"/>
        <v>74</v>
      </c>
      <c r="BF119" s="923">
        <f t="shared" si="113"/>
        <v>319</v>
      </c>
      <c r="BG119" s="924">
        <f>'[3]свод (2024)'!$B$116</f>
        <v>0.99758349999999996</v>
      </c>
      <c r="BH119" s="923">
        <f t="shared" si="114"/>
        <v>244.4</v>
      </c>
      <c r="BI119" s="923">
        <f t="shared" si="115"/>
        <v>73.8</v>
      </c>
      <c r="BJ119" s="923">
        <f t="shared" si="116"/>
        <v>318.2</v>
      </c>
      <c r="BK119" s="925">
        <f t="shared" si="117"/>
        <v>-13.5</v>
      </c>
      <c r="BL119" s="925">
        <f t="shared" si="117"/>
        <v>-4.0999999999999996</v>
      </c>
      <c r="BM119" s="925">
        <f t="shared" si="118"/>
        <v>-17.600000000000001</v>
      </c>
      <c r="BN119" s="925">
        <f t="shared" si="119"/>
        <v>0</v>
      </c>
      <c r="BO119" s="925">
        <f t="shared" si="120"/>
        <v>0</v>
      </c>
      <c r="BP119" s="926"/>
      <c r="BQ119" s="925">
        <f t="shared" si="121"/>
        <v>244.4</v>
      </c>
      <c r="BR119" s="925">
        <f t="shared" si="121"/>
        <v>73.8</v>
      </c>
      <c r="BS119" s="925">
        <f t="shared" si="122"/>
        <v>318.2</v>
      </c>
      <c r="BU119" s="928">
        <f t="shared" si="123"/>
        <v>1</v>
      </c>
      <c r="BV119" s="917"/>
      <c r="BW119" s="928"/>
      <c r="BX119" s="928">
        <f t="shared" si="124"/>
        <v>257916.02</v>
      </c>
      <c r="BY119" s="928"/>
      <c r="BZ119" s="917"/>
      <c r="CA119" s="928"/>
      <c r="CB119" s="917"/>
      <c r="CC119" s="928"/>
      <c r="CD119" s="928"/>
      <c r="CE119" s="928"/>
      <c r="CF119" s="929">
        <f t="shared" si="126"/>
        <v>85446.399999999994</v>
      </c>
      <c r="CG119" s="928"/>
      <c r="CH119" s="928"/>
      <c r="CI119" s="928"/>
      <c r="CJ119" s="925"/>
      <c r="CK119" s="925"/>
      <c r="CL119" s="925"/>
      <c r="CM119" s="925"/>
      <c r="CN119" s="925"/>
      <c r="CO119" s="925"/>
      <c r="CP119" s="925"/>
      <c r="CQ119" s="925"/>
      <c r="CR119" s="925"/>
      <c r="CS119" s="917"/>
      <c r="CT119" s="928"/>
      <c r="CU119" s="928"/>
      <c r="CV119" s="928"/>
      <c r="CX119" s="925"/>
      <c r="CY119" s="925"/>
      <c r="CZ119" s="925"/>
      <c r="DB119" s="925"/>
      <c r="DC119" s="925"/>
      <c r="DD119" s="925"/>
      <c r="DE119" s="925"/>
      <c r="DF119" s="925"/>
      <c r="DG119" s="925"/>
      <c r="DH119" s="925"/>
      <c r="DI119" s="925"/>
      <c r="DJ119" s="925"/>
      <c r="DK119" s="925"/>
      <c r="DL119" s="925"/>
      <c r="DM119" s="925"/>
      <c r="DN119" s="925"/>
      <c r="DO119" s="925"/>
      <c r="DP119" s="925"/>
      <c r="DQ119" s="924"/>
      <c r="DR119" s="925"/>
      <c r="DS119" s="925"/>
      <c r="DT119" s="925"/>
      <c r="DV119" s="925"/>
      <c r="DW119" s="925"/>
      <c r="DX119" s="925"/>
      <c r="DY119" s="925"/>
      <c r="DZ119" s="925"/>
      <c r="EA119" s="925"/>
      <c r="EB119" s="925"/>
      <c r="EC119" s="925"/>
      <c r="ED119" s="925"/>
      <c r="EE119" s="925"/>
      <c r="EF119" s="925"/>
      <c r="EG119" s="925"/>
      <c r="EH119" s="925"/>
      <c r="EI119" s="925"/>
      <c r="EJ119" s="925"/>
      <c r="EK119" s="925"/>
      <c r="EL119" s="925"/>
      <c r="EM119" s="925"/>
      <c r="EN119" s="925"/>
      <c r="EO119" s="925"/>
      <c r="EP119" s="925"/>
      <c r="EQ119" s="925"/>
      <c r="ER119" s="925"/>
      <c r="ES119" s="925"/>
      <c r="ET119" s="925"/>
      <c r="EV119" s="924"/>
      <c r="EW119" s="925"/>
      <c r="EX119" s="925"/>
      <c r="EY119" s="925"/>
    </row>
    <row r="120" spans="1:155" s="927" customFormat="1" ht="24" x14ac:dyDescent="0.25">
      <c r="A120" s="912" t="s">
        <v>61</v>
      </c>
      <c r="B120" s="913" t="s">
        <v>1400</v>
      </c>
      <c r="C120" s="914">
        <v>3</v>
      </c>
      <c r="D120" s="914">
        <v>4588</v>
      </c>
      <c r="E120" s="915">
        <v>1.0549999999999999</v>
      </c>
      <c r="F120" s="916">
        <f t="shared" si="77"/>
        <v>4841</v>
      </c>
      <c r="G120" s="915">
        <v>1.01</v>
      </c>
      <c r="H120" s="916">
        <f t="shared" si="78"/>
        <v>4890</v>
      </c>
      <c r="I120" s="917">
        <f t="shared" si="79"/>
        <v>14670</v>
      </c>
      <c r="J120" s="918">
        <f t="shared" si="80"/>
        <v>0</v>
      </c>
      <c r="K120" s="919"/>
      <c r="L120" s="917">
        <f t="shared" si="81"/>
        <v>0</v>
      </c>
      <c r="M120" s="918">
        <f t="shared" si="82"/>
        <v>0</v>
      </c>
      <c r="N120" s="919"/>
      <c r="O120" s="917">
        <f t="shared" si="83"/>
        <v>0</v>
      </c>
      <c r="P120" s="918">
        <f t="shared" si="84"/>
        <v>0</v>
      </c>
      <c r="Q120" s="919"/>
      <c r="R120" s="917">
        <f t="shared" si="85"/>
        <v>0</v>
      </c>
      <c r="S120" s="918">
        <f t="shared" si="86"/>
        <v>0</v>
      </c>
      <c r="T120" s="919"/>
      <c r="U120" s="917">
        <f t="shared" si="87"/>
        <v>0</v>
      </c>
      <c r="V120" s="918">
        <f t="shared" si="88"/>
        <v>0</v>
      </c>
      <c r="W120" s="919"/>
      <c r="X120" s="917">
        <f t="shared" si="89"/>
        <v>0</v>
      </c>
      <c r="Y120" s="918">
        <f t="shared" si="90"/>
        <v>0</v>
      </c>
      <c r="Z120" s="919"/>
      <c r="AA120" s="917">
        <f t="shared" si="91"/>
        <v>0</v>
      </c>
      <c r="AB120" s="918">
        <f t="shared" si="92"/>
        <v>0</v>
      </c>
      <c r="AC120" s="919"/>
      <c r="AD120" s="917">
        <f t="shared" si="93"/>
        <v>0</v>
      </c>
      <c r="AE120" s="918">
        <f t="shared" si="94"/>
        <v>0</v>
      </c>
      <c r="AF120" s="919"/>
      <c r="AG120" s="917">
        <f t="shared" si="95"/>
        <v>0</v>
      </c>
      <c r="AH120" s="918">
        <f t="shared" si="96"/>
        <v>0</v>
      </c>
      <c r="AI120" s="919"/>
      <c r="AJ120" s="917">
        <f t="shared" si="97"/>
        <v>0</v>
      </c>
      <c r="AK120" s="918">
        <f t="shared" si="98"/>
        <v>0</v>
      </c>
      <c r="AL120" s="919"/>
      <c r="AM120" s="917">
        <f t="shared" si="99"/>
        <v>0</v>
      </c>
      <c r="AN120" s="920">
        <v>19242</v>
      </c>
      <c r="AO120" s="917">
        <f t="shared" si="100"/>
        <v>43056</v>
      </c>
      <c r="AP120" s="920"/>
      <c r="AQ120" s="916">
        <f t="shared" si="101"/>
        <v>0</v>
      </c>
      <c r="AR120" s="917">
        <f t="shared" si="102"/>
        <v>57726</v>
      </c>
      <c r="AS120" s="916">
        <v>12</v>
      </c>
      <c r="AT120" s="921">
        <f t="shared" si="103"/>
        <v>692712</v>
      </c>
      <c r="AU120" s="920"/>
      <c r="AV120" s="922">
        <f t="shared" si="104"/>
        <v>6927.12</v>
      </c>
      <c r="AW120" s="921">
        <f t="shared" si="105"/>
        <v>699639.12</v>
      </c>
      <c r="AX120" s="921">
        <f t="shared" si="106"/>
        <v>211291.01</v>
      </c>
      <c r="AY120" s="921">
        <f t="shared" si="107"/>
        <v>910930.13</v>
      </c>
      <c r="AZ120" s="923">
        <f t="shared" si="108"/>
        <v>699.6</v>
      </c>
      <c r="BA120" s="923">
        <f t="shared" si="109"/>
        <v>211.3</v>
      </c>
      <c r="BB120" s="923">
        <f t="shared" si="110"/>
        <v>910.9</v>
      </c>
      <c r="BC120" s="915">
        <v>0.95</v>
      </c>
      <c r="BD120" s="923">
        <f t="shared" si="111"/>
        <v>664.6</v>
      </c>
      <c r="BE120" s="923">
        <f t="shared" si="112"/>
        <v>200.7</v>
      </c>
      <c r="BF120" s="923">
        <f t="shared" si="113"/>
        <v>865.3</v>
      </c>
      <c r="BG120" s="924">
        <f>'[3]свод (2024)'!$B$116</f>
        <v>0.99758349999999996</v>
      </c>
      <c r="BH120" s="923">
        <f t="shared" si="114"/>
        <v>663</v>
      </c>
      <c r="BI120" s="923">
        <f t="shared" si="115"/>
        <v>200.2</v>
      </c>
      <c r="BJ120" s="923">
        <f t="shared" si="116"/>
        <v>863.2</v>
      </c>
      <c r="BK120" s="925">
        <f t="shared" si="117"/>
        <v>-36.6</v>
      </c>
      <c r="BL120" s="925">
        <f t="shared" si="117"/>
        <v>-11.1</v>
      </c>
      <c r="BM120" s="925">
        <f t="shared" si="118"/>
        <v>-47.7</v>
      </c>
      <c r="BN120" s="925">
        <f t="shared" si="119"/>
        <v>0</v>
      </c>
      <c r="BO120" s="925">
        <f t="shared" si="120"/>
        <v>0</v>
      </c>
      <c r="BP120" s="926"/>
      <c r="BQ120" s="925">
        <f t="shared" si="121"/>
        <v>663</v>
      </c>
      <c r="BR120" s="925">
        <f t="shared" si="121"/>
        <v>200.2</v>
      </c>
      <c r="BS120" s="925">
        <f t="shared" si="122"/>
        <v>863.2</v>
      </c>
      <c r="BU120" s="928"/>
      <c r="BV120" s="917"/>
      <c r="BW120" s="928"/>
      <c r="BX120" s="928"/>
      <c r="BY120" s="928"/>
      <c r="BZ120" s="917"/>
      <c r="CA120" s="928"/>
      <c r="CB120" s="917"/>
      <c r="CC120" s="928"/>
      <c r="CD120" s="928"/>
      <c r="CE120" s="928"/>
      <c r="CF120" s="929"/>
      <c r="CG120" s="928"/>
      <c r="CH120" s="928"/>
      <c r="CI120" s="928"/>
      <c r="CJ120" s="925"/>
      <c r="CK120" s="925"/>
      <c r="CL120" s="925"/>
      <c r="CM120" s="925"/>
      <c r="CN120" s="925"/>
      <c r="CO120" s="925"/>
      <c r="CP120" s="925"/>
      <c r="CQ120" s="925"/>
      <c r="CR120" s="925"/>
      <c r="CS120" s="917"/>
      <c r="CT120" s="928"/>
      <c r="CU120" s="928"/>
      <c r="CV120" s="928"/>
      <c r="CX120" s="925"/>
      <c r="CY120" s="925"/>
      <c r="CZ120" s="925"/>
      <c r="DB120" s="925"/>
      <c r="DC120" s="925"/>
      <c r="DD120" s="925"/>
      <c r="DE120" s="925"/>
      <c r="DF120" s="925"/>
      <c r="DG120" s="925"/>
      <c r="DH120" s="925"/>
      <c r="DI120" s="925"/>
      <c r="DJ120" s="925"/>
      <c r="DK120" s="925"/>
      <c r="DL120" s="925"/>
      <c r="DM120" s="925"/>
      <c r="DN120" s="925"/>
      <c r="DO120" s="925"/>
      <c r="DP120" s="925"/>
      <c r="DQ120" s="924"/>
      <c r="DR120" s="925"/>
      <c r="DS120" s="925"/>
      <c r="DT120" s="925"/>
      <c r="DV120" s="925"/>
      <c r="DW120" s="925"/>
      <c r="DX120" s="925"/>
      <c r="DY120" s="925"/>
      <c r="DZ120" s="925"/>
      <c r="EA120" s="925"/>
      <c r="EB120" s="925"/>
      <c r="EC120" s="925"/>
      <c r="ED120" s="925"/>
      <c r="EE120" s="925"/>
      <c r="EF120" s="925"/>
      <c r="EG120" s="925"/>
      <c r="EH120" s="925"/>
      <c r="EI120" s="925"/>
      <c r="EJ120" s="925"/>
      <c r="EK120" s="925"/>
      <c r="EL120" s="925"/>
      <c r="EM120" s="925"/>
      <c r="EN120" s="925"/>
      <c r="EO120" s="925"/>
      <c r="EP120" s="925"/>
      <c r="EQ120" s="925"/>
      <c r="ER120" s="925"/>
      <c r="ES120" s="925"/>
      <c r="ET120" s="925"/>
      <c r="EV120" s="924"/>
      <c r="EW120" s="925"/>
      <c r="EX120" s="925"/>
      <c r="EY120" s="925"/>
    </row>
    <row r="121" spans="1:155" s="927" customFormat="1" ht="15.75" x14ac:dyDescent="0.25">
      <c r="A121" s="912" t="s">
        <v>61</v>
      </c>
      <c r="B121" s="913" t="s">
        <v>1401</v>
      </c>
      <c r="C121" s="914">
        <v>2</v>
      </c>
      <c r="D121" s="914">
        <v>4588</v>
      </c>
      <c r="E121" s="915">
        <v>1.0549999999999999</v>
      </c>
      <c r="F121" s="916">
        <f t="shared" si="77"/>
        <v>4841</v>
      </c>
      <c r="G121" s="915">
        <v>1.01</v>
      </c>
      <c r="H121" s="916">
        <f t="shared" si="78"/>
        <v>4890</v>
      </c>
      <c r="I121" s="917">
        <f t="shared" si="79"/>
        <v>9780</v>
      </c>
      <c r="J121" s="918">
        <f t="shared" si="80"/>
        <v>0</v>
      </c>
      <c r="K121" s="919"/>
      <c r="L121" s="917">
        <f t="shared" si="81"/>
        <v>0</v>
      </c>
      <c r="M121" s="918">
        <f t="shared" si="82"/>
        <v>0</v>
      </c>
      <c r="N121" s="919"/>
      <c r="O121" s="917">
        <f t="shared" si="83"/>
        <v>0</v>
      </c>
      <c r="P121" s="918">
        <f t="shared" si="84"/>
        <v>0</v>
      </c>
      <c r="Q121" s="919"/>
      <c r="R121" s="917">
        <f t="shared" si="85"/>
        <v>0</v>
      </c>
      <c r="S121" s="918">
        <f t="shared" si="86"/>
        <v>0</v>
      </c>
      <c r="T121" s="919"/>
      <c r="U121" s="917">
        <f t="shared" si="87"/>
        <v>0</v>
      </c>
      <c r="V121" s="918">
        <f t="shared" si="88"/>
        <v>0</v>
      </c>
      <c r="W121" s="919"/>
      <c r="X121" s="917">
        <f t="shared" si="89"/>
        <v>0</v>
      </c>
      <c r="Y121" s="918">
        <f t="shared" si="90"/>
        <v>0</v>
      </c>
      <c r="Z121" s="919"/>
      <c r="AA121" s="917">
        <f t="shared" si="91"/>
        <v>0</v>
      </c>
      <c r="AB121" s="918">
        <f t="shared" si="92"/>
        <v>0</v>
      </c>
      <c r="AC121" s="919"/>
      <c r="AD121" s="917">
        <f t="shared" si="93"/>
        <v>0</v>
      </c>
      <c r="AE121" s="918">
        <f t="shared" si="94"/>
        <v>0</v>
      </c>
      <c r="AF121" s="919"/>
      <c r="AG121" s="917">
        <f t="shared" si="95"/>
        <v>0</v>
      </c>
      <c r="AH121" s="918">
        <f t="shared" si="96"/>
        <v>0</v>
      </c>
      <c r="AI121" s="919"/>
      <c r="AJ121" s="917">
        <f t="shared" si="97"/>
        <v>0</v>
      </c>
      <c r="AK121" s="918">
        <f t="shared" si="98"/>
        <v>0</v>
      </c>
      <c r="AL121" s="919"/>
      <c r="AM121" s="917">
        <f t="shared" si="99"/>
        <v>0</v>
      </c>
      <c r="AN121" s="920">
        <v>19242</v>
      </c>
      <c r="AO121" s="917">
        <f t="shared" si="100"/>
        <v>28704</v>
      </c>
      <c r="AP121" s="920"/>
      <c r="AQ121" s="916">
        <f t="shared" si="101"/>
        <v>0</v>
      </c>
      <c r="AR121" s="917">
        <f t="shared" si="102"/>
        <v>38484</v>
      </c>
      <c r="AS121" s="916">
        <v>12</v>
      </c>
      <c r="AT121" s="921">
        <f t="shared" si="103"/>
        <v>461808</v>
      </c>
      <c r="AU121" s="920">
        <f>AT121*0.085</f>
        <v>39253.68</v>
      </c>
      <c r="AV121" s="922">
        <f t="shared" si="104"/>
        <v>4618.08</v>
      </c>
      <c r="AW121" s="921">
        <f t="shared" si="105"/>
        <v>505679.76</v>
      </c>
      <c r="AX121" s="921">
        <f t="shared" si="106"/>
        <v>152715.29</v>
      </c>
      <c r="AY121" s="921">
        <f t="shared" si="107"/>
        <v>658395.05000000005</v>
      </c>
      <c r="AZ121" s="923">
        <f t="shared" si="108"/>
        <v>505.7</v>
      </c>
      <c r="BA121" s="923">
        <f t="shared" si="109"/>
        <v>152.69999999999999</v>
      </c>
      <c r="BB121" s="923">
        <f t="shared" si="110"/>
        <v>658.4</v>
      </c>
      <c r="BC121" s="915">
        <v>0.95</v>
      </c>
      <c r="BD121" s="923">
        <f t="shared" si="111"/>
        <v>480.4</v>
      </c>
      <c r="BE121" s="923">
        <f t="shared" si="112"/>
        <v>145.1</v>
      </c>
      <c r="BF121" s="923">
        <f t="shared" si="113"/>
        <v>625.5</v>
      </c>
      <c r="BG121" s="924">
        <f>'[3]свод (2024)'!$B$116</f>
        <v>0.99758349999999996</v>
      </c>
      <c r="BH121" s="923">
        <f t="shared" si="114"/>
        <v>479.2</v>
      </c>
      <c r="BI121" s="923">
        <f t="shared" si="115"/>
        <v>144.69999999999999</v>
      </c>
      <c r="BJ121" s="923">
        <f t="shared" si="116"/>
        <v>623.9</v>
      </c>
      <c r="BK121" s="925">
        <f t="shared" si="117"/>
        <v>-26.5</v>
      </c>
      <c r="BL121" s="925">
        <f t="shared" si="117"/>
        <v>-8</v>
      </c>
      <c r="BM121" s="925">
        <f t="shared" si="118"/>
        <v>-34.5</v>
      </c>
      <c r="BN121" s="925">
        <f t="shared" si="119"/>
        <v>0</v>
      </c>
      <c r="BO121" s="925">
        <f t="shared" si="120"/>
        <v>0</v>
      </c>
      <c r="BP121" s="926"/>
      <c r="BQ121" s="925">
        <f t="shared" si="121"/>
        <v>479.2</v>
      </c>
      <c r="BR121" s="925">
        <f t="shared" si="121"/>
        <v>144.69999999999999</v>
      </c>
      <c r="BS121" s="925">
        <f t="shared" si="122"/>
        <v>623.9</v>
      </c>
      <c r="BU121" s="928"/>
      <c r="BV121" s="917"/>
      <c r="BW121" s="928"/>
      <c r="BX121" s="928"/>
      <c r="BY121" s="928"/>
      <c r="BZ121" s="917"/>
      <c r="CA121" s="928"/>
      <c r="CB121" s="917"/>
      <c r="CC121" s="928"/>
      <c r="CD121" s="928"/>
      <c r="CE121" s="928"/>
      <c r="CF121" s="929"/>
      <c r="CG121" s="928"/>
      <c r="CH121" s="928"/>
      <c r="CI121" s="928"/>
      <c r="CJ121" s="925"/>
      <c r="CK121" s="925"/>
      <c r="CL121" s="925"/>
      <c r="CM121" s="925"/>
      <c r="CN121" s="925"/>
      <c r="CO121" s="925"/>
      <c r="CP121" s="925"/>
      <c r="CQ121" s="925"/>
      <c r="CR121" s="925"/>
      <c r="CS121" s="917"/>
      <c r="CT121" s="928"/>
      <c r="CU121" s="928"/>
      <c r="CV121" s="928"/>
      <c r="CX121" s="925"/>
      <c r="CY121" s="925"/>
      <c r="CZ121" s="925"/>
      <c r="DB121" s="925"/>
      <c r="DC121" s="925"/>
      <c r="DD121" s="925"/>
      <c r="DE121" s="925"/>
      <c r="DF121" s="925"/>
      <c r="DG121" s="925"/>
      <c r="DH121" s="925"/>
      <c r="DI121" s="925"/>
      <c r="DJ121" s="925"/>
      <c r="DK121" s="925"/>
      <c r="DL121" s="925"/>
      <c r="DM121" s="925"/>
      <c r="DN121" s="925"/>
      <c r="DO121" s="925"/>
      <c r="DP121" s="925"/>
      <c r="DQ121" s="924"/>
      <c r="DR121" s="925"/>
      <c r="DS121" s="925"/>
      <c r="DT121" s="925"/>
      <c r="DV121" s="925"/>
      <c r="DW121" s="925"/>
      <c r="DX121" s="925"/>
      <c r="DY121" s="925"/>
      <c r="DZ121" s="925"/>
      <c r="EA121" s="925"/>
      <c r="EB121" s="925"/>
      <c r="EC121" s="925"/>
      <c r="ED121" s="925"/>
      <c r="EE121" s="925"/>
      <c r="EF121" s="925"/>
      <c r="EG121" s="925"/>
      <c r="EH121" s="925"/>
      <c r="EI121" s="925"/>
      <c r="EJ121" s="925"/>
      <c r="EK121" s="925"/>
      <c r="EL121" s="925"/>
      <c r="EM121" s="925"/>
      <c r="EN121" s="925"/>
      <c r="EO121" s="925"/>
      <c r="EP121" s="925"/>
      <c r="EQ121" s="925"/>
      <c r="ER121" s="925"/>
      <c r="ES121" s="925"/>
      <c r="ET121" s="925"/>
      <c r="EV121" s="924"/>
      <c r="EW121" s="925"/>
      <c r="EX121" s="925"/>
      <c r="EY121" s="925"/>
    </row>
    <row r="122" spans="1:155" s="927" customFormat="1" ht="15.75" x14ac:dyDescent="0.25">
      <c r="A122" s="912" t="s">
        <v>61</v>
      </c>
      <c r="B122" s="913" t="s">
        <v>41</v>
      </c>
      <c r="C122" s="914">
        <v>1</v>
      </c>
      <c r="D122" s="914">
        <v>7912</v>
      </c>
      <c r="E122" s="915">
        <v>1.0549999999999999</v>
      </c>
      <c r="F122" s="916">
        <f t="shared" si="77"/>
        <v>8348</v>
      </c>
      <c r="G122" s="915">
        <v>1.01</v>
      </c>
      <c r="H122" s="916">
        <f t="shared" si="78"/>
        <v>8432</v>
      </c>
      <c r="I122" s="917">
        <f t="shared" si="79"/>
        <v>8432</v>
      </c>
      <c r="J122" s="918">
        <f t="shared" si="80"/>
        <v>0</v>
      </c>
      <c r="K122" s="919"/>
      <c r="L122" s="917">
        <f t="shared" si="81"/>
        <v>0</v>
      </c>
      <c r="M122" s="918">
        <f t="shared" si="82"/>
        <v>0.04</v>
      </c>
      <c r="N122" s="919">
        <v>316.48</v>
      </c>
      <c r="O122" s="917">
        <f t="shared" si="83"/>
        <v>337.28</v>
      </c>
      <c r="P122" s="918">
        <f t="shared" si="84"/>
        <v>0</v>
      </c>
      <c r="Q122" s="919"/>
      <c r="R122" s="917">
        <f t="shared" si="85"/>
        <v>0</v>
      </c>
      <c r="S122" s="918">
        <f t="shared" si="86"/>
        <v>0.15</v>
      </c>
      <c r="T122" s="919">
        <v>1186.8</v>
      </c>
      <c r="U122" s="917">
        <f t="shared" si="87"/>
        <v>1264.8</v>
      </c>
      <c r="V122" s="918">
        <f t="shared" si="88"/>
        <v>0</v>
      </c>
      <c r="W122" s="919"/>
      <c r="X122" s="917">
        <f t="shared" si="89"/>
        <v>0</v>
      </c>
      <c r="Y122" s="918">
        <f t="shared" si="90"/>
        <v>1.99</v>
      </c>
      <c r="Z122" s="919">
        <v>15744.88</v>
      </c>
      <c r="AA122" s="917">
        <f t="shared" si="91"/>
        <v>16779.68</v>
      </c>
      <c r="AB122" s="918">
        <f t="shared" si="92"/>
        <v>0.15</v>
      </c>
      <c r="AC122" s="919">
        <v>1186.8</v>
      </c>
      <c r="AD122" s="917">
        <f t="shared" si="93"/>
        <v>1264.8</v>
      </c>
      <c r="AE122" s="918">
        <f t="shared" si="94"/>
        <v>0</v>
      </c>
      <c r="AF122" s="919"/>
      <c r="AG122" s="917">
        <f t="shared" si="95"/>
        <v>0</v>
      </c>
      <c r="AH122" s="918">
        <f t="shared" si="96"/>
        <v>0</v>
      </c>
      <c r="AI122" s="919"/>
      <c r="AJ122" s="917">
        <f t="shared" si="97"/>
        <v>0</v>
      </c>
      <c r="AK122" s="918">
        <f t="shared" si="98"/>
        <v>0</v>
      </c>
      <c r="AL122" s="919"/>
      <c r="AM122" s="917">
        <f t="shared" si="99"/>
        <v>0</v>
      </c>
      <c r="AN122" s="920">
        <v>19242</v>
      </c>
      <c r="AO122" s="917">
        <f t="shared" si="100"/>
        <v>0</v>
      </c>
      <c r="AP122" s="920"/>
      <c r="AQ122" s="916">
        <f t="shared" si="101"/>
        <v>0</v>
      </c>
      <c r="AR122" s="917">
        <f t="shared" si="102"/>
        <v>28078.560000000001</v>
      </c>
      <c r="AS122" s="916">
        <v>12</v>
      </c>
      <c r="AT122" s="921">
        <f t="shared" si="103"/>
        <v>336942.72</v>
      </c>
      <c r="AU122" s="920"/>
      <c r="AV122" s="922">
        <f t="shared" si="104"/>
        <v>3369.43</v>
      </c>
      <c r="AW122" s="921">
        <f t="shared" si="105"/>
        <v>340312.15</v>
      </c>
      <c r="AX122" s="921">
        <f t="shared" si="106"/>
        <v>102774.27</v>
      </c>
      <c r="AY122" s="921">
        <f t="shared" si="107"/>
        <v>443086.42</v>
      </c>
      <c r="AZ122" s="923">
        <f t="shared" si="108"/>
        <v>340.3</v>
      </c>
      <c r="BA122" s="923">
        <f t="shared" si="109"/>
        <v>102.8</v>
      </c>
      <c r="BB122" s="923">
        <f t="shared" si="110"/>
        <v>443.1</v>
      </c>
      <c r="BC122" s="915">
        <v>0.95</v>
      </c>
      <c r="BD122" s="923">
        <f t="shared" si="111"/>
        <v>323.3</v>
      </c>
      <c r="BE122" s="923">
        <f t="shared" si="112"/>
        <v>97.6</v>
      </c>
      <c r="BF122" s="923">
        <f t="shared" si="113"/>
        <v>420.9</v>
      </c>
      <c r="BG122" s="924">
        <f>'[3]свод (2024)'!$B$116</f>
        <v>0.99758349999999996</v>
      </c>
      <c r="BH122" s="923">
        <f t="shared" si="114"/>
        <v>322.5</v>
      </c>
      <c r="BI122" s="923">
        <f t="shared" si="115"/>
        <v>97.4</v>
      </c>
      <c r="BJ122" s="923">
        <f t="shared" si="116"/>
        <v>419.9</v>
      </c>
      <c r="BK122" s="925">
        <f t="shared" si="117"/>
        <v>-17.8</v>
      </c>
      <c r="BL122" s="925">
        <f t="shared" si="117"/>
        <v>-5.4</v>
      </c>
      <c r="BM122" s="925">
        <f t="shared" si="118"/>
        <v>-23.2</v>
      </c>
      <c r="BN122" s="925">
        <f t="shared" si="119"/>
        <v>0</v>
      </c>
      <c r="BO122" s="925">
        <f t="shared" si="120"/>
        <v>0</v>
      </c>
      <c r="BP122" s="926"/>
      <c r="BQ122" s="925">
        <f t="shared" si="121"/>
        <v>322.5</v>
      </c>
      <c r="BR122" s="925">
        <f t="shared" si="121"/>
        <v>97.4</v>
      </c>
      <c r="BS122" s="925">
        <f t="shared" si="122"/>
        <v>419.9</v>
      </c>
      <c r="BU122" s="928"/>
      <c r="BV122" s="917"/>
      <c r="BW122" s="928"/>
      <c r="BX122" s="928"/>
      <c r="BY122" s="928"/>
      <c r="BZ122" s="917"/>
      <c r="CA122" s="928"/>
      <c r="CB122" s="917"/>
      <c r="CC122" s="928"/>
      <c r="CD122" s="928"/>
      <c r="CE122" s="928"/>
      <c r="CF122" s="929"/>
      <c r="CG122" s="928"/>
      <c r="CH122" s="928"/>
      <c r="CI122" s="928"/>
      <c r="CJ122" s="925"/>
      <c r="CK122" s="925"/>
      <c r="CL122" s="925"/>
      <c r="CM122" s="925"/>
      <c r="CN122" s="925"/>
      <c r="CO122" s="925"/>
      <c r="CP122" s="925"/>
      <c r="CQ122" s="925"/>
      <c r="CR122" s="925"/>
      <c r="CS122" s="917"/>
      <c r="CT122" s="928"/>
      <c r="CU122" s="928"/>
      <c r="CV122" s="928"/>
      <c r="CX122" s="925"/>
      <c r="CY122" s="925"/>
      <c r="CZ122" s="925"/>
      <c r="DB122" s="925"/>
      <c r="DC122" s="925"/>
      <c r="DD122" s="925"/>
      <c r="DE122" s="925"/>
      <c r="DF122" s="925"/>
      <c r="DG122" s="925"/>
      <c r="DH122" s="925"/>
      <c r="DI122" s="925"/>
      <c r="DJ122" s="925"/>
      <c r="DK122" s="925"/>
      <c r="DL122" s="925"/>
      <c r="DM122" s="925"/>
      <c r="DN122" s="925"/>
      <c r="DO122" s="925"/>
      <c r="DP122" s="925"/>
      <c r="DQ122" s="924"/>
      <c r="DR122" s="925"/>
      <c r="DS122" s="925"/>
      <c r="DT122" s="925"/>
      <c r="DV122" s="925"/>
      <c r="DW122" s="925"/>
      <c r="DX122" s="925"/>
      <c r="DY122" s="925"/>
      <c r="DZ122" s="925"/>
      <c r="EA122" s="925"/>
      <c r="EB122" s="925"/>
      <c r="EC122" s="925"/>
      <c r="ED122" s="925"/>
      <c r="EE122" s="925"/>
      <c r="EF122" s="925"/>
      <c r="EG122" s="925"/>
      <c r="EH122" s="925"/>
      <c r="EI122" s="925"/>
      <c r="EJ122" s="925"/>
      <c r="EK122" s="925"/>
      <c r="EL122" s="925"/>
      <c r="EM122" s="925"/>
      <c r="EN122" s="925"/>
      <c r="EO122" s="925"/>
      <c r="EP122" s="925"/>
      <c r="EQ122" s="925"/>
      <c r="ER122" s="925"/>
      <c r="ES122" s="925"/>
      <c r="ET122" s="925"/>
      <c r="EV122" s="924"/>
      <c r="EW122" s="925"/>
      <c r="EX122" s="925"/>
      <c r="EY122" s="925"/>
    </row>
    <row r="123" spans="1:155" s="927" customFormat="1" ht="15.75" x14ac:dyDescent="0.25">
      <c r="A123" s="912" t="s">
        <v>61</v>
      </c>
      <c r="B123" s="913" t="s">
        <v>1402</v>
      </c>
      <c r="C123" s="914">
        <v>1.5</v>
      </c>
      <c r="D123" s="914">
        <v>5454</v>
      </c>
      <c r="E123" s="915">
        <v>1.0549999999999999</v>
      </c>
      <c r="F123" s="916">
        <f t="shared" si="77"/>
        <v>5754</v>
      </c>
      <c r="G123" s="915">
        <v>1.01</v>
      </c>
      <c r="H123" s="916">
        <f t="shared" si="78"/>
        <v>5812</v>
      </c>
      <c r="I123" s="917">
        <f t="shared" si="79"/>
        <v>8718</v>
      </c>
      <c r="J123" s="918">
        <f t="shared" si="80"/>
        <v>0</v>
      </c>
      <c r="K123" s="919"/>
      <c r="L123" s="917">
        <f t="shared" si="81"/>
        <v>0</v>
      </c>
      <c r="M123" s="918">
        <f t="shared" si="82"/>
        <v>0</v>
      </c>
      <c r="N123" s="919"/>
      <c r="O123" s="917">
        <f t="shared" si="83"/>
        <v>0</v>
      </c>
      <c r="P123" s="918">
        <f t="shared" si="84"/>
        <v>0</v>
      </c>
      <c r="Q123" s="919"/>
      <c r="R123" s="917">
        <f t="shared" si="85"/>
        <v>0</v>
      </c>
      <c r="S123" s="918">
        <f t="shared" si="86"/>
        <v>0</v>
      </c>
      <c r="T123" s="919"/>
      <c r="U123" s="917">
        <f t="shared" si="87"/>
        <v>0</v>
      </c>
      <c r="V123" s="918">
        <f t="shared" si="88"/>
        <v>0</v>
      </c>
      <c r="W123" s="919"/>
      <c r="X123" s="917">
        <f t="shared" si="89"/>
        <v>0</v>
      </c>
      <c r="Y123" s="918">
        <f t="shared" si="90"/>
        <v>0</v>
      </c>
      <c r="Z123" s="919"/>
      <c r="AA123" s="917">
        <f t="shared" si="91"/>
        <v>0</v>
      </c>
      <c r="AB123" s="918">
        <f t="shared" si="92"/>
        <v>0</v>
      </c>
      <c r="AC123" s="919"/>
      <c r="AD123" s="917">
        <f t="shared" si="93"/>
        <v>0</v>
      </c>
      <c r="AE123" s="918">
        <f t="shared" si="94"/>
        <v>0</v>
      </c>
      <c r="AF123" s="919"/>
      <c r="AG123" s="917">
        <f t="shared" si="95"/>
        <v>0</v>
      </c>
      <c r="AH123" s="918">
        <f t="shared" si="96"/>
        <v>0</v>
      </c>
      <c r="AI123" s="919"/>
      <c r="AJ123" s="917">
        <f t="shared" si="97"/>
        <v>0</v>
      </c>
      <c r="AK123" s="918">
        <f t="shared" si="98"/>
        <v>0</v>
      </c>
      <c r="AL123" s="919"/>
      <c r="AM123" s="917">
        <f t="shared" si="99"/>
        <v>0</v>
      </c>
      <c r="AN123" s="920">
        <v>19242</v>
      </c>
      <c r="AO123" s="917">
        <f t="shared" si="100"/>
        <v>20145</v>
      </c>
      <c r="AP123" s="920"/>
      <c r="AQ123" s="916">
        <f t="shared" si="101"/>
        <v>0</v>
      </c>
      <c r="AR123" s="917">
        <f t="shared" si="102"/>
        <v>28863</v>
      </c>
      <c r="AS123" s="916">
        <v>12</v>
      </c>
      <c r="AT123" s="921">
        <f t="shared" si="103"/>
        <v>346356</v>
      </c>
      <c r="AU123" s="920"/>
      <c r="AV123" s="922">
        <f t="shared" si="104"/>
        <v>3463.56</v>
      </c>
      <c r="AW123" s="921">
        <f t="shared" si="105"/>
        <v>349819.56</v>
      </c>
      <c r="AX123" s="921">
        <f t="shared" si="106"/>
        <v>105645.51</v>
      </c>
      <c r="AY123" s="921">
        <f t="shared" si="107"/>
        <v>455465.07</v>
      </c>
      <c r="AZ123" s="923">
        <f t="shared" si="108"/>
        <v>349.8</v>
      </c>
      <c r="BA123" s="923">
        <f t="shared" si="109"/>
        <v>105.6</v>
      </c>
      <c r="BB123" s="923">
        <f t="shared" si="110"/>
        <v>455.4</v>
      </c>
      <c r="BC123" s="915">
        <v>0.95</v>
      </c>
      <c r="BD123" s="923">
        <f t="shared" si="111"/>
        <v>332.3</v>
      </c>
      <c r="BE123" s="923">
        <f t="shared" si="112"/>
        <v>100.4</v>
      </c>
      <c r="BF123" s="923">
        <f t="shared" si="113"/>
        <v>432.7</v>
      </c>
      <c r="BG123" s="924">
        <f>'[3]свод (2024)'!$B$116</f>
        <v>0.99758349999999996</v>
      </c>
      <c r="BH123" s="923">
        <f t="shared" si="114"/>
        <v>331.5</v>
      </c>
      <c r="BI123" s="923">
        <f t="shared" si="115"/>
        <v>100.1</v>
      </c>
      <c r="BJ123" s="923">
        <f t="shared" si="116"/>
        <v>431.6</v>
      </c>
      <c r="BK123" s="925">
        <f t="shared" si="117"/>
        <v>-18.3</v>
      </c>
      <c r="BL123" s="925">
        <f t="shared" si="117"/>
        <v>-5.5</v>
      </c>
      <c r="BM123" s="925">
        <f t="shared" si="118"/>
        <v>-23.8</v>
      </c>
      <c r="BN123" s="925">
        <f t="shared" si="119"/>
        <v>0</v>
      </c>
      <c r="BO123" s="925">
        <f t="shared" si="120"/>
        <v>0</v>
      </c>
      <c r="BP123" s="926"/>
      <c r="BQ123" s="925">
        <f t="shared" si="121"/>
        <v>331.5</v>
      </c>
      <c r="BR123" s="925">
        <f t="shared" si="121"/>
        <v>100.1</v>
      </c>
      <c r="BS123" s="925">
        <f t="shared" si="122"/>
        <v>431.6</v>
      </c>
      <c r="BU123" s="928"/>
      <c r="BV123" s="917"/>
      <c r="BW123" s="928"/>
      <c r="BX123" s="928"/>
      <c r="BY123" s="928"/>
      <c r="BZ123" s="917"/>
      <c r="CA123" s="928"/>
      <c r="CB123" s="917"/>
      <c r="CC123" s="928"/>
      <c r="CD123" s="928"/>
      <c r="CE123" s="928"/>
      <c r="CF123" s="929"/>
      <c r="CG123" s="928"/>
      <c r="CH123" s="928"/>
      <c r="CI123" s="928"/>
      <c r="CJ123" s="925"/>
      <c r="CK123" s="925"/>
      <c r="CL123" s="925"/>
      <c r="CM123" s="925"/>
      <c r="CN123" s="925"/>
      <c r="CO123" s="925"/>
      <c r="CP123" s="925"/>
      <c r="CQ123" s="925"/>
      <c r="CR123" s="925"/>
      <c r="CS123" s="917"/>
      <c r="CT123" s="928"/>
      <c r="CU123" s="928"/>
      <c r="CV123" s="928"/>
      <c r="CX123" s="925"/>
      <c r="CY123" s="925"/>
      <c r="CZ123" s="925"/>
      <c r="DB123" s="925"/>
      <c r="DC123" s="925"/>
      <c r="DD123" s="925"/>
      <c r="DE123" s="925"/>
      <c r="DF123" s="925"/>
      <c r="DG123" s="925"/>
      <c r="DH123" s="925"/>
      <c r="DI123" s="925"/>
      <c r="DJ123" s="925"/>
      <c r="DK123" s="925"/>
      <c r="DL123" s="925"/>
      <c r="DM123" s="925"/>
      <c r="DN123" s="925"/>
      <c r="DO123" s="925"/>
      <c r="DP123" s="925"/>
      <c r="DQ123" s="924"/>
      <c r="DR123" s="925"/>
      <c r="DS123" s="925"/>
      <c r="DT123" s="925"/>
      <c r="DV123" s="925"/>
      <c r="DW123" s="925"/>
      <c r="DX123" s="925"/>
      <c r="DY123" s="925"/>
      <c r="DZ123" s="925"/>
      <c r="EA123" s="925"/>
      <c r="EB123" s="925"/>
      <c r="EC123" s="925"/>
      <c r="ED123" s="925"/>
      <c r="EE123" s="925"/>
      <c r="EF123" s="925"/>
      <c r="EG123" s="925"/>
      <c r="EH123" s="925"/>
      <c r="EI123" s="925"/>
      <c r="EJ123" s="925"/>
      <c r="EK123" s="925"/>
      <c r="EL123" s="925"/>
      <c r="EM123" s="925"/>
      <c r="EN123" s="925"/>
      <c r="EO123" s="925"/>
      <c r="EP123" s="925"/>
      <c r="EQ123" s="925"/>
      <c r="ER123" s="925"/>
      <c r="ES123" s="925"/>
      <c r="ET123" s="925"/>
      <c r="EV123" s="924"/>
      <c r="EW123" s="925"/>
      <c r="EX123" s="925"/>
      <c r="EY123" s="925"/>
    </row>
    <row r="124" spans="1:155" s="927" customFormat="1" ht="15.75" x14ac:dyDescent="0.25">
      <c r="A124" s="912" t="s">
        <v>61</v>
      </c>
      <c r="B124" s="913" t="s">
        <v>34</v>
      </c>
      <c r="C124" s="914">
        <v>1</v>
      </c>
      <c r="D124" s="914">
        <v>13132</v>
      </c>
      <c r="E124" s="915">
        <v>1.0549999999999999</v>
      </c>
      <c r="F124" s="916">
        <f t="shared" si="77"/>
        <v>13855</v>
      </c>
      <c r="G124" s="915">
        <v>1.01</v>
      </c>
      <c r="H124" s="916">
        <f t="shared" si="78"/>
        <v>13994</v>
      </c>
      <c r="I124" s="917">
        <f t="shared" si="79"/>
        <v>13994</v>
      </c>
      <c r="J124" s="918">
        <f t="shared" si="80"/>
        <v>0.25</v>
      </c>
      <c r="K124" s="919">
        <v>3283</v>
      </c>
      <c r="L124" s="917">
        <f t="shared" si="81"/>
        <v>3498.5</v>
      </c>
      <c r="M124" s="918">
        <f t="shared" si="82"/>
        <v>0</v>
      </c>
      <c r="N124" s="919"/>
      <c r="O124" s="917">
        <f t="shared" si="83"/>
        <v>0</v>
      </c>
      <c r="P124" s="918">
        <f t="shared" si="84"/>
        <v>0</v>
      </c>
      <c r="Q124" s="919"/>
      <c r="R124" s="917">
        <f t="shared" si="85"/>
        <v>0</v>
      </c>
      <c r="S124" s="918">
        <f t="shared" si="86"/>
        <v>0</v>
      </c>
      <c r="T124" s="919"/>
      <c r="U124" s="917">
        <f t="shared" si="87"/>
        <v>0</v>
      </c>
      <c r="V124" s="918">
        <f t="shared" si="88"/>
        <v>0</v>
      </c>
      <c r="W124" s="919"/>
      <c r="X124" s="917">
        <f t="shared" si="89"/>
        <v>0</v>
      </c>
      <c r="Y124" s="918">
        <f t="shared" si="90"/>
        <v>0</v>
      </c>
      <c r="Z124" s="919"/>
      <c r="AA124" s="917">
        <f t="shared" si="91"/>
        <v>0</v>
      </c>
      <c r="AB124" s="918">
        <f t="shared" si="92"/>
        <v>0.2</v>
      </c>
      <c r="AC124" s="919">
        <v>2626.4</v>
      </c>
      <c r="AD124" s="917">
        <f t="shared" si="93"/>
        <v>2798.8</v>
      </c>
      <c r="AE124" s="918">
        <f t="shared" si="94"/>
        <v>0</v>
      </c>
      <c r="AF124" s="919"/>
      <c r="AG124" s="917">
        <f t="shared" si="95"/>
        <v>0</v>
      </c>
      <c r="AH124" s="918">
        <f t="shared" si="96"/>
        <v>0</v>
      </c>
      <c r="AI124" s="919"/>
      <c r="AJ124" s="917">
        <f t="shared" si="97"/>
        <v>0</v>
      </c>
      <c r="AK124" s="918">
        <f t="shared" si="98"/>
        <v>0</v>
      </c>
      <c r="AL124" s="919"/>
      <c r="AM124" s="917">
        <f t="shared" si="99"/>
        <v>0</v>
      </c>
      <c r="AN124" s="920">
        <v>19242</v>
      </c>
      <c r="AO124" s="917">
        <f t="shared" si="100"/>
        <v>0</v>
      </c>
      <c r="AP124" s="920"/>
      <c r="AQ124" s="916">
        <f t="shared" si="101"/>
        <v>0</v>
      </c>
      <c r="AR124" s="917">
        <f t="shared" si="102"/>
        <v>20291.3</v>
      </c>
      <c r="AS124" s="916">
        <v>12</v>
      </c>
      <c r="AT124" s="921">
        <f t="shared" si="103"/>
        <v>243495.6</v>
      </c>
      <c r="AU124" s="920"/>
      <c r="AV124" s="922">
        <f t="shared" si="104"/>
        <v>2434.96</v>
      </c>
      <c r="AW124" s="921">
        <f t="shared" si="105"/>
        <v>245930.56</v>
      </c>
      <c r="AX124" s="921">
        <f t="shared" si="106"/>
        <v>74271.03</v>
      </c>
      <c r="AY124" s="921">
        <f t="shared" si="107"/>
        <v>320201.59000000003</v>
      </c>
      <c r="AZ124" s="923">
        <f t="shared" si="108"/>
        <v>245.9</v>
      </c>
      <c r="BA124" s="923">
        <f t="shared" si="109"/>
        <v>74.3</v>
      </c>
      <c r="BB124" s="923">
        <f t="shared" si="110"/>
        <v>320.2</v>
      </c>
      <c r="BC124" s="915">
        <v>0.95</v>
      </c>
      <c r="BD124" s="923">
        <f t="shared" si="111"/>
        <v>233.6</v>
      </c>
      <c r="BE124" s="923">
        <f t="shared" si="112"/>
        <v>70.5</v>
      </c>
      <c r="BF124" s="923">
        <f t="shared" si="113"/>
        <v>304.10000000000002</v>
      </c>
      <c r="BG124" s="924">
        <f>'[3]свод (2024)'!$B$116</f>
        <v>0.99758349999999996</v>
      </c>
      <c r="BH124" s="923">
        <f t="shared" si="114"/>
        <v>233</v>
      </c>
      <c r="BI124" s="923">
        <f t="shared" si="115"/>
        <v>70.400000000000006</v>
      </c>
      <c r="BJ124" s="923">
        <f t="shared" si="116"/>
        <v>303.39999999999998</v>
      </c>
      <c r="BK124" s="925">
        <f t="shared" si="117"/>
        <v>-12.9</v>
      </c>
      <c r="BL124" s="925">
        <f t="shared" si="117"/>
        <v>-3.9</v>
      </c>
      <c r="BM124" s="925">
        <f t="shared" si="118"/>
        <v>-16.8</v>
      </c>
      <c r="BN124" s="925">
        <f t="shared" si="119"/>
        <v>0</v>
      </c>
      <c r="BO124" s="925">
        <f t="shared" si="120"/>
        <v>0</v>
      </c>
      <c r="BP124" s="926"/>
      <c r="BQ124" s="925">
        <f t="shared" si="121"/>
        <v>233</v>
      </c>
      <c r="BR124" s="925">
        <f t="shared" si="121"/>
        <v>70.400000000000006</v>
      </c>
      <c r="BS124" s="925">
        <f t="shared" si="122"/>
        <v>303.39999999999998</v>
      </c>
      <c r="BU124" s="928">
        <f t="shared" si="123"/>
        <v>1</v>
      </c>
      <c r="BV124" s="917"/>
      <c r="BW124" s="928"/>
      <c r="BX124" s="928">
        <f t="shared" si="124"/>
        <v>245930.56</v>
      </c>
      <c r="BY124" s="928"/>
      <c r="BZ124" s="917"/>
      <c r="CA124" s="928"/>
      <c r="CB124" s="917"/>
      <c r="CC124" s="928"/>
      <c r="CD124" s="928"/>
      <c r="CE124" s="928"/>
      <c r="CF124" s="929">
        <f t="shared" si="126"/>
        <v>85446.399999999994</v>
      </c>
      <c r="CG124" s="928"/>
      <c r="CH124" s="928"/>
      <c r="CI124" s="928"/>
      <c r="CJ124" s="925"/>
      <c r="CK124" s="925"/>
      <c r="CL124" s="925"/>
      <c r="CM124" s="925"/>
      <c r="CN124" s="925"/>
      <c r="CO124" s="925"/>
      <c r="CP124" s="925"/>
      <c r="CQ124" s="925"/>
      <c r="CR124" s="925"/>
      <c r="CS124" s="917"/>
      <c r="CT124" s="928"/>
      <c r="CU124" s="928"/>
      <c r="CV124" s="928"/>
      <c r="CX124" s="925"/>
      <c r="CY124" s="925"/>
      <c r="CZ124" s="925"/>
      <c r="DB124" s="925"/>
      <c r="DC124" s="925"/>
      <c r="DD124" s="925"/>
      <c r="DE124" s="925"/>
      <c r="DF124" s="925"/>
      <c r="DG124" s="925"/>
      <c r="DH124" s="925"/>
      <c r="DI124" s="925"/>
      <c r="DJ124" s="925"/>
      <c r="DK124" s="925"/>
      <c r="DL124" s="925"/>
      <c r="DM124" s="925"/>
      <c r="DN124" s="925"/>
      <c r="DO124" s="925"/>
      <c r="DP124" s="925"/>
      <c r="DQ124" s="924"/>
      <c r="DR124" s="925"/>
      <c r="DS124" s="925"/>
      <c r="DT124" s="925"/>
      <c r="DV124" s="925"/>
      <c r="DW124" s="925"/>
      <c r="DX124" s="925"/>
      <c r="DY124" s="925"/>
      <c r="DZ124" s="925"/>
      <c r="EA124" s="925"/>
      <c r="EB124" s="925"/>
      <c r="EC124" s="925"/>
      <c r="ED124" s="925"/>
      <c r="EE124" s="925"/>
      <c r="EF124" s="925"/>
      <c r="EG124" s="925"/>
      <c r="EH124" s="925"/>
      <c r="EI124" s="925"/>
      <c r="EJ124" s="925"/>
      <c r="EK124" s="925"/>
      <c r="EL124" s="925"/>
      <c r="EM124" s="925"/>
      <c r="EN124" s="925"/>
      <c r="EO124" s="925"/>
      <c r="EP124" s="925"/>
      <c r="EQ124" s="925"/>
      <c r="ER124" s="925"/>
      <c r="ES124" s="925"/>
      <c r="ET124" s="925"/>
      <c r="EV124" s="924"/>
      <c r="EW124" s="925"/>
      <c r="EX124" s="925"/>
      <c r="EY124" s="925"/>
    </row>
    <row r="125" spans="1:155" s="927" customFormat="1" ht="15.75" x14ac:dyDescent="0.25">
      <c r="A125" s="912" t="s">
        <v>61</v>
      </c>
      <c r="B125" s="913" t="s">
        <v>399</v>
      </c>
      <c r="C125" s="914">
        <v>0.5</v>
      </c>
      <c r="D125" s="914">
        <v>6707</v>
      </c>
      <c r="E125" s="915">
        <v>1.0549999999999999</v>
      </c>
      <c r="F125" s="916">
        <f t="shared" si="77"/>
        <v>7076</v>
      </c>
      <c r="G125" s="915">
        <v>1.01</v>
      </c>
      <c r="H125" s="916">
        <f t="shared" si="78"/>
        <v>7147</v>
      </c>
      <c r="I125" s="917">
        <f t="shared" si="79"/>
        <v>3573.5</v>
      </c>
      <c r="J125" s="918">
        <f t="shared" si="80"/>
        <v>0</v>
      </c>
      <c r="K125" s="919"/>
      <c r="L125" s="917">
        <f t="shared" si="81"/>
        <v>0</v>
      </c>
      <c r="M125" s="918">
        <f t="shared" si="82"/>
        <v>0</v>
      </c>
      <c r="N125" s="919"/>
      <c r="O125" s="917">
        <f t="shared" si="83"/>
        <v>0</v>
      </c>
      <c r="P125" s="918">
        <f t="shared" si="84"/>
        <v>0</v>
      </c>
      <c r="Q125" s="919"/>
      <c r="R125" s="917">
        <f t="shared" si="85"/>
        <v>0</v>
      </c>
      <c r="S125" s="918">
        <f t="shared" si="86"/>
        <v>0</v>
      </c>
      <c r="T125" s="919"/>
      <c r="U125" s="917">
        <f t="shared" si="87"/>
        <v>0</v>
      </c>
      <c r="V125" s="918">
        <f t="shared" si="88"/>
        <v>0</v>
      </c>
      <c r="W125" s="919"/>
      <c r="X125" s="917">
        <f t="shared" si="89"/>
        <v>0</v>
      </c>
      <c r="Y125" s="918">
        <f t="shared" si="90"/>
        <v>1.99</v>
      </c>
      <c r="Z125" s="919">
        <v>6673.47</v>
      </c>
      <c r="AA125" s="917">
        <f t="shared" si="91"/>
        <v>7111.27</v>
      </c>
      <c r="AB125" s="918">
        <f t="shared" si="92"/>
        <v>0.2</v>
      </c>
      <c r="AC125" s="919">
        <v>670.7</v>
      </c>
      <c r="AD125" s="917">
        <f t="shared" si="93"/>
        <v>714.7</v>
      </c>
      <c r="AE125" s="918">
        <f t="shared" si="94"/>
        <v>0</v>
      </c>
      <c r="AF125" s="919"/>
      <c r="AG125" s="917">
        <f t="shared" si="95"/>
        <v>0</v>
      </c>
      <c r="AH125" s="918">
        <f t="shared" si="96"/>
        <v>0</v>
      </c>
      <c r="AI125" s="919"/>
      <c r="AJ125" s="917">
        <f t="shared" si="97"/>
        <v>0</v>
      </c>
      <c r="AK125" s="918">
        <f t="shared" si="98"/>
        <v>0</v>
      </c>
      <c r="AL125" s="919"/>
      <c r="AM125" s="917">
        <f t="shared" si="99"/>
        <v>0</v>
      </c>
      <c r="AN125" s="920">
        <v>19242</v>
      </c>
      <c r="AO125" s="917">
        <f t="shared" si="100"/>
        <v>0</v>
      </c>
      <c r="AP125" s="920"/>
      <c r="AQ125" s="916">
        <f t="shared" si="101"/>
        <v>0</v>
      </c>
      <c r="AR125" s="917">
        <f t="shared" si="102"/>
        <v>11399.47</v>
      </c>
      <c r="AS125" s="916">
        <v>12</v>
      </c>
      <c r="AT125" s="921">
        <f t="shared" si="103"/>
        <v>136793.64000000001</v>
      </c>
      <c r="AU125" s="920"/>
      <c r="AV125" s="922">
        <f t="shared" si="104"/>
        <v>1367.94</v>
      </c>
      <c r="AW125" s="921">
        <f t="shared" si="105"/>
        <v>138161.57999999999</v>
      </c>
      <c r="AX125" s="921">
        <f t="shared" si="106"/>
        <v>41724.800000000003</v>
      </c>
      <c r="AY125" s="921">
        <f t="shared" si="107"/>
        <v>179886.38</v>
      </c>
      <c r="AZ125" s="923">
        <f t="shared" si="108"/>
        <v>138.19999999999999</v>
      </c>
      <c r="BA125" s="923">
        <f t="shared" si="109"/>
        <v>41.7</v>
      </c>
      <c r="BB125" s="923">
        <f t="shared" si="110"/>
        <v>179.9</v>
      </c>
      <c r="BC125" s="915">
        <v>0.95</v>
      </c>
      <c r="BD125" s="923">
        <f t="shared" si="111"/>
        <v>131.30000000000001</v>
      </c>
      <c r="BE125" s="923">
        <f t="shared" si="112"/>
        <v>39.700000000000003</v>
      </c>
      <c r="BF125" s="923">
        <f t="shared" si="113"/>
        <v>171</v>
      </c>
      <c r="BG125" s="924">
        <f>'[3]свод (2024)'!$B$116</f>
        <v>0.99758349999999996</v>
      </c>
      <c r="BH125" s="923">
        <f t="shared" si="114"/>
        <v>131</v>
      </c>
      <c r="BI125" s="923">
        <f t="shared" si="115"/>
        <v>39.6</v>
      </c>
      <c r="BJ125" s="923">
        <f t="shared" si="116"/>
        <v>170.6</v>
      </c>
      <c r="BK125" s="925">
        <f t="shared" si="117"/>
        <v>-7.2</v>
      </c>
      <c r="BL125" s="925">
        <f t="shared" si="117"/>
        <v>-2.1</v>
      </c>
      <c r="BM125" s="925">
        <f t="shared" si="118"/>
        <v>-9.3000000000000007</v>
      </c>
      <c r="BN125" s="925">
        <f t="shared" si="119"/>
        <v>0</v>
      </c>
      <c r="BO125" s="925">
        <f t="shared" si="120"/>
        <v>0</v>
      </c>
      <c r="BP125" s="926"/>
      <c r="BQ125" s="925">
        <f t="shared" si="121"/>
        <v>131</v>
      </c>
      <c r="BR125" s="925">
        <f t="shared" si="121"/>
        <v>39.6</v>
      </c>
      <c r="BS125" s="925">
        <f t="shared" si="122"/>
        <v>170.6</v>
      </c>
      <c r="BU125" s="928"/>
      <c r="BV125" s="917"/>
      <c r="BW125" s="928"/>
      <c r="BX125" s="928"/>
      <c r="BY125" s="928"/>
      <c r="BZ125" s="917"/>
      <c r="CA125" s="928"/>
      <c r="CB125" s="917"/>
      <c r="CC125" s="928"/>
      <c r="CD125" s="928"/>
      <c r="CE125" s="928"/>
      <c r="CF125" s="929"/>
      <c r="CG125" s="928"/>
      <c r="CH125" s="928"/>
      <c r="CI125" s="928"/>
      <c r="CJ125" s="925"/>
      <c r="CK125" s="925"/>
      <c r="CL125" s="925"/>
      <c r="CM125" s="925"/>
      <c r="CN125" s="925"/>
      <c r="CO125" s="925"/>
      <c r="CP125" s="925"/>
      <c r="CQ125" s="925"/>
      <c r="CR125" s="925"/>
      <c r="CS125" s="917"/>
      <c r="CT125" s="928"/>
      <c r="CU125" s="928"/>
      <c r="CV125" s="928"/>
      <c r="CX125" s="925"/>
      <c r="CY125" s="925"/>
      <c r="CZ125" s="925"/>
      <c r="DB125" s="925"/>
      <c r="DC125" s="925"/>
      <c r="DD125" s="925"/>
      <c r="DE125" s="925"/>
      <c r="DF125" s="925"/>
      <c r="DG125" s="925"/>
      <c r="DH125" s="925"/>
      <c r="DI125" s="925"/>
      <c r="DJ125" s="925"/>
      <c r="DK125" s="925"/>
      <c r="DL125" s="925"/>
      <c r="DM125" s="925"/>
      <c r="DN125" s="925"/>
      <c r="DO125" s="925"/>
      <c r="DP125" s="925"/>
      <c r="DQ125" s="924"/>
      <c r="DR125" s="925"/>
      <c r="DS125" s="925"/>
      <c r="DT125" s="925"/>
      <c r="DV125" s="925"/>
      <c r="DW125" s="925"/>
      <c r="DX125" s="925"/>
      <c r="DY125" s="925"/>
      <c r="DZ125" s="925"/>
      <c r="EA125" s="925"/>
      <c r="EB125" s="925"/>
      <c r="EC125" s="925"/>
      <c r="ED125" s="925"/>
      <c r="EE125" s="925"/>
      <c r="EF125" s="925"/>
      <c r="EG125" s="925"/>
      <c r="EH125" s="925"/>
      <c r="EI125" s="925"/>
      <c r="EJ125" s="925"/>
      <c r="EK125" s="925"/>
      <c r="EL125" s="925"/>
      <c r="EM125" s="925"/>
      <c r="EN125" s="925"/>
      <c r="EO125" s="925"/>
      <c r="EP125" s="925"/>
      <c r="EQ125" s="925"/>
      <c r="ER125" s="925"/>
      <c r="ES125" s="925"/>
      <c r="ET125" s="925"/>
      <c r="EV125" s="924"/>
      <c r="EW125" s="925"/>
      <c r="EX125" s="925"/>
      <c r="EY125" s="925"/>
    </row>
    <row r="126" spans="1:155" s="927" customFormat="1" ht="15.75" x14ac:dyDescent="0.25">
      <c r="A126" s="912" t="s">
        <v>61</v>
      </c>
      <c r="B126" s="913" t="s">
        <v>1388</v>
      </c>
      <c r="C126" s="914">
        <v>0.5</v>
      </c>
      <c r="D126" s="914">
        <v>6707</v>
      </c>
      <c r="E126" s="915">
        <v>1.0549999999999999</v>
      </c>
      <c r="F126" s="916">
        <f t="shared" si="77"/>
        <v>7076</v>
      </c>
      <c r="G126" s="915">
        <v>1.01</v>
      </c>
      <c r="H126" s="916">
        <f t="shared" si="78"/>
        <v>7147</v>
      </c>
      <c r="I126" s="917">
        <f t="shared" si="79"/>
        <v>3573.5</v>
      </c>
      <c r="J126" s="918">
        <f t="shared" si="80"/>
        <v>0</v>
      </c>
      <c r="K126" s="919"/>
      <c r="L126" s="917">
        <f t="shared" si="81"/>
        <v>0</v>
      </c>
      <c r="M126" s="918">
        <f t="shared" si="82"/>
        <v>0</v>
      </c>
      <c r="N126" s="919"/>
      <c r="O126" s="917">
        <f t="shared" si="83"/>
        <v>0</v>
      </c>
      <c r="P126" s="918">
        <f t="shared" si="84"/>
        <v>0</v>
      </c>
      <c r="Q126" s="919"/>
      <c r="R126" s="917">
        <f t="shared" si="85"/>
        <v>0</v>
      </c>
      <c r="S126" s="918">
        <f t="shared" si="86"/>
        <v>0</v>
      </c>
      <c r="T126" s="919"/>
      <c r="U126" s="917">
        <f t="shared" si="87"/>
        <v>0</v>
      </c>
      <c r="V126" s="918">
        <f t="shared" si="88"/>
        <v>0</v>
      </c>
      <c r="W126" s="919"/>
      <c r="X126" s="917">
        <f t="shared" si="89"/>
        <v>0</v>
      </c>
      <c r="Y126" s="918">
        <f t="shared" si="90"/>
        <v>1.99</v>
      </c>
      <c r="Z126" s="919">
        <v>6673.47</v>
      </c>
      <c r="AA126" s="917">
        <f t="shared" si="91"/>
        <v>7111.27</v>
      </c>
      <c r="AB126" s="918">
        <f t="shared" si="92"/>
        <v>0.3</v>
      </c>
      <c r="AC126" s="919">
        <v>1006.05</v>
      </c>
      <c r="AD126" s="917">
        <f t="shared" si="93"/>
        <v>1072.05</v>
      </c>
      <c r="AE126" s="918">
        <f t="shared" si="94"/>
        <v>0</v>
      </c>
      <c r="AF126" s="919"/>
      <c r="AG126" s="917">
        <f t="shared" si="95"/>
        <v>0</v>
      </c>
      <c r="AH126" s="918">
        <f t="shared" si="96"/>
        <v>0</v>
      </c>
      <c r="AI126" s="919"/>
      <c r="AJ126" s="917">
        <f t="shared" si="97"/>
        <v>0</v>
      </c>
      <c r="AK126" s="918">
        <f t="shared" si="98"/>
        <v>0</v>
      </c>
      <c r="AL126" s="919"/>
      <c r="AM126" s="917">
        <f t="shared" si="99"/>
        <v>0</v>
      </c>
      <c r="AN126" s="920">
        <v>19242</v>
      </c>
      <c r="AO126" s="917">
        <f t="shared" si="100"/>
        <v>0</v>
      </c>
      <c r="AP126" s="920"/>
      <c r="AQ126" s="916">
        <f t="shared" si="101"/>
        <v>0</v>
      </c>
      <c r="AR126" s="917">
        <f t="shared" si="102"/>
        <v>11756.82</v>
      </c>
      <c r="AS126" s="916">
        <v>12</v>
      </c>
      <c r="AT126" s="921">
        <f t="shared" si="103"/>
        <v>141081.84</v>
      </c>
      <c r="AU126" s="920"/>
      <c r="AV126" s="922">
        <f t="shared" si="104"/>
        <v>1410.82</v>
      </c>
      <c r="AW126" s="921">
        <f t="shared" si="105"/>
        <v>142492.66</v>
      </c>
      <c r="AX126" s="921">
        <f t="shared" si="106"/>
        <v>43032.78</v>
      </c>
      <c r="AY126" s="921">
        <f t="shared" si="107"/>
        <v>185525.44</v>
      </c>
      <c r="AZ126" s="923">
        <f t="shared" si="108"/>
        <v>142.5</v>
      </c>
      <c r="BA126" s="923">
        <f t="shared" si="109"/>
        <v>43</v>
      </c>
      <c r="BB126" s="923">
        <f t="shared" si="110"/>
        <v>185.5</v>
      </c>
      <c r="BC126" s="915">
        <v>0.95</v>
      </c>
      <c r="BD126" s="923">
        <f t="shared" si="111"/>
        <v>135.4</v>
      </c>
      <c r="BE126" s="923">
        <f t="shared" si="112"/>
        <v>40.9</v>
      </c>
      <c r="BF126" s="923">
        <f t="shared" si="113"/>
        <v>176.3</v>
      </c>
      <c r="BG126" s="924">
        <f>'[3]свод (2024)'!$B$116</f>
        <v>0.99758349999999996</v>
      </c>
      <c r="BH126" s="923">
        <f t="shared" si="114"/>
        <v>135.1</v>
      </c>
      <c r="BI126" s="923">
        <f t="shared" si="115"/>
        <v>40.799999999999997</v>
      </c>
      <c r="BJ126" s="923">
        <f t="shared" si="116"/>
        <v>175.9</v>
      </c>
      <c r="BK126" s="925">
        <f t="shared" si="117"/>
        <v>-7.4</v>
      </c>
      <c r="BL126" s="925">
        <f t="shared" si="117"/>
        <v>-2.2000000000000002</v>
      </c>
      <c r="BM126" s="925">
        <f t="shared" si="118"/>
        <v>-9.6</v>
      </c>
      <c r="BN126" s="925">
        <f t="shared" si="119"/>
        <v>0</v>
      </c>
      <c r="BO126" s="925">
        <f t="shared" si="120"/>
        <v>0</v>
      </c>
      <c r="BP126" s="926"/>
      <c r="BQ126" s="925">
        <f t="shared" si="121"/>
        <v>135.1</v>
      </c>
      <c r="BR126" s="925">
        <f t="shared" si="121"/>
        <v>40.799999999999997</v>
      </c>
      <c r="BS126" s="925">
        <f t="shared" si="122"/>
        <v>175.9</v>
      </c>
      <c r="BU126" s="928"/>
      <c r="BV126" s="917"/>
      <c r="BW126" s="928"/>
      <c r="BX126" s="928"/>
      <c r="BY126" s="928"/>
      <c r="BZ126" s="917"/>
      <c r="CA126" s="928"/>
      <c r="CB126" s="917"/>
      <c r="CC126" s="928"/>
      <c r="CD126" s="928"/>
      <c r="CE126" s="928"/>
      <c r="CF126" s="929"/>
      <c r="CG126" s="928"/>
      <c r="CH126" s="928"/>
      <c r="CI126" s="928"/>
      <c r="CJ126" s="925"/>
      <c r="CK126" s="925"/>
      <c r="CL126" s="925"/>
      <c r="CM126" s="925"/>
      <c r="CN126" s="925"/>
      <c r="CO126" s="925"/>
      <c r="CP126" s="925"/>
      <c r="CQ126" s="925"/>
      <c r="CR126" s="925"/>
      <c r="CS126" s="917"/>
      <c r="CT126" s="928"/>
      <c r="CU126" s="928"/>
      <c r="CV126" s="928"/>
      <c r="CX126" s="925"/>
      <c r="CY126" s="925"/>
      <c r="CZ126" s="925"/>
      <c r="DB126" s="925"/>
      <c r="DC126" s="925"/>
      <c r="DD126" s="925"/>
      <c r="DE126" s="925"/>
      <c r="DF126" s="925"/>
      <c r="DG126" s="925"/>
      <c r="DH126" s="925"/>
      <c r="DI126" s="925"/>
      <c r="DJ126" s="925"/>
      <c r="DK126" s="925"/>
      <c r="DL126" s="925"/>
      <c r="DM126" s="925"/>
      <c r="DN126" s="925"/>
      <c r="DO126" s="925"/>
      <c r="DP126" s="925"/>
      <c r="DQ126" s="924"/>
      <c r="DR126" s="925"/>
      <c r="DS126" s="925"/>
      <c r="DT126" s="925"/>
      <c r="DV126" s="925"/>
      <c r="DW126" s="925"/>
      <c r="DX126" s="925"/>
      <c r="DY126" s="925"/>
      <c r="DZ126" s="925"/>
      <c r="EA126" s="925"/>
      <c r="EB126" s="925"/>
      <c r="EC126" s="925"/>
      <c r="ED126" s="925"/>
      <c r="EE126" s="925"/>
      <c r="EF126" s="925"/>
      <c r="EG126" s="925"/>
      <c r="EH126" s="925"/>
      <c r="EI126" s="925"/>
      <c r="EJ126" s="925"/>
      <c r="EK126" s="925"/>
      <c r="EL126" s="925"/>
      <c r="EM126" s="925"/>
      <c r="EN126" s="925"/>
      <c r="EO126" s="925"/>
      <c r="EP126" s="925"/>
      <c r="EQ126" s="925"/>
      <c r="ER126" s="925"/>
      <c r="ES126" s="925"/>
      <c r="ET126" s="925"/>
      <c r="EV126" s="924"/>
      <c r="EW126" s="925"/>
      <c r="EX126" s="925"/>
      <c r="EY126" s="925"/>
    </row>
    <row r="127" spans="1:155" s="927" customFormat="1" ht="15.75" x14ac:dyDescent="0.25">
      <c r="A127" s="912" t="s">
        <v>61</v>
      </c>
      <c r="B127" s="913" t="s">
        <v>1403</v>
      </c>
      <c r="C127" s="914">
        <v>7</v>
      </c>
      <c r="D127" s="914">
        <v>4336</v>
      </c>
      <c r="E127" s="915">
        <v>1.0549999999999999</v>
      </c>
      <c r="F127" s="916">
        <f t="shared" si="77"/>
        <v>4575</v>
      </c>
      <c r="G127" s="915">
        <v>1.01</v>
      </c>
      <c r="H127" s="916">
        <f t="shared" si="78"/>
        <v>4621</v>
      </c>
      <c r="I127" s="917">
        <f t="shared" si="79"/>
        <v>32347</v>
      </c>
      <c r="J127" s="918">
        <f t="shared" si="80"/>
        <v>0</v>
      </c>
      <c r="K127" s="919"/>
      <c r="L127" s="917">
        <f t="shared" si="81"/>
        <v>0</v>
      </c>
      <c r="M127" s="918">
        <f t="shared" si="82"/>
        <v>0</v>
      </c>
      <c r="N127" s="919"/>
      <c r="O127" s="917">
        <f t="shared" si="83"/>
        <v>0</v>
      </c>
      <c r="P127" s="918">
        <f t="shared" si="84"/>
        <v>0</v>
      </c>
      <c r="Q127" s="919"/>
      <c r="R127" s="917">
        <f t="shared" si="85"/>
        <v>0</v>
      </c>
      <c r="S127" s="918">
        <f t="shared" si="86"/>
        <v>0</v>
      </c>
      <c r="T127" s="919"/>
      <c r="U127" s="917">
        <f t="shared" si="87"/>
        <v>0</v>
      </c>
      <c r="V127" s="918">
        <f t="shared" si="88"/>
        <v>0</v>
      </c>
      <c r="W127" s="919"/>
      <c r="X127" s="917">
        <f t="shared" si="89"/>
        <v>0</v>
      </c>
      <c r="Y127" s="918">
        <f t="shared" si="90"/>
        <v>0</v>
      </c>
      <c r="Z127" s="919"/>
      <c r="AA127" s="917">
        <f t="shared" si="91"/>
        <v>0</v>
      </c>
      <c r="AB127" s="918">
        <f t="shared" si="92"/>
        <v>0</v>
      </c>
      <c r="AC127" s="919"/>
      <c r="AD127" s="917">
        <f t="shared" si="93"/>
        <v>0</v>
      </c>
      <c r="AE127" s="918">
        <f t="shared" si="94"/>
        <v>0</v>
      </c>
      <c r="AF127" s="919"/>
      <c r="AG127" s="917">
        <f t="shared" si="95"/>
        <v>0</v>
      </c>
      <c r="AH127" s="918">
        <f t="shared" si="96"/>
        <v>0</v>
      </c>
      <c r="AI127" s="919"/>
      <c r="AJ127" s="917">
        <f t="shared" si="97"/>
        <v>0</v>
      </c>
      <c r="AK127" s="918">
        <f t="shared" si="98"/>
        <v>0</v>
      </c>
      <c r="AL127" s="919"/>
      <c r="AM127" s="917">
        <f t="shared" si="99"/>
        <v>0</v>
      </c>
      <c r="AN127" s="920">
        <v>19242</v>
      </c>
      <c r="AO127" s="917">
        <f t="shared" si="100"/>
        <v>102347</v>
      </c>
      <c r="AP127" s="920">
        <v>1060.29</v>
      </c>
      <c r="AQ127" s="916">
        <f t="shared" si="101"/>
        <v>7422.03</v>
      </c>
      <c r="AR127" s="917">
        <f t="shared" si="102"/>
        <v>142116.03</v>
      </c>
      <c r="AS127" s="916">
        <v>12</v>
      </c>
      <c r="AT127" s="921">
        <f t="shared" si="103"/>
        <v>1705392.36</v>
      </c>
      <c r="AU127" s="920">
        <f>AT127*0.085</f>
        <v>144958.35</v>
      </c>
      <c r="AV127" s="922">
        <f t="shared" si="104"/>
        <v>17053.919999999998</v>
      </c>
      <c r="AW127" s="921">
        <f t="shared" si="105"/>
        <v>1867404.63</v>
      </c>
      <c r="AX127" s="921">
        <f t="shared" si="106"/>
        <v>563956.19999999995</v>
      </c>
      <c r="AY127" s="921">
        <f t="shared" si="107"/>
        <v>2431360.83</v>
      </c>
      <c r="AZ127" s="923">
        <f t="shared" si="108"/>
        <v>1867.4</v>
      </c>
      <c r="BA127" s="923">
        <f t="shared" si="109"/>
        <v>564</v>
      </c>
      <c r="BB127" s="923">
        <f t="shared" si="110"/>
        <v>2431.4</v>
      </c>
      <c r="BC127" s="915">
        <v>0.95</v>
      </c>
      <c r="BD127" s="923">
        <f t="shared" si="111"/>
        <v>1774</v>
      </c>
      <c r="BE127" s="923">
        <f t="shared" si="112"/>
        <v>535.70000000000005</v>
      </c>
      <c r="BF127" s="923">
        <f t="shared" si="113"/>
        <v>2309.6999999999998</v>
      </c>
      <c r="BG127" s="924">
        <f>'[3]свод (2024)'!$B$116</f>
        <v>0.99758349999999996</v>
      </c>
      <c r="BH127" s="923">
        <f t="shared" si="114"/>
        <v>1769.7</v>
      </c>
      <c r="BI127" s="923">
        <f t="shared" si="115"/>
        <v>534.4</v>
      </c>
      <c r="BJ127" s="923">
        <f t="shared" si="116"/>
        <v>2304.1</v>
      </c>
      <c r="BK127" s="925">
        <f t="shared" si="117"/>
        <v>-97.7</v>
      </c>
      <c r="BL127" s="925">
        <f t="shared" si="117"/>
        <v>-29.6</v>
      </c>
      <c r="BM127" s="925">
        <f t="shared" si="118"/>
        <v>-127.3</v>
      </c>
      <c r="BN127" s="925">
        <f t="shared" si="119"/>
        <v>0</v>
      </c>
      <c r="BO127" s="925">
        <f t="shared" si="120"/>
        <v>0</v>
      </c>
      <c r="BP127" s="926"/>
      <c r="BQ127" s="925">
        <f t="shared" si="121"/>
        <v>1769.7</v>
      </c>
      <c r="BR127" s="925">
        <f t="shared" si="121"/>
        <v>534.4</v>
      </c>
      <c r="BS127" s="925">
        <f t="shared" si="122"/>
        <v>2304.1</v>
      </c>
      <c r="BU127" s="928"/>
      <c r="BV127" s="917"/>
      <c r="BW127" s="928"/>
      <c r="BX127" s="928"/>
      <c r="BY127" s="928"/>
      <c r="BZ127" s="917"/>
      <c r="CA127" s="928"/>
      <c r="CB127" s="917"/>
      <c r="CC127" s="928"/>
      <c r="CD127" s="928"/>
      <c r="CE127" s="928"/>
      <c r="CF127" s="929"/>
      <c r="CG127" s="928"/>
      <c r="CH127" s="928"/>
      <c r="CI127" s="928"/>
      <c r="CJ127" s="925"/>
      <c r="CK127" s="925"/>
      <c r="CL127" s="925"/>
      <c r="CM127" s="925"/>
      <c r="CN127" s="925"/>
      <c r="CO127" s="925"/>
      <c r="CP127" s="925"/>
      <c r="CQ127" s="925"/>
      <c r="CR127" s="925"/>
      <c r="CS127" s="917"/>
      <c r="CT127" s="928"/>
      <c r="CU127" s="928"/>
      <c r="CV127" s="928"/>
      <c r="CX127" s="925"/>
      <c r="CY127" s="925"/>
      <c r="CZ127" s="925"/>
      <c r="DB127" s="925"/>
      <c r="DC127" s="925"/>
      <c r="DD127" s="925"/>
      <c r="DE127" s="925"/>
      <c r="DF127" s="925"/>
      <c r="DG127" s="925"/>
      <c r="DH127" s="925"/>
      <c r="DI127" s="925"/>
      <c r="DJ127" s="925"/>
      <c r="DK127" s="925"/>
      <c r="DL127" s="925"/>
      <c r="DM127" s="925"/>
      <c r="DN127" s="925"/>
      <c r="DO127" s="925"/>
      <c r="DP127" s="925"/>
      <c r="DQ127" s="924"/>
      <c r="DR127" s="925"/>
      <c r="DS127" s="925"/>
      <c r="DT127" s="925"/>
      <c r="DV127" s="925"/>
      <c r="DW127" s="925"/>
      <c r="DX127" s="925"/>
      <c r="DY127" s="925"/>
      <c r="DZ127" s="925"/>
      <c r="EA127" s="925"/>
      <c r="EB127" s="925"/>
      <c r="EC127" s="925"/>
      <c r="ED127" s="925"/>
      <c r="EE127" s="925"/>
      <c r="EF127" s="925"/>
      <c r="EG127" s="925"/>
      <c r="EH127" s="925"/>
      <c r="EI127" s="925"/>
      <c r="EJ127" s="925"/>
      <c r="EK127" s="925"/>
      <c r="EL127" s="925"/>
      <c r="EM127" s="925"/>
      <c r="EN127" s="925"/>
      <c r="EO127" s="925"/>
      <c r="EP127" s="925"/>
      <c r="EQ127" s="925"/>
      <c r="ER127" s="925"/>
      <c r="ES127" s="925"/>
      <c r="ET127" s="925"/>
      <c r="EV127" s="924"/>
      <c r="EW127" s="925"/>
      <c r="EX127" s="925"/>
      <c r="EY127" s="925"/>
    </row>
    <row r="128" spans="1:155" s="927" customFormat="1" ht="15.75" x14ac:dyDescent="0.25">
      <c r="A128" s="912" t="s">
        <v>61</v>
      </c>
      <c r="B128" s="913" t="s">
        <v>1404</v>
      </c>
      <c r="C128" s="914">
        <v>1</v>
      </c>
      <c r="D128" s="914">
        <v>6404</v>
      </c>
      <c r="E128" s="915">
        <v>1.0549999999999999</v>
      </c>
      <c r="F128" s="916">
        <f t="shared" si="77"/>
        <v>6757</v>
      </c>
      <c r="G128" s="915">
        <v>1.01</v>
      </c>
      <c r="H128" s="916">
        <f t="shared" si="78"/>
        <v>6825</v>
      </c>
      <c r="I128" s="917">
        <f t="shared" si="79"/>
        <v>6825</v>
      </c>
      <c r="J128" s="918">
        <f t="shared" si="80"/>
        <v>0</v>
      </c>
      <c r="K128" s="919"/>
      <c r="L128" s="917">
        <f t="shared" si="81"/>
        <v>0</v>
      </c>
      <c r="M128" s="918">
        <f t="shared" si="82"/>
        <v>0.04</v>
      </c>
      <c r="N128" s="919">
        <v>256.16000000000003</v>
      </c>
      <c r="O128" s="917">
        <f t="shared" si="83"/>
        <v>273</v>
      </c>
      <c r="P128" s="918">
        <f t="shared" si="84"/>
        <v>0</v>
      </c>
      <c r="Q128" s="919"/>
      <c r="R128" s="917">
        <f t="shared" si="85"/>
        <v>0</v>
      </c>
      <c r="S128" s="918">
        <f t="shared" si="86"/>
        <v>0</v>
      </c>
      <c r="T128" s="919"/>
      <c r="U128" s="917">
        <f t="shared" si="87"/>
        <v>0</v>
      </c>
      <c r="V128" s="918">
        <f t="shared" si="88"/>
        <v>0</v>
      </c>
      <c r="W128" s="919"/>
      <c r="X128" s="917">
        <f t="shared" si="89"/>
        <v>0</v>
      </c>
      <c r="Y128" s="918">
        <f t="shared" si="90"/>
        <v>1.99</v>
      </c>
      <c r="Z128" s="919">
        <v>12743.96</v>
      </c>
      <c r="AA128" s="917">
        <f t="shared" si="91"/>
        <v>13581.75</v>
      </c>
      <c r="AB128" s="918">
        <f t="shared" si="92"/>
        <v>0.3</v>
      </c>
      <c r="AC128" s="919">
        <v>1921.2</v>
      </c>
      <c r="AD128" s="917">
        <f t="shared" si="93"/>
        <v>2047.5</v>
      </c>
      <c r="AE128" s="918">
        <f t="shared" si="94"/>
        <v>0</v>
      </c>
      <c r="AF128" s="919"/>
      <c r="AG128" s="917">
        <f t="shared" si="95"/>
        <v>0</v>
      </c>
      <c r="AH128" s="918">
        <f t="shared" si="96"/>
        <v>0</v>
      </c>
      <c r="AI128" s="919"/>
      <c r="AJ128" s="917">
        <f t="shared" si="97"/>
        <v>0</v>
      </c>
      <c r="AK128" s="918">
        <f t="shared" si="98"/>
        <v>0</v>
      </c>
      <c r="AL128" s="919"/>
      <c r="AM128" s="917">
        <f t="shared" si="99"/>
        <v>0</v>
      </c>
      <c r="AN128" s="920">
        <v>19242</v>
      </c>
      <c r="AO128" s="917">
        <f t="shared" si="100"/>
        <v>0</v>
      </c>
      <c r="AP128" s="920"/>
      <c r="AQ128" s="916">
        <f t="shared" si="101"/>
        <v>0</v>
      </c>
      <c r="AR128" s="917">
        <f t="shared" si="102"/>
        <v>22727.25</v>
      </c>
      <c r="AS128" s="916">
        <v>12</v>
      </c>
      <c r="AT128" s="921">
        <f t="shared" si="103"/>
        <v>272727</v>
      </c>
      <c r="AU128" s="920"/>
      <c r="AV128" s="922">
        <f t="shared" si="104"/>
        <v>2727.27</v>
      </c>
      <c r="AW128" s="921">
        <f t="shared" si="105"/>
        <v>275454.27</v>
      </c>
      <c r="AX128" s="921">
        <f t="shared" si="106"/>
        <v>83187.19</v>
      </c>
      <c r="AY128" s="921">
        <f t="shared" si="107"/>
        <v>358641.46</v>
      </c>
      <c r="AZ128" s="923">
        <f t="shared" si="108"/>
        <v>275.5</v>
      </c>
      <c r="BA128" s="923">
        <f t="shared" si="109"/>
        <v>83.2</v>
      </c>
      <c r="BB128" s="923">
        <f t="shared" si="110"/>
        <v>358.7</v>
      </c>
      <c r="BC128" s="915">
        <v>0.95</v>
      </c>
      <c r="BD128" s="923">
        <f t="shared" si="111"/>
        <v>261.7</v>
      </c>
      <c r="BE128" s="923">
        <f t="shared" si="112"/>
        <v>79</v>
      </c>
      <c r="BF128" s="923">
        <f t="shared" si="113"/>
        <v>340.7</v>
      </c>
      <c r="BG128" s="924">
        <f>'[3]свод (2024)'!$B$116</f>
        <v>0.99758349999999996</v>
      </c>
      <c r="BH128" s="923">
        <f t="shared" si="114"/>
        <v>261.10000000000002</v>
      </c>
      <c r="BI128" s="923">
        <f t="shared" si="115"/>
        <v>78.900000000000006</v>
      </c>
      <c r="BJ128" s="923">
        <f t="shared" si="116"/>
        <v>340</v>
      </c>
      <c r="BK128" s="925">
        <f t="shared" si="117"/>
        <v>-14.4</v>
      </c>
      <c r="BL128" s="925">
        <f t="shared" si="117"/>
        <v>-4.3</v>
      </c>
      <c r="BM128" s="925">
        <f t="shared" si="118"/>
        <v>-18.7</v>
      </c>
      <c r="BN128" s="925">
        <f t="shared" si="119"/>
        <v>0</v>
      </c>
      <c r="BO128" s="925">
        <f t="shared" si="120"/>
        <v>0</v>
      </c>
      <c r="BP128" s="926"/>
      <c r="BQ128" s="925">
        <f t="shared" si="121"/>
        <v>261.10000000000002</v>
      </c>
      <c r="BR128" s="925">
        <f t="shared" si="121"/>
        <v>78.900000000000006</v>
      </c>
      <c r="BS128" s="925">
        <f t="shared" si="122"/>
        <v>340</v>
      </c>
      <c r="BU128" s="928"/>
      <c r="BV128" s="917"/>
      <c r="BW128" s="928"/>
      <c r="BX128" s="928"/>
      <c r="BY128" s="928"/>
      <c r="BZ128" s="917"/>
      <c r="CA128" s="928"/>
      <c r="CB128" s="917"/>
      <c r="CC128" s="928"/>
      <c r="CD128" s="928"/>
      <c r="CE128" s="928"/>
      <c r="CF128" s="929"/>
      <c r="CG128" s="928"/>
      <c r="CH128" s="928"/>
      <c r="CI128" s="928"/>
      <c r="CJ128" s="925"/>
      <c r="CK128" s="925"/>
      <c r="CL128" s="925"/>
      <c r="CM128" s="925"/>
      <c r="CN128" s="925"/>
      <c r="CO128" s="925"/>
      <c r="CP128" s="925"/>
      <c r="CQ128" s="925"/>
      <c r="CR128" s="925"/>
      <c r="CS128" s="917"/>
      <c r="CT128" s="928"/>
      <c r="CU128" s="928"/>
      <c r="CV128" s="928"/>
      <c r="CX128" s="925"/>
      <c r="CY128" s="925"/>
      <c r="CZ128" s="925"/>
      <c r="DB128" s="925"/>
      <c r="DC128" s="925"/>
      <c r="DD128" s="925"/>
      <c r="DE128" s="925"/>
      <c r="DF128" s="925"/>
      <c r="DG128" s="925"/>
      <c r="DH128" s="925"/>
      <c r="DI128" s="925"/>
      <c r="DJ128" s="925"/>
      <c r="DK128" s="925"/>
      <c r="DL128" s="925"/>
      <c r="DM128" s="925"/>
      <c r="DN128" s="925"/>
      <c r="DO128" s="925"/>
      <c r="DP128" s="925"/>
      <c r="DQ128" s="924"/>
      <c r="DR128" s="925"/>
      <c r="DS128" s="925"/>
      <c r="DT128" s="925"/>
      <c r="DV128" s="925"/>
      <c r="DW128" s="925"/>
      <c r="DX128" s="925"/>
      <c r="DY128" s="925"/>
      <c r="DZ128" s="925"/>
      <c r="EA128" s="925"/>
      <c r="EB128" s="925"/>
      <c r="EC128" s="925"/>
      <c r="ED128" s="925"/>
      <c r="EE128" s="925"/>
      <c r="EF128" s="925"/>
      <c r="EG128" s="925"/>
      <c r="EH128" s="925"/>
      <c r="EI128" s="925"/>
      <c r="EJ128" s="925"/>
      <c r="EK128" s="925"/>
      <c r="EL128" s="925"/>
      <c r="EM128" s="925"/>
      <c r="EN128" s="925"/>
      <c r="EO128" s="925"/>
      <c r="EP128" s="925"/>
      <c r="EQ128" s="925"/>
      <c r="ER128" s="925"/>
      <c r="ES128" s="925"/>
      <c r="ET128" s="925"/>
      <c r="EV128" s="924"/>
      <c r="EW128" s="925"/>
      <c r="EX128" s="925"/>
      <c r="EY128" s="925"/>
    </row>
    <row r="129" spans="1:155" s="927" customFormat="1" ht="15.75" x14ac:dyDescent="0.25">
      <c r="A129" s="912" t="s">
        <v>61</v>
      </c>
      <c r="B129" s="913" t="s">
        <v>493</v>
      </c>
      <c r="C129" s="914">
        <v>3.22</v>
      </c>
      <c r="D129" s="914">
        <v>13132</v>
      </c>
      <c r="E129" s="915">
        <v>1.0549999999999999</v>
      </c>
      <c r="F129" s="916">
        <f t="shared" si="77"/>
        <v>13855</v>
      </c>
      <c r="G129" s="915">
        <v>1.01</v>
      </c>
      <c r="H129" s="916">
        <f t="shared" si="78"/>
        <v>13994</v>
      </c>
      <c r="I129" s="917">
        <f t="shared" si="79"/>
        <v>45060.68</v>
      </c>
      <c r="J129" s="918">
        <f t="shared" si="80"/>
        <v>0.19324</v>
      </c>
      <c r="K129" s="919">
        <v>8171.02</v>
      </c>
      <c r="L129" s="917">
        <f t="shared" si="81"/>
        <v>8707.5300000000007</v>
      </c>
      <c r="M129" s="918">
        <f t="shared" si="82"/>
        <v>0</v>
      </c>
      <c r="N129" s="919"/>
      <c r="O129" s="917">
        <f t="shared" si="83"/>
        <v>0</v>
      </c>
      <c r="P129" s="918">
        <f t="shared" si="84"/>
        <v>0</v>
      </c>
      <c r="Q129" s="919"/>
      <c r="R129" s="917">
        <f t="shared" si="85"/>
        <v>0</v>
      </c>
      <c r="S129" s="918">
        <f t="shared" si="86"/>
        <v>0</v>
      </c>
      <c r="T129" s="919"/>
      <c r="U129" s="917">
        <f t="shared" si="87"/>
        <v>0</v>
      </c>
      <c r="V129" s="918">
        <f t="shared" si="88"/>
        <v>0</v>
      </c>
      <c r="W129" s="919"/>
      <c r="X129" s="917">
        <f t="shared" si="89"/>
        <v>0</v>
      </c>
      <c r="Y129" s="918">
        <f t="shared" si="90"/>
        <v>0</v>
      </c>
      <c r="Z129" s="919"/>
      <c r="AA129" s="917">
        <f t="shared" si="91"/>
        <v>0</v>
      </c>
      <c r="AB129" s="918">
        <f t="shared" si="92"/>
        <v>0.20014000000000001</v>
      </c>
      <c r="AC129" s="919">
        <v>8462.84</v>
      </c>
      <c r="AD129" s="917">
        <f t="shared" si="93"/>
        <v>9018.44</v>
      </c>
      <c r="AE129" s="918">
        <f t="shared" si="94"/>
        <v>0</v>
      </c>
      <c r="AF129" s="919"/>
      <c r="AG129" s="917">
        <f t="shared" si="95"/>
        <v>0</v>
      </c>
      <c r="AH129" s="918">
        <f t="shared" si="96"/>
        <v>0</v>
      </c>
      <c r="AI129" s="919"/>
      <c r="AJ129" s="917">
        <f t="shared" si="97"/>
        <v>0</v>
      </c>
      <c r="AK129" s="918">
        <f t="shared" si="98"/>
        <v>0</v>
      </c>
      <c r="AL129" s="919"/>
      <c r="AM129" s="917">
        <f t="shared" si="99"/>
        <v>0</v>
      </c>
      <c r="AN129" s="920">
        <v>19242</v>
      </c>
      <c r="AO129" s="917">
        <f t="shared" si="100"/>
        <v>0</v>
      </c>
      <c r="AP129" s="920"/>
      <c r="AQ129" s="916">
        <f t="shared" si="101"/>
        <v>0</v>
      </c>
      <c r="AR129" s="917">
        <f t="shared" si="102"/>
        <v>62786.65</v>
      </c>
      <c r="AS129" s="916">
        <v>12</v>
      </c>
      <c r="AT129" s="921">
        <f t="shared" si="103"/>
        <v>753439.8</v>
      </c>
      <c r="AU129" s="920"/>
      <c r="AV129" s="922">
        <f t="shared" si="104"/>
        <v>7534.4</v>
      </c>
      <c r="AW129" s="921">
        <f t="shared" si="105"/>
        <v>760974.2</v>
      </c>
      <c r="AX129" s="921">
        <f t="shared" si="106"/>
        <v>229814.21</v>
      </c>
      <c r="AY129" s="921">
        <f t="shared" si="107"/>
        <v>990788.41</v>
      </c>
      <c r="AZ129" s="923">
        <f t="shared" si="108"/>
        <v>761</v>
      </c>
      <c r="BA129" s="923">
        <f t="shared" si="109"/>
        <v>229.8</v>
      </c>
      <c r="BB129" s="923">
        <f t="shared" si="110"/>
        <v>990.8</v>
      </c>
      <c r="BC129" s="915">
        <v>0.95</v>
      </c>
      <c r="BD129" s="923">
        <f t="shared" si="111"/>
        <v>723</v>
      </c>
      <c r="BE129" s="923">
        <f t="shared" si="112"/>
        <v>218.3</v>
      </c>
      <c r="BF129" s="923">
        <f t="shared" si="113"/>
        <v>941.3</v>
      </c>
      <c r="BG129" s="924">
        <f>'[3]свод (2024)'!$B$116</f>
        <v>0.99758349999999996</v>
      </c>
      <c r="BH129" s="923">
        <f t="shared" si="114"/>
        <v>721.3</v>
      </c>
      <c r="BI129" s="923">
        <f t="shared" si="115"/>
        <v>217.8</v>
      </c>
      <c r="BJ129" s="923">
        <f t="shared" si="116"/>
        <v>939.1</v>
      </c>
      <c r="BK129" s="925">
        <f t="shared" si="117"/>
        <v>-39.700000000000003</v>
      </c>
      <c r="BL129" s="925">
        <f t="shared" si="117"/>
        <v>-12</v>
      </c>
      <c r="BM129" s="925">
        <f t="shared" si="118"/>
        <v>-51.7</v>
      </c>
      <c r="BN129" s="925">
        <f t="shared" si="119"/>
        <v>0</v>
      </c>
      <c r="BO129" s="925">
        <f t="shared" si="120"/>
        <v>0</v>
      </c>
      <c r="BP129" s="926"/>
      <c r="BQ129" s="925">
        <f t="shared" si="121"/>
        <v>721.3</v>
      </c>
      <c r="BR129" s="925">
        <f t="shared" si="121"/>
        <v>217.8</v>
      </c>
      <c r="BS129" s="925">
        <f t="shared" si="122"/>
        <v>939.1</v>
      </c>
      <c r="BU129" s="928">
        <f t="shared" si="123"/>
        <v>3.22</v>
      </c>
      <c r="BV129" s="917"/>
      <c r="BW129" s="928"/>
      <c r="BX129" s="928">
        <f t="shared" si="124"/>
        <v>760974.2</v>
      </c>
      <c r="BY129" s="928"/>
      <c r="BZ129" s="917"/>
      <c r="CA129" s="928"/>
      <c r="CB129" s="917"/>
      <c r="CC129" s="928"/>
      <c r="CD129" s="928"/>
      <c r="CE129" s="928"/>
      <c r="CF129" s="929">
        <f>CC$134/BU$134*BU129</f>
        <v>275137.40000000002</v>
      </c>
      <c r="CG129" s="928"/>
      <c r="CH129" s="928"/>
      <c r="CI129" s="928"/>
      <c r="CJ129" s="925"/>
      <c r="CK129" s="925"/>
      <c r="CL129" s="925"/>
      <c r="CM129" s="925"/>
      <c r="CN129" s="925"/>
      <c r="CO129" s="925"/>
      <c r="CP129" s="925"/>
      <c r="CQ129" s="925"/>
      <c r="CR129" s="925"/>
      <c r="CS129" s="917"/>
      <c r="CT129" s="928"/>
      <c r="CU129" s="928"/>
      <c r="CV129" s="928"/>
      <c r="CX129" s="925"/>
      <c r="CY129" s="925"/>
      <c r="CZ129" s="925"/>
      <c r="DB129" s="925"/>
      <c r="DC129" s="925"/>
      <c r="DD129" s="925"/>
      <c r="DE129" s="925"/>
      <c r="DF129" s="925"/>
      <c r="DG129" s="925"/>
      <c r="DH129" s="925"/>
      <c r="DI129" s="925"/>
      <c r="DJ129" s="925"/>
      <c r="DK129" s="925"/>
      <c r="DL129" s="925"/>
      <c r="DM129" s="925"/>
      <c r="DN129" s="925"/>
      <c r="DO129" s="925"/>
      <c r="DP129" s="925"/>
      <c r="DQ129" s="924"/>
      <c r="DR129" s="925"/>
      <c r="DS129" s="925"/>
      <c r="DT129" s="925"/>
      <c r="DV129" s="925"/>
      <c r="DW129" s="925"/>
      <c r="DX129" s="925"/>
      <c r="DY129" s="925"/>
      <c r="DZ129" s="925"/>
      <c r="EA129" s="925"/>
      <c r="EB129" s="925"/>
      <c r="EC129" s="925"/>
      <c r="ED129" s="925"/>
      <c r="EE129" s="925"/>
      <c r="EF129" s="925"/>
      <c r="EG129" s="925"/>
      <c r="EH129" s="925"/>
      <c r="EI129" s="925"/>
      <c r="EJ129" s="925"/>
      <c r="EK129" s="925"/>
      <c r="EL129" s="925"/>
      <c r="EM129" s="925"/>
      <c r="EN129" s="925"/>
      <c r="EO129" s="925"/>
      <c r="EP129" s="925"/>
      <c r="EQ129" s="925"/>
      <c r="ER129" s="925"/>
      <c r="ES129" s="925"/>
      <c r="ET129" s="925"/>
      <c r="EV129" s="924"/>
      <c r="EW129" s="925"/>
      <c r="EX129" s="925"/>
      <c r="EY129" s="925"/>
    </row>
    <row r="130" spans="1:155" s="927" customFormat="1" ht="24" x14ac:dyDescent="0.25">
      <c r="A130" s="912" t="s">
        <v>61</v>
      </c>
      <c r="B130" s="913" t="s">
        <v>1405</v>
      </c>
      <c r="C130" s="914">
        <v>6</v>
      </c>
      <c r="D130" s="914">
        <v>4336</v>
      </c>
      <c r="E130" s="915">
        <v>1.0549999999999999</v>
      </c>
      <c r="F130" s="916">
        <f t="shared" si="77"/>
        <v>4575</v>
      </c>
      <c r="G130" s="915">
        <v>1.01</v>
      </c>
      <c r="H130" s="916">
        <f t="shared" si="78"/>
        <v>4621</v>
      </c>
      <c r="I130" s="917">
        <f t="shared" si="79"/>
        <v>27726</v>
      </c>
      <c r="J130" s="918">
        <f t="shared" si="80"/>
        <v>0</v>
      </c>
      <c r="K130" s="919"/>
      <c r="L130" s="917">
        <f t="shared" si="81"/>
        <v>0</v>
      </c>
      <c r="M130" s="918">
        <f t="shared" si="82"/>
        <v>0</v>
      </c>
      <c r="N130" s="919"/>
      <c r="O130" s="917">
        <f t="shared" si="83"/>
        <v>0</v>
      </c>
      <c r="P130" s="918">
        <f t="shared" si="84"/>
        <v>0</v>
      </c>
      <c r="Q130" s="919"/>
      <c r="R130" s="917">
        <f t="shared" si="85"/>
        <v>0</v>
      </c>
      <c r="S130" s="918">
        <f t="shared" si="86"/>
        <v>0</v>
      </c>
      <c r="T130" s="919"/>
      <c r="U130" s="917">
        <f t="shared" si="87"/>
        <v>0</v>
      </c>
      <c r="V130" s="918">
        <f t="shared" si="88"/>
        <v>0</v>
      </c>
      <c r="W130" s="919"/>
      <c r="X130" s="917">
        <f t="shared" si="89"/>
        <v>0</v>
      </c>
      <c r="Y130" s="918">
        <f t="shared" si="90"/>
        <v>0</v>
      </c>
      <c r="Z130" s="919"/>
      <c r="AA130" s="917">
        <f t="shared" si="91"/>
        <v>0</v>
      </c>
      <c r="AB130" s="918">
        <f t="shared" si="92"/>
        <v>0</v>
      </c>
      <c r="AC130" s="919"/>
      <c r="AD130" s="917">
        <f t="shared" si="93"/>
        <v>0</v>
      </c>
      <c r="AE130" s="918">
        <f t="shared" si="94"/>
        <v>0</v>
      </c>
      <c r="AF130" s="919"/>
      <c r="AG130" s="917">
        <f t="shared" si="95"/>
        <v>0</v>
      </c>
      <c r="AH130" s="918">
        <f t="shared" si="96"/>
        <v>0</v>
      </c>
      <c r="AI130" s="919"/>
      <c r="AJ130" s="917">
        <f t="shared" si="97"/>
        <v>0</v>
      </c>
      <c r="AK130" s="918">
        <f t="shared" si="98"/>
        <v>0</v>
      </c>
      <c r="AL130" s="919"/>
      <c r="AM130" s="917">
        <f t="shared" si="99"/>
        <v>0</v>
      </c>
      <c r="AN130" s="920">
        <v>19242</v>
      </c>
      <c r="AO130" s="917">
        <f t="shared" si="100"/>
        <v>87726</v>
      </c>
      <c r="AP130" s="920"/>
      <c r="AQ130" s="916">
        <f t="shared" si="101"/>
        <v>0</v>
      </c>
      <c r="AR130" s="917">
        <f t="shared" si="102"/>
        <v>115452</v>
      </c>
      <c r="AS130" s="916">
        <v>12</v>
      </c>
      <c r="AT130" s="921">
        <f t="shared" si="103"/>
        <v>1385424</v>
      </c>
      <c r="AU130" s="920">
        <f>AT130*0.085</f>
        <v>117761.04</v>
      </c>
      <c r="AV130" s="922">
        <f t="shared" si="104"/>
        <v>13854.24</v>
      </c>
      <c r="AW130" s="921">
        <f t="shared" si="105"/>
        <v>1517039.28</v>
      </c>
      <c r="AX130" s="921">
        <f t="shared" si="106"/>
        <v>458145.86</v>
      </c>
      <c r="AY130" s="921">
        <f t="shared" si="107"/>
        <v>1975185.14</v>
      </c>
      <c r="AZ130" s="923">
        <f t="shared" si="108"/>
        <v>1517</v>
      </c>
      <c r="BA130" s="923">
        <f t="shared" si="109"/>
        <v>458.1</v>
      </c>
      <c r="BB130" s="923">
        <f t="shared" si="110"/>
        <v>1975.1</v>
      </c>
      <c r="BC130" s="915">
        <v>0.95</v>
      </c>
      <c r="BD130" s="923">
        <f t="shared" si="111"/>
        <v>1441.2</v>
      </c>
      <c r="BE130" s="923">
        <f t="shared" si="112"/>
        <v>435.2</v>
      </c>
      <c r="BF130" s="923">
        <f t="shared" si="113"/>
        <v>1876.4</v>
      </c>
      <c r="BG130" s="924">
        <f>'[3]свод (2024)'!$B$116</f>
        <v>0.99758349999999996</v>
      </c>
      <c r="BH130" s="923">
        <f t="shared" si="114"/>
        <v>1437.7</v>
      </c>
      <c r="BI130" s="923">
        <f t="shared" si="115"/>
        <v>434.2</v>
      </c>
      <c r="BJ130" s="923">
        <f t="shared" si="116"/>
        <v>1871.9</v>
      </c>
      <c r="BK130" s="925">
        <f t="shared" si="117"/>
        <v>-79.3</v>
      </c>
      <c r="BL130" s="925">
        <f t="shared" si="117"/>
        <v>-23.9</v>
      </c>
      <c r="BM130" s="925">
        <f t="shared" si="118"/>
        <v>-103.2</v>
      </c>
      <c r="BN130" s="925">
        <f t="shared" si="119"/>
        <v>0</v>
      </c>
      <c r="BO130" s="925">
        <f t="shared" si="120"/>
        <v>0</v>
      </c>
      <c r="BP130" s="926"/>
      <c r="BQ130" s="925">
        <f t="shared" si="121"/>
        <v>1437.7</v>
      </c>
      <c r="BR130" s="925">
        <f t="shared" si="121"/>
        <v>434.2</v>
      </c>
      <c r="BS130" s="925">
        <f t="shared" si="122"/>
        <v>1871.9</v>
      </c>
      <c r="BU130" s="928"/>
      <c r="BV130" s="917"/>
      <c r="BW130" s="928"/>
      <c r="BX130" s="928"/>
      <c r="BY130" s="928"/>
      <c r="BZ130" s="917"/>
      <c r="CA130" s="928"/>
      <c r="CB130" s="917"/>
      <c r="CC130" s="928"/>
      <c r="CD130" s="928"/>
      <c r="CE130" s="928"/>
      <c r="CF130" s="929"/>
      <c r="CG130" s="928"/>
      <c r="CH130" s="928"/>
      <c r="CI130" s="928"/>
      <c r="CJ130" s="925"/>
      <c r="CK130" s="925"/>
      <c r="CL130" s="925"/>
      <c r="CM130" s="925"/>
      <c r="CN130" s="925"/>
      <c r="CO130" s="925"/>
      <c r="CP130" s="925"/>
      <c r="CQ130" s="925"/>
      <c r="CR130" s="925"/>
      <c r="CS130" s="917"/>
      <c r="CT130" s="928"/>
      <c r="CU130" s="928"/>
      <c r="CV130" s="928"/>
      <c r="CX130" s="925"/>
      <c r="CY130" s="925"/>
      <c r="CZ130" s="925"/>
      <c r="DB130" s="925"/>
      <c r="DC130" s="925"/>
      <c r="DD130" s="925"/>
      <c r="DE130" s="925"/>
      <c r="DF130" s="925"/>
      <c r="DG130" s="925"/>
      <c r="DH130" s="925"/>
      <c r="DI130" s="925"/>
      <c r="DJ130" s="925"/>
      <c r="DK130" s="925"/>
      <c r="DL130" s="925"/>
      <c r="DM130" s="925"/>
      <c r="DN130" s="925"/>
      <c r="DO130" s="925"/>
      <c r="DP130" s="925"/>
      <c r="DQ130" s="924"/>
      <c r="DR130" s="925"/>
      <c r="DS130" s="925"/>
      <c r="DT130" s="925"/>
      <c r="DV130" s="925"/>
      <c r="DW130" s="925"/>
      <c r="DX130" s="925"/>
      <c r="DY130" s="925"/>
      <c r="DZ130" s="925"/>
      <c r="EA130" s="925"/>
      <c r="EB130" s="925"/>
      <c r="EC130" s="925"/>
      <c r="ED130" s="925"/>
      <c r="EE130" s="925"/>
      <c r="EF130" s="925"/>
      <c r="EG130" s="925"/>
      <c r="EH130" s="925"/>
      <c r="EI130" s="925"/>
      <c r="EJ130" s="925"/>
      <c r="EK130" s="925"/>
      <c r="EL130" s="925"/>
      <c r="EM130" s="925"/>
      <c r="EN130" s="925"/>
      <c r="EO130" s="925"/>
      <c r="EP130" s="925"/>
      <c r="EQ130" s="925"/>
      <c r="ER130" s="925"/>
      <c r="ES130" s="925"/>
      <c r="ET130" s="925"/>
      <c r="EV130" s="924"/>
      <c r="EW130" s="925"/>
      <c r="EX130" s="925"/>
      <c r="EY130" s="925"/>
    </row>
    <row r="131" spans="1:155" s="927" customFormat="1" ht="15.75" x14ac:dyDescent="0.25">
      <c r="A131" s="912" t="s">
        <v>61</v>
      </c>
      <c r="B131" s="913" t="s">
        <v>1406</v>
      </c>
      <c r="C131" s="914">
        <v>0.5</v>
      </c>
      <c r="D131" s="914">
        <v>6707</v>
      </c>
      <c r="E131" s="915">
        <v>1.0549999999999999</v>
      </c>
      <c r="F131" s="916">
        <f t="shared" si="77"/>
        <v>7076</v>
      </c>
      <c r="G131" s="915">
        <v>1.01</v>
      </c>
      <c r="H131" s="916">
        <f t="shared" si="78"/>
        <v>7147</v>
      </c>
      <c r="I131" s="917">
        <f t="shared" si="79"/>
        <v>3573.5</v>
      </c>
      <c r="J131" s="918">
        <f t="shared" si="80"/>
        <v>0</v>
      </c>
      <c r="K131" s="919"/>
      <c r="L131" s="917">
        <f t="shared" si="81"/>
        <v>0</v>
      </c>
      <c r="M131" s="918">
        <f t="shared" si="82"/>
        <v>0</v>
      </c>
      <c r="N131" s="919"/>
      <c r="O131" s="917">
        <f t="shared" si="83"/>
        <v>0</v>
      </c>
      <c r="P131" s="918">
        <f t="shared" si="84"/>
        <v>0</v>
      </c>
      <c r="Q131" s="919"/>
      <c r="R131" s="917">
        <f t="shared" si="85"/>
        <v>0</v>
      </c>
      <c r="S131" s="918">
        <f t="shared" si="86"/>
        <v>0</v>
      </c>
      <c r="T131" s="919"/>
      <c r="U131" s="917">
        <f t="shared" si="87"/>
        <v>0</v>
      </c>
      <c r="V131" s="918">
        <f t="shared" si="88"/>
        <v>0</v>
      </c>
      <c r="W131" s="919"/>
      <c r="X131" s="917">
        <f t="shared" si="89"/>
        <v>0</v>
      </c>
      <c r="Y131" s="918">
        <f t="shared" si="90"/>
        <v>0</v>
      </c>
      <c r="Z131" s="919"/>
      <c r="AA131" s="917">
        <f t="shared" si="91"/>
        <v>0</v>
      </c>
      <c r="AB131" s="918">
        <f t="shared" si="92"/>
        <v>0.2</v>
      </c>
      <c r="AC131" s="919">
        <v>670.7</v>
      </c>
      <c r="AD131" s="917">
        <f t="shared" si="93"/>
        <v>714.7</v>
      </c>
      <c r="AE131" s="918">
        <f t="shared" si="94"/>
        <v>0</v>
      </c>
      <c r="AF131" s="919"/>
      <c r="AG131" s="917">
        <f t="shared" si="95"/>
        <v>0</v>
      </c>
      <c r="AH131" s="918">
        <f t="shared" si="96"/>
        <v>0</v>
      </c>
      <c r="AI131" s="919"/>
      <c r="AJ131" s="917">
        <f t="shared" si="97"/>
        <v>0</v>
      </c>
      <c r="AK131" s="918">
        <f t="shared" si="98"/>
        <v>0</v>
      </c>
      <c r="AL131" s="919"/>
      <c r="AM131" s="917">
        <f t="shared" si="99"/>
        <v>0</v>
      </c>
      <c r="AN131" s="920">
        <v>19242</v>
      </c>
      <c r="AO131" s="917">
        <f t="shared" si="100"/>
        <v>5332.8</v>
      </c>
      <c r="AP131" s="920"/>
      <c r="AQ131" s="916">
        <f t="shared" si="101"/>
        <v>0</v>
      </c>
      <c r="AR131" s="917">
        <f t="shared" si="102"/>
        <v>9621</v>
      </c>
      <c r="AS131" s="916">
        <v>12</v>
      </c>
      <c r="AT131" s="921">
        <f t="shared" si="103"/>
        <v>115452</v>
      </c>
      <c r="AU131" s="920"/>
      <c r="AV131" s="922">
        <f t="shared" si="104"/>
        <v>1154.52</v>
      </c>
      <c r="AW131" s="921">
        <f t="shared" si="105"/>
        <v>116606.52</v>
      </c>
      <c r="AX131" s="921">
        <f t="shared" si="106"/>
        <v>35215.17</v>
      </c>
      <c r="AY131" s="921">
        <f t="shared" si="107"/>
        <v>151821.69</v>
      </c>
      <c r="AZ131" s="923">
        <f t="shared" si="108"/>
        <v>116.6</v>
      </c>
      <c r="BA131" s="923">
        <f t="shared" si="109"/>
        <v>35.200000000000003</v>
      </c>
      <c r="BB131" s="923">
        <f t="shared" si="110"/>
        <v>151.80000000000001</v>
      </c>
      <c r="BC131" s="915">
        <v>0.95</v>
      </c>
      <c r="BD131" s="923">
        <f t="shared" si="111"/>
        <v>110.8</v>
      </c>
      <c r="BE131" s="923">
        <f t="shared" si="112"/>
        <v>33.5</v>
      </c>
      <c r="BF131" s="923">
        <f t="shared" si="113"/>
        <v>144.30000000000001</v>
      </c>
      <c r="BG131" s="924">
        <f>'[3]свод (2024)'!$B$116</f>
        <v>0.99758349999999996</v>
      </c>
      <c r="BH131" s="923">
        <f t="shared" si="114"/>
        <v>110.5</v>
      </c>
      <c r="BI131" s="923">
        <f t="shared" si="115"/>
        <v>33.4</v>
      </c>
      <c r="BJ131" s="923">
        <f t="shared" si="116"/>
        <v>143.9</v>
      </c>
      <c r="BK131" s="925">
        <f t="shared" si="117"/>
        <v>-6.1</v>
      </c>
      <c r="BL131" s="925">
        <f t="shared" si="117"/>
        <v>-1.8</v>
      </c>
      <c r="BM131" s="925">
        <f t="shared" si="118"/>
        <v>-7.9</v>
      </c>
      <c r="BN131" s="925">
        <f t="shared" si="119"/>
        <v>0</v>
      </c>
      <c r="BO131" s="925">
        <f t="shared" si="120"/>
        <v>0</v>
      </c>
      <c r="BP131" s="926"/>
      <c r="BQ131" s="925">
        <f t="shared" si="121"/>
        <v>110.5</v>
      </c>
      <c r="BR131" s="925">
        <f t="shared" si="121"/>
        <v>33.4</v>
      </c>
      <c r="BS131" s="925">
        <f t="shared" si="122"/>
        <v>143.9</v>
      </c>
      <c r="BU131" s="928"/>
      <c r="BV131" s="917"/>
      <c r="BW131" s="928"/>
      <c r="BX131" s="928"/>
      <c r="BY131" s="928"/>
      <c r="BZ131" s="917"/>
      <c r="CA131" s="928"/>
      <c r="CB131" s="917"/>
      <c r="CC131" s="928"/>
      <c r="CD131" s="928"/>
      <c r="CE131" s="928"/>
      <c r="CF131" s="929"/>
      <c r="CG131" s="928"/>
      <c r="CH131" s="928"/>
      <c r="CI131" s="928"/>
      <c r="CJ131" s="925"/>
      <c r="CK131" s="925"/>
      <c r="CL131" s="925"/>
      <c r="CM131" s="925"/>
      <c r="CN131" s="925"/>
      <c r="CO131" s="925"/>
      <c r="CP131" s="925"/>
      <c r="CQ131" s="925"/>
      <c r="CR131" s="925"/>
      <c r="CS131" s="917"/>
      <c r="CT131" s="928"/>
      <c r="CU131" s="928"/>
      <c r="CV131" s="928"/>
      <c r="CX131" s="925"/>
      <c r="CY131" s="925"/>
      <c r="CZ131" s="925"/>
      <c r="DB131" s="925"/>
      <c r="DC131" s="925"/>
      <c r="DD131" s="925"/>
      <c r="DE131" s="925"/>
      <c r="DF131" s="925"/>
      <c r="DG131" s="925"/>
      <c r="DH131" s="925"/>
      <c r="DI131" s="925"/>
      <c r="DJ131" s="925"/>
      <c r="DK131" s="925"/>
      <c r="DL131" s="925"/>
      <c r="DM131" s="925"/>
      <c r="DN131" s="925"/>
      <c r="DO131" s="925"/>
      <c r="DP131" s="925"/>
      <c r="DQ131" s="924"/>
      <c r="DR131" s="925"/>
      <c r="DS131" s="925"/>
      <c r="DT131" s="925"/>
      <c r="DV131" s="925"/>
      <c r="DW131" s="925"/>
      <c r="DX131" s="925"/>
      <c r="DY131" s="925"/>
      <c r="DZ131" s="925"/>
      <c r="EA131" s="925"/>
      <c r="EB131" s="925"/>
      <c r="EC131" s="925"/>
      <c r="ED131" s="925"/>
      <c r="EE131" s="925"/>
      <c r="EF131" s="925"/>
      <c r="EG131" s="925"/>
      <c r="EH131" s="925"/>
      <c r="EI131" s="925"/>
      <c r="EJ131" s="925"/>
      <c r="EK131" s="925"/>
      <c r="EL131" s="925"/>
      <c r="EM131" s="925"/>
      <c r="EN131" s="925"/>
      <c r="EO131" s="925"/>
      <c r="EP131" s="925"/>
      <c r="EQ131" s="925"/>
      <c r="ER131" s="925"/>
      <c r="ES131" s="925"/>
      <c r="ET131" s="925"/>
      <c r="EV131" s="924"/>
      <c r="EW131" s="925"/>
      <c r="EX131" s="925"/>
      <c r="EY131" s="925"/>
    </row>
    <row r="132" spans="1:155" s="927" customFormat="1" ht="15.75" x14ac:dyDescent="0.25">
      <c r="A132" s="912" t="s">
        <v>61</v>
      </c>
      <c r="B132" s="913" t="s">
        <v>702</v>
      </c>
      <c r="C132" s="914">
        <v>0.5</v>
      </c>
      <c r="D132" s="914">
        <v>7755</v>
      </c>
      <c r="E132" s="915">
        <v>1.0549999999999999</v>
      </c>
      <c r="F132" s="916">
        <f t="shared" si="77"/>
        <v>8182</v>
      </c>
      <c r="G132" s="915">
        <v>1.01</v>
      </c>
      <c r="H132" s="916">
        <f t="shared" si="78"/>
        <v>8264</v>
      </c>
      <c r="I132" s="917">
        <f t="shared" si="79"/>
        <v>4132</v>
      </c>
      <c r="J132" s="918">
        <f t="shared" si="80"/>
        <v>0</v>
      </c>
      <c r="K132" s="919"/>
      <c r="L132" s="917">
        <f t="shared" si="81"/>
        <v>0</v>
      </c>
      <c r="M132" s="918">
        <f t="shared" si="82"/>
        <v>0</v>
      </c>
      <c r="N132" s="919"/>
      <c r="O132" s="917">
        <f t="shared" si="83"/>
        <v>0</v>
      </c>
      <c r="P132" s="918">
        <f t="shared" si="84"/>
        <v>0</v>
      </c>
      <c r="Q132" s="919"/>
      <c r="R132" s="917">
        <f t="shared" si="85"/>
        <v>0</v>
      </c>
      <c r="S132" s="918">
        <f t="shared" si="86"/>
        <v>0</v>
      </c>
      <c r="T132" s="919"/>
      <c r="U132" s="917">
        <f t="shared" si="87"/>
        <v>0</v>
      </c>
      <c r="V132" s="918">
        <f t="shared" si="88"/>
        <v>0</v>
      </c>
      <c r="W132" s="919"/>
      <c r="X132" s="917">
        <f t="shared" si="89"/>
        <v>0</v>
      </c>
      <c r="Y132" s="918">
        <f t="shared" si="90"/>
        <v>1.99</v>
      </c>
      <c r="Z132" s="919">
        <v>7716.23</v>
      </c>
      <c r="AA132" s="917">
        <f t="shared" si="91"/>
        <v>8222.68</v>
      </c>
      <c r="AB132" s="918">
        <f t="shared" si="92"/>
        <v>0.3</v>
      </c>
      <c r="AC132" s="919">
        <v>1163.25</v>
      </c>
      <c r="AD132" s="917">
        <f t="shared" si="93"/>
        <v>1239.5999999999999</v>
      </c>
      <c r="AE132" s="918">
        <f t="shared" si="94"/>
        <v>0</v>
      </c>
      <c r="AF132" s="919"/>
      <c r="AG132" s="917">
        <f t="shared" si="95"/>
        <v>0</v>
      </c>
      <c r="AH132" s="918">
        <f t="shared" si="96"/>
        <v>0</v>
      </c>
      <c r="AI132" s="919"/>
      <c r="AJ132" s="917">
        <f t="shared" si="97"/>
        <v>0</v>
      </c>
      <c r="AK132" s="918">
        <f t="shared" si="98"/>
        <v>0</v>
      </c>
      <c r="AL132" s="919"/>
      <c r="AM132" s="917">
        <f t="shared" si="99"/>
        <v>0</v>
      </c>
      <c r="AN132" s="920">
        <v>19242</v>
      </c>
      <c r="AO132" s="917">
        <f t="shared" si="100"/>
        <v>0</v>
      </c>
      <c r="AP132" s="920"/>
      <c r="AQ132" s="916">
        <f t="shared" si="101"/>
        <v>0</v>
      </c>
      <c r="AR132" s="917">
        <f t="shared" si="102"/>
        <v>13594.28</v>
      </c>
      <c r="AS132" s="916">
        <v>12</v>
      </c>
      <c r="AT132" s="921">
        <f t="shared" si="103"/>
        <v>163131.35999999999</v>
      </c>
      <c r="AU132" s="920"/>
      <c r="AV132" s="922">
        <f t="shared" si="104"/>
        <v>1631.31</v>
      </c>
      <c r="AW132" s="921">
        <f t="shared" si="105"/>
        <v>164762.67000000001</v>
      </c>
      <c r="AX132" s="921">
        <f t="shared" si="106"/>
        <v>49758.33</v>
      </c>
      <c r="AY132" s="921">
        <f t="shared" si="107"/>
        <v>214521</v>
      </c>
      <c r="AZ132" s="923">
        <f t="shared" si="108"/>
        <v>164.8</v>
      </c>
      <c r="BA132" s="923">
        <f t="shared" si="109"/>
        <v>49.8</v>
      </c>
      <c r="BB132" s="923">
        <f t="shared" si="110"/>
        <v>214.6</v>
      </c>
      <c r="BC132" s="915">
        <v>0.95</v>
      </c>
      <c r="BD132" s="923">
        <f t="shared" si="111"/>
        <v>156.6</v>
      </c>
      <c r="BE132" s="923">
        <f t="shared" si="112"/>
        <v>47.3</v>
      </c>
      <c r="BF132" s="923">
        <f t="shared" si="113"/>
        <v>203.9</v>
      </c>
      <c r="BG132" s="924">
        <f>'[3]свод (2024)'!$B$116</f>
        <v>0.99758349999999996</v>
      </c>
      <c r="BH132" s="923">
        <f t="shared" si="114"/>
        <v>156.19999999999999</v>
      </c>
      <c r="BI132" s="923">
        <f t="shared" si="115"/>
        <v>47.2</v>
      </c>
      <c r="BJ132" s="923">
        <f t="shared" si="116"/>
        <v>203.4</v>
      </c>
      <c r="BK132" s="925">
        <f t="shared" si="117"/>
        <v>-8.6</v>
      </c>
      <c r="BL132" s="925">
        <f t="shared" si="117"/>
        <v>-2.6</v>
      </c>
      <c r="BM132" s="925">
        <f t="shared" si="118"/>
        <v>-11.2</v>
      </c>
      <c r="BN132" s="925">
        <f t="shared" si="119"/>
        <v>0</v>
      </c>
      <c r="BO132" s="925">
        <f t="shared" si="120"/>
        <v>0</v>
      </c>
      <c r="BP132" s="926"/>
      <c r="BQ132" s="925">
        <f t="shared" si="121"/>
        <v>156.19999999999999</v>
      </c>
      <c r="BR132" s="925">
        <f t="shared" si="121"/>
        <v>47.2</v>
      </c>
      <c r="BS132" s="925">
        <f t="shared" si="122"/>
        <v>203.4</v>
      </c>
      <c r="BU132" s="928"/>
      <c r="BV132" s="917"/>
      <c r="BW132" s="928"/>
      <c r="BX132" s="928"/>
      <c r="BY132" s="928"/>
      <c r="BZ132" s="917"/>
      <c r="CA132" s="928"/>
      <c r="CB132" s="917"/>
      <c r="CC132" s="928"/>
      <c r="CD132" s="928"/>
      <c r="CE132" s="928"/>
      <c r="CF132" s="929"/>
      <c r="CG132" s="928"/>
      <c r="CH132" s="928"/>
      <c r="CI132" s="928"/>
      <c r="CJ132" s="925"/>
      <c r="CK132" s="925"/>
      <c r="CL132" s="925"/>
      <c r="CM132" s="925"/>
      <c r="CN132" s="925"/>
      <c r="CO132" s="925"/>
      <c r="CP132" s="925"/>
      <c r="CQ132" s="925"/>
      <c r="CR132" s="925"/>
      <c r="CS132" s="917"/>
      <c r="CT132" s="928"/>
      <c r="CU132" s="928"/>
      <c r="CV132" s="928"/>
      <c r="CX132" s="925"/>
      <c r="CY132" s="925"/>
      <c r="CZ132" s="925"/>
      <c r="DB132" s="925"/>
      <c r="DC132" s="925"/>
      <c r="DD132" s="925"/>
      <c r="DE132" s="925"/>
      <c r="DF132" s="925"/>
      <c r="DG132" s="925"/>
      <c r="DH132" s="925"/>
      <c r="DI132" s="925"/>
      <c r="DJ132" s="925"/>
      <c r="DK132" s="925"/>
      <c r="DL132" s="925"/>
      <c r="DM132" s="925"/>
      <c r="DN132" s="925"/>
      <c r="DO132" s="925"/>
      <c r="DP132" s="925"/>
      <c r="DQ132" s="924"/>
      <c r="DR132" s="925"/>
      <c r="DS132" s="925"/>
      <c r="DT132" s="925"/>
      <c r="DV132" s="925"/>
      <c r="DW132" s="925"/>
      <c r="DX132" s="925"/>
      <c r="DY132" s="925"/>
      <c r="DZ132" s="925"/>
      <c r="EA132" s="925"/>
      <c r="EB132" s="925"/>
      <c r="EC132" s="925"/>
      <c r="ED132" s="925"/>
      <c r="EE132" s="925"/>
      <c r="EF132" s="925"/>
      <c r="EG132" s="925"/>
      <c r="EH132" s="925"/>
      <c r="EI132" s="925"/>
      <c r="EJ132" s="925"/>
      <c r="EK132" s="925"/>
      <c r="EL132" s="925"/>
      <c r="EM132" s="925"/>
      <c r="EN132" s="925"/>
      <c r="EO132" s="925"/>
      <c r="EP132" s="925"/>
      <c r="EQ132" s="925"/>
      <c r="ER132" s="925"/>
      <c r="ES132" s="925"/>
      <c r="ET132" s="925"/>
      <c r="EV132" s="924"/>
      <c r="EW132" s="925"/>
      <c r="EX132" s="925"/>
      <c r="EY132" s="925"/>
    </row>
    <row r="133" spans="1:155" s="927" customFormat="1" ht="36" x14ac:dyDescent="0.25">
      <c r="A133" s="912" t="s">
        <v>61</v>
      </c>
      <c r="B133" s="913" t="s">
        <v>1407</v>
      </c>
      <c r="C133" s="914">
        <v>1.5</v>
      </c>
      <c r="D133" s="914">
        <v>5454</v>
      </c>
      <c r="E133" s="915">
        <v>1.0549999999999999</v>
      </c>
      <c r="F133" s="916">
        <f t="shared" si="77"/>
        <v>5754</v>
      </c>
      <c r="G133" s="915">
        <v>1.01</v>
      </c>
      <c r="H133" s="916">
        <f t="shared" si="78"/>
        <v>5812</v>
      </c>
      <c r="I133" s="917">
        <f t="shared" si="79"/>
        <v>8718</v>
      </c>
      <c r="J133" s="918">
        <f t="shared" si="80"/>
        <v>0</v>
      </c>
      <c r="K133" s="919"/>
      <c r="L133" s="917">
        <f t="shared" si="81"/>
        <v>0</v>
      </c>
      <c r="M133" s="918">
        <f t="shared" si="82"/>
        <v>0</v>
      </c>
      <c r="N133" s="919"/>
      <c r="O133" s="917">
        <f t="shared" si="83"/>
        <v>0</v>
      </c>
      <c r="P133" s="918">
        <f t="shared" si="84"/>
        <v>0</v>
      </c>
      <c r="Q133" s="919"/>
      <c r="R133" s="917">
        <f t="shared" si="85"/>
        <v>0</v>
      </c>
      <c r="S133" s="918">
        <f t="shared" si="86"/>
        <v>0</v>
      </c>
      <c r="T133" s="919"/>
      <c r="U133" s="917">
        <f t="shared" si="87"/>
        <v>0</v>
      </c>
      <c r="V133" s="918">
        <f t="shared" si="88"/>
        <v>0</v>
      </c>
      <c r="W133" s="919"/>
      <c r="X133" s="917">
        <f t="shared" si="89"/>
        <v>0</v>
      </c>
      <c r="Y133" s="918">
        <f t="shared" si="90"/>
        <v>0</v>
      </c>
      <c r="Z133" s="919"/>
      <c r="AA133" s="917">
        <f t="shared" si="91"/>
        <v>0</v>
      </c>
      <c r="AB133" s="918">
        <f t="shared" si="92"/>
        <v>0</v>
      </c>
      <c r="AC133" s="919"/>
      <c r="AD133" s="917">
        <f t="shared" si="93"/>
        <v>0</v>
      </c>
      <c r="AE133" s="918">
        <f t="shared" si="94"/>
        <v>0</v>
      </c>
      <c r="AF133" s="919"/>
      <c r="AG133" s="917">
        <f t="shared" si="95"/>
        <v>0</v>
      </c>
      <c r="AH133" s="918">
        <f t="shared" si="96"/>
        <v>0</v>
      </c>
      <c r="AI133" s="919"/>
      <c r="AJ133" s="917">
        <f t="shared" si="97"/>
        <v>0</v>
      </c>
      <c r="AK133" s="918">
        <f t="shared" si="98"/>
        <v>0</v>
      </c>
      <c r="AL133" s="919"/>
      <c r="AM133" s="917">
        <f t="shared" si="99"/>
        <v>0</v>
      </c>
      <c r="AN133" s="920">
        <v>19242</v>
      </c>
      <c r="AO133" s="917">
        <f t="shared" si="100"/>
        <v>20145</v>
      </c>
      <c r="AP133" s="920"/>
      <c r="AQ133" s="916">
        <f t="shared" si="101"/>
        <v>0</v>
      </c>
      <c r="AR133" s="917">
        <f t="shared" si="102"/>
        <v>28863</v>
      </c>
      <c r="AS133" s="916">
        <v>12</v>
      </c>
      <c r="AT133" s="921">
        <f t="shared" si="103"/>
        <v>346356</v>
      </c>
      <c r="AU133" s="920"/>
      <c r="AV133" s="922">
        <f t="shared" si="104"/>
        <v>3463.56</v>
      </c>
      <c r="AW133" s="921">
        <f t="shared" si="105"/>
        <v>349819.56</v>
      </c>
      <c r="AX133" s="921">
        <f t="shared" si="106"/>
        <v>105645.51</v>
      </c>
      <c r="AY133" s="921">
        <f t="shared" si="107"/>
        <v>455465.07</v>
      </c>
      <c r="AZ133" s="923">
        <f t="shared" si="108"/>
        <v>349.8</v>
      </c>
      <c r="BA133" s="923">
        <f t="shared" si="109"/>
        <v>105.6</v>
      </c>
      <c r="BB133" s="923">
        <f t="shared" si="110"/>
        <v>455.4</v>
      </c>
      <c r="BC133" s="915">
        <v>0.95</v>
      </c>
      <c r="BD133" s="923">
        <f t="shared" si="111"/>
        <v>332.3</v>
      </c>
      <c r="BE133" s="923">
        <f t="shared" si="112"/>
        <v>100.4</v>
      </c>
      <c r="BF133" s="923">
        <f t="shared" si="113"/>
        <v>432.7</v>
      </c>
      <c r="BG133" s="924">
        <f>'[3]свод (2024)'!$B$116</f>
        <v>0.99758349999999996</v>
      </c>
      <c r="BH133" s="923">
        <f t="shared" si="114"/>
        <v>331.5</v>
      </c>
      <c r="BI133" s="923">
        <f t="shared" si="115"/>
        <v>100.1</v>
      </c>
      <c r="BJ133" s="923">
        <f t="shared" si="116"/>
        <v>431.6</v>
      </c>
      <c r="BK133" s="925">
        <f t="shared" si="117"/>
        <v>-18.3</v>
      </c>
      <c r="BL133" s="925">
        <f t="shared" si="117"/>
        <v>-5.5</v>
      </c>
      <c r="BM133" s="925">
        <f t="shared" si="118"/>
        <v>-23.8</v>
      </c>
      <c r="BN133" s="925">
        <f t="shared" si="119"/>
        <v>0</v>
      </c>
      <c r="BO133" s="925">
        <f t="shared" si="120"/>
        <v>0</v>
      </c>
      <c r="BP133" s="926"/>
      <c r="BQ133" s="925">
        <f t="shared" si="121"/>
        <v>331.5</v>
      </c>
      <c r="BR133" s="925">
        <f t="shared" si="121"/>
        <v>100.1</v>
      </c>
      <c r="BS133" s="925">
        <f t="shared" si="122"/>
        <v>431.6</v>
      </c>
      <c r="BU133" s="928"/>
      <c r="BV133" s="917"/>
      <c r="BW133" s="928"/>
      <c r="BX133" s="928"/>
      <c r="BY133" s="928"/>
      <c r="BZ133" s="917"/>
      <c r="CA133" s="928"/>
      <c r="CB133" s="917"/>
      <c r="CC133" s="928"/>
      <c r="CD133" s="928"/>
      <c r="CE133" s="928"/>
      <c r="CF133" s="929"/>
      <c r="CG133" s="928"/>
      <c r="CH133" s="928"/>
      <c r="CI133" s="928"/>
      <c r="CJ133" s="925"/>
      <c r="CK133" s="925"/>
      <c r="CL133" s="925"/>
      <c r="CM133" s="925"/>
      <c r="CN133" s="925"/>
      <c r="CO133" s="925"/>
      <c r="CP133" s="925"/>
      <c r="CQ133" s="925"/>
      <c r="CR133" s="925"/>
      <c r="CS133" s="917"/>
      <c r="CT133" s="928"/>
      <c r="CU133" s="928"/>
      <c r="CV133" s="928"/>
      <c r="CX133" s="925"/>
      <c r="CY133" s="925"/>
      <c r="CZ133" s="925"/>
      <c r="DB133" s="925"/>
      <c r="DC133" s="925"/>
      <c r="DD133" s="925"/>
      <c r="DE133" s="925"/>
      <c r="DF133" s="925"/>
      <c r="DG133" s="925"/>
      <c r="DH133" s="925"/>
      <c r="DI133" s="925"/>
      <c r="DJ133" s="925"/>
      <c r="DK133" s="925"/>
      <c r="DL133" s="925"/>
      <c r="DM133" s="925"/>
      <c r="DN133" s="925"/>
      <c r="DO133" s="925"/>
      <c r="DP133" s="925"/>
      <c r="DQ133" s="924"/>
      <c r="DR133" s="925"/>
      <c r="DS133" s="925"/>
      <c r="DT133" s="925"/>
      <c r="DV133" s="925"/>
      <c r="DW133" s="925"/>
      <c r="DX133" s="925"/>
      <c r="DY133" s="925"/>
      <c r="DZ133" s="925"/>
      <c r="EA133" s="925"/>
      <c r="EB133" s="925"/>
      <c r="EC133" s="925"/>
      <c r="ED133" s="925"/>
      <c r="EE133" s="925"/>
      <c r="EF133" s="925"/>
      <c r="EG133" s="925"/>
      <c r="EH133" s="925"/>
      <c r="EI133" s="925"/>
      <c r="EJ133" s="925"/>
      <c r="EK133" s="925"/>
      <c r="EL133" s="925"/>
      <c r="EM133" s="925"/>
      <c r="EN133" s="925"/>
      <c r="EO133" s="925"/>
      <c r="EP133" s="925"/>
      <c r="EQ133" s="925"/>
      <c r="ER133" s="925"/>
      <c r="ES133" s="925"/>
      <c r="ET133" s="925"/>
      <c r="EV133" s="924"/>
      <c r="EW133" s="925"/>
      <c r="EX133" s="925"/>
      <c r="EY133" s="925"/>
    </row>
    <row r="134" spans="1:155" s="927" customFormat="1" ht="15.75" x14ac:dyDescent="0.25">
      <c r="A134" s="931" t="s">
        <v>61</v>
      </c>
      <c r="B134" s="932"/>
      <c r="C134" s="933">
        <f>SUM(C98:C133)</f>
        <v>119.64</v>
      </c>
      <c r="D134" s="933">
        <f t="shared" ref="D134:BO134" si="127">SUM(D98:D133)</f>
        <v>356754</v>
      </c>
      <c r="E134" s="934">
        <f t="shared" si="127"/>
        <v>37.979999999999997</v>
      </c>
      <c r="F134" s="935">
        <f t="shared" si="127"/>
        <v>376391</v>
      </c>
      <c r="G134" s="934">
        <f t="shared" si="127"/>
        <v>36.36</v>
      </c>
      <c r="H134" s="935">
        <f t="shared" si="127"/>
        <v>380169</v>
      </c>
      <c r="I134" s="936">
        <f t="shared" si="127"/>
        <v>1404615.66</v>
      </c>
      <c r="J134" s="937">
        <f t="shared" si="127"/>
        <v>1.3710800000000001</v>
      </c>
      <c r="K134" s="938">
        <f t="shared" si="127"/>
        <v>179280.46</v>
      </c>
      <c r="L134" s="936">
        <f t="shared" si="127"/>
        <v>191050.01</v>
      </c>
      <c r="M134" s="937">
        <f t="shared" si="127"/>
        <v>0.39</v>
      </c>
      <c r="N134" s="938">
        <f t="shared" si="127"/>
        <v>6742.52</v>
      </c>
      <c r="O134" s="936">
        <f t="shared" si="127"/>
        <v>7184.88</v>
      </c>
      <c r="P134" s="937">
        <f t="shared" si="127"/>
        <v>0</v>
      </c>
      <c r="Q134" s="938">
        <f t="shared" si="127"/>
        <v>0</v>
      </c>
      <c r="R134" s="936">
        <f t="shared" si="127"/>
        <v>0</v>
      </c>
      <c r="S134" s="937">
        <f t="shared" si="127"/>
        <v>0.42499999999999999</v>
      </c>
      <c r="T134" s="938">
        <f t="shared" si="127"/>
        <v>6568</v>
      </c>
      <c r="U134" s="936">
        <f t="shared" si="127"/>
        <v>6999.2</v>
      </c>
      <c r="V134" s="937">
        <f t="shared" si="127"/>
        <v>0</v>
      </c>
      <c r="W134" s="938">
        <f t="shared" si="127"/>
        <v>0</v>
      </c>
      <c r="X134" s="936">
        <f t="shared" si="127"/>
        <v>0</v>
      </c>
      <c r="Y134" s="937">
        <f t="shared" si="127"/>
        <v>20.86</v>
      </c>
      <c r="Z134" s="938">
        <f t="shared" si="127"/>
        <v>204434.87</v>
      </c>
      <c r="AA134" s="936">
        <f t="shared" si="127"/>
        <v>217852.47</v>
      </c>
      <c r="AB134" s="937">
        <f t="shared" si="127"/>
        <v>5.1952499999999997</v>
      </c>
      <c r="AC134" s="938">
        <f t="shared" si="127"/>
        <v>194969.25</v>
      </c>
      <c r="AD134" s="936">
        <f t="shared" si="127"/>
        <v>207765</v>
      </c>
      <c r="AE134" s="937">
        <f t="shared" si="127"/>
        <v>0.10428999999999999</v>
      </c>
      <c r="AF134" s="938">
        <f t="shared" si="127"/>
        <v>4880.8</v>
      </c>
      <c r="AG134" s="936">
        <f t="shared" si="127"/>
        <v>5204</v>
      </c>
      <c r="AH134" s="937">
        <f t="shared" si="127"/>
        <v>0</v>
      </c>
      <c r="AI134" s="938">
        <f t="shared" si="127"/>
        <v>0</v>
      </c>
      <c r="AJ134" s="936">
        <f t="shared" si="127"/>
        <v>0</v>
      </c>
      <c r="AK134" s="937">
        <f t="shared" si="127"/>
        <v>0</v>
      </c>
      <c r="AL134" s="938">
        <f t="shared" si="127"/>
        <v>0</v>
      </c>
      <c r="AM134" s="936">
        <f t="shared" si="127"/>
        <v>0</v>
      </c>
      <c r="AN134" s="933">
        <f t="shared" si="127"/>
        <v>692712</v>
      </c>
      <c r="AO134" s="936">
        <f t="shared" si="127"/>
        <v>475162.82</v>
      </c>
      <c r="AP134" s="933">
        <f t="shared" si="127"/>
        <v>2120.58</v>
      </c>
      <c r="AQ134" s="935">
        <f t="shared" si="127"/>
        <v>11663.19</v>
      </c>
      <c r="AR134" s="936">
        <f t="shared" si="127"/>
        <v>2527497.23</v>
      </c>
      <c r="AS134" s="935">
        <f t="shared" si="127"/>
        <v>432</v>
      </c>
      <c r="AT134" s="939">
        <f t="shared" si="127"/>
        <v>30329966.760000002</v>
      </c>
      <c r="AU134" s="933">
        <f t="shared" si="127"/>
        <v>463313.77</v>
      </c>
      <c r="AV134" s="940">
        <f t="shared" si="127"/>
        <v>303299.69</v>
      </c>
      <c r="AW134" s="939">
        <f t="shared" si="127"/>
        <v>31096580.219999999</v>
      </c>
      <c r="AX134" s="939">
        <f t="shared" si="127"/>
        <v>9391167.2400000002</v>
      </c>
      <c r="AY134" s="939">
        <f t="shared" si="127"/>
        <v>40487747.460000001</v>
      </c>
      <c r="AZ134" s="941">
        <f t="shared" si="127"/>
        <v>31096.7</v>
      </c>
      <c r="BA134" s="941">
        <f t="shared" si="127"/>
        <v>9391.1</v>
      </c>
      <c r="BB134" s="941">
        <f t="shared" si="127"/>
        <v>40487.800000000003</v>
      </c>
      <c r="BC134" s="934">
        <f t="shared" si="127"/>
        <v>34.200000000000003</v>
      </c>
      <c r="BD134" s="941">
        <f t="shared" si="127"/>
        <v>29542</v>
      </c>
      <c r="BE134" s="941">
        <f t="shared" si="127"/>
        <v>8921.7000000000007</v>
      </c>
      <c r="BF134" s="941">
        <f t="shared" si="127"/>
        <v>38463.699999999997</v>
      </c>
      <c r="BG134" s="942">
        <f>'[3]свод (2024)'!$B$116</f>
        <v>0.99758349999999996</v>
      </c>
      <c r="BH134" s="941">
        <f t="shared" si="127"/>
        <v>29470.7</v>
      </c>
      <c r="BI134" s="941">
        <f t="shared" si="127"/>
        <v>8900.2999999999993</v>
      </c>
      <c r="BJ134" s="941">
        <f t="shared" si="127"/>
        <v>38371</v>
      </c>
      <c r="BK134" s="943">
        <f t="shared" si="127"/>
        <v>-1626</v>
      </c>
      <c r="BL134" s="943">
        <f t="shared" si="127"/>
        <v>-490.8</v>
      </c>
      <c r="BM134" s="943">
        <f t="shared" si="127"/>
        <v>-2116.8000000000002</v>
      </c>
      <c r="BN134" s="943">
        <f t="shared" si="127"/>
        <v>0</v>
      </c>
      <c r="BO134" s="943">
        <f t="shared" si="127"/>
        <v>0</v>
      </c>
      <c r="BP134" s="944">
        <f t="shared" ref="BP134:BS134" si="128">SUM(BP98:BP133)</f>
        <v>0</v>
      </c>
      <c r="BQ134" s="943">
        <f t="shared" si="128"/>
        <v>29470.7</v>
      </c>
      <c r="BR134" s="943">
        <f t="shared" si="128"/>
        <v>8900.2999999999993</v>
      </c>
      <c r="BS134" s="943">
        <f t="shared" si="128"/>
        <v>38371</v>
      </c>
      <c r="BU134" s="945">
        <f>SUM(BU98:BU133)</f>
        <v>72.14</v>
      </c>
      <c r="BV134" s="946">
        <v>5.9</v>
      </c>
      <c r="BW134" s="947">
        <f t="shared" ref="BW134" si="129">BU134-BV134</f>
        <v>66.239999999999995</v>
      </c>
      <c r="BX134" s="945">
        <f>SUM(BX98:BX133)</f>
        <v>16894389.670000002</v>
      </c>
      <c r="BY134" s="947">
        <f>BX134/BU134*BW134</f>
        <v>15512674.960000001</v>
      </c>
      <c r="BZ134" s="946">
        <v>43.3</v>
      </c>
      <c r="CA134" s="947">
        <f t="shared" ref="CA134" si="130">BY134/BZ134/12</f>
        <v>29855.03</v>
      </c>
      <c r="CB134" s="946">
        <v>41718.199999999997</v>
      </c>
      <c r="CC134" s="947">
        <f t="shared" ref="CC134" si="131">(CB134-CA134)*BZ134*12</f>
        <v>6164103.1299999999</v>
      </c>
      <c r="CD134" s="947">
        <f t="shared" ref="CD134" si="132">CC134*0.302</f>
        <v>1861559.15</v>
      </c>
      <c r="CE134" s="947">
        <f t="shared" ref="CE134" si="133">CC134+CD134</f>
        <v>8025662.2800000003</v>
      </c>
      <c r="CF134" s="948">
        <f>SUM(CF98:CF133)</f>
        <v>6164103.1299999999</v>
      </c>
      <c r="CG134" s="949">
        <f>ROUND(CC134/1000,1)</f>
        <v>6164.1</v>
      </c>
      <c r="CH134" s="949">
        <f>ROUND(CD134/1000,1)</f>
        <v>1861.6</v>
      </c>
      <c r="CI134" s="950">
        <f>CG134+CH134</f>
        <v>8025.7</v>
      </c>
      <c r="CJ134" s="951">
        <f>BQ134+CG134</f>
        <v>35634.800000000003</v>
      </c>
      <c r="CK134" s="951">
        <f>BR134+CH134</f>
        <v>10761.9</v>
      </c>
      <c r="CL134" s="952">
        <f>CJ134+CK134</f>
        <v>46396.7</v>
      </c>
      <c r="CM134" s="951">
        <f>361.7/6*12</f>
        <v>723.4</v>
      </c>
      <c r="CN134" s="951">
        <f>CM134*0.302</f>
        <v>218.5</v>
      </c>
      <c r="CO134" s="952">
        <f>CM134+CN134</f>
        <v>941.9</v>
      </c>
      <c r="CP134" s="951">
        <f>ROUND(CJ134-CM134,1)</f>
        <v>34911.4</v>
      </c>
      <c r="CQ134" s="951">
        <f>ROUND(CK134-CN134,1)</f>
        <v>10543.4</v>
      </c>
      <c r="CR134" s="952">
        <f>CP134+CQ134</f>
        <v>45454.8</v>
      </c>
      <c r="CS134" s="946">
        <v>38663.800000000003</v>
      </c>
      <c r="CT134" s="953">
        <f>(CB134-CS134)*BZ134*12/1000</f>
        <v>1587.1</v>
      </c>
      <c r="CU134" s="953">
        <f>CT134*0.302</f>
        <v>479.3</v>
      </c>
      <c r="CV134" s="953">
        <f>CT134+CU134</f>
        <v>2066.4</v>
      </c>
      <c r="CX134" s="951">
        <f>(BY134+CC134)/1000-CM134</f>
        <v>20953.400000000001</v>
      </c>
      <c r="CY134" s="951">
        <f>CX134*0.302</f>
        <v>6327.9</v>
      </c>
      <c r="CZ134" s="952">
        <f>CX134+CY134</f>
        <v>27281.3</v>
      </c>
      <c r="DB134" s="954"/>
      <c r="DC134" s="954"/>
      <c r="DD134" s="921"/>
      <c r="DE134" s="954"/>
      <c r="DF134" s="954"/>
      <c r="DG134" s="921"/>
      <c r="DH134" s="954"/>
      <c r="DI134" s="954"/>
      <c r="DJ134" s="921"/>
      <c r="DK134" s="954"/>
      <c r="DL134" s="954"/>
      <c r="DM134" s="921"/>
      <c r="DN134" s="954"/>
      <c r="DO134" s="954"/>
      <c r="DP134" s="921"/>
      <c r="DQ134" s="942">
        <f>$DQ$239</f>
        <v>0.97850278000000002</v>
      </c>
      <c r="DR134" s="951">
        <f>ROUND(CP134*DQ134,1)</f>
        <v>34160.9</v>
      </c>
      <c r="DS134" s="951">
        <f>ROUND(CQ134*DQ134,1)</f>
        <v>10316.700000000001</v>
      </c>
      <c r="DT134" s="952">
        <f>DR134+DS134</f>
        <v>44477.599999999999</v>
      </c>
      <c r="DV134" s="921"/>
      <c r="DW134" s="921"/>
      <c r="DX134" s="921"/>
      <c r="DY134" s="921"/>
      <c r="DZ134" s="921"/>
      <c r="EA134" s="921"/>
      <c r="EB134" s="921"/>
      <c r="EC134" s="921"/>
      <c r="ED134" s="921"/>
      <c r="EE134" s="921"/>
      <c r="EF134" s="921"/>
      <c r="EG134" s="921"/>
      <c r="EH134" s="921"/>
      <c r="EI134" s="921"/>
      <c r="EJ134" s="921"/>
      <c r="EK134" s="921"/>
      <c r="EL134" s="921"/>
      <c r="EM134" s="921"/>
      <c r="EN134" s="921"/>
      <c r="EO134" s="921"/>
      <c r="EP134" s="921"/>
      <c r="EQ134" s="954"/>
      <c r="ER134" s="954"/>
      <c r="ES134" s="954"/>
      <c r="ET134" s="954"/>
      <c r="EV134" s="942">
        <f>EV239</f>
        <v>0.98074006899999999</v>
      </c>
      <c r="EW134" s="951">
        <f>ROUND(CP134*EV134,1)</f>
        <v>34239</v>
      </c>
      <c r="EX134" s="951">
        <f>ROUND(CQ134*EV134,1)</f>
        <v>10340.299999999999</v>
      </c>
      <c r="EY134" s="952">
        <f>EW134+EX134</f>
        <v>44579.3</v>
      </c>
    </row>
    <row r="135" spans="1:155" s="927" customFormat="1" ht="15.75" x14ac:dyDescent="0.25">
      <c r="A135" s="931"/>
      <c r="B135" s="932" t="s">
        <v>406</v>
      </c>
      <c r="C135" s="981">
        <f>C117+C129</f>
        <v>49.89</v>
      </c>
      <c r="D135" s="938"/>
      <c r="E135" s="983"/>
      <c r="F135" s="936"/>
      <c r="G135" s="983"/>
      <c r="H135" s="984">
        <f>H117+H129</f>
        <v>27988</v>
      </c>
      <c r="I135" s="984">
        <f>I117+I129</f>
        <v>698160.66</v>
      </c>
      <c r="J135" s="937"/>
      <c r="K135" s="938"/>
      <c r="L135" s="984">
        <f>L117+L129</f>
        <v>138387.06</v>
      </c>
      <c r="M135" s="937"/>
      <c r="N135" s="938"/>
      <c r="O135" s="984">
        <f>O117+O129</f>
        <v>0</v>
      </c>
      <c r="P135" s="937"/>
      <c r="Q135" s="938"/>
      <c r="R135" s="984">
        <f>R117+R129</f>
        <v>0</v>
      </c>
      <c r="S135" s="937"/>
      <c r="T135" s="938"/>
      <c r="U135" s="984">
        <f>U117+U129</f>
        <v>0</v>
      </c>
      <c r="V135" s="937"/>
      <c r="W135" s="938"/>
      <c r="X135" s="984">
        <f>X117+X129</f>
        <v>0</v>
      </c>
      <c r="Y135" s="937"/>
      <c r="Z135" s="938"/>
      <c r="AA135" s="984">
        <f>AA117+AA129</f>
        <v>0</v>
      </c>
      <c r="AB135" s="937"/>
      <c r="AC135" s="938"/>
      <c r="AD135" s="984">
        <f>AD117+AD129</f>
        <v>114827.17</v>
      </c>
      <c r="AE135" s="937"/>
      <c r="AF135" s="938"/>
      <c r="AG135" s="984">
        <f>AG117+AG129</f>
        <v>2801.8</v>
      </c>
      <c r="AH135" s="937"/>
      <c r="AI135" s="938"/>
      <c r="AJ135" s="984">
        <f>AJ117+AJ129</f>
        <v>0</v>
      </c>
      <c r="AK135" s="937"/>
      <c r="AL135" s="938"/>
      <c r="AM135" s="984">
        <f>AM117+AM129</f>
        <v>0</v>
      </c>
      <c r="AN135" s="938"/>
      <c r="AO135" s="984">
        <f>AO117+AO129</f>
        <v>6634.1</v>
      </c>
      <c r="AP135" s="938"/>
      <c r="AQ135" s="984">
        <f t="shared" ref="AQ135:AR135" si="134">AQ117+AQ129</f>
        <v>0</v>
      </c>
      <c r="AR135" s="984">
        <f t="shared" si="134"/>
        <v>960810.79</v>
      </c>
      <c r="AS135" s="936"/>
      <c r="AT135" s="984">
        <f t="shared" ref="AT135:AW135" si="135">AT117+AT129</f>
        <v>11529729.48</v>
      </c>
      <c r="AU135" s="984">
        <f t="shared" si="135"/>
        <v>0</v>
      </c>
      <c r="AV135" s="984">
        <f t="shared" si="135"/>
        <v>115297.3</v>
      </c>
      <c r="AW135" s="984">
        <f t="shared" si="135"/>
        <v>11645026.779999999</v>
      </c>
      <c r="AX135" s="939"/>
      <c r="AY135" s="939"/>
      <c r="AZ135" s="941"/>
      <c r="BA135" s="941"/>
      <c r="BB135" s="941"/>
      <c r="BC135" s="934"/>
      <c r="BD135" s="941"/>
      <c r="BE135" s="941"/>
      <c r="BF135" s="941"/>
      <c r="BG135" s="942"/>
      <c r="BH135" s="941"/>
      <c r="BI135" s="941"/>
      <c r="BJ135" s="941"/>
      <c r="BK135" s="943"/>
      <c r="BL135" s="943"/>
      <c r="BM135" s="943"/>
      <c r="BN135" s="943"/>
      <c r="BO135" s="943"/>
      <c r="BP135" s="944"/>
      <c r="BQ135" s="943"/>
      <c r="BR135" s="943"/>
      <c r="BS135" s="943"/>
      <c r="BU135" s="945"/>
      <c r="BV135" s="946"/>
      <c r="BW135" s="947"/>
      <c r="BX135" s="945"/>
      <c r="BY135" s="947"/>
      <c r="BZ135" s="946"/>
      <c r="CA135" s="947"/>
      <c r="CB135" s="946"/>
      <c r="CC135" s="947"/>
      <c r="CD135" s="947"/>
      <c r="CE135" s="947"/>
      <c r="CF135" s="948"/>
      <c r="CG135" s="949"/>
      <c r="CH135" s="949"/>
      <c r="CI135" s="950"/>
      <c r="CJ135" s="951"/>
      <c r="CK135" s="951"/>
      <c r="CL135" s="952"/>
      <c r="CM135" s="951"/>
      <c r="CN135" s="951"/>
      <c r="CO135" s="952"/>
      <c r="CP135" s="951"/>
      <c r="CQ135" s="951"/>
      <c r="CR135" s="952"/>
      <c r="CS135" s="946"/>
      <c r="CT135" s="953"/>
      <c r="CU135" s="953"/>
      <c r="CV135" s="953"/>
      <c r="CX135" s="951"/>
      <c r="CY135" s="951"/>
      <c r="CZ135" s="952"/>
      <c r="DB135" s="954"/>
      <c r="DC135" s="954"/>
      <c r="DD135" s="921"/>
      <c r="DE135" s="954"/>
      <c r="DF135" s="954"/>
      <c r="DG135" s="921"/>
      <c r="DH135" s="954"/>
      <c r="DI135" s="954"/>
      <c r="DJ135" s="921"/>
      <c r="DK135" s="954"/>
      <c r="DL135" s="954"/>
      <c r="DM135" s="921"/>
      <c r="DN135" s="954"/>
      <c r="DO135" s="954"/>
      <c r="DP135" s="921"/>
      <c r="DQ135" s="942"/>
      <c r="DR135" s="951"/>
      <c r="DS135" s="951"/>
      <c r="DT135" s="952"/>
      <c r="DV135" s="921"/>
      <c r="DW135" s="921"/>
      <c r="DX135" s="921"/>
      <c r="DY135" s="921"/>
      <c r="DZ135" s="921"/>
      <c r="EA135" s="921"/>
      <c r="EB135" s="921"/>
      <c r="EC135" s="921"/>
      <c r="ED135" s="921"/>
      <c r="EE135" s="921"/>
      <c r="EF135" s="921"/>
      <c r="EG135" s="921"/>
      <c r="EH135" s="921"/>
      <c r="EI135" s="921"/>
      <c r="EJ135" s="921"/>
      <c r="EK135" s="921"/>
      <c r="EL135" s="921"/>
      <c r="EM135" s="921"/>
      <c r="EN135" s="921"/>
      <c r="EO135" s="921"/>
      <c r="EP135" s="921"/>
      <c r="EQ135" s="954"/>
      <c r="ER135" s="954"/>
      <c r="ES135" s="954"/>
      <c r="ET135" s="954"/>
      <c r="EV135" s="942"/>
      <c r="EW135" s="951"/>
      <c r="EX135" s="951"/>
      <c r="EY135" s="952"/>
    </row>
    <row r="136" spans="1:155" s="927" customFormat="1" ht="15.75" x14ac:dyDescent="0.25">
      <c r="A136" s="931"/>
      <c r="B136" s="932" t="s">
        <v>403</v>
      </c>
      <c r="C136" s="981">
        <f>C113+C116+C118+C119+C124</f>
        <v>22.25</v>
      </c>
      <c r="D136" s="938"/>
      <c r="E136" s="983"/>
      <c r="F136" s="936"/>
      <c r="G136" s="983"/>
      <c r="H136" s="984">
        <f>H113+H116+H118+H119+H124</f>
        <v>71334</v>
      </c>
      <c r="I136" s="984">
        <f>I113+I116+I118+I119+I124</f>
        <v>316822.5</v>
      </c>
      <c r="J136" s="937"/>
      <c r="K136" s="938"/>
      <c r="L136" s="984">
        <f>L113+L116+L118+L119+L124</f>
        <v>52662.95</v>
      </c>
      <c r="M136" s="937"/>
      <c r="N136" s="938"/>
      <c r="O136" s="984">
        <f>O113+O116+O118+O119+O124</f>
        <v>0</v>
      </c>
      <c r="P136" s="937"/>
      <c r="Q136" s="938"/>
      <c r="R136" s="984">
        <f>R113+R116+R118+R119+R124</f>
        <v>0</v>
      </c>
      <c r="S136" s="937"/>
      <c r="T136" s="938"/>
      <c r="U136" s="984">
        <f>U113+U116+U118+U119+U124</f>
        <v>0</v>
      </c>
      <c r="V136" s="937"/>
      <c r="W136" s="938"/>
      <c r="X136" s="984">
        <f>X113+X116+X118+X119+X124</f>
        <v>0</v>
      </c>
      <c r="Y136" s="937"/>
      <c r="Z136" s="938"/>
      <c r="AA136" s="984">
        <f>AA113+AA116+AA118+AA119+AA124</f>
        <v>0</v>
      </c>
      <c r="AB136" s="937"/>
      <c r="AC136" s="938"/>
      <c r="AD136" s="984">
        <f>AD113+AD116+AD118+AD119+AD124</f>
        <v>41796.949999999997</v>
      </c>
      <c r="AE136" s="937"/>
      <c r="AF136" s="938"/>
      <c r="AG136" s="984">
        <f>AG113+AG116+AG118+AG119+AG124</f>
        <v>0</v>
      </c>
      <c r="AH136" s="937"/>
      <c r="AI136" s="938"/>
      <c r="AJ136" s="984">
        <f>AJ113+AJ116+AJ118+AJ119+AJ124</f>
        <v>0</v>
      </c>
      <c r="AK136" s="937"/>
      <c r="AL136" s="938"/>
      <c r="AM136" s="984">
        <f>AM113+AM116+AM118+AM119+AM124</f>
        <v>0</v>
      </c>
      <c r="AN136" s="938"/>
      <c r="AO136" s="984">
        <f>AO113+AO116+AO118+AO119+AO124</f>
        <v>21833.35</v>
      </c>
      <c r="AP136" s="938"/>
      <c r="AQ136" s="984">
        <f t="shared" ref="AQ136:AR136" si="136">AQ113+AQ116+AQ118+AQ119+AQ124</f>
        <v>0</v>
      </c>
      <c r="AR136" s="984">
        <f t="shared" si="136"/>
        <v>433115.75</v>
      </c>
      <c r="AS136" s="936"/>
      <c r="AT136" s="984">
        <f t="shared" ref="AT136:AW136" si="137">AT113+AT116+AT118+AT119+AT124</f>
        <v>5197389</v>
      </c>
      <c r="AU136" s="984">
        <f t="shared" si="137"/>
        <v>0</v>
      </c>
      <c r="AV136" s="984">
        <f t="shared" si="137"/>
        <v>51973.89</v>
      </c>
      <c r="AW136" s="984">
        <f t="shared" si="137"/>
        <v>5249362.8899999997</v>
      </c>
      <c r="AX136" s="939"/>
      <c r="AY136" s="939"/>
      <c r="AZ136" s="941"/>
      <c r="BA136" s="941"/>
      <c r="BB136" s="941"/>
      <c r="BC136" s="934"/>
      <c r="BD136" s="941"/>
      <c r="BE136" s="941"/>
      <c r="BF136" s="941"/>
      <c r="BG136" s="942"/>
      <c r="BH136" s="941"/>
      <c r="BI136" s="941"/>
      <c r="BJ136" s="941"/>
      <c r="BK136" s="943"/>
      <c r="BL136" s="943"/>
      <c r="BM136" s="943"/>
      <c r="BN136" s="943"/>
      <c r="BO136" s="943"/>
      <c r="BP136" s="944"/>
      <c r="BQ136" s="943"/>
      <c r="BR136" s="943"/>
      <c r="BS136" s="943"/>
      <c r="BU136" s="945"/>
      <c r="BV136" s="946"/>
      <c r="BW136" s="947"/>
      <c r="BX136" s="945"/>
      <c r="BY136" s="947"/>
      <c r="BZ136" s="946"/>
      <c r="CA136" s="947"/>
      <c r="CB136" s="946"/>
      <c r="CC136" s="947"/>
      <c r="CD136" s="947"/>
      <c r="CE136" s="947"/>
      <c r="CF136" s="948"/>
      <c r="CG136" s="949"/>
      <c r="CH136" s="949"/>
      <c r="CI136" s="950"/>
      <c r="CJ136" s="951"/>
      <c r="CK136" s="951"/>
      <c r="CL136" s="952"/>
      <c r="CM136" s="951"/>
      <c r="CN136" s="951"/>
      <c r="CO136" s="952"/>
      <c r="CP136" s="951"/>
      <c r="CQ136" s="951"/>
      <c r="CR136" s="952"/>
      <c r="CS136" s="946"/>
      <c r="CT136" s="953"/>
      <c r="CU136" s="953"/>
      <c r="CV136" s="953"/>
      <c r="CX136" s="951"/>
      <c r="CY136" s="951"/>
      <c r="CZ136" s="952"/>
      <c r="DB136" s="954"/>
      <c r="DC136" s="954"/>
      <c r="DD136" s="921"/>
      <c r="DE136" s="954"/>
      <c r="DF136" s="954"/>
      <c r="DG136" s="921"/>
      <c r="DH136" s="954"/>
      <c r="DI136" s="954"/>
      <c r="DJ136" s="921"/>
      <c r="DK136" s="954"/>
      <c r="DL136" s="954"/>
      <c r="DM136" s="921"/>
      <c r="DN136" s="954"/>
      <c r="DO136" s="954"/>
      <c r="DP136" s="921"/>
      <c r="DQ136" s="942"/>
      <c r="DR136" s="951"/>
      <c r="DS136" s="951"/>
      <c r="DT136" s="952"/>
      <c r="DV136" s="921"/>
      <c r="DW136" s="921"/>
      <c r="DX136" s="921"/>
      <c r="DY136" s="921"/>
      <c r="DZ136" s="921"/>
      <c r="EA136" s="921"/>
      <c r="EB136" s="921"/>
      <c r="EC136" s="921"/>
      <c r="ED136" s="921"/>
      <c r="EE136" s="921"/>
      <c r="EF136" s="921"/>
      <c r="EG136" s="921"/>
      <c r="EH136" s="921"/>
      <c r="EI136" s="921"/>
      <c r="EJ136" s="921"/>
      <c r="EK136" s="921"/>
      <c r="EL136" s="921"/>
      <c r="EM136" s="921"/>
      <c r="EN136" s="921"/>
      <c r="EO136" s="921"/>
      <c r="EP136" s="921"/>
      <c r="EQ136" s="954"/>
      <c r="ER136" s="954"/>
      <c r="ES136" s="954"/>
      <c r="ET136" s="954"/>
      <c r="EV136" s="942"/>
      <c r="EW136" s="951"/>
      <c r="EX136" s="951"/>
      <c r="EY136" s="952"/>
    </row>
    <row r="137" spans="1:155" s="927" customFormat="1" ht="15.75" x14ac:dyDescent="0.25">
      <c r="A137" s="931"/>
      <c r="B137" s="932" t="s">
        <v>404</v>
      </c>
      <c r="C137" s="981">
        <f>C98+C100+C101+C102+C103+C104+C105+C106+C107+C108+C109+C110+C111+C112+C114+C115+C121+C122+C125+C126+C128+C130+C131+C132</f>
        <v>32.5</v>
      </c>
      <c r="D137" s="938"/>
      <c r="E137" s="983"/>
      <c r="F137" s="936"/>
      <c r="G137" s="983"/>
      <c r="H137" s="984">
        <f>H98+H100+H101+H102+H103+H104+H105+H106+H107+H108+H109+H110+H111+H112+H114+H115+H121+H122+H125+H126+H128+H130+H131+H132</f>
        <v>255091</v>
      </c>
      <c r="I137" s="984">
        <f>I98+I100+I101+I102+I103+I104+I105+I106+I107+I108+I109+I110+I111+I112+I114+I115+I121+I122+I125+I126+I128+I130+I131+I132</f>
        <v>315937.5</v>
      </c>
      <c r="J137" s="937"/>
      <c r="K137" s="938"/>
      <c r="L137" s="984">
        <f>L98+L100+L101+L102+L103+L104+L105+L106+L107+L108+L109+L110+L111+L112+L114+L115+L121+L122+L125+L126+L128+L130+L131+L132</f>
        <v>0</v>
      </c>
      <c r="M137" s="937"/>
      <c r="N137" s="938"/>
      <c r="O137" s="984">
        <f>O98+O100+O101+O102+O103+O104+O105+O106+O107+O108+O109+O110+O111+O112+O114+O115+O121+O122+O125+O126+O128+O130+O131+O132</f>
        <v>7184.88</v>
      </c>
      <c r="P137" s="937"/>
      <c r="Q137" s="938"/>
      <c r="R137" s="984">
        <f>R98+R100+R101+R102+R103+R104+R105+R106+R107+R108+R109+R110+R111+R112+R114+R115+R121+R122+R125+R126+R128+R130+R131+R132</f>
        <v>0</v>
      </c>
      <c r="S137" s="937"/>
      <c r="T137" s="938"/>
      <c r="U137" s="984">
        <f>U98+U100+U101+U102+U103+U104+U105+U106+U107+U108+U109+U110+U111+U112+U114+U115+U121+U122+U125+U126+U128+U130+U131+U132</f>
        <v>6999.2</v>
      </c>
      <c r="V137" s="937"/>
      <c r="W137" s="938"/>
      <c r="X137" s="984">
        <f>X98+X100+X101+X102+X103+X104+X105+X106+X107+X108+X109+X110+X111+X112+X114+X115+X121+X122+X125+X126+X128+X130+X131+X132</f>
        <v>0</v>
      </c>
      <c r="Y137" s="937"/>
      <c r="Z137" s="938"/>
      <c r="AA137" s="984">
        <f>AA98+AA100+AA101+AA102+AA103+AA104+AA105+AA106+AA107+AA108+AA109+AA110+AA111+AA112+AA114+AA115+AA121+AA122+AA125+AA126+AA128+AA130+AA131+AA132</f>
        <v>217852.47</v>
      </c>
      <c r="AB137" s="937"/>
      <c r="AC137" s="938"/>
      <c r="AD137" s="984">
        <f>AD98+AD100+AD101+AD102+AD103+AD104+AD105+AD106+AD107+AD108+AD109+AD110+AD111+AD112+AD114+AD115+AD121+AD122+AD125+AD126+AD128+AD130+AD131+AD132</f>
        <v>51140.88</v>
      </c>
      <c r="AE137" s="937"/>
      <c r="AF137" s="938"/>
      <c r="AG137" s="984">
        <f>AG98+AG100+AG101+AG102+AG103+AG104+AG105+AG106+AG107+AG108+AG109+AG110+AG111+AG112+AG114+AG115+AG121+AG122+AG125+AG126+AG128+AG130+AG131+AG132</f>
        <v>2402.1999999999998</v>
      </c>
      <c r="AH137" s="937"/>
      <c r="AI137" s="938"/>
      <c r="AJ137" s="984">
        <f>AJ98+AJ100+AJ101+AJ102+AJ103+AJ104+AJ105+AJ106+AJ107+AJ108+AJ109+AJ110+AJ111+AJ112+AJ114+AJ115+AJ121+AJ122+AJ125+AJ126+AJ128+AJ130+AJ131+AJ132</f>
        <v>0</v>
      </c>
      <c r="AK137" s="937"/>
      <c r="AL137" s="938"/>
      <c r="AM137" s="984">
        <f>AM98+AM100+AM101+AM102+AM103+AM104+AM105+AM106+AM107+AM108+AM109+AM110+AM111+AM112+AM114+AM115+AM121+AM122+AM125+AM126+AM128+AM130+AM131+AM132</f>
        <v>0</v>
      </c>
      <c r="AN137" s="938"/>
      <c r="AO137" s="984">
        <f>AO98+AO100+AO101+AO102+AO103+AO104+AO105+AO106+AO107+AO108+AO109+AO110+AO111+AO112+AO114+AO115+AO121+AO122+AO125+AO126+AO128+AO130+AO131+AO132</f>
        <v>231760.37</v>
      </c>
      <c r="AP137" s="938"/>
      <c r="AQ137" s="984">
        <f t="shared" ref="AQ137:AR137" si="138">AQ98+AQ100+AQ101+AQ102+AQ103+AQ104+AQ105+AQ106+AQ107+AQ108+AQ109+AQ110+AQ111+AQ112+AQ114+AQ115+AQ121+AQ122+AQ125+AQ126+AQ128+AQ130+AQ131+AQ132</f>
        <v>4241.16</v>
      </c>
      <c r="AR137" s="984">
        <f t="shared" si="138"/>
        <v>837518.66</v>
      </c>
      <c r="AS137" s="936"/>
      <c r="AT137" s="984">
        <f t="shared" ref="AT137:AW137" si="139">AT98+AT100+AT101+AT102+AT103+AT104+AT105+AT106+AT107+AT108+AT109+AT110+AT111+AT112+AT114+AT115+AT121+AT122+AT125+AT126+AT128+AT130+AT131+AT132</f>
        <v>10050223.92</v>
      </c>
      <c r="AU137" s="984">
        <f t="shared" si="139"/>
        <v>279101.74</v>
      </c>
      <c r="AV137" s="984">
        <f t="shared" si="139"/>
        <v>100502.26</v>
      </c>
      <c r="AW137" s="984">
        <f t="shared" si="139"/>
        <v>10429827.92</v>
      </c>
      <c r="AX137" s="939"/>
      <c r="AY137" s="939"/>
      <c r="AZ137" s="941"/>
      <c r="BA137" s="941"/>
      <c r="BB137" s="941"/>
      <c r="BC137" s="934"/>
      <c r="BD137" s="941"/>
      <c r="BE137" s="941"/>
      <c r="BF137" s="941"/>
      <c r="BG137" s="942"/>
      <c r="BH137" s="941"/>
      <c r="BI137" s="941"/>
      <c r="BJ137" s="941"/>
      <c r="BK137" s="943"/>
      <c r="BL137" s="943"/>
      <c r="BM137" s="943"/>
      <c r="BN137" s="943"/>
      <c r="BO137" s="943"/>
      <c r="BP137" s="944"/>
      <c r="BQ137" s="943"/>
      <c r="BR137" s="943"/>
      <c r="BS137" s="943"/>
      <c r="BU137" s="945"/>
      <c r="BV137" s="946"/>
      <c r="BW137" s="947"/>
      <c r="BX137" s="945"/>
      <c r="BY137" s="947"/>
      <c r="BZ137" s="946"/>
      <c r="CA137" s="947"/>
      <c r="CB137" s="946"/>
      <c r="CC137" s="947"/>
      <c r="CD137" s="947"/>
      <c r="CE137" s="947"/>
      <c r="CF137" s="948"/>
      <c r="CG137" s="949"/>
      <c r="CH137" s="949"/>
      <c r="CI137" s="950"/>
      <c r="CJ137" s="951"/>
      <c r="CK137" s="951"/>
      <c r="CL137" s="952"/>
      <c r="CM137" s="951"/>
      <c r="CN137" s="951"/>
      <c r="CO137" s="952"/>
      <c r="CP137" s="951"/>
      <c r="CQ137" s="951"/>
      <c r="CR137" s="952"/>
      <c r="CS137" s="946"/>
      <c r="CT137" s="953"/>
      <c r="CU137" s="953"/>
      <c r="CV137" s="953"/>
      <c r="CX137" s="951"/>
      <c r="CY137" s="951"/>
      <c r="CZ137" s="952"/>
      <c r="DB137" s="954"/>
      <c r="DC137" s="954"/>
      <c r="DD137" s="921"/>
      <c r="DE137" s="954"/>
      <c r="DF137" s="954"/>
      <c r="DG137" s="921"/>
      <c r="DH137" s="954"/>
      <c r="DI137" s="954"/>
      <c r="DJ137" s="921"/>
      <c r="DK137" s="954"/>
      <c r="DL137" s="954"/>
      <c r="DM137" s="921"/>
      <c r="DN137" s="954"/>
      <c r="DO137" s="954"/>
      <c r="DP137" s="921"/>
      <c r="DQ137" s="942"/>
      <c r="DR137" s="951"/>
      <c r="DS137" s="951"/>
      <c r="DT137" s="952"/>
      <c r="DV137" s="921"/>
      <c r="DW137" s="921"/>
      <c r="DX137" s="921"/>
      <c r="DY137" s="921"/>
      <c r="DZ137" s="921"/>
      <c r="EA137" s="921"/>
      <c r="EB137" s="921"/>
      <c r="EC137" s="921"/>
      <c r="ED137" s="921"/>
      <c r="EE137" s="921"/>
      <c r="EF137" s="921"/>
      <c r="EG137" s="921"/>
      <c r="EH137" s="921"/>
      <c r="EI137" s="921"/>
      <c r="EJ137" s="921"/>
      <c r="EK137" s="921"/>
      <c r="EL137" s="921"/>
      <c r="EM137" s="921"/>
      <c r="EN137" s="921"/>
      <c r="EO137" s="921"/>
      <c r="EP137" s="921"/>
      <c r="EQ137" s="954"/>
      <c r="ER137" s="954"/>
      <c r="ES137" s="954"/>
      <c r="ET137" s="954"/>
      <c r="EV137" s="942"/>
      <c r="EW137" s="951"/>
      <c r="EX137" s="951"/>
      <c r="EY137" s="952"/>
    </row>
    <row r="138" spans="1:155" s="927" customFormat="1" ht="15.75" x14ac:dyDescent="0.25">
      <c r="A138" s="931"/>
      <c r="B138" s="932" t="s">
        <v>405</v>
      </c>
      <c r="C138" s="981">
        <f>C99+C120+C123+C127+C133</f>
        <v>15</v>
      </c>
      <c r="D138" s="938"/>
      <c r="E138" s="983"/>
      <c r="F138" s="936"/>
      <c r="G138" s="983"/>
      <c r="H138" s="984">
        <f>H99+H120+H123+H127+H133</f>
        <v>25756</v>
      </c>
      <c r="I138" s="984">
        <f>I99+I120+I123+I127+I133</f>
        <v>73695</v>
      </c>
      <c r="J138" s="937"/>
      <c r="K138" s="938"/>
      <c r="L138" s="984">
        <f>L99+L120+L123+L127+L133</f>
        <v>0</v>
      </c>
      <c r="M138" s="937"/>
      <c r="N138" s="938"/>
      <c r="O138" s="984">
        <f>O99+O120+O123+O127+O133</f>
        <v>0</v>
      </c>
      <c r="P138" s="937"/>
      <c r="Q138" s="938"/>
      <c r="R138" s="984">
        <f>R99+R120+R123+R127+R133</f>
        <v>0</v>
      </c>
      <c r="S138" s="937"/>
      <c r="T138" s="938"/>
      <c r="U138" s="984">
        <f>U99+U120+U123+U127+U133</f>
        <v>0</v>
      </c>
      <c r="V138" s="937"/>
      <c r="W138" s="938"/>
      <c r="X138" s="984">
        <f>X99+X120+X123+X127+X133</f>
        <v>0</v>
      </c>
      <c r="Y138" s="937"/>
      <c r="Z138" s="938"/>
      <c r="AA138" s="984">
        <f>AA99+AA120+AA123+AA127+AA133</f>
        <v>0</v>
      </c>
      <c r="AB138" s="937"/>
      <c r="AC138" s="938"/>
      <c r="AD138" s="984">
        <f>AD99+AD120+AD123+AD127+AD133</f>
        <v>0</v>
      </c>
      <c r="AE138" s="937"/>
      <c r="AF138" s="938"/>
      <c r="AG138" s="984">
        <f>AG99+AG120+AG123+AG127+AG133</f>
        <v>0</v>
      </c>
      <c r="AH138" s="937"/>
      <c r="AI138" s="938"/>
      <c r="AJ138" s="984">
        <f>AJ99+AJ120+AJ123+AJ127+AJ133</f>
        <v>0</v>
      </c>
      <c r="AK138" s="937"/>
      <c r="AL138" s="938"/>
      <c r="AM138" s="984">
        <f>AM99+AM120+AM123+AM127+AM133</f>
        <v>0</v>
      </c>
      <c r="AN138" s="938"/>
      <c r="AO138" s="984">
        <f>AO99+AO120+AO123+AO127+AO133</f>
        <v>214935</v>
      </c>
      <c r="AP138" s="938"/>
      <c r="AQ138" s="984">
        <f t="shared" ref="AQ138:AR138" si="140">AQ99+AQ120+AQ123+AQ127+AQ133</f>
        <v>7422.03</v>
      </c>
      <c r="AR138" s="984">
        <f t="shared" si="140"/>
        <v>296052.03000000003</v>
      </c>
      <c r="AS138" s="936"/>
      <c r="AT138" s="984">
        <f t="shared" ref="AT138:AW138" si="141">AT99+AT120+AT123+AT127+AT133</f>
        <v>3552624.36</v>
      </c>
      <c r="AU138" s="984">
        <f t="shared" si="141"/>
        <v>184212.03</v>
      </c>
      <c r="AV138" s="984">
        <f t="shared" si="141"/>
        <v>35526.239999999998</v>
      </c>
      <c r="AW138" s="984">
        <f t="shared" si="141"/>
        <v>3772362.63</v>
      </c>
      <c r="AX138" s="939"/>
      <c r="AY138" s="939"/>
      <c r="AZ138" s="941"/>
      <c r="BA138" s="941"/>
      <c r="BB138" s="941"/>
      <c r="BC138" s="934"/>
      <c r="BD138" s="941"/>
      <c r="BE138" s="941"/>
      <c r="BF138" s="941"/>
      <c r="BG138" s="942"/>
      <c r="BH138" s="941"/>
      <c r="BI138" s="941"/>
      <c r="BJ138" s="941"/>
      <c r="BK138" s="943"/>
      <c r="BL138" s="943"/>
      <c r="BM138" s="943"/>
      <c r="BN138" s="943"/>
      <c r="BO138" s="943"/>
      <c r="BP138" s="944"/>
      <c r="BQ138" s="943"/>
      <c r="BR138" s="943"/>
      <c r="BS138" s="943"/>
      <c r="BU138" s="945"/>
      <c r="BV138" s="946"/>
      <c r="BW138" s="947"/>
      <c r="BX138" s="945"/>
      <c r="BY138" s="947"/>
      <c r="BZ138" s="946"/>
      <c r="CA138" s="947"/>
      <c r="CB138" s="946"/>
      <c r="CC138" s="947"/>
      <c r="CD138" s="947"/>
      <c r="CE138" s="947"/>
      <c r="CF138" s="948"/>
      <c r="CG138" s="949"/>
      <c r="CH138" s="949"/>
      <c r="CI138" s="950"/>
      <c r="CJ138" s="951"/>
      <c r="CK138" s="951"/>
      <c r="CL138" s="952"/>
      <c r="CM138" s="951"/>
      <c r="CN138" s="951"/>
      <c r="CO138" s="952"/>
      <c r="CP138" s="951"/>
      <c r="CQ138" s="951"/>
      <c r="CR138" s="952"/>
      <c r="CS138" s="946"/>
      <c r="CT138" s="953"/>
      <c r="CU138" s="953"/>
      <c r="CV138" s="953"/>
      <c r="CX138" s="951"/>
      <c r="CY138" s="951"/>
      <c r="CZ138" s="952"/>
      <c r="DB138" s="954"/>
      <c r="DC138" s="954"/>
      <c r="DD138" s="921"/>
      <c r="DE138" s="954"/>
      <c r="DF138" s="954"/>
      <c r="DG138" s="921"/>
      <c r="DH138" s="954"/>
      <c r="DI138" s="954"/>
      <c r="DJ138" s="921"/>
      <c r="DK138" s="954"/>
      <c r="DL138" s="954"/>
      <c r="DM138" s="921"/>
      <c r="DN138" s="954"/>
      <c r="DO138" s="954"/>
      <c r="DP138" s="921"/>
      <c r="DQ138" s="942"/>
      <c r="DR138" s="951"/>
      <c r="DS138" s="951"/>
      <c r="DT138" s="952"/>
      <c r="DV138" s="921"/>
      <c r="DW138" s="921"/>
      <c r="DX138" s="921"/>
      <c r="DY138" s="921"/>
      <c r="DZ138" s="921"/>
      <c r="EA138" s="921"/>
      <c r="EB138" s="921"/>
      <c r="EC138" s="921"/>
      <c r="ED138" s="921"/>
      <c r="EE138" s="921"/>
      <c r="EF138" s="921"/>
      <c r="EG138" s="921"/>
      <c r="EH138" s="921"/>
      <c r="EI138" s="921"/>
      <c r="EJ138" s="921"/>
      <c r="EK138" s="921"/>
      <c r="EL138" s="921"/>
      <c r="EM138" s="921"/>
      <c r="EN138" s="921"/>
      <c r="EO138" s="921"/>
      <c r="EP138" s="921"/>
      <c r="EQ138" s="954"/>
      <c r="ER138" s="954"/>
      <c r="ES138" s="954"/>
      <c r="ET138" s="954"/>
      <c r="EV138" s="942"/>
      <c r="EW138" s="951"/>
      <c r="EX138" s="951"/>
      <c r="EY138" s="952"/>
    </row>
    <row r="139" spans="1:155" s="927" customFormat="1" ht="15.75" x14ac:dyDescent="0.25">
      <c r="A139" s="931"/>
      <c r="B139" s="932"/>
      <c r="C139" s="982">
        <f>C134-C135-C136-C137-C138</f>
        <v>0</v>
      </c>
      <c r="D139" s="938"/>
      <c r="E139" s="983"/>
      <c r="F139" s="936"/>
      <c r="G139" s="983"/>
      <c r="H139" s="985">
        <f>H134-H135-H136-H137-H138</f>
        <v>0</v>
      </c>
      <c r="I139" s="985">
        <f>I134-I135-I136-I137-I138</f>
        <v>0</v>
      </c>
      <c r="J139" s="937"/>
      <c r="K139" s="938"/>
      <c r="L139" s="985">
        <f>L134-L135-L136-L137-L138</f>
        <v>0</v>
      </c>
      <c r="M139" s="937"/>
      <c r="N139" s="938"/>
      <c r="O139" s="985">
        <f>O134-O135-O136-O137-O138</f>
        <v>0</v>
      </c>
      <c r="P139" s="937"/>
      <c r="Q139" s="938"/>
      <c r="R139" s="985">
        <f>R134-R135-R136-R137-R138</f>
        <v>0</v>
      </c>
      <c r="S139" s="937"/>
      <c r="T139" s="938"/>
      <c r="U139" s="985">
        <f>U134-U135-U136-U137-U138</f>
        <v>0</v>
      </c>
      <c r="V139" s="937"/>
      <c r="W139" s="938"/>
      <c r="X139" s="985">
        <f>X134-X135-X136-X137-X138</f>
        <v>0</v>
      </c>
      <c r="Y139" s="937"/>
      <c r="Z139" s="938"/>
      <c r="AA139" s="985">
        <f>AA134-AA135-AA136-AA137-AA138</f>
        <v>0</v>
      </c>
      <c r="AB139" s="937"/>
      <c r="AC139" s="938"/>
      <c r="AD139" s="985">
        <f>AD134-AD135-AD136-AD137-AD138</f>
        <v>0</v>
      </c>
      <c r="AE139" s="937"/>
      <c r="AF139" s="938"/>
      <c r="AG139" s="985">
        <f>AG134-AG135-AG136-AG137-AG138</f>
        <v>0</v>
      </c>
      <c r="AH139" s="937"/>
      <c r="AI139" s="938"/>
      <c r="AJ139" s="985">
        <f>AJ134-AJ135-AJ136-AJ137-AJ138</f>
        <v>0</v>
      </c>
      <c r="AK139" s="937"/>
      <c r="AL139" s="938"/>
      <c r="AM139" s="985">
        <f>AM134-AM135-AM136-AM137-AM138</f>
        <v>0</v>
      </c>
      <c r="AN139" s="938"/>
      <c r="AO139" s="985">
        <f>AO134-AO135-AO136-AO137-AO138</f>
        <v>0</v>
      </c>
      <c r="AP139" s="938"/>
      <c r="AQ139" s="985">
        <f t="shared" ref="AQ139:AR139" si="142">AQ134-AQ135-AQ136-AQ137-AQ138</f>
        <v>0</v>
      </c>
      <c r="AR139" s="985">
        <f t="shared" si="142"/>
        <v>0</v>
      </c>
      <c r="AS139" s="936"/>
      <c r="AT139" s="985">
        <f t="shared" ref="AT139:AW139" si="143">AT134-AT135-AT136-AT137-AT138</f>
        <v>0</v>
      </c>
      <c r="AU139" s="985">
        <f t="shared" si="143"/>
        <v>0</v>
      </c>
      <c r="AV139" s="985">
        <f t="shared" si="143"/>
        <v>0</v>
      </c>
      <c r="AW139" s="985">
        <f t="shared" si="143"/>
        <v>0</v>
      </c>
      <c r="AX139" s="939"/>
      <c r="AY139" s="939"/>
      <c r="AZ139" s="941"/>
      <c r="BA139" s="941"/>
      <c r="BB139" s="941"/>
      <c r="BC139" s="934"/>
      <c r="BD139" s="941"/>
      <c r="BE139" s="941"/>
      <c r="BF139" s="941"/>
      <c r="BG139" s="942"/>
      <c r="BH139" s="941"/>
      <c r="BI139" s="941"/>
      <c r="BJ139" s="941"/>
      <c r="BK139" s="943"/>
      <c r="BL139" s="943"/>
      <c r="BM139" s="943"/>
      <c r="BN139" s="943"/>
      <c r="BO139" s="943"/>
      <c r="BP139" s="944"/>
      <c r="BQ139" s="943"/>
      <c r="BR139" s="943"/>
      <c r="BS139" s="943"/>
      <c r="BU139" s="945"/>
      <c r="BV139" s="946"/>
      <c r="BW139" s="947"/>
      <c r="BX139" s="945"/>
      <c r="BY139" s="947"/>
      <c r="BZ139" s="946"/>
      <c r="CA139" s="947"/>
      <c r="CB139" s="946"/>
      <c r="CC139" s="947"/>
      <c r="CD139" s="947"/>
      <c r="CE139" s="947"/>
      <c r="CF139" s="948"/>
      <c r="CG139" s="949"/>
      <c r="CH139" s="949"/>
      <c r="CI139" s="950"/>
      <c r="CJ139" s="951"/>
      <c r="CK139" s="951"/>
      <c r="CL139" s="952"/>
      <c r="CM139" s="951"/>
      <c r="CN139" s="951"/>
      <c r="CO139" s="952"/>
      <c r="CP139" s="951"/>
      <c r="CQ139" s="951"/>
      <c r="CR139" s="952"/>
      <c r="CS139" s="946"/>
      <c r="CT139" s="953"/>
      <c r="CU139" s="953"/>
      <c r="CV139" s="953"/>
      <c r="CX139" s="951"/>
      <c r="CY139" s="951"/>
      <c r="CZ139" s="952"/>
      <c r="DB139" s="954"/>
      <c r="DC139" s="954"/>
      <c r="DD139" s="921"/>
      <c r="DE139" s="954"/>
      <c r="DF139" s="954"/>
      <c r="DG139" s="921"/>
      <c r="DH139" s="954"/>
      <c r="DI139" s="954"/>
      <c r="DJ139" s="921"/>
      <c r="DK139" s="954"/>
      <c r="DL139" s="954"/>
      <c r="DM139" s="921"/>
      <c r="DN139" s="954"/>
      <c r="DO139" s="954"/>
      <c r="DP139" s="921"/>
      <c r="DQ139" s="942"/>
      <c r="DR139" s="951"/>
      <c r="DS139" s="951"/>
      <c r="DT139" s="952"/>
      <c r="DV139" s="921"/>
      <c r="DW139" s="921"/>
      <c r="DX139" s="921"/>
      <c r="DY139" s="921"/>
      <c r="DZ139" s="921"/>
      <c r="EA139" s="921"/>
      <c r="EB139" s="921"/>
      <c r="EC139" s="921"/>
      <c r="ED139" s="921"/>
      <c r="EE139" s="921"/>
      <c r="EF139" s="921"/>
      <c r="EG139" s="921"/>
      <c r="EH139" s="921"/>
      <c r="EI139" s="921"/>
      <c r="EJ139" s="921"/>
      <c r="EK139" s="921"/>
      <c r="EL139" s="921"/>
      <c r="EM139" s="921"/>
      <c r="EN139" s="921"/>
      <c r="EO139" s="921"/>
      <c r="EP139" s="921"/>
      <c r="EQ139" s="954"/>
      <c r="ER139" s="954"/>
      <c r="ES139" s="954"/>
      <c r="ET139" s="954"/>
      <c r="EV139" s="942"/>
      <c r="EW139" s="951"/>
      <c r="EX139" s="951"/>
      <c r="EY139" s="952"/>
    </row>
    <row r="140" spans="1:155" s="927" customFormat="1" ht="15.75" x14ac:dyDescent="0.25">
      <c r="A140" s="931"/>
      <c r="B140" s="932" t="s">
        <v>806</v>
      </c>
      <c r="C140" s="933"/>
      <c r="D140" s="933"/>
      <c r="E140" s="934"/>
      <c r="F140" s="935"/>
      <c r="G140" s="934"/>
      <c r="H140" s="935"/>
      <c r="I140" s="936"/>
      <c r="J140" s="937"/>
      <c r="K140" s="938"/>
      <c r="L140" s="936"/>
      <c r="M140" s="937"/>
      <c r="N140" s="938"/>
      <c r="O140" s="936"/>
      <c r="P140" s="937"/>
      <c r="Q140" s="938"/>
      <c r="R140" s="936"/>
      <c r="S140" s="937"/>
      <c r="T140" s="938"/>
      <c r="U140" s="936"/>
      <c r="V140" s="937"/>
      <c r="W140" s="938"/>
      <c r="X140" s="936"/>
      <c r="Y140" s="937"/>
      <c r="Z140" s="938"/>
      <c r="AA140" s="936"/>
      <c r="AB140" s="937"/>
      <c r="AC140" s="938"/>
      <c r="AD140" s="936"/>
      <c r="AE140" s="937"/>
      <c r="AF140" s="938"/>
      <c r="AG140" s="936"/>
      <c r="AH140" s="937"/>
      <c r="AI140" s="938"/>
      <c r="AJ140" s="936"/>
      <c r="AK140" s="937"/>
      <c r="AL140" s="938"/>
      <c r="AM140" s="936"/>
      <c r="AN140" s="933"/>
      <c r="AO140" s="936"/>
      <c r="AP140" s="933"/>
      <c r="AQ140" s="935"/>
      <c r="AR140" s="936"/>
      <c r="AS140" s="935"/>
      <c r="AT140" s="939"/>
      <c r="AU140" s="933"/>
      <c r="AV140" s="940"/>
      <c r="AW140" s="389">
        <f>AW134/12-AO134</f>
        <v>2116218.87</v>
      </c>
      <c r="AX140" s="939"/>
      <c r="AY140" s="939"/>
      <c r="AZ140" s="941"/>
      <c r="BA140" s="941"/>
      <c r="BB140" s="941"/>
      <c r="BC140" s="934"/>
      <c r="BD140" s="941"/>
      <c r="BE140" s="941"/>
      <c r="BF140" s="941"/>
      <c r="BG140" s="942"/>
      <c r="BH140" s="941"/>
      <c r="BI140" s="941"/>
      <c r="BJ140" s="941"/>
      <c r="BK140" s="943"/>
      <c r="BL140" s="943"/>
      <c r="BM140" s="943"/>
      <c r="BN140" s="943"/>
      <c r="BO140" s="943"/>
      <c r="BP140" s="944"/>
      <c r="BQ140" s="943"/>
      <c r="BR140" s="943"/>
      <c r="BS140" s="943"/>
      <c r="BU140" s="945"/>
      <c r="BV140" s="946"/>
      <c r="BW140" s="947"/>
      <c r="BX140" s="945"/>
      <c r="BY140" s="947"/>
      <c r="BZ140" s="946"/>
      <c r="CA140" s="947"/>
      <c r="CB140" s="946"/>
      <c r="CC140" s="947"/>
      <c r="CD140" s="947"/>
      <c r="CE140" s="947"/>
      <c r="CF140" s="948"/>
      <c r="CG140" s="949"/>
      <c r="CH140" s="949"/>
      <c r="CI140" s="950"/>
      <c r="CJ140" s="951"/>
      <c r="CK140" s="951"/>
      <c r="CL140" s="952"/>
      <c r="CM140" s="951"/>
      <c r="CN140" s="951"/>
      <c r="CO140" s="952"/>
      <c r="CP140" s="951"/>
      <c r="CQ140" s="951"/>
      <c r="CR140" s="952"/>
      <c r="CS140" s="946"/>
      <c r="CT140" s="953"/>
      <c r="CU140" s="953"/>
      <c r="CV140" s="953"/>
      <c r="CX140" s="951"/>
      <c r="CY140" s="951"/>
      <c r="CZ140" s="952"/>
      <c r="DB140" s="954"/>
      <c r="DC140" s="954"/>
      <c r="DD140" s="921"/>
      <c r="DE140" s="954"/>
      <c r="DF140" s="954"/>
      <c r="DG140" s="921"/>
      <c r="DH140" s="954"/>
      <c r="DI140" s="954"/>
      <c r="DJ140" s="921"/>
      <c r="DK140" s="954"/>
      <c r="DL140" s="954"/>
      <c r="DM140" s="921"/>
      <c r="DN140" s="954"/>
      <c r="DO140" s="954"/>
      <c r="DP140" s="921"/>
      <c r="DQ140" s="942"/>
      <c r="DR140" s="951"/>
      <c r="DS140" s="951"/>
      <c r="DT140" s="952"/>
      <c r="DV140" s="921"/>
      <c r="DW140" s="921"/>
      <c r="DX140" s="921"/>
      <c r="DY140" s="921"/>
      <c r="DZ140" s="921"/>
      <c r="EA140" s="921"/>
      <c r="EB140" s="921"/>
      <c r="EC140" s="921"/>
      <c r="ED140" s="921"/>
      <c r="EE140" s="921"/>
      <c r="EF140" s="921"/>
      <c r="EG140" s="921"/>
      <c r="EH140" s="921"/>
      <c r="EI140" s="921"/>
      <c r="EJ140" s="921"/>
      <c r="EK140" s="921"/>
      <c r="EL140" s="921"/>
      <c r="EM140" s="921"/>
      <c r="EN140" s="921"/>
      <c r="EO140" s="921"/>
      <c r="EP140" s="921"/>
      <c r="EQ140" s="954"/>
      <c r="ER140" s="954"/>
      <c r="ES140" s="954"/>
      <c r="ET140" s="954"/>
      <c r="EV140" s="942"/>
      <c r="EW140" s="951"/>
      <c r="EX140" s="951"/>
      <c r="EY140" s="952"/>
    </row>
    <row r="141" spans="1:155" s="927" customFormat="1" ht="15.75" x14ac:dyDescent="0.25">
      <c r="A141" s="931"/>
      <c r="B141" s="932" t="s">
        <v>406</v>
      </c>
      <c r="C141" s="933"/>
      <c r="D141" s="933"/>
      <c r="E141" s="934"/>
      <c r="F141" s="935"/>
      <c r="G141" s="934"/>
      <c r="H141" s="935"/>
      <c r="I141" s="936"/>
      <c r="J141" s="937"/>
      <c r="K141" s="938"/>
      <c r="L141" s="936"/>
      <c r="M141" s="937"/>
      <c r="N141" s="938"/>
      <c r="O141" s="936"/>
      <c r="P141" s="937"/>
      <c r="Q141" s="938"/>
      <c r="R141" s="936"/>
      <c r="S141" s="937"/>
      <c r="T141" s="938"/>
      <c r="U141" s="936"/>
      <c r="V141" s="937"/>
      <c r="W141" s="938"/>
      <c r="X141" s="936"/>
      <c r="Y141" s="937"/>
      <c r="Z141" s="938"/>
      <c r="AA141" s="936"/>
      <c r="AB141" s="937"/>
      <c r="AC141" s="938"/>
      <c r="AD141" s="936"/>
      <c r="AE141" s="937"/>
      <c r="AF141" s="938"/>
      <c r="AG141" s="936"/>
      <c r="AH141" s="937"/>
      <c r="AI141" s="938"/>
      <c r="AJ141" s="936"/>
      <c r="AK141" s="937"/>
      <c r="AL141" s="938"/>
      <c r="AM141" s="936"/>
      <c r="AN141" s="933"/>
      <c r="AO141" s="936"/>
      <c r="AP141" s="933"/>
      <c r="AQ141" s="935"/>
      <c r="AR141" s="936"/>
      <c r="AS141" s="935"/>
      <c r="AT141" s="939"/>
      <c r="AU141" s="933"/>
      <c r="AV141" s="940"/>
      <c r="AW141" s="389">
        <f>AW135/12-AO135</f>
        <v>963784.8</v>
      </c>
      <c r="AX141" s="939"/>
      <c r="AY141" s="939"/>
      <c r="AZ141" s="941"/>
      <c r="BA141" s="941"/>
      <c r="BB141" s="941"/>
      <c r="BC141" s="934"/>
      <c r="BD141" s="941"/>
      <c r="BE141" s="941"/>
      <c r="BF141" s="941"/>
      <c r="BG141" s="942"/>
      <c r="BH141" s="941"/>
      <c r="BI141" s="941"/>
      <c r="BJ141" s="941"/>
      <c r="BK141" s="943"/>
      <c r="BL141" s="943"/>
      <c r="BM141" s="943"/>
      <c r="BN141" s="943"/>
      <c r="BO141" s="943"/>
      <c r="BP141" s="944"/>
      <c r="BQ141" s="943"/>
      <c r="BR141" s="943"/>
      <c r="BS141" s="943"/>
      <c r="BU141" s="945"/>
      <c r="BV141" s="946"/>
      <c r="BW141" s="947"/>
      <c r="BX141" s="945"/>
      <c r="BY141" s="947"/>
      <c r="BZ141" s="946"/>
      <c r="CA141" s="947"/>
      <c r="CB141" s="946"/>
      <c r="CC141" s="947"/>
      <c r="CD141" s="947"/>
      <c r="CE141" s="947"/>
      <c r="CF141" s="948"/>
      <c r="CG141" s="949"/>
      <c r="CH141" s="949"/>
      <c r="CI141" s="950"/>
      <c r="CJ141" s="951"/>
      <c r="CK141" s="951"/>
      <c r="CL141" s="952"/>
      <c r="CM141" s="951"/>
      <c r="CN141" s="951"/>
      <c r="CO141" s="952"/>
      <c r="CP141" s="951"/>
      <c r="CQ141" s="951"/>
      <c r="CR141" s="952"/>
      <c r="CS141" s="946"/>
      <c r="CT141" s="953"/>
      <c r="CU141" s="953"/>
      <c r="CV141" s="953"/>
      <c r="CX141" s="951"/>
      <c r="CY141" s="951"/>
      <c r="CZ141" s="952"/>
      <c r="DB141" s="954"/>
      <c r="DC141" s="954"/>
      <c r="DD141" s="921"/>
      <c r="DE141" s="954"/>
      <c r="DF141" s="954"/>
      <c r="DG141" s="921"/>
      <c r="DH141" s="954"/>
      <c r="DI141" s="954"/>
      <c r="DJ141" s="921"/>
      <c r="DK141" s="954"/>
      <c r="DL141" s="954"/>
      <c r="DM141" s="921"/>
      <c r="DN141" s="954"/>
      <c r="DO141" s="954"/>
      <c r="DP141" s="921"/>
      <c r="DQ141" s="942"/>
      <c r="DR141" s="951"/>
      <c r="DS141" s="951"/>
      <c r="DT141" s="952"/>
      <c r="DV141" s="921"/>
      <c r="DW141" s="921"/>
      <c r="DX141" s="921"/>
      <c r="DY141" s="921"/>
      <c r="DZ141" s="921"/>
      <c r="EA141" s="921"/>
      <c r="EB141" s="921"/>
      <c r="EC141" s="921"/>
      <c r="ED141" s="921"/>
      <c r="EE141" s="921"/>
      <c r="EF141" s="921"/>
      <c r="EG141" s="921"/>
      <c r="EH141" s="921"/>
      <c r="EI141" s="921"/>
      <c r="EJ141" s="921"/>
      <c r="EK141" s="921"/>
      <c r="EL141" s="921"/>
      <c r="EM141" s="921"/>
      <c r="EN141" s="921"/>
      <c r="EO141" s="921"/>
      <c r="EP141" s="921"/>
      <c r="EQ141" s="954"/>
      <c r="ER141" s="954"/>
      <c r="ES141" s="954"/>
      <c r="ET141" s="954"/>
      <c r="EV141" s="942"/>
      <c r="EW141" s="951"/>
      <c r="EX141" s="951"/>
      <c r="EY141" s="952"/>
    </row>
    <row r="142" spans="1:155" s="927" customFormat="1" ht="15.75" x14ac:dyDescent="0.25">
      <c r="A142" s="931"/>
      <c r="B142" s="932" t="s">
        <v>403</v>
      </c>
      <c r="C142" s="933"/>
      <c r="D142" s="933"/>
      <c r="E142" s="934"/>
      <c r="F142" s="935"/>
      <c r="G142" s="934"/>
      <c r="H142" s="935"/>
      <c r="I142" s="936"/>
      <c r="J142" s="937"/>
      <c r="K142" s="938"/>
      <c r="L142" s="936"/>
      <c r="M142" s="937"/>
      <c r="N142" s="938"/>
      <c r="O142" s="936"/>
      <c r="P142" s="937"/>
      <c r="Q142" s="938"/>
      <c r="R142" s="936"/>
      <c r="S142" s="937"/>
      <c r="T142" s="938"/>
      <c r="U142" s="936"/>
      <c r="V142" s="937"/>
      <c r="W142" s="938"/>
      <c r="X142" s="936"/>
      <c r="Y142" s="937"/>
      <c r="Z142" s="938"/>
      <c r="AA142" s="936"/>
      <c r="AB142" s="937"/>
      <c r="AC142" s="938"/>
      <c r="AD142" s="936"/>
      <c r="AE142" s="937"/>
      <c r="AF142" s="938"/>
      <c r="AG142" s="936"/>
      <c r="AH142" s="937"/>
      <c r="AI142" s="938"/>
      <c r="AJ142" s="936"/>
      <c r="AK142" s="937"/>
      <c r="AL142" s="938"/>
      <c r="AM142" s="936"/>
      <c r="AN142" s="933"/>
      <c r="AO142" s="936"/>
      <c r="AP142" s="933"/>
      <c r="AQ142" s="935"/>
      <c r="AR142" s="936"/>
      <c r="AS142" s="935"/>
      <c r="AT142" s="939"/>
      <c r="AU142" s="933"/>
      <c r="AV142" s="940"/>
      <c r="AW142" s="389">
        <f>AW136/12-AO136</f>
        <v>415613.56</v>
      </c>
      <c r="AX142" s="939"/>
      <c r="AY142" s="939"/>
      <c r="AZ142" s="941"/>
      <c r="BA142" s="941"/>
      <c r="BB142" s="941"/>
      <c r="BC142" s="934"/>
      <c r="BD142" s="941"/>
      <c r="BE142" s="941"/>
      <c r="BF142" s="941"/>
      <c r="BG142" s="942"/>
      <c r="BH142" s="941"/>
      <c r="BI142" s="941"/>
      <c r="BJ142" s="941"/>
      <c r="BK142" s="943"/>
      <c r="BL142" s="943"/>
      <c r="BM142" s="943"/>
      <c r="BN142" s="943"/>
      <c r="BO142" s="943"/>
      <c r="BP142" s="944"/>
      <c r="BQ142" s="943"/>
      <c r="BR142" s="943"/>
      <c r="BS142" s="943"/>
      <c r="BU142" s="945"/>
      <c r="BV142" s="946"/>
      <c r="BW142" s="947"/>
      <c r="BX142" s="945"/>
      <c r="BY142" s="947"/>
      <c r="BZ142" s="946"/>
      <c r="CA142" s="947"/>
      <c r="CB142" s="946"/>
      <c r="CC142" s="947"/>
      <c r="CD142" s="947"/>
      <c r="CE142" s="947"/>
      <c r="CF142" s="948"/>
      <c r="CG142" s="949"/>
      <c r="CH142" s="949"/>
      <c r="CI142" s="950"/>
      <c r="CJ142" s="951"/>
      <c r="CK142" s="951"/>
      <c r="CL142" s="952"/>
      <c r="CM142" s="951"/>
      <c r="CN142" s="951"/>
      <c r="CO142" s="952"/>
      <c r="CP142" s="951"/>
      <c r="CQ142" s="951"/>
      <c r="CR142" s="952"/>
      <c r="CS142" s="946"/>
      <c r="CT142" s="953"/>
      <c r="CU142" s="953"/>
      <c r="CV142" s="953"/>
      <c r="CX142" s="951"/>
      <c r="CY142" s="951"/>
      <c r="CZ142" s="952"/>
      <c r="DB142" s="954"/>
      <c r="DC142" s="954"/>
      <c r="DD142" s="921"/>
      <c r="DE142" s="954"/>
      <c r="DF142" s="954"/>
      <c r="DG142" s="921"/>
      <c r="DH142" s="954"/>
      <c r="DI142" s="954"/>
      <c r="DJ142" s="921"/>
      <c r="DK142" s="954"/>
      <c r="DL142" s="954"/>
      <c r="DM142" s="921"/>
      <c r="DN142" s="954"/>
      <c r="DO142" s="954"/>
      <c r="DP142" s="921"/>
      <c r="DQ142" s="942"/>
      <c r="DR142" s="951"/>
      <c r="DS142" s="951"/>
      <c r="DT142" s="952"/>
      <c r="DV142" s="921"/>
      <c r="DW142" s="921"/>
      <c r="DX142" s="921"/>
      <c r="DY142" s="921"/>
      <c r="DZ142" s="921"/>
      <c r="EA142" s="921"/>
      <c r="EB142" s="921"/>
      <c r="EC142" s="921"/>
      <c r="ED142" s="921"/>
      <c r="EE142" s="921"/>
      <c r="EF142" s="921"/>
      <c r="EG142" s="921"/>
      <c r="EH142" s="921"/>
      <c r="EI142" s="921"/>
      <c r="EJ142" s="921"/>
      <c r="EK142" s="921"/>
      <c r="EL142" s="921"/>
      <c r="EM142" s="921"/>
      <c r="EN142" s="921"/>
      <c r="EO142" s="921"/>
      <c r="EP142" s="921"/>
      <c r="EQ142" s="954"/>
      <c r="ER142" s="954"/>
      <c r="ES142" s="954"/>
      <c r="ET142" s="954"/>
      <c r="EV142" s="942"/>
      <c r="EW142" s="951"/>
      <c r="EX142" s="951"/>
      <c r="EY142" s="952"/>
    </row>
    <row r="143" spans="1:155" s="927" customFormat="1" ht="15.75" x14ac:dyDescent="0.25">
      <c r="A143" s="931"/>
      <c r="B143" s="932" t="s">
        <v>404</v>
      </c>
      <c r="C143" s="933"/>
      <c r="D143" s="933"/>
      <c r="E143" s="934"/>
      <c r="F143" s="935"/>
      <c r="G143" s="934"/>
      <c r="H143" s="935"/>
      <c r="I143" s="936"/>
      <c r="J143" s="937"/>
      <c r="K143" s="938"/>
      <c r="L143" s="936"/>
      <c r="M143" s="937"/>
      <c r="N143" s="938"/>
      <c r="O143" s="936"/>
      <c r="P143" s="937"/>
      <c r="Q143" s="938"/>
      <c r="R143" s="936"/>
      <c r="S143" s="937"/>
      <c r="T143" s="938"/>
      <c r="U143" s="936"/>
      <c r="V143" s="937"/>
      <c r="W143" s="938"/>
      <c r="X143" s="936"/>
      <c r="Y143" s="937"/>
      <c r="Z143" s="938"/>
      <c r="AA143" s="936"/>
      <c r="AB143" s="937"/>
      <c r="AC143" s="938"/>
      <c r="AD143" s="936"/>
      <c r="AE143" s="937"/>
      <c r="AF143" s="938"/>
      <c r="AG143" s="936"/>
      <c r="AH143" s="937"/>
      <c r="AI143" s="938"/>
      <c r="AJ143" s="936"/>
      <c r="AK143" s="937"/>
      <c r="AL143" s="938"/>
      <c r="AM143" s="936"/>
      <c r="AN143" s="933"/>
      <c r="AO143" s="936"/>
      <c r="AP143" s="933"/>
      <c r="AQ143" s="935"/>
      <c r="AR143" s="936"/>
      <c r="AS143" s="935"/>
      <c r="AT143" s="939"/>
      <c r="AU143" s="933"/>
      <c r="AV143" s="940"/>
      <c r="AW143" s="389">
        <f>AW137/12-AO137</f>
        <v>637391.96</v>
      </c>
      <c r="AX143" s="939"/>
      <c r="AY143" s="939"/>
      <c r="AZ143" s="941"/>
      <c r="BA143" s="941"/>
      <c r="BB143" s="941"/>
      <c r="BC143" s="934"/>
      <c r="BD143" s="941"/>
      <c r="BE143" s="941"/>
      <c r="BF143" s="941"/>
      <c r="BG143" s="942"/>
      <c r="BH143" s="941"/>
      <c r="BI143" s="941"/>
      <c r="BJ143" s="941"/>
      <c r="BK143" s="943"/>
      <c r="BL143" s="943"/>
      <c r="BM143" s="943"/>
      <c r="BN143" s="943"/>
      <c r="BO143" s="943"/>
      <c r="BP143" s="944"/>
      <c r="BQ143" s="943"/>
      <c r="BR143" s="943"/>
      <c r="BS143" s="943"/>
      <c r="BU143" s="945"/>
      <c r="BV143" s="946"/>
      <c r="BW143" s="947"/>
      <c r="BX143" s="945"/>
      <c r="BY143" s="947"/>
      <c r="BZ143" s="946"/>
      <c r="CA143" s="947"/>
      <c r="CB143" s="946"/>
      <c r="CC143" s="947"/>
      <c r="CD143" s="947"/>
      <c r="CE143" s="947"/>
      <c r="CF143" s="948"/>
      <c r="CG143" s="949"/>
      <c r="CH143" s="949"/>
      <c r="CI143" s="950"/>
      <c r="CJ143" s="951"/>
      <c r="CK143" s="951"/>
      <c r="CL143" s="952"/>
      <c r="CM143" s="951"/>
      <c r="CN143" s="951"/>
      <c r="CO143" s="952"/>
      <c r="CP143" s="951"/>
      <c r="CQ143" s="951"/>
      <c r="CR143" s="952"/>
      <c r="CS143" s="946"/>
      <c r="CT143" s="953"/>
      <c r="CU143" s="953"/>
      <c r="CV143" s="953"/>
      <c r="CX143" s="951"/>
      <c r="CY143" s="951"/>
      <c r="CZ143" s="952"/>
      <c r="DB143" s="954"/>
      <c r="DC143" s="954"/>
      <c r="DD143" s="921"/>
      <c r="DE143" s="954"/>
      <c r="DF143" s="954"/>
      <c r="DG143" s="921"/>
      <c r="DH143" s="954"/>
      <c r="DI143" s="954"/>
      <c r="DJ143" s="921"/>
      <c r="DK143" s="954"/>
      <c r="DL143" s="954"/>
      <c r="DM143" s="921"/>
      <c r="DN143" s="954"/>
      <c r="DO143" s="954"/>
      <c r="DP143" s="921"/>
      <c r="DQ143" s="942"/>
      <c r="DR143" s="951"/>
      <c r="DS143" s="951"/>
      <c r="DT143" s="952"/>
      <c r="DV143" s="921"/>
      <c r="DW143" s="921"/>
      <c r="DX143" s="921"/>
      <c r="DY143" s="921"/>
      <c r="DZ143" s="921"/>
      <c r="EA143" s="921"/>
      <c r="EB143" s="921"/>
      <c r="EC143" s="921"/>
      <c r="ED143" s="921"/>
      <c r="EE143" s="921"/>
      <c r="EF143" s="921"/>
      <c r="EG143" s="921"/>
      <c r="EH143" s="921"/>
      <c r="EI143" s="921"/>
      <c r="EJ143" s="921"/>
      <c r="EK143" s="921"/>
      <c r="EL143" s="921"/>
      <c r="EM143" s="921"/>
      <c r="EN143" s="921"/>
      <c r="EO143" s="921"/>
      <c r="EP143" s="921"/>
      <c r="EQ143" s="954"/>
      <c r="ER143" s="954"/>
      <c r="ES143" s="954"/>
      <c r="ET143" s="954"/>
      <c r="EV143" s="942"/>
      <c r="EW143" s="951"/>
      <c r="EX143" s="951"/>
      <c r="EY143" s="952"/>
    </row>
    <row r="144" spans="1:155" s="927" customFormat="1" ht="15.75" x14ac:dyDescent="0.25">
      <c r="A144" s="931"/>
      <c r="B144" s="932" t="s">
        <v>405</v>
      </c>
      <c r="C144" s="933"/>
      <c r="D144" s="933"/>
      <c r="E144" s="934"/>
      <c r="F144" s="935"/>
      <c r="G144" s="934"/>
      <c r="H144" s="935"/>
      <c r="I144" s="936"/>
      <c r="J144" s="937"/>
      <c r="K144" s="938"/>
      <c r="L144" s="936"/>
      <c r="M144" s="937"/>
      <c r="N144" s="938"/>
      <c r="O144" s="936"/>
      <c r="P144" s="937"/>
      <c r="Q144" s="938"/>
      <c r="R144" s="936"/>
      <c r="S144" s="937"/>
      <c r="T144" s="938"/>
      <c r="U144" s="936"/>
      <c r="V144" s="937"/>
      <c r="W144" s="938"/>
      <c r="X144" s="936"/>
      <c r="Y144" s="937"/>
      <c r="Z144" s="938"/>
      <c r="AA144" s="936"/>
      <c r="AB144" s="937"/>
      <c r="AC144" s="938"/>
      <c r="AD144" s="936"/>
      <c r="AE144" s="937"/>
      <c r="AF144" s="938"/>
      <c r="AG144" s="936"/>
      <c r="AH144" s="937"/>
      <c r="AI144" s="938"/>
      <c r="AJ144" s="936"/>
      <c r="AK144" s="937"/>
      <c r="AL144" s="938"/>
      <c r="AM144" s="936"/>
      <c r="AN144" s="933"/>
      <c r="AO144" s="936"/>
      <c r="AP144" s="933"/>
      <c r="AQ144" s="935"/>
      <c r="AR144" s="936"/>
      <c r="AS144" s="935"/>
      <c r="AT144" s="939"/>
      <c r="AU144" s="933"/>
      <c r="AV144" s="940"/>
      <c r="AW144" s="389">
        <f>AW138/12-AO138</f>
        <v>99428.55</v>
      </c>
      <c r="AX144" s="939"/>
      <c r="AY144" s="939"/>
      <c r="AZ144" s="941"/>
      <c r="BA144" s="941"/>
      <c r="BB144" s="941"/>
      <c r="BC144" s="934"/>
      <c r="BD144" s="941"/>
      <c r="BE144" s="941"/>
      <c r="BF144" s="941"/>
      <c r="BG144" s="942"/>
      <c r="BH144" s="941"/>
      <c r="BI144" s="941"/>
      <c r="BJ144" s="941"/>
      <c r="BK144" s="943"/>
      <c r="BL144" s="943"/>
      <c r="BM144" s="943"/>
      <c r="BN144" s="943"/>
      <c r="BO144" s="943"/>
      <c r="BP144" s="944"/>
      <c r="BQ144" s="943"/>
      <c r="BR144" s="943"/>
      <c r="BS144" s="943"/>
      <c r="BU144" s="945"/>
      <c r="BV144" s="946"/>
      <c r="BW144" s="947"/>
      <c r="BX144" s="945"/>
      <c r="BY144" s="947"/>
      <c r="BZ144" s="946"/>
      <c r="CA144" s="947"/>
      <c r="CB144" s="946"/>
      <c r="CC144" s="947"/>
      <c r="CD144" s="947"/>
      <c r="CE144" s="947"/>
      <c r="CF144" s="948"/>
      <c r="CG144" s="949"/>
      <c r="CH144" s="949"/>
      <c r="CI144" s="950"/>
      <c r="CJ144" s="951"/>
      <c r="CK144" s="951"/>
      <c r="CL144" s="952"/>
      <c r="CM144" s="951"/>
      <c r="CN144" s="951"/>
      <c r="CO144" s="952"/>
      <c r="CP144" s="951"/>
      <c r="CQ144" s="951"/>
      <c r="CR144" s="952"/>
      <c r="CS144" s="946"/>
      <c r="CT144" s="953"/>
      <c r="CU144" s="953"/>
      <c r="CV144" s="953"/>
      <c r="CX144" s="951"/>
      <c r="CY144" s="951"/>
      <c r="CZ144" s="952"/>
      <c r="DB144" s="954"/>
      <c r="DC144" s="954"/>
      <c r="DD144" s="921"/>
      <c r="DE144" s="954"/>
      <c r="DF144" s="954"/>
      <c r="DG144" s="921"/>
      <c r="DH144" s="954"/>
      <c r="DI144" s="954"/>
      <c r="DJ144" s="921"/>
      <c r="DK144" s="954"/>
      <c r="DL144" s="954"/>
      <c r="DM144" s="921"/>
      <c r="DN144" s="954"/>
      <c r="DO144" s="954"/>
      <c r="DP144" s="921"/>
      <c r="DQ144" s="942"/>
      <c r="DR144" s="951"/>
      <c r="DS144" s="951"/>
      <c r="DT144" s="952"/>
      <c r="DV144" s="921"/>
      <c r="DW144" s="921"/>
      <c r="DX144" s="921"/>
      <c r="DY144" s="921"/>
      <c r="DZ144" s="921"/>
      <c r="EA144" s="921"/>
      <c r="EB144" s="921"/>
      <c r="EC144" s="921"/>
      <c r="ED144" s="921"/>
      <c r="EE144" s="921"/>
      <c r="EF144" s="921"/>
      <c r="EG144" s="921"/>
      <c r="EH144" s="921"/>
      <c r="EI144" s="921"/>
      <c r="EJ144" s="921"/>
      <c r="EK144" s="921"/>
      <c r="EL144" s="921"/>
      <c r="EM144" s="921"/>
      <c r="EN144" s="921"/>
      <c r="EO144" s="921"/>
      <c r="EP144" s="921"/>
      <c r="EQ144" s="954"/>
      <c r="ER144" s="954"/>
      <c r="ES144" s="954"/>
      <c r="ET144" s="954"/>
      <c r="EV144" s="942"/>
      <c r="EW144" s="951"/>
      <c r="EX144" s="951"/>
      <c r="EY144" s="952"/>
    </row>
    <row r="145" spans="1:155" s="927" customFormat="1" ht="15.75" x14ac:dyDescent="0.25">
      <c r="A145" s="931"/>
      <c r="B145" s="932" t="s">
        <v>499</v>
      </c>
      <c r="C145" s="933"/>
      <c r="D145" s="933"/>
      <c r="E145" s="934"/>
      <c r="F145" s="935"/>
      <c r="G145" s="934"/>
      <c r="H145" s="935"/>
      <c r="I145" s="936"/>
      <c r="J145" s="937"/>
      <c r="K145" s="938"/>
      <c r="L145" s="936"/>
      <c r="M145" s="937"/>
      <c r="N145" s="938"/>
      <c r="O145" s="936"/>
      <c r="P145" s="937"/>
      <c r="Q145" s="938"/>
      <c r="R145" s="936"/>
      <c r="S145" s="937"/>
      <c r="T145" s="938"/>
      <c r="U145" s="936"/>
      <c r="V145" s="937"/>
      <c r="W145" s="938"/>
      <c r="X145" s="936"/>
      <c r="Y145" s="937"/>
      <c r="Z145" s="938"/>
      <c r="AA145" s="936"/>
      <c r="AB145" s="937"/>
      <c r="AC145" s="938"/>
      <c r="AD145" s="936"/>
      <c r="AE145" s="937"/>
      <c r="AF145" s="938"/>
      <c r="AG145" s="936"/>
      <c r="AH145" s="937"/>
      <c r="AI145" s="938"/>
      <c r="AJ145" s="936"/>
      <c r="AK145" s="937"/>
      <c r="AL145" s="938"/>
      <c r="AM145" s="936"/>
      <c r="AN145" s="933"/>
      <c r="AO145" s="936"/>
      <c r="AP145" s="933"/>
      <c r="AQ145" s="935"/>
      <c r="AR145" s="936"/>
      <c r="AS145" s="935"/>
      <c r="AT145" s="939"/>
      <c r="AU145" s="933"/>
      <c r="AV145" s="940"/>
      <c r="AW145" s="986"/>
      <c r="AX145" s="939"/>
      <c r="AY145" s="939"/>
      <c r="AZ145" s="941"/>
      <c r="BA145" s="941"/>
      <c r="BB145" s="941"/>
      <c r="BC145" s="934"/>
      <c r="BD145" s="941"/>
      <c r="BE145" s="941"/>
      <c r="BF145" s="941"/>
      <c r="BG145" s="942"/>
      <c r="BH145" s="941"/>
      <c r="BI145" s="941"/>
      <c r="BJ145" s="941"/>
      <c r="BK145" s="943"/>
      <c r="BL145" s="943"/>
      <c r="BM145" s="943"/>
      <c r="BN145" s="943"/>
      <c r="BO145" s="943"/>
      <c r="BP145" s="944"/>
      <c r="BQ145" s="943"/>
      <c r="BR145" s="943"/>
      <c r="BS145" s="943"/>
      <c r="BU145" s="945"/>
      <c r="BV145" s="946"/>
      <c r="BW145" s="947"/>
      <c r="BX145" s="945"/>
      <c r="BY145" s="947"/>
      <c r="BZ145" s="946"/>
      <c r="CA145" s="947"/>
      <c r="CB145" s="946"/>
      <c r="CC145" s="947"/>
      <c r="CD145" s="947"/>
      <c r="CE145" s="947"/>
      <c r="CF145" s="948"/>
      <c r="CG145" s="949"/>
      <c r="CH145" s="949"/>
      <c r="CI145" s="950"/>
      <c r="CJ145" s="951"/>
      <c r="CK145" s="951"/>
      <c r="CL145" s="952"/>
      <c r="CM145" s="951"/>
      <c r="CN145" s="951"/>
      <c r="CO145" s="952"/>
      <c r="CP145" s="951"/>
      <c r="CQ145" s="951"/>
      <c r="CR145" s="952"/>
      <c r="CS145" s="946"/>
      <c r="CT145" s="953"/>
      <c r="CU145" s="953"/>
      <c r="CV145" s="953"/>
      <c r="CX145" s="951"/>
      <c r="CY145" s="951"/>
      <c r="CZ145" s="952"/>
      <c r="DB145" s="954"/>
      <c r="DC145" s="954"/>
      <c r="DD145" s="921"/>
      <c r="DE145" s="954"/>
      <c r="DF145" s="954"/>
      <c r="DG145" s="921"/>
      <c r="DH145" s="954"/>
      <c r="DI145" s="954"/>
      <c r="DJ145" s="921"/>
      <c r="DK145" s="954"/>
      <c r="DL145" s="954"/>
      <c r="DM145" s="921"/>
      <c r="DN145" s="954"/>
      <c r="DO145" s="954"/>
      <c r="DP145" s="921"/>
      <c r="DQ145" s="942"/>
      <c r="DR145" s="951"/>
      <c r="DS145" s="951"/>
      <c r="DT145" s="952"/>
      <c r="DV145" s="921"/>
      <c r="DW145" s="921"/>
      <c r="DX145" s="921"/>
      <c r="DY145" s="921"/>
      <c r="DZ145" s="921"/>
      <c r="EA145" s="921"/>
      <c r="EB145" s="921"/>
      <c r="EC145" s="921"/>
      <c r="ED145" s="921"/>
      <c r="EE145" s="921"/>
      <c r="EF145" s="921"/>
      <c r="EG145" s="921"/>
      <c r="EH145" s="921"/>
      <c r="EI145" s="921"/>
      <c r="EJ145" s="921"/>
      <c r="EK145" s="921"/>
      <c r="EL145" s="921"/>
      <c r="EM145" s="921"/>
      <c r="EN145" s="921"/>
      <c r="EO145" s="921"/>
      <c r="EP145" s="921"/>
      <c r="EQ145" s="954"/>
      <c r="ER145" s="954"/>
      <c r="ES145" s="954"/>
      <c r="ET145" s="954"/>
      <c r="EV145" s="942"/>
      <c r="EW145" s="951"/>
      <c r="EX145" s="951"/>
      <c r="EY145" s="952"/>
    </row>
    <row r="146" spans="1:155" s="927" customFormat="1" ht="15.75" x14ac:dyDescent="0.25">
      <c r="A146" s="931"/>
      <c r="B146" s="932" t="s">
        <v>406</v>
      </c>
      <c r="C146" s="933"/>
      <c r="D146" s="933"/>
      <c r="E146" s="934"/>
      <c r="F146" s="935"/>
      <c r="G146" s="934"/>
      <c r="H146" s="935"/>
      <c r="I146" s="936"/>
      <c r="J146" s="937"/>
      <c r="K146" s="938"/>
      <c r="L146" s="936"/>
      <c r="M146" s="937"/>
      <c r="N146" s="938"/>
      <c r="O146" s="936"/>
      <c r="P146" s="937"/>
      <c r="Q146" s="938"/>
      <c r="R146" s="936"/>
      <c r="S146" s="937"/>
      <c r="T146" s="938"/>
      <c r="U146" s="936"/>
      <c r="V146" s="937"/>
      <c r="W146" s="938"/>
      <c r="X146" s="936"/>
      <c r="Y146" s="937"/>
      <c r="Z146" s="938"/>
      <c r="AA146" s="936"/>
      <c r="AB146" s="937"/>
      <c r="AC146" s="938"/>
      <c r="AD146" s="936"/>
      <c r="AE146" s="937"/>
      <c r="AF146" s="938"/>
      <c r="AG146" s="936"/>
      <c r="AH146" s="937"/>
      <c r="AI146" s="938"/>
      <c r="AJ146" s="936"/>
      <c r="AK146" s="937"/>
      <c r="AL146" s="938"/>
      <c r="AM146" s="936"/>
      <c r="AN146" s="933"/>
      <c r="AO146" s="936"/>
      <c r="AP146" s="933"/>
      <c r="AQ146" s="935"/>
      <c r="AR146" s="936"/>
      <c r="AS146" s="935"/>
      <c r="AT146" s="939"/>
      <c r="AU146" s="933"/>
      <c r="AV146" s="940"/>
      <c r="AW146" s="336">
        <f>AW141/I135</f>
        <v>1.38046</v>
      </c>
      <c r="AX146" s="939"/>
      <c r="AY146" s="939"/>
      <c r="AZ146" s="941"/>
      <c r="BA146" s="941"/>
      <c r="BB146" s="941"/>
      <c r="BC146" s="934"/>
      <c r="BD146" s="941"/>
      <c r="BE146" s="941"/>
      <c r="BF146" s="941"/>
      <c r="BG146" s="942"/>
      <c r="BH146" s="941"/>
      <c r="BI146" s="941"/>
      <c r="BJ146" s="941"/>
      <c r="BK146" s="943"/>
      <c r="BL146" s="943"/>
      <c r="BM146" s="943"/>
      <c r="BN146" s="943"/>
      <c r="BO146" s="943"/>
      <c r="BP146" s="944"/>
      <c r="BQ146" s="943"/>
      <c r="BR146" s="943"/>
      <c r="BS146" s="943"/>
      <c r="BU146" s="945"/>
      <c r="BV146" s="946"/>
      <c r="BW146" s="947"/>
      <c r="BX146" s="945"/>
      <c r="BY146" s="947"/>
      <c r="BZ146" s="946"/>
      <c r="CA146" s="947"/>
      <c r="CB146" s="946"/>
      <c r="CC146" s="947"/>
      <c r="CD146" s="947"/>
      <c r="CE146" s="947"/>
      <c r="CF146" s="948"/>
      <c r="CG146" s="949"/>
      <c r="CH146" s="949"/>
      <c r="CI146" s="950"/>
      <c r="CJ146" s="951"/>
      <c r="CK146" s="951"/>
      <c r="CL146" s="952"/>
      <c r="CM146" s="951"/>
      <c r="CN146" s="951"/>
      <c r="CO146" s="952"/>
      <c r="CP146" s="951"/>
      <c r="CQ146" s="951"/>
      <c r="CR146" s="952"/>
      <c r="CS146" s="946"/>
      <c r="CT146" s="953"/>
      <c r="CU146" s="953"/>
      <c r="CV146" s="953"/>
      <c r="CX146" s="951"/>
      <c r="CY146" s="951"/>
      <c r="CZ146" s="952"/>
      <c r="DB146" s="954"/>
      <c r="DC146" s="954"/>
      <c r="DD146" s="921"/>
      <c r="DE146" s="954"/>
      <c r="DF146" s="954"/>
      <c r="DG146" s="921"/>
      <c r="DH146" s="954"/>
      <c r="DI146" s="954"/>
      <c r="DJ146" s="921"/>
      <c r="DK146" s="954"/>
      <c r="DL146" s="954"/>
      <c r="DM146" s="921"/>
      <c r="DN146" s="954"/>
      <c r="DO146" s="954"/>
      <c r="DP146" s="921"/>
      <c r="DQ146" s="942"/>
      <c r="DR146" s="951"/>
      <c r="DS146" s="951"/>
      <c r="DT146" s="952"/>
      <c r="DV146" s="921"/>
      <c r="DW146" s="921"/>
      <c r="DX146" s="921"/>
      <c r="DY146" s="921"/>
      <c r="DZ146" s="921"/>
      <c r="EA146" s="921"/>
      <c r="EB146" s="921"/>
      <c r="EC146" s="921"/>
      <c r="ED146" s="921"/>
      <c r="EE146" s="921"/>
      <c r="EF146" s="921"/>
      <c r="EG146" s="921"/>
      <c r="EH146" s="921"/>
      <c r="EI146" s="921"/>
      <c r="EJ146" s="921"/>
      <c r="EK146" s="921"/>
      <c r="EL146" s="921"/>
      <c r="EM146" s="921"/>
      <c r="EN146" s="921"/>
      <c r="EO146" s="921"/>
      <c r="EP146" s="921"/>
      <c r="EQ146" s="954"/>
      <c r="ER146" s="954"/>
      <c r="ES146" s="954"/>
      <c r="ET146" s="954"/>
      <c r="EV146" s="942"/>
      <c r="EW146" s="951"/>
      <c r="EX146" s="951"/>
      <c r="EY146" s="952"/>
    </row>
    <row r="147" spans="1:155" s="927" customFormat="1" ht="15.75" x14ac:dyDescent="0.25">
      <c r="A147" s="931"/>
      <c r="B147" s="932" t="s">
        <v>498</v>
      </c>
      <c r="C147" s="933"/>
      <c r="D147" s="933"/>
      <c r="E147" s="934"/>
      <c r="F147" s="935"/>
      <c r="G147" s="934"/>
      <c r="H147" s="935"/>
      <c r="I147" s="936"/>
      <c r="J147" s="937"/>
      <c r="K147" s="938"/>
      <c r="L147" s="936"/>
      <c r="M147" s="937"/>
      <c r="N147" s="938"/>
      <c r="O147" s="936"/>
      <c r="P147" s="937"/>
      <c r="Q147" s="938"/>
      <c r="R147" s="936"/>
      <c r="S147" s="937"/>
      <c r="T147" s="938"/>
      <c r="U147" s="936"/>
      <c r="V147" s="937"/>
      <c r="W147" s="938"/>
      <c r="X147" s="936"/>
      <c r="Y147" s="937"/>
      <c r="Z147" s="938"/>
      <c r="AA147" s="936"/>
      <c r="AB147" s="937"/>
      <c r="AC147" s="938"/>
      <c r="AD147" s="936"/>
      <c r="AE147" s="937"/>
      <c r="AF147" s="938"/>
      <c r="AG147" s="936"/>
      <c r="AH147" s="937"/>
      <c r="AI147" s="938"/>
      <c r="AJ147" s="936"/>
      <c r="AK147" s="937"/>
      <c r="AL147" s="938"/>
      <c r="AM147" s="936"/>
      <c r="AN147" s="933"/>
      <c r="AO147" s="936"/>
      <c r="AP147" s="933"/>
      <c r="AQ147" s="935"/>
      <c r="AR147" s="936"/>
      <c r="AS147" s="935"/>
      <c r="AT147" s="939"/>
      <c r="AU147" s="933"/>
      <c r="AV147" s="940"/>
      <c r="AW147" s="986"/>
      <c r="AX147" s="939"/>
      <c r="AY147" s="939"/>
      <c r="AZ147" s="941"/>
      <c r="BA147" s="941"/>
      <c r="BB147" s="941"/>
      <c r="BC147" s="934"/>
      <c r="BD147" s="941"/>
      <c r="BE147" s="941"/>
      <c r="BF147" s="941"/>
      <c r="BG147" s="942"/>
      <c r="BH147" s="941"/>
      <c r="BI147" s="941"/>
      <c r="BJ147" s="941"/>
      <c r="BK147" s="943"/>
      <c r="BL147" s="943"/>
      <c r="BM147" s="943"/>
      <c r="BN147" s="943"/>
      <c r="BO147" s="943"/>
      <c r="BP147" s="944"/>
      <c r="BQ147" s="943"/>
      <c r="BR147" s="943"/>
      <c r="BS147" s="943"/>
      <c r="BU147" s="945"/>
      <c r="BV147" s="946"/>
      <c r="BW147" s="947"/>
      <c r="BX147" s="945"/>
      <c r="BY147" s="947"/>
      <c r="BZ147" s="946"/>
      <c r="CA147" s="947"/>
      <c r="CB147" s="946"/>
      <c r="CC147" s="947"/>
      <c r="CD147" s="947"/>
      <c r="CE147" s="947"/>
      <c r="CF147" s="948"/>
      <c r="CG147" s="949"/>
      <c r="CH147" s="949"/>
      <c r="CI147" s="950"/>
      <c r="CJ147" s="951"/>
      <c r="CK147" s="951"/>
      <c r="CL147" s="952"/>
      <c r="CM147" s="951"/>
      <c r="CN147" s="951"/>
      <c r="CO147" s="952"/>
      <c r="CP147" s="951"/>
      <c r="CQ147" s="951"/>
      <c r="CR147" s="952"/>
      <c r="CS147" s="946"/>
      <c r="CT147" s="953"/>
      <c r="CU147" s="953"/>
      <c r="CV147" s="953"/>
      <c r="CX147" s="951"/>
      <c r="CY147" s="951"/>
      <c r="CZ147" s="952"/>
      <c r="DB147" s="954"/>
      <c r="DC147" s="954"/>
      <c r="DD147" s="921"/>
      <c r="DE147" s="954"/>
      <c r="DF147" s="954"/>
      <c r="DG147" s="921"/>
      <c r="DH147" s="954"/>
      <c r="DI147" s="954"/>
      <c r="DJ147" s="921"/>
      <c r="DK147" s="954"/>
      <c r="DL147" s="954"/>
      <c r="DM147" s="921"/>
      <c r="DN147" s="954"/>
      <c r="DO147" s="954"/>
      <c r="DP147" s="921"/>
      <c r="DQ147" s="942"/>
      <c r="DR147" s="951"/>
      <c r="DS147" s="951"/>
      <c r="DT147" s="952"/>
      <c r="DV147" s="921"/>
      <c r="DW147" s="921"/>
      <c r="DX147" s="921"/>
      <c r="DY147" s="921"/>
      <c r="DZ147" s="921"/>
      <c r="EA147" s="921"/>
      <c r="EB147" s="921"/>
      <c r="EC147" s="921"/>
      <c r="ED147" s="921"/>
      <c r="EE147" s="921"/>
      <c r="EF147" s="921"/>
      <c r="EG147" s="921"/>
      <c r="EH147" s="921"/>
      <c r="EI147" s="921"/>
      <c r="EJ147" s="921"/>
      <c r="EK147" s="921"/>
      <c r="EL147" s="921"/>
      <c r="EM147" s="921"/>
      <c r="EN147" s="921"/>
      <c r="EO147" s="921"/>
      <c r="EP147" s="921"/>
      <c r="EQ147" s="954"/>
      <c r="ER147" s="954"/>
      <c r="ES147" s="954"/>
      <c r="ET147" s="954"/>
      <c r="EV147" s="942"/>
      <c r="EW147" s="951"/>
      <c r="EX147" s="951"/>
      <c r="EY147" s="952"/>
    </row>
    <row r="148" spans="1:155" s="927" customFormat="1" ht="15.75" x14ac:dyDescent="0.25">
      <c r="A148" s="931"/>
      <c r="B148" s="932" t="s">
        <v>403</v>
      </c>
      <c r="C148" s="933"/>
      <c r="D148" s="933"/>
      <c r="E148" s="934"/>
      <c r="F148" s="935"/>
      <c r="G148" s="934"/>
      <c r="H148" s="935"/>
      <c r="I148" s="936"/>
      <c r="J148" s="937"/>
      <c r="K148" s="938"/>
      <c r="L148" s="936"/>
      <c r="M148" s="937"/>
      <c r="N148" s="938"/>
      <c r="O148" s="936"/>
      <c r="P148" s="937"/>
      <c r="Q148" s="938"/>
      <c r="R148" s="936"/>
      <c r="S148" s="937"/>
      <c r="T148" s="938"/>
      <c r="U148" s="936"/>
      <c r="V148" s="937"/>
      <c r="W148" s="938"/>
      <c r="X148" s="936"/>
      <c r="Y148" s="937"/>
      <c r="Z148" s="938"/>
      <c r="AA148" s="936"/>
      <c r="AB148" s="937"/>
      <c r="AC148" s="938"/>
      <c r="AD148" s="936"/>
      <c r="AE148" s="937"/>
      <c r="AF148" s="938"/>
      <c r="AG148" s="936"/>
      <c r="AH148" s="937"/>
      <c r="AI148" s="938"/>
      <c r="AJ148" s="936"/>
      <c r="AK148" s="937"/>
      <c r="AL148" s="938"/>
      <c r="AM148" s="936"/>
      <c r="AN148" s="933"/>
      <c r="AO148" s="936"/>
      <c r="AP148" s="933"/>
      <c r="AQ148" s="935"/>
      <c r="AR148" s="936"/>
      <c r="AS148" s="935"/>
      <c r="AT148" s="939"/>
      <c r="AU148" s="933"/>
      <c r="AV148" s="940"/>
      <c r="AW148" s="337">
        <f>AW142/AW141</f>
        <v>0.43123</v>
      </c>
      <c r="AX148" s="939"/>
      <c r="AY148" s="939"/>
      <c r="AZ148" s="941"/>
      <c r="BA148" s="941"/>
      <c r="BB148" s="941"/>
      <c r="BC148" s="934"/>
      <c r="BD148" s="941"/>
      <c r="BE148" s="941"/>
      <c r="BF148" s="941"/>
      <c r="BG148" s="942"/>
      <c r="BH148" s="941"/>
      <c r="BI148" s="941"/>
      <c r="BJ148" s="941"/>
      <c r="BK148" s="943"/>
      <c r="BL148" s="943"/>
      <c r="BM148" s="943"/>
      <c r="BN148" s="943"/>
      <c r="BO148" s="943"/>
      <c r="BP148" s="944"/>
      <c r="BQ148" s="943"/>
      <c r="BR148" s="943"/>
      <c r="BS148" s="943"/>
      <c r="BU148" s="945"/>
      <c r="BV148" s="946"/>
      <c r="BW148" s="947"/>
      <c r="BX148" s="945"/>
      <c r="BY148" s="947"/>
      <c r="BZ148" s="946"/>
      <c r="CA148" s="947"/>
      <c r="CB148" s="946"/>
      <c r="CC148" s="947"/>
      <c r="CD148" s="947"/>
      <c r="CE148" s="947"/>
      <c r="CF148" s="948"/>
      <c r="CG148" s="949"/>
      <c r="CH148" s="949"/>
      <c r="CI148" s="950"/>
      <c r="CJ148" s="951"/>
      <c r="CK148" s="951"/>
      <c r="CL148" s="952"/>
      <c r="CM148" s="951"/>
      <c r="CN148" s="951"/>
      <c r="CO148" s="952"/>
      <c r="CP148" s="951"/>
      <c r="CQ148" s="951"/>
      <c r="CR148" s="952"/>
      <c r="CS148" s="946"/>
      <c r="CT148" s="953"/>
      <c r="CU148" s="953"/>
      <c r="CV148" s="953"/>
      <c r="CX148" s="951"/>
      <c r="CY148" s="951"/>
      <c r="CZ148" s="952"/>
      <c r="DB148" s="954"/>
      <c r="DC148" s="954"/>
      <c r="DD148" s="921"/>
      <c r="DE148" s="954"/>
      <c r="DF148" s="954"/>
      <c r="DG148" s="921"/>
      <c r="DH148" s="954"/>
      <c r="DI148" s="954"/>
      <c r="DJ148" s="921"/>
      <c r="DK148" s="954"/>
      <c r="DL148" s="954"/>
      <c r="DM148" s="921"/>
      <c r="DN148" s="954"/>
      <c r="DO148" s="954"/>
      <c r="DP148" s="921"/>
      <c r="DQ148" s="942"/>
      <c r="DR148" s="951"/>
      <c r="DS148" s="951"/>
      <c r="DT148" s="952"/>
      <c r="DV148" s="921"/>
      <c r="DW148" s="921"/>
      <c r="DX148" s="921"/>
      <c r="DY148" s="921"/>
      <c r="DZ148" s="921"/>
      <c r="EA148" s="921"/>
      <c r="EB148" s="921"/>
      <c r="EC148" s="921"/>
      <c r="ED148" s="921"/>
      <c r="EE148" s="921"/>
      <c r="EF148" s="921"/>
      <c r="EG148" s="921"/>
      <c r="EH148" s="921"/>
      <c r="EI148" s="921"/>
      <c r="EJ148" s="921"/>
      <c r="EK148" s="921"/>
      <c r="EL148" s="921"/>
      <c r="EM148" s="921"/>
      <c r="EN148" s="921"/>
      <c r="EO148" s="921"/>
      <c r="EP148" s="921"/>
      <c r="EQ148" s="954"/>
      <c r="ER148" s="954"/>
      <c r="ES148" s="954"/>
      <c r="ET148" s="954"/>
      <c r="EV148" s="942"/>
      <c r="EW148" s="951"/>
      <c r="EX148" s="951"/>
      <c r="EY148" s="952"/>
    </row>
    <row r="149" spans="1:155" s="927" customFormat="1" ht="15.75" x14ac:dyDescent="0.25">
      <c r="A149" s="931"/>
      <c r="B149" s="932" t="s">
        <v>404</v>
      </c>
      <c r="C149" s="933"/>
      <c r="D149" s="933"/>
      <c r="E149" s="934"/>
      <c r="F149" s="935"/>
      <c r="G149" s="934"/>
      <c r="H149" s="935"/>
      <c r="I149" s="936"/>
      <c r="J149" s="937"/>
      <c r="K149" s="938"/>
      <c r="L149" s="936"/>
      <c r="M149" s="937"/>
      <c r="N149" s="938"/>
      <c r="O149" s="936"/>
      <c r="P149" s="937"/>
      <c r="Q149" s="938"/>
      <c r="R149" s="936"/>
      <c r="S149" s="937"/>
      <c r="T149" s="938"/>
      <c r="U149" s="936"/>
      <c r="V149" s="937"/>
      <c r="W149" s="938"/>
      <c r="X149" s="936"/>
      <c r="Y149" s="937"/>
      <c r="Z149" s="938"/>
      <c r="AA149" s="936"/>
      <c r="AB149" s="937"/>
      <c r="AC149" s="938"/>
      <c r="AD149" s="936"/>
      <c r="AE149" s="937"/>
      <c r="AF149" s="938"/>
      <c r="AG149" s="936"/>
      <c r="AH149" s="937"/>
      <c r="AI149" s="938"/>
      <c r="AJ149" s="936"/>
      <c r="AK149" s="937"/>
      <c r="AL149" s="938"/>
      <c r="AM149" s="936"/>
      <c r="AN149" s="933"/>
      <c r="AO149" s="936"/>
      <c r="AP149" s="933"/>
      <c r="AQ149" s="935"/>
      <c r="AR149" s="936"/>
      <c r="AS149" s="935"/>
      <c r="AT149" s="939"/>
      <c r="AU149" s="933"/>
      <c r="AV149" s="940"/>
      <c r="AW149" s="338">
        <f>AW143/AW141</f>
        <v>0.66134000000000004</v>
      </c>
      <c r="AX149" s="939"/>
      <c r="AY149" s="939"/>
      <c r="AZ149" s="941"/>
      <c r="BA149" s="941"/>
      <c r="BB149" s="941"/>
      <c r="BC149" s="934"/>
      <c r="BD149" s="941"/>
      <c r="BE149" s="941"/>
      <c r="BF149" s="941"/>
      <c r="BG149" s="942"/>
      <c r="BH149" s="941"/>
      <c r="BI149" s="941"/>
      <c r="BJ149" s="941"/>
      <c r="BK149" s="943"/>
      <c r="BL149" s="943"/>
      <c r="BM149" s="943"/>
      <c r="BN149" s="943"/>
      <c r="BO149" s="943"/>
      <c r="BP149" s="944"/>
      <c r="BQ149" s="943"/>
      <c r="BR149" s="943"/>
      <c r="BS149" s="943"/>
      <c r="BU149" s="945"/>
      <c r="BV149" s="946"/>
      <c r="BW149" s="947"/>
      <c r="BX149" s="945"/>
      <c r="BY149" s="947"/>
      <c r="BZ149" s="946"/>
      <c r="CA149" s="947"/>
      <c r="CB149" s="946"/>
      <c r="CC149" s="947"/>
      <c r="CD149" s="947"/>
      <c r="CE149" s="947"/>
      <c r="CF149" s="948"/>
      <c r="CG149" s="949"/>
      <c r="CH149" s="949"/>
      <c r="CI149" s="950"/>
      <c r="CJ149" s="951"/>
      <c r="CK149" s="951"/>
      <c r="CL149" s="952"/>
      <c r="CM149" s="951"/>
      <c r="CN149" s="951"/>
      <c r="CO149" s="952"/>
      <c r="CP149" s="951"/>
      <c r="CQ149" s="951"/>
      <c r="CR149" s="952"/>
      <c r="CS149" s="946"/>
      <c r="CT149" s="953"/>
      <c r="CU149" s="953"/>
      <c r="CV149" s="953"/>
      <c r="CX149" s="951"/>
      <c r="CY149" s="951"/>
      <c r="CZ149" s="952"/>
      <c r="DB149" s="954"/>
      <c r="DC149" s="954"/>
      <c r="DD149" s="921"/>
      <c r="DE149" s="954"/>
      <c r="DF149" s="954"/>
      <c r="DG149" s="921"/>
      <c r="DH149" s="954"/>
      <c r="DI149" s="954"/>
      <c r="DJ149" s="921"/>
      <c r="DK149" s="954"/>
      <c r="DL149" s="954"/>
      <c r="DM149" s="921"/>
      <c r="DN149" s="954"/>
      <c r="DO149" s="954"/>
      <c r="DP149" s="921"/>
      <c r="DQ149" s="942"/>
      <c r="DR149" s="951"/>
      <c r="DS149" s="951"/>
      <c r="DT149" s="952"/>
      <c r="DV149" s="921"/>
      <c r="DW149" s="921"/>
      <c r="DX149" s="921"/>
      <c r="DY149" s="921"/>
      <c r="DZ149" s="921"/>
      <c r="EA149" s="921"/>
      <c r="EB149" s="921"/>
      <c r="EC149" s="921"/>
      <c r="ED149" s="921"/>
      <c r="EE149" s="921"/>
      <c r="EF149" s="921"/>
      <c r="EG149" s="921"/>
      <c r="EH149" s="921"/>
      <c r="EI149" s="921"/>
      <c r="EJ149" s="921"/>
      <c r="EK149" s="921"/>
      <c r="EL149" s="921"/>
      <c r="EM149" s="921"/>
      <c r="EN149" s="921"/>
      <c r="EO149" s="921"/>
      <c r="EP149" s="921"/>
      <c r="EQ149" s="954"/>
      <c r="ER149" s="954"/>
      <c r="ES149" s="954"/>
      <c r="ET149" s="954"/>
      <c r="EV149" s="942"/>
      <c r="EW149" s="951"/>
      <c r="EX149" s="951"/>
      <c r="EY149" s="952"/>
    </row>
    <row r="150" spans="1:155" s="927" customFormat="1" ht="15.75" x14ac:dyDescent="0.25">
      <c r="A150" s="931"/>
      <c r="B150" s="932" t="s">
        <v>405</v>
      </c>
      <c r="C150" s="933"/>
      <c r="D150" s="933"/>
      <c r="E150" s="934"/>
      <c r="F150" s="935"/>
      <c r="G150" s="934"/>
      <c r="H150" s="935"/>
      <c r="I150" s="936"/>
      <c r="J150" s="937"/>
      <c r="K150" s="938"/>
      <c r="L150" s="936"/>
      <c r="M150" s="937"/>
      <c r="N150" s="938"/>
      <c r="O150" s="936"/>
      <c r="P150" s="937"/>
      <c r="Q150" s="938"/>
      <c r="R150" s="936"/>
      <c r="S150" s="937"/>
      <c r="T150" s="938"/>
      <c r="U150" s="936"/>
      <c r="V150" s="937"/>
      <c r="W150" s="938"/>
      <c r="X150" s="936"/>
      <c r="Y150" s="937"/>
      <c r="Z150" s="938"/>
      <c r="AA150" s="936"/>
      <c r="AB150" s="937"/>
      <c r="AC150" s="938"/>
      <c r="AD150" s="936"/>
      <c r="AE150" s="937"/>
      <c r="AF150" s="938"/>
      <c r="AG150" s="936"/>
      <c r="AH150" s="937"/>
      <c r="AI150" s="938"/>
      <c r="AJ150" s="936"/>
      <c r="AK150" s="937"/>
      <c r="AL150" s="938"/>
      <c r="AM150" s="936"/>
      <c r="AN150" s="933"/>
      <c r="AO150" s="936"/>
      <c r="AP150" s="933"/>
      <c r="AQ150" s="935"/>
      <c r="AR150" s="936"/>
      <c r="AS150" s="935"/>
      <c r="AT150" s="939"/>
      <c r="AU150" s="933"/>
      <c r="AV150" s="940"/>
      <c r="AW150" s="339">
        <f>AW144/AW141</f>
        <v>0.10316</v>
      </c>
      <c r="AX150" s="939"/>
      <c r="AY150" s="939"/>
      <c r="AZ150" s="941"/>
      <c r="BA150" s="941"/>
      <c r="BB150" s="941"/>
      <c r="BC150" s="934"/>
      <c r="BD150" s="941"/>
      <c r="BE150" s="941"/>
      <c r="BF150" s="941"/>
      <c r="BG150" s="942"/>
      <c r="BH150" s="941"/>
      <c r="BI150" s="941"/>
      <c r="BJ150" s="941"/>
      <c r="BK150" s="943"/>
      <c r="BL150" s="943"/>
      <c r="BM150" s="943"/>
      <c r="BN150" s="943"/>
      <c r="BO150" s="943"/>
      <c r="BP150" s="944"/>
      <c r="BQ150" s="943"/>
      <c r="BR150" s="943"/>
      <c r="BS150" s="943"/>
      <c r="BU150" s="945"/>
      <c r="BV150" s="946"/>
      <c r="BW150" s="947"/>
      <c r="BX150" s="945"/>
      <c r="BY150" s="947"/>
      <c r="BZ150" s="946"/>
      <c r="CA150" s="947"/>
      <c r="CB150" s="946"/>
      <c r="CC150" s="947"/>
      <c r="CD150" s="947"/>
      <c r="CE150" s="947"/>
      <c r="CF150" s="948"/>
      <c r="CG150" s="949"/>
      <c r="CH150" s="949"/>
      <c r="CI150" s="950"/>
      <c r="CJ150" s="951"/>
      <c r="CK150" s="951"/>
      <c r="CL150" s="952"/>
      <c r="CM150" s="951"/>
      <c r="CN150" s="951"/>
      <c r="CO150" s="952"/>
      <c r="CP150" s="951"/>
      <c r="CQ150" s="951"/>
      <c r="CR150" s="952"/>
      <c r="CS150" s="946"/>
      <c r="CT150" s="953"/>
      <c r="CU150" s="953"/>
      <c r="CV150" s="953"/>
      <c r="CX150" s="951"/>
      <c r="CY150" s="951"/>
      <c r="CZ150" s="952"/>
      <c r="DB150" s="954"/>
      <c r="DC150" s="954"/>
      <c r="DD150" s="921"/>
      <c r="DE150" s="954"/>
      <c r="DF150" s="954"/>
      <c r="DG150" s="921"/>
      <c r="DH150" s="954"/>
      <c r="DI150" s="954"/>
      <c r="DJ150" s="921"/>
      <c r="DK150" s="954"/>
      <c r="DL150" s="954"/>
      <c r="DM150" s="921"/>
      <c r="DN150" s="954"/>
      <c r="DO150" s="954"/>
      <c r="DP150" s="921"/>
      <c r="DQ150" s="942"/>
      <c r="DR150" s="951"/>
      <c r="DS150" s="951"/>
      <c r="DT150" s="952"/>
      <c r="DV150" s="921"/>
      <c r="DW150" s="921"/>
      <c r="DX150" s="921"/>
      <c r="DY150" s="921"/>
      <c r="DZ150" s="921"/>
      <c r="EA150" s="921"/>
      <c r="EB150" s="921"/>
      <c r="EC150" s="921"/>
      <c r="ED150" s="921"/>
      <c r="EE150" s="921"/>
      <c r="EF150" s="921"/>
      <c r="EG150" s="921"/>
      <c r="EH150" s="921"/>
      <c r="EI150" s="921"/>
      <c r="EJ150" s="921"/>
      <c r="EK150" s="921"/>
      <c r="EL150" s="921"/>
      <c r="EM150" s="921"/>
      <c r="EN150" s="921"/>
      <c r="EO150" s="921"/>
      <c r="EP150" s="921"/>
      <c r="EQ150" s="954"/>
      <c r="ER150" s="954"/>
      <c r="ES150" s="954"/>
      <c r="ET150" s="954"/>
      <c r="EV150" s="942"/>
      <c r="EW150" s="951"/>
      <c r="EX150" s="951"/>
      <c r="EY150" s="952"/>
    </row>
    <row r="151" spans="1:155" s="927" customFormat="1" ht="15.75" x14ac:dyDescent="0.25">
      <c r="A151" s="931"/>
      <c r="B151" s="932" t="s">
        <v>807</v>
      </c>
      <c r="C151" s="933"/>
      <c r="D151" s="933"/>
      <c r="E151" s="934"/>
      <c r="F151" s="935"/>
      <c r="G151" s="934"/>
      <c r="H151" s="935"/>
      <c r="I151" s="936"/>
      <c r="J151" s="937"/>
      <c r="K151" s="938"/>
      <c r="L151" s="936"/>
      <c r="M151" s="937"/>
      <c r="N151" s="938"/>
      <c r="O151" s="936"/>
      <c r="P151" s="937"/>
      <c r="Q151" s="938"/>
      <c r="R151" s="936"/>
      <c r="S151" s="937"/>
      <c r="T151" s="938"/>
      <c r="U151" s="936"/>
      <c r="V151" s="937"/>
      <c r="W151" s="938"/>
      <c r="X151" s="936"/>
      <c r="Y151" s="937"/>
      <c r="Z151" s="938"/>
      <c r="AA151" s="936"/>
      <c r="AB151" s="937"/>
      <c r="AC151" s="938"/>
      <c r="AD151" s="936"/>
      <c r="AE151" s="937"/>
      <c r="AF151" s="938"/>
      <c r="AG151" s="936"/>
      <c r="AH151" s="937"/>
      <c r="AI151" s="938"/>
      <c r="AJ151" s="936"/>
      <c r="AK151" s="937"/>
      <c r="AL151" s="938"/>
      <c r="AM151" s="936"/>
      <c r="AN151" s="933"/>
      <c r="AO151" s="936"/>
      <c r="AP151" s="933"/>
      <c r="AQ151" s="935"/>
      <c r="AR151" s="936"/>
      <c r="AS151" s="935"/>
      <c r="AT151" s="939"/>
      <c r="AU151" s="933"/>
      <c r="AV151" s="940"/>
      <c r="AW151" s="335">
        <f>(AW134/12)/AW140</f>
        <v>1.2245299999999999</v>
      </c>
      <c r="AX151" s="939"/>
      <c r="AY151" s="939"/>
      <c r="AZ151" s="941"/>
      <c r="BA151" s="941"/>
      <c r="BB151" s="941"/>
      <c r="BC151" s="934"/>
      <c r="BD151" s="941"/>
      <c r="BE151" s="941"/>
      <c r="BF151" s="941"/>
      <c r="BG151" s="942"/>
      <c r="BH151" s="941"/>
      <c r="BI151" s="941"/>
      <c r="BJ151" s="941"/>
      <c r="BK151" s="943"/>
      <c r="BL151" s="943"/>
      <c r="BM151" s="943"/>
      <c r="BN151" s="943"/>
      <c r="BO151" s="943"/>
      <c r="BP151" s="944"/>
      <c r="BQ151" s="943"/>
      <c r="BR151" s="943"/>
      <c r="BS151" s="943"/>
      <c r="BU151" s="945"/>
      <c r="BV151" s="946"/>
      <c r="BW151" s="947"/>
      <c r="BX151" s="945"/>
      <c r="BY151" s="947"/>
      <c r="BZ151" s="946"/>
      <c r="CA151" s="947"/>
      <c r="CB151" s="946"/>
      <c r="CC151" s="947"/>
      <c r="CD151" s="947"/>
      <c r="CE151" s="947"/>
      <c r="CF151" s="948"/>
      <c r="CG151" s="949"/>
      <c r="CH151" s="949"/>
      <c r="CI151" s="950"/>
      <c r="CJ151" s="951"/>
      <c r="CK151" s="951"/>
      <c r="CL151" s="952"/>
      <c r="CM151" s="951"/>
      <c r="CN151" s="951"/>
      <c r="CO151" s="952"/>
      <c r="CP151" s="951"/>
      <c r="CQ151" s="951"/>
      <c r="CR151" s="952"/>
      <c r="CS151" s="946"/>
      <c r="CT151" s="953"/>
      <c r="CU151" s="953"/>
      <c r="CV151" s="953"/>
      <c r="CX151" s="951"/>
      <c r="CY151" s="951"/>
      <c r="CZ151" s="952"/>
      <c r="DB151" s="954"/>
      <c r="DC151" s="954"/>
      <c r="DD151" s="921"/>
      <c r="DE151" s="954"/>
      <c r="DF151" s="954"/>
      <c r="DG151" s="921"/>
      <c r="DH151" s="954"/>
      <c r="DI151" s="954"/>
      <c r="DJ151" s="921"/>
      <c r="DK151" s="954"/>
      <c r="DL151" s="954"/>
      <c r="DM151" s="921"/>
      <c r="DN151" s="954"/>
      <c r="DO151" s="954"/>
      <c r="DP151" s="921"/>
      <c r="DQ151" s="942"/>
      <c r="DR151" s="951"/>
      <c r="DS151" s="951"/>
      <c r="DT151" s="952"/>
      <c r="DV151" s="921"/>
      <c r="DW151" s="921"/>
      <c r="DX151" s="921"/>
      <c r="DY151" s="921"/>
      <c r="DZ151" s="921"/>
      <c r="EA151" s="921"/>
      <c r="EB151" s="921"/>
      <c r="EC151" s="921"/>
      <c r="ED151" s="921"/>
      <c r="EE151" s="921"/>
      <c r="EF151" s="921"/>
      <c r="EG151" s="921"/>
      <c r="EH151" s="921"/>
      <c r="EI151" s="921"/>
      <c r="EJ151" s="921"/>
      <c r="EK151" s="921"/>
      <c r="EL151" s="921"/>
      <c r="EM151" s="921"/>
      <c r="EN151" s="921"/>
      <c r="EO151" s="921"/>
      <c r="EP151" s="921"/>
      <c r="EQ151" s="954"/>
      <c r="ER151" s="954"/>
      <c r="ES151" s="954"/>
      <c r="ET151" s="954"/>
      <c r="EV151" s="942"/>
      <c r="EW151" s="951"/>
      <c r="EX151" s="951"/>
      <c r="EY151" s="952"/>
    </row>
    <row r="152" spans="1:155" s="927" customFormat="1" ht="15.75" x14ac:dyDescent="0.25">
      <c r="A152" s="931"/>
      <c r="B152" s="932"/>
      <c r="C152" s="933"/>
      <c r="D152" s="933"/>
      <c r="E152" s="934"/>
      <c r="F152" s="935"/>
      <c r="G152" s="934"/>
      <c r="H152" s="935"/>
      <c r="I152" s="936"/>
      <c r="J152" s="937"/>
      <c r="K152" s="938"/>
      <c r="L152" s="936"/>
      <c r="M152" s="937"/>
      <c r="N152" s="938"/>
      <c r="O152" s="936"/>
      <c r="P152" s="937"/>
      <c r="Q152" s="938"/>
      <c r="R152" s="936"/>
      <c r="S152" s="937"/>
      <c r="T152" s="938"/>
      <c r="U152" s="936"/>
      <c r="V152" s="937"/>
      <c r="W152" s="938"/>
      <c r="X152" s="936"/>
      <c r="Y152" s="937"/>
      <c r="Z152" s="938"/>
      <c r="AA152" s="936"/>
      <c r="AB152" s="937"/>
      <c r="AC152" s="938"/>
      <c r="AD152" s="936"/>
      <c r="AE152" s="937"/>
      <c r="AF152" s="938"/>
      <c r="AG152" s="936"/>
      <c r="AH152" s="937"/>
      <c r="AI152" s="938"/>
      <c r="AJ152" s="936"/>
      <c r="AK152" s="937"/>
      <c r="AL152" s="938"/>
      <c r="AM152" s="936"/>
      <c r="AN152" s="933"/>
      <c r="AO152" s="936"/>
      <c r="AP152" s="933"/>
      <c r="AQ152" s="935"/>
      <c r="AR152" s="936"/>
      <c r="AS152" s="935"/>
      <c r="AT152" s="939"/>
      <c r="AU152" s="933"/>
      <c r="AV152" s="940"/>
      <c r="AW152" s="939"/>
      <c r="AX152" s="939"/>
      <c r="AY152" s="939"/>
      <c r="AZ152" s="941"/>
      <c r="BA152" s="941"/>
      <c r="BB152" s="941"/>
      <c r="BC152" s="934"/>
      <c r="BD152" s="941"/>
      <c r="BE152" s="941"/>
      <c r="BF152" s="941"/>
      <c r="BG152" s="942"/>
      <c r="BH152" s="941"/>
      <c r="BI152" s="941"/>
      <c r="BJ152" s="941"/>
      <c r="BK152" s="943"/>
      <c r="BL152" s="943"/>
      <c r="BM152" s="943"/>
      <c r="BN152" s="943"/>
      <c r="BO152" s="943"/>
      <c r="BP152" s="944"/>
      <c r="BQ152" s="943"/>
      <c r="BR152" s="943"/>
      <c r="BS152" s="943"/>
      <c r="BU152" s="945"/>
      <c r="BV152" s="946"/>
      <c r="BW152" s="947"/>
      <c r="BX152" s="945"/>
      <c r="BY152" s="947"/>
      <c r="BZ152" s="946"/>
      <c r="CA152" s="947"/>
      <c r="CB152" s="946"/>
      <c r="CC152" s="947"/>
      <c r="CD152" s="947"/>
      <c r="CE152" s="947"/>
      <c r="CF152" s="948"/>
      <c r="CG152" s="949"/>
      <c r="CH152" s="949"/>
      <c r="CI152" s="950"/>
      <c r="CJ152" s="951"/>
      <c r="CK152" s="951"/>
      <c r="CL152" s="952"/>
      <c r="CM152" s="951"/>
      <c r="CN152" s="951"/>
      <c r="CO152" s="952"/>
      <c r="CP152" s="951"/>
      <c r="CQ152" s="951"/>
      <c r="CR152" s="952"/>
      <c r="CS152" s="946"/>
      <c r="CT152" s="953"/>
      <c r="CU152" s="953"/>
      <c r="CV152" s="953"/>
      <c r="CX152" s="951"/>
      <c r="CY152" s="951"/>
      <c r="CZ152" s="952"/>
      <c r="DB152" s="954"/>
      <c r="DC152" s="954"/>
      <c r="DD152" s="921"/>
      <c r="DE152" s="954"/>
      <c r="DF152" s="954"/>
      <c r="DG152" s="921"/>
      <c r="DH152" s="954"/>
      <c r="DI152" s="954"/>
      <c r="DJ152" s="921"/>
      <c r="DK152" s="954"/>
      <c r="DL152" s="954"/>
      <c r="DM152" s="921"/>
      <c r="DN152" s="954"/>
      <c r="DO152" s="954"/>
      <c r="DP152" s="921"/>
      <c r="DQ152" s="942"/>
      <c r="DR152" s="951"/>
      <c r="DS152" s="951"/>
      <c r="DT152" s="952"/>
      <c r="DV152" s="921"/>
      <c r="DW152" s="921"/>
      <c r="DX152" s="921"/>
      <c r="DY152" s="921"/>
      <c r="DZ152" s="921"/>
      <c r="EA152" s="921"/>
      <c r="EB152" s="921"/>
      <c r="EC152" s="921"/>
      <c r="ED152" s="921"/>
      <c r="EE152" s="921"/>
      <c r="EF152" s="921"/>
      <c r="EG152" s="921"/>
      <c r="EH152" s="921"/>
      <c r="EI152" s="921"/>
      <c r="EJ152" s="921"/>
      <c r="EK152" s="921"/>
      <c r="EL152" s="921"/>
      <c r="EM152" s="921"/>
      <c r="EN152" s="921"/>
      <c r="EO152" s="921"/>
      <c r="EP152" s="921"/>
      <c r="EQ152" s="954"/>
      <c r="ER152" s="954"/>
      <c r="ES152" s="954"/>
      <c r="ET152" s="954"/>
      <c r="EV152" s="942"/>
      <c r="EW152" s="951"/>
      <c r="EX152" s="951"/>
      <c r="EY152" s="952"/>
    </row>
    <row r="153" spans="1:155" s="927" customFormat="1" ht="15.75" x14ac:dyDescent="0.25">
      <c r="A153" s="912" t="s">
        <v>360</v>
      </c>
      <c r="B153" s="913" t="s">
        <v>1378</v>
      </c>
      <c r="C153" s="914">
        <v>2</v>
      </c>
      <c r="D153" s="914">
        <v>7755</v>
      </c>
      <c r="E153" s="915">
        <v>1.0549999999999999</v>
      </c>
      <c r="F153" s="916">
        <f t="shared" si="77"/>
        <v>8182</v>
      </c>
      <c r="G153" s="915">
        <v>1.01</v>
      </c>
      <c r="H153" s="916">
        <f t="shared" si="78"/>
        <v>8264</v>
      </c>
      <c r="I153" s="917">
        <f t="shared" si="79"/>
        <v>16528</v>
      </c>
      <c r="J153" s="918">
        <f t="shared" si="80"/>
        <v>0</v>
      </c>
      <c r="K153" s="919"/>
      <c r="L153" s="917">
        <f t="shared" si="81"/>
        <v>0</v>
      </c>
      <c r="M153" s="918">
        <f t="shared" si="82"/>
        <v>0</v>
      </c>
      <c r="N153" s="919"/>
      <c r="O153" s="917">
        <f t="shared" si="83"/>
        <v>0</v>
      </c>
      <c r="P153" s="918">
        <f t="shared" si="84"/>
        <v>0</v>
      </c>
      <c r="Q153" s="919"/>
      <c r="R153" s="917">
        <f t="shared" si="85"/>
        <v>0</v>
      </c>
      <c r="S153" s="918">
        <f t="shared" si="86"/>
        <v>0</v>
      </c>
      <c r="T153" s="919"/>
      <c r="U153" s="917">
        <f t="shared" si="87"/>
        <v>0</v>
      </c>
      <c r="V153" s="918">
        <f t="shared" si="88"/>
        <v>0</v>
      </c>
      <c r="W153" s="919"/>
      <c r="X153" s="917">
        <f t="shared" si="89"/>
        <v>0</v>
      </c>
      <c r="Y153" s="918">
        <f t="shared" si="90"/>
        <v>0.8</v>
      </c>
      <c r="Z153" s="919">
        <v>12408</v>
      </c>
      <c r="AA153" s="917">
        <f t="shared" si="91"/>
        <v>13222.4</v>
      </c>
      <c r="AB153" s="918">
        <f t="shared" si="92"/>
        <v>0.45</v>
      </c>
      <c r="AC153" s="919">
        <v>6979.5</v>
      </c>
      <c r="AD153" s="917">
        <f t="shared" si="93"/>
        <v>7437.6</v>
      </c>
      <c r="AE153" s="918">
        <f t="shared" si="94"/>
        <v>0</v>
      </c>
      <c r="AF153" s="919"/>
      <c r="AG153" s="917">
        <f t="shared" si="95"/>
        <v>0</v>
      </c>
      <c r="AH153" s="918">
        <f t="shared" si="96"/>
        <v>0</v>
      </c>
      <c r="AI153" s="919"/>
      <c r="AJ153" s="917">
        <f t="shared" si="97"/>
        <v>0</v>
      </c>
      <c r="AK153" s="918">
        <f t="shared" si="98"/>
        <v>0</v>
      </c>
      <c r="AL153" s="919"/>
      <c r="AM153" s="917">
        <f t="shared" si="99"/>
        <v>0</v>
      </c>
      <c r="AN153" s="920">
        <v>19242</v>
      </c>
      <c r="AO153" s="917">
        <f t="shared" si="100"/>
        <v>1296</v>
      </c>
      <c r="AP153" s="920"/>
      <c r="AQ153" s="916">
        <f t="shared" si="101"/>
        <v>0</v>
      </c>
      <c r="AR153" s="917">
        <f t="shared" si="102"/>
        <v>38484</v>
      </c>
      <c r="AS153" s="916">
        <v>12</v>
      </c>
      <c r="AT153" s="921">
        <f t="shared" si="103"/>
        <v>461808</v>
      </c>
      <c r="AU153" s="920"/>
      <c r="AV153" s="922">
        <f t="shared" si="104"/>
        <v>4618.08</v>
      </c>
      <c r="AW153" s="921">
        <f t="shared" si="105"/>
        <v>466426.08</v>
      </c>
      <c r="AX153" s="921">
        <f t="shared" si="106"/>
        <v>140860.68</v>
      </c>
      <c r="AY153" s="921">
        <f t="shared" si="107"/>
        <v>607286.76</v>
      </c>
      <c r="AZ153" s="923">
        <f t="shared" si="108"/>
        <v>466.4</v>
      </c>
      <c r="BA153" s="923">
        <f t="shared" si="109"/>
        <v>140.9</v>
      </c>
      <c r="BB153" s="923">
        <f t="shared" si="110"/>
        <v>607.29999999999995</v>
      </c>
      <c r="BC153" s="915">
        <v>0.95</v>
      </c>
      <c r="BD153" s="923">
        <f t="shared" si="111"/>
        <v>443.1</v>
      </c>
      <c r="BE153" s="923">
        <f t="shared" si="112"/>
        <v>133.80000000000001</v>
      </c>
      <c r="BF153" s="923">
        <f t="shared" si="113"/>
        <v>576.9</v>
      </c>
      <c r="BG153" s="924">
        <f>'[3]свод (2024)'!$B$116</f>
        <v>0.99758349999999996</v>
      </c>
      <c r="BH153" s="923">
        <f t="shared" si="114"/>
        <v>442</v>
      </c>
      <c r="BI153" s="923">
        <f t="shared" si="115"/>
        <v>133.5</v>
      </c>
      <c r="BJ153" s="923">
        <f t="shared" si="116"/>
        <v>575.5</v>
      </c>
      <c r="BK153" s="925">
        <f t="shared" si="117"/>
        <v>-24.4</v>
      </c>
      <c r="BL153" s="925">
        <f t="shared" si="117"/>
        <v>-7.4</v>
      </c>
      <c r="BM153" s="925">
        <f t="shared" si="118"/>
        <v>-31.8</v>
      </c>
      <c r="BN153" s="925">
        <f t="shared" si="119"/>
        <v>0</v>
      </c>
      <c r="BO153" s="925">
        <f t="shared" si="120"/>
        <v>0</v>
      </c>
      <c r="BP153" s="926"/>
      <c r="BQ153" s="925">
        <f t="shared" si="121"/>
        <v>442</v>
      </c>
      <c r="BR153" s="925">
        <f t="shared" si="121"/>
        <v>133.5</v>
      </c>
      <c r="BS153" s="925">
        <f t="shared" si="122"/>
        <v>575.5</v>
      </c>
      <c r="BU153" s="928"/>
      <c r="BV153" s="917"/>
      <c r="BW153" s="928"/>
      <c r="BX153" s="928"/>
      <c r="BY153" s="928"/>
      <c r="BZ153" s="917"/>
      <c r="CA153" s="928"/>
      <c r="CB153" s="917"/>
      <c r="CC153" s="928"/>
      <c r="CD153" s="928"/>
      <c r="CE153" s="928"/>
      <c r="CF153" s="929"/>
      <c r="CG153" s="928"/>
      <c r="CH153" s="928"/>
      <c r="CI153" s="928"/>
      <c r="CJ153" s="925"/>
      <c r="CK153" s="925"/>
      <c r="CL153" s="925"/>
      <c r="CM153" s="925"/>
      <c r="CN153" s="925"/>
      <c r="CO153" s="925"/>
      <c r="CP153" s="925"/>
      <c r="CQ153" s="925"/>
      <c r="CR153" s="925"/>
      <c r="CS153" s="917"/>
      <c r="CT153" s="928"/>
      <c r="CU153" s="928"/>
      <c r="CV153" s="928"/>
      <c r="CX153" s="925"/>
      <c r="CY153" s="925"/>
      <c r="CZ153" s="925"/>
      <c r="DB153" s="925"/>
      <c r="DC153" s="925"/>
      <c r="DD153" s="925"/>
      <c r="DE153" s="925"/>
      <c r="DF153" s="925"/>
      <c r="DG153" s="925"/>
      <c r="DH153" s="925"/>
      <c r="DI153" s="925"/>
      <c r="DJ153" s="925"/>
      <c r="DK153" s="925"/>
      <c r="DL153" s="925"/>
      <c r="DM153" s="925"/>
      <c r="DN153" s="925"/>
      <c r="DO153" s="925"/>
      <c r="DP153" s="925"/>
      <c r="DQ153" s="924"/>
      <c r="DR153" s="925"/>
      <c r="DS153" s="925"/>
      <c r="DT153" s="925"/>
      <c r="DV153" s="925"/>
      <c r="DW153" s="925"/>
      <c r="DX153" s="925"/>
      <c r="DY153" s="925"/>
      <c r="DZ153" s="925"/>
      <c r="EA153" s="925"/>
      <c r="EB153" s="925"/>
      <c r="EC153" s="925"/>
      <c r="ED153" s="925"/>
      <c r="EE153" s="925"/>
      <c r="EF153" s="925"/>
      <c r="EG153" s="925"/>
      <c r="EH153" s="925"/>
      <c r="EI153" s="925"/>
      <c r="EJ153" s="925"/>
      <c r="EK153" s="925"/>
      <c r="EL153" s="925"/>
      <c r="EM153" s="925"/>
      <c r="EN153" s="925"/>
      <c r="EO153" s="925"/>
      <c r="EP153" s="925"/>
      <c r="EQ153" s="925"/>
      <c r="ER153" s="925"/>
      <c r="ES153" s="925"/>
      <c r="ET153" s="925"/>
      <c r="EV153" s="924"/>
      <c r="EW153" s="925"/>
      <c r="EX153" s="925"/>
      <c r="EY153" s="925"/>
    </row>
    <row r="154" spans="1:155" s="927" customFormat="1" ht="15.75" x14ac:dyDescent="0.25">
      <c r="A154" s="912" t="s">
        <v>360</v>
      </c>
      <c r="B154" s="913" t="s">
        <v>1408</v>
      </c>
      <c r="C154" s="914">
        <v>1</v>
      </c>
      <c r="D154" s="914">
        <v>4588</v>
      </c>
      <c r="E154" s="915">
        <v>1.0549999999999999</v>
      </c>
      <c r="F154" s="916">
        <f t="shared" si="77"/>
        <v>4841</v>
      </c>
      <c r="G154" s="915">
        <v>1.01</v>
      </c>
      <c r="H154" s="916">
        <f t="shared" si="78"/>
        <v>4890</v>
      </c>
      <c r="I154" s="917">
        <f t="shared" si="79"/>
        <v>4890</v>
      </c>
      <c r="J154" s="918">
        <f t="shared" si="80"/>
        <v>0</v>
      </c>
      <c r="K154" s="919"/>
      <c r="L154" s="917">
        <f t="shared" si="81"/>
        <v>0</v>
      </c>
      <c r="M154" s="918">
        <f t="shared" si="82"/>
        <v>0</v>
      </c>
      <c r="N154" s="919"/>
      <c r="O154" s="917">
        <f t="shared" si="83"/>
        <v>0</v>
      </c>
      <c r="P154" s="918">
        <f t="shared" si="84"/>
        <v>0</v>
      </c>
      <c r="Q154" s="919"/>
      <c r="R154" s="917">
        <f t="shared" si="85"/>
        <v>0</v>
      </c>
      <c r="S154" s="918">
        <f t="shared" si="86"/>
        <v>0</v>
      </c>
      <c r="T154" s="919"/>
      <c r="U154" s="917">
        <f t="shared" si="87"/>
        <v>0</v>
      </c>
      <c r="V154" s="918">
        <f t="shared" si="88"/>
        <v>0</v>
      </c>
      <c r="W154" s="919"/>
      <c r="X154" s="917">
        <f t="shared" si="89"/>
        <v>0</v>
      </c>
      <c r="Y154" s="918">
        <f t="shared" si="90"/>
        <v>0</v>
      </c>
      <c r="Z154" s="919"/>
      <c r="AA154" s="917">
        <f t="shared" si="91"/>
        <v>0</v>
      </c>
      <c r="AB154" s="918">
        <f t="shared" si="92"/>
        <v>0</v>
      </c>
      <c r="AC154" s="919"/>
      <c r="AD154" s="917">
        <f t="shared" si="93"/>
        <v>0</v>
      </c>
      <c r="AE154" s="918">
        <f t="shared" si="94"/>
        <v>0</v>
      </c>
      <c r="AF154" s="919"/>
      <c r="AG154" s="917">
        <f t="shared" si="95"/>
        <v>0</v>
      </c>
      <c r="AH154" s="918">
        <f t="shared" si="96"/>
        <v>0</v>
      </c>
      <c r="AI154" s="919"/>
      <c r="AJ154" s="917">
        <f t="shared" si="97"/>
        <v>0</v>
      </c>
      <c r="AK154" s="918">
        <f t="shared" si="98"/>
        <v>0</v>
      </c>
      <c r="AL154" s="919"/>
      <c r="AM154" s="917">
        <f t="shared" si="99"/>
        <v>0</v>
      </c>
      <c r="AN154" s="920">
        <v>19242</v>
      </c>
      <c r="AO154" s="917">
        <f t="shared" si="100"/>
        <v>14352</v>
      </c>
      <c r="AP154" s="920"/>
      <c r="AQ154" s="916">
        <f t="shared" si="101"/>
        <v>0</v>
      </c>
      <c r="AR154" s="917">
        <f t="shared" si="102"/>
        <v>19242</v>
      </c>
      <c r="AS154" s="916">
        <v>12</v>
      </c>
      <c r="AT154" s="921">
        <f t="shared" si="103"/>
        <v>230904</v>
      </c>
      <c r="AU154" s="920"/>
      <c r="AV154" s="922">
        <f t="shared" si="104"/>
        <v>2309.04</v>
      </c>
      <c r="AW154" s="921">
        <f t="shared" si="105"/>
        <v>233213.04</v>
      </c>
      <c r="AX154" s="921">
        <f t="shared" si="106"/>
        <v>70430.34</v>
      </c>
      <c r="AY154" s="921">
        <f t="shared" si="107"/>
        <v>303643.38</v>
      </c>
      <c r="AZ154" s="923">
        <f t="shared" si="108"/>
        <v>233.2</v>
      </c>
      <c r="BA154" s="923">
        <f t="shared" si="109"/>
        <v>70.400000000000006</v>
      </c>
      <c r="BB154" s="923">
        <f t="shared" si="110"/>
        <v>303.60000000000002</v>
      </c>
      <c r="BC154" s="915">
        <v>0.95</v>
      </c>
      <c r="BD154" s="923">
        <f t="shared" si="111"/>
        <v>221.5</v>
      </c>
      <c r="BE154" s="923">
        <f t="shared" si="112"/>
        <v>66.900000000000006</v>
      </c>
      <c r="BF154" s="923">
        <f t="shared" si="113"/>
        <v>288.39999999999998</v>
      </c>
      <c r="BG154" s="924">
        <f>'[3]свод (2024)'!$B$116</f>
        <v>0.99758349999999996</v>
      </c>
      <c r="BH154" s="923">
        <f t="shared" si="114"/>
        <v>221</v>
      </c>
      <c r="BI154" s="923">
        <f t="shared" si="115"/>
        <v>66.7</v>
      </c>
      <c r="BJ154" s="923">
        <f t="shared" si="116"/>
        <v>287.7</v>
      </c>
      <c r="BK154" s="925">
        <f t="shared" si="117"/>
        <v>-12.2</v>
      </c>
      <c r="BL154" s="925">
        <f t="shared" si="117"/>
        <v>-3.7</v>
      </c>
      <c r="BM154" s="925">
        <f t="shared" si="118"/>
        <v>-15.9</v>
      </c>
      <c r="BN154" s="925">
        <f t="shared" si="119"/>
        <v>0</v>
      </c>
      <c r="BO154" s="925">
        <f t="shared" si="120"/>
        <v>0</v>
      </c>
      <c r="BP154" s="926"/>
      <c r="BQ154" s="925">
        <f t="shared" si="121"/>
        <v>221</v>
      </c>
      <c r="BR154" s="925">
        <f t="shared" si="121"/>
        <v>66.7</v>
      </c>
      <c r="BS154" s="925">
        <f t="shared" si="122"/>
        <v>287.7</v>
      </c>
      <c r="BU154" s="928"/>
      <c r="BV154" s="917"/>
      <c r="BW154" s="928"/>
      <c r="BX154" s="928"/>
      <c r="BY154" s="928"/>
      <c r="BZ154" s="917"/>
      <c r="CA154" s="928"/>
      <c r="CB154" s="917"/>
      <c r="CC154" s="928"/>
      <c r="CD154" s="928"/>
      <c r="CE154" s="928"/>
      <c r="CF154" s="929"/>
      <c r="CG154" s="928"/>
      <c r="CH154" s="928"/>
      <c r="CI154" s="928"/>
      <c r="CJ154" s="925"/>
      <c r="CK154" s="925"/>
      <c r="CL154" s="925"/>
      <c r="CM154" s="925"/>
      <c r="CN154" s="925"/>
      <c r="CO154" s="925"/>
      <c r="CP154" s="925"/>
      <c r="CQ154" s="925"/>
      <c r="CR154" s="925"/>
      <c r="CS154" s="917"/>
      <c r="CT154" s="928"/>
      <c r="CU154" s="928"/>
      <c r="CV154" s="928"/>
      <c r="CX154" s="925"/>
      <c r="CY154" s="925"/>
      <c r="CZ154" s="925"/>
      <c r="DB154" s="925"/>
      <c r="DC154" s="925"/>
      <c r="DD154" s="925"/>
      <c r="DE154" s="925"/>
      <c r="DF154" s="925"/>
      <c r="DG154" s="925"/>
      <c r="DH154" s="925"/>
      <c r="DI154" s="925"/>
      <c r="DJ154" s="925"/>
      <c r="DK154" s="925"/>
      <c r="DL154" s="925"/>
      <c r="DM154" s="925"/>
      <c r="DN154" s="925"/>
      <c r="DO154" s="925"/>
      <c r="DP154" s="925"/>
      <c r="DQ154" s="924"/>
      <c r="DR154" s="925"/>
      <c r="DS154" s="925"/>
      <c r="DT154" s="925"/>
      <c r="DV154" s="925"/>
      <c r="DW154" s="925"/>
      <c r="DX154" s="925"/>
      <c r="DY154" s="925"/>
      <c r="DZ154" s="925"/>
      <c r="EA154" s="925"/>
      <c r="EB154" s="925"/>
      <c r="EC154" s="925"/>
      <c r="ED154" s="925"/>
      <c r="EE154" s="925"/>
      <c r="EF154" s="925"/>
      <c r="EG154" s="925"/>
      <c r="EH154" s="925"/>
      <c r="EI154" s="925"/>
      <c r="EJ154" s="925"/>
      <c r="EK154" s="925"/>
      <c r="EL154" s="925"/>
      <c r="EM154" s="925"/>
      <c r="EN154" s="925"/>
      <c r="EO154" s="925"/>
      <c r="EP154" s="925"/>
      <c r="EQ154" s="925"/>
      <c r="ER154" s="925"/>
      <c r="ES154" s="925"/>
      <c r="ET154" s="925"/>
      <c r="EV154" s="924"/>
      <c r="EW154" s="925"/>
      <c r="EX154" s="925"/>
      <c r="EY154" s="925"/>
    </row>
    <row r="155" spans="1:155" s="927" customFormat="1" ht="15.75" x14ac:dyDescent="0.25">
      <c r="A155" s="912" t="s">
        <v>360</v>
      </c>
      <c r="B155" s="913" t="s">
        <v>32</v>
      </c>
      <c r="C155" s="914">
        <v>1</v>
      </c>
      <c r="D155" s="914">
        <v>22544</v>
      </c>
      <c r="E155" s="915">
        <v>1.0549999999999999</v>
      </c>
      <c r="F155" s="916">
        <f t="shared" si="77"/>
        <v>23784</v>
      </c>
      <c r="G155" s="915">
        <v>1.01</v>
      </c>
      <c r="H155" s="916">
        <f t="shared" si="78"/>
        <v>24022</v>
      </c>
      <c r="I155" s="917">
        <f t="shared" si="79"/>
        <v>24022</v>
      </c>
      <c r="J155" s="918">
        <f t="shared" si="80"/>
        <v>0</v>
      </c>
      <c r="K155" s="919"/>
      <c r="L155" s="917">
        <f t="shared" si="81"/>
        <v>0</v>
      </c>
      <c r="M155" s="918">
        <f t="shared" si="82"/>
        <v>0</v>
      </c>
      <c r="N155" s="919"/>
      <c r="O155" s="917">
        <f t="shared" si="83"/>
        <v>0</v>
      </c>
      <c r="P155" s="918">
        <f t="shared" si="84"/>
        <v>0</v>
      </c>
      <c r="Q155" s="919"/>
      <c r="R155" s="917">
        <f t="shared" si="85"/>
        <v>0</v>
      </c>
      <c r="S155" s="918">
        <f t="shared" si="86"/>
        <v>0</v>
      </c>
      <c r="T155" s="919"/>
      <c r="U155" s="917">
        <f t="shared" si="87"/>
        <v>0</v>
      </c>
      <c r="V155" s="918">
        <f t="shared" si="88"/>
        <v>0</v>
      </c>
      <c r="W155" s="919"/>
      <c r="X155" s="917">
        <f t="shared" si="89"/>
        <v>0</v>
      </c>
      <c r="Y155" s="918">
        <f t="shared" si="90"/>
        <v>0</v>
      </c>
      <c r="Z155" s="919"/>
      <c r="AA155" s="917">
        <f t="shared" si="91"/>
        <v>0</v>
      </c>
      <c r="AB155" s="918">
        <f t="shared" si="92"/>
        <v>0.2</v>
      </c>
      <c r="AC155" s="919">
        <v>4508.8</v>
      </c>
      <c r="AD155" s="917">
        <f t="shared" si="93"/>
        <v>4804.3999999999996</v>
      </c>
      <c r="AE155" s="918">
        <f t="shared" si="94"/>
        <v>0</v>
      </c>
      <c r="AF155" s="919"/>
      <c r="AG155" s="917">
        <f t="shared" si="95"/>
        <v>0</v>
      </c>
      <c r="AH155" s="918">
        <f t="shared" si="96"/>
        <v>0</v>
      </c>
      <c r="AI155" s="919"/>
      <c r="AJ155" s="917">
        <f t="shared" si="97"/>
        <v>0</v>
      </c>
      <c r="AK155" s="918">
        <f t="shared" si="98"/>
        <v>0</v>
      </c>
      <c r="AL155" s="919"/>
      <c r="AM155" s="917">
        <f t="shared" si="99"/>
        <v>0</v>
      </c>
      <c r="AN155" s="920">
        <v>19242</v>
      </c>
      <c r="AO155" s="917">
        <f t="shared" si="100"/>
        <v>0</v>
      </c>
      <c r="AP155" s="920"/>
      <c r="AQ155" s="916">
        <f t="shared" si="101"/>
        <v>0</v>
      </c>
      <c r="AR155" s="917">
        <f t="shared" si="102"/>
        <v>28826.400000000001</v>
      </c>
      <c r="AS155" s="916">
        <v>12</v>
      </c>
      <c r="AT155" s="921">
        <f t="shared" si="103"/>
        <v>345916.8</v>
      </c>
      <c r="AU155" s="920"/>
      <c r="AV155" s="922">
        <f t="shared" si="104"/>
        <v>3459.17</v>
      </c>
      <c r="AW155" s="921">
        <f t="shared" si="105"/>
        <v>349375.97</v>
      </c>
      <c r="AX155" s="921">
        <f t="shared" si="106"/>
        <v>105511.54</v>
      </c>
      <c r="AY155" s="921">
        <f t="shared" si="107"/>
        <v>454887.51</v>
      </c>
      <c r="AZ155" s="923">
        <f t="shared" si="108"/>
        <v>349.4</v>
      </c>
      <c r="BA155" s="923">
        <f t="shared" si="109"/>
        <v>105.5</v>
      </c>
      <c r="BB155" s="923">
        <f t="shared" si="110"/>
        <v>454.9</v>
      </c>
      <c r="BC155" s="915">
        <v>0.95</v>
      </c>
      <c r="BD155" s="923">
        <f t="shared" si="111"/>
        <v>331.9</v>
      </c>
      <c r="BE155" s="923">
        <f t="shared" si="112"/>
        <v>100.2</v>
      </c>
      <c r="BF155" s="923">
        <f t="shared" si="113"/>
        <v>432.1</v>
      </c>
      <c r="BG155" s="924">
        <f>'[3]свод (2024)'!$B$116</f>
        <v>0.99758349999999996</v>
      </c>
      <c r="BH155" s="923">
        <f t="shared" si="114"/>
        <v>331.1</v>
      </c>
      <c r="BI155" s="923">
        <f t="shared" si="115"/>
        <v>100</v>
      </c>
      <c r="BJ155" s="923">
        <f t="shared" si="116"/>
        <v>431.1</v>
      </c>
      <c r="BK155" s="925">
        <f t="shared" si="117"/>
        <v>-18.3</v>
      </c>
      <c r="BL155" s="925">
        <f t="shared" si="117"/>
        <v>-5.5</v>
      </c>
      <c r="BM155" s="925">
        <f t="shared" si="118"/>
        <v>-23.8</v>
      </c>
      <c r="BN155" s="925">
        <f t="shared" si="119"/>
        <v>0</v>
      </c>
      <c r="BO155" s="925">
        <f t="shared" si="120"/>
        <v>0</v>
      </c>
      <c r="BP155" s="926"/>
      <c r="BQ155" s="925">
        <f t="shared" si="121"/>
        <v>331.1</v>
      </c>
      <c r="BR155" s="925">
        <f t="shared" si="121"/>
        <v>100</v>
      </c>
      <c r="BS155" s="925">
        <f t="shared" si="122"/>
        <v>431.1</v>
      </c>
      <c r="BU155" s="928"/>
      <c r="BV155" s="917"/>
      <c r="BW155" s="928"/>
      <c r="BX155" s="928"/>
      <c r="BY155" s="928"/>
      <c r="BZ155" s="917"/>
      <c r="CA155" s="928"/>
      <c r="CB155" s="917"/>
      <c r="CC155" s="928"/>
      <c r="CD155" s="928"/>
      <c r="CE155" s="928"/>
      <c r="CF155" s="929"/>
      <c r="CG155" s="928"/>
      <c r="CH155" s="928"/>
      <c r="CI155" s="928"/>
      <c r="CJ155" s="925"/>
      <c r="CK155" s="925"/>
      <c r="CL155" s="925"/>
      <c r="CM155" s="925"/>
      <c r="CN155" s="925"/>
      <c r="CO155" s="925"/>
      <c r="CP155" s="925"/>
      <c r="CQ155" s="925"/>
      <c r="CR155" s="925"/>
      <c r="CS155" s="917"/>
      <c r="CT155" s="928"/>
      <c r="CU155" s="928"/>
      <c r="CV155" s="928"/>
      <c r="CX155" s="925"/>
      <c r="CY155" s="925"/>
      <c r="CZ155" s="925"/>
      <c r="DB155" s="925"/>
      <c r="DC155" s="925"/>
      <c r="DD155" s="925"/>
      <c r="DE155" s="925"/>
      <c r="DF155" s="925"/>
      <c r="DG155" s="925"/>
      <c r="DH155" s="925"/>
      <c r="DI155" s="925"/>
      <c r="DJ155" s="925"/>
      <c r="DK155" s="925"/>
      <c r="DL155" s="925"/>
      <c r="DM155" s="925"/>
      <c r="DN155" s="925"/>
      <c r="DO155" s="925"/>
      <c r="DP155" s="925"/>
      <c r="DQ155" s="924"/>
      <c r="DR155" s="925"/>
      <c r="DS155" s="925"/>
      <c r="DT155" s="925"/>
      <c r="DV155" s="925"/>
      <c r="DW155" s="925"/>
      <c r="DX155" s="925"/>
      <c r="DY155" s="925"/>
      <c r="DZ155" s="925"/>
      <c r="EA155" s="925"/>
      <c r="EB155" s="925"/>
      <c r="EC155" s="925"/>
      <c r="ED155" s="925"/>
      <c r="EE155" s="925"/>
      <c r="EF155" s="925"/>
      <c r="EG155" s="925"/>
      <c r="EH155" s="925"/>
      <c r="EI155" s="925"/>
      <c r="EJ155" s="925"/>
      <c r="EK155" s="925"/>
      <c r="EL155" s="925"/>
      <c r="EM155" s="925"/>
      <c r="EN155" s="925"/>
      <c r="EO155" s="925"/>
      <c r="EP155" s="925"/>
      <c r="EQ155" s="925"/>
      <c r="ER155" s="925"/>
      <c r="ES155" s="925"/>
      <c r="ET155" s="925"/>
      <c r="EV155" s="924"/>
      <c r="EW155" s="925"/>
      <c r="EX155" s="925"/>
      <c r="EY155" s="925"/>
    </row>
    <row r="156" spans="1:155" s="927" customFormat="1" ht="15.75" x14ac:dyDescent="0.25">
      <c r="A156" s="912" t="s">
        <v>360</v>
      </c>
      <c r="B156" s="913" t="s">
        <v>1379</v>
      </c>
      <c r="C156" s="914">
        <v>1</v>
      </c>
      <c r="D156" s="914">
        <v>4336</v>
      </c>
      <c r="E156" s="915">
        <v>1.0549999999999999</v>
      </c>
      <c r="F156" s="916">
        <f t="shared" si="77"/>
        <v>4575</v>
      </c>
      <c r="G156" s="915">
        <v>1.01</v>
      </c>
      <c r="H156" s="916">
        <f t="shared" si="78"/>
        <v>4621</v>
      </c>
      <c r="I156" s="917">
        <f t="shared" si="79"/>
        <v>4621</v>
      </c>
      <c r="J156" s="918">
        <f t="shared" si="80"/>
        <v>0</v>
      </c>
      <c r="K156" s="919"/>
      <c r="L156" s="917">
        <f t="shared" si="81"/>
        <v>0</v>
      </c>
      <c r="M156" s="918">
        <f t="shared" si="82"/>
        <v>0</v>
      </c>
      <c r="N156" s="919"/>
      <c r="O156" s="917">
        <f t="shared" si="83"/>
        <v>0</v>
      </c>
      <c r="P156" s="918">
        <f t="shared" si="84"/>
        <v>0</v>
      </c>
      <c r="Q156" s="919"/>
      <c r="R156" s="917">
        <f t="shared" si="85"/>
        <v>0</v>
      </c>
      <c r="S156" s="918">
        <f t="shared" si="86"/>
        <v>0</v>
      </c>
      <c r="T156" s="919"/>
      <c r="U156" s="917">
        <f t="shared" si="87"/>
        <v>0</v>
      </c>
      <c r="V156" s="918">
        <f t="shared" si="88"/>
        <v>0</v>
      </c>
      <c r="W156" s="919"/>
      <c r="X156" s="917">
        <f t="shared" si="89"/>
        <v>0</v>
      </c>
      <c r="Y156" s="918">
        <f t="shared" si="90"/>
        <v>0</v>
      </c>
      <c r="Z156" s="919"/>
      <c r="AA156" s="917">
        <f t="shared" si="91"/>
        <v>0</v>
      </c>
      <c r="AB156" s="918">
        <f t="shared" si="92"/>
        <v>0</v>
      </c>
      <c r="AC156" s="919"/>
      <c r="AD156" s="917">
        <f t="shared" si="93"/>
        <v>0</v>
      </c>
      <c r="AE156" s="918">
        <f t="shared" si="94"/>
        <v>0</v>
      </c>
      <c r="AF156" s="919"/>
      <c r="AG156" s="917">
        <f t="shared" si="95"/>
        <v>0</v>
      </c>
      <c r="AH156" s="918">
        <f t="shared" si="96"/>
        <v>0</v>
      </c>
      <c r="AI156" s="919"/>
      <c r="AJ156" s="917">
        <f t="shared" si="97"/>
        <v>0</v>
      </c>
      <c r="AK156" s="918">
        <f t="shared" si="98"/>
        <v>0</v>
      </c>
      <c r="AL156" s="919"/>
      <c r="AM156" s="917">
        <f t="shared" si="99"/>
        <v>0</v>
      </c>
      <c r="AN156" s="920">
        <v>19242</v>
      </c>
      <c r="AO156" s="917">
        <f t="shared" si="100"/>
        <v>14621</v>
      </c>
      <c r="AP156" s="920"/>
      <c r="AQ156" s="916">
        <f t="shared" si="101"/>
        <v>0</v>
      </c>
      <c r="AR156" s="917">
        <f t="shared" si="102"/>
        <v>19242</v>
      </c>
      <c r="AS156" s="916">
        <v>12</v>
      </c>
      <c r="AT156" s="921">
        <f t="shared" si="103"/>
        <v>230904</v>
      </c>
      <c r="AU156" s="920">
        <f>AT156*0.085</f>
        <v>19626.84</v>
      </c>
      <c r="AV156" s="922">
        <f t="shared" si="104"/>
        <v>2309.04</v>
      </c>
      <c r="AW156" s="921">
        <f t="shared" si="105"/>
        <v>252839.88</v>
      </c>
      <c r="AX156" s="921">
        <f t="shared" si="106"/>
        <v>76357.64</v>
      </c>
      <c r="AY156" s="921">
        <f t="shared" si="107"/>
        <v>329197.52</v>
      </c>
      <c r="AZ156" s="923">
        <f t="shared" si="108"/>
        <v>252.8</v>
      </c>
      <c r="BA156" s="923">
        <f t="shared" si="109"/>
        <v>76.3</v>
      </c>
      <c r="BB156" s="923">
        <f t="shared" si="110"/>
        <v>329.1</v>
      </c>
      <c r="BC156" s="915">
        <v>0.95</v>
      </c>
      <c r="BD156" s="923">
        <f t="shared" si="111"/>
        <v>240.2</v>
      </c>
      <c r="BE156" s="923">
        <f t="shared" si="112"/>
        <v>72.5</v>
      </c>
      <c r="BF156" s="923">
        <f t="shared" si="113"/>
        <v>312.7</v>
      </c>
      <c r="BG156" s="924">
        <f>'[3]свод (2024)'!$B$116</f>
        <v>0.99758349999999996</v>
      </c>
      <c r="BH156" s="923">
        <f t="shared" si="114"/>
        <v>239.6</v>
      </c>
      <c r="BI156" s="923">
        <f t="shared" si="115"/>
        <v>72.400000000000006</v>
      </c>
      <c r="BJ156" s="923">
        <f t="shared" si="116"/>
        <v>312</v>
      </c>
      <c r="BK156" s="925">
        <f t="shared" si="117"/>
        <v>-13.2</v>
      </c>
      <c r="BL156" s="925">
        <f t="shared" si="117"/>
        <v>-3.9</v>
      </c>
      <c r="BM156" s="925">
        <f t="shared" si="118"/>
        <v>-17.100000000000001</v>
      </c>
      <c r="BN156" s="925">
        <f t="shared" si="119"/>
        <v>0</v>
      </c>
      <c r="BO156" s="925">
        <f t="shared" si="120"/>
        <v>0</v>
      </c>
      <c r="BP156" s="926"/>
      <c r="BQ156" s="925">
        <f t="shared" si="121"/>
        <v>239.6</v>
      </c>
      <c r="BR156" s="925">
        <f t="shared" si="121"/>
        <v>72.400000000000006</v>
      </c>
      <c r="BS156" s="925">
        <f t="shared" si="122"/>
        <v>312</v>
      </c>
      <c r="BU156" s="928"/>
      <c r="BV156" s="917"/>
      <c r="BW156" s="928"/>
      <c r="BX156" s="928"/>
      <c r="BY156" s="928"/>
      <c r="BZ156" s="917"/>
      <c r="CA156" s="928"/>
      <c r="CB156" s="917"/>
      <c r="CC156" s="928"/>
      <c r="CD156" s="928"/>
      <c r="CE156" s="928"/>
      <c r="CF156" s="929"/>
      <c r="CG156" s="928"/>
      <c r="CH156" s="928"/>
      <c r="CI156" s="928"/>
      <c r="CJ156" s="925"/>
      <c r="CK156" s="925"/>
      <c r="CL156" s="925"/>
      <c r="CM156" s="925"/>
      <c r="CN156" s="925"/>
      <c r="CO156" s="925"/>
      <c r="CP156" s="925"/>
      <c r="CQ156" s="925"/>
      <c r="CR156" s="925"/>
      <c r="CS156" s="917"/>
      <c r="CT156" s="928"/>
      <c r="CU156" s="928"/>
      <c r="CV156" s="928"/>
      <c r="CX156" s="925"/>
      <c r="CY156" s="925"/>
      <c r="CZ156" s="925"/>
      <c r="DB156" s="925"/>
      <c r="DC156" s="925"/>
      <c r="DD156" s="925"/>
      <c r="DE156" s="925"/>
      <c r="DF156" s="925"/>
      <c r="DG156" s="925"/>
      <c r="DH156" s="925"/>
      <c r="DI156" s="925"/>
      <c r="DJ156" s="925"/>
      <c r="DK156" s="925"/>
      <c r="DL156" s="925"/>
      <c r="DM156" s="925"/>
      <c r="DN156" s="925"/>
      <c r="DO156" s="925"/>
      <c r="DP156" s="925"/>
      <c r="DQ156" s="924"/>
      <c r="DR156" s="925"/>
      <c r="DS156" s="925"/>
      <c r="DT156" s="925"/>
      <c r="DV156" s="925"/>
      <c r="DW156" s="925"/>
      <c r="DX156" s="925"/>
      <c r="DY156" s="925"/>
      <c r="DZ156" s="925"/>
      <c r="EA156" s="925"/>
      <c r="EB156" s="925"/>
      <c r="EC156" s="925"/>
      <c r="ED156" s="925"/>
      <c r="EE156" s="925"/>
      <c r="EF156" s="925"/>
      <c r="EG156" s="925"/>
      <c r="EH156" s="925"/>
      <c r="EI156" s="925"/>
      <c r="EJ156" s="925"/>
      <c r="EK156" s="925"/>
      <c r="EL156" s="925"/>
      <c r="EM156" s="925"/>
      <c r="EN156" s="925"/>
      <c r="EO156" s="925"/>
      <c r="EP156" s="925"/>
      <c r="EQ156" s="925"/>
      <c r="ER156" s="925"/>
      <c r="ES156" s="925"/>
      <c r="ET156" s="925"/>
      <c r="EV156" s="924"/>
      <c r="EW156" s="925"/>
      <c r="EX156" s="925"/>
      <c r="EY156" s="925"/>
    </row>
    <row r="157" spans="1:155" s="927" customFormat="1" ht="15.75" x14ac:dyDescent="0.25">
      <c r="A157" s="912" t="s">
        <v>360</v>
      </c>
      <c r="B157" s="913" t="s">
        <v>358</v>
      </c>
      <c r="C157" s="914">
        <v>0.5</v>
      </c>
      <c r="D157" s="914">
        <v>5274</v>
      </c>
      <c r="E157" s="915">
        <v>1.0549999999999999</v>
      </c>
      <c r="F157" s="916">
        <f t="shared" si="77"/>
        <v>5565</v>
      </c>
      <c r="G157" s="915">
        <v>1.01</v>
      </c>
      <c r="H157" s="916">
        <f t="shared" si="78"/>
        <v>5621</v>
      </c>
      <c r="I157" s="917">
        <f t="shared" si="79"/>
        <v>2810.5</v>
      </c>
      <c r="J157" s="918">
        <f t="shared" si="80"/>
        <v>0</v>
      </c>
      <c r="K157" s="919"/>
      <c r="L157" s="917">
        <f t="shared" si="81"/>
        <v>0</v>
      </c>
      <c r="M157" s="918">
        <f t="shared" si="82"/>
        <v>0</v>
      </c>
      <c r="N157" s="919"/>
      <c r="O157" s="917">
        <f t="shared" si="83"/>
        <v>0</v>
      </c>
      <c r="P157" s="918">
        <f t="shared" si="84"/>
        <v>0</v>
      </c>
      <c r="Q157" s="919"/>
      <c r="R157" s="917">
        <f t="shared" si="85"/>
        <v>0</v>
      </c>
      <c r="S157" s="918">
        <f t="shared" si="86"/>
        <v>0</v>
      </c>
      <c r="T157" s="919"/>
      <c r="U157" s="917">
        <f t="shared" si="87"/>
        <v>0</v>
      </c>
      <c r="V157" s="918">
        <f t="shared" si="88"/>
        <v>0</v>
      </c>
      <c r="W157" s="919"/>
      <c r="X157" s="917">
        <f t="shared" si="89"/>
        <v>0</v>
      </c>
      <c r="Y157" s="918">
        <f t="shared" si="90"/>
        <v>0</v>
      </c>
      <c r="Z157" s="919"/>
      <c r="AA157" s="917">
        <f t="shared" si="91"/>
        <v>0</v>
      </c>
      <c r="AB157" s="918">
        <f t="shared" si="92"/>
        <v>0</v>
      </c>
      <c r="AC157" s="919"/>
      <c r="AD157" s="917">
        <f t="shared" si="93"/>
        <v>0</v>
      </c>
      <c r="AE157" s="918">
        <f t="shared" si="94"/>
        <v>0</v>
      </c>
      <c r="AF157" s="919"/>
      <c r="AG157" s="917">
        <f t="shared" si="95"/>
        <v>0</v>
      </c>
      <c r="AH157" s="918">
        <f t="shared" si="96"/>
        <v>0</v>
      </c>
      <c r="AI157" s="919"/>
      <c r="AJ157" s="917">
        <f t="shared" si="97"/>
        <v>0</v>
      </c>
      <c r="AK157" s="918">
        <f t="shared" si="98"/>
        <v>0</v>
      </c>
      <c r="AL157" s="919"/>
      <c r="AM157" s="917">
        <f t="shared" si="99"/>
        <v>0</v>
      </c>
      <c r="AN157" s="920">
        <v>19242</v>
      </c>
      <c r="AO157" s="917">
        <f t="shared" si="100"/>
        <v>6810.5</v>
      </c>
      <c r="AP157" s="920"/>
      <c r="AQ157" s="916">
        <f t="shared" si="101"/>
        <v>0</v>
      </c>
      <c r="AR157" s="917">
        <f t="shared" si="102"/>
        <v>9621</v>
      </c>
      <c r="AS157" s="916">
        <v>12</v>
      </c>
      <c r="AT157" s="921">
        <f t="shared" si="103"/>
        <v>115452</v>
      </c>
      <c r="AU157" s="920"/>
      <c r="AV157" s="922">
        <f t="shared" si="104"/>
        <v>1154.52</v>
      </c>
      <c r="AW157" s="921">
        <f t="shared" si="105"/>
        <v>116606.52</v>
      </c>
      <c r="AX157" s="921">
        <f t="shared" si="106"/>
        <v>35215.17</v>
      </c>
      <c r="AY157" s="921">
        <f t="shared" si="107"/>
        <v>151821.69</v>
      </c>
      <c r="AZ157" s="923">
        <f t="shared" si="108"/>
        <v>116.6</v>
      </c>
      <c r="BA157" s="923">
        <f t="shared" si="109"/>
        <v>35.200000000000003</v>
      </c>
      <c r="BB157" s="923">
        <f t="shared" si="110"/>
        <v>151.80000000000001</v>
      </c>
      <c r="BC157" s="915">
        <v>0.95</v>
      </c>
      <c r="BD157" s="923">
        <f t="shared" si="111"/>
        <v>110.8</v>
      </c>
      <c r="BE157" s="923">
        <f t="shared" si="112"/>
        <v>33.5</v>
      </c>
      <c r="BF157" s="923">
        <f t="shared" si="113"/>
        <v>144.30000000000001</v>
      </c>
      <c r="BG157" s="924">
        <f>'[3]свод (2024)'!$B$116</f>
        <v>0.99758349999999996</v>
      </c>
      <c r="BH157" s="923">
        <f t="shared" si="114"/>
        <v>110.5</v>
      </c>
      <c r="BI157" s="923">
        <f t="shared" si="115"/>
        <v>33.4</v>
      </c>
      <c r="BJ157" s="923">
        <f t="shared" si="116"/>
        <v>143.9</v>
      </c>
      <c r="BK157" s="925">
        <f t="shared" si="117"/>
        <v>-6.1</v>
      </c>
      <c r="BL157" s="925">
        <f t="shared" si="117"/>
        <v>-1.8</v>
      </c>
      <c r="BM157" s="925">
        <f t="shared" si="118"/>
        <v>-7.9</v>
      </c>
      <c r="BN157" s="925">
        <f t="shared" si="119"/>
        <v>0</v>
      </c>
      <c r="BO157" s="925">
        <f t="shared" si="120"/>
        <v>0</v>
      </c>
      <c r="BP157" s="926"/>
      <c r="BQ157" s="925">
        <f t="shared" si="121"/>
        <v>110.5</v>
      </c>
      <c r="BR157" s="925">
        <f t="shared" si="121"/>
        <v>33.4</v>
      </c>
      <c r="BS157" s="925">
        <f t="shared" si="122"/>
        <v>143.9</v>
      </c>
      <c r="BU157" s="928"/>
      <c r="BV157" s="917"/>
      <c r="BW157" s="928"/>
      <c r="BX157" s="928"/>
      <c r="BY157" s="928"/>
      <c r="BZ157" s="917"/>
      <c r="CA157" s="928"/>
      <c r="CB157" s="917"/>
      <c r="CC157" s="928"/>
      <c r="CD157" s="928"/>
      <c r="CE157" s="928"/>
      <c r="CF157" s="929"/>
      <c r="CG157" s="928"/>
      <c r="CH157" s="928"/>
      <c r="CI157" s="928"/>
      <c r="CJ157" s="925"/>
      <c r="CK157" s="925"/>
      <c r="CL157" s="925"/>
      <c r="CM157" s="925"/>
      <c r="CN157" s="925"/>
      <c r="CO157" s="925"/>
      <c r="CP157" s="925"/>
      <c r="CQ157" s="925"/>
      <c r="CR157" s="925"/>
      <c r="CS157" s="917"/>
      <c r="CT157" s="928"/>
      <c r="CU157" s="928"/>
      <c r="CV157" s="928"/>
      <c r="CX157" s="925"/>
      <c r="CY157" s="925"/>
      <c r="CZ157" s="925"/>
      <c r="DB157" s="925"/>
      <c r="DC157" s="925"/>
      <c r="DD157" s="925"/>
      <c r="DE157" s="925"/>
      <c r="DF157" s="925"/>
      <c r="DG157" s="925"/>
      <c r="DH157" s="925"/>
      <c r="DI157" s="925"/>
      <c r="DJ157" s="925"/>
      <c r="DK157" s="925"/>
      <c r="DL157" s="925"/>
      <c r="DM157" s="925"/>
      <c r="DN157" s="925"/>
      <c r="DO157" s="925"/>
      <c r="DP157" s="925"/>
      <c r="DQ157" s="924"/>
      <c r="DR157" s="925"/>
      <c r="DS157" s="925"/>
      <c r="DT157" s="925"/>
      <c r="DV157" s="925"/>
      <c r="DW157" s="925"/>
      <c r="DX157" s="925"/>
      <c r="DY157" s="925"/>
      <c r="DZ157" s="925"/>
      <c r="EA157" s="925"/>
      <c r="EB157" s="925"/>
      <c r="EC157" s="925"/>
      <c r="ED157" s="925"/>
      <c r="EE157" s="925"/>
      <c r="EF157" s="925"/>
      <c r="EG157" s="925"/>
      <c r="EH157" s="925"/>
      <c r="EI157" s="925"/>
      <c r="EJ157" s="925"/>
      <c r="EK157" s="925"/>
      <c r="EL157" s="925"/>
      <c r="EM157" s="925"/>
      <c r="EN157" s="925"/>
      <c r="EO157" s="925"/>
      <c r="EP157" s="925"/>
      <c r="EQ157" s="925"/>
      <c r="ER157" s="925"/>
      <c r="ES157" s="925"/>
      <c r="ET157" s="925"/>
      <c r="EV157" s="924"/>
      <c r="EW157" s="925"/>
      <c r="EX157" s="925"/>
      <c r="EY157" s="925"/>
    </row>
    <row r="158" spans="1:155" s="927" customFormat="1" ht="15.75" x14ac:dyDescent="0.25">
      <c r="A158" s="912" t="s">
        <v>360</v>
      </c>
      <c r="B158" s="913" t="s">
        <v>1380</v>
      </c>
      <c r="C158" s="914">
        <v>1</v>
      </c>
      <c r="D158" s="914">
        <v>25048</v>
      </c>
      <c r="E158" s="915">
        <v>1.0549999999999999</v>
      </c>
      <c r="F158" s="916">
        <f t="shared" si="77"/>
        <v>26426</v>
      </c>
      <c r="G158" s="915">
        <v>1.01</v>
      </c>
      <c r="H158" s="916">
        <f t="shared" si="78"/>
        <v>26691</v>
      </c>
      <c r="I158" s="917">
        <f t="shared" si="79"/>
        <v>26691</v>
      </c>
      <c r="J158" s="918">
        <f t="shared" si="80"/>
        <v>0</v>
      </c>
      <c r="K158" s="919"/>
      <c r="L158" s="917">
        <f t="shared" si="81"/>
        <v>0</v>
      </c>
      <c r="M158" s="918">
        <f t="shared" si="82"/>
        <v>0</v>
      </c>
      <c r="N158" s="919"/>
      <c r="O158" s="917">
        <f t="shared" si="83"/>
        <v>0</v>
      </c>
      <c r="P158" s="918">
        <f t="shared" si="84"/>
        <v>0</v>
      </c>
      <c r="Q158" s="919"/>
      <c r="R158" s="917">
        <f t="shared" si="85"/>
        <v>0</v>
      </c>
      <c r="S158" s="918">
        <f t="shared" si="86"/>
        <v>0.23068</v>
      </c>
      <c r="T158" s="919">
        <v>5778.08</v>
      </c>
      <c r="U158" s="917">
        <f t="shared" si="87"/>
        <v>6157.08</v>
      </c>
      <c r="V158" s="918">
        <f t="shared" si="88"/>
        <v>0</v>
      </c>
      <c r="W158" s="919"/>
      <c r="X158" s="917">
        <f t="shared" si="89"/>
        <v>0</v>
      </c>
      <c r="Y158" s="918">
        <f t="shared" si="90"/>
        <v>0.24</v>
      </c>
      <c r="Z158" s="919">
        <v>6011.52</v>
      </c>
      <c r="AA158" s="917">
        <f t="shared" si="91"/>
        <v>6405.84</v>
      </c>
      <c r="AB158" s="918">
        <f t="shared" si="92"/>
        <v>0.1</v>
      </c>
      <c r="AC158" s="919">
        <v>2504.8000000000002</v>
      </c>
      <c r="AD158" s="917">
        <f t="shared" si="93"/>
        <v>2669.1</v>
      </c>
      <c r="AE158" s="918">
        <f t="shared" si="94"/>
        <v>0</v>
      </c>
      <c r="AF158" s="919"/>
      <c r="AG158" s="917">
        <f t="shared" si="95"/>
        <v>0</v>
      </c>
      <c r="AH158" s="918">
        <f t="shared" si="96"/>
        <v>0</v>
      </c>
      <c r="AI158" s="919"/>
      <c r="AJ158" s="917">
        <f t="shared" si="97"/>
        <v>0</v>
      </c>
      <c r="AK158" s="918">
        <f t="shared" si="98"/>
        <v>0</v>
      </c>
      <c r="AL158" s="919"/>
      <c r="AM158" s="917">
        <f t="shared" si="99"/>
        <v>0</v>
      </c>
      <c r="AN158" s="920">
        <v>19242</v>
      </c>
      <c r="AO158" s="917">
        <f t="shared" si="100"/>
        <v>0</v>
      </c>
      <c r="AP158" s="920"/>
      <c r="AQ158" s="916">
        <f t="shared" si="101"/>
        <v>0</v>
      </c>
      <c r="AR158" s="917">
        <f t="shared" si="102"/>
        <v>41923.019999999997</v>
      </c>
      <c r="AS158" s="916">
        <v>12</v>
      </c>
      <c r="AT158" s="921">
        <f t="shared" si="103"/>
        <v>503076.24</v>
      </c>
      <c r="AU158" s="920"/>
      <c r="AV158" s="922">
        <f t="shared" si="104"/>
        <v>5030.76</v>
      </c>
      <c r="AW158" s="921">
        <f t="shared" si="105"/>
        <v>508107</v>
      </c>
      <c r="AX158" s="921">
        <f t="shared" si="106"/>
        <v>153448.31</v>
      </c>
      <c r="AY158" s="921">
        <f t="shared" si="107"/>
        <v>661555.31000000006</v>
      </c>
      <c r="AZ158" s="923">
        <f t="shared" si="108"/>
        <v>508.1</v>
      </c>
      <c r="BA158" s="923">
        <f t="shared" si="109"/>
        <v>153.4</v>
      </c>
      <c r="BB158" s="923">
        <f t="shared" si="110"/>
        <v>661.5</v>
      </c>
      <c r="BC158" s="915">
        <v>0.95</v>
      </c>
      <c r="BD158" s="923">
        <f t="shared" si="111"/>
        <v>482.7</v>
      </c>
      <c r="BE158" s="923">
        <f t="shared" si="112"/>
        <v>145.80000000000001</v>
      </c>
      <c r="BF158" s="923">
        <f t="shared" si="113"/>
        <v>628.5</v>
      </c>
      <c r="BG158" s="924">
        <f>'[3]свод (2024)'!$B$116</f>
        <v>0.99758349999999996</v>
      </c>
      <c r="BH158" s="923">
        <f t="shared" si="114"/>
        <v>481.5</v>
      </c>
      <c r="BI158" s="923">
        <f t="shared" si="115"/>
        <v>145.4</v>
      </c>
      <c r="BJ158" s="923">
        <f t="shared" si="116"/>
        <v>626.9</v>
      </c>
      <c r="BK158" s="925">
        <f t="shared" si="117"/>
        <v>-26.6</v>
      </c>
      <c r="BL158" s="925">
        <f t="shared" si="117"/>
        <v>-8</v>
      </c>
      <c r="BM158" s="925">
        <f t="shared" si="118"/>
        <v>-34.6</v>
      </c>
      <c r="BN158" s="925">
        <f t="shared" si="119"/>
        <v>0</v>
      </c>
      <c r="BO158" s="925">
        <f t="shared" si="120"/>
        <v>0</v>
      </c>
      <c r="BP158" s="926"/>
      <c r="BQ158" s="925">
        <f t="shared" si="121"/>
        <v>481.5</v>
      </c>
      <c r="BR158" s="925">
        <f t="shared" si="121"/>
        <v>145.4</v>
      </c>
      <c r="BS158" s="925">
        <f t="shared" si="122"/>
        <v>626.9</v>
      </c>
      <c r="BU158" s="928"/>
      <c r="BV158" s="917"/>
      <c r="BW158" s="928"/>
      <c r="BX158" s="928"/>
      <c r="BY158" s="928"/>
      <c r="BZ158" s="917"/>
      <c r="CA158" s="928"/>
      <c r="CB158" s="917"/>
      <c r="CC158" s="928"/>
      <c r="CD158" s="928"/>
      <c r="CE158" s="928"/>
      <c r="CF158" s="929"/>
      <c r="CG158" s="928"/>
      <c r="CH158" s="928"/>
      <c r="CI158" s="928"/>
      <c r="CJ158" s="925"/>
      <c r="CK158" s="925"/>
      <c r="CL158" s="925"/>
      <c r="CM158" s="925"/>
      <c r="CN158" s="925"/>
      <c r="CO158" s="925"/>
      <c r="CP158" s="925"/>
      <c r="CQ158" s="925"/>
      <c r="CR158" s="925"/>
      <c r="CS158" s="917"/>
      <c r="CT158" s="928"/>
      <c r="CU158" s="928"/>
      <c r="CV158" s="928"/>
      <c r="CX158" s="925"/>
      <c r="CY158" s="925"/>
      <c r="CZ158" s="925"/>
      <c r="DB158" s="925"/>
      <c r="DC158" s="925"/>
      <c r="DD158" s="925"/>
      <c r="DE158" s="925"/>
      <c r="DF158" s="925"/>
      <c r="DG158" s="925"/>
      <c r="DH158" s="925"/>
      <c r="DI158" s="925"/>
      <c r="DJ158" s="925"/>
      <c r="DK158" s="925"/>
      <c r="DL158" s="925"/>
      <c r="DM158" s="925"/>
      <c r="DN158" s="925"/>
      <c r="DO158" s="925"/>
      <c r="DP158" s="925"/>
      <c r="DQ158" s="924"/>
      <c r="DR158" s="925"/>
      <c r="DS158" s="925"/>
      <c r="DT158" s="925"/>
      <c r="DV158" s="925"/>
      <c r="DW158" s="925"/>
      <c r="DX158" s="925"/>
      <c r="DY158" s="925"/>
      <c r="DZ158" s="925"/>
      <c r="EA158" s="925"/>
      <c r="EB158" s="925"/>
      <c r="EC158" s="925"/>
      <c r="ED158" s="925"/>
      <c r="EE158" s="925"/>
      <c r="EF158" s="925"/>
      <c r="EG158" s="925"/>
      <c r="EH158" s="925"/>
      <c r="EI158" s="925"/>
      <c r="EJ158" s="925"/>
      <c r="EK158" s="925"/>
      <c r="EL158" s="925"/>
      <c r="EM158" s="925"/>
      <c r="EN158" s="925"/>
      <c r="EO158" s="925"/>
      <c r="EP158" s="925"/>
      <c r="EQ158" s="925"/>
      <c r="ER158" s="925"/>
      <c r="ES158" s="925"/>
      <c r="ET158" s="925"/>
      <c r="EV158" s="924"/>
      <c r="EW158" s="925"/>
      <c r="EX158" s="925"/>
      <c r="EY158" s="925"/>
    </row>
    <row r="159" spans="1:155" s="927" customFormat="1" ht="15.75" x14ac:dyDescent="0.25">
      <c r="A159" s="912" t="s">
        <v>360</v>
      </c>
      <c r="B159" s="913" t="s">
        <v>33</v>
      </c>
      <c r="C159" s="914">
        <v>4</v>
      </c>
      <c r="D159" s="914">
        <v>13466</v>
      </c>
      <c r="E159" s="915">
        <v>1.0549999999999999</v>
      </c>
      <c r="F159" s="916">
        <f t="shared" si="77"/>
        <v>14207</v>
      </c>
      <c r="G159" s="915">
        <v>1.01</v>
      </c>
      <c r="H159" s="916">
        <f t="shared" si="78"/>
        <v>14350</v>
      </c>
      <c r="I159" s="917">
        <f t="shared" si="79"/>
        <v>57400</v>
      </c>
      <c r="J159" s="918">
        <f t="shared" si="80"/>
        <v>0</v>
      </c>
      <c r="K159" s="919"/>
      <c r="L159" s="917">
        <f t="shared" si="81"/>
        <v>0</v>
      </c>
      <c r="M159" s="918">
        <f t="shared" si="82"/>
        <v>0</v>
      </c>
      <c r="N159" s="919"/>
      <c r="O159" s="917">
        <f t="shared" si="83"/>
        <v>0</v>
      </c>
      <c r="P159" s="918">
        <f t="shared" si="84"/>
        <v>0</v>
      </c>
      <c r="Q159" s="988"/>
      <c r="R159" s="917">
        <f t="shared" si="85"/>
        <v>0</v>
      </c>
      <c r="S159" s="918">
        <f t="shared" si="86"/>
        <v>0.1598</v>
      </c>
      <c r="T159" s="919">
        <v>8607.5</v>
      </c>
      <c r="U159" s="917">
        <f t="shared" si="87"/>
        <v>9172.52</v>
      </c>
      <c r="V159" s="918">
        <f t="shared" si="88"/>
        <v>0</v>
      </c>
      <c r="W159" s="919"/>
      <c r="X159" s="917">
        <f t="shared" si="89"/>
        <v>0</v>
      </c>
      <c r="Y159" s="918">
        <f t="shared" si="90"/>
        <v>0</v>
      </c>
      <c r="Z159" s="919"/>
      <c r="AA159" s="917">
        <f t="shared" si="91"/>
        <v>0</v>
      </c>
      <c r="AB159" s="918">
        <f t="shared" si="92"/>
        <v>0.18124999999999999</v>
      </c>
      <c r="AC159" s="919">
        <v>9762.85</v>
      </c>
      <c r="AD159" s="917">
        <f t="shared" si="93"/>
        <v>10403.75</v>
      </c>
      <c r="AE159" s="918">
        <f t="shared" si="94"/>
        <v>2.5000000000000001E-2</v>
      </c>
      <c r="AF159" s="919">
        <v>1346.6</v>
      </c>
      <c r="AG159" s="917">
        <f t="shared" si="95"/>
        <v>1435</v>
      </c>
      <c r="AH159" s="918">
        <f t="shared" si="96"/>
        <v>0</v>
      </c>
      <c r="AI159" s="919"/>
      <c r="AJ159" s="917">
        <f t="shared" si="97"/>
        <v>0</v>
      </c>
      <c r="AK159" s="918">
        <f t="shared" si="98"/>
        <v>0</v>
      </c>
      <c r="AL159" s="919"/>
      <c r="AM159" s="917">
        <f t="shared" si="99"/>
        <v>0</v>
      </c>
      <c r="AN159" s="920">
        <v>19242</v>
      </c>
      <c r="AO159" s="917">
        <f t="shared" si="100"/>
        <v>0</v>
      </c>
      <c r="AP159" s="920"/>
      <c r="AQ159" s="916">
        <f t="shared" si="101"/>
        <v>0</v>
      </c>
      <c r="AR159" s="917">
        <f t="shared" si="102"/>
        <v>78411.27</v>
      </c>
      <c r="AS159" s="916">
        <v>12</v>
      </c>
      <c r="AT159" s="921">
        <f t="shared" si="103"/>
        <v>940935.24</v>
      </c>
      <c r="AU159" s="920"/>
      <c r="AV159" s="922">
        <f t="shared" si="104"/>
        <v>9409.35</v>
      </c>
      <c r="AW159" s="921">
        <f t="shared" si="105"/>
        <v>950344.59</v>
      </c>
      <c r="AX159" s="921">
        <f t="shared" si="106"/>
        <v>287004.07</v>
      </c>
      <c r="AY159" s="921">
        <f t="shared" si="107"/>
        <v>1237348.6599999999</v>
      </c>
      <c r="AZ159" s="923">
        <f t="shared" si="108"/>
        <v>950.3</v>
      </c>
      <c r="BA159" s="923">
        <f t="shared" si="109"/>
        <v>287</v>
      </c>
      <c r="BB159" s="923">
        <f t="shared" si="110"/>
        <v>1237.3</v>
      </c>
      <c r="BC159" s="915">
        <v>0.95</v>
      </c>
      <c r="BD159" s="923">
        <f t="shared" si="111"/>
        <v>902.8</v>
      </c>
      <c r="BE159" s="923">
        <f t="shared" si="112"/>
        <v>272.60000000000002</v>
      </c>
      <c r="BF159" s="923">
        <f t="shared" si="113"/>
        <v>1175.4000000000001</v>
      </c>
      <c r="BG159" s="924">
        <f>'[3]свод (2024)'!$B$116</f>
        <v>0.99758349999999996</v>
      </c>
      <c r="BH159" s="923">
        <f t="shared" si="114"/>
        <v>900.6</v>
      </c>
      <c r="BI159" s="923">
        <f t="shared" si="115"/>
        <v>272</v>
      </c>
      <c r="BJ159" s="923">
        <f t="shared" si="116"/>
        <v>1172.5999999999999</v>
      </c>
      <c r="BK159" s="925">
        <f t="shared" si="117"/>
        <v>-49.7</v>
      </c>
      <c r="BL159" s="925">
        <f t="shared" si="117"/>
        <v>-15</v>
      </c>
      <c r="BM159" s="925">
        <f t="shared" si="118"/>
        <v>-64.7</v>
      </c>
      <c r="BN159" s="925">
        <f t="shared" si="119"/>
        <v>0</v>
      </c>
      <c r="BO159" s="925">
        <f t="shared" si="120"/>
        <v>0</v>
      </c>
      <c r="BP159" s="926"/>
      <c r="BQ159" s="925">
        <f t="shared" si="121"/>
        <v>900.6</v>
      </c>
      <c r="BR159" s="925">
        <f t="shared" si="121"/>
        <v>272</v>
      </c>
      <c r="BS159" s="925">
        <f t="shared" si="122"/>
        <v>1172.5999999999999</v>
      </c>
      <c r="BU159" s="928"/>
      <c r="BV159" s="917"/>
      <c r="BW159" s="928"/>
      <c r="BX159" s="928"/>
      <c r="BY159" s="928"/>
      <c r="BZ159" s="917"/>
      <c r="CA159" s="928"/>
      <c r="CB159" s="917"/>
      <c r="CC159" s="928"/>
      <c r="CD159" s="928"/>
      <c r="CE159" s="928"/>
      <c r="CF159" s="929"/>
      <c r="CG159" s="928"/>
      <c r="CH159" s="928"/>
      <c r="CI159" s="928"/>
      <c r="CJ159" s="925"/>
      <c r="CK159" s="925"/>
      <c r="CL159" s="925"/>
      <c r="CM159" s="925"/>
      <c r="CN159" s="925"/>
      <c r="CO159" s="925"/>
      <c r="CP159" s="925"/>
      <c r="CQ159" s="925"/>
      <c r="CR159" s="925"/>
      <c r="CS159" s="917"/>
      <c r="CT159" s="928"/>
      <c r="CU159" s="928"/>
      <c r="CV159" s="928"/>
      <c r="CX159" s="925"/>
      <c r="CY159" s="925"/>
      <c r="CZ159" s="925"/>
      <c r="DB159" s="925"/>
      <c r="DC159" s="925"/>
      <c r="DD159" s="925"/>
      <c r="DE159" s="925"/>
      <c r="DF159" s="925"/>
      <c r="DG159" s="925"/>
      <c r="DH159" s="925"/>
      <c r="DI159" s="925"/>
      <c r="DJ159" s="925"/>
      <c r="DK159" s="925"/>
      <c r="DL159" s="925"/>
      <c r="DM159" s="925"/>
      <c r="DN159" s="925"/>
      <c r="DO159" s="925"/>
      <c r="DP159" s="925"/>
      <c r="DQ159" s="924"/>
      <c r="DR159" s="925"/>
      <c r="DS159" s="925"/>
      <c r="DT159" s="925"/>
      <c r="DV159" s="925"/>
      <c r="DW159" s="925"/>
      <c r="DX159" s="925"/>
      <c r="DY159" s="925"/>
      <c r="DZ159" s="925"/>
      <c r="EA159" s="925"/>
      <c r="EB159" s="925"/>
      <c r="EC159" s="925"/>
      <c r="ED159" s="925"/>
      <c r="EE159" s="925"/>
      <c r="EF159" s="925"/>
      <c r="EG159" s="925"/>
      <c r="EH159" s="925"/>
      <c r="EI159" s="925"/>
      <c r="EJ159" s="925"/>
      <c r="EK159" s="925"/>
      <c r="EL159" s="925"/>
      <c r="EM159" s="925"/>
      <c r="EN159" s="925"/>
      <c r="EO159" s="925"/>
      <c r="EP159" s="925"/>
      <c r="EQ159" s="925"/>
      <c r="ER159" s="925"/>
      <c r="ES159" s="925"/>
      <c r="ET159" s="925"/>
      <c r="EV159" s="924"/>
      <c r="EW159" s="925"/>
      <c r="EX159" s="925"/>
      <c r="EY159" s="925"/>
    </row>
    <row r="160" spans="1:155" s="927" customFormat="1" ht="15.75" x14ac:dyDescent="0.25">
      <c r="A160" s="912" t="s">
        <v>360</v>
      </c>
      <c r="B160" s="913" t="s">
        <v>39</v>
      </c>
      <c r="C160" s="914">
        <v>1</v>
      </c>
      <c r="D160" s="914">
        <v>6097</v>
      </c>
      <c r="E160" s="915">
        <v>1.0549999999999999</v>
      </c>
      <c r="F160" s="916">
        <f t="shared" si="77"/>
        <v>6433</v>
      </c>
      <c r="G160" s="915">
        <v>1.01</v>
      </c>
      <c r="H160" s="916">
        <f t="shared" si="78"/>
        <v>6498</v>
      </c>
      <c r="I160" s="917">
        <f t="shared" si="79"/>
        <v>6498</v>
      </c>
      <c r="J160" s="918">
        <f t="shared" si="80"/>
        <v>0</v>
      </c>
      <c r="K160" s="919"/>
      <c r="L160" s="917">
        <f t="shared" si="81"/>
        <v>0</v>
      </c>
      <c r="M160" s="918">
        <f t="shared" si="82"/>
        <v>0</v>
      </c>
      <c r="N160" s="919"/>
      <c r="O160" s="917">
        <f t="shared" si="83"/>
        <v>0</v>
      </c>
      <c r="P160" s="918">
        <f t="shared" si="84"/>
        <v>0</v>
      </c>
      <c r="Q160" s="919"/>
      <c r="R160" s="917">
        <f t="shared" si="85"/>
        <v>0</v>
      </c>
      <c r="S160" s="918">
        <f t="shared" si="86"/>
        <v>0</v>
      </c>
      <c r="T160" s="919"/>
      <c r="U160" s="917">
        <f t="shared" si="87"/>
        <v>0</v>
      </c>
      <c r="V160" s="918">
        <f t="shared" si="88"/>
        <v>0</v>
      </c>
      <c r="W160" s="919"/>
      <c r="X160" s="917">
        <f t="shared" si="89"/>
        <v>0</v>
      </c>
      <c r="Y160" s="918">
        <f t="shared" si="90"/>
        <v>0</v>
      </c>
      <c r="Z160" s="919"/>
      <c r="AA160" s="917">
        <f t="shared" si="91"/>
        <v>0</v>
      </c>
      <c r="AB160" s="918">
        <f t="shared" si="92"/>
        <v>0</v>
      </c>
      <c r="AC160" s="919"/>
      <c r="AD160" s="917">
        <f t="shared" si="93"/>
        <v>0</v>
      </c>
      <c r="AE160" s="918">
        <f t="shared" si="94"/>
        <v>0</v>
      </c>
      <c r="AF160" s="919"/>
      <c r="AG160" s="917">
        <f t="shared" si="95"/>
        <v>0</v>
      </c>
      <c r="AH160" s="918">
        <f t="shared" si="96"/>
        <v>0</v>
      </c>
      <c r="AI160" s="919"/>
      <c r="AJ160" s="917">
        <f t="shared" si="97"/>
        <v>0</v>
      </c>
      <c r="AK160" s="918">
        <f t="shared" si="98"/>
        <v>0</v>
      </c>
      <c r="AL160" s="919"/>
      <c r="AM160" s="917">
        <f t="shared" si="99"/>
        <v>0</v>
      </c>
      <c r="AN160" s="920">
        <v>19242</v>
      </c>
      <c r="AO160" s="917">
        <f t="shared" si="100"/>
        <v>12744</v>
      </c>
      <c r="AP160" s="920"/>
      <c r="AQ160" s="916">
        <f t="shared" si="101"/>
        <v>0</v>
      </c>
      <c r="AR160" s="917">
        <f t="shared" si="102"/>
        <v>19242</v>
      </c>
      <c r="AS160" s="916">
        <v>12</v>
      </c>
      <c r="AT160" s="921">
        <f t="shared" si="103"/>
        <v>230904</v>
      </c>
      <c r="AU160" s="920"/>
      <c r="AV160" s="922">
        <f t="shared" si="104"/>
        <v>2309.04</v>
      </c>
      <c r="AW160" s="921">
        <f t="shared" si="105"/>
        <v>233213.04</v>
      </c>
      <c r="AX160" s="921">
        <f t="shared" si="106"/>
        <v>70430.34</v>
      </c>
      <c r="AY160" s="921">
        <f t="shared" si="107"/>
        <v>303643.38</v>
      </c>
      <c r="AZ160" s="923">
        <f t="shared" si="108"/>
        <v>233.2</v>
      </c>
      <c r="BA160" s="923">
        <f t="shared" si="109"/>
        <v>70.400000000000006</v>
      </c>
      <c r="BB160" s="923">
        <f t="shared" si="110"/>
        <v>303.60000000000002</v>
      </c>
      <c r="BC160" s="915">
        <v>0.95</v>
      </c>
      <c r="BD160" s="923">
        <f t="shared" si="111"/>
        <v>221.5</v>
      </c>
      <c r="BE160" s="923">
        <f t="shared" si="112"/>
        <v>66.900000000000006</v>
      </c>
      <c r="BF160" s="923">
        <f t="shared" si="113"/>
        <v>288.39999999999998</v>
      </c>
      <c r="BG160" s="924">
        <f>'[3]свод (2024)'!$B$116</f>
        <v>0.99758349999999996</v>
      </c>
      <c r="BH160" s="923">
        <f t="shared" si="114"/>
        <v>221</v>
      </c>
      <c r="BI160" s="923">
        <f t="shared" si="115"/>
        <v>66.7</v>
      </c>
      <c r="BJ160" s="923">
        <f t="shared" si="116"/>
        <v>287.7</v>
      </c>
      <c r="BK160" s="925">
        <f t="shared" si="117"/>
        <v>-12.2</v>
      </c>
      <c r="BL160" s="925">
        <f t="shared" si="117"/>
        <v>-3.7</v>
      </c>
      <c r="BM160" s="925">
        <f t="shared" si="118"/>
        <v>-15.9</v>
      </c>
      <c r="BN160" s="925">
        <f t="shared" si="119"/>
        <v>0</v>
      </c>
      <c r="BO160" s="925">
        <f t="shared" si="120"/>
        <v>0</v>
      </c>
      <c r="BP160" s="926"/>
      <c r="BQ160" s="925">
        <f t="shared" si="121"/>
        <v>221</v>
      </c>
      <c r="BR160" s="925">
        <f t="shared" si="121"/>
        <v>66.7</v>
      </c>
      <c r="BS160" s="925">
        <f t="shared" si="122"/>
        <v>287.7</v>
      </c>
      <c r="BU160" s="928"/>
      <c r="BV160" s="917"/>
      <c r="BW160" s="928"/>
      <c r="BX160" s="928"/>
      <c r="BY160" s="928"/>
      <c r="BZ160" s="917"/>
      <c r="CA160" s="928"/>
      <c r="CB160" s="917"/>
      <c r="CC160" s="928"/>
      <c r="CD160" s="928"/>
      <c r="CE160" s="928"/>
      <c r="CF160" s="929"/>
      <c r="CG160" s="928"/>
      <c r="CH160" s="928"/>
      <c r="CI160" s="928"/>
      <c r="CJ160" s="925"/>
      <c r="CK160" s="925"/>
      <c r="CL160" s="925"/>
      <c r="CM160" s="925"/>
      <c r="CN160" s="925"/>
      <c r="CO160" s="925"/>
      <c r="CP160" s="925"/>
      <c r="CQ160" s="925"/>
      <c r="CR160" s="925"/>
      <c r="CS160" s="917"/>
      <c r="CT160" s="928"/>
      <c r="CU160" s="928"/>
      <c r="CV160" s="928"/>
      <c r="CX160" s="925"/>
      <c r="CY160" s="925"/>
      <c r="CZ160" s="925"/>
      <c r="DB160" s="925"/>
      <c r="DC160" s="925"/>
      <c r="DD160" s="925"/>
      <c r="DE160" s="925"/>
      <c r="DF160" s="925"/>
      <c r="DG160" s="925"/>
      <c r="DH160" s="925"/>
      <c r="DI160" s="925"/>
      <c r="DJ160" s="925"/>
      <c r="DK160" s="925"/>
      <c r="DL160" s="925"/>
      <c r="DM160" s="925"/>
      <c r="DN160" s="925"/>
      <c r="DO160" s="925"/>
      <c r="DP160" s="925"/>
      <c r="DQ160" s="924"/>
      <c r="DR160" s="925"/>
      <c r="DS160" s="925"/>
      <c r="DT160" s="925"/>
      <c r="DV160" s="925"/>
      <c r="DW160" s="925"/>
      <c r="DX160" s="925"/>
      <c r="DY160" s="925"/>
      <c r="DZ160" s="925"/>
      <c r="EA160" s="925"/>
      <c r="EB160" s="925"/>
      <c r="EC160" s="925"/>
      <c r="ED160" s="925"/>
      <c r="EE160" s="925"/>
      <c r="EF160" s="925"/>
      <c r="EG160" s="925"/>
      <c r="EH160" s="925"/>
      <c r="EI160" s="925"/>
      <c r="EJ160" s="925"/>
      <c r="EK160" s="925"/>
      <c r="EL160" s="925"/>
      <c r="EM160" s="925"/>
      <c r="EN160" s="925"/>
      <c r="EO160" s="925"/>
      <c r="EP160" s="925"/>
      <c r="EQ160" s="925"/>
      <c r="ER160" s="925"/>
      <c r="ES160" s="925"/>
      <c r="ET160" s="925"/>
      <c r="EV160" s="924"/>
      <c r="EW160" s="925"/>
      <c r="EX160" s="925"/>
      <c r="EY160" s="925"/>
    </row>
    <row r="161" spans="1:155" s="927" customFormat="1" ht="24" x14ac:dyDescent="0.25">
      <c r="A161" s="912" t="s">
        <v>360</v>
      </c>
      <c r="B161" s="913" t="s">
        <v>1395</v>
      </c>
      <c r="C161" s="914">
        <v>1</v>
      </c>
      <c r="D161" s="914">
        <v>22544</v>
      </c>
      <c r="E161" s="915">
        <v>1.0549999999999999</v>
      </c>
      <c r="F161" s="916">
        <f t="shared" si="77"/>
        <v>23784</v>
      </c>
      <c r="G161" s="915">
        <v>1.01</v>
      </c>
      <c r="H161" s="916">
        <f t="shared" si="78"/>
        <v>24022</v>
      </c>
      <c r="I161" s="917">
        <f t="shared" si="79"/>
        <v>24022</v>
      </c>
      <c r="J161" s="918">
        <f t="shared" si="80"/>
        <v>0</v>
      </c>
      <c r="K161" s="919"/>
      <c r="L161" s="917">
        <f t="shared" si="81"/>
        <v>0</v>
      </c>
      <c r="M161" s="918">
        <f t="shared" si="82"/>
        <v>0</v>
      </c>
      <c r="N161" s="919"/>
      <c r="O161" s="917">
        <f t="shared" si="83"/>
        <v>0</v>
      </c>
      <c r="P161" s="918">
        <f t="shared" si="84"/>
        <v>0</v>
      </c>
      <c r="Q161" s="919"/>
      <c r="R161" s="917">
        <f t="shared" si="85"/>
        <v>0</v>
      </c>
      <c r="S161" s="918">
        <f t="shared" si="86"/>
        <v>0.27045000000000002</v>
      </c>
      <c r="T161" s="919">
        <v>6097</v>
      </c>
      <c r="U161" s="917">
        <f t="shared" si="87"/>
        <v>6496.75</v>
      </c>
      <c r="V161" s="918">
        <f t="shared" si="88"/>
        <v>0</v>
      </c>
      <c r="W161" s="919"/>
      <c r="X161" s="917">
        <f t="shared" si="89"/>
        <v>0</v>
      </c>
      <c r="Y161" s="918">
        <f t="shared" si="90"/>
        <v>0</v>
      </c>
      <c r="Z161" s="919"/>
      <c r="AA161" s="917">
        <f t="shared" si="91"/>
        <v>0</v>
      </c>
      <c r="AB161" s="918">
        <f t="shared" si="92"/>
        <v>0.2</v>
      </c>
      <c r="AC161" s="919">
        <v>4508.8</v>
      </c>
      <c r="AD161" s="917">
        <f t="shared" si="93"/>
        <v>4804.3999999999996</v>
      </c>
      <c r="AE161" s="918">
        <f t="shared" si="94"/>
        <v>0.1</v>
      </c>
      <c r="AF161" s="919">
        <v>2254.4</v>
      </c>
      <c r="AG161" s="917">
        <f t="shared" si="95"/>
        <v>2402.1999999999998</v>
      </c>
      <c r="AH161" s="918">
        <f t="shared" si="96"/>
        <v>0</v>
      </c>
      <c r="AI161" s="919"/>
      <c r="AJ161" s="917">
        <f t="shared" si="97"/>
        <v>0</v>
      </c>
      <c r="AK161" s="918">
        <f t="shared" si="98"/>
        <v>0</v>
      </c>
      <c r="AL161" s="919"/>
      <c r="AM161" s="917">
        <f t="shared" si="99"/>
        <v>0</v>
      </c>
      <c r="AN161" s="920">
        <v>19242</v>
      </c>
      <c r="AO161" s="917">
        <f t="shared" si="100"/>
        <v>0</v>
      </c>
      <c r="AP161" s="920"/>
      <c r="AQ161" s="916">
        <f t="shared" si="101"/>
        <v>0</v>
      </c>
      <c r="AR161" s="917">
        <f t="shared" si="102"/>
        <v>37725.35</v>
      </c>
      <c r="AS161" s="916">
        <v>12</v>
      </c>
      <c r="AT161" s="921">
        <f t="shared" si="103"/>
        <v>452704.2</v>
      </c>
      <c r="AU161" s="920"/>
      <c r="AV161" s="922">
        <f t="shared" si="104"/>
        <v>4527.04</v>
      </c>
      <c r="AW161" s="921">
        <f t="shared" si="105"/>
        <v>457231.24</v>
      </c>
      <c r="AX161" s="921">
        <f t="shared" si="106"/>
        <v>138083.82999999999</v>
      </c>
      <c r="AY161" s="921">
        <f t="shared" si="107"/>
        <v>595315.06999999995</v>
      </c>
      <c r="AZ161" s="923">
        <f t="shared" si="108"/>
        <v>457.2</v>
      </c>
      <c r="BA161" s="923">
        <f t="shared" si="109"/>
        <v>138.1</v>
      </c>
      <c r="BB161" s="923">
        <f t="shared" si="110"/>
        <v>595.29999999999995</v>
      </c>
      <c r="BC161" s="915">
        <v>0.95</v>
      </c>
      <c r="BD161" s="923">
        <f t="shared" si="111"/>
        <v>434.3</v>
      </c>
      <c r="BE161" s="923">
        <f t="shared" si="112"/>
        <v>131.19999999999999</v>
      </c>
      <c r="BF161" s="923">
        <f t="shared" si="113"/>
        <v>565.5</v>
      </c>
      <c r="BG161" s="924">
        <f>'[3]свод (2024)'!$B$116</f>
        <v>0.99758349999999996</v>
      </c>
      <c r="BH161" s="923">
        <f t="shared" si="114"/>
        <v>433.3</v>
      </c>
      <c r="BI161" s="923">
        <f t="shared" si="115"/>
        <v>130.9</v>
      </c>
      <c r="BJ161" s="923">
        <f t="shared" si="116"/>
        <v>564.20000000000005</v>
      </c>
      <c r="BK161" s="925">
        <f t="shared" si="117"/>
        <v>-23.9</v>
      </c>
      <c r="BL161" s="925">
        <f t="shared" si="117"/>
        <v>-7.2</v>
      </c>
      <c r="BM161" s="925">
        <f t="shared" si="118"/>
        <v>-31.1</v>
      </c>
      <c r="BN161" s="925">
        <f t="shared" si="119"/>
        <v>0</v>
      </c>
      <c r="BO161" s="925">
        <f t="shared" si="120"/>
        <v>0</v>
      </c>
      <c r="BP161" s="926"/>
      <c r="BQ161" s="925">
        <f t="shared" si="121"/>
        <v>433.3</v>
      </c>
      <c r="BR161" s="925">
        <f t="shared" si="121"/>
        <v>130.9</v>
      </c>
      <c r="BS161" s="925">
        <f t="shared" si="122"/>
        <v>564.20000000000005</v>
      </c>
      <c r="BU161" s="928"/>
      <c r="BV161" s="917"/>
      <c r="BW161" s="928"/>
      <c r="BX161" s="928"/>
      <c r="BY161" s="928"/>
      <c r="BZ161" s="917"/>
      <c r="CA161" s="928"/>
      <c r="CB161" s="917"/>
      <c r="CC161" s="928"/>
      <c r="CD161" s="928"/>
      <c r="CE161" s="928"/>
      <c r="CF161" s="929"/>
      <c r="CG161" s="928"/>
      <c r="CH161" s="928"/>
      <c r="CI161" s="928"/>
      <c r="CJ161" s="925"/>
      <c r="CK161" s="925"/>
      <c r="CL161" s="925"/>
      <c r="CM161" s="925"/>
      <c r="CN161" s="925"/>
      <c r="CO161" s="925"/>
      <c r="CP161" s="925"/>
      <c r="CQ161" s="925"/>
      <c r="CR161" s="925"/>
      <c r="CS161" s="917"/>
      <c r="CT161" s="928"/>
      <c r="CU161" s="928"/>
      <c r="CV161" s="928"/>
      <c r="CX161" s="925"/>
      <c r="CY161" s="925"/>
      <c r="CZ161" s="925"/>
      <c r="DB161" s="925"/>
      <c r="DC161" s="925"/>
      <c r="DD161" s="925"/>
      <c r="DE161" s="925"/>
      <c r="DF161" s="925"/>
      <c r="DG161" s="925"/>
      <c r="DH161" s="925"/>
      <c r="DI161" s="925"/>
      <c r="DJ161" s="925"/>
      <c r="DK161" s="925"/>
      <c r="DL161" s="925"/>
      <c r="DM161" s="925"/>
      <c r="DN161" s="925"/>
      <c r="DO161" s="925"/>
      <c r="DP161" s="925"/>
      <c r="DQ161" s="924"/>
      <c r="DR161" s="925"/>
      <c r="DS161" s="925"/>
      <c r="DT161" s="925"/>
      <c r="DV161" s="925"/>
      <c r="DW161" s="925"/>
      <c r="DX161" s="925"/>
      <c r="DY161" s="925"/>
      <c r="DZ161" s="925"/>
      <c r="EA161" s="925"/>
      <c r="EB161" s="925"/>
      <c r="EC161" s="925"/>
      <c r="ED161" s="925"/>
      <c r="EE161" s="925"/>
      <c r="EF161" s="925"/>
      <c r="EG161" s="925"/>
      <c r="EH161" s="925"/>
      <c r="EI161" s="925"/>
      <c r="EJ161" s="925"/>
      <c r="EK161" s="925"/>
      <c r="EL161" s="925"/>
      <c r="EM161" s="925"/>
      <c r="EN161" s="925"/>
      <c r="EO161" s="925"/>
      <c r="EP161" s="925"/>
      <c r="EQ161" s="925"/>
      <c r="ER161" s="925"/>
      <c r="ES161" s="925"/>
      <c r="ET161" s="925"/>
      <c r="EV161" s="924"/>
      <c r="EW161" s="925"/>
      <c r="EX161" s="925"/>
      <c r="EY161" s="925"/>
    </row>
    <row r="162" spans="1:155" s="927" customFormat="1" ht="24" x14ac:dyDescent="0.25">
      <c r="A162" s="912" t="s">
        <v>360</v>
      </c>
      <c r="B162" s="913" t="s">
        <v>1409</v>
      </c>
      <c r="C162" s="914">
        <v>1</v>
      </c>
      <c r="D162" s="914">
        <v>22544</v>
      </c>
      <c r="E162" s="915">
        <v>1.0549999999999999</v>
      </c>
      <c r="F162" s="916">
        <f t="shared" si="77"/>
        <v>23784</v>
      </c>
      <c r="G162" s="915">
        <v>1.01</v>
      </c>
      <c r="H162" s="916">
        <f t="shared" si="78"/>
        <v>24022</v>
      </c>
      <c r="I162" s="917">
        <f t="shared" si="79"/>
        <v>24022</v>
      </c>
      <c r="J162" s="918">
        <f t="shared" si="80"/>
        <v>0</v>
      </c>
      <c r="K162" s="919"/>
      <c r="L162" s="917">
        <f t="shared" si="81"/>
        <v>0</v>
      </c>
      <c r="M162" s="918">
        <f t="shared" si="82"/>
        <v>0</v>
      </c>
      <c r="N162" s="919"/>
      <c r="O162" s="917">
        <f t="shared" si="83"/>
        <v>0</v>
      </c>
      <c r="P162" s="918">
        <f t="shared" si="84"/>
        <v>0</v>
      </c>
      <c r="Q162" s="919"/>
      <c r="R162" s="917">
        <f t="shared" si="85"/>
        <v>0</v>
      </c>
      <c r="S162" s="918">
        <f t="shared" si="86"/>
        <v>0</v>
      </c>
      <c r="T162" s="919"/>
      <c r="U162" s="917">
        <f t="shared" si="87"/>
        <v>0</v>
      </c>
      <c r="V162" s="918">
        <f t="shared" si="88"/>
        <v>0</v>
      </c>
      <c r="W162" s="919"/>
      <c r="X162" s="917">
        <f t="shared" si="89"/>
        <v>0</v>
      </c>
      <c r="Y162" s="918">
        <f t="shared" si="90"/>
        <v>0</v>
      </c>
      <c r="Z162" s="919"/>
      <c r="AA162" s="917">
        <f t="shared" si="91"/>
        <v>0</v>
      </c>
      <c r="AB162" s="918">
        <f t="shared" si="92"/>
        <v>0.2</v>
      </c>
      <c r="AC162" s="919">
        <v>4508.8</v>
      </c>
      <c r="AD162" s="917">
        <f t="shared" si="93"/>
        <v>4804.3999999999996</v>
      </c>
      <c r="AE162" s="918">
        <f t="shared" si="94"/>
        <v>0.1</v>
      </c>
      <c r="AF162" s="919">
        <v>2254.4</v>
      </c>
      <c r="AG162" s="917">
        <f t="shared" si="95"/>
        <v>2402.1999999999998</v>
      </c>
      <c r="AH162" s="918">
        <f t="shared" si="96"/>
        <v>0</v>
      </c>
      <c r="AI162" s="919"/>
      <c r="AJ162" s="917">
        <f t="shared" si="97"/>
        <v>0</v>
      </c>
      <c r="AK162" s="918">
        <f t="shared" si="98"/>
        <v>0</v>
      </c>
      <c r="AL162" s="919"/>
      <c r="AM162" s="917">
        <f t="shared" si="99"/>
        <v>0</v>
      </c>
      <c r="AN162" s="920">
        <v>19242</v>
      </c>
      <c r="AO162" s="917">
        <f t="shared" si="100"/>
        <v>0</v>
      </c>
      <c r="AP162" s="920"/>
      <c r="AQ162" s="916">
        <f t="shared" si="101"/>
        <v>0</v>
      </c>
      <c r="AR162" s="917">
        <f t="shared" si="102"/>
        <v>31228.6</v>
      </c>
      <c r="AS162" s="916">
        <v>12</v>
      </c>
      <c r="AT162" s="921">
        <f t="shared" si="103"/>
        <v>374743.2</v>
      </c>
      <c r="AU162" s="920"/>
      <c r="AV162" s="922">
        <f t="shared" si="104"/>
        <v>3747.43</v>
      </c>
      <c r="AW162" s="921">
        <f t="shared" si="105"/>
        <v>378490.63</v>
      </c>
      <c r="AX162" s="921">
        <f t="shared" si="106"/>
        <v>114304.17</v>
      </c>
      <c r="AY162" s="921">
        <f t="shared" si="107"/>
        <v>492794.8</v>
      </c>
      <c r="AZ162" s="923">
        <f t="shared" si="108"/>
        <v>378.5</v>
      </c>
      <c r="BA162" s="923">
        <f t="shared" si="109"/>
        <v>114.3</v>
      </c>
      <c r="BB162" s="923">
        <f t="shared" si="110"/>
        <v>492.8</v>
      </c>
      <c r="BC162" s="915">
        <v>0.95</v>
      </c>
      <c r="BD162" s="923">
        <f t="shared" si="111"/>
        <v>359.6</v>
      </c>
      <c r="BE162" s="923">
        <f t="shared" si="112"/>
        <v>108.6</v>
      </c>
      <c r="BF162" s="923">
        <f t="shared" si="113"/>
        <v>468.2</v>
      </c>
      <c r="BG162" s="924">
        <f>'[3]свод (2024)'!$B$116</f>
        <v>0.99758349999999996</v>
      </c>
      <c r="BH162" s="923">
        <f t="shared" si="114"/>
        <v>358.7</v>
      </c>
      <c r="BI162" s="923">
        <f t="shared" si="115"/>
        <v>108.3</v>
      </c>
      <c r="BJ162" s="923">
        <f t="shared" si="116"/>
        <v>467</v>
      </c>
      <c r="BK162" s="925">
        <f t="shared" si="117"/>
        <v>-19.8</v>
      </c>
      <c r="BL162" s="925">
        <f t="shared" si="117"/>
        <v>-6</v>
      </c>
      <c r="BM162" s="925">
        <f t="shared" si="118"/>
        <v>-25.8</v>
      </c>
      <c r="BN162" s="925">
        <f t="shared" si="119"/>
        <v>0</v>
      </c>
      <c r="BO162" s="925">
        <f t="shared" si="120"/>
        <v>0</v>
      </c>
      <c r="BP162" s="926"/>
      <c r="BQ162" s="925">
        <f t="shared" si="121"/>
        <v>358.7</v>
      </c>
      <c r="BR162" s="925">
        <f t="shared" si="121"/>
        <v>108.3</v>
      </c>
      <c r="BS162" s="925">
        <f t="shared" si="122"/>
        <v>467</v>
      </c>
      <c r="BU162" s="928"/>
      <c r="BV162" s="917"/>
      <c r="BW162" s="928"/>
      <c r="BX162" s="928"/>
      <c r="BY162" s="928"/>
      <c r="BZ162" s="917"/>
      <c r="CA162" s="928"/>
      <c r="CB162" s="917"/>
      <c r="CC162" s="928"/>
      <c r="CD162" s="928"/>
      <c r="CE162" s="928"/>
      <c r="CF162" s="929"/>
      <c r="CG162" s="928"/>
      <c r="CH162" s="928"/>
      <c r="CI162" s="928"/>
      <c r="CJ162" s="925"/>
      <c r="CK162" s="925"/>
      <c r="CL162" s="925"/>
      <c r="CM162" s="925"/>
      <c r="CN162" s="925"/>
      <c r="CO162" s="925"/>
      <c r="CP162" s="925"/>
      <c r="CQ162" s="925"/>
      <c r="CR162" s="925"/>
      <c r="CS162" s="917"/>
      <c r="CT162" s="928"/>
      <c r="CU162" s="928"/>
      <c r="CV162" s="928"/>
      <c r="CX162" s="925"/>
      <c r="CY162" s="925"/>
      <c r="CZ162" s="925"/>
      <c r="DB162" s="925"/>
      <c r="DC162" s="925"/>
      <c r="DD162" s="925"/>
      <c r="DE162" s="925"/>
      <c r="DF162" s="925"/>
      <c r="DG162" s="925"/>
      <c r="DH162" s="925"/>
      <c r="DI162" s="925"/>
      <c r="DJ162" s="925"/>
      <c r="DK162" s="925"/>
      <c r="DL162" s="925"/>
      <c r="DM162" s="925"/>
      <c r="DN162" s="925"/>
      <c r="DO162" s="925"/>
      <c r="DP162" s="925"/>
      <c r="DQ162" s="924"/>
      <c r="DR162" s="925"/>
      <c r="DS162" s="925"/>
      <c r="DT162" s="925"/>
      <c r="DV162" s="925"/>
      <c r="DW162" s="925"/>
      <c r="DX162" s="925"/>
      <c r="DY162" s="925"/>
      <c r="DZ162" s="925"/>
      <c r="EA162" s="925"/>
      <c r="EB162" s="925"/>
      <c r="EC162" s="925"/>
      <c r="ED162" s="925"/>
      <c r="EE162" s="925"/>
      <c r="EF162" s="925"/>
      <c r="EG162" s="925"/>
      <c r="EH162" s="925"/>
      <c r="EI162" s="925"/>
      <c r="EJ162" s="925"/>
      <c r="EK162" s="925"/>
      <c r="EL162" s="925"/>
      <c r="EM162" s="925"/>
      <c r="EN162" s="925"/>
      <c r="EO162" s="925"/>
      <c r="EP162" s="925"/>
      <c r="EQ162" s="925"/>
      <c r="ER162" s="925"/>
      <c r="ES162" s="925"/>
      <c r="ET162" s="925"/>
      <c r="EV162" s="924"/>
      <c r="EW162" s="925"/>
      <c r="EX162" s="925"/>
      <c r="EY162" s="925"/>
    </row>
    <row r="163" spans="1:155" s="927" customFormat="1" ht="24" x14ac:dyDescent="0.25">
      <c r="A163" s="912" t="s">
        <v>360</v>
      </c>
      <c r="B163" s="913" t="s">
        <v>1384</v>
      </c>
      <c r="C163" s="914">
        <v>1</v>
      </c>
      <c r="D163" s="914">
        <v>22544</v>
      </c>
      <c r="E163" s="915">
        <v>1.0549999999999999</v>
      </c>
      <c r="F163" s="916">
        <f t="shared" si="77"/>
        <v>23784</v>
      </c>
      <c r="G163" s="915">
        <v>1.01</v>
      </c>
      <c r="H163" s="916">
        <f t="shared" si="78"/>
        <v>24022</v>
      </c>
      <c r="I163" s="917">
        <f t="shared" si="79"/>
        <v>24022</v>
      </c>
      <c r="J163" s="918">
        <f t="shared" si="80"/>
        <v>0</v>
      </c>
      <c r="K163" s="919"/>
      <c r="L163" s="917">
        <f t="shared" si="81"/>
        <v>0</v>
      </c>
      <c r="M163" s="918">
        <f t="shared" si="82"/>
        <v>0</v>
      </c>
      <c r="N163" s="919"/>
      <c r="O163" s="917">
        <f t="shared" si="83"/>
        <v>0</v>
      </c>
      <c r="P163" s="918">
        <f t="shared" si="84"/>
        <v>0</v>
      </c>
      <c r="Q163" s="988"/>
      <c r="R163" s="917">
        <f t="shared" si="85"/>
        <v>0</v>
      </c>
      <c r="S163" s="918">
        <f t="shared" si="86"/>
        <v>0</v>
      </c>
      <c r="T163" s="919"/>
      <c r="U163" s="917">
        <f t="shared" si="87"/>
        <v>0</v>
      </c>
      <c r="V163" s="918">
        <f t="shared" si="88"/>
        <v>0</v>
      </c>
      <c r="W163" s="919"/>
      <c r="X163" s="917">
        <f t="shared" si="89"/>
        <v>0</v>
      </c>
      <c r="Y163" s="918">
        <f t="shared" si="90"/>
        <v>0.14000000000000001</v>
      </c>
      <c r="Z163" s="919">
        <v>3156.16</v>
      </c>
      <c r="AA163" s="917">
        <f t="shared" si="91"/>
        <v>3363.08</v>
      </c>
      <c r="AB163" s="918">
        <f t="shared" si="92"/>
        <v>0.2</v>
      </c>
      <c r="AC163" s="919">
        <v>4508.8</v>
      </c>
      <c r="AD163" s="917">
        <f t="shared" si="93"/>
        <v>4804.3999999999996</v>
      </c>
      <c r="AE163" s="918">
        <f t="shared" si="94"/>
        <v>0</v>
      </c>
      <c r="AF163" s="919"/>
      <c r="AG163" s="917">
        <f t="shared" si="95"/>
        <v>0</v>
      </c>
      <c r="AH163" s="918">
        <f t="shared" si="96"/>
        <v>0</v>
      </c>
      <c r="AI163" s="919"/>
      <c r="AJ163" s="917">
        <f t="shared" si="97"/>
        <v>0</v>
      </c>
      <c r="AK163" s="918">
        <f t="shared" si="98"/>
        <v>0</v>
      </c>
      <c r="AL163" s="919"/>
      <c r="AM163" s="917">
        <f t="shared" si="99"/>
        <v>0</v>
      </c>
      <c r="AN163" s="920">
        <v>19242</v>
      </c>
      <c r="AO163" s="917">
        <f t="shared" si="100"/>
        <v>0</v>
      </c>
      <c r="AP163" s="920"/>
      <c r="AQ163" s="916">
        <f t="shared" si="101"/>
        <v>0</v>
      </c>
      <c r="AR163" s="917">
        <f t="shared" si="102"/>
        <v>32189.48</v>
      </c>
      <c r="AS163" s="916">
        <v>12</v>
      </c>
      <c r="AT163" s="921">
        <f t="shared" si="103"/>
        <v>386273.76</v>
      </c>
      <c r="AU163" s="920"/>
      <c r="AV163" s="922">
        <f t="shared" si="104"/>
        <v>3862.74</v>
      </c>
      <c r="AW163" s="921">
        <f t="shared" si="105"/>
        <v>390136.5</v>
      </c>
      <c r="AX163" s="921">
        <f t="shared" si="106"/>
        <v>117821.22</v>
      </c>
      <c r="AY163" s="921">
        <f t="shared" si="107"/>
        <v>507957.72</v>
      </c>
      <c r="AZ163" s="923">
        <f t="shared" si="108"/>
        <v>390.1</v>
      </c>
      <c r="BA163" s="923">
        <f t="shared" si="109"/>
        <v>117.8</v>
      </c>
      <c r="BB163" s="923">
        <f t="shared" si="110"/>
        <v>507.9</v>
      </c>
      <c r="BC163" s="915">
        <v>0.95</v>
      </c>
      <c r="BD163" s="923">
        <f t="shared" si="111"/>
        <v>370.6</v>
      </c>
      <c r="BE163" s="923">
        <f t="shared" si="112"/>
        <v>111.9</v>
      </c>
      <c r="BF163" s="923">
        <f t="shared" si="113"/>
        <v>482.5</v>
      </c>
      <c r="BG163" s="924">
        <f>'[3]свод (2024)'!$B$116</f>
        <v>0.99758349999999996</v>
      </c>
      <c r="BH163" s="923">
        <f t="shared" si="114"/>
        <v>369.7</v>
      </c>
      <c r="BI163" s="923">
        <f t="shared" si="115"/>
        <v>111.6</v>
      </c>
      <c r="BJ163" s="923">
        <f t="shared" si="116"/>
        <v>481.3</v>
      </c>
      <c r="BK163" s="925">
        <f t="shared" si="117"/>
        <v>-20.399999999999999</v>
      </c>
      <c r="BL163" s="925">
        <f t="shared" si="117"/>
        <v>-6.2</v>
      </c>
      <c r="BM163" s="925">
        <f t="shared" si="118"/>
        <v>-26.6</v>
      </c>
      <c r="BN163" s="925">
        <f t="shared" si="119"/>
        <v>0</v>
      </c>
      <c r="BO163" s="925">
        <f t="shared" si="120"/>
        <v>0</v>
      </c>
      <c r="BP163" s="926"/>
      <c r="BQ163" s="925">
        <f t="shared" si="121"/>
        <v>369.7</v>
      </c>
      <c r="BR163" s="925">
        <f t="shared" si="121"/>
        <v>111.6</v>
      </c>
      <c r="BS163" s="925">
        <f t="shared" si="122"/>
        <v>481.3</v>
      </c>
      <c r="BU163" s="928"/>
      <c r="BV163" s="917"/>
      <c r="BW163" s="928"/>
      <c r="BX163" s="928"/>
      <c r="BY163" s="928"/>
      <c r="BZ163" s="917"/>
      <c r="CA163" s="928"/>
      <c r="CB163" s="917"/>
      <c r="CC163" s="928"/>
      <c r="CD163" s="928"/>
      <c r="CE163" s="928"/>
      <c r="CF163" s="929"/>
      <c r="CG163" s="928"/>
      <c r="CH163" s="928"/>
      <c r="CI163" s="928"/>
      <c r="CJ163" s="925"/>
      <c r="CK163" s="925"/>
      <c r="CL163" s="925"/>
      <c r="CM163" s="925"/>
      <c r="CN163" s="925"/>
      <c r="CO163" s="925"/>
      <c r="CP163" s="925"/>
      <c r="CQ163" s="925"/>
      <c r="CR163" s="925"/>
      <c r="CS163" s="917"/>
      <c r="CT163" s="928"/>
      <c r="CU163" s="928"/>
      <c r="CV163" s="928"/>
      <c r="CX163" s="925"/>
      <c r="CY163" s="925"/>
      <c r="CZ163" s="925"/>
      <c r="DB163" s="925"/>
      <c r="DC163" s="925"/>
      <c r="DD163" s="925"/>
      <c r="DE163" s="925"/>
      <c r="DF163" s="925"/>
      <c r="DG163" s="925"/>
      <c r="DH163" s="925"/>
      <c r="DI163" s="925"/>
      <c r="DJ163" s="925"/>
      <c r="DK163" s="925"/>
      <c r="DL163" s="925"/>
      <c r="DM163" s="925"/>
      <c r="DN163" s="925"/>
      <c r="DO163" s="925"/>
      <c r="DP163" s="925"/>
      <c r="DQ163" s="924"/>
      <c r="DR163" s="925"/>
      <c r="DS163" s="925"/>
      <c r="DT163" s="925"/>
      <c r="DV163" s="925"/>
      <c r="DW163" s="925"/>
      <c r="DX163" s="925"/>
      <c r="DY163" s="925"/>
      <c r="DZ163" s="925"/>
      <c r="EA163" s="925"/>
      <c r="EB163" s="925"/>
      <c r="EC163" s="925"/>
      <c r="ED163" s="925"/>
      <c r="EE163" s="925"/>
      <c r="EF163" s="925"/>
      <c r="EG163" s="925"/>
      <c r="EH163" s="925"/>
      <c r="EI163" s="925"/>
      <c r="EJ163" s="925"/>
      <c r="EK163" s="925"/>
      <c r="EL163" s="925"/>
      <c r="EM163" s="925"/>
      <c r="EN163" s="925"/>
      <c r="EO163" s="925"/>
      <c r="EP163" s="925"/>
      <c r="EQ163" s="925"/>
      <c r="ER163" s="925"/>
      <c r="ES163" s="925"/>
      <c r="ET163" s="925"/>
      <c r="EV163" s="924"/>
      <c r="EW163" s="925"/>
      <c r="EX163" s="925"/>
      <c r="EY163" s="925"/>
    </row>
    <row r="164" spans="1:155" s="927" customFormat="1" ht="24" x14ac:dyDescent="0.25">
      <c r="A164" s="912" t="s">
        <v>360</v>
      </c>
      <c r="B164" s="913" t="s">
        <v>30</v>
      </c>
      <c r="C164" s="914">
        <v>1</v>
      </c>
      <c r="D164" s="914">
        <v>22544</v>
      </c>
      <c r="E164" s="915">
        <v>1.0549999999999999</v>
      </c>
      <c r="F164" s="916">
        <f t="shared" si="77"/>
        <v>23784</v>
      </c>
      <c r="G164" s="915">
        <v>1.01</v>
      </c>
      <c r="H164" s="916">
        <f t="shared" si="78"/>
        <v>24022</v>
      </c>
      <c r="I164" s="917">
        <f t="shared" si="79"/>
        <v>24022</v>
      </c>
      <c r="J164" s="918">
        <f t="shared" si="80"/>
        <v>0</v>
      </c>
      <c r="K164" s="919"/>
      <c r="L164" s="917">
        <f t="shared" si="81"/>
        <v>0</v>
      </c>
      <c r="M164" s="918">
        <f t="shared" si="82"/>
        <v>0</v>
      </c>
      <c r="N164" s="919"/>
      <c r="O164" s="917">
        <f t="shared" si="83"/>
        <v>0</v>
      </c>
      <c r="P164" s="918">
        <f t="shared" si="84"/>
        <v>0</v>
      </c>
      <c r="Q164" s="988"/>
      <c r="R164" s="917">
        <f t="shared" si="85"/>
        <v>0</v>
      </c>
      <c r="S164" s="918">
        <f t="shared" si="86"/>
        <v>0</v>
      </c>
      <c r="T164" s="919"/>
      <c r="U164" s="917">
        <f t="shared" si="87"/>
        <v>0</v>
      </c>
      <c r="V164" s="918">
        <f t="shared" si="88"/>
        <v>0</v>
      </c>
      <c r="W164" s="919"/>
      <c r="X164" s="917">
        <f t="shared" si="89"/>
        <v>0</v>
      </c>
      <c r="Y164" s="918">
        <f t="shared" si="90"/>
        <v>0.1</v>
      </c>
      <c r="Z164" s="919">
        <v>2254.4</v>
      </c>
      <c r="AA164" s="917">
        <f t="shared" si="91"/>
        <v>2402.1999999999998</v>
      </c>
      <c r="AB164" s="918">
        <f t="shared" si="92"/>
        <v>0.2</v>
      </c>
      <c r="AC164" s="919">
        <v>4508.8</v>
      </c>
      <c r="AD164" s="917">
        <f t="shared" si="93"/>
        <v>4804.3999999999996</v>
      </c>
      <c r="AE164" s="918">
        <f t="shared" si="94"/>
        <v>0</v>
      </c>
      <c r="AF164" s="919"/>
      <c r="AG164" s="917">
        <f t="shared" si="95"/>
        <v>0</v>
      </c>
      <c r="AH164" s="918">
        <f t="shared" si="96"/>
        <v>0</v>
      </c>
      <c r="AI164" s="919"/>
      <c r="AJ164" s="917">
        <f t="shared" si="97"/>
        <v>0</v>
      </c>
      <c r="AK164" s="918">
        <f t="shared" si="98"/>
        <v>0</v>
      </c>
      <c r="AL164" s="919"/>
      <c r="AM164" s="917">
        <f t="shared" si="99"/>
        <v>0</v>
      </c>
      <c r="AN164" s="920">
        <v>19242</v>
      </c>
      <c r="AO164" s="917">
        <f t="shared" si="100"/>
        <v>0</v>
      </c>
      <c r="AP164" s="920"/>
      <c r="AQ164" s="916">
        <f t="shared" si="101"/>
        <v>0</v>
      </c>
      <c r="AR164" s="917">
        <f t="shared" si="102"/>
        <v>31228.6</v>
      </c>
      <c r="AS164" s="916">
        <v>12</v>
      </c>
      <c r="AT164" s="921">
        <f t="shared" si="103"/>
        <v>374743.2</v>
      </c>
      <c r="AU164" s="920"/>
      <c r="AV164" s="922">
        <f t="shared" si="104"/>
        <v>3747.43</v>
      </c>
      <c r="AW164" s="921">
        <f t="shared" si="105"/>
        <v>378490.63</v>
      </c>
      <c r="AX164" s="921">
        <f t="shared" si="106"/>
        <v>114304.17</v>
      </c>
      <c r="AY164" s="921">
        <f t="shared" si="107"/>
        <v>492794.8</v>
      </c>
      <c r="AZ164" s="923">
        <f t="shared" si="108"/>
        <v>378.5</v>
      </c>
      <c r="BA164" s="923">
        <f t="shared" si="109"/>
        <v>114.3</v>
      </c>
      <c r="BB164" s="923">
        <f t="shared" si="110"/>
        <v>492.8</v>
      </c>
      <c r="BC164" s="915">
        <v>0.95</v>
      </c>
      <c r="BD164" s="923">
        <f t="shared" si="111"/>
        <v>359.6</v>
      </c>
      <c r="BE164" s="923">
        <f t="shared" si="112"/>
        <v>108.6</v>
      </c>
      <c r="BF164" s="923">
        <f t="shared" si="113"/>
        <v>468.2</v>
      </c>
      <c r="BG164" s="924">
        <f>'[3]свод (2024)'!$B$116</f>
        <v>0.99758349999999996</v>
      </c>
      <c r="BH164" s="923">
        <f t="shared" si="114"/>
        <v>358.7</v>
      </c>
      <c r="BI164" s="923">
        <f t="shared" si="115"/>
        <v>108.3</v>
      </c>
      <c r="BJ164" s="923">
        <f t="shared" si="116"/>
        <v>467</v>
      </c>
      <c r="BK164" s="925">
        <f t="shared" si="117"/>
        <v>-19.8</v>
      </c>
      <c r="BL164" s="925">
        <f t="shared" si="117"/>
        <v>-6</v>
      </c>
      <c r="BM164" s="925">
        <f t="shared" si="118"/>
        <v>-25.8</v>
      </c>
      <c r="BN164" s="925">
        <f t="shared" si="119"/>
        <v>0</v>
      </c>
      <c r="BO164" s="925">
        <f t="shared" si="120"/>
        <v>0</v>
      </c>
      <c r="BP164" s="926"/>
      <c r="BQ164" s="925">
        <f t="shared" si="121"/>
        <v>358.7</v>
      </c>
      <c r="BR164" s="925">
        <f t="shared" si="121"/>
        <v>108.3</v>
      </c>
      <c r="BS164" s="925">
        <f t="shared" si="122"/>
        <v>467</v>
      </c>
      <c r="BU164" s="928"/>
      <c r="BV164" s="917"/>
      <c r="BW164" s="928"/>
      <c r="BX164" s="928"/>
      <c r="BY164" s="928"/>
      <c r="BZ164" s="917"/>
      <c r="CA164" s="928"/>
      <c r="CB164" s="917"/>
      <c r="CC164" s="928"/>
      <c r="CD164" s="928"/>
      <c r="CE164" s="928"/>
      <c r="CF164" s="929"/>
      <c r="CG164" s="928"/>
      <c r="CH164" s="928"/>
      <c r="CI164" s="928"/>
      <c r="CJ164" s="925"/>
      <c r="CK164" s="925"/>
      <c r="CL164" s="925"/>
      <c r="CM164" s="925"/>
      <c r="CN164" s="925"/>
      <c r="CO164" s="925"/>
      <c r="CP164" s="925"/>
      <c r="CQ164" s="925"/>
      <c r="CR164" s="925"/>
      <c r="CS164" s="917"/>
      <c r="CT164" s="928"/>
      <c r="CU164" s="928"/>
      <c r="CV164" s="928"/>
      <c r="CX164" s="925"/>
      <c r="CY164" s="925"/>
      <c r="CZ164" s="925"/>
      <c r="DB164" s="925"/>
      <c r="DC164" s="925"/>
      <c r="DD164" s="925"/>
      <c r="DE164" s="925"/>
      <c r="DF164" s="925"/>
      <c r="DG164" s="925"/>
      <c r="DH164" s="925"/>
      <c r="DI164" s="925"/>
      <c r="DJ164" s="925"/>
      <c r="DK164" s="925"/>
      <c r="DL164" s="925"/>
      <c r="DM164" s="925"/>
      <c r="DN164" s="925"/>
      <c r="DO164" s="925"/>
      <c r="DP164" s="925"/>
      <c r="DQ164" s="924"/>
      <c r="DR164" s="925"/>
      <c r="DS164" s="925"/>
      <c r="DT164" s="925"/>
      <c r="DV164" s="925"/>
      <c r="DW164" s="925"/>
      <c r="DX164" s="925"/>
      <c r="DY164" s="925"/>
      <c r="DZ164" s="925"/>
      <c r="EA164" s="925"/>
      <c r="EB164" s="925"/>
      <c r="EC164" s="925"/>
      <c r="ED164" s="925"/>
      <c r="EE164" s="925"/>
      <c r="EF164" s="925"/>
      <c r="EG164" s="925"/>
      <c r="EH164" s="925"/>
      <c r="EI164" s="925"/>
      <c r="EJ164" s="925"/>
      <c r="EK164" s="925"/>
      <c r="EL164" s="925"/>
      <c r="EM164" s="925"/>
      <c r="EN164" s="925"/>
      <c r="EO164" s="925"/>
      <c r="EP164" s="925"/>
      <c r="EQ164" s="925"/>
      <c r="ER164" s="925"/>
      <c r="ES164" s="925"/>
      <c r="ET164" s="925"/>
      <c r="EV164" s="924"/>
      <c r="EW164" s="925"/>
      <c r="EX164" s="925"/>
      <c r="EY164" s="925"/>
    </row>
    <row r="165" spans="1:155" s="927" customFormat="1" ht="15.75" x14ac:dyDescent="0.25">
      <c r="A165" s="912" t="s">
        <v>360</v>
      </c>
      <c r="B165" s="913" t="s">
        <v>495</v>
      </c>
      <c r="C165" s="914">
        <v>1</v>
      </c>
      <c r="D165" s="914">
        <v>6707</v>
      </c>
      <c r="E165" s="915">
        <v>1.0549999999999999</v>
      </c>
      <c r="F165" s="916">
        <f t="shared" si="77"/>
        <v>7076</v>
      </c>
      <c r="G165" s="915">
        <v>1.01</v>
      </c>
      <c r="H165" s="916">
        <f t="shared" si="78"/>
        <v>7147</v>
      </c>
      <c r="I165" s="917">
        <f t="shared" si="79"/>
        <v>7147</v>
      </c>
      <c r="J165" s="918">
        <f t="shared" si="80"/>
        <v>0</v>
      </c>
      <c r="K165" s="919"/>
      <c r="L165" s="917">
        <f t="shared" si="81"/>
        <v>0</v>
      </c>
      <c r="M165" s="918">
        <f t="shared" si="82"/>
        <v>0</v>
      </c>
      <c r="N165" s="919"/>
      <c r="O165" s="917">
        <f t="shared" si="83"/>
        <v>0</v>
      </c>
      <c r="P165" s="918">
        <f t="shared" si="84"/>
        <v>0</v>
      </c>
      <c r="Q165" s="919"/>
      <c r="R165" s="917">
        <f t="shared" si="85"/>
        <v>0</v>
      </c>
      <c r="S165" s="918">
        <f t="shared" si="86"/>
        <v>1</v>
      </c>
      <c r="T165" s="919">
        <v>6707</v>
      </c>
      <c r="U165" s="917">
        <f t="shared" si="87"/>
        <v>7147</v>
      </c>
      <c r="V165" s="918">
        <f t="shared" si="88"/>
        <v>0</v>
      </c>
      <c r="W165" s="919"/>
      <c r="X165" s="917">
        <f t="shared" si="89"/>
        <v>0</v>
      </c>
      <c r="Y165" s="918">
        <f t="shared" si="90"/>
        <v>0</v>
      </c>
      <c r="Z165" s="919"/>
      <c r="AA165" s="917">
        <f t="shared" si="91"/>
        <v>0</v>
      </c>
      <c r="AB165" s="918">
        <f t="shared" si="92"/>
        <v>0.3</v>
      </c>
      <c r="AC165" s="919">
        <v>2012.1</v>
      </c>
      <c r="AD165" s="917">
        <f t="shared" si="93"/>
        <v>2144.1</v>
      </c>
      <c r="AE165" s="918">
        <f t="shared" si="94"/>
        <v>0</v>
      </c>
      <c r="AF165" s="919"/>
      <c r="AG165" s="917">
        <f t="shared" si="95"/>
        <v>0</v>
      </c>
      <c r="AH165" s="918">
        <f t="shared" si="96"/>
        <v>0</v>
      </c>
      <c r="AI165" s="919"/>
      <c r="AJ165" s="917">
        <f t="shared" si="97"/>
        <v>0</v>
      </c>
      <c r="AK165" s="918">
        <f t="shared" si="98"/>
        <v>0</v>
      </c>
      <c r="AL165" s="919"/>
      <c r="AM165" s="917">
        <f t="shared" si="99"/>
        <v>0</v>
      </c>
      <c r="AN165" s="920">
        <v>19242</v>
      </c>
      <c r="AO165" s="917">
        <f t="shared" si="100"/>
        <v>2803.9</v>
      </c>
      <c r="AP165" s="920"/>
      <c r="AQ165" s="916">
        <f t="shared" si="101"/>
        <v>0</v>
      </c>
      <c r="AR165" s="917">
        <f t="shared" si="102"/>
        <v>19242</v>
      </c>
      <c r="AS165" s="916">
        <v>12</v>
      </c>
      <c r="AT165" s="921">
        <f t="shared" si="103"/>
        <v>230904</v>
      </c>
      <c r="AU165" s="920"/>
      <c r="AV165" s="922">
        <f t="shared" si="104"/>
        <v>2309.04</v>
      </c>
      <c r="AW165" s="921">
        <f t="shared" si="105"/>
        <v>233213.04</v>
      </c>
      <c r="AX165" s="921">
        <f t="shared" si="106"/>
        <v>70430.34</v>
      </c>
      <c r="AY165" s="921">
        <f t="shared" si="107"/>
        <v>303643.38</v>
      </c>
      <c r="AZ165" s="923">
        <f t="shared" si="108"/>
        <v>233.2</v>
      </c>
      <c r="BA165" s="923">
        <f t="shared" si="109"/>
        <v>70.400000000000006</v>
      </c>
      <c r="BB165" s="923">
        <f t="shared" si="110"/>
        <v>303.60000000000002</v>
      </c>
      <c r="BC165" s="915">
        <v>0.95</v>
      </c>
      <c r="BD165" s="923">
        <f t="shared" si="111"/>
        <v>221.5</v>
      </c>
      <c r="BE165" s="923">
        <f t="shared" si="112"/>
        <v>66.900000000000006</v>
      </c>
      <c r="BF165" s="923">
        <f t="shared" si="113"/>
        <v>288.39999999999998</v>
      </c>
      <c r="BG165" s="924">
        <f>'[3]свод (2024)'!$B$116</f>
        <v>0.99758349999999996</v>
      </c>
      <c r="BH165" s="923">
        <f t="shared" si="114"/>
        <v>221</v>
      </c>
      <c r="BI165" s="923">
        <f t="shared" si="115"/>
        <v>66.7</v>
      </c>
      <c r="BJ165" s="923">
        <f t="shared" si="116"/>
        <v>287.7</v>
      </c>
      <c r="BK165" s="925">
        <f t="shared" si="117"/>
        <v>-12.2</v>
      </c>
      <c r="BL165" s="925">
        <f t="shared" si="117"/>
        <v>-3.7</v>
      </c>
      <c r="BM165" s="925">
        <f t="shared" si="118"/>
        <v>-15.9</v>
      </c>
      <c r="BN165" s="925">
        <f t="shared" si="119"/>
        <v>0</v>
      </c>
      <c r="BO165" s="925">
        <f t="shared" si="120"/>
        <v>0</v>
      </c>
      <c r="BP165" s="926"/>
      <c r="BQ165" s="925">
        <f t="shared" si="121"/>
        <v>221</v>
      </c>
      <c r="BR165" s="925">
        <f t="shared" si="121"/>
        <v>66.7</v>
      </c>
      <c r="BS165" s="925">
        <f t="shared" si="122"/>
        <v>287.7</v>
      </c>
      <c r="BU165" s="928"/>
      <c r="BV165" s="917"/>
      <c r="BW165" s="928"/>
      <c r="BX165" s="928"/>
      <c r="BY165" s="928"/>
      <c r="BZ165" s="917"/>
      <c r="CA165" s="928"/>
      <c r="CB165" s="917"/>
      <c r="CC165" s="928"/>
      <c r="CD165" s="928"/>
      <c r="CE165" s="928"/>
      <c r="CF165" s="929"/>
      <c r="CG165" s="928"/>
      <c r="CH165" s="928"/>
      <c r="CI165" s="928"/>
      <c r="CJ165" s="925"/>
      <c r="CK165" s="925"/>
      <c r="CL165" s="925"/>
      <c r="CM165" s="925"/>
      <c r="CN165" s="925"/>
      <c r="CO165" s="925"/>
      <c r="CP165" s="925"/>
      <c r="CQ165" s="925"/>
      <c r="CR165" s="925"/>
      <c r="CS165" s="917"/>
      <c r="CT165" s="928"/>
      <c r="CU165" s="928"/>
      <c r="CV165" s="928"/>
      <c r="CX165" s="925"/>
      <c r="CY165" s="925"/>
      <c r="CZ165" s="925"/>
      <c r="DB165" s="925"/>
      <c r="DC165" s="925"/>
      <c r="DD165" s="925"/>
      <c r="DE165" s="925"/>
      <c r="DF165" s="925"/>
      <c r="DG165" s="925"/>
      <c r="DH165" s="925"/>
      <c r="DI165" s="925"/>
      <c r="DJ165" s="925"/>
      <c r="DK165" s="925"/>
      <c r="DL165" s="925"/>
      <c r="DM165" s="925"/>
      <c r="DN165" s="925"/>
      <c r="DO165" s="925"/>
      <c r="DP165" s="925"/>
      <c r="DQ165" s="924"/>
      <c r="DR165" s="925"/>
      <c r="DS165" s="925"/>
      <c r="DT165" s="925"/>
      <c r="DV165" s="925"/>
      <c r="DW165" s="925"/>
      <c r="DX165" s="925"/>
      <c r="DY165" s="925"/>
      <c r="DZ165" s="925"/>
      <c r="EA165" s="925"/>
      <c r="EB165" s="925"/>
      <c r="EC165" s="925"/>
      <c r="ED165" s="925"/>
      <c r="EE165" s="925"/>
      <c r="EF165" s="925"/>
      <c r="EG165" s="925"/>
      <c r="EH165" s="925"/>
      <c r="EI165" s="925"/>
      <c r="EJ165" s="925"/>
      <c r="EK165" s="925"/>
      <c r="EL165" s="925"/>
      <c r="EM165" s="925"/>
      <c r="EN165" s="925"/>
      <c r="EO165" s="925"/>
      <c r="EP165" s="925"/>
      <c r="EQ165" s="925"/>
      <c r="ER165" s="925"/>
      <c r="ES165" s="925"/>
      <c r="ET165" s="925"/>
      <c r="EV165" s="924"/>
      <c r="EW165" s="925"/>
      <c r="EX165" s="925"/>
      <c r="EY165" s="925"/>
    </row>
    <row r="166" spans="1:155" s="927" customFormat="1" ht="15.75" x14ac:dyDescent="0.25">
      <c r="A166" s="912" t="s">
        <v>360</v>
      </c>
      <c r="B166" s="913" t="s">
        <v>1410</v>
      </c>
      <c r="C166" s="914">
        <v>1</v>
      </c>
      <c r="D166" s="914">
        <v>6707</v>
      </c>
      <c r="E166" s="915">
        <v>1.0549999999999999</v>
      </c>
      <c r="F166" s="916">
        <f t="shared" si="77"/>
        <v>7076</v>
      </c>
      <c r="G166" s="915">
        <v>1.01</v>
      </c>
      <c r="H166" s="916">
        <f t="shared" si="78"/>
        <v>7147</v>
      </c>
      <c r="I166" s="917">
        <f t="shared" si="79"/>
        <v>7147</v>
      </c>
      <c r="J166" s="918">
        <f t="shared" si="80"/>
        <v>0</v>
      </c>
      <c r="K166" s="919"/>
      <c r="L166" s="917">
        <f t="shared" si="81"/>
        <v>0</v>
      </c>
      <c r="M166" s="918">
        <f t="shared" si="82"/>
        <v>0</v>
      </c>
      <c r="N166" s="919"/>
      <c r="O166" s="917">
        <f t="shared" si="83"/>
        <v>0</v>
      </c>
      <c r="P166" s="918">
        <f t="shared" si="84"/>
        <v>0</v>
      </c>
      <c r="Q166" s="919"/>
      <c r="R166" s="917">
        <f t="shared" si="85"/>
        <v>0</v>
      </c>
      <c r="S166" s="918">
        <f t="shared" si="86"/>
        <v>0</v>
      </c>
      <c r="T166" s="919"/>
      <c r="U166" s="917">
        <f t="shared" si="87"/>
        <v>0</v>
      </c>
      <c r="V166" s="918">
        <f t="shared" si="88"/>
        <v>0</v>
      </c>
      <c r="W166" s="919"/>
      <c r="X166" s="917">
        <f t="shared" si="89"/>
        <v>0</v>
      </c>
      <c r="Y166" s="918">
        <f t="shared" si="90"/>
        <v>0</v>
      </c>
      <c r="Z166" s="919"/>
      <c r="AA166" s="917">
        <f t="shared" si="91"/>
        <v>0</v>
      </c>
      <c r="AB166" s="918">
        <f t="shared" si="92"/>
        <v>0</v>
      </c>
      <c r="AC166" s="919"/>
      <c r="AD166" s="917">
        <f t="shared" si="93"/>
        <v>0</v>
      </c>
      <c r="AE166" s="918">
        <f t="shared" si="94"/>
        <v>0</v>
      </c>
      <c r="AF166" s="919"/>
      <c r="AG166" s="917">
        <f t="shared" si="95"/>
        <v>0</v>
      </c>
      <c r="AH166" s="918">
        <f t="shared" si="96"/>
        <v>0</v>
      </c>
      <c r="AI166" s="919"/>
      <c r="AJ166" s="917">
        <f t="shared" si="97"/>
        <v>0</v>
      </c>
      <c r="AK166" s="918">
        <f t="shared" si="98"/>
        <v>0</v>
      </c>
      <c r="AL166" s="919"/>
      <c r="AM166" s="917">
        <f t="shared" si="99"/>
        <v>0</v>
      </c>
      <c r="AN166" s="920">
        <v>19242</v>
      </c>
      <c r="AO166" s="917">
        <f t="shared" si="100"/>
        <v>12095</v>
      </c>
      <c r="AP166" s="920"/>
      <c r="AQ166" s="916">
        <f t="shared" si="101"/>
        <v>0</v>
      </c>
      <c r="AR166" s="917">
        <f t="shared" si="102"/>
        <v>19242</v>
      </c>
      <c r="AS166" s="916">
        <v>12</v>
      </c>
      <c r="AT166" s="921">
        <f t="shared" si="103"/>
        <v>230904</v>
      </c>
      <c r="AU166" s="920"/>
      <c r="AV166" s="922">
        <f t="shared" si="104"/>
        <v>2309.04</v>
      </c>
      <c r="AW166" s="921">
        <f t="shared" si="105"/>
        <v>233213.04</v>
      </c>
      <c r="AX166" s="921">
        <f t="shared" si="106"/>
        <v>70430.34</v>
      </c>
      <c r="AY166" s="921">
        <f t="shared" si="107"/>
        <v>303643.38</v>
      </c>
      <c r="AZ166" s="923">
        <f t="shared" si="108"/>
        <v>233.2</v>
      </c>
      <c r="BA166" s="923">
        <f t="shared" si="109"/>
        <v>70.400000000000006</v>
      </c>
      <c r="BB166" s="923">
        <f t="shared" si="110"/>
        <v>303.60000000000002</v>
      </c>
      <c r="BC166" s="915">
        <v>0.95</v>
      </c>
      <c r="BD166" s="923">
        <f t="shared" si="111"/>
        <v>221.5</v>
      </c>
      <c r="BE166" s="923">
        <f t="shared" si="112"/>
        <v>66.900000000000006</v>
      </c>
      <c r="BF166" s="923">
        <f t="shared" si="113"/>
        <v>288.39999999999998</v>
      </c>
      <c r="BG166" s="924">
        <f>'[3]свод (2024)'!$B$116</f>
        <v>0.99758349999999996</v>
      </c>
      <c r="BH166" s="923">
        <f t="shared" si="114"/>
        <v>221</v>
      </c>
      <c r="BI166" s="923">
        <f t="shared" si="115"/>
        <v>66.7</v>
      </c>
      <c r="BJ166" s="923">
        <f t="shared" si="116"/>
        <v>287.7</v>
      </c>
      <c r="BK166" s="925">
        <f t="shared" si="117"/>
        <v>-12.2</v>
      </c>
      <c r="BL166" s="925">
        <f t="shared" si="117"/>
        <v>-3.7</v>
      </c>
      <c r="BM166" s="925">
        <f t="shared" si="118"/>
        <v>-15.9</v>
      </c>
      <c r="BN166" s="925">
        <f t="shared" si="119"/>
        <v>0</v>
      </c>
      <c r="BO166" s="925">
        <f t="shared" si="120"/>
        <v>0</v>
      </c>
      <c r="BP166" s="926"/>
      <c r="BQ166" s="925">
        <f t="shared" si="121"/>
        <v>221</v>
      </c>
      <c r="BR166" s="925">
        <f t="shared" si="121"/>
        <v>66.7</v>
      </c>
      <c r="BS166" s="925">
        <f t="shared" si="122"/>
        <v>287.7</v>
      </c>
      <c r="BU166" s="928"/>
      <c r="BV166" s="917"/>
      <c r="BW166" s="928"/>
      <c r="BX166" s="928"/>
      <c r="BY166" s="928"/>
      <c r="BZ166" s="917"/>
      <c r="CA166" s="928"/>
      <c r="CB166" s="917"/>
      <c r="CC166" s="928"/>
      <c r="CD166" s="928"/>
      <c r="CE166" s="928"/>
      <c r="CF166" s="929"/>
      <c r="CG166" s="928"/>
      <c r="CH166" s="928"/>
      <c r="CI166" s="928"/>
      <c r="CJ166" s="925"/>
      <c r="CK166" s="925"/>
      <c r="CL166" s="925"/>
      <c r="CM166" s="925"/>
      <c r="CN166" s="925"/>
      <c r="CO166" s="925"/>
      <c r="CP166" s="925"/>
      <c r="CQ166" s="925"/>
      <c r="CR166" s="925"/>
      <c r="CS166" s="917"/>
      <c r="CT166" s="928"/>
      <c r="CU166" s="928"/>
      <c r="CV166" s="928"/>
      <c r="CX166" s="925"/>
      <c r="CY166" s="925"/>
      <c r="CZ166" s="925"/>
      <c r="DB166" s="925"/>
      <c r="DC166" s="925"/>
      <c r="DD166" s="925"/>
      <c r="DE166" s="925"/>
      <c r="DF166" s="925"/>
      <c r="DG166" s="925"/>
      <c r="DH166" s="925"/>
      <c r="DI166" s="925"/>
      <c r="DJ166" s="925"/>
      <c r="DK166" s="925"/>
      <c r="DL166" s="925"/>
      <c r="DM166" s="925"/>
      <c r="DN166" s="925"/>
      <c r="DO166" s="925"/>
      <c r="DP166" s="925"/>
      <c r="DQ166" s="924"/>
      <c r="DR166" s="925"/>
      <c r="DS166" s="925"/>
      <c r="DT166" s="925"/>
      <c r="DV166" s="925"/>
      <c r="DW166" s="925"/>
      <c r="DX166" s="925"/>
      <c r="DY166" s="925"/>
      <c r="DZ166" s="925"/>
      <c r="EA166" s="925"/>
      <c r="EB166" s="925"/>
      <c r="EC166" s="925"/>
      <c r="ED166" s="925"/>
      <c r="EE166" s="925"/>
      <c r="EF166" s="925"/>
      <c r="EG166" s="925"/>
      <c r="EH166" s="925"/>
      <c r="EI166" s="925"/>
      <c r="EJ166" s="925"/>
      <c r="EK166" s="925"/>
      <c r="EL166" s="925"/>
      <c r="EM166" s="925"/>
      <c r="EN166" s="925"/>
      <c r="EO166" s="925"/>
      <c r="EP166" s="925"/>
      <c r="EQ166" s="925"/>
      <c r="ER166" s="925"/>
      <c r="ES166" s="925"/>
      <c r="ET166" s="925"/>
      <c r="EV166" s="924"/>
      <c r="EW166" s="925"/>
      <c r="EX166" s="925"/>
      <c r="EY166" s="925"/>
    </row>
    <row r="167" spans="1:155" s="927" customFormat="1" ht="15.75" x14ac:dyDescent="0.25">
      <c r="A167" s="912" t="s">
        <v>360</v>
      </c>
      <c r="B167" s="913" t="s">
        <v>1385</v>
      </c>
      <c r="C167" s="914">
        <v>0.5</v>
      </c>
      <c r="D167" s="914">
        <v>7038</v>
      </c>
      <c r="E167" s="915">
        <v>1.0549999999999999</v>
      </c>
      <c r="F167" s="916">
        <f t="shared" si="77"/>
        <v>7426</v>
      </c>
      <c r="G167" s="915">
        <v>1.01</v>
      </c>
      <c r="H167" s="916">
        <f t="shared" si="78"/>
        <v>7501</v>
      </c>
      <c r="I167" s="917">
        <f t="shared" si="79"/>
        <v>3750.5</v>
      </c>
      <c r="J167" s="918">
        <f t="shared" si="80"/>
        <v>0</v>
      </c>
      <c r="K167" s="919"/>
      <c r="L167" s="917">
        <f t="shared" si="81"/>
        <v>0</v>
      </c>
      <c r="M167" s="918">
        <f t="shared" si="82"/>
        <v>0</v>
      </c>
      <c r="N167" s="919"/>
      <c r="O167" s="917">
        <f t="shared" si="83"/>
        <v>0</v>
      </c>
      <c r="P167" s="918">
        <f t="shared" si="84"/>
        <v>0</v>
      </c>
      <c r="Q167" s="919"/>
      <c r="R167" s="917">
        <f t="shared" si="85"/>
        <v>0</v>
      </c>
      <c r="S167" s="918">
        <f t="shared" si="86"/>
        <v>0</v>
      </c>
      <c r="T167" s="919"/>
      <c r="U167" s="917">
        <f t="shared" si="87"/>
        <v>0</v>
      </c>
      <c r="V167" s="918">
        <f t="shared" si="88"/>
        <v>0</v>
      </c>
      <c r="W167" s="919"/>
      <c r="X167" s="917">
        <f t="shared" si="89"/>
        <v>0</v>
      </c>
      <c r="Y167" s="918">
        <f t="shared" si="90"/>
        <v>0</v>
      </c>
      <c r="Z167" s="919"/>
      <c r="AA167" s="917">
        <f t="shared" si="91"/>
        <v>0</v>
      </c>
      <c r="AB167" s="918">
        <f t="shared" si="92"/>
        <v>0.2</v>
      </c>
      <c r="AC167" s="919">
        <v>703.8</v>
      </c>
      <c r="AD167" s="917">
        <f t="shared" si="93"/>
        <v>750.1</v>
      </c>
      <c r="AE167" s="918">
        <f t="shared" si="94"/>
        <v>0</v>
      </c>
      <c r="AF167" s="919"/>
      <c r="AG167" s="917">
        <f t="shared" si="95"/>
        <v>0</v>
      </c>
      <c r="AH167" s="918">
        <f t="shared" si="96"/>
        <v>0</v>
      </c>
      <c r="AI167" s="919"/>
      <c r="AJ167" s="917">
        <f t="shared" si="97"/>
        <v>0</v>
      </c>
      <c r="AK167" s="918">
        <f t="shared" si="98"/>
        <v>0</v>
      </c>
      <c r="AL167" s="919"/>
      <c r="AM167" s="917">
        <f t="shared" si="99"/>
        <v>0</v>
      </c>
      <c r="AN167" s="920">
        <v>19242</v>
      </c>
      <c r="AO167" s="917">
        <f t="shared" si="100"/>
        <v>5120.3999999999996</v>
      </c>
      <c r="AP167" s="920"/>
      <c r="AQ167" s="916">
        <f t="shared" si="101"/>
        <v>0</v>
      </c>
      <c r="AR167" s="917">
        <f t="shared" si="102"/>
        <v>9621</v>
      </c>
      <c r="AS167" s="916">
        <v>12</v>
      </c>
      <c r="AT167" s="921">
        <f t="shared" si="103"/>
        <v>115452</v>
      </c>
      <c r="AU167" s="920"/>
      <c r="AV167" s="922">
        <f t="shared" si="104"/>
        <v>1154.52</v>
      </c>
      <c r="AW167" s="921">
        <f t="shared" si="105"/>
        <v>116606.52</v>
      </c>
      <c r="AX167" s="921">
        <f t="shared" si="106"/>
        <v>35215.17</v>
      </c>
      <c r="AY167" s="921">
        <f t="shared" si="107"/>
        <v>151821.69</v>
      </c>
      <c r="AZ167" s="923">
        <f t="shared" si="108"/>
        <v>116.6</v>
      </c>
      <c r="BA167" s="923">
        <f t="shared" si="109"/>
        <v>35.200000000000003</v>
      </c>
      <c r="BB167" s="923">
        <f t="shared" si="110"/>
        <v>151.80000000000001</v>
      </c>
      <c r="BC167" s="915">
        <v>0.95</v>
      </c>
      <c r="BD167" s="923">
        <f t="shared" si="111"/>
        <v>110.8</v>
      </c>
      <c r="BE167" s="923">
        <f t="shared" si="112"/>
        <v>33.5</v>
      </c>
      <c r="BF167" s="923">
        <f t="shared" si="113"/>
        <v>144.30000000000001</v>
      </c>
      <c r="BG167" s="924">
        <f>'[3]свод (2024)'!$B$116</f>
        <v>0.99758349999999996</v>
      </c>
      <c r="BH167" s="923">
        <f t="shared" si="114"/>
        <v>110.5</v>
      </c>
      <c r="BI167" s="923">
        <f t="shared" si="115"/>
        <v>33.4</v>
      </c>
      <c r="BJ167" s="923">
        <f t="shared" si="116"/>
        <v>143.9</v>
      </c>
      <c r="BK167" s="925">
        <f t="shared" si="117"/>
        <v>-6.1</v>
      </c>
      <c r="BL167" s="925">
        <f t="shared" si="117"/>
        <v>-1.8</v>
      </c>
      <c r="BM167" s="925">
        <f t="shared" si="118"/>
        <v>-7.9</v>
      </c>
      <c r="BN167" s="925">
        <f t="shared" si="119"/>
        <v>0</v>
      </c>
      <c r="BO167" s="925">
        <f t="shared" si="120"/>
        <v>0</v>
      </c>
      <c r="BP167" s="926"/>
      <c r="BQ167" s="925">
        <f t="shared" si="121"/>
        <v>110.5</v>
      </c>
      <c r="BR167" s="925">
        <f t="shared" si="121"/>
        <v>33.4</v>
      </c>
      <c r="BS167" s="925">
        <f t="shared" si="122"/>
        <v>143.9</v>
      </c>
      <c r="BU167" s="928"/>
      <c r="BV167" s="917"/>
      <c r="BW167" s="928"/>
      <c r="BX167" s="928"/>
      <c r="BY167" s="928"/>
      <c r="BZ167" s="917"/>
      <c r="CA167" s="928"/>
      <c r="CB167" s="917"/>
      <c r="CC167" s="928"/>
      <c r="CD167" s="928"/>
      <c r="CE167" s="928"/>
      <c r="CF167" s="929"/>
      <c r="CG167" s="928"/>
      <c r="CH167" s="928"/>
      <c r="CI167" s="928"/>
      <c r="CJ167" s="925"/>
      <c r="CK167" s="925"/>
      <c r="CL167" s="925"/>
      <c r="CM167" s="925"/>
      <c r="CN167" s="925"/>
      <c r="CO167" s="925"/>
      <c r="CP167" s="925"/>
      <c r="CQ167" s="925"/>
      <c r="CR167" s="925"/>
      <c r="CS167" s="917"/>
      <c r="CT167" s="928"/>
      <c r="CU167" s="928"/>
      <c r="CV167" s="928"/>
      <c r="CX167" s="925"/>
      <c r="CY167" s="925"/>
      <c r="CZ167" s="925"/>
      <c r="DB167" s="925"/>
      <c r="DC167" s="925"/>
      <c r="DD167" s="925"/>
      <c r="DE167" s="925"/>
      <c r="DF167" s="925"/>
      <c r="DG167" s="925"/>
      <c r="DH167" s="925"/>
      <c r="DI167" s="925"/>
      <c r="DJ167" s="925"/>
      <c r="DK167" s="925"/>
      <c r="DL167" s="925"/>
      <c r="DM167" s="925"/>
      <c r="DN167" s="925"/>
      <c r="DO167" s="925"/>
      <c r="DP167" s="925"/>
      <c r="DQ167" s="924"/>
      <c r="DR167" s="925"/>
      <c r="DS167" s="925"/>
      <c r="DT167" s="925"/>
      <c r="DV167" s="925"/>
      <c r="DW167" s="925"/>
      <c r="DX167" s="925"/>
      <c r="DY167" s="925"/>
      <c r="DZ167" s="925"/>
      <c r="EA167" s="925"/>
      <c r="EB167" s="925"/>
      <c r="EC167" s="925"/>
      <c r="ED167" s="925"/>
      <c r="EE167" s="925"/>
      <c r="EF167" s="925"/>
      <c r="EG167" s="925"/>
      <c r="EH167" s="925"/>
      <c r="EI167" s="925"/>
      <c r="EJ167" s="925"/>
      <c r="EK167" s="925"/>
      <c r="EL167" s="925"/>
      <c r="EM167" s="925"/>
      <c r="EN167" s="925"/>
      <c r="EO167" s="925"/>
      <c r="EP167" s="925"/>
      <c r="EQ167" s="925"/>
      <c r="ER167" s="925"/>
      <c r="ES167" s="925"/>
      <c r="ET167" s="925"/>
      <c r="EV167" s="924"/>
      <c r="EW167" s="925"/>
      <c r="EX167" s="925"/>
      <c r="EY167" s="925"/>
    </row>
    <row r="168" spans="1:155" s="927" customFormat="1" ht="15.75" x14ac:dyDescent="0.25">
      <c r="A168" s="912" t="s">
        <v>360</v>
      </c>
      <c r="B168" s="913" t="s">
        <v>36</v>
      </c>
      <c r="C168" s="914">
        <v>3.5</v>
      </c>
      <c r="D168" s="914">
        <v>13772</v>
      </c>
      <c r="E168" s="915">
        <v>1.0549999999999999</v>
      </c>
      <c r="F168" s="916">
        <f t="shared" si="77"/>
        <v>14530</v>
      </c>
      <c r="G168" s="915">
        <v>1.01</v>
      </c>
      <c r="H168" s="916">
        <f t="shared" si="78"/>
        <v>14676</v>
      </c>
      <c r="I168" s="917">
        <f t="shared" si="79"/>
        <v>51366</v>
      </c>
      <c r="J168" s="918">
        <f t="shared" si="80"/>
        <v>0.10714</v>
      </c>
      <c r="K168" s="919">
        <v>5164.5</v>
      </c>
      <c r="L168" s="917">
        <f t="shared" si="81"/>
        <v>5503.35</v>
      </c>
      <c r="M168" s="918">
        <f t="shared" si="82"/>
        <v>0</v>
      </c>
      <c r="N168" s="919"/>
      <c r="O168" s="917">
        <f t="shared" si="83"/>
        <v>0</v>
      </c>
      <c r="P168" s="918">
        <f t="shared" si="84"/>
        <v>0</v>
      </c>
      <c r="Q168" s="919"/>
      <c r="R168" s="917">
        <f t="shared" si="85"/>
        <v>0</v>
      </c>
      <c r="S168" s="918">
        <f t="shared" si="86"/>
        <v>0</v>
      </c>
      <c r="T168" s="919"/>
      <c r="U168" s="917">
        <f t="shared" si="87"/>
        <v>0</v>
      </c>
      <c r="V168" s="918">
        <f t="shared" si="88"/>
        <v>0</v>
      </c>
      <c r="W168" s="919"/>
      <c r="X168" s="917">
        <f t="shared" si="89"/>
        <v>0</v>
      </c>
      <c r="Y168" s="918">
        <f t="shared" si="90"/>
        <v>0</v>
      </c>
      <c r="Z168" s="919"/>
      <c r="AA168" s="917">
        <f t="shared" si="91"/>
        <v>0</v>
      </c>
      <c r="AB168" s="918">
        <f t="shared" si="92"/>
        <v>0.15714</v>
      </c>
      <c r="AC168" s="919">
        <v>7574.6</v>
      </c>
      <c r="AD168" s="917">
        <f t="shared" si="93"/>
        <v>8071.65</v>
      </c>
      <c r="AE168" s="918">
        <f t="shared" si="94"/>
        <v>0</v>
      </c>
      <c r="AF168" s="919"/>
      <c r="AG168" s="917">
        <f t="shared" si="95"/>
        <v>0</v>
      </c>
      <c r="AH168" s="918">
        <f t="shared" si="96"/>
        <v>0</v>
      </c>
      <c r="AI168" s="919"/>
      <c r="AJ168" s="917">
        <f t="shared" si="97"/>
        <v>0</v>
      </c>
      <c r="AK168" s="918">
        <f t="shared" si="98"/>
        <v>0</v>
      </c>
      <c r="AL168" s="919"/>
      <c r="AM168" s="917">
        <f t="shared" si="99"/>
        <v>0</v>
      </c>
      <c r="AN168" s="920">
        <v>19242</v>
      </c>
      <c r="AO168" s="917">
        <f t="shared" si="100"/>
        <v>2406</v>
      </c>
      <c r="AP168" s="920"/>
      <c r="AQ168" s="916">
        <f t="shared" si="101"/>
        <v>0</v>
      </c>
      <c r="AR168" s="917">
        <f t="shared" si="102"/>
        <v>67347</v>
      </c>
      <c r="AS168" s="916">
        <v>12</v>
      </c>
      <c r="AT168" s="921">
        <f t="shared" si="103"/>
        <v>808164</v>
      </c>
      <c r="AU168" s="920"/>
      <c r="AV168" s="922">
        <f t="shared" si="104"/>
        <v>8081.64</v>
      </c>
      <c r="AW168" s="921">
        <f t="shared" si="105"/>
        <v>816245.64</v>
      </c>
      <c r="AX168" s="921">
        <f t="shared" si="106"/>
        <v>246506.18</v>
      </c>
      <c r="AY168" s="921">
        <f t="shared" si="107"/>
        <v>1062751.82</v>
      </c>
      <c r="AZ168" s="923">
        <f t="shared" si="108"/>
        <v>816.2</v>
      </c>
      <c r="BA168" s="923">
        <f t="shared" si="109"/>
        <v>246.5</v>
      </c>
      <c r="BB168" s="923">
        <f t="shared" si="110"/>
        <v>1062.7</v>
      </c>
      <c r="BC168" s="915">
        <v>0.95</v>
      </c>
      <c r="BD168" s="923">
        <f t="shared" si="111"/>
        <v>775.4</v>
      </c>
      <c r="BE168" s="923">
        <f t="shared" si="112"/>
        <v>234.2</v>
      </c>
      <c r="BF168" s="923">
        <f t="shared" si="113"/>
        <v>1009.6</v>
      </c>
      <c r="BG168" s="924">
        <f>'[3]свод (2024)'!$B$116</f>
        <v>0.99758349999999996</v>
      </c>
      <c r="BH168" s="923">
        <f t="shared" si="114"/>
        <v>773.5</v>
      </c>
      <c r="BI168" s="923">
        <f t="shared" si="115"/>
        <v>233.6</v>
      </c>
      <c r="BJ168" s="923">
        <f t="shared" si="116"/>
        <v>1007.1</v>
      </c>
      <c r="BK168" s="925">
        <f t="shared" si="117"/>
        <v>-42.7</v>
      </c>
      <c r="BL168" s="925">
        <f t="shared" si="117"/>
        <v>-12.9</v>
      </c>
      <c r="BM168" s="925">
        <f t="shared" si="118"/>
        <v>-55.6</v>
      </c>
      <c r="BN168" s="925">
        <f t="shared" si="119"/>
        <v>0</v>
      </c>
      <c r="BO168" s="925">
        <f t="shared" si="120"/>
        <v>0</v>
      </c>
      <c r="BP168" s="926"/>
      <c r="BQ168" s="925">
        <f t="shared" si="121"/>
        <v>773.5</v>
      </c>
      <c r="BR168" s="925">
        <f t="shared" si="121"/>
        <v>233.6</v>
      </c>
      <c r="BS168" s="925">
        <f t="shared" si="122"/>
        <v>1007.1</v>
      </c>
      <c r="BU168" s="928">
        <f t="shared" si="123"/>
        <v>3.5</v>
      </c>
      <c r="BV168" s="917"/>
      <c r="BW168" s="928"/>
      <c r="BX168" s="928">
        <f t="shared" si="124"/>
        <v>816245.64</v>
      </c>
      <c r="BY168" s="928"/>
      <c r="BZ168" s="917"/>
      <c r="CA168" s="928"/>
      <c r="CB168" s="917"/>
      <c r="CC168" s="928"/>
      <c r="CD168" s="928"/>
      <c r="CE168" s="928"/>
      <c r="CF168" s="929">
        <f>CC$184/BU$184*BU168</f>
        <v>275905.40000000002</v>
      </c>
      <c r="CG168" s="928"/>
      <c r="CH168" s="928"/>
      <c r="CI168" s="928"/>
      <c r="CJ168" s="925"/>
      <c r="CK168" s="925"/>
      <c r="CL168" s="925"/>
      <c r="CM168" s="925"/>
      <c r="CN168" s="925"/>
      <c r="CO168" s="925"/>
      <c r="CP168" s="925"/>
      <c r="CQ168" s="925"/>
      <c r="CR168" s="925"/>
      <c r="CS168" s="917"/>
      <c r="CT168" s="928"/>
      <c r="CU168" s="928"/>
      <c r="CV168" s="928"/>
      <c r="CX168" s="925"/>
      <c r="CY168" s="925"/>
      <c r="CZ168" s="925"/>
      <c r="DB168" s="925"/>
      <c r="DC168" s="925"/>
      <c r="DD168" s="925"/>
      <c r="DE168" s="925"/>
      <c r="DF168" s="925"/>
      <c r="DG168" s="925"/>
      <c r="DH168" s="925"/>
      <c r="DI168" s="925"/>
      <c r="DJ168" s="925"/>
      <c r="DK168" s="925"/>
      <c r="DL168" s="925"/>
      <c r="DM168" s="925"/>
      <c r="DN168" s="925"/>
      <c r="DO168" s="925"/>
      <c r="DP168" s="925"/>
      <c r="DQ168" s="924"/>
      <c r="DR168" s="925"/>
      <c r="DS168" s="925"/>
      <c r="DT168" s="925"/>
      <c r="DV168" s="925"/>
      <c r="DW168" s="925"/>
      <c r="DX168" s="925"/>
      <c r="DY168" s="925"/>
      <c r="DZ168" s="925"/>
      <c r="EA168" s="925"/>
      <c r="EB168" s="925"/>
      <c r="EC168" s="925"/>
      <c r="ED168" s="925"/>
      <c r="EE168" s="925"/>
      <c r="EF168" s="925"/>
      <c r="EG168" s="925"/>
      <c r="EH168" s="925"/>
      <c r="EI168" s="925"/>
      <c r="EJ168" s="925"/>
      <c r="EK168" s="925"/>
      <c r="EL168" s="925"/>
      <c r="EM168" s="925"/>
      <c r="EN168" s="925"/>
      <c r="EO168" s="925"/>
      <c r="EP168" s="925"/>
      <c r="EQ168" s="925"/>
      <c r="ER168" s="925"/>
      <c r="ES168" s="925"/>
      <c r="ET168" s="925"/>
      <c r="EV168" s="924"/>
      <c r="EW168" s="925"/>
      <c r="EX168" s="925"/>
      <c r="EY168" s="925"/>
    </row>
    <row r="169" spans="1:155" s="927" customFormat="1" ht="15.75" x14ac:dyDescent="0.25">
      <c r="A169" s="912" t="s">
        <v>360</v>
      </c>
      <c r="B169" s="913" t="s">
        <v>43</v>
      </c>
      <c r="C169" s="914">
        <v>2.5</v>
      </c>
      <c r="D169" s="914">
        <v>6707</v>
      </c>
      <c r="E169" s="915">
        <v>1.0549999999999999</v>
      </c>
      <c r="F169" s="916">
        <f t="shared" si="77"/>
        <v>7076</v>
      </c>
      <c r="G169" s="915">
        <v>1.01</v>
      </c>
      <c r="H169" s="916">
        <f t="shared" si="78"/>
        <v>7147</v>
      </c>
      <c r="I169" s="917">
        <f t="shared" si="79"/>
        <v>17867.5</v>
      </c>
      <c r="J169" s="918">
        <f t="shared" si="80"/>
        <v>0</v>
      </c>
      <c r="K169" s="919"/>
      <c r="L169" s="917">
        <f t="shared" si="81"/>
        <v>0</v>
      </c>
      <c r="M169" s="918">
        <f t="shared" si="82"/>
        <v>0</v>
      </c>
      <c r="N169" s="919"/>
      <c r="O169" s="917">
        <f t="shared" si="83"/>
        <v>0</v>
      </c>
      <c r="P169" s="918">
        <f t="shared" si="84"/>
        <v>0</v>
      </c>
      <c r="Q169" s="919"/>
      <c r="R169" s="917">
        <f t="shared" si="85"/>
        <v>0</v>
      </c>
      <c r="S169" s="918">
        <f t="shared" si="86"/>
        <v>0</v>
      </c>
      <c r="T169" s="919"/>
      <c r="U169" s="917">
        <f t="shared" si="87"/>
        <v>0</v>
      </c>
      <c r="V169" s="918">
        <f t="shared" si="88"/>
        <v>0</v>
      </c>
      <c r="W169" s="919"/>
      <c r="X169" s="917">
        <f t="shared" si="89"/>
        <v>0</v>
      </c>
      <c r="Y169" s="918">
        <f t="shared" si="90"/>
        <v>0</v>
      </c>
      <c r="Z169" s="919"/>
      <c r="AA169" s="917">
        <f t="shared" si="91"/>
        <v>0</v>
      </c>
      <c r="AB169" s="918">
        <f t="shared" si="92"/>
        <v>0.15</v>
      </c>
      <c r="AC169" s="919">
        <v>2515.13</v>
      </c>
      <c r="AD169" s="917">
        <f t="shared" si="93"/>
        <v>2680.13</v>
      </c>
      <c r="AE169" s="918">
        <f t="shared" si="94"/>
        <v>0</v>
      </c>
      <c r="AF169" s="919"/>
      <c r="AG169" s="917">
        <f t="shared" si="95"/>
        <v>0</v>
      </c>
      <c r="AH169" s="918">
        <f t="shared" si="96"/>
        <v>0</v>
      </c>
      <c r="AI169" s="919"/>
      <c r="AJ169" s="917">
        <f t="shared" si="97"/>
        <v>0</v>
      </c>
      <c r="AK169" s="918">
        <f t="shared" si="98"/>
        <v>0</v>
      </c>
      <c r="AL169" s="919"/>
      <c r="AM169" s="917">
        <f t="shared" si="99"/>
        <v>0</v>
      </c>
      <c r="AN169" s="920">
        <v>19242</v>
      </c>
      <c r="AO169" s="917">
        <f t="shared" si="100"/>
        <v>27557.37</v>
      </c>
      <c r="AP169" s="920"/>
      <c r="AQ169" s="916">
        <f t="shared" si="101"/>
        <v>0</v>
      </c>
      <c r="AR169" s="917">
        <f t="shared" si="102"/>
        <v>48105</v>
      </c>
      <c r="AS169" s="916">
        <v>12</v>
      </c>
      <c r="AT169" s="921">
        <f t="shared" si="103"/>
        <v>577260</v>
      </c>
      <c r="AU169" s="920"/>
      <c r="AV169" s="922">
        <f t="shared" si="104"/>
        <v>5772.6</v>
      </c>
      <c r="AW169" s="921">
        <f t="shared" si="105"/>
        <v>583032.6</v>
      </c>
      <c r="AX169" s="921">
        <f t="shared" si="106"/>
        <v>176075.85</v>
      </c>
      <c r="AY169" s="921">
        <f t="shared" si="107"/>
        <v>759108.45</v>
      </c>
      <c r="AZ169" s="923">
        <f t="shared" si="108"/>
        <v>583</v>
      </c>
      <c r="BA169" s="923">
        <f t="shared" si="109"/>
        <v>176.1</v>
      </c>
      <c r="BB169" s="923">
        <f t="shared" si="110"/>
        <v>759.1</v>
      </c>
      <c r="BC169" s="915">
        <v>0.95</v>
      </c>
      <c r="BD169" s="923">
        <f t="shared" si="111"/>
        <v>553.9</v>
      </c>
      <c r="BE169" s="923">
        <f t="shared" si="112"/>
        <v>167.3</v>
      </c>
      <c r="BF169" s="923">
        <f t="shared" si="113"/>
        <v>721.2</v>
      </c>
      <c r="BG169" s="924">
        <f>'[3]свод (2024)'!$B$116</f>
        <v>0.99758349999999996</v>
      </c>
      <c r="BH169" s="923">
        <f t="shared" si="114"/>
        <v>552.6</v>
      </c>
      <c r="BI169" s="923">
        <f t="shared" si="115"/>
        <v>166.9</v>
      </c>
      <c r="BJ169" s="923">
        <f t="shared" si="116"/>
        <v>719.5</v>
      </c>
      <c r="BK169" s="925">
        <f t="shared" si="117"/>
        <v>-30.4</v>
      </c>
      <c r="BL169" s="925">
        <f t="shared" si="117"/>
        <v>-9.1999999999999993</v>
      </c>
      <c r="BM169" s="925">
        <f t="shared" si="118"/>
        <v>-39.6</v>
      </c>
      <c r="BN169" s="925">
        <f t="shared" si="119"/>
        <v>0</v>
      </c>
      <c r="BO169" s="925">
        <f t="shared" si="120"/>
        <v>0</v>
      </c>
      <c r="BP169" s="926"/>
      <c r="BQ169" s="925">
        <f t="shared" si="121"/>
        <v>552.6</v>
      </c>
      <c r="BR169" s="925">
        <f t="shared" si="121"/>
        <v>166.9</v>
      </c>
      <c r="BS169" s="925">
        <f t="shared" si="122"/>
        <v>719.5</v>
      </c>
      <c r="BU169" s="928"/>
      <c r="BV169" s="917"/>
      <c r="BW169" s="928"/>
      <c r="BX169" s="928"/>
      <c r="BY169" s="928"/>
      <c r="BZ169" s="917"/>
      <c r="CA169" s="928"/>
      <c r="CB169" s="917"/>
      <c r="CC169" s="928"/>
      <c r="CD169" s="928"/>
      <c r="CE169" s="928"/>
      <c r="CF169" s="929"/>
      <c r="CG169" s="928"/>
      <c r="CH169" s="928"/>
      <c r="CI169" s="928"/>
      <c r="CJ169" s="925"/>
      <c r="CK169" s="925"/>
      <c r="CL169" s="925"/>
      <c r="CM169" s="925"/>
      <c r="CN169" s="925"/>
      <c r="CO169" s="925"/>
      <c r="CP169" s="925"/>
      <c r="CQ169" s="925"/>
      <c r="CR169" s="925"/>
      <c r="CS169" s="917"/>
      <c r="CT169" s="928"/>
      <c r="CU169" s="928"/>
      <c r="CV169" s="928"/>
      <c r="CX169" s="925"/>
      <c r="CY169" s="925"/>
      <c r="CZ169" s="925"/>
      <c r="DB169" s="925"/>
      <c r="DC169" s="925"/>
      <c r="DD169" s="925"/>
      <c r="DE169" s="925"/>
      <c r="DF169" s="925"/>
      <c r="DG169" s="925"/>
      <c r="DH169" s="925"/>
      <c r="DI169" s="925"/>
      <c r="DJ169" s="925"/>
      <c r="DK169" s="925"/>
      <c r="DL169" s="925"/>
      <c r="DM169" s="925"/>
      <c r="DN169" s="925"/>
      <c r="DO169" s="925"/>
      <c r="DP169" s="925"/>
      <c r="DQ169" s="924"/>
      <c r="DR169" s="925"/>
      <c r="DS169" s="925"/>
      <c r="DT169" s="925"/>
      <c r="DV169" s="925"/>
      <c r="DW169" s="925"/>
      <c r="DX169" s="925"/>
      <c r="DY169" s="925"/>
      <c r="DZ169" s="925"/>
      <c r="EA169" s="925"/>
      <c r="EB169" s="925"/>
      <c r="EC169" s="925"/>
      <c r="ED169" s="925"/>
      <c r="EE169" s="925"/>
      <c r="EF169" s="925"/>
      <c r="EG169" s="925"/>
      <c r="EH169" s="925"/>
      <c r="EI169" s="925"/>
      <c r="EJ169" s="925"/>
      <c r="EK169" s="925"/>
      <c r="EL169" s="925"/>
      <c r="EM169" s="925"/>
      <c r="EN169" s="925"/>
      <c r="EO169" s="925"/>
      <c r="EP169" s="925"/>
      <c r="EQ169" s="925"/>
      <c r="ER169" s="925"/>
      <c r="ES169" s="925"/>
      <c r="ET169" s="925"/>
      <c r="EV169" s="924"/>
      <c r="EW169" s="925"/>
      <c r="EX169" s="925"/>
      <c r="EY169" s="925"/>
    </row>
    <row r="170" spans="1:155" s="927" customFormat="1" ht="15.75" x14ac:dyDescent="0.25">
      <c r="A170" s="912" t="s">
        <v>360</v>
      </c>
      <c r="B170" s="913" t="s">
        <v>1411</v>
      </c>
      <c r="C170" s="914">
        <v>1</v>
      </c>
      <c r="D170" s="914">
        <v>4588</v>
      </c>
      <c r="E170" s="915">
        <v>1.0549999999999999</v>
      </c>
      <c r="F170" s="916">
        <f t="shared" si="77"/>
        <v>4841</v>
      </c>
      <c r="G170" s="915">
        <v>1.01</v>
      </c>
      <c r="H170" s="916">
        <f t="shared" si="78"/>
        <v>4890</v>
      </c>
      <c r="I170" s="917">
        <f t="shared" si="79"/>
        <v>4890</v>
      </c>
      <c r="J170" s="918">
        <f t="shared" si="80"/>
        <v>0</v>
      </c>
      <c r="K170" s="919"/>
      <c r="L170" s="917">
        <f t="shared" si="81"/>
        <v>0</v>
      </c>
      <c r="M170" s="918">
        <f t="shared" si="82"/>
        <v>0</v>
      </c>
      <c r="N170" s="919"/>
      <c r="O170" s="917">
        <f t="shared" si="83"/>
        <v>0</v>
      </c>
      <c r="P170" s="918">
        <f t="shared" si="84"/>
        <v>0</v>
      </c>
      <c r="Q170" s="919"/>
      <c r="R170" s="917">
        <f t="shared" si="85"/>
        <v>0</v>
      </c>
      <c r="S170" s="918">
        <f t="shared" si="86"/>
        <v>0</v>
      </c>
      <c r="T170" s="919"/>
      <c r="U170" s="917">
        <f t="shared" si="87"/>
        <v>0</v>
      </c>
      <c r="V170" s="918">
        <f t="shared" si="88"/>
        <v>0</v>
      </c>
      <c r="W170" s="919"/>
      <c r="X170" s="917">
        <f t="shared" si="89"/>
        <v>0</v>
      </c>
      <c r="Y170" s="918">
        <f t="shared" si="90"/>
        <v>0</v>
      </c>
      <c r="Z170" s="919"/>
      <c r="AA170" s="917">
        <f t="shared" si="91"/>
        <v>0</v>
      </c>
      <c r="AB170" s="918">
        <f t="shared" si="92"/>
        <v>0</v>
      </c>
      <c r="AC170" s="919"/>
      <c r="AD170" s="917">
        <f t="shared" si="93"/>
        <v>0</v>
      </c>
      <c r="AE170" s="918">
        <f t="shared" si="94"/>
        <v>0</v>
      </c>
      <c r="AF170" s="919"/>
      <c r="AG170" s="917">
        <f t="shared" si="95"/>
        <v>0</v>
      </c>
      <c r="AH170" s="918">
        <f t="shared" si="96"/>
        <v>0</v>
      </c>
      <c r="AI170" s="919"/>
      <c r="AJ170" s="917">
        <f t="shared" si="97"/>
        <v>0</v>
      </c>
      <c r="AK170" s="918">
        <f t="shared" si="98"/>
        <v>0</v>
      </c>
      <c r="AL170" s="919"/>
      <c r="AM170" s="917">
        <f t="shared" si="99"/>
        <v>0</v>
      </c>
      <c r="AN170" s="920">
        <v>19242</v>
      </c>
      <c r="AO170" s="917">
        <f t="shared" si="100"/>
        <v>14352</v>
      </c>
      <c r="AP170" s="920">
        <v>1060.29</v>
      </c>
      <c r="AQ170" s="916">
        <f t="shared" si="101"/>
        <v>1060.29</v>
      </c>
      <c r="AR170" s="917">
        <f t="shared" si="102"/>
        <v>20302.29</v>
      </c>
      <c r="AS170" s="916">
        <v>12</v>
      </c>
      <c r="AT170" s="921">
        <f t="shared" si="103"/>
        <v>243627.48</v>
      </c>
      <c r="AU170" s="920">
        <f t="shared" ref="AU170:AU171" si="144">AT170*0.085</f>
        <v>20708.34</v>
      </c>
      <c r="AV170" s="922">
        <f t="shared" si="104"/>
        <v>2436.27</v>
      </c>
      <c r="AW170" s="921">
        <f t="shared" si="105"/>
        <v>266772.09000000003</v>
      </c>
      <c r="AX170" s="921">
        <f t="shared" si="106"/>
        <v>80565.17</v>
      </c>
      <c r="AY170" s="921">
        <f t="shared" si="107"/>
        <v>347337.26</v>
      </c>
      <c r="AZ170" s="923">
        <f t="shared" si="108"/>
        <v>266.8</v>
      </c>
      <c r="BA170" s="923">
        <f t="shared" si="109"/>
        <v>80.599999999999994</v>
      </c>
      <c r="BB170" s="923">
        <f t="shared" si="110"/>
        <v>347.4</v>
      </c>
      <c r="BC170" s="915">
        <v>0.95</v>
      </c>
      <c r="BD170" s="923">
        <f t="shared" si="111"/>
        <v>253.5</v>
      </c>
      <c r="BE170" s="923">
        <f t="shared" si="112"/>
        <v>76.599999999999994</v>
      </c>
      <c r="BF170" s="923">
        <f t="shared" si="113"/>
        <v>330.1</v>
      </c>
      <c r="BG170" s="924">
        <f>'[3]свод (2024)'!$B$116</f>
        <v>0.99758349999999996</v>
      </c>
      <c r="BH170" s="923">
        <f t="shared" si="114"/>
        <v>252.9</v>
      </c>
      <c r="BI170" s="923">
        <f t="shared" si="115"/>
        <v>76.400000000000006</v>
      </c>
      <c r="BJ170" s="923">
        <f t="shared" si="116"/>
        <v>329.3</v>
      </c>
      <c r="BK170" s="925">
        <f t="shared" si="117"/>
        <v>-13.9</v>
      </c>
      <c r="BL170" s="925">
        <f t="shared" si="117"/>
        <v>-4.2</v>
      </c>
      <c r="BM170" s="925">
        <f t="shared" si="118"/>
        <v>-18.100000000000001</v>
      </c>
      <c r="BN170" s="925">
        <f t="shared" si="119"/>
        <v>0</v>
      </c>
      <c r="BO170" s="925">
        <f t="shared" si="120"/>
        <v>0</v>
      </c>
      <c r="BP170" s="926"/>
      <c r="BQ170" s="925">
        <f t="shared" si="121"/>
        <v>252.9</v>
      </c>
      <c r="BR170" s="925">
        <f t="shared" si="121"/>
        <v>76.400000000000006</v>
      </c>
      <c r="BS170" s="925">
        <f t="shared" si="122"/>
        <v>329.3</v>
      </c>
      <c r="BU170" s="928"/>
      <c r="BV170" s="917"/>
      <c r="BW170" s="928"/>
      <c r="BX170" s="928"/>
      <c r="BY170" s="928"/>
      <c r="BZ170" s="917"/>
      <c r="CA170" s="928"/>
      <c r="CB170" s="917"/>
      <c r="CC170" s="928"/>
      <c r="CD170" s="928"/>
      <c r="CE170" s="928"/>
      <c r="CF170" s="929"/>
      <c r="CG170" s="928"/>
      <c r="CH170" s="928"/>
      <c r="CI170" s="928"/>
      <c r="CJ170" s="925"/>
      <c r="CK170" s="925"/>
      <c r="CL170" s="925"/>
      <c r="CM170" s="925"/>
      <c r="CN170" s="925"/>
      <c r="CO170" s="925"/>
      <c r="CP170" s="925"/>
      <c r="CQ170" s="925"/>
      <c r="CR170" s="925"/>
      <c r="CS170" s="917"/>
      <c r="CT170" s="928"/>
      <c r="CU170" s="928"/>
      <c r="CV170" s="928"/>
      <c r="CX170" s="925"/>
      <c r="CY170" s="925"/>
      <c r="CZ170" s="925"/>
      <c r="DB170" s="925"/>
      <c r="DC170" s="925"/>
      <c r="DD170" s="925"/>
      <c r="DE170" s="925"/>
      <c r="DF170" s="925"/>
      <c r="DG170" s="925"/>
      <c r="DH170" s="925"/>
      <c r="DI170" s="925"/>
      <c r="DJ170" s="925"/>
      <c r="DK170" s="925"/>
      <c r="DL170" s="925"/>
      <c r="DM170" s="925"/>
      <c r="DN170" s="925"/>
      <c r="DO170" s="925"/>
      <c r="DP170" s="925"/>
      <c r="DQ170" s="924"/>
      <c r="DR170" s="925"/>
      <c r="DS170" s="925"/>
      <c r="DT170" s="925"/>
      <c r="DV170" s="925"/>
      <c r="DW170" s="925"/>
      <c r="DX170" s="925"/>
      <c r="DY170" s="925"/>
      <c r="DZ170" s="925"/>
      <c r="EA170" s="925"/>
      <c r="EB170" s="925"/>
      <c r="EC170" s="925"/>
      <c r="ED170" s="925"/>
      <c r="EE170" s="925"/>
      <c r="EF170" s="925"/>
      <c r="EG170" s="925"/>
      <c r="EH170" s="925"/>
      <c r="EI170" s="925"/>
      <c r="EJ170" s="925"/>
      <c r="EK170" s="925"/>
      <c r="EL170" s="925"/>
      <c r="EM170" s="925"/>
      <c r="EN170" s="925"/>
      <c r="EO170" s="925"/>
      <c r="EP170" s="925"/>
      <c r="EQ170" s="925"/>
      <c r="ER170" s="925"/>
      <c r="ES170" s="925"/>
      <c r="ET170" s="925"/>
      <c r="EV170" s="924"/>
      <c r="EW170" s="925"/>
      <c r="EX170" s="925"/>
      <c r="EY170" s="925"/>
    </row>
    <row r="171" spans="1:155" s="927" customFormat="1" ht="15.75" x14ac:dyDescent="0.25">
      <c r="A171" s="912" t="s">
        <v>360</v>
      </c>
      <c r="B171" s="913" t="s">
        <v>1412</v>
      </c>
      <c r="C171" s="914">
        <v>4</v>
      </c>
      <c r="D171" s="914">
        <v>4856</v>
      </c>
      <c r="E171" s="915">
        <v>1.0549999999999999</v>
      </c>
      <c r="F171" s="916">
        <f t="shared" si="77"/>
        <v>5124</v>
      </c>
      <c r="G171" s="915">
        <v>1.01</v>
      </c>
      <c r="H171" s="916">
        <f t="shared" si="78"/>
        <v>5176</v>
      </c>
      <c r="I171" s="917">
        <f t="shared" si="79"/>
        <v>20704</v>
      </c>
      <c r="J171" s="918">
        <f t="shared" si="80"/>
        <v>0</v>
      </c>
      <c r="K171" s="919"/>
      <c r="L171" s="917">
        <f t="shared" si="81"/>
        <v>0</v>
      </c>
      <c r="M171" s="918">
        <f t="shared" si="82"/>
        <v>0</v>
      </c>
      <c r="N171" s="919"/>
      <c r="O171" s="917">
        <f t="shared" si="83"/>
        <v>0</v>
      </c>
      <c r="P171" s="918">
        <f t="shared" si="84"/>
        <v>0</v>
      </c>
      <c r="Q171" s="919"/>
      <c r="R171" s="917">
        <f t="shared" si="85"/>
        <v>0</v>
      </c>
      <c r="S171" s="918">
        <f t="shared" si="86"/>
        <v>0</v>
      </c>
      <c r="T171" s="919"/>
      <c r="U171" s="917">
        <f t="shared" si="87"/>
        <v>0</v>
      </c>
      <c r="V171" s="918">
        <f t="shared" si="88"/>
        <v>0</v>
      </c>
      <c r="W171" s="919"/>
      <c r="X171" s="917">
        <f t="shared" si="89"/>
        <v>0</v>
      </c>
      <c r="Y171" s="918">
        <f t="shared" si="90"/>
        <v>0</v>
      </c>
      <c r="Z171" s="919"/>
      <c r="AA171" s="917">
        <f t="shared" si="91"/>
        <v>0</v>
      </c>
      <c r="AB171" s="918">
        <f t="shared" si="92"/>
        <v>0</v>
      </c>
      <c r="AC171" s="919"/>
      <c r="AD171" s="917">
        <f t="shared" si="93"/>
        <v>0</v>
      </c>
      <c r="AE171" s="918">
        <f t="shared" si="94"/>
        <v>0</v>
      </c>
      <c r="AF171" s="919"/>
      <c r="AG171" s="917">
        <f t="shared" si="95"/>
        <v>0</v>
      </c>
      <c r="AH171" s="918">
        <f t="shared" si="96"/>
        <v>0</v>
      </c>
      <c r="AI171" s="919"/>
      <c r="AJ171" s="917">
        <f t="shared" si="97"/>
        <v>0</v>
      </c>
      <c r="AK171" s="918">
        <f t="shared" si="98"/>
        <v>0</v>
      </c>
      <c r="AL171" s="919"/>
      <c r="AM171" s="917">
        <f t="shared" si="99"/>
        <v>0</v>
      </c>
      <c r="AN171" s="920">
        <v>19242</v>
      </c>
      <c r="AO171" s="917">
        <f t="shared" si="100"/>
        <v>56264</v>
      </c>
      <c r="AP171" s="920">
        <v>1060.29</v>
      </c>
      <c r="AQ171" s="916">
        <f t="shared" si="101"/>
        <v>4241.16</v>
      </c>
      <c r="AR171" s="917">
        <f t="shared" si="102"/>
        <v>81209.16</v>
      </c>
      <c r="AS171" s="916">
        <v>12</v>
      </c>
      <c r="AT171" s="921">
        <f t="shared" si="103"/>
        <v>974509.92</v>
      </c>
      <c r="AU171" s="920">
        <f t="shared" si="144"/>
        <v>82833.34</v>
      </c>
      <c r="AV171" s="922">
        <f t="shared" si="104"/>
        <v>9745.1</v>
      </c>
      <c r="AW171" s="921">
        <f t="shared" si="105"/>
        <v>1067088.3600000001</v>
      </c>
      <c r="AX171" s="921">
        <f t="shared" si="106"/>
        <v>322260.68</v>
      </c>
      <c r="AY171" s="921">
        <f t="shared" si="107"/>
        <v>1389349.04</v>
      </c>
      <c r="AZ171" s="923">
        <f t="shared" si="108"/>
        <v>1067.0999999999999</v>
      </c>
      <c r="BA171" s="923">
        <f t="shared" si="109"/>
        <v>322.3</v>
      </c>
      <c r="BB171" s="923">
        <f t="shared" si="110"/>
        <v>1389.4</v>
      </c>
      <c r="BC171" s="915">
        <v>0.95</v>
      </c>
      <c r="BD171" s="923">
        <f t="shared" si="111"/>
        <v>1013.7</v>
      </c>
      <c r="BE171" s="923">
        <f t="shared" si="112"/>
        <v>306.10000000000002</v>
      </c>
      <c r="BF171" s="923">
        <f t="shared" si="113"/>
        <v>1319.8</v>
      </c>
      <c r="BG171" s="924">
        <f>'[3]свод (2024)'!$B$116</f>
        <v>0.99758349999999996</v>
      </c>
      <c r="BH171" s="923">
        <f t="shared" si="114"/>
        <v>1011.3</v>
      </c>
      <c r="BI171" s="923">
        <f t="shared" si="115"/>
        <v>305.39999999999998</v>
      </c>
      <c r="BJ171" s="923">
        <f t="shared" si="116"/>
        <v>1316.7</v>
      </c>
      <c r="BK171" s="925">
        <f t="shared" si="117"/>
        <v>-55.8</v>
      </c>
      <c r="BL171" s="925">
        <f t="shared" si="117"/>
        <v>-16.899999999999999</v>
      </c>
      <c r="BM171" s="925">
        <f t="shared" si="118"/>
        <v>-72.7</v>
      </c>
      <c r="BN171" s="925">
        <f t="shared" si="119"/>
        <v>0</v>
      </c>
      <c r="BO171" s="925">
        <f t="shared" si="120"/>
        <v>0</v>
      </c>
      <c r="BP171" s="926"/>
      <c r="BQ171" s="925">
        <f t="shared" si="121"/>
        <v>1011.3</v>
      </c>
      <c r="BR171" s="925">
        <f t="shared" si="121"/>
        <v>305.39999999999998</v>
      </c>
      <c r="BS171" s="925">
        <f t="shared" si="122"/>
        <v>1316.7</v>
      </c>
      <c r="BU171" s="928"/>
      <c r="BV171" s="917"/>
      <c r="BW171" s="928"/>
      <c r="BX171" s="928"/>
      <c r="BY171" s="928"/>
      <c r="BZ171" s="917"/>
      <c r="CA171" s="928"/>
      <c r="CB171" s="917"/>
      <c r="CC171" s="928"/>
      <c r="CD171" s="928"/>
      <c r="CE171" s="928"/>
      <c r="CF171" s="929"/>
      <c r="CG171" s="928"/>
      <c r="CH171" s="928"/>
      <c r="CI171" s="928"/>
      <c r="CJ171" s="925"/>
      <c r="CK171" s="925"/>
      <c r="CL171" s="925"/>
      <c r="CM171" s="925"/>
      <c r="CN171" s="925"/>
      <c r="CO171" s="925"/>
      <c r="CP171" s="925"/>
      <c r="CQ171" s="925"/>
      <c r="CR171" s="925"/>
      <c r="CS171" s="917"/>
      <c r="CT171" s="928"/>
      <c r="CU171" s="928"/>
      <c r="CV171" s="928"/>
      <c r="CX171" s="925"/>
      <c r="CY171" s="925"/>
      <c r="CZ171" s="925"/>
      <c r="DB171" s="925"/>
      <c r="DC171" s="925"/>
      <c r="DD171" s="925"/>
      <c r="DE171" s="925"/>
      <c r="DF171" s="925"/>
      <c r="DG171" s="925"/>
      <c r="DH171" s="925"/>
      <c r="DI171" s="925"/>
      <c r="DJ171" s="925"/>
      <c r="DK171" s="925"/>
      <c r="DL171" s="925"/>
      <c r="DM171" s="925"/>
      <c r="DN171" s="925"/>
      <c r="DO171" s="925"/>
      <c r="DP171" s="925"/>
      <c r="DQ171" s="924"/>
      <c r="DR171" s="925"/>
      <c r="DS171" s="925"/>
      <c r="DT171" s="925"/>
      <c r="DV171" s="925"/>
      <c r="DW171" s="925"/>
      <c r="DX171" s="925"/>
      <c r="DY171" s="925"/>
      <c r="DZ171" s="925"/>
      <c r="EA171" s="925"/>
      <c r="EB171" s="925"/>
      <c r="EC171" s="925"/>
      <c r="ED171" s="925"/>
      <c r="EE171" s="925"/>
      <c r="EF171" s="925"/>
      <c r="EG171" s="925"/>
      <c r="EH171" s="925"/>
      <c r="EI171" s="925"/>
      <c r="EJ171" s="925"/>
      <c r="EK171" s="925"/>
      <c r="EL171" s="925"/>
      <c r="EM171" s="925"/>
      <c r="EN171" s="925"/>
      <c r="EO171" s="925"/>
      <c r="EP171" s="925"/>
      <c r="EQ171" s="925"/>
      <c r="ER171" s="925"/>
      <c r="ES171" s="925"/>
      <c r="ET171" s="925"/>
      <c r="EV171" s="924"/>
      <c r="EW171" s="925"/>
      <c r="EX171" s="925"/>
      <c r="EY171" s="925"/>
    </row>
    <row r="172" spans="1:155" s="927" customFormat="1" ht="15.75" x14ac:dyDescent="0.25">
      <c r="A172" s="912" t="s">
        <v>360</v>
      </c>
      <c r="B172" s="913" t="s">
        <v>35</v>
      </c>
      <c r="C172" s="914">
        <v>37.979999999999997</v>
      </c>
      <c r="D172" s="914">
        <v>13132</v>
      </c>
      <c r="E172" s="915">
        <v>1.0549999999999999</v>
      </c>
      <c r="F172" s="916">
        <f t="shared" si="77"/>
        <v>13855</v>
      </c>
      <c r="G172" s="915">
        <v>1.01</v>
      </c>
      <c r="H172" s="916">
        <f t="shared" si="78"/>
        <v>13994</v>
      </c>
      <c r="I172" s="917">
        <f t="shared" si="79"/>
        <v>531492.12</v>
      </c>
      <c r="J172" s="918">
        <f t="shared" si="80"/>
        <v>0.16883999999999999</v>
      </c>
      <c r="K172" s="919">
        <v>84208.95</v>
      </c>
      <c r="L172" s="917">
        <f t="shared" si="81"/>
        <v>89737.13</v>
      </c>
      <c r="M172" s="918">
        <f t="shared" si="82"/>
        <v>0</v>
      </c>
      <c r="N172" s="919"/>
      <c r="O172" s="917">
        <f t="shared" si="83"/>
        <v>0</v>
      </c>
      <c r="P172" s="918">
        <f t="shared" si="84"/>
        <v>0</v>
      </c>
      <c r="Q172" s="919"/>
      <c r="R172" s="917">
        <f t="shared" si="85"/>
        <v>0</v>
      </c>
      <c r="S172" s="918">
        <f t="shared" si="86"/>
        <v>0</v>
      </c>
      <c r="T172" s="919"/>
      <c r="U172" s="917">
        <f t="shared" si="87"/>
        <v>0</v>
      </c>
      <c r="V172" s="918">
        <f t="shared" si="88"/>
        <v>0</v>
      </c>
      <c r="W172" s="919"/>
      <c r="X172" s="917">
        <f t="shared" si="89"/>
        <v>0</v>
      </c>
      <c r="Y172" s="918">
        <f t="shared" si="90"/>
        <v>0</v>
      </c>
      <c r="Z172" s="919"/>
      <c r="AA172" s="917">
        <f t="shared" si="91"/>
        <v>0</v>
      </c>
      <c r="AB172" s="918">
        <f t="shared" si="92"/>
        <v>0.14965999999999999</v>
      </c>
      <c r="AC172" s="919">
        <v>74642.289999999994</v>
      </c>
      <c r="AD172" s="917">
        <f t="shared" si="93"/>
        <v>79543.11</v>
      </c>
      <c r="AE172" s="918">
        <f t="shared" si="94"/>
        <v>1.618E-2</v>
      </c>
      <c r="AF172" s="919">
        <v>8069.61</v>
      </c>
      <c r="AG172" s="917">
        <f t="shared" si="95"/>
        <v>8599.5400000000009</v>
      </c>
      <c r="AH172" s="918">
        <f t="shared" si="96"/>
        <v>0</v>
      </c>
      <c r="AI172" s="919"/>
      <c r="AJ172" s="917">
        <f t="shared" si="97"/>
        <v>0</v>
      </c>
      <c r="AK172" s="918">
        <f t="shared" si="98"/>
        <v>0</v>
      </c>
      <c r="AL172" s="919"/>
      <c r="AM172" s="917">
        <f t="shared" si="99"/>
        <v>0</v>
      </c>
      <c r="AN172" s="920">
        <v>19242</v>
      </c>
      <c r="AO172" s="917">
        <f t="shared" si="100"/>
        <v>21439.26</v>
      </c>
      <c r="AP172" s="920"/>
      <c r="AQ172" s="916">
        <f t="shared" si="101"/>
        <v>0</v>
      </c>
      <c r="AR172" s="917">
        <f t="shared" si="102"/>
        <v>730811.16</v>
      </c>
      <c r="AS172" s="916">
        <v>12</v>
      </c>
      <c r="AT172" s="921">
        <f t="shared" si="103"/>
        <v>8769733.9199999999</v>
      </c>
      <c r="AU172" s="920"/>
      <c r="AV172" s="922">
        <f t="shared" si="104"/>
        <v>87697.34</v>
      </c>
      <c r="AW172" s="921">
        <f t="shared" si="105"/>
        <v>8857431.2599999998</v>
      </c>
      <c r="AX172" s="921">
        <f t="shared" si="106"/>
        <v>2674944.2400000002</v>
      </c>
      <c r="AY172" s="921">
        <f t="shared" si="107"/>
        <v>11532375.5</v>
      </c>
      <c r="AZ172" s="923">
        <f t="shared" si="108"/>
        <v>8857.4</v>
      </c>
      <c r="BA172" s="923">
        <f t="shared" si="109"/>
        <v>2674.9</v>
      </c>
      <c r="BB172" s="923">
        <f t="shared" si="110"/>
        <v>11532.3</v>
      </c>
      <c r="BC172" s="915">
        <v>0.95</v>
      </c>
      <c r="BD172" s="923">
        <f t="shared" si="111"/>
        <v>8414.5</v>
      </c>
      <c r="BE172" s="923">
        <f t="shared" si="112"/>
        <v>2541.1999999999998</v>
      </c>
      <c r="BF172" s="923">
        <f t="shared" si="113"/>
        <v>10955.7</v>
      </c>
      <c r="BG172" s="924">
        <f>'[3]свод (2024)'!$B$116</f>
        <v>0.99758349999999996</v>
      </c>
      <c r="BH172" s="923">
        <f t="shared" si="114"/>
        <v>8394.2000000000007</v>
      </c>
      <c r="BI172" s="923">
        <f t="shared" si="115"/>
        <v>2535</v>
      </c>
      <c r="BJ172" s="923">
        <f t="shared" si="116"/>
        <v>10929.2</v>
      </c>
      <c r="BK172" s="925">
        <f t="shared" si="117"/>
        <v>-463.2</v>
      </c>
      <c r="BL172" s="925">
        <f t="shared" si="117"/>
        <v>-139.9</v>
      </c>
      <c r="BM172" s="925">
        <f t="shared" si="118"/>
        <v>-603.1</v>
      </c>
      <c r="BN172" s="925">
        <f t="shared" si="119"/>
        <v>0</v>
      </c>
      <c r="BO172" s="925">
        <f t="shared" si="120"/>
        <v>0</v>
      </c>
      <c r="BP172" s="926"/>
      <c r="BQ172" s="925">
        <f t="shared" si="121"/>
        <v>8394.2000000000007</v>
      </c>
      <c r="BR172" s="925">
        <f t="shared" si="121"/>
        <v>2535</v>
      </c>
      <c r="BS172" s="925">
        <f t="shared" si="122"/>
        <v>10929.2</v>
      </c>
      <c r="BU172" s="928">
        <f t="shared" si="123"/>
        <v>37.979999999999997</v>
      </c>
      <c r="BV172" s="917"/>
      <c r="BW172" s="928"/>
      <c r="BX172" s="928">
        <f t="shared" si="124"/>
        <v>8857431.2599999998</v>
      </c>
      <c r="BY172" s="928"/>
      <c r="BZ172" s="917"/>
      <c r="CA172" s="928"/>
      <c r="CB172" s="917"/>
      <c r="CC172" s="928"/>
      <c r="CD172" s="928"/>
      <c r="CE172" s="928"/>
      <c r="CF172" s="929">
        <f t="shared" ref="CF172:CF174" si="145">CC$184/BU$184*BU172</f>
        <v>2993967.73</v>
      </c>
      <c r="CG172" s="928"/>
      <c r="CH172" s="928"/>
      <c r="CI172" s="928"/>
      <c r="CJ172" s="925"/>
      <c r="CK172" s="925"/>
      <c r="CL172" s="925"/>
      <c r="CM172" s="925"/>
      <c r="CN172" s="925"/>
      <c r="CO172" s="925"/>
      <c r="CP172" s="925"/>
      <c r="CQ172" s="925"/>
      <c r="CR172" s="925"/>
      <c r="CS172" s="917"/>
      <c r="CT172" s="928"/>
      <c r="CU172" s="928"/>
      <c r="CV172" s="928"/>
      <c r="CX172" s="925"/>
      <c r="CY172" s="925"/>
      <c r="CZ172" s="925"/>
      <c r="DB172" s="925"/>
      <c r="DC172" s="925"/>
      <c r="DD172" s="925"/>
      <c r="DE172" s="925"/>
      <c r="DF172" s="925"/>
      <c r="DG172" s="925"/>
      <c r="DH172" s="925"/>
      <c r="DI172" s="925"/>
      <c r="DJ172" s="925"/>
      <c r="DK172" s="925"/>
      <c r="DL172" s="925"/>
      <c r="DM172" s="925"/>
      <c r="DN172" s="925"/>
      <c r="DO172" s="925"/>
      <c r="DP172" s="925"/>
      <c r="DQ172" s="924"/>
      <c r="DR172" s="925"/>
      <c r="DS172" s="925"/>
      <c r="DT172" s="925"/>
      <c r="DV172" s="925"/>
      <c r="DW172" s="925"/>
      <c r="DX172" s="925"/>
      <c r="DY172" s="925"/>
      <c r="DZ172" s="925"/>
      <c r="EA172" s="925"/>
      <c r="EB172" s="925"/>
      <c r="EC172" s="925"/>
      <c r="ED172" s="925"/>
      <c r="EE172" s="925"/>
      <c r="EF172" s="925"/>
      <c r="EG172" s="925"/>
      <c r="EH172" s="925"/>
      <c r="EI172" s="925"/>
      <c r="EJ172" s="925"/>
      <c r="EK172" s="925"/>
      <c r="EL172" s="925"/>
      <c r="EM172" s="925"/>
      <c r="EN172" s="925"/>
      <c r="EO172" s="925"/>
      <c r="EP172" s="925"/>
      <c r="EQ172" s="925"/>
      <c r="ER172" s="925"/>
      <c r="ES172" s="925"/>
      <c r="ET172" s="925"/>
      <c r="EV172" s="924"/>
      <c r="EW172" s="925"/>
      <c r="EX172" s="925"/>
      <c r="EY172" s="925"/>
    </row>
    <row r="173" spans="1:155" s="927" customFormat="1" ht="15.75" x14ac:dyDescent="0.25">
      <c r="A173" s="912" t="s">
        <v>360</v>
      </c>
      <c r="B173" s="913" t="s">
        <v>37</v>
      </c>
      <c r="C173" s="914">
        <v>6.5</v>
      </c>
      <c r="D173" s="914">
        <v>13132</v>
      </c>
      <c r="E173" s="915">
        <v>1.0549999999999999</v>
      </c>
      <c r="F173" s="916">
        <f t="shared" si="77"/>
        <v>13855</v>
      </c>
      <c r="G173" s="915">
        <v>1.01</v>
      </c>
      <c r="H173" s="916">
        <f t="shared" si="78"/>
        <v>13994</v>
      </c>
      <c r="I173" s="917">
        <f t="shared" si="79"/>
        <v>90961</v>
      </c>
      <c r="J173" s="918">
        <f t="shared" si="80"/>
        <v>0.13461999999999999</v>
      </c>
      <c r="K173" s="919">
        <v>11490.5</v>
      </c>
      <c r="L173" s="917">
        <f t="shared" si="81"/>
        <v>12245.17</v>
      </c>
      <c r="M173" s="918">
        <f t="shared" si="82"/>
        <v>0</v>
      </c>
      <c r="N173" s="919"/>
      <c r="O173" s="917">
        <f t="shared" si="83"/>
        <v>0</v>
      </c>
      <c r="P173" s="918">
        <f t="shared" si="84"/>
        <v>0</v>
      </c>
      <c r="Q173" s="919"/>
      <c r="R173" s="917">
        <f t="shared" si="85"/>
        <v>0</v>
      </c>
      <c r="S173" s="918">
        <f t="shared" si="86"/>
        <v>0</v>
      </c>
      <c r="T173" s="919"/>
      <c r="U173" s="917">
        <f t="shared" si="87"/>
        <v>0</v>
      </c>
      <c r="V173" s="918">
        <f t="shared" si="88"/>
        <v>0</v>
      </c>
      <c r="W173" s="919"/>
      <c r="X173" s="917">
        <f t="shared" si="89"/>
        <v>0</v>
      </c>
      <c r="Y173" s="918">
        <f t="shared" si="90"/>
        <v>0</v>
      </c>
      <c r="Z173" s="919"/>
      <c r="AA173" s="917">
        <f t="shared" si="91"/>
        <v>0</v>
      </c>
      <c r="AB173" s="918">
        <f t="shared" si="92"/>
        <v>0.12307999999999999</v>
      </c>
      <c r="AC173" s="919">
        <v>10505.6</v>
      </c>
      <c r="AD173" s="917">
        <f t="shared" si="93"/>
        <v>11195.48</v>
      </c>
      <c r="AE173" s="918">
        <f t="shared" si="94"/>
        <v>7.6899999999999998E-3</v>
      </c>
      <c r="AF173" s="919">
        <v>656.6</v>
      </c>
      <c r="AG173" s="917">
        <f t="shared" si="95"/>
        <v>699.49</v>
      </c>
      <c r="AH173" s="918">
        <f t="shared" si="96"/>
        <v>0</v>
      </c>
      <c r="AI173" s="919"/>
      <c r="AJ173" s="917">
        <f t="shared" si="97"/>
        <v>0</v>
      </c>
      <c r="AK173" s="918">
        <f t="shared" si="98"/>
        <v>0</v>
      </c>
      <c r="AL173" s="919"/>
      <c r="AM173" s="917">
        <f t="shared" si="99"/>
        <v>0</v>
      </c>
      <c r="AN173" s="920">
        <v>19242</v>
      </c>
      <c r="AO173" s="917">
        <f t="shared" si="100"/>
        <v>9971.86</v>
      </c>
      <c r="AP173" s="920"/>
      <c r="AQ173" s="916">
        <f t="shared" si="101"/>
        <v>0</v>
      </c>
      <c r="AR173" s="917">
        <f t="shared" si="102"/>
        <v>125073</v>
      </c>
      <c r="AS173" s="916">
        <v>12</v>
      </c>
      <c r="AT173" s="921">
        <f t="shared" si="103"/>
        <v>1500876</v>
      </c>
      <c r="AU173" s="920"/>
      <c r="AV173" s="922">
        <f t="shared" si="104"/>
        <v>15008.76</v>
      </c>
      <c r="AW173" s="921">
        <f t="shared" si="105"/>
        <v>1515884.76</v>
      </c>
      <c r="AX173" s="921">
        <f t="shared" si="106"/>
        <v>457797.2</v>
      </c>
      <c r="AY173" s="921">
        <f t="shared" si="107"/>
        <v>1973681.96</v>
      </c>
      <c r="AZ173" s="923">
        <f t="shared" si="108"/>
        <v>1515.9</v>
      </c>
      <c r="BA173" s="923">
        <f t="shared" si="109"/>
        <v>457.8</v>
      </c>
      <c r="BB173" s="923">
        <f t="shared" si="110"/>
        <v>1973.7</v>
      </c>
      <c r="BC173" s="915">
        <v>0.95</v>
      </c>
      <c r="BD173" s="923">
        <f t="shared" si="111"/>
        <v>1440.1</v>
      </c>
      <c r="BE173" s="923">
        <f t="shared" si="112"/>
        <v>434.9</v>
      </c>
      <c r="BF173" s="923">
        <f t="shared" si="113"/>
        <v>1875</v>
      </c>
      <c r="BG173" s="924">
        <f>'[3]свод (2024)'!$B$116</f>
        <v>0.99758349999999996</v>
      </c>
      <c r="BH173" s="923">
        <f t="shared" si="114"/>
        <v>1436.6</v>
      </c>
      <c r="BI173" s="923">
        <f t="shared" si="115"/>
        <v>433.9</v>
      </c>
      <c r="BJ173" s="923">
        <f t="shared" si="116"/>
        <v>1870.5</v>
      </c>
      <c r="BK173" s="925">
        <f t="shared" si="117"/>
        <v>-79.3</v>
      </c>
      <c r="BL173" s="925">
        <f t="shared" si="117"/>
        <v>-23.9</v>
      </c>
      <c r="BM173" s="925">
        <f t="shared" si="118"/>
        <v>-103.2</v>
      </c>
      <c r="BN173" s="925">
        <f t="shared" si="119"/>
        <v>0</v>
      </c>
      <c r="BO173" s="925">
        <f t="shared" si="120"/>
        <v>0</v>
      </c>
      <c r="BP173" s="926"/>
      <c r="BQ173" s="925">
        <f t="shared" si="121"/>
        <v>1436.6</v>
      </c>
      <c r="BR173" s="925">
        <f t="shared" si="121"/>
        <v>433.9</v>
      </c>
      <c r="BS173" s="925">
        <f t="shared" si="122"/>
        <v>1870.5</v>
      </c>
      <c r="BU173" s="928">
        <f t="shared" si="123"/>
        <v>6.5</v>
      </c>
      <c r="BV173" s="917"/>
      <c r="BW173" s="928"/>
      <c r="BX173" s="928">
        <f t="shared" si="124"/>
        <v>1515884.76</v>
      </c>
      <c r="BY173" s="928"/>
      <c r="BZ173" s="917"/>
      <c r="CA173" s="928"/>
      <c r="CB173" s="917"/>
      <c r="CC173" s="928"/>
      <c r="CD173" s="928"/>
      <c r="CE173" s="928"/>
      <c r="CF173" s="929">
        <f t="shared" si="145"/>
        <v>512395.74</v>
      </c>
      <c r="CG173" s="928"/>
      <c r="CH173" s="928"/>
      <c r="CI173" s="928"/>
      <c r="CJ173" s="925"/>
      <c r="CK173" s="925"/>
      <c r="CL173" s="925"/>
      <c r="CM173" s="925"/>
      <c r="CN173" s="925"/>
      <c r="CO173" s="925"/>
      <c r="CP173" s="925"/>
      <c r="CQ173" s="925"/>
      <c r="CR173" s="925"/>
      <c r="CS173" s="917"/>
      <c r="CT173" s="928"/>
      <c r="CU173" s="928"/>
      <c r="CV173" s="928"/>
      <c r="CX173" s="925"/>
      <c r="CY173" s="925"/>
      <c r="CZ173" s="925"/>
      <c r="DB173" s="925"/>
      <c r="DC173" s="925"/>
      <c r="DD173" s="925"/>
      <c r="DE173" s="925"/>
      <c r="DF173" s="925"/>
      <c r="DG173" s="925"/>
      <c r="DH173" s="925"/>
      <c r="DI173" s="925"/>
      <c r="DJ173" s="925"/>
      <c r="DK173" s="925"/>
      <c r="DL173" s="925"/>
      <c r="DM173" s="925"/>
      <c r="DN173" s="925"/>
      <c r="DO173" s="925"/>
      <c r="DP173" s="925"/>
      <c r="DQ173" s="924"/>
      <c r="DR173" s="925"/>
      <c r="DS173" s="925"/>
      <c r="DT173" s="925"/>
      <c r="DV173" s="925"/>
      <c r="DW173" s="925"/>
      <c r="DX173" s="925"/>
      <c r="DY173" s="925"/>
      <c r="DZ173" s="925"/>
      <c r="EA173" s="925"/>
      <c r="EB173" s="925"/>
      <c r="EC173" s="925"/>
      <c r="ED173" s="925"/>
      <c r="EE173" s="925"/>
      <c r="EF173" s="925"/>
      <c r="EG173" s="925"/>
      <c r="EH173" s="925"/>
      <c r="EI173" s="925"/>
      <c r="EJ173" s="925"/>
      <c r="EK173" s="925"/>
      <c r="EL173" s="925"/>
      <c r="EM173" s="925"/>
      <c r="EN173" s="925"/>
      <c r="EO173" s="925"/>
      <c r="EP173" s="925"/>
      <c r="EQ173" s="925"/>
      <c r="ER173" s="925"/>
      <c r="ES173" s="925"/>
      <c r="ET173" s="925"/>
      <c r="EV173" s="924"/>
      <c r="EW173" s="925"/>
      <c r="EX173" s="925"/>
      <c r="EY173" s="925"/>
    </row>
    <row r="174" spans="1:155" s="927" customFormat="1" ht="15.75" x14ac:dyDescent="0.25">
      <c r="A174" s="912" t="s">
        <v>360</v>
      </c>
      <c r="B174" s="913" t="s">
        <v>1386</v>
      </c>
      <c r="C174" s="914">
        <v>2</v>
      </c>
      <c r="D174" s="914">
        <v>13772</v>
      </c>
      <c r="E174" s="915">
        <v>1.0549999999999999</v>
      </c>
      <c r="F174" s="916">
        <f t="shared" si="77"/>
        <v>14530</v>
      </c>
      <c r="G174" s="915">
        <v>1.01</v>
      </c>
      <c r="H174" s="916">
        <f t="shared" si="78"/>
        <v>14676</v>
      </c>
      <c r="I174" s="917">
        <f t="shared" si="79"/>
        <v>29352</v>
      </c>
      <c r="J174" s="918">
        <f t="shared" si="80"/>
        <v>0.17499999999999999</v>
      </c>
      <c r="K174" s="919">
        <v>4820.2</v>
      </c>
      <c r="L174" s="917">
        <f t="shared" si="81"/>
        <v>5136.6000000000004</v>
      </c>
      <c r="M174" s="918">
        <f t="shared" si="82"/>
        <v>0</v>
      </c>
      <c r="N174" s="919"/>
      <c r="O174" s="917">
        <f t="shared" si="83"/>
        <v>0</v>
      </c>
      <c r="P174" s="918">
        <f t="shared" si="84"/>
        <v>0</v>
      </c>
      <c r="Q174" s="919"/>
      <c r="R174" s="917">
        <f t="shared" si="85"/>
        <v>0</v>
      </c>
      <c r="S174" s="918">
        <f t="shared" si="86"/>
        <v>0</v>
      </c>
      <c r="T174" s="919"/>
      <c r="U174" s="917">
        <f t="shared" si="87"/>
        <v>0</v>
      </c>
      <c r="V174" s="918">
        <f t="shared" si="88"/>
        <v>0</v>
      </c>
      <c r="W174" s="919"/>
      <c r="X174" s="917">
        <f t="shared" si="89"/>
        <v>0</v>
      </c>
      <c r="Y174" s="918">
        <f t="shared" si="90"/>
        <v>0</v>
      </c>
      <c r="Z174" s="919"/>
      <c r="AA174" s="917">
        <f t="shared" si="91"/>
        <v>0</v>
      </c>
      <c r="AB174" s="918">
        <f t="shared" si="92"/>
        <v>0.17499999999999999</v>
      </c>
      <c r="AC174" s="919">
        <v>4820.2</v>
      </c>
      <c r="AD174" s="917">
        <f t="shared" si="93"/>
        <v>5136.6000000000004</v>
      </c>
      <c r="AE174" s="918">
        <f t="shared" si="94"/>
        <v>0</v>
      </c>
      <c r="AF174" s="919"/>
      <c r="AG174" s="917">
        <f t="shared" si="95"/>
        <v>0</v>
      </c>
      <c r="AH174" s="918">
        <f t="shared" si="96"/>
        <v>0</v>
      </c>
      <c r="AI174" s="919"/>
      <c r="AJ174" s="917">
        <f t="shared" si="97"/>
        <v>0</v>
      </c>
      <c r="AK174" s="918">
        <f t="shared" si="98"/>
        <v>0</v>
      </c>
      <c r="AL174" s="919"/>
      <c r="AM174" s="917">
        <f t="shared" si="99"/>
        <v>0</v>
      </c>
      <c r="AN174" s="920">
        <v>19242</v>
      </c>
      <c r="AO174" s="917">
        <f t="shared" si="100"/>
        <v>0</v>
      </c>
      <c r="AP174" s="920"/>
      <c r="AQ174" s="916">
        <f t="shared" si="101"/>
        <v>0</v>
      </c>
      <c r="AR174" s="917">
        <f t="shared" si="102"/>
        <v>39625.199999999997</v>
      </c>
      <c r="AS174" s="916">
        <v>12</v>
      </c>
      <c r="AT174" s="921">
        <f t="shared" si="103"/>
        <v>475502.4</v>
      </c>
      <c r="AU174" s="920"/>
      <c r="AV174" s="922">
        <f t="shared" si="104"/>
        <v>4755.0200000000004</v>
      </c>
      <c r="AW174" s="921">
        <f t="shared" si="105"/>
        <v>480257.42</v>
      </c>
      <c r="AX174" s="921">
        <f t="shared" si="106"/>
        <v>145037.74</v>
      </c>
      <c r="AY174" s="921">
        <f t="shared" si="107"/>
        <v>625295.16</v>
      </c>
      <c r="AZ174" s="923">
        <f t="shared" si="108"/>
        <v>480.3</v>
      </c>
      <c r="BA174" s="923">
        <f t="shared" si="109"/>
        <v>145.1</v>
      </c>
      <c r="BB174" s="923">
        <f t="shared" si="110"/>
        <v>625.4</v>
      </c>
      <c r="BC174" s="915">
        <v>0.95</v>
      </c>
      <c r="BD174" s="923">
        <f t="shared" si="111"/>
        <v>456.3</v>
      </c>
      <c r="BE174" s="923">
        <f t="shared" si="112"/>
        <v>137.80000000000001</v>
      </c>
      <c r="BF174" s="923">
        <f t="shared" si="113"/>
        <v>594.1</v>
      </c>
      <c r="BG174" s="924">
        <f>'[3]свод (2024)'!$B$116</f>
        <v>0.99758349999999996</v>
      </c>
      <c r="BH174" s="923">
        <f t="shared" si="114"/>
        <v>455.2</v>
      </c>
      <c r="BI174" s="923">
        <f t="shared" si="115"/>
        <v>137.5</v>
      </c>
      <c r="BJ174" s="923">
        <f t="shared" si="116"/>
        <v>592.70000000000005</v>
      </c>
      <c r="BK174" s="925">
        <f t="shared" si="117"/>
        <v>-25.1</v>
      </c>
      <c r="BL174" s="925">
        <f t="shared" si="117"/>
        <v>-7.6</v>
      </c>
      <c r="BM174" s="925">
        <f t="shared" si="118"/>
        <v>-32.700000000000003</v>
      </c>
      <c r="BN174" s="925">
        <f t="shared" si="119"/>
        <v>0</v>
      </c>
      <c r="BO174" s="925">
        <f t="shared" si="120"/>
        <v>0</v>
      </c>
      <c r="BP174" s="926"/>
      <c r="BQ174" s="925">
        <f t="shared" si="121"/>
        <v>455.2</v>
      </c>
      <c r="BR174" s="925">
        <f t="shared" si="121"/>
        <v>137.5</v>
      </c>
      <c r="BS174" s="925">
        <f t="shared" si="122"/>
        <v>592.70000000000005</v>
      </c>
      <c r="BU174" s="928">
        <f t="shared" si="123"/>
        <v>2</v>
      </c>
      <c r="BV174" s="917"/>
      <c r="BW174" s="928"/>
      <c r="BX174" s="928">
        <f t="shared" si="124"/>
        <v>480257.42</v>
      </c>
      <c r="BY174" s="928"/>
      <c r="BZ174" s="917"/>
      <c r="CA174" s="928"/>
      <c r="CB174" s="917"/>
      <c r="CC174" s="928"/>
      <c r="CD174" s="928"/>
      <c r="CE174" s="928"/>
      <c r="CF174" s="929">
        <f t="shared" si="145"/>
        <v>157660.23000000001</v>
      </c>
      <c r="CG174" s="928"/>
      <c r="CH174" s="928"/>
      <c r="CI174" s="928"/>
      <c r="CJ174" s="925"/>
      <c r="CK174" s="925"/>
      <c r="CL174" s="925"/>
      <c r="CM174" s="925"/>
      <c r="CN174" s="925"/>
      <c r="CO174" s="925"/>
      <c r="CP174" s="925"/>
      <c r="CQ174" s="925"/>
      <c r="CR174" s="925"/>
      <c r="CS174" s="917"/>
      <c r="CT174" s="928"/>
      <c r="CU174" s="928"/>
      <c r="CV174" s="928"/>
      <c r="CX174" s="925"/>
      <c r="CY174" s="925"/>
      <c r="CZ174" s="925"/>
      <c r="DB174" s="925"/>
      <c r="DC174" s="925"/>
      <c r="DD174" s="925"/>
      <c r="DE174" s="925"/>
      <c r="DF174" s="925"/>
      <c r="DG174" s="925"/>
      <c r="DH174" s="925"/>
      <c r="DI174" s="925"/>
      <c r="DJ174" s="925"/>
      <c r="DK174" s="925"/>
      <c r="DL174" s="925"/>
      <c r="DM174" s="925"/>
      <c r="DN174" s="925"/>
      <c r="DO174" s="925"/>
      <c r="DP174" s="925"/>
      <c r="DQ174" s="924"/>
      <c r="DR174" s="925"/>
      <c r="DS174" s="925"/>
      <c r="DT174" s="925"/>
      <c r="DV174" s="925"/>
      <c r="DW174" s="925"/>
      <c r="DX174" s="925"/>
      <c r="DY174" s="925"/>
      <c r="DZ174" s="925"/>
      <c r="EA174" s="925"/>
      <c r="EB174" s="925"/>
      <c r="EC174" s="925"/>
      <c r="ED174" s="925"/>
      <c r="EE174" s="925"/>
      <c r="EF174" s="925"/>
      <c r="EG174" s="925"/>
      <c r="EH174" s="925"/>
      <c r="EI174" s="925"/>
      <c r="EJ174" s="925"/>
      <c r="EK174" s="925"/>
      <c r="EL174" s="925"/>
      <c r="EM174" s="925"/>
      <c r="EN174" s="925"/>
      <c r="EO174" s="925"/>
      <c r="EP174" s="925"/>
      <c r="EQ174" s="925"/>
      <c r="ER174" s="925"/>
      <c r="ES174" s="925"/>
      <c r="ET174" s="925"/>
      <c r="EV174" s="924"/>
      <c r="EW174" s="925"/>
      <c r="EX174" s="925"/>
      <c r="EY174" s="925"/>
    </row>
    <row r="175" spans="1:155" s="927" customFormat="1" ht="24" x14ac:dyDescent="0.25">
      <c r="A175" s="912" t="s">
        <v>360</v>
      </c>
      <c r="B175" s="913" t="s">
        <v>494</v>
      </c>
      <c r="C175" s="914">
        <v>4</v>
      </c>
      <c r="D175" s="914">
        <v>4588</v>
      </c>
      <c r="E175" s="915">
        <v>1.0549999999999999</v>
      </c>
      <c r="F175" s="916">
        <f t="shared" si="77"/>
        <v>4841</v>
      </c>
      <c r="G175" s="915">
        <v>1.01</v>
      </c>
      <c r="H175" s="916">
        <f t="shared" si="78"/>
        <v>4890</v>
      </c>
      <c r="I175" s="917">
        <f t="shared" si="79"/>
        <v>19560</v>
      </c>
      <c r="J175" s="918">
        <f t="shared" si="80"/>
        <v>0</v>
      </c>
      <c r="K175" s="919"/>
      <c r="L175" s="917">
        <f t="shared" si="81"/>
        <v>0</v>
      </c>
      <c r="M175" s="918">
        <f t="shared" si="82"/>
        <v>0</v>
      </c>
      <c r="N175" s="919"/>
      <c r="O175" s="917">
        <f t="shared" si="83"/>
        <v>0</v>
      </c>
      <c r="P175" s="918">
        <f t="shared" si="84"/>
        <v>0</v>
      </c>
      <c r="Q175" s="919"/>
      <c r="R175" s="917">
        <f t="shared" si="85"/>
        <v>0</v>
      </c>
      <c r="S175" s="918">
        <f t="shared" si="86"/>
        <v>0</v>
      </c>
      <c r="T175" s="919"/>
      <c r="U175" s="917">
        <f t="shared" si="87"/>
        <v>0</v>
      </c>
      <c r="V175" s="918">
        <f t="shared" si="88"/>
        <v>0</v>
      </c>
      <c r="W175" s="919"/>
      <c r="X175" s="917">
        <f t="shared" si="89"/>
        <v>0</v>
      </c>
      <c r="Y175" s="918">
        <f t="shared" si="90"/>
        <v>0</v>
      </c>
      <c r="Z175" s="919"/>
      <c r="AA175" s="917">
        <f t="shared" si="91"/>
        <v>0</v>
      </c>
      <c r="AB175" s="918">
        <f t="shared" si="92"/>
        <v>0</v>
      </c>
      <c r="AC175" s="919"/>
      <c r="AD175" s="917">
        <f t="shared" si="93"/>
        <v>0</v>
      </c>
      <c r="AE175" s="918">
        <f t="shared" si="94"/>
        <v>0</v>
      </c>
      <c r="AF175" s="919"/>
      <c r="AG175" s="917">
        <f t="shared" si="95"/>
        <v>0</v>
      </c>
      <c r="AH175" s="918">
        <f t="shared" si="96"/>
        <v>0</v>
      </c>
      <c r="AI175" s="919"/>
      <c r="AJ175" s="917">
        <f t="shared" si="97"/>
        <v>0</v>
      </c>
      <c r="AK175" s="918">
        <f t="shared" si="98"/>
        <v>0</v>
      </c>
      <c r="AL175" s="919"/>
      <c r="AM175" s="917">
        <f t="shared" si="99"/>
        <v>0</v>
      </c>
      <c r="AN175" s="920">
        <v>19242</v>
      </c>
      <c r="AO175" s="917">
        <f t="shared" si="100"/>
        <v>57408</v>
      </c>
      <c r="AP175" s="920"/>
      <c r="AQ175" s="916">
        <f t="shared" si="101"/>
        <v>0</v>
      </c>
      <c r="AR175" s="917">
        <f t="shared" si="102"/>
        <v>76968</v>
      </c>
      <c r="AS175" s="916">
        <v>12</v>
      </c>
      <c r="AT175" s="921">
        <f t="shared" si="103"/>
        <v>923616</v>
      </c>
      <c r="AU175" s="920"/>
      <c r="AV175" s="922">
        <f t="shared" si="104"/>
        <v>9236.16</v>
      </c>
      <c r="AW175" s="921">
        <f t="shared" si="105"/>
        <v>932852.16</v>
      </c>
      <c r="AX175" s="921">
        <f t="shared" si="106"/>
        <v>281721.34999999998</v>
      </c>
      <c r="AY175" s="921">
        <f t="shared" si="107"/>
        <v>1214573.51</v>
      </c>
      <c r="AZ175" s="923">
        <f t="shared" si="108"/>
        <v>932.9</v>
      </c>
      <c r="BA175" s="923">
        <f t="shared" si="109"/>
        <v>281.7</v>
      </c>
      <c r="BB175" s="923">
        <f t="shared" si="110"/>
        <v>1214.5999999999999</v>
      </c>
      <c r="BC175" s="915">
        <v>0.95</v>
      </c>
      <c r="BD175" s="923">
        <f t="shared" si="111"/>
        <v>886.3</v>
      </c>
      <c r="BE175" s="923">
        <f t="shared" si="112"/>
        <v>267.7</v>
      </c>
      <c r="BF175" s="923">
        <f t="shared" si="113"/>
        <v>1154</v>
      </c>
      <c r="BG175" s="924">
        <f>'[3]свод (2024)'!$B$116</f>
        <v>0.99758349999999996</v>
      </c>
      <c r="BH175" s="923">
        <f t="shared" si="114"/>
        <v>884.2</v>
      </c>
      <c r="BI175" s="923">
        <f t="shared" si="115"/>
        <v>267</v>
      </c>
      <c r="BJ175" s="923">
        <f t="shared" si="116"/>
        <v>1151.2</v>
      </c>
      <c r="BK175" s="925">
        <f t="shared" si="117"/>
        <v>-48.7</v>
      </c>
      <c r="BL175" s="925">
        <f t="shared" si="117"/>
        <v>-14.7</v>
      </c>
      <c r="BM175" s="925">
        <f t="shared" si="118"/>
        <v>-63.4</v>
      </c>
      <c r="BN175" s="925">
        <f t="shared" si="119"/>
        <v>0</v>
      </c>
      <c r="BO175" s="925">
        <f t="shared" si="120"/>
        <v>0</v>
      </c>
      <c r="BP175" s="926"/>
      <c r="BQ175" s="925">
        <f t="shared" si="121"/>
        <v>884.2</v>
      </c>
      <c r="BR175" s="925">
        <f t="shared" si="121"/>
        <v>267</v>
      </c>
      <c r="BS175" s="925">
        <f t="shared" si="122"/>
        <v>1151.2</v>
      </c>
      <c r="BU175" s="928"/>
      <c r="BV175" s="917"/>
      <c r="BW175" s="928"/>
      <c r="BX175" s="928"/>
      <c r="BY175" s="928"/>
      <c r="BZ175" s="917"/>
      <c r="CA175" s="928"/>
      <c r="CB175" s="917"/>
      <c r="CC175" s="928"/>
      <c r="CD175" s="928"/>
      <c r="CE175" s="928"/>
      <c r="CF175" s="929"/>
      <c r="CG175" s="928"/>
      <c r="CH175" s="928"/>
      <c r="CI175" s="928"/>
      <c r="CJ175" s="925"/>
      <c r="CK175" s="925"/>
      <c r="CL175" s="925"/>
      <c r="CM175" s="925"/>
      <c r="CN175" s="925"/>
      <c r="CO175" s="925"/>
      <c r="CP175" s="925"/>
      <c r="CQ175" s="925"/>
      <c r="CR175" s="925"/>
      <c r="CS175" s="917"/>
      <c r="CT175" s="928"/>
      <c r="CU175" s="928"/>
      <c r="CV175" s="928"/>
      <c r="CX175" s="925"/>
      <c r="CY175" s="925"/>
      <c r="CZ175" s="925"/>
      <c r="DB175" s="925"/>
      <c r="DC175" s="925"/>
      <c r="DD175" s="925"/>
      <c r="DE175" s="925"/>
      <c r="DF175" s="925"/>
      <c r="DG175" s="925"/>
      <c r="DH175" s="925"/>
      <c r="DI175" s="925"/>
      <c r="DJ175" s="925"/>
      <c r="DK175" s="925"/>
      <c r="DL175" s="925"/>
      <c r="DM175" s="925"/>
      <c r="DN175" s="925"/>
      <c r="DO175" s="925"/>
      <c r="DP175" s="925"/>
      <c r="DQ175" s="924"/>
      <c r="DR175" s="925"/>
      <c r="DS175" s="925"/>
      <c r="DT175" s="925"/>
      <c r="DV175" s="925"/>
      <c r="DW175" s="925"/>
      <c r="DX175" s="925"/>
      <c r="DY175" s="925"/>
      <c r="DZ175" s="925"/>
      <c r="EA175" s="925"/>
      <c r="EB175" s="925"/>
      <c r="EC175" s="925"/>
      <c r="ED175" s="925"/>
      <c r="EE175" s="925"/>
      <c r="EF175" s="925"/>
      <c r="EG175" s="925"/>
      <c r="EH175" s="925"/>
      <c r="EI175" s="925"/>
      <c r="EJ175" s="925"/>
      <c r="EK175" s="925"/>
      <c r="EL175" s="925"/>
      <c r="EM175" s="925"/>
      <c r="EN175" s="925"/>
      <c r="EO175" s="925"/>
      <c r="EP175" s="925"/>
      <c r="EQ175" s="925"/>
      <c r="ER175" s="925"/>
      <c r="ES175" s="925"/>
      <c r="ET175" s="925"/>
      <c r="EV175" s="924"/>
      <c r="EW175" s="925"/>
      <c r="EX175" s="925"/>
      <c r="EY175" s="925"/>
    </row>
    <row r="176" spans="1:155" s="927" customFormat="1" ht="15.75" x14ac:dyDescent="0.25">
      <c r="A176" s="912" t="s">
        <v>360</v>
      </c>
      <c r="B176" s="913" t="s">
        <v>41</v>
      </c>
      <c r="C176" s="914">
        <v>1</v>
      </c>
      <c r="D176" s="914">
        <v>7912</v>
      </c>
      <c r="E176" s="915">
        <v>1.0549999999999999</v>
      </c>
      <c r="F176" s="916">
        <f t="shared" si="77"/>
        <v>8348</v>
      </c>
      <c r="G176" s="915">
        <v>1.01</v>
      </c>
      <c r="H176" s="916">
        <f t="shared" si="78"/>
        <v>8432</v>
      </c>
      <c r="I176" s="917">
        <f t="shared" si="79"/>
        <v>8432</v>
      </c>
      <c r="J176" s="918">
        <f t="shared" si="80"/>
        <v>0</v>
      </c>
      <c r="K176" s="919"/>
      <c r="L176" s="917">
        <f t="shared" si="81"/>
        <v>0</v>
      </c>
      <c r="M176" s="918">
        <f t="shared" si="82"/>
        <v>0</v>
      </c>
      <c r="N176" s="919"/>
      <c r="O176" s="917">
        <f t="shared" si="83"/>
        <v>0</v>
      </c>
      <c r="P176" s="918">
        <f t="shared" si="84"/>
        <v>0</v>
      </c>
      <c r="Q176" s="919"/>
      <c r="R176" s="917">
        <f t="shared" si="85"/>
        <v>0</v>
      </c>
      <c r="S176" s="918">
        <f t="shared" si="86"/>
        <v>0</v>
      </c>
      <c r="T176" s="919"/>
      <c r="U176" s="917">
        <f t="shared" si="87"/>
        <v>0</v>
      </c>
      <c r="V176" s="918">
        <f t="shared" si="88"/>
        <v>0</v>
      </c>
      <c r="W176" s="919"/>
      <c r="X176" s="917">
        <f t="shared" si="89"/>
        <v>0</v>
      </c>
      <c r="Y176" s="918">
        <f t="shared" si="90"/>
        <v>1.4</v>
      </c>
      <c r="Z176" s="919">
        <v>11076.8</v>
      </c>
      <c r="AA176" s="917">
        <f t="shared" si="91"/>
        <v>11804.8</v>
      </c>
      <c r="AB176" s="918">
        <f t="shared" si="92"/>
        <v>0</v>
      </c>
      <c r="AC176" s="919"/>
      <c r="AD176" s="917">
        <f t="shared" si="93"/>
        <v>0</v>
      </c>
      <c r="AE176" s="918">
        <f t="shared" si="94"/>
        <v>0</v>
      </c>
      <c r="AF176" s="919"/>
      <c r="AG176" s="917">
        <f t="shared" si="95"/>
        <v>0</v>
      </c>
      <c r="AH176" s="918">
        <f t="shared" si="96"/>
        <v>0</v>
      </c>
      <c r="AI176" s="919"/>
      <c r="AJ176" s="917">
        <f t="shared" si="97"/>
        <v>0</v>
      </c>
      <c r="AK176" s="918">
        <f t="shared" si="98"/>
        <v>0</v>
      </c>
      <c r="AL176" s="919"/>
      <c r="AM176" s="917">
        <f t="shared" si="99"/>
        <v>0</v>
      </c>
      <c r="AN176" s="920">
        <v>19242</v>
      </c>
      <c r="AO176" s="917">
        <f t="shared" si="100"/>
        <v>0</v>
      </c>
      <c r="AP176" s="920"/>
      <c r="AQ176" s="916">
        <f t="shared" si="101"/>
        <v>0</v>
      </c>
      <c r="AR176" s="917">
        <f t="shared" si="102"/>
        <v>20236.8</v>
      </c>
      <c r="AS176" s="916">
        <v>12</v>
      </c>
      <c r="AT176" s="921">
        <f t="shared" si="103"/>
        <v>242841.60000000001</v>
      </c>
      <c r="AU176" s="920"/>
      <c r="AV176" s="922">
        <f t="shared" si="104"/>
        <v>2428.42</v>
      </c>
      <c r="AW176" s="921">
        <f t="shared" si="105"/>
        <v>245270.02</v>
      </c>
      <c r="AX176" s="921">
        <f t="shared" si="106"/>
        <v>74071.55</v>
      </c>
      <c r="AY176" s="921">
        <f t="shared" si="107"/>
        <v>319341.57</v>
      </c>
      <c r="AZ176" s="923">
        <f t="shared" si="108"/>
        <v>245.3</v>
      </c>
      <c r="BA176" s="923">
        <f t="shared" si="109"/>
        <v>74.099999999999994</v>
      </c>
      <c r="BB176" s="923">
        <f t="shared" si="110"/>
        <v>319.39999999999998</v>
      </c>
      <c r="BC176" s="915">
        <v>0.95</v>
      </c>
      <c r="BD176" s="923">
        <f t="shared" si="111"/>
        <v>233</v>
      </c>
      <c r="BE176" s="923">
        <f t="shared" si="112"/>
        <v>70.400000000000006</v>
      </c>
      <c r="BF176" s="923">
        <f t="shared" si="113"/>
        <v>303.39999999999998</v>
      </c>
      <c r="BG176" s="924">
        <f>'[3]свод (2024)'!$B$116</f>
        <v>0.99758349999999996</v>
      </c>
      <c r="BH176" s="923">
        <f t="shared" si="114"/>
        <v>232.4</v>
      </c>
      <c r="BI176" s="923">
        <f t="shared" si="115"/>
        <v>70.2</v>
      </c>
      <c r="BJ176" s="923">
        <f t="shared" si="116"/>
        <v>302.60000000000002</v>
      </c>
      <c r="BK176" s="925">
        <f t="shared" si="117"/>
        <v>-12.9</v>
      </c>
      <c r="BL176" s="925">
        <f t="shared" si="117"/>
        <v>-3.9</v>
      </c>
      <c r="BM176" s="925">
        <f t="shared" si="118"/>
        <v>-16.8</v>
      </c>
      <c r="BN176" s="925">
        <f t="shared" si="119"/>
        <v>0</v>
      </c>
      <c r="BO176" s="925">
        <f t="shared" si="120"/>
        <v>0</v>
      </c>
      <c r="BP176" s="926"/>
      <c r="BQ176" s="925">
        <f t="shared" si="121"/>
        <v>232.4</v>
      </c>
      <c r="BR176" s="925">
        <f t="shared" si="121"/>
        <v>70.2</v>
      </c>
      <c r="BS176" s="925">
        <f t="shared" si="122"/>
        <v>302.60000000000002</v>
      </c>
      <c r="BU176" s="928"/>
      <c r="BV176" s="917"/>
      <c r="BW176" s="928"/>
      <c r="BX176" s="928"/>
      <c r="BY176" s="928"/>
      <c r="BZ176" s="917"/>
      <c r="CA176" s="928"/>
      <c r="CB176" s="917"/>
      <c r="CC176" s="928"/>
      <c r="CD176" s="928"/>
      <c r="CE176" s="928"/>
      <c r="CF176" s="929"/>
      <c r="CG176" s="928"/>
      <c r="CH176" s="928"/>
      <c r="CI176" s="928"/>
      <c r="CJ176" s="925"/>
      <c r="CK176" s="925"/>
      <c r="CL176" s="925"/>
      <c r="CM176" s="925"/>
      <c r="CN176" s="925"/>
      <c r="CO176" s="925"/>
      <c r="CP176" s="925"/>
      <c r="CQ176" s="925"/>
      <c r="CR176" s="925"/>
      <c r="CS176" s="917"/>
      <c r="CT176" s="928"/>
      <c r="CU176" s="928"/>
      <c r="CV176" s="928"/>
      <c r="CX176" s="925"/>
      <c r="CY176" s="925"/>
      <c r="CZ176" s="925"/>
      <c r="DB176" s="925"/>
      <c r="DC176" s="925"/>
      <c r="DD176" s="925"/>
      <c r="DE176" s="925"/>
      <c r="DF176" s="925"/>
      <c r="DG176" s="925"/>
      <c r="DH176" s="925"/>
      <c r="DI176" s="925"/>
      <c r="DJ176" s="925"/>
      <c r="DK176" s="925"/>
      <c r="DL176" s="925"/>
      <c r="DM176" s="925"/>
      <c r="DN176" s="925"/>
      <c r="DO176" s="925"/>
      <c r="DP176" s="925"/>
      <c r="DQ176" s="924"/>
      <c r="DR176" s="925"/>
      <c r="DS176" s="925"/>
      <c r="DT176" s="925"/>
      <c r="DV176" s="925"/>
      <c r="DW176" s="925"/>
      <c r="DX176" s="925"/>
      <c r="DY176" s="925"/>
      <c r="DZ176" s="925"/>
      <c r="EA176" s="925"/>
      <c r="EB176" s="925"/>
      <c r="EC176" s="925"/>
      <c r="ED176" s="925"/>
      <c r="EE176" s="925"/>
      <c r="EF176" s="925"/>
      <c r="EG176" s="925"/>
      <c r="EH176" s="925"/>
      <c r="EI176" s="925"/>
      <c r="EJ176" s="925"/>
      <c r="EK176" s="925"/>
      <c r="EL176" s="925"/>
      <c r="EM176" s="925"/>
      <c r="EN176" s="925"/>
      <c r="EO176" s="925"/>
      <c r="EP176" s="925"/>
      <c r="EQ176" s="925"/>
      <c r="ER176" s="925"/>
      <c r="ES176" s="925"/>
      <c r="ET176" s="925"/>
      <c r="EV176" s="924"/>
      <c r="EW176" s="925"/>
      <c r="EX176" s="925"/>
      <c r="EY176" s="925"/>
    </row>
    <row r="177" spans="1:155" s="927" customFormat="1" ht="15.75" x14ac:dyDescent="0.25">
      <c r="A177" s="912" t="s">
        <v>360</v>
      </c>
      <c r="B177" s="913" t="s">
        <v>44</v>
      </c>
      <c r="C177" s="914">
        <v>2</v>
      </c>
      <c r="D177" s="914">
        <v>4588</v>
      </c>
      <c r="E177" s="915">
        <v>1.0549999999999999</v>
      </c>
      <c r="F177" s="916">
        <f t="shared" si="77"/>
        <v>4841</v>
      </c>
      <c r="G177" s="915">
        <v>1.01</v>
      </c>
      <c r="H177" s="916">
        <f t="shared" si="78"/>
        <v>4890</v>
      </c>
      <c r="I177" s="917">
        <f t="shared" si="79"/>
        <v>9780</v>
      </c>
      <c r="J177" s="918">
        <f t="shared" si="80"/>
        <v>0</v>
      </c>
      <c r="K177" s="919"/>
      <c r="L177" s="917">
        <f t="shared" si="81"/>
        <v>0</v>
      </c>
      <c r="M177" s="918">
        <f t="shared" si="82"/>
        <v>0</v>
      </c>
      <c r="N177" s="919"/>
      <c r="O177" s="917">
        <f t="shared" si="83"/>
        <v>0</v>
      </c>
      <c r="P177" s="918">
        <f t="shared" si="84"/>
        <v>0</v>
      </c>
      <c r="Q177" s="919"/>
      <c r="R177" s="917">
        <f t="shared" si="85"/>
        <v>0</v>
      </c>
      <c r="S177" s="918">
        <f t="shared" si="86"/>
        <v>0</v>
      </c>
      <c r="T177" s="919"/>
      <c r="U177" s="917">
        <f t="shared" si="87"/>
        <v>0</v>
      </c>
      <c r="V177" s="918">
        <f t="shared" si="88"/>
        <v>0</v>
      </c>
      <c r="W177" s="919"/>
      <c r="X177" s="917">
        <f t="shared" si="89"/>
        <v>0</v>
      </c>
      <c r="Y177" s="918">
        <f t="shared" si="90"/>
        <v>0</v>
      </c>
      <c r="Z177" s="919"/>
      <c r="AA177" s="917">
        <f t="shared" si="91"/>
        <v>0</v>
      </c>
      <c r="AB177" s="918">
        <f t="shared" si="92"/>
        <v>0</v>
      </c>
      <c r="AC177" s="919"/>
      <c r="AD177" s="917">
        <f t="shared" si="93"/>
        <v>0</v>
      </c>
      <c r="AE177" s="918">
        <f t="shared" si="94"/>
        <v>0</v>
      </c>
      <c r="AF177" s="919"/>
      <c r="AG177" s="917">
        <f t="shared" si="95"/>
        <v>0</v>
      </c>
      <c r="AH177" s="918">
        <f t="shared" si="96"/>
        <v>0</v>
      </c>
      <c r="AI177" s="919"/>
      <c r="AJ177" s="917">
        <f t="shared" si="97"/>
        <v>0</v>
      </c>
      <c r="AK177" s="918">
        <f t="shared" si="98"/>
        <v>0</v>
      </c>
      <c r="AL177" s="919"/>
      <c r="AM177" s="917">
        <f t="shared" si="99"/>
        <v>0</v>
      </c>
      <c r="AN177" s="920">
        <v>19242</v>
      </c>
      <c r="AO177" s="917">
        <f t="shared" si="100"/>
        <v>28704</v>
      </c>
      <c r="AP177" s="920"/>
      <c r="AQ177" s="916">
        <f t="shared" si="101"/>
        <v>0</v>
      </c>
      <c r="AR177" s="917">
        <f t="shared" si="102"/>
        <v>38484</v>
      </c>
      <c r="AS177" s="916">
        <v>12</v>
      </c>
      <c r="AT177" s="921">
        <f t="shared" si="103"/>
        <v>461808</v>
      </c>
      <c r="AU177" s="920"/>
      <c r="AV177" s="922">
        <f t="shared" si="104"/>
        <v>4618.08</v>
      </c>
      <c r="AW177" s="921">
        <f t="shared" si="105"/>
        <v>466426.08</v>
      </c>
      <c r="AX177" s="921">
        <f t="shared" si="106"/>
        <v>140860.68</v>
      </c>
      <c r="AY177" s="921">
        <f t="shared" si="107"/>
        <v>607286.76</v>
      </c>
      <c r="AZ177" s="923">
        <f t="shared" si="108"/>
        <v>466.4</v>
      </c>
      <c r="BA177" s="923">
        <f t="shared" si="109"/>
        <v>140.9</v>
      </c>
      <c r="BB177" s="923">
        <f t="shared" si="110"/>
        <v>607.29999999999995</v>
      </c>
      <c r="BC177" s="915">
        <v>0.95</v>
      </c>
      <c r="BD177" s="923">
        <f t="shared" si="111"/>
        <v>443.1</v>
      </c>
      <c r="BE177" s="923">
        <f t="shared" si="112"/>
        <v>133.80000000000001</v>
      </c>
      <c r="BF177" s="923">
        <f t="shared" si="113"/>
        <v>576.9</v>
      </c>
      <c r="BG177" s="924">
        <f>'[3]свод (2024)'!$B$116</f>
        <v>0.99758349999999996</v>
      </c>
      <c r="BH177" s="923">
        <f t="shared" si="114"/>
        <v>442</v>
      </c>
      <c r="BI177" s="923">
        <f t="shared" si="115"/>
        <v>133.5</v>
      </c>
      <c r="BJ177" s="923">
        <f t="shared" si="116"/>
        <v>575.5</v>
      </c>
      <c r="BK177" s="925">
        <f t="shared" si="117"/>
        <v>-24.4</v>
      </c>
      <c r="BL177" s="925">
        <f t="shared" si="117"/>
        <v>-7.4</v>
      </c>
      <c r="BM177" s="925">
        <f t="shared" si="118"/>
        <v>-31.8</v>
      </c>
      <c r="BN177" s="925">
        <f t="shared" si="119"/>
        <v>0</v>
      </c>
      <c r="BO177" s="925">
        <f t="shared" si="120"/>
        <v>0</v>
      </c>
      <c r="BP177" s="926"/>
      <c r="BQ177" s="925">
        <f t="shared" si="121"/>
        <v>442</v>
      </c>
      <c r="BR177" s="925">
        <f t="shared" si="121"/>
        <v>133.5</v>
      </c>
      <c r="BS177" s="925">
        <f t="shared" si="122"/>
        <v>575.5</v>
      </c>
      <c r="BU177" s="928"/>
      <c r="BV177" s="917"/>
      <c r="BW177" s="928"/>
      <c r="BX177" s="928"/>
      <c r="BY177" s="928"/>
      <c r="BZ177" s="917"/>
      <c r="CA177" s="928"/>
      <c r="CB177" s="917"/>
      <c r="CC177" s="928"/>
      <c r="CD177" s="928"/>
      <c r="CE177" s="928"/>
      <c r="CF177" s="929"/>
      <c r="CG177" s="928"/>
      <c r="CH177" s="928"/>
      <c r="CI177" s="928"/>
      <c r="CJ177" s="925"/>
      <c r="CK177" s="925"/>
      <c r="CL177" s="925"/>
      <c r="CM177" s="925"/>
      <c r="CN177" s="925"/>
      <c r="CO177" s="925"/>
      <c r="CP177" s="925"/>
      <c r="CQ177" s="925"/>
      <c r="CR177" s="925"/>
      <c r="CS177" s="917"/>
      <c r="CT177" s="928"/>
      <c r="CU177" s="928"/>
      <c r="CV177" s="928"/>
      <c r="CX177" s="925"/>
      <c r="CY177" s="925"/>
      <c r="CZ177" s="925"/>
      <c r="DB177" s="925"/>
      <c r="DC177" s="925"/>
      <c r="DD177" s="925"/>
      <c r="DE177" s="925"/>
      <c r="DF177" s="925"/>
      <c r="DG177" s="925"/>
      <c r="DH177" s="925"/>
      <c r="DI177" s="925"/>
      <c r="DJ177" s="925"/>
      <c r="DK177" s="925"/>
      <c r="DL177" s="925"/>
      <c r="DM177" s="925"/>
      <c r="DN177" s="925"/>
      <c r="DO177" s="925"/>
      <c r="DP177" s="925"/>
      <c r="DQ177" s="924"/>
      <c r="DR177" s="925"/>
      <c r="DS177" s="925"/>
      <c r="DT177" s="925"/>
      <c r="DV177" s="925"/>
      <c r="DW177" s="925"/>
      <c r="DX177" s="925"/>
      <c r="DY177" s="925"/>
      <c r="DZ177" s="925"/>
      <c r="EA177" s="925"/>
      <c r="EB177" s="925"/>
      <c r="EC177" s="925"/>
      <c r="ED177" s="925"/>
      <c r="EE177" s="925"/>
      <c r="EF177" s="925"/>
      <c r="EG177" s="925"/>
      <c r="EH177" s="925"/>
      <c r="EI177" s="925"/>
      <c r="EJ177" s="925"/>
      <c r="EK177" s="925"/>
      <c r="EL177" s="925"/>
      <c r="EM177" s="925"/>
      <c r="EN177" s="925"/>
      <c r="EO177" s="925"/>
      <c r="EP177" s="925"/>
      <c r="EQ177" s="925"/>
      <c r="ER177" s="925"/>
      <c r="ES177" s="925"/>
      <c r="ET177" s="925"/>
      <c r="EV177" s="924"/>
      <c r="EW177" s="925"/>
      <c r="EX177" s="925"/>
      <c r="EY177" s="925"/>
    </row>
    <row r="178" spans="1:155" s="927" customFormat="1" ht="15.75" x14ac:dyDescent="0.25">
      <c r="A178" s="912" t="s">
        <v>360</v>
      </c>
      <c r="B178" s="913" t="s">
        <v>34</v>
      </c>
      <c r="C178" s="914">
        <v>1</v>
      </c>
      <c r="D178" s="914">
        <v>13132</v>
      </c>
      <c r="E178" s="915">
        <v>1.0549999999999999</v>
      </c>
      <c r="F178" s="916">
        <f t="shared" si="77"/>
        <v>13855</v>
      </c>
      <c r="G178" s="915">
        <v>1.01</v>
      </c>
      <c r="H178" s="916">
        <f t="shared" si="78"/>
        <v>13994</v>
      </c>
      <c r="I178" s="917">
        <f t="shared" si="79"/>
        <v>13994</v>
      </c>
      <c r="J178" s="918">
        <f t="shared" si="80"/>
        <v>0.1</v>
      </c>
      <c r="K178" s="919">
        <v>1313.2</v>
      </c>
      <c r="L178" s="917">
        <f t="shared" si="81"/>
        <v>1399.4</v>
      </c>
      <c r="M178" s="918">
        <f t="shared" si="82"/>
        <v>0</v>
      </c>
      <c r="N178" s="919"/>
      <c r="O178" s="917">
        <f t="shared" si="83"/>
        <v>0</v>
      </c>
      <c r="P178" s="918">
        <f t="shared" si="84"/>
        <v>0</v>
      </c>
      <c r="Q178" s="919"/>
      <c r="R178" s="917">
        <f t="shared" si="85"/>
        <v>0</v>
      </c>
      <c r="S178" s="918">
        <f t="shared" si="86"/>
        <v>0</v>
      </c>
      <c r="T178" s="919"/>
      <c r="U178" s="917">
        <f t="shared" si="87"/>
        <v>0</v>
      </c>
      <c r="V178" s="918">
        <f t="shared" si="88"/>
        <v>0</v>
      </c>
      <c r="W178" s="919"/>
      <c r="X178" s="917">
        <f t="shared" si="89"/>
        <v>0</v>
      </c>
      <c r="Y178" s="918">
        <f t="shared" si="90"/>
        <v>0</v>
      </c>
      <c r="Z178" s="919"/>
      <c r="AA178" s="917">
        <f t="shared" si="91"/>
        <v>0</v>
      </c>
      <c r="AB178" s="918">
        <f t="shared" si="92"/>
        <v>0.2</v>
      </c>
      <c r="AC178" s="919">
        <v>2626.4</v>
      </c>
      <c r="AD178" s="917">
        <f t="shared" si="93"/>
        <v>2798.8</v>
      </c>
      <c r="AE178" s="918">
        <f t="shared" si="94"/>
        <v>0.05</v>
      </c>
      <c r="AF178" s="919">
        <v>656.6</v>
      </c>
      <c r="AG178" s="917">
        <f t="shared" si="95"/>
        <v>699.7</v>
      </c>
      <c r="AH178" s="918">
        <f t="shared" si="96"/>
        <v>0</v>
      </c>
      <c r="AI178" s="919"/>
      <c r="AJ178" s="917">
        <f t="shared" si="97"/>
        <v>0</v>
      </c>
      <c r="AK178" s="918">
        <f t="shared" si="98"/>
        <v>0</v>
      </c>
      <c r="AL178" s="919"/>
      <c r="AM178" s="917">
        <f t="shared" si="99"/>
        <v>0</v>
      </c>
      <c r="AN178" s="920">
        <v>19242</v>
      </c>
      <c r="AO178" s="917">
        <f t="shared" si="100"/>
        <v>350.1</v>
      </c>
      <c r="AP178" s="920"/>
      <c r="AQ178" s="916">
        <f t="shared" si="101"/>
        <v>0</v>
      </c>
      <c r="AR178" s="917">
        <f t="shared" si="102"/>
        <v>19242</v>
      </c>
      <c r="AS178" s="916">
        <v>12</v>
      </c>
      <c r="AT178" s="921">
        <f t="shared" si="103"/>
        <v>230904</v>
      </c>
      <c r="AU178" s="920"/>
      <c r="AV178" s="922">
        <f t="shared" si="104"/>
        <v>2309.04</v>
      </c>
      <c r="AW178" s="921">
        <f t="shared" si="105"/>
        <v>233213.04</v>
      </c>
      <c r="AX178" s="921">
        <f t="shared" si="106"/>
        <v>70430.34</v>
      </c>
      <c r="AY178" s="921">
        <f t="shared" si="107"/>
        <v>303643.38</v>
      </c>
      <c r="AZ178" s="923">
        <f t="shared" si="108"/>
        <v>233.2</v>
      </c>
      <c r="BA178" s="923">
        <f t="shared" si="109"/>
        <v>70.400000000000006</v>
      </c>
      <c r="BB178" s="923">
        <f t="shared" si="110"/>
        <v>303.60000000000002</v>
      </c>
      <c r="BC178" s="915">
        <v>0.95</v>
      </c>
      <c r="BD178" s="923">
        <f t="shared" si="111"/>
        <v>221.5</v>
      </c>
      <c r="BE178" s="923">
        <f t="shared" si="112"/>
        <v>66.900000000000006</v>
      </c>
      <c r="BF178" s="923">
        <f t="shared" si="113"/>
        <v>288.39999999999998</v>
      </c>
      <c r="BG178" s="924">
        <f>'[3]свод (2024)'!$B$116</f>
        <v>0.99758349999999996</v>
      </c>
      <c r="BH178" s="923">
        <f t="shared" si="114"/>
        <v>221</v>
      </c>
      <c r="BI178" s="923">
        <f t="shared" si="115"/>
        <v>66.7</v>
      </c>
      <c r="BJ178" s="923">
        <f t="shared" si="116"/>
        <v>287.7</v>
      </c>
      <c r="BK178" s="925">
        <f t="shared" si="117"/>
        <v>-12.2</v>
      </c>
      <c r="BL178" s="925">
        <f t="shared" si="117"/>
        <v>-3.7</v>
      </c>
      <c r="BM178" s="925">
        <f t="shared" si="118"/>
        <v>-15.9</v>
      </c>
      <c r="BN178" s="925">
        <f t="shared" si="119"/>
        <v>0</v>
      </c>
      <c r="BO178" s="925">
        <f t="shared" si="120"/>
        <v>0</v>
      </c>
      <c r="BP178" s="926"/>
      <c r="BQ178" s="925">
        <f t="shared" si="121"/>
        <v>221</v>
      </c>
      <c r="BR178" s="925">
        <f t="shared" si="121"/>
        <v>66.7</v>
      </c>
      <c r="BS178" s="925">
        <f t="shared" si="122"/>
        <v>287.7</v>
      </c>
      <c r="BU178" s="928">
        <f t="shared" si="123"/>
        <v>1</v>
      </c>
      <c r="BV178" s="917"/>
      <c r="BW178" s="928"/>
      <c r="BX178" s="928">
        <f t="shared" si="124"/>
        <v>233213.04</v>
      </c>
      <c r="BY178" s="928"/>
      <c r="BZ178" s="917"/>
      <c r="CA178" s="928"/>
      <c r="CB178" s="917"/>
      <c r="CC178" s="928"/>
      <c r="CD178" s="928"/>
      <c r="CE178" s="928"/>
      <c r="CF178" s="929">
        <f>CC$184/BU$184*BU178</f>
        <v>78830.11</v>
      </c>
      <c r="CG178" s="928"/>
      <c r="CH178" s="928"/>
      <c r="CI178" s="928"/>
      <c r="CJ178" s="925"/>
      <c r="CK178" s="925"/>
      <c r="CL178" s="925"/>
      <c r="CM178" s="925"/>
      <c r="CN178" s="925"/>
      <c r="CO178" s="925"/>
      <c r="CP178" s="925"/>
      <c r="CQ178" s="925"/>
      <c r="CR178" s="925"/>
      <c r="CS178" s="917"/>
      <c r="CT178" s="928"/>
      <c r="CU178" s="928"/>
      <c r="CV178" s="928"/>
      <c r="CX178" s="925"/>
      <c r="CY178" s="925"/>
      <c r="CZ178" s="925"/>
      <c r="DB178" s="925"/>
      <c r="DC178" s="925"/>
      <c r="DD178" s="925"/>
      <c r="DE178" s="925"/>
      <c r="DF178" s="925"/>
      <c r="DG178" s="925"/>
      <c r="DH178" s="925"/>
      <c r="DI178" s="925"/>
      <c r="DJ178" s="925"/>
      <c r="DK178" s="925"/>
      <c r="DL178" s="925"/>
      <c r="DM178" s="925"/>
      <c r="DN178" s="925"/>
      <c r="DO178" s="925"/>
      <c r="DP178" s="925"/>
      <c r="DQ178" s="924"/>
      <c r="DR178" s="925"/>
      <c r="DS178" s="925"/>
      <c r="DT178" s="925"/>
      <c r="DV178" s="925"/>
      <c r="DW178" s="925"/>
      <c r="DX178" s="925"/>
      <c r="DY178" s="925"/>
      <c r="DZ178" s="925"/>
      <c r="EA178" s="925"/>
      <c r="EB178" s="925"/>
      <c r="EC178" s="925"/>
      <c r="ED178" s="925"/>
      <c r="EE178" s="925"/>
      <c r="EF178" s="925"/>
      <c r="EG178" s="925"/>
      <c r="EH178" s="925"/>
      <c r="EI178" s="925"/>
      <c r="EJ178" s="925"/>
      <c r="EK178" s="925"/>
      <c r="EL178" s="925"/>
      <c r="EM178" s="925"/>
      <c r="EN178" s="925"/>
      <c r="EO178" s="925"/>
      <c r="EP178" s="925"/>
      <c r="EQ178" s="925"/>
      <c r="ER178" s="925"/>
      <c r="ES178" s="925"/>
      <c r="ET178" s="925"/>
      <c r="EV178" s="924"/>
      <c r="EW178" s="925"/>
      <c r="EX178" s="925"/>
      <c r="EY178" s="925"/>
    </row>
    <row r="179" spans="1:155" s="927" customFormat="1" ht="15.75" x14ac:dyDescent="0.25">
      <c r="A179" s="912" t="s">
        <v>360</v>
      </c>
      <c r="B179" s="913" t="s">
        <v>1413</v>
      </c>
      <c r="C179" s="914">
        <v>1</v>
      </c>
      <c r="D179" s="914">
        <v>6707</v>
      </c>
      <c r="E179" s="915">
        <v>1.0549999999999999</v>
      </c>
      <c r="F179" s="916">
        <f t="shared" si="77"/>
        <v>7076</v>
      </c>
      <c r="G179" s="915">
        <v>1.01</v>
      </c>
      <c r="H179" s="916">
        <f t="shared" si="78"/>
        <v>7147</v>
      </c>
      <c r="I179" s="917">
        <f t="shared" si="79"/>
        <v>7147</v>
      </c>
      <c r="J179" s="918">
        <f t="shared" si="80"/>
        <v>0</v>
      </c>
      <c r="K179" s="919"/>
      <c r="L179" s="917">
        <f t="shared" si="81"/>
        <v>0</v>
      </c>
      <c r="M179" s="918">
        <f t="shared" si="82"/>
        <v>0</v>
      </c>
      <c r="N179" s="919"/>
      <c r="O179" s="917">
        <f t="shared" si="83"/>
        <v>0</v>
      </c>
      <c r="P179" s="918">
        <f t="shared" si="84"/>
        <v>0</v>
      </c>
      <c r="Q179" s="919"/>
      <c r="R179" s="917">
        <f t="shared" si="85"/>
        <v>0</v>
      </c>
      <c r="S179" s="918">
        <f t="shared" si="86"/>
        <v>1</v>
      </c>
      <c r="T179" s="919">
        <v>6707</v>
      </c>
      <c r="U179" s="917">
        <f t="shared" si="87"/>
        <v>7147</v>
      </c>
      <c r="V179" s="918">
        <f t="shared" si="88"/>
        <v>0</v>
      </c>
      <c r="W179" s="919"/>
      <c r="X179" s="917">
        <f t="shared" si="89"/>
        <v>0</v>
      </c>
      <c r="Y179" s="918">
        <f t="shared" si="90"/>
        <v>0</v>
      </c>
      <c r="Z179" s="919"/>
      <c r="AA179" s="917">
        <f t="shared" si="91"/>
        <v>0</v>
      </c>
      <c r="AB179" s="918">
        <f t="shared" si="92"/>
        <v>0.15</v>
      </c>
      <c r="AC179" s="919">
        <v>1006.05</v>
      </c>
      <c r="AD179" s="917">
        <f t="shared" si="93"/>
        <v>1072.05</v>
      </c>
      <c r="AE179" s="918">
        <f t="shared" si="94"/>
        <v>0</v>
      </c>
      <c r="AF179" s="919"/>
      <c r="AG179" s="917">
        <f t="shared" si="95"/>
        <v>0</v>
      </c>
      <c r="AH179" s="918">
        <f t="shared" si="96"/>
        <v>0</v>
      </c>
      <c r="AI179" s="919"/>
      <c r="AJ179" s="917">
        <f t="shared" si="97"/>
        <v>0</v>
      </c>
      <c r="AK179" s="918">
        <f t="shared" si="98"/>
        <v>0</v>
      </c>
      <c r="AL179" s="919"/>
      <c r="AM179" s="917">
        <f t="shared" si="99"/>
        <v>0</v>
      </c>
      <c r="AN179" s="920">
        <v>19242</v>
      </c>
      <c r="AO179" s="917">
        <f t="shared" si="100"/>
        <v>3875.95</v>
      </c>
      <c r="AP179" s="920"/>
      <c r="AQ179" s="916">
        <f t="shared" si="101"/>
        <v>0</v>
      </c>
      <c r="AR179" s="917">
        <f t="shared" si="102"/>
        <v>19242</v>
      </c>
      <c r="AS179" s="916">
        <v>12</v>
      </c>
      <c r="AT179" s="921">
        <f t="shared" si="103"/>
        <v>230904</v>
      </c>
      <c r="AU179" s="920"/>
      <c r="AV179" s="922">
        <f t="shared" si="104"/>
        <v>2309.04</v>
      </c>
      <c r="AW179" s="921">
        <f t="shared" si="105"/>
        <v>233213.04</v>
      </c>
      <c r="AX179" s="921">
        <f t="shared" si="106"/>
        <v>70430.34</v>
      </c>
      <c r="AY179" s="921">
        <f t="shared" si="107"/>
        <v>303643.38</v>
      </c>
      <c r="AZ179" s="923">
        <f t="shared" si="108"/>
        <v>233.2</v>
      </c>
      <c r="BA179" s="923">
        <f t="shared" si="109"/>
        <v>70.400000000000006</v>
      </c>
      <c r="BB179" s="923">
        <f t="shared" si="110"/>
        <v>303.60000000000002</v>
      </c>
      <c r="BC179" s="915">
        <v>0.95</v>
      </c>
      <c r="BD179" s="923">
        <f t="shared" si="111"/>
        <v>221.5</v>
      </c>
      <c r="BE179" s="923">
        <f t="shared" si="112"/>
        <v>66.900000000000006</v>
      </c>
      <c r="BF179" s="923">
        <f t="shared" si="113"/>
        <v>288.39999999999998</v>
      </c>
      <c r="BG179" s="924">
        <f>'[3]свод (2024)'!$B$116</f>
        <v>0.99758349999999996</v>
      </c>
      <c r="BH179" s="923">
        <f t="shared" si="114"/>
        <v>221</v>
      </c>
      <c r="BI179" s="923">
        <f t="shared" si="115"/>
        <v>66.7</v>
      </c>
      <c r="BJ179" s="923">
        <f t="shared" si="116"/>
        <v>287.7</v>
      </c>
      <c r="BK179" s="925">
        <f t="shared" si="117"/>
        <v>-12.2</v>
      </c>
      <c r="BL179" s="925">
        <f t="shared" si="117"/>
        <v>-3.7</v>
      </c>
      <c r="BM179" s="925">
        <f t="shared" si="118"/>
        <v>-15.9</v>
      </c>
      <c r="BN179" s="925">
        <f t="shared" si="119"/>
        <v>0</v>
      </c>
      <c r="BO179" s="925">
        <f t="shared" si="120"/>
        <v>0</v>
      </c>
      <c r="BP179" s="926"/>
      <c r="BQ179" s="925">
        <f t="shared" si="121"/>
        <v>221</v>
      </c>
      <c r="BR179" s="925">
        <f t="shared" si="121"/>
        <v>66.7</v>
      </c>
      <c r="BS179" s="925">
        <f t="shared" si="122"/>
        <v>287.7</v>
      </c>
      <c r="BU179" s="928"/>
      <c r="BV179" s="917"/>
      <c r="BW179" s="928"/>
      <c r="BX179" s="928"/>
      <c r="BY179" s="928"/>
      <c r="BZ179" s="917"/>
      <c r="CA179" s="928"/>
      <c r="CB179" s="917"/>
      <c r="CC179" s="928"/>
      <c r="CD179" s="928"/>
      <c r="CE179" s="928"/>
      <c r="CF179" s="929"/>
      <c r="CG179" s="928"/>
      <c r="CH179" s="928"/>
      <c r="CI179" s="928"/>
      <c r="CJ179" s="925"/>
      <c r="CK179" s="925"/>
      <c r="CL179" s="925"/>
      <c r="CM179" s="925"/>
      <c r="CN179" s="925"/>
      <c r="CO179" s="925"/>
      <c r="CP179" s="925"/>
      <c r="CQ179" s="925"/>
      <c r="CR179" s="925"/>
      <c r="CS179" s="917"/>
      <c r="CT179" s="928"/>
      <c r="CU179" s="928"/>
      <c r="CV179" s="928"/>
      <c r="CX179" s="925"/>
      <c r="CY179" s="925"/>
      <c r="CZ179" s="925"/>
      <c r="DB179" s="925"/>
      <c r="DC179" s="925"/>
      <c r="DD179" s="925"/>
      <c r="DE179" s="925"/>
      <c r="DF179" s="925"/>
      <c r="DG179" s="925"/>
      <c r="DH179" s="925"/>
      <c r="DI179" s="925"/>
      <c r="DJ179" s="925"/>
      <c r="DK179" s="925"/>
      <c r="DL179" s="925"/>
      <c r="DM179" s="925"/>
      <c r="DN179" s="925"/>
      <c r="DO179" s="925"/>
      <c r="DP179" s="925"/>
      <c r="DQ179" s="924"/>
      <c r="DR179" s="925"/>
      <c r="DS179" s="925"/>
      <c r="DT179" s="925"/>
      <c r="DV179" s="925"/>
      <c r="DW179" s="925"/>
      <c r="DX179" s="925"/>
      <c r="DY179" s="925"/>
      <c r="DZ179" s="925"/>
      <c r="EA179" s="925"/>
      <c r="EB179" s="925"/>
      <c r="EC179" s="925"/>
      <c r="ED179" s="925"/>
      <c r="EE179" s="925"/>
      <c r="EF179" s="925"/>
      <c r="EG179" s="925"/>
      <c r="EH179" s="925"/>
      <c r="EI179" s="925"/>
      <c r="EJ179" s="925"/>
      <c r="EK179" s="925"/>
      <c r="EL179" s="925"/>
      <c r="EM179" s="925"/>
      <c r="EN179" s="925"/>
      <c r="EO179" s="925"/>
      <c r="EP179" s="925"/>
      <c r="EQ179" s="925"/>
      <c r="ER179" s="925"/>
      <c r="ES179" s="925"/>
      <c r="ET179" s="925"/>
      <c r="EV179" s="924"/>
      <c r="EW179" s="925"/>
      <c r="EX179" s="925"/>
      <c r="EY179" s="925"/>
    </row>
    <row r="180" spans="1:155" s="927" customFormat="1" ht="15.75" x14ac:dyDescent="0.25">
      <c r="A180" s="912" t="s">
        <v>360</v>
      </c>
      <c r="B180" s="913" t="s">
        <v>1389</v>
      </c>
      <c r="C180" s="914">
        <v>20</v>
      </c>
      <c r="D180" s="914">
        <v>4336</v>
      </c>
      <c r="E180" s="915">
        <v>1.0549999999999999</v>
      </c>
      <c r="F180" s="916">
        <f t="shared" si="77"/>
        <v>4575</v>
      </c>
      <c r="G180" s="915">
        <v>1.01</v>
      </c>
      <c r="H180" s="916">
        <f t="shared" si="78"/>
        <v>4621</v>
      </c>
      <c r="I180" s="917">
        <f t="shared" si="79"/>
        <v>92420</v>
      </c>
      <c r="J180" s="918">
        <f t="shared" si="80"/>
        <v>0</v>
      </c>
      <c r="K180" s="919"/>
      <c r="L180" s="917">
        <f t="shared" si="81"/>
        <v>0</v>
      </c>
      <c r="M180" s="918">
        <f t="shared" si="82"/>
        <v>0</v>
      </c>
      <c r="N180" s="919"/>
      <c r="O180" s="917">
        <f t="shared" si="83"/>
        <v>0</v>
      </c>
      <c r="P180" s="918">
        <f t="shared" si="84"/>
        <v>0</v>
      </c>
      <c r="Q180" s="919"/>
      <c r="R180" s="917">
        <f t="shared" si="85"/>
        <v>0</v>
      </c>
      <c r="S180" s="918">
        <f t="shared" si="86"/>
        <v>0</v>
      </c>
      <c r="T180" s="919"/>
      <c r="U180" s="917">
        <f t="shared" si="87"/>
        <v>0</v>
      </c>
      <c r="V180" s="918">
        <f t="shared" si="88"/>
        <v>0</v>
      </c>
      <c r="W180" s="919"/>
      <c r="X180" s="917">
        <f t="shared" si="89"/>
        <v>0</v>
      </c>
      <c r="Y180" s="918">
        <f t="shared" si="90"/>
        <v>0</v>
      </c>
      <c r="Z180" s="919"/>
      <c r="AA180" s="917">
        <f t="shared" si="91"/>
        <v>0</v>
      </c>
      <c r="AB180" s="918">
        <f t="shared" si="92"/>
        <v>0</v>
      </c>
      <c r="AC180" s="919"/>
      <c r="AD180" s="917">
        <f t="shared" si="93"/>
        <v>0</v>
      </c>
      <c r="AE180" s="918">
        <f t="shared" si="94"/>
        <v>0</v>
      </c>
      <c r="AF180" s="919"/>
      <c r="AG180" s="917">
        <f t="shared" si="95"/>
        <v>0</v>
      </c>
      <c r="AH180" s="918">
        <f t="shared" si="96"/>
        <v>0</v>
      </c>
      <c r="AI180" s="919"/>
      <c r="AJ180" s="917">
        <f t="shared" si="97"/>
        <v>0</v>
      </c>
      <c r="AK180" s="918">
        <f t="shared" si="98"/>
        <v>0</v>
      </c>
      <c r="AL180" s="919"/>
      <c r="AM180" s="917">
        <f t="shared" si="99"/>
        <v>0</v>
      </c>
      <c r="AN180" s="920">
        <v>19242</v>
      </c>
      <c r="AO180" s="917">
        <f t="shared" si="100"/>
        <v>292420</v>
      </c>
      <c r="AP180" s="920">
        <v>1060.29</v>
      </c>
      <c r="AQ180" s="916">
        <f t="shared" si="101"/>
        <v>21205.8</v>
      </c>
      <c r="AR180" s="917">
        <f t="shared" si="102"/>
        <v>406045.8</v>
      </c>
      <c r="AS180" s="916">
        <v>12</v>
      </c>
      <c r="AT180" s="921">
        <f t="shared" si="103"/>
        <v>4872549.5999999996</v>
      </c>
      <c r="AU180" s="920">
        <f t="shared" ref="AU180:AU181" si="146">AT180*0.085</f>
        <v>414166.72</v>
      </c>
      <c r="AV180" s="922">
        <f t="shared" si="104"/>
        <v>48725.5</v>
      </c>
      <c r="AW180" s="921">
        <f t="shared" si="105"/>
        <v>5335441.82</v>
      </c>
      <c r="AX180" s="921">
        <f t="shared" si="106"/>
        <v>1611303.43</v>
      </c>
      <c r="AY180" s="921">
        <f t="shared" si="107"/>
        <v>6946745.25</v>
      </c>
      <c r="AZ180" s="923">
        <f t="shared" si="108"/>
        <v>5335.4</v>
      </c>
      <c r="BA180" s="923">
        <f t="shared" si="109"/>
        <v>1611.3</v>
      </c>
      <c r="BB180" s="923">
        <f t="shared" si="110"/>
        <v>6946.7</v>
      </c>
      <c r="BC180" s="915">
        <v>0.95</v>
      </c>
      <c r="BD180" s="923">
        <f t="shared" si="111"/>
        <v>5068.6000000000004</v>
      </c>
      <c r="BE180" s="923">
        <f t="shared" si="112"/>
        <v>1530.7</v>
      </c>
      <c r="BF180" s="923">
        <f t="shared" si="113"/>
        <v>6599.3</v>
      </c>
      <c r="BG180" s="924">
        <f>'[3]свод (2024)'!$B$116</f>
        <v>0.99758349999999996</v>
      </c>
      <c r="BH180" s="923">
        <f t="shared" si="114"/>
        <v>5056.3999999999996</v>
      </c>
      <c r="BI180" s="923">
        <f t="shared" si="115"/>
        <v>1527</v>
      </c>
      <c r="BJ180" s="923">
        <f t="shared" si="116"/>
        <v>6583.4</v>
      </c>
      <c r="BK180" s="925">
        <f t="shared" si="117"/>
        <v>-279</v>
      </c>
      <c r="BL180" s="925">
        <f t="shared" si="117"/>
        <v>-84.3</v>
      </c>
      <c r="BM180" s="925">
        <f t="shared" si="118"/>
        <v>-363.3</v>
      </c>
      <c r="BN180" s="925">
        <f t="shared" si="119"/>
        <v>0</v>
      </c>
      <c r="BO180" s="925">
        <f t="shared" si="120"/>
        <v>0</v>
      </c>
      <c r="BP180" s="926"/>
      <c r="BQ180" s="925">
        <f t="shared" si="121"/>
        <v>5056.3999999999996</v>
      </c>
      <c r="BR180" s="925">
        <f t="shared" si="121"/>
        <v>1527</v>
      </c>
      <c r="BS180" s="925">
        <f t="shared" si="122"/>
        <v>6583.4</v>
      </c>
      <c r="BU180" s="928"/>
      <c r="BV180" s="917"/>
      <c r="BW180" s="928"/>
      <c r="BX180" s="928"/>
      <c r="BY180" s="928"/>
      <c r="BZ180" s="917"/>
      <c r="CA180" s="928"/>
      <c r="CB180" s="917"/>
      <c r="CC180" s="928"/>
      <c r="CD180" s="928"/>
      <c r="CE180" s="928"/>
      <c r="CF180" s="929"/>
      <c r="CG180" s="928"/>
      <c r="CH180" s="928"/>
      <c r="CI180" s="928"/>
      <c r="CJ180" s="925"/>
      <c r="CK180" s="925"/>
      <c r="CL180" s="925"/>
      <c r="CM180" s="925"/>
      <c r="CN180" s="925"/>
      <c r="CO180" s="925"/>
      <c r="CP180" s="925"/>
      <c r="CQ180" s="925"/>
      <c r="CR180" s="925"/>
      <c r="CS180" s="917"/>
      <c r="CT180" s="928"/>
      <c r="CU180" s="928"/>
      <c r="CV180" s="928"/>
      <c r="CX180" s="925"/>
      <c r="CY180" s="925"/>
      <c r="CZ180" s="925"/>
      <c r="DB180" s="925"/>
      <c r="DC180" s="925"/>
      <c r="DD180" s="925"/>
      <c r="DE180" s="925"/>
      <c r="DF180" s="925"/>
      <c r="DG180" s="925"/>
      <c r="DH180" s="925"/>
      <c r="DI180" s="925"/>
      <c r="DJ180" s="925"/>
      <c r="DK180" s="925"/>
      <c r="DL180" s="925"/>
      <c r="DM180" s="925"/>
      <c r="DN180" s="925"/>
      <c r="DO180" s="925"/>
      <c r="DP180" s="925"/>
      <c r="DQ180" s="924"/>
      <c r="DR180" s="925"/>
      <c r="DS180" s="925"/>
      <c r="DT180" s="925"/>
      <c r="DV180" s="925"/>
      <c r="DW180" s="925"/>
      <c r="DX180" s="925"/>
      <c r="DY180" s="925"/>
      <c r="DZ180" s="925"/>
      <c r="EA180" s="925"/>
      <c r="EB180" s="925"/>
      <c r="EC180" s="925"/>
      <c r="ED180" s="925"/>
      <c r="EE180" s="925"/>
      <c r="EF180" s="925"/>
      <c r="EG180" s="925"/>
      <c r="EH180" s="925"/>
      <c r="EI180" s="925"/>
      <c r="EJ180" s="925"/>
      <c r="EK180" s="925"/>
      <c r="EL180" s="925"/>
      <c r="EM180" s="925"/>
      <c r="EN180" s="925"/>
      <c r="EO180" s="925"/>
      <c r="EP180" s="925"/>
      <c r="EQ180" s="925"/>
      <c r="ER180" s="925"/>
      <c r="ES180" s="925"/>
      <c r="ET180" s="925"/>
      <c r="EV180" s="924"/>
      <c r="EW180" s="925"/>
      <c r="EX180" s="925"/>
      <c r="EY180" s="925"/>
    </row>
    <row r="181" spans="1:155" s="927" customFormat="1" ht="15.75" x14ac:dyDescent="0.25">
      <c r="A181" s="912" t="s">
        <v>360</v>
      </c>
      <c r="B181" s="913" t="s">
        <v>1390</v>
      </c>
      <c r="C181" s="914">
        <v>6.75</v>
      </c>
      <c r="D181" s="914">
        <v>4336</v>
      </c>
      <c r="E181" s="915">
        <v>1.0549999999999999</v>
      </c>
      <c r="F181" s="916">
        <f t="shared" si="77"/>
        <v>4575</v>
      </c>
      <c r="G181" s="915">
        <v>1.01</v>
      </c>
      <c r="H181" s="916">
        <f t="shared" si="78"/>
        <v>4621</v>
      </c>
      <c r="I181" s="917">
        <f t="shared" si="79"/>
        <v>31191.75</v>
      </c>
      <c r="J181" s="918">
        <f t="shared" si="80"/>
        <v>0</v>
      </c>
      <c r="K181" s="919"/>
      <c r="L181" s="917">
        <f t="shared" si="81"/>
        <v>0</v>
      </c>
      <c r="M181" s="918">
        <f t="shared" si="82"/>
        <v>0</v>
      </c>
      <c r="N181" s="919"/>
      <c r="O181" s="917">
        <f t="shared" si="83"/>
        <v>0</v>
      </c>
      <c r="P181" s="918">
        <f t="shared" si="84"/>
        <v>0</v>
      </c>
      <c r="Q181" s="919"/>
      <c r="R181" s="917">
        <f t="shared" si="85"/>
        <v>0</v>
      </c>
      <c r="S181" s="918">
        <f t="shared" si="86"/>
        <v>0</v>
      </c>
      <c r="T181" s="919"/>
      <c r="U181" s="917">
        <f t="shared" si="87"/>
        <v>0</v>
      </c>
      <c r="V181" s="918">
        <f t="shared" si="88"/>
        <v>0</v>
      </c>
      <c r="W181" s="919"/>
      <c r="X181" s="917">
        <f t="shared" si="89"/>
        <v>0</v>
      </c>
      <c r="Y181" s="918">
        <f t="shared" si="90"/>
        <v>0</v>
      </c>
      <c r="Z181" s="919"/>
      <c r="AA181" s="917">
        <f t="shared" si="91"/>
        <v>0</v>
      </c>
      <c r="AB181" s="918">
        <f t="shared" si="92"/>
        <v>0</v>
      </c>
      <c r="AC181" s="919"/>
      <c r="AD181" s="917">
        <f t="shared" si="93"/>
        <v>0</v>
      </c>
      <c r="AE181" s="918">
        <f t="shared" si="94"/>
        <v>0</v>
      </c>
      <c r="AF181" s="919"/>
      <c r="AG181" s="917">
        <f t="shared" si="95"/>
        <v>0</v>
      </c>
      <c r="AH181" s="918">
        <f t="shared" si="96"/>
        <v>0</v>
      </c>
      <c r="AI181" s="919"/>
      <c r="AJ181" s="917">
        <f t="shared" si="97"/>
        <v>0</v>
      </c>
      <c r="AK181" s="918">
        <f t="shared" si="98"/>
        <v>0</v>
      </c>
      <c r="AL181" s="919"/>
      <c r="AM181" s="917">
        <f t="shared" si="99"/>
        <v>0</v>
      </c>
      <c r="AN181" s="920">
        <v>19242</v>
      </c>
      <c r="AO181" s="917">
        <f t="shared" si="100"/>
        <v>98691.75</v>
      </c>
      <c r="AP181" s="920"/>
      <c r="AQ181" s="916">
        <f t="shared" si="101"/>
        <v>0</v>
      </c>
      <c r="AR181" s="917">
        <f t="shared" si="102"/>
        <v>129883.5</v>
      </c>
      <c r="AS181" s="916">
        <v>12</v>
      </c>
      <c r="AT181" s="921">
        <f t="shared" si="103"/>
        <v>1558602</v>
      </c>
      <c r="AU181" s="920">
        <f t="shared" si="146"/>
        <v>132481.17000000001</v>
      </c>
      <c r="AV181" s="922">
        <f t="shared" si="104"/>
        <v>15586.02</v>
      </c>
      <c r="AW181" s="921">
        <f t="shared" si="105"/>
        <v>1706669.19</v>
      </c>
      <c r="AX181" s="921">
        <f t="shared" si="106"/>
        <v>515414.1</v>
      </c>
      <c r="AY181" s="921">
        <f t="shared" si="107"/>
        <v>2222083.29</v>
      </c>
      <c r="AZ181" s="923">
        <f t="shared" si="108"/>
        <v>1706.7</v>
      </c>
      <c r="BA181" s="923">
        <f t="shared" si="109"/>
        <v>515.4</v>
      </c>
      <c r="BB181" s="923">
        <f t="shared" si="110"/>
        <v>2222.1</v>
      </c>
      <c r="BC181" s="915">
        <v>0.95</v>
      </c>
      <c r="BD181" s="923">
        <f t="shared" si="111"/>
        <v>1621.4</v>
      </c>
      <c r="BE181" s="923">
        <f t="shared" si="112"/>
        <v>489.7</v>
      </c>
      <c r="BF181" s="923">
        <f t="shared" si="113"/>
        <v>2111.1</v>
      </c>
      <c r="BG181" s="924">
        <f>'[3]свод (2024)'!$B$116</f>
        <v>0.99758349999999996</v>
      </c>
      <c r="BH181" s="923">
        <f t="shared" si="114"/>
        <v>1617.5</v>
      </c>
      <c r="BI181" s="923">
        <f t="shared" si="115"/>
        <v>488.5</v>
      </c>
      <c r="BJ181" s="923">
        <f t="shared" si="116"/>
        <v>2106</v>
      </c>
      <c r="BK181" s="925">
        <f t="shared" si="117"/>
        <v>-89.2</v>
      </c>
      <c r="BL181" s="925">
        <f t="shared" si="117"/>
        <v>-26.9</v>
      </c>
      <c r="BM181" s="925">
        <f t="shared" si="118"/>
        <v>-116.1</v>
      </c>
      <c r="BN181" s="925">
        <f t="shared" si="119"/>
        <v>0</v>
      </c>
      <c r="BO181" s="925">
        <f t="shared" si="120"/>
        <v>0</v>
      </c>
      <c r="BP181" s="926"/>
      <c r="BQ181" s="925">
        <f t="shared" si="121"/>
        <v>1617.5</v>
      </c>
      <c r="BR181" s="925">
        <f t="shared" si="121"/>
        <v>488.5</v>
      </c>
      <c r="BS181" s="925">
        <f t="shared" si="122"/>
        <v>2106</v>
      </c>
      <c r="BU181" s="928"/>
      <c r="BV181" s="917"/>
      <c r="BW181" s="928"/>
      <c r="BX181" s="928"/>
      <c r="BY181" s="928"/>
      <c r="BZ181" s="917"/>
      <c r="CA181" s="928"/>
      <c r="CB181" s="917"/>
      <c r="CC181" s="928"/>
      <c r="CD181" s="928"/>
      <c r="CE181" s="928"/>
      <c r="CF181" s="929"/>
      <c r="CG181" s="928"/>
      <c r="CH181" s="928"/>
      <c r="CI181" s="928"/>
      <c r="CJ181" s="925"/>
      <c r="CK181" s="925"/>
      <c r="CL181" s="925"/>
      <c r="CM181" s="925"/>
      <c r="CN181" s="925"/>
      <c r="CO181" s="925"/>
      <c r="CP181" s="925"/>
      <c r="CQ181" s="925"/>
      <c r="CR181" s="925"/>
      <c r="CS181" s="917"/>
      <c r="CT181" s="928"/>
      <c r="CU181" s="928"/>
      <c r="CV181" s="928"/>
      <c r="CX181" s="925"/>
      <c r="CY181" s="925"/>
      <c r="CZ181" s="925"/>
      <c r="DB181" s="925"/>
      <c r="DC181" s="925"/>
      <c r="DD181" s="925"/>
      <c r="DE181" s="925"/>
      <c r="DF181" s="925"/>
      <c r="DG181" s="925"/>
      <c r="DH181" s="925"/>
      <c r="DI181" s="925"/>
      <c r="DJ181" s="925"/>
      <c r="DK181" s="925"/>
      <c r="DL181" s="925"/>
      <c r="DM181" s="925"/>
      <c r="DN181" s="925"/>
      <c r="DO181" s="925"/>
      <c r="DP181" s="925"/>
      <c r="DQ181" s="924"/>
      <c r="DR181" s="925"/>
      <c r="DS181" s="925"/>
      <c r="DT181" s="925"/>
      <c r="DV181" s="925"/>
      <c r="DW181" s="925"/>
      <c r="DX181" s="925"/>
      <c r="DY181" s="925"/>
      <c r="DZ181" s="925"/>
      <c r="EA181" s="925"/>
      <c r="EB181" s="925"/>
      <c r="EC181" s="925"/>
      <c r="ED181" s="925"/>
      <c r="EE181" s="925"/>
      <c r="EF181" s="925"/>
      <c r="EG181" s="925"/>
      <c r="EH181" s="925"/>
      <c r="EI181" s="925"/>
      <c r="EJ181" s="925"/>
      <c r="EK181" s="925"/>
      <c r="EL181" s="925"/>
      <c r="EM181" s="925"/>
      <c r="EN181" s="925"/>
      <c r="EO181" s="925"/>
      <c r="EP181" s="925"/>
      <c r="EQ181" s="925"/>
      <c r="ER181" s="925"/>
      <c r="ES181" s="925"/>
      <c r="ET181" s="925"/>
      <c r="EV181" s="924"/>
      <c r="EW181" s="925"/>
      <c r="EX181" s="925"/>
      <c r="EY181" s="925"/>
    </row>
    <row r="182" spans="1:155" s="927" customFormat="1" ht="36" x14ac:dyDescent="0.25">
      <c r="A182" s="912" t="s">
        <v>360</v>
      </c>
      <c r="B182" s="913" t="s">
        <v>1414</v>
      </c>
      <c r="C182" s="914">
        <v>0.75</v>
      </c>
      <c r="D182" s="914">
        <v>4856</v>
      </c>
      <c r="E182" s="915">
        <v>1.0549999999999999</v>
      </c>
      <c r="F182" s="916">
        <f t="shared" si="77"/>
        <v>5124</v>
      </c>
      <c r="G182" s="915">
        <v>1.01</v>
      </c>
      <c r="H182" s="916">
        <f t="shared" si="78"/>
        <v>5176</v>
      </c>
      <c r="I182" s="917">
        <f t="shared" si="79"/>
        <v>3882</v>
      </c>
      <c r="J182" s="918">
        <f t="shared" si="80"/>
        <v>0</v>
      </c>
      <c r="K182" s="919"/>
      <c r="L182" s="917">
        <f t="shared" si="81"/>
        <v>0</v>
      </c>
      <c r="M182" s="918">
        <f t="shared" si="82"/>
        <v>0</v>
      </c>
      <c r="N182" s="919"/>
      <c r="O182" s="917">
        <f t="shared" si="83"/>
        <v>0</v>
      </c>
      <c r="P182" s="918">
        <f t="shared" si="84"/>
        <v>0</v>
      </c>
      <c r="Q182" s="919"/>
      <c r="R182" s="917">
        <f t="shared" si="85"/>
        <v>0</v>
      </c>
      <c r="S182" s="918">
        <f t="shared" si="86"/>
        <v>0</v>
      </c>
      <c r="T182" s="919"/>
      <c r="U182" s="917">
        <f t="shared" si="87"/>
        <v>0</v>
      </c>
      <c r="V182" s="918">
        <f t="shared" si="88"/>
        <v>0</v>
      </c>
      <c r="W182" s="919"/>
      <c r="X182" s="917">
        <f t="shared" si="89"/>
        <v>0</v>
      </c>
      <c r="Y182" s="918">
        <f t="shared" si="90"/>
        <v>0</v>
      </c>
      <c r="Z182" s="919"/>
      <c r="AA182" s="917">
        <f t="shared" si="91"/>
        <v>0</v>
      </c>
      <c r="AB182" s="918">
        <f t="shared" si="92"/>
        <v>0</v>
      </c>
      <c r="AC182" s="919"/>
      <c r="AD182" s="917">
        <f t="shared" si="93"/>
        <v>0</v>
      </c>
      <c r="AE182" s="918">
        <f t="shared" si="94"/>
        <v>0</v>
      </c>
      <c r="AF182" s="919"/>
      <c r="AG182" s="917">
        <f t="shared" si="95"/>
        <v>0</v>
      </c>
      <c r="AH182" s="918">
        <f t="shared" si="96"/>
        <v>0</v>
      </c>
      <c r="AI182" s="919"/>
      <c r="AJ182" s="917">
        <f t="shared" si="97"/>
        <v>0</v>
      </c>
      <c r="AK182" s="918">
        <f t="shared" si="98"/>
        <v>0</v>
      </c>
      <c r="AL182" s="919"/>
      <c r="AM182" s="917">
        <f t="shared" si="99"/>
        <v>0</v>
      </c>
      <c r="AN182" s="920">
        <v>19242</v>
      </c>
      <c r="AO182" s="917">
        <f t="shared" si="100"/>
        <v>10549.5</v>
      </c>
      <c r="AP182" s="920"/>
      <c r="AQ182" s="916">
        <f t="shared" si="101"/>
        <v>0</v>
      </c>
      <c r="AR182" s="917">
        <f t="shared" si="102"/>
        <v>14431.5</v>
      </c>
      <c r="AS182" s="916">
        <v>12</v>
      </c>
      <c r="AT182" s="921">
        <f t="shared" si="103"/>
        <v>173178</v>
      </c>
      <c r="AU182" s="920"/>
      <c r="AV182" s="922">
        <f t="shared" si="104"/>
        <v>1731.78</v>
      </c>
      <c r="AW182" s="921">
        <f t="shared" si="105"/>
        <v>174909.78</v>
      </c>
      <c r="AX182" s="921">
        <f t="shared" si="106"/>
        <v>52822.75</v>
      </c>
      <c r="AY182" s="921">
        <f t="shared" si="107"/>
        <v>227732.53</v>
      </c>
      <c r="AZ182" s="923">
        <f t="shared" si="108"/>
        <v>174.9</v>
      </c>
      <c r="BA182" s="923">
        <f t="shared" si="109"/>
        <v>52.8</v>
      </c>
      <c r="BB182" s="923">
        <f t="shared" si="110"/>
        <v>227.7</v>
      </c>
      <c r="BC182" s="915">
        <v>0.95</v>
      </c>
      <c r="BD182" s="923">
        <f t="shared" si="111"/>
        <v>166.2</v>
      </c>
      <c r="BE182" s="923">
        <f t="shared" si="112"/>
        <v>50.2</v>
      </c>
      <c r="BF182" s="923">
        <f t="shared" si="113"/>
        <v>216.4</v>
      </c>
      <c r="BG182" s="924">
        <f>'[3]свод (2024)'!$B$116</f>
        <v>0.99758349999999996</v>
      </c>
      <c r="BH182" s="923">
        <f t="shared" si="114"/>
        <v>165.8</v>
      </c>
      <c r="BI182" s="923">
        <f t="shared" si="115"/>
        <v>50.1</v>
      </c>
      <c r="BJ182" s="923">
        <f t="shared" si="116"/>
        <v>215.9</v>
      </c>
      <c r="BK182" s="925">
        <f t="shared" si="117"/>
        <v>-9.1</v>
      </c>
      <c r="BL182" s="925">
        <f t="shared" si="117"/>
        <v>-2.7</v>
      </c>
      <c r="BM182" s="925">
        <f t="shared" si="118"/>
        <v>-11.8</v>
      </c>
      <c r="BN182" s="925">
        <f t="shared" si="119"/>
        <v>0</v>
      </c>
      <c r="BO182" s="925">
        <f t="shared" si="120"/>
        <v>0</v>
      </c>
      <c r="BP182" s="926"/>
      <c r="BQ182" s="925">
        <f t="shared" si="121"/>
        <v>165.8</v>
      </c>
      <c r="BR182" s="925">
        <f t="shared" si="121"/>
        <v>50.1</v>
      </c>
      <c r="BS182" s="925">
        <f t="shared" si="122"/>
        <v>215.9</v>
      </c>
      <c r="BU182" s="928"/>
      <c r="BV182" s="917"/>
      <c r="BW182" s="928"/>
      <c r="BX182" s="928"/>
      <c r="BY182" s="928"/>
      <c r="BZ182" s="917"/>
      <c r="CA182" s="928"/>
      <c r="CB182" s="917"/>
      <c r="CC182" s="928"/>
      <c r="CD182" s="928"/>
      <c r="CE182" s="928"/>
      <c r="CF182" s="929"/>
      <c r="CG182" s="928"/>
      <c r="CH182" s="928"/>
      <c r="CI182" s="928"/>
      <c r="CJ182" s="925"/>
      <c r="CK182" s="925"/>
      <c r="CL182" s="925"/>
      <c r="CM182" s="925"/>
      <c r="CN182" s="925"/>
      <c r="CO182" s="925"/>
      <c r="CP182" s="925"/>
      <c r="CQ182" s="925"/>
      <c r="CR182" s="925"/>
      <c r="CS182" s="917"/>
      <c r="CT182" s="928"/>
      <c r="CU182" s="928"/>
      <c r="CV182" s="928"/>
      <c r="CX182" s="925"/>
      <c r="CY182" s="925"/>
      <c r="CZ182" s="925"/>
      <c r="DB182" s="925"/>
      <c r="DC182" s="925"/>
      <c r="DD182" s="925"/>
      <c r="DE182" s="925"/>
      <c r="DF182" s="925"/>
      <c r="DG182" s="925"/>
      <c r="DH182" s="925"/>
      <c r="DI182" s="925"/>
      <c r="DJ182" s="925"/>
      <c r="DK182" s="925"/>
      <c r="DL182" s="925"/>
      <c r="DM182" s="925"/>
      <c r="DN182" s="925"/>
      <c r="DO182" s="925"/>
      <c r="DP182" s="925"/>
      <c r="DQ182" s="924"/>
      <c r="DR182" s="925"/>
      <c r="DS182" s="925"/>
      <c r="DT182" s="925"/>
      <c r="DV182" s="925"/>
      <c r="DW182" s="925"/>
      <c r="DX182" s="925"/>
      <c r="DY182" s="925"/>
      <c r="DZ182" s="925"/>
      <c r="EA182" s="925"/>
      <c r="EB182" s="925"/>
      <c r="EC182" s="925"/>
      <c r="ED182" s="925"/>
      <c r="EE182" s="925"/>
      <c r="EF182" s="925"/>
      <c r="EG182" s="925"/>
      <c r="EH182" s="925"/>
      <c r="EI182" s="925"/>
      <c r="EJ182" s="925"/>
      <c r="EK182" s="925"/>
      <c r="EL182" s="925"/>
      <c r="EM182" s="925"/>
      <c r="EN182" s="925"/>
      <c r="EO182" s="925"/>
      <c r="EP182" s="925"/>
      <c r="EQ182" s="925"/>
      <c r="ER182" s="925"/>
      <c r="ES182" s="925"/>
      <c r="ET182" s="925"/>
      <c r="EV182" s="924"/>
      <c r="EW182" s="925"/>
      <c r="EX182" s="925"/>
      <c r="EY182" s="925"/>
    </row>
    <row r="183" spans="1:155" s="927" customFormat="1" ht="36" x14ac:dyDescent="0.25">
      <c r="A183" s="912" t="s">
        <v>360</v>
      </c>
      <c r="B183" s="913" t="s">
        <v>1415</v>
      </c>
      <c r="C183" s="914">
        <v>0.5</v>
      </c>
      <c r="D183" s="914">
        <v>5156</v>
      </c>
      <c r="E183" s="915">
        <v>1.0549999999999999</v>
      </c>
      <c r="F183" s="916">
        <f t="shared" si="77"/>
        <v>5440</v>
      </c>
      <c r="G183" s="915">
        <v>1.01</v>
      </c>
      <c r="H183" s="916">
        <f t="shared" si="78"/>
        <v>5495</v>
      </c>
      <c r="I183" s="917">
        <f t="shared" si="79"/>
        <v>2747.5</v>
      </c>
      <c r="J183" s="918">
        <f t="shared" si="80"/>
        <v>0</v>
      </c>
      <c r="K183" s="919"/>
      <c r="L183" s="917">
        <f t="shared" si="81"/>
        <v>0</v>
      </c>
      <c r="M183" s="918">
        <f t="shared" si="82"/>
        <v>0</v>
      </c>
      <c r="N183" s="919"/>
      <c r="O183" s="917">
        <f t="shared" si="83"/>
        <v>0</v>
      </c>
      <c r="P183" s="918">
        <f t="shared" si="84"/>
        <v>0</v>
      </c>
      <c r="Q183" s="919"/>
      <c r="R183" s="917">
        <f t="shared" si="85"/>
        <v>0</v>
      </c>
      <c r="S183" s="918">
        <f t="shared" si="86"/>
        <v>0</v>
      </c>
      <c r="T183" s="919"/>
      <c r="U183" s="917">
        <f t="shared" si="87"/>
        <v>0</v>
      </c>
      <c r="V183" s="918">
        <f t="shared" si="88"/>
        <v>0</v>
      </c>
      <c r="W183" s="919"/>
      <c r="X183" s="917">
        <f t="shared" si="89"/>
        <v>0</v>
      </c>
      <c r="Y183" s="918">
        <f t="shared" si="90"/>
        <v>0</v>
      </c>
      <c r="Z183" s="919"/>
      <c r="AA183" s="917">
        <f t="shared" si="91"/>
        <v>0</v>
      </c>
      <c r="AB183" s="918">
        <f t="shared" si="92"/>
        <v>0</v>
      </c>
      <c r="AC183" s="919"/>
      <c r="AD183" s="917">
        <f t="shared" si="93"/>
        <v>0</v>
      </c>
      <c r="AE183" s="918">
        <f t="shared" si="94"/>
        <v>0</v>
      </c>
      <c r="AF183" s="919"/>
      <c r="AG183" s="917">
        <f t="shared" si="95"/>
        <v>0</v>
      </c>
      <c r="AH183" s="918">
        <f t="shared" si="96"/>
        <v>0</v>
      </c>
      <c r="AI183" s="919"/>
      <c r="AJ183" s="917">
        <f t="shared" si="97"/>
        <v>0</v>
      </c>
      <c r="AK183" s="918">
        <f t="shared" si="98"/>
        <v>0</v>
      </c>
      <c r="AL183" s="919"/>
      <c r="AM183" s="917">
        <f t="shared" si="99"/>
        <v>0</v>
      </c>
      <c r="AN183" s="920">
        <v>19242</v>
      </c>
      <c r="AO183" s="917">
        <f t="shared" si="100"/>
        <v>6873.5</v>
      </c>
      <c r="AP183" s="920"/>
      <c r="AQ183" s="916">
        <f t="shared" si="101"/>
        <v>0</v>
      </c>
      <c r="AR183" s="917">
        <f t="shared" si="102"/>
        <v>9621</v>
      </c>
      <c r="AS183" s="916">
        <v>12</v>
      </c>
      <c r="AT183" s="921">
        <f t="shared" si="103"/>
        <v>115452</v>
      </c>
      <c r="AU183" s="920"/>
      <c r="AV183" s="922">
        <f t="shared" si="104"/>
        <v>1154.52</v>
      </c>
      <c r="AW183" s="921">
        <f t="shared" si="105"/>
        <v>116606.52</v>
      </c>
      <c r="AX183" s="921">
        <f t="shared" si="106"/>
        <v>35215.17</v>
      </c>
      <c r="AY183" s="921">
        <f t="shared" si="107"/>
        <v>151821.69</v>
      </c>
      <c r="AZ183" s="923">
        <f t="shared" si="108"/>
        <v>116.6</v>
      </c>
      <c r="BA183" s="923">
        <f t="shared" si="109"/>
        <v>35.200000000000003</v>
      </c>
      <c r="BB183" s="923">
        <f t="shared" si="110"/>
        <v>151.80000000000001</v>
      </c>
      <c r="BC183" s="915">
        <v>0.95</v>
      </c>
      <c r="BD183" s="923">
        <f t="shared" si="111"/>
        <v>110.8</v>
      </c>
      <c r="BE183" s="923">
        <f t="shared" si="112"/>
        <v>33.5</v>
      </c>
      <c r="BF183" s="923">
        <f t="shared" si="113"/>
        <v>144.30000000000001</v>
      </c>
      <c r="BG183" s="924">
        <f>'[3]свод (2024)'!$B$116</f>
        <v>0.99758349999999996</v>
      </c>
      <c r="BH183" s="923">
        <f t="shared" si="114"/>
        <v>110.5</v>
      </c>
      <c r="BI183" s="923">
        <f t="shared" si="115"/>
        <v>33.4</v>
      </c>
      <c r="BJ183" s="923">
        <f t="shared" si="116"/>
        <v>143.9</v>
      </c>
      <c r="BK183" s="925">
        <f t="shared" si="117"/>
        <v>-6.1</v>
      </c>
      <c r="BL183" s="925">
        <f t="shared" si="117"/>
        <v>-1.8</v>
      </c>
      <c r="BM183" s="925">
        <f t="shared" si="118"/>
        <v>-7.9</v>
      </c>
      <c r="BN183" s="925">
        <f t="shared" si="119"/>
        <v>0</v>
      </c>
      <c r="BO183" s="925">
        <f t="shared" si="120"/>
        <v>0</v>
      </c>
      <c r="BP183" s="926"/>
      <c r="BQ183" s="925">
        <f t="shared" si="121"/>
        <v>110.5</v>
      </c>
      <c r="BR183" s="925">
        <f t="shared" si="121"/>
        <v>33.4</v>
      </c>
      <c r="BS183" s="925">
        <f t="shared" si="122"/>
        <v>143.9</v>
      </c>
      <c r="BU183" s="928"/>
      <c r="BV183" s="917"/>
      <c r="BW183" s="928"/>
      <c r="BX183" s="928"/>
      <c r="BY183" s="928"/>
      <c r="BZ183" s="917"/>
      <c r="CA183" s="928"/>
      <c r="CB183" s="917"/>
      <c r="CC183" s="928"/>
      <c r="CD183" s="928"/>
      <c r="CE183" s="928"/>
      <c r="CF183" s="929"/>
      <c r="CG183" s="928"/>
      <c r="CH183" s="928"/>
      <c r="CI183" s="928"/>
      <c r="CJ183" s="925"/>
      <c r="CK183" s="925"/>
      <c r="CL183" s="925"/>
      <c r="CM183" s="925"/>
      <c r="CN183" s="925"/>
      <c r="CO183" s="925"/>
      <c r="CP183" s="925"/>
      <c r="CQ183" s="925"/>
      <c r="CR183" s="925"/>
      <c r="CS183" s="917"/>
      <c r="CT183" s="928"/>
      <c r="CU183" s="928"/>
      <c r="CV183" s="928"/>
      <c r="CX183" s="925"/>
      <c r="CY183" s="925"/>
      <c r="CZ183" s="925"/>
      <c r="DB183" s="925"/>
      <c r="DC183" s="925"/>
      <c r="DD183" s="925"/>
      <c r="DE183" s="925"/>
      <c r="DF183" s="925"/>
      <c r="DG183" s="925"/>
      <c r="DH183" s="925"/>
      <c r="DI183" s="925"/>
      <c r="DJ183" s="925"/>
      <c r="DK183" s="925"/>
      <c r="DL183" s="925"/>
      <c r="DM183" s="925"/>
      <c r="DN183" s="925"/>
      <c r="DO183" s="925"/>
      <c r="DP183" s="925"/>
      <c r="DQ183" s="924"/>
      <c r="DR183" s="925"/>
      <c r="DS183" s="925"/>
      <c r="DT183" s="925"/>
      <c r="DV183" s="925"/>
      <c r="DW183" s="925"/>
      <c r="DX183" s="925"/>
      <c r="DY183" s="925"/>
      <c r="DZ183" s="925"/>
      <c r="EA183" s="925"/>
      <c r="EB183" s="925"/>
      <c r="EC183" s="925"/>
      <c r="ED183" s="925"/>
      <c r="EE183" s="925"/>
      <c r="EF183" s="925"/>
      <c r="EG183" s="925"/>
      <c r="EH183" s="925"/>
      <c r="EI183" s="925"/>
      <c r="EJ183" s="925"/>
      <c r="EK183" s="925"/>
      <c r="EL183" s="925"/>
      <c r="EM183" s="925"/>
      <c r="EN183" s="925"/>
      <c r="EO183" s="925"/>
      <c r="EP183" s="925"/>
      <c r="EQ183" s="925"/>
      <c r="ER183" s="925"/>
      <c r="ES183" s="925"/>
      <c r="ET183" s="925"/>
      <c r="EV183" s="924"/>
      <c r="EW183" s="925"/>
      <c r="EX183" s="925"/>
      <c r="EY183" s="925"/>
    </row>
    <row r="184" spans="1:155" s="927" customFormat="1" ht="15.75" x14ac:dyDescent="0.25">
      <c r="A184" s="931" t="s">
        <v>360</v>
      </c>
      <c r="B184" s="932"/>
      <c r="C184" s="933">
        <f>SUM(C153:C183)</f>
        <v>112.48</v>
      </c>
      <c r="D184" s="933">
        <f t="shared" ref="D184:BO184" si="147">SUM(D153:D183)</f>
        <v>325306</v>
      </c>
      <c r="E184" s="934">
        <f t="shared" si="147"/>
        <v>32.704999999999998</v>
      </c>
      <c r="F184" s="935">
        <f t="shared" si="147"/>
        <v>343213</v>
      </c>
      <c r="G184" s="934">
        <f t="shared" si="147"/>
        <v>31.31</v>
      </c>
      <c r="H184" s="935">
        <f t="shared" si="147"/>
        <v>346659</v>
      </c>
      <c r="I184" s="936">
        <f t="shared" si="147"/>
        <v>1193379.8700000001</v>
      </c>
      <c r="J184" s="937">
        <f t="shared" si="147"/>
        <v>0.68559999999999999</v>
      </c>
      <c r="K184" s="938">
        <f t="shared" si="147"/>
        <v>106997.35</v>
      </c>
      <c r="L184" s="936">
        <f t="shared" si="147"/>
        <v>114021.65</v>
      </c>
      <c r="M184" s="937">
        <f t="shared" si="147"/>
        <v>0</v>
      </c>
      <c r="N184" s="938">
        <f t="shared" si="147"/>
        <v>0</v>
      </c>
      <c r="O184" s="936">
        <f t="shared" si="147"/>
        <v>0</v>
      </c>
      <c r="P184" s="937">
        <f t="shared" si="147"/>
        <v>0</v>
      </c>
      <c r="Q184" s="938">
        <f t="shared" si="147"/>
        <v>0</v>
      </c>
      <c r="R184" s="936">
        <f t="shared" si="147"/>
        <v>0</v>
      </c>
      <c r="S184" s="937">
        <f t="shared" si="147"/>
        <v>2.66093</v>
      </c>
      <c r="T184" s="938">
        <f t="shared" si="147"/>
        <v>33896.58</v>
      </c>
      <c r="U184" s="936">
        <f t="shared" si="147"/>
        <v>36120.35</v>
      </c>
      <c r="V184" s="937">
        <f t="shared" si="147"/>
        <v>0</v>
      </c>
      <c r="W184" s="938">
        <f t="shared" si="147"/>
        <v>0</v>
      </c>
      <c r="X184" s="936">
        <f t="shared" si="147"/>
        <v>0</v>
      </c>
      <c r="Y184" s="937">
        <f t="shared" si="147"/>
        <v>2.68</v>
      </c>
      <c r="Z184" s="938">
        <f t="shared" si="147"/>
        <v>34906.879999999997</v>
      </c>
      <c r="AA184" s="936">
        <f t="shared" si="147"/>
        <v>37198.32</v>
      </c>
      <c r="AB184" s="937">
        <f t="shared" si="147"/>
        <v>3.3361299999999998</v>
      </c>
      <c r="AC184" s="938">
        <f t="shared" si="147"/>
        <v>148197.32</v>
      </c>
      <c r="AD184" s="936">
        <f t="shared" si="147"/>
        <v>157924.47</v>
      </c>
      <c r="AE184" s="937">
        <f t="shared" si="147"/>
        <v>0.29887000000000002</v>
      </c>
      <c r="AF184" s="938">
        <f t="shared" si="147"/>
        <v>15238.21</v>
      </c>
      <c r="AG184" s="936">
        <f t="shared" si="147"/>
        <v>16238.13</v>
      </c>
      <c r="AH184" s="937">
        <f t="shared" si="147"/>
        <v>0</v>
      </c>
      <c r="AI184" s="938">
        <f t="shared" si="147"/>
        <v>0</v>
      </c>
      <c r="AJ184" s="936">
        <f t="shared" si="147"/>
        <v>0</v>
      </c>
      <c r="AK184" s="937">
        <f t="shared" si="147"/>
        <v>0</v>
      </c>
      <c r="AL184" s="938">
        <f t="shared" si="147"/>
        <v>0</v>
      </c>
      <c r="AM184" s="936">
        <f t="shared" si="147"/>
        <v>0</v>
      </c>
      <c r="AN184" s="933">
        <f t="shared" si="147"/>
        <v>596502</v>
      </c>
      <c r="AO184" s="936">
        <f t="shared" si="147"/>
        <v>700706.09</v>
      </c>
      <c r="AP184" s="933">
        <f t="shared" si="147"/>
        <v>3180.87</v>
      </c>
      <c r="AQ184" s="935">
        <f t="shared" si="147"/>
        <v>26507.25</v>
      </c>
      <c r="AR184" s="936">
        <f t="shared" si="147"/>
        <v>2282096.13</v>
      </c>
      <c r="AS184" s="935">
        <f t="shared" si="147"/>
        <v>372</v>
      </c>
      <c r="AT184" s="939">
        <f t="shared" si="147"/>
        <v>27385153.559999999</v>
      </c>
      <c r="AU184" s="933">
        <f t="shared" si="147"/>
        <v>669816.41</v>
      </c>
      <c r="AV184" s="940">
        <f t="shared" si="147"/>
        <v>273851.53000000003</v>
      </c>
      <c r="AW184" s="939">
        <f t="shared" si="147"/>
        <v>28328821.5</v>
      </c>
      <c r="AX184" s="939">
        <f t="shared" si="147"/>
        <v>8555304.0999999996</v>
      </c>
      <c r="AY184" s="939">
        <f t="shared" si="147"/>
        <v>36884125.600000001</v>
      </c>
      <c r="AZ184" s="941">
        <f t="shared" si="147"/>
        <v>28328.6</v>
      </c>
      <c r="BA184" s="941">
        <f t="shared" si="147"/>
        <v>8555.1</v>
      </c>
      <c r="BB184" s="941">
        <f t="shared" si="147"/>
        <v>36883.699999999997</v>
      </c>
      <c r="BC184" s="934">
        <f t="shared" si="147"/>
        <v>29.45</v>
      </c>
      <c r="BD184" s="941">
        <f t="shared" si="147"/>
        <v>26912.2</v>
      </c>
      <c r="BE184" s="941">
        <f t="shared" si="147"/>
        <v>8127.7</v>
      </c>
      <c r="BF184" s="941">
        <f t="shared" si="147"/>
        <v>35039.9</v>
      </c>
      <c r="BG184" s="942">
        <f>'[3]свод (2024)'!$B$116</f>
        <v>0.99758349999999996</v>
      </c>
      <c r="BH184" s="941">
        <f t="shared" si="147"/>
        <v>26847.3</v>
      </c>
      <c r="BI184" s="941">
        <f t="shared" si="147"/>
        <v>8107.8</v>
      </c>
      <c r="BJ184" s="941">
        <f t="shared" si="147"/>
        <v>34955.1</v>
      </c>
      <c r="BK184" s="943">
        <f t="shared" si="147"/>
        <v>-1481.3</v>
      </c>
      <c r="BL184" s="943">
        <f t="shared" si="147"/>
        <v>-447.3</v>
      </c>
      <c r="BM184" s="943">
        <f t="shared" si="147"/>
        <v>-1928.6</v>
      </c>
      <c r="BN184" s="943">
        <f t="shared" si="147"/>
        <v>0</v>
      </c>
      <c r="BO184" s="943">
        <f t="shared" si="147"/>
        <v>0</v>
      </c>
      <c r="BP184" s="944">
        <f t="shared" ref="BP184:BS184" si="148">SUM(BP153:BP183)</f>
        <v>0</v>
      </c>
      <c r="BQ184" s="943">
        <f t="shared" si="148"/>
        <v>26847.3</v>
      </c>
      <c r="BR184" s="943">
        <f t="shared" si="148"/>
        <v>8107.8</v>
      </c>
      <c r="BS184" s="943">
        <f t="shared" si="148"/>
        <v>34955.1</v>
      </c>
      <c r="BU184" s="945">
        <f>SUM(BU153:BU183)</f>
        <v>50.98</v>
      </c>
      <c r="BV184" s="946">
        <v>8.8000000000000007</v>
      </c>
      <c r="BW184" s="947">
        <f t="shared" ref="BW184" si="149">BU184-BV184</f>
        <v>42.18</v>
      </c>
      <c r="BX184" s="945">
        <f>SUM(BX153:BX183)</f>
        <v>11903032.119999999</v>
      </c>
      <c r="BY184" s="947">
        <f>BX184/BU184*BW184</f>
        <v>9848369.8499999996</v>
      </c>
      <c r="BZ184" s="946">
        <v>27.7</v>
      </c>
      <c r="CA184" s="947">
        <f t="shared" ref="CA184" si="150">BY184/BZ184/12</f>
        <v>29628.07</v>
      </c>
      <c r="CB184" s="946">
        <v>41718.199999999997</v>
      </c>
      <c r="CC184" s="947">
        <f t="shared" ref="CC184" si="151">(CB184-CA184)*BZ184*12</f>
        <v>4018759.21</v>
      </c>
      <c r="CD184" s="947">
        <f t="shared" ref="CD184" si="152">CC184*0.302</f>
        <v>1213665.28</v>
      </c>
      <c r="CE184" s="947">
        <f t="shared" ref="CE184" si="153">CC184+CD184</f>
        <v>5232424.49</v>
      </c>
      <c r="CF184" s="948">
        <f>SUM(CF153:CF183)</f>
        <v>4018759.21</v>
      </c>
      <c r="CG184" s="949">
        <f>ROUND(CC184/1000,1)</f>
        <v>4018.8</v>
      </c>
      <c r="CH184" s="949">
        <f>ROUND(CD184/1000,1)</f>
        <v>1213.7</v>
      </c>
      <c r="CI184" s="950">
        <f>CG184+CH184</f>
        <v>5232.5</v>
      </c>
      <c r="CJ184" s="951">
        <f>BQ184+CG184</f>
        <v>30866.1</v>
      </c>
      <c r="CK184" s="951">
        <f>BR184+CH184</f>
        <v>9321.5</v>
      </c>
      <c r="CL184" s="952">
        <f>CJ184+CK184</f>
        <v>40187.599999999999</v>
      </c>
      <c r="CM184" s="951">
        <f>0/6*12</f>
        <v>0</v>
      </c>
      <c r="CN184" s="951">
        <f>CM184*0.302</f>
        <v>0</v>
      </c>
      <c r="CO184" s="952">
        <f>CM184+CN184</f>
        <v>0</v>
      </c>
      <c r="CP184" s="951">
        <f>ROUND(CJ184-CM184,1)</f>
        <v>30866.1</v>
      </c>
      <c r="CQ184" s="951">
        <f>ROUND(CK184-CN184,1)</f>
        <v>9321.5</v>
      </c>
      <c r="CR184" s="952">
        <f>CP184+CQ184</f>
        <v>40187.599999999999</v>
      </c>
      <c r="CS184" s="946">
        <v>38663.800000000003</v>
      </c>
      <c r="CT184" s="953">
        <f>(CB184-CS184)*BZ184*12/1000</f>
        <v>1015.3</v>
      </c>
      <c r="CU184" s="953">
        <f>CT184*0.302</f>
        <v>306.60000000000002</v>
      </c>
      <c r="CV184" s="953">
        <f>CT184+CU184</f>
        <v>1321.9</v>
      </c>
      <c r="CX184" s="951">
        <f>(BY184+CC184)/1000-CM184</f>
        <v>13867.1</v>
      </c>
      <c r="CY184" s="951">
        <f>CX184*0.302</f>
        <v>4187.8999999999996</v>
      </c>
      <c r="CZ184" s="952">
        <f>CX184+CY184</f>
        <v>18055</v>
      </c>
      <c r="DB184" s="954"/>
      <c r="DC184" s="954"/>
      <c r="DD184" s="921"/>
      <c r="DE184" s="954"/>
      <c r="DF184" s="954"/>
      <c r="DG184" s="921"/>
      <c r="DH184" s="954"/>
      <c r="DI184" s="954"/>
      <c r="DJ184" s="921"/>
      <c r="DK184" s="954"/>
      <c r="DL184" s="954"/>
      <c r="DM184" s="921"/>
      <c r="DN184" s="954"/>
      <c r="DO184" s="954"/>
      <c r="DP184" s="921"/>
      <c r="DQ184" s="942">
        <f>$DQ$239</f>
        <v>0.97850278000000002</v>
      </c>
      <c r="DR184" s="951">
        <f>ROUND(CP184*DQ184,1)</f>
        <v>30202.6</v>
      </c>
      <c r="DS184" s="951">
        <f>ROUND(CQ184*DQ184,1)</f>
        <v>9121.1</v>
      </c>
      <c r="DT184" s="952">
        <f>DR184+DS184</f>
        <v>39323.699999999997</v>
      </c>
      <c r="DV184" s="921"/>
      <c r="DW184" s="921"/>
      <c r="DX184" s="921"/>
      <c r="DY184" s="921"/>
      <c r="DZ184" s="921"/>
      <c r="EA184" s="921"/>
      <c r="EB184" s="921"/>
      <c r="EC184" s="921"/>
      <c r="ED184" s="921"/>
      <c r="EE184" s="921"/>
      <c r="EF184" s="921"/>
      <c r="EG184" s="921"/>
      <c r="EH184" s="921"/>
      <c r="EI184" s="921"/>
      <c r="EJ184" s="921"/>
      <c r="EK184" s="921"/>
      <c r="EL184" s="921"/>
      <c r="EM184" s="921"/>
      <c r="EN184" s="921"/>
      <c r="EO184" s="921"/>
      <c r="EP184" s="921"/>
      <c r="EQ184" s="954"/>
      <c r="ER184" s="954"/>
      <c r="ES184" s="954"/>
      <c r="ET184" s="954"/>
      <c r="EV184" s="942">
        <f>EV239</f>
        <v>0.98074006899999999</v>
      </c>
      <c r="EW184" s="951">
        <f>ROUND(CP184*EV184,1)</f>
        <v>30271.599999999999</v>
      </c>
      <c r="EX184" s="951">
        <f>ROUND(CQ184*EV184,1)</f>
        <v>9142</v>
      </c>
      <c r="EY184" s="952">
        <f>EW184+EX184</f>
        <v>39413.599999999999</v>
      </c>
    </row>
    <row r="185" spans="1:155" s="927" customFormat="1" ht="15.75" x14ac:dyDescent="0.25">
      <c r="A185" s="931"/>
      <c r="B185" s="932" t="s">
        <v>406</v>
      </c>
      <c r="C185" s="981">
        <f>C172</f>
        <v>37.979999999999997</v>
      </c>
      <c r="D185" s="938"/>
      <c r="E185" s="983"/>
      <c r="F185" s="936"/>
      <c r="G185" s="983"/>
      <c r="H185" s="984">
        <f>H172</f>
        <v>13994</v>
      </c>
      <c r="I185" s="984">
        <f>I172</f>
        <v>531492.12</v>
      </c>
      <c r="J185" s="937"/>
      <c r="K185" s="938"/>
      <c r="L185" s="984">
        <f>L172</f>
        <v>89737.13</v>
      </c>
      <c r="M185" s="937"/>
      <c r="N185" s="938"/>
      <c r="O185" s="984">
        <f>O172</f>
        <v>0</v>
      </c>
      <c r="P185" s="937"/>
      <c r="Q185" s="938"/>
      <c r="R185" s="984">
        <f>R172</f>
        <v>0</v>
      </c>
      <c r="S185" s="937"/>
      <c r="T185" s="938"/>
      <c r="U185" s="984">
        <f>U172</f>
        <v>0</v>
      </c>
      <c r="V185" s="937"/>
      <c r="W185" s="938"/>
      <c r="X185" s="984">
        <f>X172</f>
        <v>0</v>
      </c>
      <c r="Y185" s="937"/>
      <c r="Z185" s="938"/>
      <c r="AA185" s="984">
        <f>AA172</f>
        <v>0</v>
      </c>
      <c r="AB185" s="937"/>
      <c r="AC185" s="938"/>
      <c r="AD185" s="984">
        <f>AD172</f>
        <v>79543.11</v>
      </c>
      <c r="AE185" s="937"/>
      <c r="AF185" s="938"/>
      <c r="AG185" s="984">
        <f>AG172</f>
        <v>8599.5400000000009</v>
      </c>
      <c r="AH185" s="937"/>
      <c r="AI185" s="938"/>
      <c r="AJ185" s="984">
        <f>AJ172</f>
        <v>0</v>
      </c>
      <c r="AK185" s="937"/>
      <c r="AL185" s="938"/>
      <c r="AM185" s="984">
        <f>AM172</f>
        <v>0</v>
      </c>
      <c r="AN185" s="938"/>
      <c r="AO185" s="984">
        <f>AO172</f>
        <v>21439.26</v>
      </c>
      <c r="AP185" s="938"/>
      <c r="AQ185" s="984">
        <f t="shared" ref="AQ185:AR185" si="154">AQ172</f>
        <v>0</v>
      </c>
      <c r="AR185" s="984">
        <f t="shared" si="154"/>
        <v>730811.16</v>
      </c>
      <c r="AS185" s="936"/>
      <c r="AT185" s="984">
        <f t="shared" ref="AT185:AW185" si="155">AT172</f>
        <v>8769733.9199999999</v>
      </c>
      <c r="AU185" s="984">
        <f t="shared" si="155"/>
        <v>0</v>
      </c>
      <c r="AV185" s="984">
        <f t="shared" si="155"/>
        <v>87697.34</v>
      </c>
      <c r="AW185" s="984">
        <f t="shared" si="155"/>
        <v>8857431.2599999998</v>
      </c>
      <c r="AX185" s="939"/>
      <c r="AY185" s="939"/>
      <c r="AZ185" s="941"/>
      <c r="BA185" s="941"/>
      <c r="BB185" s="941"/>
      <c r="BC185" s="934"/>
      <c r="BD185" s="941"/>
      <c r="BE185" s="941"/>
      <c r="BF185" s="941"/>
      <c r="BG185" s="942"/>
      <c r="BH185" s="941"/>
      <c r="BI185" s="941"/>
      <c r="BJ185" s="941"/>
      <c r="BK185" s="943"/>
      <c r="BL185" s="943"/>
      <c r="BM185" s="943"/>
      <c r="BN185" s="943"/>
      <c r="BO185" s="943"/>
      <c r="BP185" s="944"/>
      <c r="BQ185" s="943"/>
      <c r="BR185" s="943"/>
      <c r="BS185" s="943"/>
      <c r="BU185" s="945"/>
      <c r="BV185" s="946"/>
      <c r="BW185" s="947"/>
      <c r="BX185" s="945"/>
      <c r="BY185" s="947"/>
      <c r="BZ185" s="946"/>
      <c r="CA185" s="947"/>
      <c r="CB185" s="946"/>
      <c r="CC185" s="947"/>
      <c r="CD185" s="947"/>
      <c r="CE185" s="947"/>
      <c r="CF185" s="948"/>
      <c r="CG185" s="949"/>
      <c r="CH185" s="949"/>
      <c r="CI185" s="950"/>
      <c r="CJ185" s="951"/>
      <c r="CK185" s="951"/>
      <c r="CL185" s="952"/>
      <c r="CM185" s="951"/>
      <c r="CN185" s="951"/>
      <c r="CO185" s="952"/>
      <c r="CP185" s="951"/>
      <c r="CQ185" s="951"/>
      <c r="CR185" s="952"/>
      <c r="CS185" s="946"/>
      <c r="CT185" s="953"/>
      <c r="CU185" s="953"/>
      <c r="CV185" s="953"/>
      <c r="CX185" s="951"/>
      <c r="CY185" s="951"/>
      <c r="CZ185" s="952"/>
      <c r="DB185" s="954"/>
      <c r="DC185" s="954"/>
      <c r="DD185" s="921"/>
      <c r="DE185" s="954"/>
      <c r="DF185" s="954"/>
      <c r="DG185" s="921"/>
      <c r="DH185" s="954"/>
      <c r="DI185" s="954"/>
      <c r="DJ185" s="921"/>
      <c r="DK185" s="954"/>
      <c r="DL185" s="954"/>
      <c r="DM185" s="921"/>
      <c r="DN185" s="954"/>
      <c r="DO185" s="954"/>
      <c r="DP185" s="921"/>
      <c r="DQ185" s="942"/>
      <c r="DR185" s="951"/>
      <c r="DS185" s="951"/>
      <c r="DT185" s="952"/>
      <c r="DV185" s="921"/>
      <c r="DW185" s="921"/>
      <c r="DX185" s="921"/>
      <c r="DY185" s="921"/>
      <c r="DZ185" s="921"/>
      <c r="EA185" s="921"/>
      <c r="EB185" s="921"/>
      <c r="EC185" s="921"/>
      <c r="ED185" s="921"/>
      <c r="EE185" s="921"/>
      <c r="EF185" s="921"/>
      <c r="EG185" s="921"/>
      <c r="EH185" s="921"/>
      <c r="EI185" s="921"/>
      <c r="EJ185" s="921"/>
      <c r="EK185" s="921"/>
      <c r="EL185" s="921"/>
      <c r="EM185" s="921"/>
      <c r="EN185" s="921"/>
      <c r="EO185" s="921"/>
      <c r="EP185" s="921"/>
      <c r="EQ185" s="954"/>
      <c r="ER185" s="954"/>
      <c r="ES185" s="954"/>
      <c r="ET185" s="954"/>
      <c r="EV185" s="942"/>
      <c r="EW185" s="951"/>
      <c r="EX185" s="951"/>
      <c r="EY185" s="952"/>
    </row>
    <row r="186" spans="1:155" s="927" customFormat="1" ht="15.75" x14ac:dyDescent="0.25">
      <c r="A186" s="931"/>
      <c r="B186" s="932" t="s">
        <v>403</v>
      </c>
      <c r="C186" s="981">
        <f>C168+C173+C174+C178</f>
        <v>13</v>
      </c>
      <c r="D186" s="938"/>
      <c r="E186" s="983"/>
      <c r="F186" s="936"/>
      <c r="G186" s="983"/>
      <c r="H186" s="984">
        <f>H168+H173+H174+H178</f>
        <v>57340</v>
      </c>
      <c r="I186" s="984">
        <f>I168+I173+I174+I178</f>
        <v>185673</v>
      </c>
      <c r="J186" s="937"/>
      <c r="K186" s="938"/>
      <c r="L186" s="984">
        <f>L168+L173+L174+L178</f>
        <v>24284.52</v>
      </c>
      <c r="M186" s="937"/>
      <c r="N186" s="938"/>
      <c r="O186" s="984">
        <f>O168+O173+O174+O178</f>
        <v>0</v>
      </c>
      <c r="P186" s="937"/>
      <c r="Q186" s="938"/>
      <c r="R186" s="984">
        <f>R168+R173+R174+R178</f>
        <v>0</v>
      </c>
      <c r="S186" s="937"/>
      <c r="T186" s="938"/>
      <c r="U186" s="984">
        <f>U168+U173+U174+U178</f>
        <v>0</v>
      </c>
      <c r="V186" s="937"/>
      <c r="W186" s="938"/>
      <c r="X186" s="984">
        <f>X168+X173+X174+X178</f>
        <v>0</v>
      </c>
      <c r="Y186" s="937"/>
      <c r="Z186" s="938"/>
      <c r="AA186" s="984">
        <f>AA168+AA173+AA174+AA178</f>
        <v>0</v>
      </c>
      <c r="AB186" s="937"/>
      <c r="AC186" s="938"/>
      <c r="AD186" s="984">
        <f>AD168+AD173+AD174+AD178</f>
        <v>27202.53</v>
      </c>
      <c r="AE186" s="937"/>
      <c r="AF186" s="938"/>
      <c r="AG186" s="984">
        <f>AG168+AG173+AG174+AG178</f>
        <v>1399.19</v>
      </c>
      <c r="AH186" s="937"/>
      <c r="AI186" s="938"/>
      <c r="AJ186" s="984">
        <f>AJ168+AJ173+AJ174+AJ178</f>
        <v>0</v>
      </c>
      <c r="AK186" s="937"/>
      <c r="AL186" s="938"/>
      <c r="AM186" s="984">
        <f>AM168+AM173+AM174+AM178</f>
        <v>0</v>
      </c>
      <c r="AN186" s="938"/>
      <c r="AO186" s="984">
        <f>AO168+AO173+AO174+AO178</f>
        <v>12727.96</v>
      </c>
      <c r="AP186" s="938"/>
      <c r="AQ186" s="984">
        <f t="shared" ref="AQ186:AR186" si="156">AQ168+AQ173+AQ174+AQ178</f>
        <v>0</v>
      </c>
      <c r="AR186" s="984">
        <f t="shared" si="156"/>
        <v>251287.2</v>
      </c>
      <c r="AS186" s="936"/>
      <c r="AT186" s="984">
        <f t="shared" ref="AT186:AW186" si="157">AT168+AT173+AT174+AT178</f>
        <v>3015446.4</v>
      </c>
      <c r="AU186" s="984">
        <f t="shared" si="157"/>
        <v>0</v>
      </c>
      <c r="AV186" s="984">
        <f t="shared" si="157"/>
        <v>30154.46</v>
      </c>
      <c r="AW186" s="984">
        <f t="shared" si="157"/>
        <v>3045600.86</v>
      </c>
      <c r="AX186" s="939"/>
      <c r="AY186" s="939"/>
      <c r="AZ186" s="941"/>
      <c r="BA186" s="941"/>
      <c r="BB186" s="941"/>
      <c r="BC186" s="934"/>
      <c r="BD186" s="941"/>
      <c r="BE186" s="941"/>
      <c r="BF186" s="941"/>
      <c r="BG186" s="942"/>
      <c r="BH186" s="941"/>
      <c r="BI186" s="941"/>
      <c r="BJ186" s="941"/>
      <c r="BK186" s="943"/>
      <c r="BL186" s="943"/>
      <c r="BM186" s="943"/>
      <c r="BN186" s="943"/>
      <c r="BO186" s="943"/>
      <c r="BP186" s="944"/>
      <c r="BQ186" s="943"/>
      <c r="BR186" s="943"/>
      <c r="BS186" s="943"/>
      <c r="BU186" s="945"/>
      <c r="BV186" s="946"/>
      <c r="BW186" s="947"/>
      <c r="BX186" s="945"/>
      <c r="BY186" s="947"/>
      <c r="BZ186" s="946"/>
      <c r="CA186" s="947"/>
      <c r="CB186" s="946"/>
      <c r="CC186" s="947"/>
      <c r="CD186" s="947"/>
      <c r="CE186" s="947"/>
      <c r="CF186" s="948"/>
      <c r="CG186" s="949"/>
      <c r="CH186" s="949"/>
      <c r="CI186" s="950"/>
      <c r="CJ186" s="951"/>
      <c r="CK186" s="951"/>
      <c r="CL186" s="952"/>
      <c r="CM186" s="951"/>
      <c r="CN186" s="951"/>
      <c r="CO186" s="952"/>
      <c r="CP186" s="951"/>
      <c r="CQ186" s="951"/>
      <c r="CR186" s="952"/>
      <c r="CS186" s="946"/>
      <c r="CT186" s="953"/>
      <c r="CU186" s="953"/>
      <c r="CV186" s="953"/>
      <c r="CX186" s="951"/>
      <c r="CY186" s="951"/>
      <c r="CZ186" s="952"/>
      <c r="DB186" s="954"/>
      <c r="DC186" s="954"/>
      <c r="DD186" s="921"/>
      <c r="DE186" s="954"/>
      <c r="DF186" s="954"/>
      <c r="DG186" s="921"/>
      <c r="DH186" s="954"/>
      <c r="DI186" s="954"/>
      <c r="DJ186" s="921"/>
      <c r="DK186" s="954"/>
      <c r="DL186" s="954"/>
      <c r="DM186" s="921"/>
      <c r="DN186" s="954"/>
      <c r="DO186" s="954"/>
      <c r="DP186" s="921"/>
      <c r="DQ186" s="942"/>
      <c r="DR186" s="951"/>
      <c r="DS186" s="951"/>
      <c r="DT186" s="952"/>
      <c r="DV186" s="921"/>
      <c r="DW186" s="921"/>
      <c r="DX186" s="921"/>
      <c r="DY186" s="921"/>
      <c r="DZ186" s="921"/>
      <c r="EA186" s="921"/>
      <c r="EB186" s="921"/>
      <c r="EC186" s="921"/>
      <c r="ED186" s="921"/>
      <c r="EE186" s="921"/>
      <c r="EF186" s="921"/>
      <c r="EG186" s="921"/>
      <c r="EH186" s="921"/>
      <c r="EI186" s="921"/>
      <c r="EJ186" s="921"/>
      <c r="EK186" s="921"/>
      <c r="EL186" s="921"/>
      <c r="EM186" s="921"/>
      <c r="EN186" s="921"/>
      <c r="EO186" s="921"/>
      <c r="EP186" s="921"/>
      <c r="EQ186" s="954"/>
      <c r="ER186" s="954"/>
      <c r="ES186" s="954"/>
      <c r="ET186" s="954"/>
      <c r="EV186" s="942"/>
      <c r="EW186" s="951"/>
      <c r="EX186" s="951"/>
      <c r="EY186" s="952"/>
    </row>
    <row r="187" spans="1:155" s="927" customFormat="1" ht="15.75" x14ac:dyDescent="0.25">
      <c r="A187" s="931"/>
      <c r="B187" s="932" t="s">
        <v>404</v>
      </c>
      <c r="C187" s="981">
        <f>C153+C154+C155+C156+C157+C158+C159+C160+C161+C162+C163+C164+C165+C166+C167+C169+C176+C179+C181</f>
        <v>29.25</v>
      </c>
      <c r="D187" s="938"/>
      <c r="E187" s="983"/>
      <c r="F187" s="936"/>
      <c r="G187" s="983"/>
      <c r="H187" s="984">
        <f>H153+H154+H155+H156+H157+H158+H159+H160+H161+H162+H163+H164+H165+H166+H167+H169+H176+H179+H181</f>
        <v>240187</v>
      </c>
      <c r="I187" s="984">
        <f>I153+I154+I155+I156+I157+I158+I159+I160+I161+I162+I163+I164+I165+I166+I167+I169+I176+I179+I181</f>
        <v>322231.25</v>
      </c>
      <c r="J187" s="937"/>
      <c r="K187" s="938"/>
      <c r="L187" s="984">
        <f>L153+L154+L155+L156+L157+L158+L159+L160+L161+L162+L163+L164+L165+L166+L167+L169+L176+L179+L181</f>
        <v>0</v>
      </c>
      <c r="M187" s="937"/>
      <c r="N187" s="938"/>
      <c r="O187" s="984">
        <f>O153+O154+O155+O156+O157+O158+O159+O160+O161+O162+O163+O164+O165+O166+O167+O169+O176+O179+O181</f>
        <v>0</v>
      </c>
      <c r="P187" s="937"/>
      <c r="Q187" s="938"/>
      <c r="R187" s="984">
        <f>R153+R154+R155+R156+R157+R158+R159+R160+R161+R162+R163+R164+R165+R166+R167+R169+R176+R179+R181</f>
        <v>0</v>
      </c>
      <c r="S187" s="937"/>
      <c r="T187" s="938"/>
      <c r="U187" s="984">
        <f>U153+U154+U155+U156+U157+U158+U159+U160+U161+U162+U163+U164+U165+U166+U167+U169+U176+U179+U181</f>
        <v>36120.35</v>
      </c>
      <c r="V187" s="937"/>
      <c r="W187" s="938"/>
      <c r="X187" s="984">
        <f>X153+X154+X155+X156+X157+X158+X159+X160+X161+X162+X163+X164+X165+X166+X167+X169+X176+X179+X181</f>
        <v>0</v>
      </c>
      <c r="Y187" s="937"/>
      <c r="Z187" s="938"/>
      <c r="AA187" s="984">
        <f>AA153+AA154+AA155+AA156+AA157+AA158+AA159+AA160+AA161+AA162+AA163+AA164+AA165+AA166+AA167+AA169+AA176+AA179+AA181</f>
        <v>37198.32</v>
      </c>
      <c r="AB187" s="937"/>
      <c r="AC187" s="938"/>
      <c r="AD187" s="984">
        <f>AD153+AD154+AD155+AD156+AD157+AD158+AD159+AD160+AD161+AD162+AD163+AD164+AD165+AD166+AD167+AD169+AD176+AD179+AD181</f>
        <v>51178.83</v>
      </c>
      <c r="AE187" s="937"/>
      <c r="AF187" s="938"/>
      <c r="AG187" s="984">
        <f>AG153+AG154+AG155+AG156+AG157+AG158+AG159+AG160+AG161+AG162+AG163+AG164+AG165+AG166+AG167+AG169+AG176+AG179+AG181</f>
        <v>6239.4</v>
      </c>
      <c r="AH187" s="937"/>
      <c r="AI187" s="938"/>
      <c r="AJ187" s="984">
        <f>AJ153+AJ154+AJ155+AJ156+AJ157+AJ158+AJ159+AJ160+AJ161+AJ162+AJ163+AJ164+AJ165+AJ166+AJ167+AJ169+AJ176+AJ179+AJ181</f>
        <v>0</v>
      </c>
      <c r="AK187" s="937"/>
      <c r="AL187" s="938"/>
      <c r="AM187" s="984">
        <f>AM153+AM154+AM155+AM156+AM157+AM158+AM159+AM160+AM161+AM162+AM163+AM164+AM165+AM166+AM167+AM169+AM176+AM179+AM181</f>
        <v>0</v>
      </c>
      <c r="AN187" s="938"/>
      <c r="AO187" s="984">
        <f>AO153+AO154+AO155+AO156+AO157+AO158+AO159+AO160+AO161+AO162+AO163+AO164+AO165+AO166+AO167+AO169+AO176+AO179+AO181</f>
        <v>199967.87</v>
      </c>
      <c r="AP187" s="938"/>
      <c r="AQ187" s="984">
        <f t="shared" ref="AQ187:AR187" si="158">AQ153+AQ154+AQ155+AQ156+AQ157+AQ158+AQ159+AQ160+AQ161+AQ162+AQ163+AQ164+AQ165+AQ166+AQ167+AQ169+AQ176+AQ179+AQ181</f>
        <v>0</v>
      </c>
      <c r="AR187" s="984">
        <f t="shared" si="158"/>
        <v>652936.02</v>
      </c>
      <c r="AS187" s="936"/>
      <c r="AT187" s="984">
        <f t="shared" ref="AT187:AW187" si="159">AT153+AT154+AT155+AT156+AT157+AT158+AT159+AT160+AT161+AT162+AT163+AT164+AT165+AT166+AT167+AT169+AT176+AT179+AT181</f>
        <v>7835232.2400000002</v>
      </c>
      <c r="AU187" s="984">
        <f t="shared" si="159"/>
        <v>152108.01</v>
      </c>
      <c r="AV187" s="984">
        <f t="shared" si="159"/>
        <v>78352.320000000007</v>
      </c>
      <c r="AW187" s="984">
        <f t="shared" si="159"/>
        <v>8065692.5700000003</v>
      </c>
      <c r="AX187" s="939"/>
      <c r="AY187" s="939"/>
      <c r="AZ187" s="941"/>
      <c r="BA187" s="941"/>
      <c r="BB187" s="941"/>
      <c r="BC187" s="934"/>
      <c r="BD187" s="941"/>
      <c r="BE187" s="941"/>
      <c r="BF187" s="941"/>
      <c r="BG187" s="942"/>
      <c r="BH187" s="941"/>
      <c r="BI187" s="941"/>
      <c r="BJ187" s="941"/>
      <c r="BK187" s="943"/>
      <c r="BL187" s="943"/>
      <c r="BM187" s="943"/>
      <c r="BN187" s="943"/>
      <c r="BO187" s="943"/>
      <c r="BP187" s="944"/>
      <c r="BQ187" s="943"/>
      <c r="BR187" s="943"/>
      <c r="BS187" s="943"/>
      <c r="BU187" s="945"/>
      <c r="BV187" s="946"/>
      <c r="BW187" s="947"/>
      <c r="BX187" s="945"/>
      <c r="BY187" s="947"/>
      <c r="BZ187" s="946"/>
      <c r="CA187" s="947"/>
      <c r="CB187" s="946"/>
      <c r="CC187" s="947"/>
      <c r="CD187" s="947"/>
      <c r="CE187" s="947"/>
      <c r="CF187" s="948"/>
      <c r="CG187" s="949"/>
      <c r="CH187" s="949"/>
      <c r="CI187" s="950"/>
      <c r="CJ187" s="951"/>
      <c r="CK187" s="951"/>
      <c r="CL187" s="952"/>
      <c r="CM187" s="951"/>
      <c r="CN187" s="951"/>
      <c r="CO187" s="952"/>
      <c r="CP187" s="951"/>
      <c r="CQ187" s="951"/>
      <c r="CR187" s="952"/>
      <c r="CS187" s="946"/>
      <c r="CT187" s="953"/>
      <c r="CU187" s="953"/>
      <c r="CV187" s="953"/>
      <c r="CX187" s="951"/>
      <c r="CY187" s="951"/>
      <c r="CZ187" s="952"/>
      <c r="DB187" s="954"/>
      <c r="DC187" s="954"/>
      <c r="DD187" s="921"/>
      <c r="DE187" s="954"/>
      <c r="DF187" s="954"/>
      <c r="DG187" s="921"/>
      <c r="DH187" s="954"/>
      <c r="DI187" s="954"/>
      <c r="DJ187" s="921"/>
      <c r="DK187" s="954"/>
      <c r="DL187" s="954"/>
      <c r="DM187" s="921"/>
      <c r="DN187" s="954"/>
      <c r="DO187" s="954"/>
      <c r="DP187" s="921"/>
      <c r="DQ187" s="942"/>
      <c r="DR187" s="951"/>
      <c r="DS187" s="951"/>
      <c r="DT187" s="952"/>
      <c r="DV187" s="921"/>
      <c r="DW187" s="921"/>
      <c r="DX187" s="921"/>
      <c r="DY187" s="921"/>
      <c r="DZ187" s="921"/>
      <c r="EA187" s="921"/>
      <c r="EB187" s="921"/>
      <c r="EC187" s="921"/>
      <c r="ED187" s="921"/>
      <c r="EE187" s="921"/>
      <c r="EF187" s="921"/>
      <c r="EG187" s="921"/>
      <c r="EH187" s="921"/>
      <c r="EI187" s="921"/>
      <c r="EJ187" s="921"/>
      <c r="EK187" s="921"/>
      <c r="EL187" s="921"/>
      <c r="EM187" s="921"/>
      <c r="EN187" s="921"/>
      <c r="EO187" s="921"/>
      <c r="EP187" s="921"/>
      <c r="EQ187" s="954"/>
      <c r="ER187" s="954"/>
      <c r="ES187" s="954"/>
      <c r="ET187" s="954"/>
      <c r="EV187" s="942"/>
      <c r="EW187" s="951"/>
      <c r="EX187" s="951"/>
      <c r="EY187" s="952"/>
    </row>
    <row r="188" spans="1:155" s="927" customFormat="1" ht="15.75" x14ac:dyDescent="0.25">
      <c r="A188" s="931"/>
      <c r="B188" s="932" t="s">
        <v>405</v>
      </c>
      <c r="C188" s="981">
        <f>C170+C171+C175+C177+C180+C182+C183</f>
        <v>32.25</v>
      </c>
      <c r="D188" s="938"/>
      <c r="E188" s="983"/>
      <c r="F188" s="936"/>
      <c r="G188" s="983"/>
      <c r="H188" s="984">
        <f>H170+H171+H175+H177+H180+H182+H183</f>
        <v>35138</v>
      </c>
      <c r="I188" s="984">
        <f>I170+I171+I175+I177+I180+I182+I183</f>
        <v>153983.5</v>
      </c>
      <c r="J188" s="937"/>
      <c r="K188" s="938"/>
      <c r="L188" s="984">
        <f>L170+L171+L175+L177+L180+L182+L183</f>
        <v>0</v>
      </c>
      <c r="M188" s="937"/>
      <c r="N188" s="938"/>
      <c r="O188" s="984">
        <f>O170+O171+O175+O177+O180+O182+O183</f>
        <v>0</v>
      </c>
      <c r="P188" s="937"/>
      <c r="Q188" s="938"/>
      <c r="R188" s="984">
        <f>R170+R171+R175+R177+R180+R182+R183</f>
        <v>0</v>
      </c>
      <c r="S188" s="937"/>
      <c r="T188" s="938"/>
      <c r="U188" s="984">
        <f>U170+U171+U175+U177+U180+U182+U183</f>
        <v>0</v>
      </c>
      <c r="V188" s="937"/>
      <c r="W188" s="938"/>
      <c r="X188" s="984">
        <f>X170+X171+X175+X177+X180+X182+X183</f>
        <v>0</v>
      </c>
      <c r="Y188" s="937"/>
      <c r="Z188" s="938"/>
      <c r="AA188" s="984">
        <f>AA170+AA171+AA175+AA177+AA180+AA182+AA183</f>
        <v>0</v>
      </c>
      <c r="AB188" s="937"/>
      <c r="AC188" s="938"/>
      <c r="AD188" s="984">
        <f>AD170+AD171+AD175+AD177+AD180+AD182+AD183</f>
        <v>0</v>
      </c>
      <c r="AE188" s="937"/>
      <c r="AF188" s="938"/>
      <c r="AG188" s="984">
        <f>AG170+AG171+AG175+AG177+AG180+AG182+AG183</f>
        <v>0</v>
      </c>
      <c r="AH188" s="937"/>
      <c r="AI188" s="938"/>
      <c r="AJ188" s="984">
        <f>AJ170+AJ171+AJ175+AJ177+AJ180+AJ182+AJ183</f>
        <v>0</v>
      </c>
      <c r="AK188" s="937"/>
      <c r="AL188" s="938"/>
      <c r="AM188" s="984">
        <f>AM170+AM171+AM175+AM177+AM180+AM182+AM183</f>
        <v>0</v>
      </c>
      <c r="AN188" s="938"/>
      <c r="AO188" s="984">
        <f>AO170+AO171+AO175+AO177+AO180+AO182+AO183</f>
        <v>466571</v>
      </c>
      <c r="AP188" s="938"/>
      <c r="AQ188" s="984">
        <f t="shared" ref="AQ188:AR188" si="160">AQ170+AQ171+AQ175+AQ177+AQ180+AQ182+AQ183</f>
        <v>26507.25</v>
      </c>
      <c r="AR188" s="984">
        <f t="shared" si="160"/>
        <v>647061.75</v>
      </c>
      <c r="AS188" s="936"/>
      <c r="AT188" s="984">
        <f t="shared" ref="AT188:AW188" si="161">AT170+AT171+AT175+AT177+AT180+AT182+AT183</f>
        <v>7764741</v>
      </c>
      <c r="AU188" s="984">
        <f t="shared" si="161"/>
        <v>517708.4</v>
      </c>
      <c r="AV188" s="984">
        <f t="shared" si="161"/>
        <v>77647.41</v>
      </c>
      <c r="AW188" s="984">
        <f t="shared" si="161"/>
        <v>8360096.8099999996</v>
      </c>
      <c r="AX188" s="939"/>
      <c r="AY188" s="939"/>
      <c r="AZ188" s="941"/>
      <c r="BA188" s="941"/>
      <c r="BB188" s="941"/>
      <c r="BC188" s="934"/>
      <c r="BD188" s="941"/>
      <c r="BE188" s="941"/>
      <c r="BF188" s="941"/>
      <c r="BG188" s="942"/>
      <c r="BH188" s="941"/>
      <c r="BI188" s="941"/>
      <c r="BJ188" s="941"/>
      <c r="BK188" s="943"/>
      <c r="BL188" s="943"/>
      <c r="BM188" s="943"/>
      <c r="BN188" s="943"/>
      <c r="BO188" s="943"/>
      <c r="BP188" s="944"/>
      <c r="BQ188" s="943"/>
      <c r="BR188" s="943"/>
      <c r="BS188" s="943"/>
      <c r="BU188" s="945"/>
      <c r="BV188" s="946"/>
      <c r="BW188" s="947"/>
      <c r="BX188" s="945"/>
      <c r="BY188" s="947"/>
      <c r="BZ188" s="946"/>
      <c r="CA188" s="947"/>
      <c r="CB188" s="946"/>
      <c r="CC188" s="947"/>
      <c r="CD188" s="947"/>
      <c r="CE188" s="947"/>
      <c r="CF188" s="948"/>
      <c r="CG188" s="949"/>
      <c r="CH188" s="949"/>
      <c r="CI188" s="950"/>
      <c r="CJ188" s="951"/>
      <c r="CK188" s="951"/>
      <c r="CL188" s="952"/>
      <c r="CM188" s="951"/>
      <c r="CN188" s="951"/>
      <c r="CO188" s="952"/>
      <c r="CP188" s="951"/>
      <c r="CQ188" s="951"/>
      <c r="CR188" s="952"/>
      <c r="CS188" s="946"/>
      <c r="CT188" s="953"/>
      <c r="CU188" s="953"/>
      <c r="CV188" s="953"/>
      <c r="CX188" s="951"/>
      <c r="CY188" s="951"/>
      <c r="CZ188" s="952"/>
      <c r="DB188" s="954"/>
      <c r="DC188" s="954"/>
      <c r="DD188" s="921"/>
      <c r="DE188" s="954"/>
      <c r="DF188" s="954"/>
      <c r="DG188" s="921"/>
      <c r="DH188" s="954"/>
      <c r="DI188" s="954"/>
      <c r="DJ188" s="921"/>
      <c r="DK188" s="954"/>
      <c r="DL188" s="954"/>
      <c r="DM188" s="921"/>
      <c r="DN188" s="954"/>
      <c r="DO188" s="954"/>
      <c r="DP188" s="921"/>
      <c r="DQ188" s="942"/>
      <c r="DR188" s="951"/>
      <c r="DS188" s="951"/>
      <c r="DT188" s="952"/>
      <c r="DV188" s="921"/>
      <c r="DW188" s="921"/>
      <c r="DX188" s="921"/>
      <c r="DY188" s="921"/>
      <c r="DZ188" s="921"/>
      <c r="EA188" s="921"/>
      <c r="EB188" s="921"/>
      <c r="EC188" s="921"/>
      <c r="ED188" s="921"/>
      <c r="EE188" s="921"/>
      <c r="EF188" s="921"/>
      <c r="EG188" s="921"/>
      <c r="EH188" s="921"/>
      <c r="EI188" s="921"/>
      <c r="EJ188" s="921"/>
      <c r="EK188" s="921"/>
      <c r="EL188" s="921"/>
      <c r="EM188" s="921"/>
      <c r="EN188" s="921"/>
      <c r="EO188" s="921"/>
      <c r="EP188" s="921"/>
      <c r="EQ188" s="954"/>
      <c r="ER188" s="954"/>
      <c r="ES188" s="954"/>
      <c r="ET188" s="954"/>
      <c r="EV188" s="942"/>
      <c r="EW188" s="951"/>
      <c r="EX188" s="951"/>
      <c r="EY188" s="952"/>
    </row>
    <row r="189" spans="1:155" s="927" customFormat="1" ht="15.75" x14ac:dyDescent="0.25">
      <c r="A189" s="931"/>
      <c r="B189" s="932"/>
      <c r="C189" s="982">
        <f>C184-C185-C186-C187-C188</f>
        <v>0</v>
      </c>
      <c r="D189" s="938"/>
      <c r="E189" s="983"/>
      <c r="F189" s="936"/>
      <c r="G189" s="983"/>
      <c r="H189" s="985">
        <f>H184-H185-H186-H187-H188</f>
        <v>0</v>
      </c>
      <c r="I189" s="985">
        <f>I184-I185-I186-I187-I188</f>
        <v>0</v>
      </c>
      <c r="J189" s="937"/>
      <c r="K189" s="938"/>
      <c r="L189" s="985">
        <f>L184-L185-L186-L187-L188</f>
        <v>0</v>
      </c>
      <c r="M189" s="937"/>
      <c r="N189" s="938"/>
      <c r="O189" s="985">
        <f>O184-O185-O186-O187-O188</f>
        <v>0</v>
      </c>
      <c r="P189" s="937"/>
      <c r="Q189" s="938"/>
      <c r="R189" s="985">
        <f>R184-R185-R186-R187-R188</f>
        <v>0</v>
      </c>
      <c r="S189" s="937"/>
      <c r="T189" s="938"/>
      <c r="U189" s="985">
        <f>U184-U185-U186-U187-U188</f>
        <v>0</v>
      </c>
      <c r="V189" s="937"/>
      <c r="W189" s="938"/>
      <c r="X189" s="985">
        <f>X184-X185-X186-X187-X188</f>
        <v>0</v>
      </c>
      <c r="Y189" s="937"/>
      <c r="Z189" s="938"/>
      <c r="AA189" s="985">
        <f>AA184-AA185-AA186-AA187-AA188</f>
        <v>0</v>
      </c>
      <c r="AB189" s="937"/>
      <c r="AC189" s="938"/>
      <c r="AD189" s="985">
        <f>AD184-AD185-AD186-AD187-AD188</f>
        <v>0</v>
      </c>
      <c r="AE189" s="937"/>
      <c r="AF189" s="938"/>
      <c r="AG189" s="985">
        <f>AG184-AG185-AG186-AG187-AG188</f>
        <v>0</v>
      </c>
      <c r="AH189" s="937"/>
      <c r="AI189" s="938"/>
      <c r="AJ189" s="985">
        <f>AJ184-AJ185-AJ186-AJ187-AJ188</f>
        <v>0</v>
      </c>
      <c r="AK189" s="937"/>
      <c r="AL189" s="938"/>
      <c r="AM189" s="985">
        <f>AM184-AM185-AM186-AM187-AM188</f>
        <v>0</v>
      </c>
      <c r="AN189" s="938"/>
      <c r="AO189" s="985">
        <f>AO184-AO185-AO186-AO187-AO188</f>
        <v>0</v>
      </c>
      <c r="AP189" s="938"/>
      <c r="AQ189" s="985">
        <f t="shared" ref="AQ189:AR189" si="162">AQ184-AQ185-AQ186-AQ187-AQ188</f>
        <v>0</v>
      </c>
      <c r="AR189" s="985">
        <f t="shared" si="162"/>
        <v>0</v>
      </c>
      <c r="AS189" s="936"/>
      <c r="AT189" s="985">
        <f t="shared" ref="AT189:AW189" si="163">AT184-AT185-AT186-AT187-AT188</f>
        <v>0</v>
      </c>
      <c r="AU189" s="985">
        <f t="shared" si="163"/>
        <v>0</v>
      </c>
      <c r="AV189" s="985">
        <f t="shared" si="163"/>
        <v>0</v>
      </c>
      <c r="AW189" s="985">
        <f t="shared" si="163"/>
        <v>0</v>
      </c>
      <c r="AX189" s="939"/>
      <c r="AY189" s="939"/>
      <c r="AZ189" s="941"/>
      <c r="BA189" s="941"/>
      <c r="BB189" s="941"/>
      <c r="BC189" s="934"/>
      <c r="BD189" s="941"/>
      <c r="BE189" s="941"/>
      <c r="BF189" s="941"/>
      <c r="BG189" s="942"/>
      <c r="BH189" s="941"/>
      <c r="BI189" s="941"/>
      <c r="BJ189" s="941"/>
      <c r="BK189" s="943"/>
      <c r="BL189" s="943"/>
      <c r="BM189" s="943"/>
      <c r="BN189" s="943"/>
      <c r="BO189" s="943"/>
      <c r="BP189" s="944"/>
      <c r="BQ189" s="943"/>
      <c r="BR189" s="943"/>
      <c r="BS189" s="943"/>
      <c r="BU189" s="945"/>
      <c r="BV189" s="946"/>
      <c r="BW189" s="947"/>
      <c r="BX189" s="945"/>
      <c r="BY189" s="947"/>
      <c r="BZ189" s="946"/>
      <c r="CA189" s="947"/>
      <c r="CB189" s="946"/>
      <c r="CC189" s="947"/>
      <c r="CD189" s="947"/>
      <c r="CE189" s="947"/>
      <c r="CF189" s="948"/>
      <c r="CG189" s="949"/>
      <c r="CH189" s="949"/>
      <c r="CI189" s="950"/>
      <c r="CJ189" s="951"/>
      <c r="CK189" s="951"/>
      <c r="CL189" s="952"/>
      <c r="CM189" s="951"/>
      <c r="CN189" s="951"/>
      <c r="CO189" s="952"/>
      <c r="CP189" s="951"/>
      <c r="CQ189" s="951"/>
      <c r="CR189" s="952"/>
      <c r="CS189" s="946"/>
      <c r="CT189" s="953"/>
      <c r="CU189" s="953"/>
      <c r="CV189" s="953"/>
      <c r="CX189" s="951"/>
      <c r="CY189" s="951"/>
      <c r="CZ189" s="952"/>
      <c r="DB189" s="954"/>
      <c r="DC189" s="954"/>
      <c r="DD189" s="921"/>
      <c r="DE189" s="954"/>
      <c r="DF189" s="954"/>
      <c r="DG189" s="921"/>
      <c r="DH189" s="954"/>
      <c r="DI189" s="954"/>
      <c r="DJ189" s="921"/>
      <c r="DK189" s="954"/>
      <c r="DL189" s="954"/>
      <c r="DM189" s="921"/>
      <c r="DN189" s="954"/>
      <c r="DO189" s="954"/>
      <c r="DP189" s="921"/>
      <c r="DQ189" s="942"/>
      <c r="DR189" s="951"/>
      <c r="DS189" s="951"/>
      <c r="DT189" s="952"/>
      <c r="DV189" s="921"/>
      <c r="DW189" s="921"/>
      <c r="DX189" s="921"/>
      <c r="DY189" s="921"/>
      <c r="DZ189" s="921"/>
      <c r="EA189" s="921"/>
      <c r="EB189" s="921"/>
      <c r="EC189" s="921"/>
      <c r="ED189" s="921"/>
      <c r="EE189" s="921"/>
      <c r="EF189" s="921"/>
      <c r="EG189" s="921"/>
      <c r="EH189" s="921"/>
      <c r="EI189" s="921"/>
      <c r="EJ189" s="921"/>
      <c r="EK189" s="921"/>
      <c r="EL189" s="921"/>
      <c r="EM189" s="921"/>
      <c r="EN189" s="921"/>
      <c r="EO189" s="921"/>
      <c r="EP189" s="921"/>
      <c r="EQ189" s="954"/>
      <c r="ER189" s="954"/>
      <c r="ES189" s="954"/>
      <c r="ET189" s="954"/>
      <c r="EV189" s="942"/>
      <c r="EW189" s="951"/>
      <c r="EX189" s="951"/>
      <c r="EY189" s="952"/>
    </row>
    <row r="190" spans="1:155" s="927" customFormat="1" ht="15.75" x14ac:dyDescent="0.25">
      <c r="A190" s="931"/>
      <c r="B190" s="932" t="s">
        <v>806</v>
      </c>
      <c r="C190" s="933"/>
      <c r="D190" s="933"/>
      <c r="E190" s="934"/>
      <c r="F190" s="935"/>
      <c r="G190" s="934"/>
      <c r="H190" s="935"/>
      <c r="I190" s="936"/>
      <c r="J190" s="937"/>
      <c r="K190" s="938"/>
      <c r="L190" s="936"/>
      <c r="M190" s="937"/>
      <c r="N190" s="938"/>
      <c r="O190" s="936"/>
      <c r="P190" s="937"/>
      <c r="Q190" s="938"/>
      <c r="R190" s="936"/>
      <c r="S190" s="937"/>
      <c r="T190" s="938"/>
      <c r="U190" s="936"/>
      <c r="V190" s="937"/>
      <c r="W190" s="938"/>
      <c r="X190" s="936"/>
      <c r="Y190" s="937"/>
      <c r="Z190" s="938"/>
      <c r="AA190" s="936"/>
      <c r="AB190" s="937"/>
      <c r="AC190" s="938"/>
      <c r="AD190" s="936"/>
      <c r="AE190" s="937"/>
      <c r="AF190" s="938"/>
      <c r="AG190" s="936"/>
      <c r="AH190" s="937"/>
      <c r="AI190" s="938"/>
      <c r="AJ190" s="936"/>
      <c r="AK190" s="937"/>
      <c r="AL190" s="938"/>
      <c r="AM190" s="936"/>
      <c r="AN190" s="933"/>
      <c r="AO190" s="936"/>
      <c r="AP190" s="933"/>
      <c r="AQ190" s="935"/>
      <c r="AR190" s="936"/>
      <c r="AS190" s="935"/>
      <c r="AT190" s="939"/>
      <c r="AU190" s="933"/>
      <c r="AV190" s="940"/>
      <c r="AW190" s="389">
        <f>AW184/12-AO184</f>
        <v>1660029.04</v>
      </c>
      <c r="AX190" s="939"/>
      <c r="AY190" s="939"/>
      <c r="AZ190" s="941"/>
      <c r="BA190" s="941"/>
      <c r="BB190" s="941"/>
      <c r="BC190" s="934"/>
      <c r="BD190" s="941"/>
      <c r="BE190" s="941"/>
      <c r="BF190" s="941"/>
      <c r="BG190" s="942"/>
      <c r="BH190" s="941"/>
      <c r="BI190" s="941"/>
      <c r="BJ190" s="941"/>
      <c r="BK190" s="943"/>
      <c r="BL190" s="943"/>
      <c r="BM190" s="943"/>
      <c r="BN190" s="943"/>
      <c r="BO190" s="943"/>
      <c r="BP190" s="944"/>
      <c r="BQ190" s="943"/>
      <c r="BR190" s="943"/>
      <c r="BS190" s="943"/>
      <c r="BU190" s="945"/>
      <c r="BV190" s="946"/>
      <c r="BW190" s="947"/>
      <c r="BX190" s="945"/>
      <c r="BY190" s="947"/>
      <c r="BZ190" s="946"/>
      <c r="CA190" s="947"/>
      <c r="CB190" s="946"/>
      <c r="CC190" s="947"/>
      <c r="CD190" s="947"/>
      <c r="CE190" s="947"/>
      <c r="CF190" s="948"/>
      <c r="CG190" s="949"/>
      <c r="CH190" s="949"/>
      <c r="CI190" s="950"/>
      <c r="CJ190" s="951"/>
      <c r="CK190" s="951"/>
      <c r="CL190" s="952"/>
      <c r="CM190" s="951"/>
      <c r="CN190" s="951"/>
      <c r="CO190" s="952"/>
      <c r="CP190" s="951"/>
      <c r="CQ190" s="951"/>
      <c r="CR190" s="952"/>
      <c r="CS190" s="946"/>
      <c r="CT190" s="953"/>
      <c r="CU190" s="953"/>
      <c r="CV190" s="953"/>
      <c r="CX190" s="951"/>
      <c r="CY190" s="951"/>
      <c r="CZ190" s="952"/>
      <c r="DB190" s="954"/>
      <c r="DC190" s="954"/>
      <c r="DD190" s="921"/>
      <c r="DE190" s="954"/>
      <c r="DF190" s="954"/>
      <c r="DG190" s="921"/>
      <c r="DH190" s="954"/>
      <c r="DI190" s="954"/>
      <c r="DJ190" s="921"/>
      <c r="DK190" s="954"/>
      <c r="DL190" s="954"/>
      <c r="DM190" s="921"/>
      <c r="DN190" s="954"/>
      <c r="DO190" s="954"/>
      <c r="DP190" s="921"/>
      <c r="DQ190" s="942"/>
      <c r="DR190" s="951"/>
      <c r="DS190" s="951"/>
      <c r="DT190" s="952"/>
      <c r="DV190" s="921"/>
      <c r="DW190" s="921"/>
      <c r="DX190" s="921"/>
      <c r="DY190" s="921"/>
      <c r="DZ190" s="921"/>
      <c r="EA190" s="921"/>
      <c r="EB190" s="921"/>
      <c r="EC190" s="921"/>
      <c r="ED190" s="921"/>
      <c r="EE190" s="921"/>
      <c r="EF190" s="921"/>
      <c r="EG190" s="921"/>
      <c r="EH190" s="921"/>
      <c r="EI190" s="921"/>
      <c r="EJ190" s="921"/>
      <c r="EK190" s="921"/>
      <c r="EL190" s="921"/>
      <c r="EM190" s="921"/>
      <c r="EN190" s="921"/>
      <c r="EO190" s="921"/>
      <c r="EP190" s="921"/>
      <c r="EQ190" s="954"/>
      <c r="ER190" s="954"/>
      <c r="ES190" s="954"/>
      <c r="ET190" s="954"/>
      <c r="EV190" s="942"/>
      <c r="EW190" s="951"/>
      <c r="EX190" s="951"/>
      <c r="EY190" s="952"/>
    </row>
    <row r="191" spans="1:155" s="927" customFormat="1" ht="15.75" x14ac:dyDescent="0.25">
      <c r="A191" s="931"/>
      <c r="B191" s="932" t="s">
        <v>406</v>
      </c>
      <c r="C191" s="933"/>
      <c r="D191" s="933"/>
      <c r="E191" s="934"/>
      <c r="F191" s="935"/>
      <c r="G191" s="934"/>
      <c r="H191" s="935"/>
      <c r="I191" s="936"/>
      <c r="J191" s="937"/>
      <c r="K191" s="938"/>
      <c r="L191" s="936"/>
      <c r="M191" s="937"/>
      <c r="N191" s="938"/>
      <c r="O191" s="936"/>
      <c r="P191" s="937"/>
      <c r="Q191" s="938"/>
      <c r="R191" s="936"/>
      <c r="S191" s="937"/>
      <c r="T191" s="938"/>
      <c r="U191" s="936"/>
      <c r="V191" s="937"/>
      <c r="W191" s="938"/>
      <c r="X191" s="936"/>
      <c r="Y191" s="937"/>
      <c r="Z191" s="938"/>
      <c r="AA191" s="936"/>
      <c r="AB191" s="937"/>
      <c r="AC191" s="938"/>
      <c r="AD191" s="936"/>
      <c r="AE191" s="937"/>
      <c r="AF191" s="938"/>
      <c r="AG191" s="936"/>
      <c r="AH191" s="937"/>
      <c r="AI191" s="938"/>
      <c r="AJ191" s="936"/>
      <c r="AK191" s="937"/>
      <c r="AL191" s="938"/>
      <c r="AM191" s="936"/>
      <c r="AN191" s="933"/>
      <c r="AO191" s="936"/>
      <c r="AP191" s="933"/>
      <c r="AQ191" s="935"/>
      <c r="AR191" s="936"/>
      <c r="AS191" s="935"/>
      <c r="AT191" s="939"/>
      <c r="AU191" s="933"/>
      <c r="AV191" s="940"/>
      <c r="AW191" s="389">
        <f>AW185/12-AO185</f>
        <v>716680.01</v>
      </c>
      <c r="AX191" s="939"/>
      <c r="AY191" s="939"/>
      <c r="AZ191" s="941"/>
      <c r="BA191" s="941"/>
      <c r="BB191" s="941"/>
      <c r="BC191" s="934"/>
      <c r="BD191" s="941"/>
      <c r="BE191" s="941"/>
      <c r="BF191" s="941"/>
      <c r="BG191" s="942"/>
      <c r="BH191" s="941"/>
      <c r="BI191" s="941"/>
      <c r="BJ191" s="941"/>
      <c r="BK191" s="943"/>
      <c r="BL191" s="943"/>
      <c r="BM191" s="943"/>
      <c r="BN191" s="943"/>
      <c r="BO191" s="943"/>
      <c r="BP191" s="944"/>
      <c r="BQ191" s="943"/>
      <c r="BR191" s="943"/>
      <c r="BS191" s="943"/>
      <c r="BU191" s="945"/>
      <c r="BV191" s="946"/>
      <c r="BW191" s="947"/>
      <c r="BX191" s="945"/>
      <c r="BY191" s="947"/>
      <c r="BZ191" s="946"/>
      <c r="CA191" s="947"/>
      <c r="CB191" s="946"/>
      <c r="CC191" s="947"/>
      <c r="CD191" s="947"/>
      <c r="CE191" s="947"/>
      <c r="CF191" s="948"/>
      <c r="CG191" s="949"/>
      <c r="CH191" s="949"/>
      <c r="CI191" s="950"/>
      <c r="CJ191" s="951"/>
      <c r="CK191" s="951"/>
      <c r="CL191" s="952"/>
      <c r="CM191" s="951"/>
      <c r="CN191" s="951"/>
      <c r="CO191" s="952"/>
      <c r="CP191" s="951"/>
      <c r="CQ191" s="951"/>
      <c r="CR191" s="952"/>
      <c r="CS191" s="946"/>
      <c r="CT191" s="953"/>
      <c r="CU191" s="953"/>
      <c r="CV191" s="953"/>
      <c r="CX191" s="951"/>
      <c r="CY191" s="951"/>
      <c r="CZ191" s="952"/>
      <c r="DB191" s="954"/>
      <c r="DC191" s="954"/>
      <c r="DD191" s="921"/>
      <c r="DE191" s="954"/>
      <c r="DF191" s="954"/>
      <c r="DG191" s="921"/>
      <c r="DH191" s="954"/>
      <c r="DI191" s="954"/>
      <c r="DJ191" s="921"/>
      <c r="DK191" s="954"/>
      <c r="DL191" s="954"/>
      <c r="DM191" s="921"/>
      <c r="DN191" s="954"/>
      <c r="DO191" s="954"/>
      <c r="DP191" s="921"/>
      <c r="DQ191" s="942"/>
      <c r="DR191" s="951"/>
      <c r="DS191" s="951"/>
      <c r="DT191" s="952"/>
      <c r="DV191" s="921"/>
      <c r="DW191" s="921"/>
      <c r="DX191" s="921"/>
      <c r="DY191" s="921"/>
      <c r="DZ191" s="921"/>
      <c r="EA191" s="921"/>
      <c r="EB191" s="921"/>
      <c r="EC191" s="921"/>
      <c r="ED191" s="921"/>
      <c r="EE191" s="921"/>
      <c r="EF191" s="921"/>
      <c r="EG191" s="921"/>
      <c r="EH191" s="921"/>
      <c r="EI191" s="921"/>
      <c r="EJ191" s="921"/>
      <c r="EK191" s="921"/>
      <c r="EL191" s="921"/>
      <c r="EM191" s="921"/>
      <c r="EN191" s="921"/>
      <c r="EO191" s="921"/>
      <c r="EP191" s="921"/>
      <c r="EQ191" s="954"/>
      <c r="ER191" s="954"/>
      <c r="ES191" s="954"/>
      <c r="ET191" s="954"/>
      <c r="EV191" s="942"/>
      <c r="EW191" s="951"/>
      <c r="EX191" s="951"/>
      <c r="EY191" s="952"/>
    </row>
    <row r="192" spans="1:155" s="927" customFormat="1" ht="15.75" x14ac:dyDescent="0.25">
      <c r="A192" s="931"/>
      <c r="B192" s="932" t="s">
        <v>403</v>
      </c>
      <c r="C192" s="933"/>
      <c r="D192" s="933"/>
      <c r="E192" s="934"/>
      <c r="F192" s="935"/>
      <c r="G192" s="934"/>
      <c r="H192" s="935"/>
      <c r="I192" s="936"/>
      <c r="J192" s="937"/>
      <c r="K192" s="938"/>
      <c r="L192" s="936"/>
      <c r="M192" s="937"/>
      <c r="N192" s="938"/>
      <c r="O192" s="936"/>
      <c r="P192" s="937"/>
      <c r="Q192" s="938"/>
      <c r="R192" s="936"/>
      <c r="S192" s="937"/>
      <c r="T192" s="938"/>
      <c r="U192" s="936"/>
      <c r="V192" s="937"/>
      <c r="W192" s="938"/>
      <c r="X192" s="936"/>
      <c r="Y192" s="937"/>
      <c r="Z192" s="938"/>
      <c r="AA192" s="936"/>
      <c r="AB192" s="937"/>
      <c r="AC192" s="938"/>
      <c r="AD192" s="936"/>
      <c r="AE192" s="937"/>
      <c r="AF192" s="938"/>
      <c r="AG192" s="936"/>
      <c r="AH192" s="937"/>
      <c r="AI192" s="938"/>
      <c r="AJ192" s="936"/>
      <c r="AK192" s="937"/>
      <c r="AL192" s="938"/>
      <c r="AM192" s="936"/>
      <c r="AN192" s="933"/>
      <c r="AO192" s="936"/>
      <c r="AP192" s="933"/>
      <c r="AQ192" s="935"/>
      <c r="AR192" s="936"/>
      <c r="AS192" s="935"/>
      <c r="AT192" s="939"/>
      <c r="AU192" s="933"/>
      <c r="AV192" s="940"/>
      <c r="AW192" s="389">
        <f>AW186/12-AO186</f>
        <v>241072.11</v>
      </c>
      <c r="AX192" s="939"/>
      <c r="AY192" s="939"/>
      <c r="AZ192" s="941"/>
      <c r="BA192" s="941"/>
      <c r="BB192" s="941"/>
      <c r="BC192" s="934"/>
      <c r="BD192" s="941"/>
      <c r="BE192" s="941"/>
      <c r="BF192" s="941"/>
      <c r="BG192" s="942"/>
      <c r="BH192" s="941"/>
      <c r="BI192" s="941"/>
      <c r="BJ192" s="941"/>
      <c r="BK192" s="943"/>
      <c r="BL192" s="943"/>
      <c r="BM192" s="943"/>
      <c r="BN192" s="943"/>
      <c r="BO192" s="943"/>
      <c r="BP192" s="944"/>
      <c r="BQ192" s="943"/>
      <c r="BR192" s="943"/>
      <c r="BS192" s="943"/>
      <c r="BU192" s="945"/>
      <c r="BV192" s="946"/>
      <c r="BW192" s="947"/>
      <c r="BX192" s="945"/>
      <c r="BY192" s="947"/>
      <c r="BZ192" s="946"/>
      <c r="CA192" s="947"/>
      <c r="CB192" s="946"/>
      <c r="CC192" s="947"/>
      <c r="CD192" s="947"/>
      <c r="CE192" s="947"/>
      <c r="CF192" s="948"/>
      <c r="CG192" s="949"/>
      <c r="CH192" s="949"/>
      <c r="CI192" s="950"/>
      <c r="CJ192" s="951"/>
      <c r="CK192" s="951"/>
      <c r="CL192" s="952"/>
      <c r="CM192" s="951"/>
      <c r="CN192" s="951"/>
      <c r="CO192" s="952"/>
      <c r="CP192" s="951"/>
      <c r="CQ192" s="951"/>
      <c r="CR192" s="952"/>
      <c r="CS192" s="946"/>
      <c r="CT192" s="953"/>
      <c r="CU192" s="953"/>
      <c r="CV192" s="953"/>
      <c r="CX192" s="951"/>
      <c r="CY192" s="951"/>
      <c r="CZ192" s="952"/>
      <c r="DB192" s="954"/>
      <c r="DC192" s="954"/>
      <c r="DD192" s="921"/>
      <c r="DE192" s="954"/>
      <c r="DF192" s="954"/>
      <c r="DG192" s="921"/>
      <c r="DH192" s="954"/>
      <c r="DI192" s="954"/>
      <c r="DJ192" s="921"/>
      <c r="DK192" s="954"/>
      <c r="DL192" s="954"/>
      <c r="DM192" s="921"/>
      <c r="DN192" s="954"/>
      <c r="DO192" s="954"/>
      <c r="DP192" s="921"/>
      <c r="DQ192" s="942"/>
      <c r="DR192" s="951"/>
      <c r="DS192" s="951"/>
      <c r="DT192" s="952"/>
      <c r="DV192" s="921"/>
      <c r="DW192" s="921"/>
      <c r="DX192" s="921"/>
      <c r="DY192" s="921"/>
      <c r="DZ192" s="921"/>
      <c r="EA192" s="921"/>
      <c r="EB192" s="921"/>
      <c r="EC192" s="921"/>
      <c r="ED192" s="921"/>
      <c r="EE192" s="921"/>
      <c r="EF192" s="921"/>
      <c r="EG192" s="921"/>
      <c r="EH192" s="921"/>
      <c r="EI192" s="921"/>
      <c r="EJ192" s="921"/>
      <c r="EK192" s="921"/>
      <c r="EL192" s="921"/>
      <c r="EM192" s="921"/>
      <c r="EN192" s="921"/>
      <c r="EO192" s="921"/>
      <c r="EP192" s="921"/>
      <c r="EQ192" s="954"/>
      <c r="ER192" s="954"/>
      <c r="ES192" s="954"/>
      <c r="ET192" s="954"/>
      <c r="EV192" s="942"/>
      <c r="EW192" s="951"/>
      <c r="EX192" s="951"/>
      <c r="EY192" s="952"/>
    </row>
    <row r="193" spans="1:155" s="927" customFormat="1" ht="15.75" x14ac:dyDescent="0.25">
      <c r="A193" s="931"/>
      <c r="B193" s="932" t="s">
        <v>404</v>
      </c>
      <c r="C193" s="933"/>
      <c r="D193" s="933"/>
      <c r="E193" s="934"/>
      <c r="F193" s="935"/>
      <c r="G193" s="934"/>
      <c r="H193" s="935"/>
      <c r="I193" s="936"/>
      <c r="J193" s="937"/>
      <c r="K193" s="938"/>
      <c r="L193" s="936"/>
      <c r="M193" s="937"/>
      <c r="N193" s="938"/>
      <c r="O193" s="936"/>
      <c r="P193" s="937"/>
      <c r="Q193" s="938"/>
      <c r="R193" s="936"/>
      <c r="S193" s="937"/>
      <c r="T193" s="938"/>
      <c r="U193" s="936"/>
      <c r="V193" s="937"/>
      <c r="W193" s="938"/>
      <c r="X193" s="936"/>
      <c r="Y193" s="937"/>
      <c r="Z193" s="938"/>
      <c r="AA193" s="936"/>
      <c r="AB193" s="937"/>
      <c r="AC193" s="938"/>
      <c r="AD193" s="936"/>
      <c r="AE193" s="937"/>
      <c r="AF193" s="938"/>
      <c r="AG193" s="936"/>
      <c r="AH193" s="937"/>
      <c r="AI193" s="938"/>
      <c r="AJ193" s="936"/>
      <c r="AK193" s="937"/>
      <c r="AL193" s="938"/>
      <c r="AM193" s="936"/>
      <c r="AN193" s="933"/>
      <c r="AO193" s="936"/>
      <c r="AP193" s="933"/>
      <c r="AQ193" s="935"/>
      <c r="AR193" s="936"/>
      <c r="AS193" s="935"/>
      <c r="AT193" s="939"/>
      <c r="AU193" s="933"/>
      <c r="AV193" s="940"/>
      <c r="AW193" s="389">
        <f>AW187/12-AO187</f>
        <v>472173.18</v>
      </c>
      <c r="AX193" s="939"/>
      <c r="AY193" s="939"/>
      <c r="AZ193" s="941"/>
      <c r="BA193" s="941"/>
      <c r="BB193" s="941"/>
      <c r="BC193" s="934"/>
      <c r="BD193" s="941"/>
      <c r="BE193" s="941"/>
      <c r="BF193" s="941"/>
      <c r="BG193" s="942"/>
      <c r="BH193" s="941"/>
      <c r="BI193" s="941"/>
      <c r="BJ193" s="941"/>
      <c r="BK193" s="943"/>
      <c r="BL193" s="943"/>
      <c r="BM193" s="943"/>
      <c r="BN193" s="943"/>
      <c r="BO193" s="943"/>
      <c r="BP193" s="944"/>
      <c r="BQ193" s="943"/>
      <c r="BR193" s="943"/>
      <c r="BS193" s="943"/>
      <c r="BU193" s="945"/>
      <c r="BV193" s="946"/>
      <c r="BW193" s="947"/>
      <c r="BX193" s="945"/>
      <c r="BY193" s="947"/>
      <c r="BZ193" s="946"/>
      <c r="CA193" s="947"/>
      <c r="CB193" s="946"/>
      <c r="CC193" s="947"/>
      <c r="CD193" s="947"/>
      <c r="CE193" s="947"/>
      <c r="CF193" s="948"/>
      <c r="CG193" s="949"/>
      <c r="CH193" s="949"/>
      <c r="CI193" s="950"/>
      <c r="CJ193" s="951"/>
      <c r="CK193" s="951"/>
      <c r="CL193" s="952"/>
      <c r="CM193" s="951"/>
      <c r="CN193" s="951"/>
      <c r="CO193" s="952"/>
      <c r="CP193" s="951"/>
      <c r="CQ193" s="951"/>
      <c r="CR193" s="952"/>
      <c r="CS193" s="946"/>
      <c r="CT193" s="953"/>
      <c r="CU193" s="953"/>
      <c r="CV193" s="953"/>
      <c r="CX193" s="951"/>
      <c r="CY193" s="951"/>
      <c r="CZ193" s="952"/>
      <c r="DB193" s="954"/>
      <c r="DC193" s="954"/>
      <c r="DD193" s="921"/>
      <c r="DE193" s="954"/>
      <c r="DF193" s="954"/>
      <c r="DG193" s="921"/>
      <c r="DH193" s="954"/>
      <c r="DI193" s="954"/>
      <c r="DJ193" s="921"/>
      <c r="DK193" s="954"/>
      <c r="DL193" s="954"/>
      <c r="DM193" s="921"/>
      <c r="DN193" s="954"/>
      <c r="DO193" s="954"/>
      <c r="DP193" s="921"/>
      <c r="DQ193" s="942"/>
      <c r="DR193" s="951"/>
      <c r="DS193" s="951"/>
      <c r="DT193" s="952"/>
      <c r="DV193" s="921"/>
      <c r="DW193" s="921"/>
      <c r="DX193" s="921"/>
      <c r="DY193" s="921"/>
      <c r="DZ193" s="921"/>
      <c r="EA193" s="921"/>
      <c r="EB193" s="921"/>
      <c r="EC193" s="921"/>
      <c r="ED193" s="921"/>
      <c r="EE193" s="921"/>
      <c r="EF193" s="921"/>
      <c r="EG193" s="921"/>
      <c r="EH193" s="921"/>
      <c r="EI193" s="921"/>
      <c r="EJ193" s="921"/>
      <c r="EK193" s="921"/>
      <c r="EL193" s="921"/>
      <c r="EM193" s="921"/>
      <c r="EN193" s="921"/>
      <c r="EO193" s="921"/>
      <c r="EP193" s="921"/>
      <c r="EQ193" s="954"/>
      <c r="ER193" s="954"/>
      <c r="ES193" s="954"/>
      <c r="ET193" s="954"/>
      <c r="EV193" s="942"/>
      <c r="EW193" s="951"/>
      <c r="EX193" s="951"/>
      <c r="EY193" s="952"/>
    </row>
    <row r="194" spans="1:155" s="927" customFormat="1" ht="15.75" x14ac:dyDescent="0.25">
      <c r="A194" s="931"/>
      <c r="B194" s="932" t="s">
        <v>405</v>
      </c>
      <c r="C194" s="933"/>
      <c r="D194" s="933"/>
      <c r="E194" s="934"/>
      <c r="F194" s="935"/>
      <c r="G194" s="934"/>
      <c r="H194" s="935"/>
      <c r="I194" s="936"/>
      <c r="J194" s="937"/>
      <c r="K194" s="938"/>
      <c r="L194" s="936"/>
      <c r="M194" s="937"/>
      <c r="N194" s="938"/>
      <c r="O194" s="936"/>
      <c r="P194" s="937"/>
      <c r="Q194" s="938"/>
      <c r="R194" s="936"/>
      <c r="S194" s="937"/>
      <c r="T194" s="938"/>
      <c r="U194" s="936"/>
      <c r="V194" s="937"/>
      <c r="W194" s="938"/>
      <c r="X194" s="936"/>
      <c r="Y194" s="937"/>
      <c r="Z194" s="938"/>
      <c r="AA194" s="936"/>
      <c r="AB194" s="937"/>
      <c r="AC194" s="938"/>
      <c r="AD194" s="936"/>
      <c r="AE194" s="937"/>
      <c r="AF194" s="938"/>
      <c r="AG194" s="936"/>
      <c r="AH194" s="937"/>
      <c r="AI194" s="938"/>
      <c r="AJ194" s="936"/>
      <c r="AK194" s="937"/>
      <c r="AL194" s="938"/>
      <c r="AM194" s="936"/>
      <c r="AN194" s="933"/>
      <c r="AO194" s="936"/>
      <c r="AP194" s="933"/>
      <c r="AQ194" s="935"/>
      <c r="AR194" s="936"/>
      <c r="AS194" s="935"/>
      <c r="AT194" s="939"/>
      <c r="AU194" s="933"/>
      <c r="AV194" s="940"/>
      <c r="AW194" s="389">
        <f>AW188/12-AO188</f>
        <v>230103.73</v>
      </c>
      <c r="AX194" s="939"/>
      <c r="AY194" s="939"/>
      <c r="AZ194" s="941"/>
      <c r="BA194" s="941"/>
      <c r="BB194" s="941"/>
      <c r="BC194" s="934"/>
      <c r="BD194" s="941"/>
      <c r="BE194" s="941"/>
      <c r="BF194" s="941"/>
      <c r="BG194" s="942"/>
      <c r="BH194" s="941"/>
      <c r="BI194" s="941"/>
      <c r="BJ194" s="941"/>
      <c r="BK194" s="943"/>
      <c r="BL194" s="943"/>
      <c r="BM194" s="943"/>
      <c r="BN194" s="943"/>
      <c r="BO194" s="943"/>
      <c r="BP194" s="944"/>
      <c r="BQ194" s="943"/>
      <c r="BR194" s="943"/>
      <c r="BS194" s="943"/>
      <c r="BU194" s="945"/>
      <c r="BV194" s="946"/>
      <c r="BW194" s="947"/>
      <c r="BX194" s="945"/>
      <c r="BY194" s="947"/>
      <c r="BZ194" s="946"/>
      <c r="CA194" s="947"/>
      <c r="CB194" s="946"/>
      <c r="CC194" s="947"/>
      <c r="CD194" s="947"/>
      <c r="CE194" s="947"/>
      <c r="CF194" s="948"/>
      <c r="CG194" s="949"/>
      <c r="CH194" s="949"/>
      <c r="CI194" s="950"/>
      <c r="CJ194" s="951"/>
      <c r="CK194" s="951"/>
      <c r="CL194" s="952"/>
      <c r="CM194" s="951"/>
      <c r="CN194" s="951"/>
      <c r="CO194" s="952"/>
      <c r="CP194" s="951"/>
      <c r="CQ194" s="951"/>
      <c r="CR194" s="952"/>
      <c r="CS194" s="946"/>
      <c r="CT194" s="953"/>
      <c r="CU194" s="953"/>
      <c r="CV194" s="953"/>
      <c r="CX194" s="951"/>
      <c r="CY194" s="951"/>
      <c r="CZ194" s="952"/>
      <c r="DB194" s="954"/>
      <c r="DC194" s="954"/>
      <c r="DD194" s="921"/>
      <c r="DE194" s="954"/>
      <c r="DF194" s="954"/>
      <c r="DG194" s="921"/>
      <c r="DH194" s="954"/>
      <c r="DI194" s="954"/>
      <c r="DJ194" s="921"/>
      <c r="DK194" s="954"/>
      <c r="DL194" s="954"/>
      <c r="DM194" s="921"/>
      <c r="DN194" s="954"/>
      <c r="DO194" s="954"/>
      <c r="DP194" s="921"/>
      <c r="DQ194" s="942"/>
      <c r="DR194" s="951"/>
      <c r="DS194" s="951"/>
      <c r="DT194" s="952"/>
      <c r="DV194" s="921"/>
      <c r="DW194" s="921"/>
      <c r="DX194" s="921"/>
      <c r="DY194" s="921"/>
      <c r="DZ194" s="921"/>
      <c r="EA194" s="921"/>
      <c r="EB194" s="921"/>
      <c r="EC194" s="921"/>
      <c r="ED194" s="921"/>
      <c r="EE194" s="921"/>
      <c r="EF194" s="921"/>
      <c r="EG194" s="921"/>
      <c r="EH194" s="921"/>
      <c r="EI194" s="921"/>
      <c r="EJ194" s="921"/>
      <c r="EK194" s="921"/>
      <c r="EL194" s="921"/>
      <c r="EM194" s="921"/>
      <c r="EN194" s="921"/>
      <c r="EO194" s="921"/>
      <c r="EP194" s="921"/>
      <c r="EQ194" s="954"/>
      <c r="ER194" s="954"/>
      <c r="ES194" s="954"/>
      <c r="ET194" s="954"/>
      <c r="EV194" s="942"/>
      <c r="EW194" s="951"/>
      <c r="EX194" s="951"/>
      <c r="EY194" s="952"/>
    </row>
    <row r="195" spans="1:155" s="927" customFormat="1" ht="15.75" x14ac:dyDescent="0.25">
      <c r="A195" s="931"/>
      <c r="B195" s="932" t="s">
        <v>499</v>
      </c>
      <c r="C195" s="933"/>
      <c r="D195" s="933"/>
      <c r="E195" s="934"/>
      <c r="F195" s="935"/>
      <c r="G195" s="934"/>
      <c r="H195" s="935"/>
      <c r="I195" s="936"/>
      <c r="J195" s="937"/>
      <c r="K195" s="938"/>
      <c r="L195" s="936"/>
      <c r="M195" s="937"/>
      <c r="N195" s="938"/>
      <c r="O195" s="936"/>
      <c r="P195" s="937"/>
      <c r="Q195" s="938"/>
      <c r="R195" s="936"/>
      <c r="S195" s="937"/>
      <c r="T195" s="938"/>
      <c r="U195" s="936"/>
      <c r="V195" s="937"/>
      <c r="W195" s="938"/>
      <c r="X195" s="936"/>
      <c r="Y195" s="937"/>
      <c r="Z195" s="938"/>
      <c r="AA195" s="936"/>
      <c r="AB195" s="937"/>
      <c r="AC195" s="938"/>
      <c r="AD195" s="936"/>
      <c r="AE195" s="937"/>
      <c r="AF195" s="938"/>
      <c r="AG195" s="936"/>
      <c r="AH195" s="937"/>
      <c r="AI195" s="938"/>
      <c r="AJ195" s="936"/>
      <c r="AK195" s="937"/>
      <c r="AL195" s="938"/>
      <c r="AM195" s="936"/>
      <c r="AN195" s="933"/>
      <c r="AO195" s="936"/>
      <c r="AP195" s="933"/>
      <c r="AQ195" s="935"/>
      <c r="AR195" s="936"/>
      <c r="AS195" s="935"/>
      <c r="AT195" s="939"/>
      <c r="AU195" s="933"/>
      <c r="AV195" s="940"/>
      <c r="AW195" s="986"/>
      <c r="AX195" s="939"/>
      <c r="AY195" s="939"/>
      <c r="AZ195" s="941"/>
      <c r="BA195" s="941"/>
      <c r="BB195" s="941"/>
      <c r="BC195" s="934"/>
      <c r="BD195" s="941"/>
      <c r="BE195" s="941"/>
      <c r="BF195" s="941"/>
      <c r="BG195" s="942"/>
      <c r="BH195" s="941"/>
      <c r="BI195" s="941"/>
      <c r="BJ195" s="941"/>
      <c r="BK195" s="943"/>
      <c r="BL195" s="943"/>
      <c r="BM195" s="943"/>
      <c r="BN195" s="943"/>
      <c r="BO195" s="943"/>
      <c r="BP195" s="944"/>
      <c r="BQ195" s="943"/>
      <c r="BR195" s="943"/>
      <c r="BS195" s="943"/>
      <c r="BU195" s="945"/>
      <c r="BV195" s="946"/>
      <c r="BW195" s="947"/>
      <c r="BX195" s="945"/>
      <c r="BY195" s="947"/>
      <c r="BZ195" s="946"/>
      <c r="CA195" s="947"/>
      <c r="CB195" s="946"/>
      <c r="CC195" s="947"/>
      <c r="CD195" s="947"/>
      <c r="CE195" s="947"/>
      <c r="CF195" s="948"/>
      <c r="CG195" s="949"/>
      <c r="CH195" s="949"/>
      <c r="CI195" s="950"/>
      <c r="CJ195" s="951"/>
      <c r="CK195" s="951"/>
      <c r="CL195" s="952"/>
      <c r="CM195" s="951"/>
      <c r="CN195" s="951"/>
      <c r="CO195" s="952"/>
      <c r="CP195" s="951"/>
      <c r="CQ195" s="951"/>
      <c r="CR195" s="952"/>
      <c r="CS195" s="946"/>
      <c r="CT195" s="953"/>
      <c r="CU195" s="953"/>
      <c r="CV195" s="953"/>
      <c r="CX195" s="951"/>
      <c r="CY195" s="951"/>
      <c r="CZ195" s="952"/>
      <c r="DB195" s="954"/>
      <c r="DC195" s="954"/>
      <c r="DD195" s="921"/>
      <c r="DE195" s="954"/>
      <c r="DF195" s="954"/>
      <c r="DG195" s="921"/>
      <c r="DH195" s="954"/>
      <c r="DI195" s="954"/>
      <c r="DJ195" s="921"/>
      <c r="DK195" s="954"/>
      <c r="DL195" s="954"/>
      <c r="DM195" s="921"/>
      <c r="DN195" s="954"/>
      <c r="DO195" s="954"/>
      <c r="DP195" s="921"/>
      <c r="DQ195" s="942"/>
      <c r="DR195" s="951"/>
      <c r="DS195" s="951"/>
      <c r="DT195" s="952"/>
      <c r="DV195" s="921"/>
      <c r="DW195" s="921"/>
      <c r="DX195" s="921"/>
      <c r="DY195" s="921"/>
      <c r="DZ195" s="921"/>
      <c r="EA195" s="921"/>
      <c r="EB195" s="921"/>
      <c r="EC195" s="921"/>
      <c r="ED195" s="921"/>
      <c r="EE195" s="921"/>
      <c r="EF195" s="921"/>
      <c r="EG195" s="921"/>
      <c r="EH195" s="921"/>
      <c r="EI195" s="921"/>
      <c r="EJ195" s="921"/>
      <c r="EK195" s="921"/>
      <c r="EL195" s="921"/>
      <c r="EM195" s="921"/>
      <c r="EN195" s="921"/>
      <c r="EO195" s="921"/>
      <c r="EP195" s="921"/>
      <c r="EQ195" s="954"/>
      <c r="ER195" s="954"/>
      <c r="ES195" s="954"/>
      <c r="ET195" s="954"/>
      <c r="EV195" s="942"/>
      <c r="EW195" s="951"/>
      <c r="EX195" s="951"/>
      <c r="EY195" s="952"/>
    </row>
    <row r="196" spans="1:155" s="927" customFormat="1" ht="15.75" x14ac:dyDescent="0.25">
      <c r="A196" s="931"/>
      <c r="B196" s="932" t="s">
        <v>406</v>
      </c>
      <c r="C196" s="933"/>
      <c r="D196" s="933"/>
      <c r="E196" s="934"/>
      <c r="F196" s="935"/>
      <c r="G196" s="934"/>
      <c r="H196" s="935"/>
      <c r="I196" s="936"/>
      <c r="J196" s="937"/>
      <c r="K196" s="938"/>
      <c r="L196" s="936"/>
      <c r="M196" s="937"/>
      <c r="N196" s="938"/>
      <c r="O196" s="936"/>
      <c r="P196" s="937"/>
      <c r="Q196" s="938"/>
      <c r="R196" s="936"/>
      <c r="S196" s="937"/>
      <c r="T196" s="938"/>
      <c r="U196" s="936"/>
      <c r="V196" s="937"/>
      <c r="W196" s="938"/>
      <c r="X196" s="936"/>
      <c r="Y196" s="937"/>
      <c r="Z196" s="938"/>
      <c r="AA196" s="936"/>
      <c r="AB196" s="937"/>
      <c r="AC196" s="938"/>
      <c r="AD196" s="936"/>
      <c r="AE196" s="937"/>
      <c r="AF196" s="938"/>
      <c r="AG196" s="936"/>
      <c r="AH196" s="937"/>
      <c r="AI196" s="938"/>
      <c r="AJ196" s="936"/>
      <c r="AK196" s="937"/>
      <c r="AL196" s="938"/>
      <c r="AM196" s="936"/>
      <c r="AN196" s="933"/>
      <c r="AO196" s="936"/>
      <c r="AP196" s="933"/>
      <c r="AQ196" s="935"/>
      <c r="AR196" s="936"/>
      <c r="AS196" s="935"/>
      <c r="AT196" s="939"/>
      <c r="AU196" s="933"/>
      <c r="AV196" s="940"/>
      <c r="AW196" s="336">
        <f>AW191/I185</f>
        <v>1.34843</v>
      </c>
      <c r="AX196" s="939"/>
      <c r="AY196" s="939"/>
      <c r="AZ196" s="941"/>
      <c r="BA196" s="941"/>
      <c r="BB196" s="941"/>
      <c r="BC196" s="934"/>
      <c r="BD196" s="941"/>
      <c r="BE196" s="941"/>
      <c r="BF196" s="941"/>
      <c r="BG196" s="942"/>
      <c r="BH196" s="941"/>
      <c r="BI196" s="941"/>
      <c r="BJ196" s="941"/>
      <c r="BK196" s="943"/>
      <c r="BL196" s="943"/>
      <c r="BM196" s="943"/>
      <c r="BN196" s="943"/>
      <c r="BO196" s="943"/>
      <c r="BP196" s="944"/>
      <c r="BQ196" s="943"/>
      <c r="BR196" s="943"/>
      <c r="BS196" s="943"/>
      <c r="BU196" s="945"/>
      <c r="BV196" s="946"/>
      <c r="BW196" s="947"/>
      <c r="BX196" s="945"/>
      <c r="BY196" s="947"/>
      <c r="BZ196" s="946"/>
      <c r="CA196" s="947"/>
      <c r="CB196" s="946"/>
      <c r="CC196" s="947"/>
      <c r="CD196" s="947"/>
      <c r="CE196" s="947"/>
      <c r="CF196" s="948"/>
      <c r="CG196" s="949"/>
      <c r="CH196" s="949"/>
      <c r="CI196" s="950"/>
      <c r="CJ196" s="951"/>
      <c r="CK196" s="951"/>
      <c r="CL196" s="952"/>
      <c r="CM196" s="951"/>
      <c r="CN196" s="951"/>
      <c r="CO196" s="952"/>
      <c r="CP196" s="951"/>
      <c r="CQ196" s="951"/>
      <c r="CR196" s="952"/>
      <c r="CS196" s="946"/>
      <c r="CT196" s="953"/>
      <c r="CU196" s="953"/>
      <c r="CV196" s="953"/>
      <c r="CX196" s="951"/>
      <c r="CY196" s="951"/>
      <c r="CZ196" s="952"/>
      <c r="DB196" s="954"/>
      <c r="DC196" s="954"/>
      <c r="DD196" s="921"/>
      <c r="DE196" s="954"/>
      <c r="DF196" s="954"/>
      <c r="DG196" s="921"/>
      <c r="DH196" s="954"/>
      <c r="DI196" s="954"/>
      <c r="DJ196" s="921"/>
      <c r="DK196" s="954"/>
      <c r="DL196" s="954"/>
      <c r="DM196" s="921"/>
      <c r="DN196" s="954"/>
      <c r="DO196" s="954"/>
      <c r="DP196" s="921"/>
      <c r="DQ196" s="942"/>
      <c r="DR196" s="951"/>
      <c r="DS196" s="951"/>
      <c r="DT196" s="952"/>
      <c r="DV196" s="921"/>
      <c r="DW196" s="921"/>
      <c r="DX196" s="921"/>
      <c r="DY196" s="921"/>
      <c r="DZ196" s="921"/>
      <c r="EA196" s="921"/>
      <c r="EB196" s="921"/>
      <c r="EC196" s="921"/>
      <c r="ED196" s="921"/>
      <c r="EE196" s="921"/>
      <c r="EF196" s="921"/>
      <c r="EG196" s="921"/>
      <c r="EH196" s="921"/>
      <c r="EI196" s="921"/>
      <c r="EJ196" s="921"/>
      <c r="EK196" s="921"/>
      <c r="EL196" s="921"/>
      <c r="EM196" s="921"/>
      <c r="EN196" s="921"/>
      <c r="EO196" s="921"/>
      <c r="EP196" s="921"/>
      <c r="EQ196" s="954"/>
      <c r="ER196" s="954"/>
      <c r="ES196" s="954"/>
      <c r="ET196" s="954"/>
      <c r="EV196" s="942"/>
      <c r="EW196" s="951"/>
      <c r="EX196" s="951"/>
      <c r="EY196" s="952"/>
    </row>
    <row r="197" spans="1:155" s="927" customFormat="1" ht="15.75" x14ac:dyDescent="0.25">
      <c r="A197" s="931"/>
      <c r="B197" s="932" t="s">
        <v>498</v>
      </c>
      <c r="C197" s="933"/>
      <c r="D197" s="933"/>
      <c r="E197" s="934"/>
      <c r="F197" s="935"/>
      <c r="G197" s="934"/>
      <c r="H197" s="935"/>
      <c r="I197" s="936"/>
      <c r="J197" s="937"/>
      <c r="K197" s="938"/>
      <c r="L197" s="936"/>
      <c r="M197" s="937"/>
      <c r="N197" s="938"/>
      <c r="O197" s="936"/>
      <c r="P197" s="937"/>
      <c r="Q197" s="938"/>
      <c r="R197" s="936"/>
      <c r="S197" s="937"/>
      <c r="T197" s="938"/>
      <c r="U197" s="936"/>
      <c r="V197" s="937"/>
      <c r="W197" s="938"/>
      <c r="X197" s="936"/>
      <c r="Y197" s="937"/>
      <c r="Z197" s="938"/>
      <c r="AA197" s="936"/>
      <c r="AB197" s="937"/>
      <c r="AC197" s="938"/>
      <c r="AD197" s="936"/>
      <c r="AE197" s="937"/>
      <c r="AF197" s="938"/>
      <c r="AG197" s="936"/>
      <c r="AH197" s="937"/>
      <c r="AI197" s="938"/>
      <c r="AJ197" s="936"/>
      <c r="AK197" s="937"/>
      <c r="AL197" s="938"/>
      <c r="AM197" s="936"/>
      <c r="AN197" s="933"/>
      <c r="AO197" s="936"/>
      <c r="AP197" s="933"/>
      <c r="AQ197" s="935"/>
      <c r="AR197" s="936"/>
      <c r="AS197" s="935"/>
      <c r="AT197" s="939"/>
      <c r="AU197" s="933"/>
      <c r="AV197" s="940"/>
      <c r="AW197" s="986"/>
      <c r="AX197" s="939"/>
      <c r="AY197" s="939"/>
      <c r="AZ197" s="941"/>
      <c r="BA197" s="941"/>
      <c r="BB197" s="941"/>
      <c r="BC197" s="934"/>
      <c r="BD197" s="941"/>
      <c r="BE197" s="941"/>
      <c r="BF197" s="941"/>
      <c r="BG197" s="942"/>
      <c r="BH197" s="941"/>
      <c r="BI197" s="941"/>
      <c r="BJ197" s="941"/>
      <c r="BK197" s="943"/>
      <c r="BL197" s="943"/>
      <c r="BM197" s="943"/>
      <c r="BN197" s="943"/>
      <c r="BO197" s="943"/>
      <c r="BP197" s="944"/>
      <c r="BQ197" s="943"/>
      <c r="BR197" s="943"/>
      <c r="BS197" s="943"/>
      <c r="BU197" s="945"/>
      <c r="BV197" s="946"/>
      <c r="BW197" s="947"/>
      <c r="BX197" s="945"/>
      <c r="BY197" s="947"/>
      <c r="BZ197" s="946"/>
      <c r="CA197" s="947"/>
      <c r="CB197" s="946"/>
      <c r="CC197" s="947"/>
      <c r="CD197" s="947"/>
      <c r="CE197" s="947"/>
      <c r="CF197" s="948"/>
      <c r="CG197" s="949"/>
      <c r="CH197" s="949"/>
      <c r="CI197" s="950"/>
      <c r="CJ197" s="951"/>
      <c r="CK197" s="951"/>
      <c r="CL197" s="952"/>
      <c r="CM197" s="951"/>
      <c r="CN197" s="951"/>
      <c r="CO197" s="952"/>
      <c r="CP197" s="951"/>
      <c r="CQ197" s="951"/>
      <c r="CR197" s="952"/>
      <c r="CS197" s="946"/>
      <c r="CT197" s="953"/>
      <c r="CU197" s="953"/>
      <c r="CV197" s="953"/>
      <c r="CX197" s="951"/>
      <c r="CY197" s="951"/>
      <c r="CZ197" s="952"/>
      <c r="DB197" s="954"/>
      <c r="DC197" s="954"/>
      <c r="DD197" s="921"/>
      <c r="DE197" s="954"/>
      <c r="DF197" s="954"/>
      <c r="DG197" s="921"/>
      <c r="DH197" s="954"/>
      <c r="DI197" s="954"/>
      <c r="DJ197" s="921"/>
      <c r="DK197" s="954"/>
      <c r="DL197" s="954"/>
      <c r="DM197" s="921"/>
      <c r="DN197" s="954"/>
      <c r="DO197" s="954"/>
      <c r="DP197" s="921"/>
      <c r="DQ197" s="942"/>
      <c r="DR197" s="951"/>
      <c r="DS197" s="951"/>
      <c r="DT197" s="952"/>
      <c r="DV197" s="921"/>
      <c r="DW197" s="921"/>
      <c r="DX197" s="921"/>
      <c r="DY197" s="921"/>
      <c r="DZ197" s="921"/>
      <c r="EA197" s="921"/>
      <c r="EB197" s="921"/>
      <c r="EC197" s="921"/>
      <c r="ED197" s="921"/>
      <c r="EE197" s="921"/>
      <c r="EF197" s="921"/>
      <c r="EG197" s="921"/>
      <c r="EH197" s="921"/>
      <c r="EI197" s="921"/>
      <c r="EJ197" s="921"/>
      <c r="EK197" s="921"/>
      <c r="EL197" s="921"/>
      <c r="EM197" s="921"/>
      <c r="EN197" s="921"/>
      <c r="EO197" s="921"/>
      <c r="EP197" s="921"/>
      <c r="EQ197" s="954"/>
      <c r="ER197" s="954"/>
      <c r="ES197" s="954"/>
      <c r="ET197" s="954"/>
      <c r="EV197" s="942"/>
      <c r="EW197" s="951"/>
      <c r="EX197" s="951"/>
      <c r="EY197" s="952"/>
    </row>
    <row r="198" spans="1:155" s="927" customFormat="1" ht="15.75" x14ac:dyDescent="0.25">
      <c r="A198" s="931"/>
      <c r="B198" s="932" t="s">
        <v>403</v>
      </c>
      <c r="C198" s="933"/>
      <c r="D198" s="933"/>
      <c r="E198" s="934"/>
      <c r="F198" s="935"/>
      <c r="G198" s="934"/>
      <c r="H198" s="935"/>
      <c r="I198" s="936"/>
      <c r="J198" s="937"/>
      <c r="K198" s="938"/>
      <c r="L198" s="936"/>
      <c r="M198" s="937"/>
      <c r="N198" s="938"/>
      <c r="O198" s="936"/>
      <c r="P198" s="937"/>
      <c r="Q198" s="938"/>
      <c r="R198" s="936"/>
      <c r="S198" s="937"/>
      <c r="T198" s="938"/>
      <c r="U198" s="936"/>
      <c r="V198" s="937"/>
      <c r="W198" s="938"/>
      <c r="X198" s="936"/>
      <c r="Y198" s="937"/>
      <c r="Z198" s="938"/>
      <c r="AA198" s="936"/>
      <c r="AB198" s="937"/>
      <c r="AC198" s="938"/>
      <c r="AD198" s="936"/>
      <c r="AE198" s="937"/>
      <c r="AF198" s="938"/>
      <c r="AG198" s="936"/>
      <c r="AH198" s="937"/>
      <c r="AI198" s="938"/>
      <c r="AJ198" s="936"/>
      <c r="AK198" s="937"/>
      <c r="AL198" s="938"/>
      <c r="AM198" s="936"/>
      <c r="AN198" s="933"/>
      <c r="AO198" s="936"/>
      <c r="AP198" s="933"/>
      <c r="AQ198" s="935"/>
      <c r="AR198" s="936"/>
      <c r="AS198" s="935"/>
      <c r="AT198" s="939"/>
      <c r="AU198" s="933"/>
      <c r="AV198" s="940"/>
      <c r="AW198" s="337">
        <f>AW192/AW191</f>
        <v>0.33637</v>
      </c>
      <c r="AX198" s="939"/>
      <c r="AY198" s="939"/>
      <c r="AZ198" s="941"/>
      <c r="BA198" s="941"/>
      <c r="BB198" s="941"/>
      <c r="BC198" s="934"/>
      <c r="BD198" s="941"/>
      <c r="BE198" s="941"/>
      <c r="BF198" s="941"/>
      <c r="BG198" s="942"/>
      <c r="BH198" s="941"/>
      <c r="BI198" s="941"/>
      <c r="BJ198" s="941"/>
      <c r="BK198" s="943"/>
      <c r="BL198" s="943"/>
      <c r="BM198" s="943"/>
      <c r="BN198" s="943"/>
      <c r="BO198" s="943"/>
      <c r="BP198" s="944"/>
      <c r="BQ198" s="943"/>
      <c r="BR198" s="943"/>
      <c r="BS198" s="943"/>
      <c r="BU198" s="945"/>
      <c r="BV198" s="946"/>
      <c r="BW198" s="947"/>
      <c r="BX198" s="945"/>
      <c r="BY198" s="947"/>
      <c r="BZ198" s="946"/>
      <c r="CA198" s="947"/>
      <c r="CB198" s="946"/>
      <c r="CC198" s="947"/>
      <c r="CD198" s="947"/>
      <c r="CE198" s="947"/>
      <c r="CF198" s="948"/>
      <c r="CG198" s="949"/>
      <c r="CH198" s="949"/>
      <c r="CI198" s="950"/>
      <c r="CJ198" s="951"/>
      <c r="CK198" s="951"/>
      <c r="CL198" s="952"/>
      <c r="CM198" s="951"/>
      <c r="CN198" s="951"/>
      <c r="CO198" s="952"/>
      <c r="CP198" s="951"/>
      <c r="CQ198" s="951"/>
      <c r="CR198" s="952"/>
      <c r="CS198" s="946"/>
      <c r="CT198" s="953"/>
      <c r="CU198" s="953"/>
      <c r="CV198" s="953"/>
      <c r="CX198" s="951"/>
      <c r="CY198" s="951"/>
      <c r="CZ198" s="952"/>
      <c r="DB198" s="954"/>
      <c r="DC198" s="954"/>
      <c r="DD198" s="921"/>
      <c r="DE198" s="954"/>
      <c r="DF198" s="954"/>
      <c r="DG198" s="921"/>
      <c r="DH198" s="954"/>
      <c r="DI198" s="954"/>
      <c r="DJ198" s="921"/>
      <c r="DK198" s="954"/>
      <c r="DL198" s="954"/>
      <c r="DM198" s="921"/>
      <c r="DN198" s="954"/>
      <c r="DO198" s="954"/>
      <c r="DP198" s="921"/>
      <c r="DQ198" s="942"/>
      <c r="DR198" s="951"/>
      <c r="DS198" s="951"/>
      <c r="DT198" s="952"/>
      <c r="DV198" s="921"/>
      <c r="DW198" s="921"/>
      <c r="DX198" s="921"/>
      <c r="DY198" s="921"/>
      <c r="DZ198" s="921"/>
      <c r="EA198" s="921"/>
      <c r="EB198" s="921"/>
      <c r="EC198" s="921"/>
      <c r="ED198" s="921"/>
      <c r="EE198" s="921"/>
      <c r="EF198" s="921"/>
      <c r="EG198" s="921"/>
      <c r="EH198" s="921"/>
      <c r="EI198" s="921"/>
      <c r="EJ198" s="921"/>
      <c r="EK198" s="921"/>
      <c r="EL198" s="921"/>
      <c r="EM198" s="921"/>
      <c r="EN198" s="921"/>
      <c r="EO198" s="921"/>
      <c r="EP198" s="921"/>
      <c r="EQ198" s="954"/>
      <c r="ER198" s="954"/>
      <c r="ES198" s="954"/>
      <c r="ET198" s="954"/>
      <c r="EV198" s="942"/>
      <c r="EW198" s="951"/>
      <c r="EX198" s="951"/>
      <c r="EY198" s="952"/>
    </row>
    <row r="199" spans="1:155" s="927" customFormat="1" ht="15.75" x14ac:dyDescent="0.25">
      <c r="A199" s="931"/>
      <c r="B199" s="932" t="s">
        <v>404</v>
      </c>
      <c r="C199" s="933"/>
      <c r="D199" s="933"/>
      <c r="E199" s="934"/>
      <c r="F199" s="935"/>
      <c r="G199" s="934"/>
      <c r="H199" s="935"/>
      <c r="I199" s="936"/>
      <c r="J199" s="937"/>
      <c r="K199" s="938"/>
      <c r="L199" s="936"/>
      <c r="M199" s="937"/>
      <c r="N199" s="938"/>
      <c r="O199" s="936"/>
      <c r="P199" s="937"/>
      <c r="Q199" s="938"/>
      <c r="R199" s="936"/>
      <c r="S199" s="937"/>
      <c r="T199" s="938"/>
      <c r="U199" s="936"/>
      <c r="V199" s="937"/>
      <c r="W199" s="938"/>
      <c r="X199" s="936"/>
      <c r="Y199" s="937"/>
      <c r="Z199" s="938"/>
      <c r="AA199" s="936"/>
      <c r="AB199" s="937"/>
      <c r="AC199" s="938"/>
      <c r="AD199" s="936"/>
      <c r="AE199" s="937"/>
      <c r="AF199" s="938"/>
      <c r="AG199" s="936"/>
      <c r="AH199" s="937"/>
      <c r="AI199" s="938"/>
      <c r="AJ199" s="936"/>
      <c r="AK199" s="937"/>
      <c r="AL199" s="938"/>
      <c r="AM199" s="936"/>
      <c r="AN199" s="933"/>
      <c r="AO199" s="936"/>
      <c r="AP199" s="933"/>
      <c r="AQ199" s="935"/>
      <c r="AR199" s="936"/>
      <c r="AS199" s="935"/>
      <c r="AT199" s="939"/>
      <c r="AU199" s="933"/>
      <c r="AV199" s="940"/>
      <c r="AW199" s="338">
        <f>AW193/AW191</f>
        <v>0.65883000000000003</v>
      </c>
      <c r="AX199" s="939"/>
      <c r="AY199" s="939"/>
      <c r="AZ199" s="941"/>
      <c r="BA199" s="941"/>
      <c r="BB199" s="941"/>
      <c r="BC199" s="934"/>
      <c r="BD199" s="941"/>
      <c r="BE199" s="941"/>
      <c r="BF199" s="941"/>
      <c r="BG199" s="942"/>
      <c r="BH199" s="941"/>
      <c r="BI199" s="941"/>
      <c r="BJ199" s="941"/>
      <c r="BK199" s="943"/>
      <c r="BL199" s="943"/>
      <c r="BM199" s="943"/>
      <c r="BN199" s="943"/>
      <c r="BO199" s="943"/>
      <c r="BP199" s="944"/>
      <c r="BQ199" s="943"/>
      <c r="BR199" s="943"/>
      <c r="BS199" s="943"/>
      <c r="BU199" s="945"/>
      <c r="BV199" s="946"/>
      <c r="BW199" s="947"/>
      <c r="BX199" s="945"/>
      <c r="BY199" s="947"/>
      <c r="BZ199" s="946"/>
      <c r="CA199" s="947"/>
      <c r="CB199" s="946"/>
      <c r="CC199" s="947"/>
      <c r="CD199" s="947"/>
      <c r="CE199" s="947"/>
      <c r="CF199" s="948"/>
      <c r="CG199" s="949"/>
      <c r="CH199" s="949"/>
      <c r="CI199" s="950"/>
      <c r="CJ199" s="951"/>
      <c r="CK199" s="951"/>
      <c r="CL199" s="952"/>
      <c r="CM199" s="951"/>
      <c r="CN199" s="951"/>
      <c r="CO199" s="952"/>
      <c r="CP199" s="951"/>
      <c r="CQ199" s="951"/>
      <c r="CR199" s="952"/>
      <c r="CS199" s="946"/>
      <c r="CT199" s="953"/>
      <c r="CU199" s="953"/>
      <c r="CV199" s="953"/>
      <c r="CX199" s="951"/>
      <c r="CY199" s="951"/>
      <c r="CZ199" s="952"/>
      <c r="DB199" s="954"/>
      <c r="DC199" s="954"/>
      <c r="DD199" s="921"/>
      <c r="DE199" s="954"/>
      <c r="DF199" s="954"/>
      <c r="DG199" s="921"/>
      <c r="DH199" s="954"/>
      <c r="DI199" s="954"/>
      <c r="DJ199" s="921"/>
      <c r="DK199" s="954"/>
      <c r="DL199" s="954"/>
      <c r="DM199" s="921"/>
      <c r="DN199" s="954"/>
      <c r="DO199" s="954"/>
      <c r="DP199" s="921"/>
      <c r="DQ199" s="942"/>
      <c r="DR199" s="951"/>
      <c r="DS199" s="951"/>
      <c r="DT199" s="952"/>
      <c r="DV199" s="921"/>
      <c r="DW199" s="921"/>
      <c r="DX199" s="921"/>
      <c r="DY199" s="921"/>
      <c r="DZ199" s="921"/>
      <c r="EA199" s="921"/>
      <c r="EB199" s="921"/>
      <c r="EC199" s="921"/>
      <c r="ED199" s="921"/>
      <c r="EE199" s="921"/>
      <c r="EF199" s="921"/>
      <c r="EG199" s="921"/>
      <c r="EH199" s="921"/>
      <c r="EI199" s="921"/>
      <c r="EJ199" s="921"/>
      <c r="EK199" s="921"/>
      <c r="EL199" s="921"/>
      <c r="EM199" s="921"/>
      <c r="EN199" s="921"/>
      <c r="EO199" s="921"/>
      <c r="EP199" s="921"/>
      <c r="EQ199" s="954"/>
      <c r="ER199" s="954"/>
      <c r="ES199" s="954"/>
      <c r="ET199" s="954"/>
      <c r="EV199" s="942"/>
      <c r="EW199" s="951"/>
      <c r="EX199" s="951"/>
      <c r="EY199" s="952"/>
    </row>
    <row r="200" spans="1:155" s="927" customFormat="1" ht="15.75" x14ac:dyDescent="0.25">
      <c r="A200" s="931"/>
      <c r="B200" s="932" t="s">
        <v>405</v>
      </c>
      <c r="C200" s="933"/>
      <c r="D200" s="933"/>
      <c r="E200" s="934"/>
      <c r="F200" s="935"/>
      <c r="G200" s="934"/>
      <c r="H200" s="935"/>
      <c r="I200" s="936"/>
      <c r="J200" s="937"/>
      <c r="K200" s="938"/>
      <c r="L200" s="936"/>
      <c r="M200" s="937"/>
      <c r="N200" s="938"/>
      <c r="O200" s="936"/>
      <c r="P200" s="937"/>
      <c r="Q200" s="938"/>
      <c r="R200" s="936"/>
      <c r="S200" s="937"/>
      <c r="T200" s="938"/>
      <c r="U200" s="936"/>
      <c r="V200" s="937"/>
      <c r="W200" s="938"/>
      <c r="X200" s="936"/>
      <c r="Y200" s="937"/>
      <c r="Z200" s="938"/>
      <c r="AA200" s="936"/>
      <c r="AB200" s="937"/>
      <c r="AC200" s="938"/>
      <c r="AD200" s="936"/>
      <c r="AE200" s="937"/>
      <c r="AF200" s="938"/>
      <c r="AG200" s="936"/>
      <c r="AH200" s="937"/>
      <c r="AI200" s="938"/>
      <c r="AJ200" s="936"/>
      <c r="AK200" s="937"/>
      <c r="AL200" s="938"/>
      <c r="AM200" s="936"/>
      <c r="AN200" s="933"/>
      <c r="AO200" s="936"/>
      <c r="AP200" s="933"/>
      <c r="AQ200" s="935"/>
      <c r="AR200" s="936"/>
      <c r="AS200" s="935"/>
      <c r="AT200" s="939"/>
      <c r="AU200" s="933"/>
      <c r="AV200" s="940"/>
      <c r="AW200" s="339">
        <f>AW194/AW191</f>
        <v>0.32107000000000002</v>
      </c>
      <c r="AX200" s="939"/>
      <c r="AY200" s="939"/>
      <c r="AZ200" s="941"/>
      <c r="BA200" s="941"/>
      <c r="BB200" s="941"/>
      <c r="BC200" s="934"/>
      <c r="BD200" s="941"/>
      <c r="BE200" s="941"/>
      <c r="BF200" s="941"/>
      <c r="BG200" s="942"/>
      <c r="BH200" s="941"/>
      <c r="BI200" s="941"/>
      <c r="BJ200" s="941"/>
      <c r="BK200" s="943"/>
      <c r="BL200" s="943"/>
      <c r="BM200" s="943"/>
      <c r="BN200" s="943"/>
      <c r="BO200" s="943"/>
      <c r="BP200" s="944"/>
      <c r="BQ200" s="943"/>
      <c r="BR200" s="943"/>
      <c r="BS200" s="943"/>
      <c r="BU200" s="945"/>
      <c r="BV200" s="946"/>
      <c r="BW200" s="947"/>
      <c r="BX200" s="945"/>
      <c r="BY200" s="947"/>
      <c r="BZ200" s="946"/>
      <c r="CA200" s="947"/>
      <c r="CB200" s="946"/>
      <c r="CC200" s="947"/>
      <c r="CD200" s="947"/>
      <c r="CE200" s="947"/>
      <c r="CF200" s="948"/>
      <c r="CG200" s="949"/>
      <c r="CH200" s="949"/>
      <c r="CI200" s="950"/>
      <c r="CJ200" s="951"/>
      <c r="CK200" s="951"/>
      <c r="CL200" s="952"/>
      <c r="CM200" s="951"/>
      <c r="CN200" s="951"/>
      <c r="CO200" s="952"/>
      <c r="CP200" s="951"/>
      <c r="CQ200" s="951"/>
      <c r="CR200" s="952"/>
      <c r="CS200" s="946"/>
      <c r="CT200" s="953"/>
      <c r="CU200" s="953"/>
      <c r="CV200" s="953"/>
      <c r="CX200" s="951"/>
      <c r="CY200" s="951"/>
      <c r="CZ200" s="952"/>
      <c r="DB200" s="954"/>
      <c r="DC200" s="954"/>
      <c r="DD200" s="921"/>
      <c r="DE200" s="954"/>
      <c r="DF200" s="954"/>
      <c r="DG200" s="921"/>
      <c r="DH200" s="954"/>
      <c r="DI200" s="954"/>
      <c r="DJ200" s="921"/>
      <c r="DK200" s="954"/>
      <c r="DL200" s="954"/>
      <c r="DM200" s="921"/>
      <c r="DN200" s="954"/>
      <c r="DO200" s="954"/>
      <c r="DP200" s="921"/>
      <c r="DQ200" s="942"/>
      <c r="DR200" s="951"/>
      <c r="DS200" s="951"/>
      <c r="DT200" s="952"/>
      <c r="DV200" s="921"/>
      <c r="DW200" s="921"/>
      <c r="DX200" s="921"/>
      <c r="DY200" s="921"/>
      <c r="DZ200" s="921"/>
      <c r="EA200" s="921"/>
      <c r="EB200" s="921"/>
      <c r="EC200" s="921"/>
      <c r="ED200" s="921"/>
      <c r="EE200" s="921"/>
      <c r="EF200" s="921"/>
      <c r="EG200" s="921"/>
      <c r="EH200" s="921"/>
      <c r="EI200" s="921"/>
      <c r="EJ200" s="921"/>
      <c r="EK200" s="921"/>
      <c r="EL200" s="921"/>
      <c r="EM200" s="921"/>
      <c r="EN200" s="921"/>
      <c r="EO200" s="921"/>
      <c r="EP200" s="921"/>
      <c r="EQ200" s="954"/>
      <c r="ER200" s="954"/>
      <c r="ES200" s="954"/>
      <c r="ET200" s="954"/>
      <c r="EV200" s="942"/>
      <c r="EW200" s="951"/>
      <c r="EX200" s="951"/>
      <c r="EY200" s="952"/>
    </row>
    <row r="201" spans="1:155" s="927" customFormat="1" ht="15.75" x14ac:dyDescent="0.25">
      <c r="A201" s="931"/>
      <c r="B201" s="932" t="s">
        <v>807</v>
      </c>
      <c r="C201" s="933"/>
      <c r="D201" s="933"/>
      <c r="E201" s="934"/>
      <c r="F201" s="935"/>
      <c r="G201" s="934"/>
      <c r="H201" s="935"/>
      <c r="I201" s="936"/>
      <c r="J201" s="937"/>
      <c r="K201" s="938"/>
      <c r="L201" s="936"/>
      <c r="M201" s="937"/>
      <c r="N201" s="938"/>
      <c r="O201" s="936"/>
      <c r="P201" s="937"/>
      <c r="Q201" s="938"/>
      <c r="R201" s="936"/>
      <c r="S201" s="937"/>
      <c r="T201" s="938"/>
      <c r="U201" s="936"/>
      <c r="V201" s="937"/>
      <c r="W201" s="938"/>
      <c r="X201" s="936"/>
      <c r="Y201" s="937"/>
      <c r="Z201" s="938"/>
      <c r="AA201" s="936"/>
      <c r="AB201" s="937"/>
      <c r="AC201" s="938"/>
      <c r="AD201" s="936"/>
      <c r="AE201" s="937"/>
      <c r="AF201" s="938"/>
      <c r="AG201" s="936"/>
      <c r="AH201" s="937"/>
      <c r="AI201" s="938"/>
      <c r="AJ201" s="936"/>
      <c r="AK201" s="937"/>
      <c r="AL201" s="938"/>
      <c r="AM201" s="936"/>
      <c r="AN201" s="933"/>
      <c r="AO201" s="936"/>
      <c r="AP201" s="933"/>
      <c r="AQ201" s="935"/>
      <c r="AR201" s="936"/>
      <c r="AS201" s="935"/>
      <c r="AT201" s="939"/>
      <c r="AU201" s="933"/>
      <c r="AV201" s="940"/>
      <c r="AW201" s="335">
        <f>(AW184/12)/AW190</f>
        <v>1.4220999999999999</v>
      </c>
      <c r="AX201" s="939"/>
      <c r="AY201" s="939"/>
      <c r="AZ201" s="941"/>
      <c r="BA201" s="941"/>
      <c r="BB201" s="941"/>
      <c r="BC201" s="934"/>
      <c r="BD201" s="941"/>
      <c r="BE201" s="941"/>
      <c r="BF201" s="941"/>
      <c r="BG201" s="942"/>
      <c r="BH201" s="941"/>
      <c r="BI201" s="941"/>
      <c r="BJ201" s="941"/>
      <c r="BK201" s="943"/>
      <c r="BL201" s="943"/>
      <c r="BM201" s="943"/>
      <c r="BN201" s="943"/>
      <c r="BO201" s="943"/>
      <c r="BP201" s="944"/>
      <c r="BQ201" s="943"/>
      <c r="BR201" s="943"/>
      <c r="BS201" s="943"/>
      <c r="BU201" s="945"/>
      <c r="BV201" s="946"/>
      <c r="BW201" s="947"/>
      <c r="BX201" s="945"/>
      <c r="BY201" s="947"/>
      <c r="BZ201" s="946"/>
      <c r="CA201" s="947"/>
      <c r="CB201" s="946"/>
      <c r="CC201" s="947"/>
      <c r="CD201" s="947"/>
      <c r="CE201" s="947"/>
      <c r="CF201" s="948"/>
      <c r="CG201" s="949"/>
      <c r="CH201" s="949"/>
      <c r="CI201" s="950"/>
      <c r="CJ201" s="951"/>
      <c r="CK201" s="951"/>
      <c r="CL201" s="952"/>
      <c r="CM201" s="951"/>
      <c r="CN201" s="951"/>
      <c r="CO201" s="952"/>
      <c r="CP201" s="951"/>
      <c r="CQ201" s="951"/>
      <c r="CR201" s="952"/>
      <c r="CS201" s="946"/>
      <c r="CT201" s="953"/>
      <c r="CU201" s="953"/>
      <c r="CV201" s="953"/>
      <c r="CX201" s="951"/>
      <c r="CY201" s="951"/>
      <c r="CZ201" s="952"/>
      <c r="DB201" s="954"/>
      <c r="DC201" s="954"/>
      <c r="DD201" s="921"/>
      <c r="DE201" s="954"/>
      <c r="DF201" s="954"/>
      <c r="DG201" s="921"/>
      <c r="DH201" s="954"/>
      <c r="DI201" s="954"/>
      <c r="DJ201" s="921"/>
      <c r="DK201" s="954"/>
      <c r="DL201" s="954"/>
      <c r="DM201" s="921"/>
      <c r="DN201" s="954"/>
      <c r="DO201" s="954"/>
      <c r="DP201" s="921"/>
      <c r="DQ201" s="942"/>
      <c r="DR201" s="951"/>
      <c r="DS201" s="951"/>
      <c r="DT201" s="952"/>
      <c r="DV201" s="921"/>
      <c r="DW201" s="921"/>
      <c r="DX201" s="921"/>
      <c r="DY201" s="921"/>
      <c r="DZ201" s="921"/>
      <c r="EA201" s="921"/>
      <c r="EB201" s="921"/>
      <c r="EC201" s="921"/>
      <c r="ED201" s="921"/>
      <c r="EE201" s="921"/>
      <c r="EF201" s="921"/>
      <c r="EG201" s="921"/>
      <c r="EH201" s="921"/>
      <c r="EI201" s="921"/>
      <c r="EJ201" s="921"/>
      <c r="EK201" s="921"/>
      <c r="EL201" s="921"/>
      <c r="EM201" s="921"/>
      <c r="EN201" s="921"/>
      <c r="EO201" s="921"/>
      <c r="EP201" s="921"/>
      <c r="EQ201" s="954"/>
      <c r="ER201" s="954"/>
      <c r="ES201" s="954"/>
      <c r="ET201" s="954"/>
      <c r="EV201" s="942"/>
      <c r="EW201" s="951"/>
      <c r="EX201" s="951"/>
      <c r="EY201" s="952"/>
    </row>
    <row r="202" spans="1:155" s="927" customFormat="1" ht="15.75" x14ac:dyDescent="0.25">
      <c r="A202" s="931"/>
      <c r="B202" s="932"/>
      <c r="C202" s="933"/>
      <c r="D202" s="933"/>
      <c r="E202" s="934"/>
      <c r="F202" s="935"/>
      <c r="G202" s="934"/>
      <c r="H202" s="935"/>
      <c r="I202" s="936"/>
      <c r="J202" s="937"/>
      <c r="K202" s="938"/>
      <c r="L202" s="936"/>
      <c r="M202" s="937"/>
      <c r="N202" s="938"/>
      <c r="O202" s="936"/>
      <c r="P202" s="937"/>
      <c r="Q202" s="938"/>
      <c r="R202" s="936"/>
      <c r="S202" s="937"/>
      <c r="T202" s="938"/>
      <c r="U202" s="936"/>
      <c r="V202" s="937"/>
      <c r="W202" s="938"/>
      <c r="X202" s="936"/>
      <c r="Y202" s="937"/>
      <c r="Z202" s="938"/>
      <c r="AA202" s="936"/>
      <c r="AB202" s="937"/>
      <c r="AC202" s="938"/>
      <c r="AD202" s="936"/>
      <c r="AE202" s="937"/>
      <c r="AF202" s="938"/>
      <c r="AG202" s="936"/>
      <c r="AH202" s="937"/>
      <c r="AI202" s="938"/>
      <c r="AJ202" s="936"/>
      <c r="AK202" s="937"/>
      <c r="AL202" s="938"/>
      <c r="AM202" s="936"/>
      <c r="AN202" s="933"/>
      <c r="AO202" s="936"/>
      <c r="AP202" s="933"/>
      <c r="AQ202" s="935"/>
      <c r="AR202" s="936"/>
      <c r="AS202" s="935"/>
      <c r="AT202" s="939"/>
      <c r="AU202" s="933"/>
      <c r="AV202" s="940"/>
      <c r="AW202" s="939"/>
      <c r="AX202" s="939"/>
      <c r="AY202" s="939"/>
      <c r="AZ202" s="941"/>
      <c r="BA202" s="941"/>
      <c r="BB202" s="941"/>
      <c r="BC202" s="934"/>
      <c r="BD202" s="941"/>
      <c r="BE202" s="941"/>
      <c r="BF202" s="941"/>
      <c r="BG202" s="942"/>
      <c r="BH202" s="941"/>
      <c r="BI202" s="941"/>
      <c r="BJ202" s="941"/>
      <c r="BK202" s="943"/>
      <c r="BL202" s="943"/>
      <c r="BM202" s="943"/>
      <c r="BN202" s="943"/>
      <c r="BO202" s="943"/>
      <c r="BP202" s="944"/>
      <c r="BQ202" s="943"/>
      <c r="BR202" s="943"/>
      <c r="BS202" s="943"/>
      <c r="BU202" s="945"/>
      <c r="BV202" s="946"/>
      <c r="BW202" s="947"/>
      <c r="BX202" s="945"/>
      <c r="BY202" s="947"/>
      <c r="BZ202" s="946"/>
      <c r="CA202" s="947"/>
      <c r="CB202" s="946"/>
      <c r="CC202" s="947"/>
      <c r="CD202" s="947"/>
      <c r="CE202" s="947"/>
      <c r="CF202" s="948"/>
      <c r="CG202" s="949"/>
      <c r="CH202" s="949"/>
      <c r="CI202" s="950"/>
      <c r="CJ202" s="951"/>
      <c r="CK202" s="951"/>
      <c r="CL202" s="952"/>
      <c r="CM202" s="951"/>
      <c r="CN202" s="951"/>
      <c r="CO202" s="952"/>
      <c r="CP202" s="951"/>
      <c r="CQ202" s="951"/>
      <c r="CR202" s="952"/>
      <c r="CS202" s="946"/>
      <c r="CT202" s="953"/>
      <c r="CU202" s="953"/>
      <c r="CV202" s="953"/>
      <c r="CX202" s="951"/>
      <c r="CY202" s="951"/>
      <c r="CZ202" s="952"/>
      <c r="DB202" s="954"/>
      <c r="DC202" s="954"/>
      <c r="DD202" s="921"/>
      <c r="DE202" s="954"/>
      <c r="DF202" s="954"/>
      <c r="DG202" s="921"/>
      <c r="DH202" s="954"/>
      <c r="DI202" s="954"/>
      <c r="DJ202" s="921"/>
      <c r="DK202" s="954"/>
      <c r="DL202" s="954"/>
      <c r="DM202" s="921"/>
      <c r="DN202" s="954"/>
      <c r="DO202" s="954"/>
      <c r="DP202" s="921"/>
      <c r="DQ202" s="942"/>
      <c r="DR202" s="951"/>
      <c r="DS202" s="951"/>
      <c r="DT202" s="952"/>
      <c r="DV202" s="921"/>
      <c r="DW202" s="921"/>
      <c r="DX202" s="921"/>
      <c r="DY202" s="921"/>
      <c r="DZ202" s="921"/>
      <c r="EA202" s="921"/>
      <c r="EB202" s="921"/>
      <c r="EC202" s="921"/>
      <c r="ED202" s="921"/>
      <c r="EE202" s="921"/>
      <c r="EF202" s="921"/>
      <c r="EG202" s="921"/>
      <c r="EH202" s="921"/>
      <c r="EI202" s="921"/>
      <c r="EJ202" s="921"/>
      <c r="EK202" s="921"/>
      <c r="EL202" s="921"/>
      <c r="EM202" s="921"/>
      <c r="EN202" s="921"/>
      <c r="EO202" s="921"/>
      <c r="EP202" s="921"/>
      <c r="EQ202" s="954"/>
      <c r="ER202" s="954"/>
      <c r="ES202" s="954"/>
      <c r="ET202" s="954"/>
      <c r="EV202" s="942"/>
      <c r="EW202" s="951"/>
      <c r="EX202" s="951"/>
      <c r="EY202" s="952"/>
    </row>
    <row r="203" spans="1:155" s="927" customFormat="1" ht="15.75" x14ac:dyDescent="0.25">
      <c r="A203" s="912" t="s">
        <v>62</v>
      </c>
      <c r="B203" s="913" t="s">
        <v>1378</v>
      </c>
      <c r="C203" s="914">
        <v>0.5</v>
      </c>
      <c r="D203" s="914">
        <v>7755</v>
      </c>
      <c r="E203" s="915">
        <v>1.0549999999999999</v>
      </c>
      <c r="F203" s="916">
        <f t="shared" si="77"/>
        <v>8182</v>
      </c>
      <c r="G203" s="915">
        <v>1.01</v>
      </c>
      <c r="H203" s="916">
        <f t="shared" si="78"/>
        <v>8264</v>
      </c>
      <c r="I203" s="917">
        <f t="shared" si="79"/>
        <v>4132</v>
      </c>
      <c r="J203" s="918">
        <f t="shared" si="80"/>
        <v>0</v>
      </c>
      <c r="K203" s="919"/>
      <c r="L203" s="917">
        <f t="shared" si="81"/>
        <v>0</v>
      </c>
      <c r="M203" s="918">
        <f t="shared" si="82"/>
        <v>0</v>
      </c>
      <c r="N203" s="919"/>
      <c r="O203" s="917">
        <f t="shared" si="83"/>
        <v>0</v>
      </c>
      <c r="P203" s="918">
        <f t="shared" si="84"/>
        <v>0</v>
      </c>
      <c r="Q203" s="919"/>
      <c r="R203" s="917">
        <f t="shared" si="85"/>
        <v>0</v>
      </c>
      <c r="S203" s="918">
        <f t="shared" si="86"/>
        <v>0</v>
      </c>
      <c r="T203" s="919"/>
      <c r="U203" s="917">
        <f t="shared" si="87"/>
        <v>0</v>
      </c>
      <c r="V203" s="918">
        <f t="shared" si="88"/>
        <v>0</v>
      </c>
      <c r="W203" s="919"/>
      <c r="X203" s="917">
        <f t="shared" si="89"/>
        <v>0</v>
      </c>
      <c r="Y203" s="918">
        <f t="shared" si="90"/>
        <v>0</v>
      </c>
      <c r="Z203" s="919"/>
      <c r="AA203" s="917">
        <f t="shared" si="91"/>
        <v>0</v>
      </c>
      <c r="AB203" s="918">
        <f t="shared" si="92"/>
        <v>0.3</v>
      </c>
      <c r="AC203" s="919">
        <v>1163.25</v>
      </c>
      <c r="AD203" s="917">
        <f t="shared" si="93"/>
        <v>1239.5999999999999</v>
      </c>
      <c r="AE203" s="918">
        <f t="shared" si="94"/>
        <v>0</v>
      </c>
      <c r="AF203" s="919"/>
      <c r="AG203" s="917">
        <f t="shared" si="95"/>
        <v>0</v>
      </c>
      <c r="AH203" s="918">
        <f t="shared" si="96"/>
        <v>0</v>
      </c>
      <c r="AI203" s="919"/>
      <c r="AJ203" s="917">
        <f t="shared" si="97"/>
        <v>0</v>
      </c>
      <c r="AK203" s="918">
        <f t="shared" si="98"/>
        <v>0</v>
      </c>
      <c r="AL203" s="919"/>
      <c r="AM203" s="917">
        <f t="shared" si="99"/>
        <v>0</v>
      </c>
      <c r="AN203" s="920">
        <v>19242</v>
      </c>
      <c r="AO203" s="917">
        <f t="shared" si="100"/>
        <v>4249.3999999999996</v>
      </c>
      <c r="AP203" s="920"/>
      <c r="AQ203" s="916">
        <f t="shared" si="101"/>
        <v>0</v>
      </c>
      <c r="AR203" s="917">
        <f t="shared" si="102"/>
        <v>9621</v>
      </c>
      <c r="AS203" s="916">
        <v>12</v>
      </c>
      <c r="AT203" s="921">
        <f t="shared" si="103"/>
        <v>115452</v>
      </c>
      <c r="AU203" s="920"/>
      <c r="AV203" s="922">
        <f t="shared" si="104"/>
        <v>1154.52</v>
      </c>
      <c r="AW203" s="921">
        <f t="shared" si="105"/>
        <v>116606.52</v>
      </c>
      <c r="AX203" s="921">
        <f t="shared" si="106"/>
        <v>35215.17</v>
      </c>
      <c r="AY203" s="921">
        <f t="shared" si="107"/>
        <v>151821.69</v>
      </c>
      <c r="AZ203" s="923">
        <f t="shared" si="108"/>
        <v>116.6</v>
      </c>
      <c r="BA203" s="923">
        <f t="shared" si="109"/>
        <v>35.200000000000003</v>
      </c>
      <c r="BB203" s="923">
        <f t="shared" si="110"/>
        <v>151.80000000000001</v>
      </c>
      <c r="BC203" s="915">
        <v>0.95</v>
      </c>
      <c r="BD203" s="923">
        <f t="shared" si="111"/>
        <v>110.8</v>
      </c>
      <c r="BE203" s="923">
        <f t="shared" si="112"/>
        <v>33.5</v>
      </c>
      <c r="BF203" s="923">
        <f t="shared" si="113"/>
        <v>144.30000000000001</v>
      </c>
      <c r="BG203" s="924">
        <f>'[3]свод (2024)'!$B$116</f>
        <v>0.99758349999999996</v>
      </c>
      <c r="BH203" s="923">
        <f t="shared" si="114"/>
        <v>110.5</v>
      </c>
      <c r="BI203" s="923">
        <f t="shared" si="115"/>
        <v>33.4</v>
      </c>
      <c r="BJ203" s="923">
        <f t="shared" si="116"/>
        <v>143.9</v>
      </c>
      <c r="BK203" s="925">
        <f t="shared" si="117"/>
        <v>-6.1</v>
      </c>
      <c r="BL203" s="925">
        <f t="shared" si="117"/>
        <v>-1.8</v>
      </c>
      <c r="BM203" s="925">
        <f t="shared" si="118"/>
        <v>-7.9</v>
      </c>
      <c r="BN203" s="925">
        <f t="shared" si="119"/>
        <v>0</v>
      </c>
      <c r="BO203" s="925">
        <f t="shared" si="120"/>
        <v>0</v>
      </c>
      <c r="BP203" s="926"/>
      <c r="BQ203" s="925">
        <f t="shared" si="121"/>
        <v>110.5</v>
      </c>
      <c r="BR203" s="925">
        <f t="shared" si="121"/>
        <v>33.4</v>
      </c>
      <c r="BS203" s="925">
        <f t="shared" si="122"/>
        <v>143.9</v>
      </c>
      <c r="BU203" s="928"/>
      <c r="BV203" s="917"/>
      <c r="BW203" s="928"/>
      <c r="BX203" s="928"/>
      <c r="BY203" s="928"/>
      <c r="BZ203" s="917"/>
      <c r="CA203" s="928"/>
      <c r="CB203" s="917"/>
      <c r="CC203" s="928"/>
      <c r="CD203" s="928"/>
      <c r="CE203" s="928"/>
      <c r="CF203" s="929"/>
      <c r="CG203" s="928"/>
      <c r="CH203" s="928"/>
      <c r="CI203" s="928"/>
      <c r="CJ203" s="925"/>
      <c r="CK203" s="925"/>
      <c r="CL203" s="925"/>
      <c r="CM203" s="925"/>
      <c r="CN203" s="925"/>
      <c r="CO203" s="925"/>
      <c r="CP203" s="925"/>
      <c r="CQ203" s="925"/>
      <c r="CR203" s="925"/>
      <c r="CS203" s="917"/>
      <c r="CT203" s="928"/>
      <c r="CU203" s="928"/>
      <c r="CV203" s="928"/>
      <c r="CX203" s="925"/>
      <c r="CY203" s="925"/>
      <c r="CZ203" s="925"/>
      <c r="DB203" s="925"/>
      <c r="DC203" s="925"/>
      <c r="DD203" s="925"/>
      <c r="DE203" s="925"/>
      <c r="DF203" s="925"/>
      <c r="DG203" s="925"/>
      <c r="DH203" s="925"/>
      <c r="DI203" s="925"/>
      <c r="DJ203" s="925"/>
      <c r="DK203" s="925"/>
      <c r="DL203" s="925"/>
      <c r="DM203" s="925"/>
      <c r="DN203" s="925"/>
      <c r="DO203" s="925"/>
      <c r="DP203" s="925"/>
      <c r="DQ203" s="924"/>
      <c r="DR203" s="925"/>
      <c r="DS203" s="925"/>
      <c r="DT203" s="925"/>
      <c r="DV203" s="925"/>
      <c r="DW203" s="925"/>
      <c r="DX203" s="925"/>
      <c r="DY203" s="925"/>
      <c r="DZ203" s="925"/>
      <c r="EA203" s="925"/>
      <c r="EB203" s="925"/>
      <c r="EC203" s="925"/>
      <c r="ED203" s="925"/>
      <c r="EE203" s="925"/>
      <c r="EF203" s="925"/>
      <c r="EG203" s="925"/>
      <c r="EH203" s="925"/>
      <c r="EI203" s="925"/>
      <c r="EJ203" s="925"/>
      <c r="EK203" s="925"/>
      <c r="EL203" s="925"/>
      <c r="EM203" s="925"/>
      <c r="EN203" s="925"/>
      <c r="EO203" s="925"/>
      <c r="EP203" s="925"/>
      <c r="EQ203" s="925"/>
      <c r="ER203" s="925"/>
      <c r="ES203" s="925"/>
      <c r="ET203" s="925"/>
      <c r="EV203" s="924"/>
      <c r="EW203" s="925"/>
      <c r="EX203" s="925"/>
      <c r="EY203" s="925"/>
    </row>
    <row r="204" spans="1:155" s="927" customFormat="1" ht="15.75" x14ac:dyDescent="0.25">
      <c r="A204" s="912" t="s">
        <v>62</v>
      </c>
      <c r="B204" s="913" t="s">
        <v>32</v>
      </c>
      <c r="C204" s="914">
        <v>1</v>
      </c>
      <c r="D204" s="914">
        <v>22544</v>
      </c>
      <c r="E204" s="915">
        <v>1.0549999999999999</v>
      </c>
      <c r="F204" s="916">
        <f t="shared" si="77"/>
        <v>23784</v>
      </c>
      <c r="G204" s="915">
        <v>1.01</v>
      </c>
      <c r="H204" s="916">
        <f t="shared" si="78"/>
        <v>24022</v>
      </c>
      <c r="I204" s="917">
        <f t="shared" si="79"/>
        <v>24022</v>
      </c>
      <c r="J204" s="918">
        <f t="shared" si="80"/>
        <v>0</v>
      </c>
      <c r="K204" s="919"/>
      <c r="L204" s="917">
        <f t="shared" si="81"/>
        <v>0</v>
      </c>
      <c r="M204" s="918">
        <f t="shared" si="82"/>
        <v>0</v>
      </c>
      <c r="N204" s="919"/>
      <c r="O204" s="917">
        <f t="shared" si="83"/>
        <v>0</v>
      </c>
      <c r="P204" s="918">
        <f t="shared" si="84"/>
        <v>0</v>
      </c>
      <c r="Q204" s="919"/>
      <c r="R204" s="917">
        <f t="shared" si="85"/>
        <v>0</v>
      </c>
      <c r="S204" s="918">
        <f t="shared" si="86"/>
        <v>0</v>
      </c>
      <c r="T204" s="919"/>
      <c r="U204" s="917">
        <f t="shared" si="87"/>
        <v>0</v>
      </c>
      <c r="V204" s="918">
        <f t="shared" si="88"/>
        <v>0</v>
      </c>
      <c r="W204" s="919"/>
      <c r="X204" s="917">
        <f t="shared" si="89"/>
        <v>0</v>
      </c>
      <c r="Y204" s="918">
        <f t="shared" si="90"/>
        <v>7.4999999999999997E-2</v>
      </c>
      <c r="Z204" s="919">
        <v>1690.8</v>
      </c>
      <c r="AA204" s="917">
        <f t="shared" si="91"/>
        <v>1801.65</v>
      </c>
      <c r="AB204" s="918">
        <f t="shared" si="92"/>
        <v>0.2</v>
      </c>
      <c r="AC204" s="919">
        <v>4508.8</v>
      </c>
      <c r="AD204" s="917">
        <f t="shared" si="93"/>
        <v>4804.3999999999996</v>
      </c>
      <c r="AE204" s="918">
        <f t="shared" si="94"/>
        <v>0</v>
      </c>
      <c r="AF204" s="919"/>
      <c r="AG204" s="917">
        <f t="shared" si="95"/>
        <v>0</v>
      </c>
      <c r="AH204" s="918">
        <f t="shared" si="96"/>
        <v>0</v>
      </c>
      <c r="AI204" s="919"/>
      <c r="AJ204" s="917">
        <f t="shared" si="97"/>
        <v>0</v>
      </c>
      <c r="AK204" s="918">
        <f t="shared" si="98"/>
        <v>0</v>
      </c>
      <c r="AL204" s="919"/>
      <c r="AM204" s="917">
        <f t="shared" si="99"/>
        <v>0</v>
      </c>
      <c r="AN204" s="920">
        <v>19242</v>
      </c>
      <c r="AO204" s="917">
        <f t="shared" si="100"/>
        <v>0</v>
      </c>
      <c r="AP204" s="920"/>
      <c r="AQ204" s="916">
        <f t="shared" si="101"/>
        <v>0</v>
      </c>
      <c r="AR204" s="917">
        <f t="shared" si="102"/>
        <v>30628.05</v>
      </c>
      <c r="AS204" s="916">
        <v>12</v>
      </c>
      <c r="AT204" s="921">
        <f t="shared" si="103"/>
        <v>367536.6</v>
      </c>
      <c r="AU204" s="920"/>
      <c r="AV204" s="922">
        <f t="shared" si="104"/>
        <v>3675.37</v>
      </c>
      <c r="AW204" s="921">
        <f t="shared" si="105"/>
        <v>371211.97</v>
      </c>
      <c r="AX204" s="921">
        <f t="shared" si="106"/>
        <v>112106.01</v>
      </c>
      <c r="AY204" s="921">
        <f t="shared" si="107"/>
        <v>483317.98</v>
      </c>
      <c r="AZ204" s="923">
        <f t="shared" si="108"/>
        <v>371.2</v>
      </c>
      <c r="BA204" s="923">
        <f t="shared" si="109"/>
        <v>112.1</v>
      </c>
      <c r="BB204" s="923">
        <f t="shared" si="110"/>
        <v>483.3</v>
      </c>
      <c r="BC204" s="915">
        <v>0.95</v>
      </c>
      <c r="BD204" s="923">
        <f t="shared" si="111"/>
        <v>352.6</v>
      </c>
      <c r="BE204" s="923">
        <f t="shared" si="112"/>
        <v>106.5</v>
      </c>
      <c r="BF204" s="923">
        <f t="shared" si="113"/>
        <v>459.1</v>
      </c>
      <c r="BG204" s="924">
        <f>'[3]свод (2024)'!$B$116</f>
        <v>0.99758349999999996</v>
      </c>
      <c r="BH204" s="923">
        <f t="shared" si="114"/>
        <v>351.7</v>
      </c>
      <c r="BI204" s="923">
        <f t="shared" si="115"/>
        <v>106.2</v>
      </c>
      <c r="BJ204" s="923">
        <f t="shared" si="116"/>
        <v>457.9</v>
      </c>
      <c r="BK204" s="925">
        <f t="shared" si="117"/>
        <v>-19.5</v>
      </c>
      <c r="BL204" s="925">
        <f t="shared" si="117"/>
        <v>-5.9</v>
      </c>
      <c r="BM204" s="925">
        <f t="shared" si="118"/>
        <v>-25.4</v>
      </c>
      <c r="BN204" s="925">
        <f t="shared" si="119"/>
        <v>0</v>
      </c>
      <c r="BO204" s="925">
        <f t="shared" si="120"/>
        <v>0</v>
      </c>
      <c r="BP204" s="926"/>
      <c r="BQ204" s="925">
        <f t="shared" si="121"/>
        <v>351.7</v>
      </c>
      <c r="BR204" s="925">
        <f t="shared" si="121"/>
        <v>106.2</v>
      </c>
      <c r="BS204" s="925">
        <f t="shared" si="122"/>
        <v>457.9</v>
      </c>
      <c r="BU204" s="928"/>
      <c r="BV204" s="917"/>
      <c r="BW204" s="928"/>
      <c r="BX204" s="928"/>
      <c r="BY204" s="928"/>
      <c r="BZ204" s="917"/>
      <c r="CA204" s="928"/>
      <c r="CB204" s="917"/>
      <c r="CC204" s="928"/>
      <c r="CD204" s="928"/>
      <c r="CE204" s="928"/>
      <c r="CF204" s="929"/>
      <c r="CG204" s="928"/>
      <c r="CH204" s="928"/>
      <c r="CI204" s="928"/>
      <c r="CJ204" s="925"/>
      <c r="CK204" s="925"/>
      <c r="CL204" s="925"/>
      <c r="CM204" s="925"/>
      <c r="CN204" s="925"/>
      <c r="CO204" s="925"/>
      <c r="CP204" s="925"/>
      <c r="CQ204" s="925"/>
      <c r="CR204" s="925"/>
      <c r="CS204" s="917"/>
      <c r="CT204" s="928"/>
      <c r="CU204" s="928"/>
      <c r="CV204" s="928"/>
      <c r="CX204" s="925"/>
      <c r="CY204" s="925"/>
      <c r="CZ204" s="925"/>
      <c r="DB204" s="925"/>
      <c r="DC204" s="925"/>
      <c r="DD204" s="925"/>
      <c r="DE204" s="925"/>
      <c r="DF204" s="925"/>
      <c r="DG204" s="925"/>
      <c r="DH204" s="925"/>
      <c r="DI204" s="925"/>
      <c r="DJ204" s="925"/>
      <c r="DK204" s="925"/>
      <c r="DL204" s="925"/>
      <c r="DM204" s="925"/>
      <c r="DN204" s="925"/>
      <c r="DO204" s="925"/>
      <c r="DP204" s="925"/>
      <c r="DQ204" s="924"/>
      <c r="DR204" s="925"/>
      <c r="DS204" s="925"/>
      <c r="DT204" s="925"/>
      <c r="DV204" s="925"/>
      <c r="DW204" s="925"/>
      <c r="DX204" s="925"/>
      <c r="DY204" s="925"/>
      <c r="DZ204" s="925"/>
      <c r="EA204" s="925"/>
      <c r="EB204" s="925"/>
      <c r="EC204" s="925"/>
      <c r="ED204" s="925"/>
      <c r="EE204" s="925"/>
      <c r="EF204" s="925"/>
      <c r="EG204" s="925"/>
      <c r="EH204" s="925"/>
      <c r="EI204" s="925"/>
      <c r="EJ204" s="925"/>
      <c r="EK204" s="925"/>
      <c r="EL204" s="925"/>
      <c r="EM204" s="925"/>
      <c r="EN204" s="925"/>
      <c r="EO204" s="925"/>
      <c r="EP204" s="925"/>
      <c r="EQ204" s="925"/>
      <c r="ER204" s="925"/>
      <c r="ES204" s="925"/>
      <c r="ET204" s="925"/>
      <c r="EV204" s="924"/>
      <c r="EW204" s="925"/>
      <c r="EX204" s="925"/>
      <c r="EY204" s="925"/>
    </row>
    <row r="205" spans="1:155" s="927" customFormat="1" ht="15.75" x14ac:dyDescent="0.25">
      <c r="A205" s="912" t="s">
        <v>62</v>
      </c>
      <c r="B205" s="913" t="s">
        <v>1379</v>
      </c>
      <c r="C205" s="914">
        <v>0.5</v>
      </c>
      <c r="D205" s="914">
        <v>4336</v>
      </c>
      <c r="E205" s="915">
        <v>1.0549999999999999</v>
      </c>
      <c r="F205" s="916">
        <f t="shared" si="77"/>
        <v>4575</v>
      </c>
      <c r="G205" s="915">
        <v>1.01</v>
      </c>
      <c r="H205" s="916">
        <f t="shared" si="78"/>
        <v>4621</v>
      </c>
      <c r="I205" s="917">
        <f t="shared" si="79"/>
        <v>2310.5</v>
      </c>
      <c r="J205" s="918">
        <f t="shared" si="80"/>
        <v>0</v>
      </c>
      <c r="K205" s="919"/>
      <c r="L205" s="917">
        <f t="shared" si="81"/>
        <v>0</v>
      </c>
      <c r="M205" s="918">
        <f t="shared" si="82"/>
        <v>0</v>
      </c>
      <c r="N205" s="919"/>
      <c r="O205" s="917">
        <f t="shared" si="83"/>
        <v>0</v>
      </c>
      <c r="P205" s="918">
        <f t="shared" si="84"/>
        <v>0</v>
      </c>
      <c r="Q205" s="919"/>
      <c r="R205" s="917">
        <f t="shared" si="85"/>
        <v>0</v>
      </c>
      <c r="S205" s="918">
        <f t="shared" si="86"/>
        <v>0</v>
      </c>
      <c r="T205" s="919"/>
      <c r="U205" s="917">
        <f t="shared" si="87"/>
        <v>0</v>
      </c>
      <c r="V205" s="918">
        <f t="shared" si="88"/>
        <v>0</v>
      </c>
      <c r="W205" s="919"/>
      <c r="X205" s="917">
        <f t="shared" si="89"/>
        <v>0</v>
      </c>
      <c r="Y205" s="918">
        <f t="shared" si="90"/>
        <v>0</v>
      </c>
      <c r="Z205" s="919"/>
      <c r="AA205" s="917">
        <f t="shared" si="91"/>
        <v>0</v>
      </c>
      <c r="AB205" s="918">
        <f t="shared" si="92"/>
        <v>0</v>
      </c>
      <c r="AC205" s="919"/>
      <c r="AD205" s="917">
        <f t="shared" si="93"/>
        <v>0</v>
      </c>
      <c r="AE205" s="918">
        <f t="shared" si="94"/>
        <v>0</v>
      </c>
      <c r="AF205" s="919"/>
      <c r="AG205" s="917">
        <f t="shared" si="95"/>
        <v>0</v>
      </c>
      <c r="AH205" s="918">
        <f t="shared" si="96"/>
        <v>0</v>
      </c>
      <c r="AI205" s="919"/>
      <c r="AJ205" s="917">
        <f t="shared" si="97"/>
        <v>0</v>
      </c>
      <c r="AK205" s="918">
        <f t="shared" si="98"/>
        <v>0</v>
      </c>
      <c r="AL205" s="919"/>
      <c r="AM205" s="917">
        <f t="shared" si="99"/>
        <v>0</v>
      </c>
      <c r="AN205" s="920">
        <v>19242</v>
      </c>
      <c r="AO205" s="917">
        <f t="shared" si="100"/>
        <v>7310.5</v>
      </c>
      <c r="AP205" s="920"/>
      <c r="AQ205" s="916">
        <f t="shared" si="101"/>
        <v>0</v>
      </c>
      <c r="AR205" s="917">
        <f t="shared" si="102"/>
        <v>9621</v>
      </c>
      <c r="AS205" s="916">
        <v>12</v>
      </c>
      <c r="AT205" s="921">
        <f t="shared" si="103"/>
        <v>115452</v>
      </c>
      <c r="AU205" s="920">
        <f>AT205*0.085</f>
        <v>9813.42</v>
      </c>
      <c r="AV205" s="922">
        <f t="shared" si="104"/>
        <v>1154.52</v>
      </c>
      <c r="AW205" s="921">
        <f t="shared" si="105"/>
        <v>126419.94</v>
      </c>
      <c r="AX205" s="921">
        <f t="shared" si="106"/>
        <v>38178.82</v>
      </c>
      <c r="AY205" s="921">
        <f t="shared" si="107"/>
        <v>164598.76</v>
      </c>
      <c r="AZ205" s="923">
        <f t="shared" si="108"/>
        <v>126.4</v>
      </c>
      <c r="BA205" s="923">
        <f t="shared" si="109"/>
        <v>38.200000000000003</v>
      </c>
      <c r="BB205" s="923">
        <f t="shared" si="110"/>
        <v>164.6</v>
      </c>
      <c r="BC205" s="915">
        <v>0.95</v>
      </c>
      <c r="BD205" s="923">
        <f t="shared" si="111"/>
        <v>120.1</v>
      </c>
      <c r="BE205" s="923">
        <f t="shared" si="112"/>
        <v>36.299999999999997</v>
      </c>
      <c r="BF205" s="923">
        <f t="shared" si="113"/>
        <v>156.4</v>
      </c>
      <c r="BG205" s="924">
        <f>'[3]свод (2024)'!$B$116</f>
        <v>0.99758349999999996</v>
      </c>
      <c r="BH205" s="923">
        <f t="shared" si="114"/>
        <v>119.8</v>
      </c>
      <c r="BI205" s="923">
        <f t="shared" si="115"/>
        <v>36.200000000000003</v>
      </c>
      <c r="BJ205" s="923">
        <f t="shared" si="116"/>
        <v>156</v>
      </c>
      <c r="BK205" s="925">
        <f t="shared" si="117"/>
        <v>-6.6</v>
      </c>
      <c r="BL205" s="925">
        <f t="shared" si="117"/>
        <v>-2</v>
      </c>
      <c r="BM205" s="925">
        <f t="shared" si="118"/>
        <v>-8.6</v>
      </c>
      <c r="BN205" s="925">
        <f t="shared" si="119"/>
        <v>0</v>
      </c>
      <c r="BO205" s="925">
        <f t="shared" si="120"/>
        <v>0</v>
      </c>
      <c r="BP205" s="926"/>
      <c r="BQ205" s="925">
        <f t="shared" si="121"/>
        <v>119.8</v>
      </c>
      <c r="BR205" s="925">
        <f t="shared" si="121"/>
        <v>36.200000000000003</v>
      </c>
      <c r="BS205" s="925">
        <f t="shared" si="122"/>
        <v>156</v>
      </c>
      <c r="BU205" s="928"/>
      <c r="BV205" s="917"/>
      <c r="BW205" s="928"/>
      <c r="BX205" s="928"/>
      <c r="BY205" s="928"/>
      <c r="BZ205" s="917"/>
      <c r="CA205" s="928"/>
      <c r="CB205" s="917"/>
      <c r="CC205" s="928"/>
      <c r="CD205" s="928"/>
      <c r="CE205" s="928"/>
      <c r="CF205" s="929"/>
      <c r="CG205" s="928"/>
      <c r="CH205" s="928"/>
      <c r="CI205" s="928"/>
      <c r="CJ205" s="925"/>
      <c r="CK205" s="925"/>
      <c r="CL205" s="925"/>
      <c r="CM205" s="925"/>
      <c r="CN205" s="925"/>
      <c r="CO205" s="925"/>
      <c r="CP205" s="925"/>
      <c r="CQ205" s="925"/>
      <c r="CR205" s="925"/>
      <c r="CS205" s="917"/>
      <c r="CT205" s="928"/>
      <c r="CU205" s="928"/>
      <c r="CV205" s="928"/>
      <c r="CX205" s="925"/>
      <c r="CY205" s="925"/>
      <c r="CZ205" s="925"/>
      <c r="DB205" s="925"/>
      <c r="DC205" s="925"/>
      <c r="DD205" s="925"/>
      <c r="DE205" s="925"/>
      <c r="DF205" s="925"/>
      <c r="DG205" s="925"/>
      <c r="DH205" s="925"/>
      <c r="DI205" s="925"/>
      <c r="DJ205" s="925"/>
      <c r="DK205" s="925"/>
      <c r="DL205" s="925"/>
      <c r="DM205" s="925"/>
      <c r="DN205" s="925"/>
      <c r="DO205" s="925"/>
      <c r="DP205" s="925"/>
      <c r="DQ205" s="924"/>
      <c r="DR205" s="925"/>
      <c r="DS205" s="925"/>
      <c r="DT205" s="925"/>
      <c r="DV205" s="925"/>
      <c r="DW205" s="925"/>
      <c r="DX205" s="925"/>
      <c r="DY205" s="925"/>
      <c r="DZ205" s="925"/>
      <c r="EA205" s="925"/>
      <c r="EB205" s="925"/>
      <c r="EC205" s="925"/>
      <c r="ED205" s="925"/>
      <c r="EE205" s="925"/>
      <c r="EF205" s="925"/>
      <c r="EG205" s="925"/>
      <c r="EH205" s="925"/>
      <c r="EI205" s="925"/>
      <c r="EJ205" s="925"/>
      <c r="EK205" s="925"/>
      <c r="EL205" s="925"/>
      <c r="EM205" s="925"/>
      <c r="EN205" s="925"/>
      <c r="EO205" s="925"/>
      <c r="EP205" s="925"/>
      <c r="EQ205" s="925"/>
      <c r="ER205" s="925"/>
      <c r="ES205" s="925"/>
      <c r="ET205" s="925"/>
      <c r="EV205" s="924"/>
      <c r="EW205" s="925"/>
      <c r="EX205" s="925"/>
      <c r="EY205" s="925"/>
    </row>
    <row r="206" spans="1:155" s="927" customFormat="1" ht="15.75" x14ac:dyDescent="0.25">
      <c r="A206" s="912" t="s">
        <v>62</v>
      </c>
      <c r="B206" s="913" t="s">
        <v>1380</v>
      </c>
      <c r="C206" s="914">
        <v>1</v>
      </c>
      <c r="D206" s="914">
        <v>25048</v>
      </c>
      <c r="E206" s="915">
        <v>1.0549999999999999</v>
      </c>
      <c r="F206" s="916">
        <f t="shared" si="77"/>
        <v>26426</v>
      </c>
      <c r="G206" s="915">
        <v>1.01</v>
      </c>
      <c r="H206" s="916">
        <f t="shared" si="78"/>
        <v>26691</v>
      </c>
      <c r="I206" s="917">
        <f t="shared" si="79"/>
        <v>26691</v>
      </c>
      <c r="J206" s="918">
        <f t="shared" si="80"/>
        <v>0</v>
      </c>
      <c r="K206" s="919"/>
      <c r="L206" s="917">
        <f t="shared" si="81"/>
        <v>0</v>
      </c>
      <c r="M206" s="918">
        <f t="shared" si="82"/>
        <v>0</v>
      </c>
      <c r="N206" s="919"/>
      <c r="O206" s="917">
        <f t="shared" si="83"/>
        <v>0</v>
      </c>
      <c r="P206" s="918">
        <f t="shared" si="84"/>
        <v>0</v>
      </c>
      <c r="Q206" s="919"/>
      <c r="R206" s="917">
        <f t="shared" si="85"/>
        <v>0</v>
      </c>
      <c r="S206" s="918">
        <f t="shared" si="86"/>
        <v>0</v>
      </c>
      <c r="T206" s="919"/>
      <c r="U206" s="917">
        <f t="shared" si="87"/>
        <v>0</v>
      </c>
      <c r="V206" s="918">
        <f t="shared" si="88"/>
        <v>0</v>
      </c>
      <c r="W206" s="919"/>
      <c r="X206" s="917">
        <f t="shared" si="89"/>
        <v>0</v>
      </c>
      <c r="Y206" s="918">
        <f t="shared" si="90"/>
        <v>0.15</v>
      </c>
      <c r="Z206" s="919">
        <v>3757.2</v>
      </c>
      <c r="AA206" s="917">
        <f t="shared" si="91"/>
        <v>4003.65</v>
      </c>
      <c r="AB206" s="918">
        <f t="shared" si="92"/>
        <v>0.2</v>
      </c>
      <c r="AC206" s="919">
        <v>5009.6000000000004</v>
      </c>
      <c r="AD206" s="917">
        <f t="shared" si="93"/>
        <v>5338.2</v>
      </c>
      <c r="AE206" s="918">
        <f t="shared" si="94"/>
        <v>0</v>
      </c>
      <c r="AF206" s="919"/>
      <c r="AG206" s="917">
        <f t="shared" si="95"/>
        <v>0</v>
      </c>
      <c r="AH206" s="918">
        <f t="shared" si="96"/>
        <v>0</v>
      </c>
      <c r="AI206" s="919"/>
      <c r="AJ206" s="917">
        <f t="shared" si="97"/>
        <v>0</v>
      </c>
      <c r="AK206" s="918">
        <f t="shared" si="98"/>
        <v>0</v>
      </c>
      <c r="AL206" s="919"/>
      <c r="AM206" s="917">
        <f t="shared" si="99"/>
        <v>0</v>
      </c>
      <c r="AN206" s="920">
        <v>19242</v>
      </c>
      <c r="AO206" s="917">
        <f t="shared" si="100"/>
        <v>0</v>
      </c>
      <c r="AP206" s="920"/>
      <c r="AQ206" s="916">
        <f t="shared" si="101"/>
        <v>0</v>
      </c>
      <c r="AR206" s="917">
        <f t="shared" si="102"/>
        <v>36032.85</v>
      </c>
      <c r="AS206" s="916">
        <v>12</v>
      </c>
      <c r="AT206" s="921">
        <f t="shared" si="103"/>
        <v>432394.2</v>
      </c>
      <c r="AU206" s="920"/>
      <c r="AV206" s="922">
        <f t="shared" si="104"/>
        <v>4323.9399999999996</v>
      </c>
      <c r="AW206" s="921">
        <f t="shared" si="105"/>
        <v>436718.14</v>
      </c>
      <c r="AX206" s="921">
        <f t="shared" si="106"/>
        <v>131888.88</v>
      </c>
      <c r="AY206" s="921">
        <f t="shared" si="107"/>
        <v>568607.02</v>
      </c>
      <c r="AZ206" s="923">
        <f t="shared" si="108"/>
        <v>436.7</v>
      </c>
      <c r="BA206" s="923">
        <f t="shared" si="109"/>
        <v>131.9</v>
      </c>
      <c r="BB206" s="923">
        <f t="shared" si="110"/>
        <v>568.6</v>
      </c>
      <c r="BC206" s="915">
        <v>0.95</v>
      </c>
      <c r="BD206" s="923">
        <f t="shared" si="111"/>
        <v>414.9</v>
      </c>
      <c r="BE206" s="923">
        <f t="shared" si="112"/>
        <v>125.3</v>
      </c>
      <c r="BF206" s="923">
        <f t="shared" si="113"/>
        <v>540.20000000000005</v>
      </c>
      <c r="BG206" s="924">
        <f>'[3]свод (2024)'!$B$116</f>
        <v>0.99758349999999996</v>
      </c>
      <c r="BH206" s="923">
        <f t="shared" si="114"/>
        <v>413.9</v>
      </c>
      <c r="BI206" s="923">
        <f t="shared" si="115"/>
        <v>125</v>
      </c>
      <c r="BJ206" s="923">
        <f t="shared" si="116"/>
        <v>538.9</v>
      </c>
      <c r="BK206" s="925">
        <f t="shared" si="117"/>
        <v>-22.8</v>
      </c>
      <c r="BL206" s="925">
        <f t="shared" si="117"/>
        <v>-6.9</v>
      </c>
      <c r="BM206" s="925">
        <f t="shared" si="118"/>
        <v>-29.7</v>
      </c>
      <c r="BN206" s="925">
        <f t="shared" si="119"/>
        <v>0</v>
      </c>
      <c r="BO206" s="925">
        <f t="shared" si="120"/>
        <v>0</v>
      </c>
      <c r="BP206" s="926"/>
      <c r="BQ206" s="925">
        <f t="shared" si="121"/>
        <v>413.9</v>
      </c>
      <c r="BR206" s="925">
        <f t="shared" si="121"/>
        <v>125</v>
      </c>
      <c r="BS206" s="925">
        <f t="shared" si="122"/>
        <v>538.9</v>
      </c>
      <c r="BU206" s="928"/>
      <c r="BV206" s="917"/>
      <c r="BW206" s="928"/>
      <c r="BX206" s="928"/>
      <c r="BY206" s="928"/>
      <c r="BZ206" s="917"/>
      <c r="CA206" s="928"/>
      <c r="CB206" s="917"/>
      <c r="CC206" s="928"/>
      <c r="CD206" s="928"/>
      <c r="CE206" s="928"/>
      <c r="CF206" s="929"/>
      <c r="CG206" s="928"/>
      <c r="CH206" s="928"/>
      <c r="CI206" s="928"/>
      <c r="CJ206" s="925"/>
      <c r="CK206" s="925"/>
      <c r="CL206" s="925"/>
      <c r="CM206" s="925"/>
      <c r="CN206" s="925"/>
      <c r="CO206" s="925"/>
      <c r="CP206" s="925"/>
      <c r="CQ206" s="925"/>
      <c r="CR206" s="925"/>
      <c r="CS206" s="917"/>
      <c r="CT206" s="928"/>
      <c r="CU206" s="928"/>
      <c r="CV206" s="928"/>
      <c r="CX206" s="925"/>
      <c r="CY206" s="925"/>
      <c r="CZ206" s="925"/>
      <c r="DB206" s="925"/>
      <c r="DC206" s="925"/>
      <c r="DD206" s="925"/>
      <c r="DE206" s="925"/>
      <c r="DF206" s="925"/>
      <c r="DG206" s="925"/>
      <c r="DH206" s="925"/>
      <c r="DI206" s="925"/>
      <c r="DJ206" s="925"/>
      <c r="DK206" s="925"/>
      <c r="DL206" s="925"/>
      <c r="DM206" s="925"/>
      <c r="DN206" s="925"/>
      <c r="DO206" s="925"/>
      <c r="DP206" s="925"/>
      <c r="DQ206" s="924"/>
      <c r="DR206" s="925"/>
      <c r="DS206" s="925"/>
      <c r="DT206" s="925"/>
      <c r="DV206" s="925"/>
      <c r="DW206" s="925"/>
      <c r="DX206" s="925"/>
      <c r="DY206" s="925"/>
      <c r="DZ206" s="925"/>
      <c r="EA206" s="925"/>
      <c r="EB206" s="925"/>
      <c r="EC206" s="925"/>
      <c r="ED206" s="925"/>
      <c r="EE206" s="925"/>
      <c r="EF206" s="925"/>
      <c r="EG206" s="925"/>
      <c r="EH206" s="925"/>
      <c r="EI206" s="925"/>
      <c r="EJ206" s="925"/>
      <c r="EK206" s="925"/>
      <c r="EL206" s="925"/>
      <c r="EM206" s="925"/>
      <c r="EN206" s="925"/>
      <c r="EO206" s="925"/>
      <c r="EP206" s="925"/>
      <c r="EQ206" s="925"/>
      <c r="ER206" s="925"/>
      <c r="ES206" s="925"/>
      <c r="ET206" s="925"/>
      <c r="EV206" s="924"/>
      <c r="EW206" s="925"/>
      <c r="EX206" s="925"/>
      <c r="EY206" s="925"/>
    </row>
    <row r="207" spans="1:155" s="927" customFormat="1" ht="15.75" x14ac:dyDescent="0.25">
      <c r="A207" s="912" t="s">
        <v>62</v>
      </c>
      <c r="B207" s="913" t="s">
        <v>33</v>
      </c>
      <c r="C207" s="914">
        <v>1</v>
      </c>
      <c r="D207" s="914">
        <v>13466</v>
      </c>
      <c r="E207" s="915">
        <v>1.0549999999999999</v>
      </c>
      <c r="F207" s="916">
        <f t="shared" si="77"/>
        <v>14207</v>
      </c>
      <c r="G207" s="915">
        <v>1.01</v>
      </c>
      <c r="H207" s="916">
        <f t="shared" si="78"/>
        <v>14350</v>
      </c>
      <c r="I207" s="917">
        <f t="shared" si="79"/>
        <v>14350</v>
      </c>
      <c r="J207" s="918">
        <f t="shared" si="80"/>
        <v>0</v>
      </c>
      <c r="K207" s="919"/>
      <c r="L207" s="917">
        <f t="shared" si="81"/>
        <v>0</v>
      </c>
      <c r="M207" s="918">
        <f t="shared" si="82"/>
        <v>0</v>
      </c>
      <c r="N207" s="919"/>
      <c r="O207" s="917">
        <f t="shared" si="83"/>
        <v>0</v>
      </c>
      <c r="P207" s="918">
        <f t="shared" si="84"/>
        <v>0</v>
      </c>
      <c r="Q207" s="988"/>
      <c r="R207" s="917">
        <f t="shared" si="85"/>
        <v>0</v>
      </c>
      <c r="S207" s="918">
        <f t="shared" si="86"/>
        <v>0</v>
      </c>
      <c r="T207" s="919"/>
      <c r="U207" s="917">
        <f t="shared" si="87"/>
        <v>0</v>
      </c>
      <c r="V207" s="918">
        <f t="shared" si="88"/>
        <v>0</v>
      </c>
      <c r="W207" s="919"/>
      <c r="X207" s="917">
        <f t="shared" si="89"/>
        <v>0</v>
      </c>
      <c r="Y207" s="918">
        <f t="shared" si="90"/>
        <v>0.79629000000000005</v>
      </c>
      <c r="Z207" s="919">
        <v>10722.8</v>
      </c>
      <c r="AA207" s="917">
        <f t="shared" si="91"/>
        <v>11426.76</v>
      </c>
      <c r="AB207" s="918">
        <f t="shared" si="92"/>
        <v>0.1</v>
      </c>
      <c r="AC207" s="919">
        <v>1346.6</v>
      </c>
      <c r="AD207" s="917">
        <f t="shared" si="93"/>
        <v>1435</v>
      </c>
      <c r="AE207" s="918">
        <f t="shared" si="94"/>
        <v>0</v>
      </c>
      <c r="AF207" s="919"/>
      <c r="AG207" s="917">
        <f t="shared" si="95"/>
        <v>0</v>
      </c>
      <c r="AH207" s="918">
        <f t="shared" si="96"/>
        <v>0</v>
      </c>
      <c r="AI207" s="919"/>
      <c r="AJ207" s="917">
        <f t="shared" si="97"/>
        <v>0</v>
      </c>
      <c r="AK207" s="918">
        <f t="shared" si="98"/>
        <v>0</v>
      </c>
      <c r="AL207" s="919"/>
      <c r="AM207" s="917">
        <f t="shared" si="99"/>
        <v>0</v>
      </c>
      <c r="AN207" s="920">
        <v>19242</v>
      </c>
      <c r="AO207" s="917">
        <f t="shared" si="100"/>
        <v>0</v>
      </c>
      <c r="AP207" s="920"/>
      <c r="AQ207" s="916">
        <f t="shared" si="101"/>
        <v>0</v>
      </c>
      <c r="AR207" s="917">
        <f t="shared" si="102"/>
        <v>27211.759999999998</v>
      </c>
      <c r="AS207" s="916">
        <v>12</v>
      </c>
      <c r="AT207" s="921">
        <f t="shared" si="103"/>
        <v>326541.12</v>
      </c>
      <c r="AU207" s="920"/>
      <c r="AV207" s="922">
        <f t="shared" si="104"/>
        <v>3265.41</v>
      </c>
      <c r="AW207" s="921">
        <f t="shared" si="105"/>
        <v>329806.53000000003</v>
      </c>
      <c r="AX207" s="921">
        <f t="shared" si="106"/>
        <v>99601.57</v>
      </c>
      <c r="AY207" s="921">
        <f t="shared" si="107"/>
        <v>429408.1</v>
      </c>
      <c r="AZ207" s="923">
        <f t="shared" si="108"/>
        <v>329.8</v>
      </c>
      <c r="BA207" s="923">
        <f t="shared" si="109"/>
        <v>99.6</v>
      </c>
      <c r="BB207" s="923">
        <f t="shared" si="110"/>
        <v>429.4</v>
      </c>
      <c r="BC207" s="915">
        <v>0.95</v>
      </c>
      <c r="BD207" s="923">
        <f t="shared" si="111"/>
        <v>313.3</v>
      </c>
      <c r="BE207" s="923">
        <f t="shared" si="112"/>
        <v>94.6</v>
      </c>
      <c r="BF207" s="923">
        <f t="shared" si="113"/>
        <v>407.9</v>
      </c>
      <c r="BG207" s="924">
        <f>'[3]свод (2024)'!$B$116</f>
        <v>0.99758349999999996</v>
      </c>
      <c r="BH207" s="923">
        <f t="shared" si="114"/>
        <v>312.5</v>
      </c>
      <c r="BI207" s="923">
        <f t="shared" si="115"/>
        <v>94.4</v>
      </c>
      <c r="BJ207" s="923">
        <f t="shared" si="116"/>
        <v>406.9</v>
      </c>
      <c r="BK207" s="925">
        <f t="shared" si="117"/>
        <v>-17.3</v>
      </c>
      <c r="BL207" s="925">
        <f t="shared" si="117"/>
        <v>-5.2</v>
      </c>
      <c r="BM207" s="925">
        <f t="shared" si="118"/>
        <v>-22.5</v>
      </c>
      <c r="BN207" s="925">
        <f t="shared" si="119"/>
        <v>0</v>
      </c>
      <c r="BO207" s="925">
        <f t="shared" si="120"/>
        <v>0</v>
      </c>
      <c r="BP207" s="926"/>
      <c r="BQ207" s="925">
        <f t="shared" si="121"/>
        <v>312.5</v>
      </c>
      <c r="BR207" s="925">
        <f t="shared" si="121"/>
        <v>94.4</v>
      </c>
      <c r="BS207" s="925">
        <f t="shared" si="122"/>
        <v>406.9</v>
      </c>
      <c r="BU207" s="928"/>
      <c r="BV207" s="917"/>
      <c r="BW207" s="928"/>
      <c r="BX207" s="928"/>
      <c r="BY207" s="928"/>
      <c r="BZ207" s="917"/>
      <c r="CA207" s="928"/>
      <c r="CB207" s="917"/>
      <c r="CC207" s="928"/>
      <c r="CD207" s="928"/>
      <c r="CE207" s="928"/>
      <c r="CF207" s="929"/>
      <c r="CG207" s="928"/>
      <c r="CH207" s="928"/>
      <c r="CI207" s="928"/>
      <c r="CJ207" s="925"/>
      <c r="CK207" s="925"/>
      <c r="CL207" s="925"/>
      <c r="CM207" s="925"/>
      <c r="CN207" s="925"/>
      <c r="CO207" s="925"/>
      <c r="CP207" s="925"/>
      <c r="CQ207" s="925"/>
      <c r="CR207" s="925"/>
      <c r="CS207" s="917"/>
      <c r="CT207" s="928"/>
      <c r="CU207" s="928"/>
      <c r="CV207" s="928"/>
      <c r="CX207" s="925"/>
      <c r="CY207" s="925"/>
      <c r="CZ207" s="925"/>
      <c r="DB207" s="925"/>
      <c r="DC207" s="925"/>
      <c r="DD207" s="925"/>
      <c r="DE207" s="925"/>
      <c r="DF207" s="925"/>
      <c r="DG207" s="925"/>
      <c r="DH207" s="925"/>
      <c r="DI207" s="925"/>
      <c r="DJ207" s="925"/>
      <c r="DK207" s="925"/>
      <c r="DL207" s="925"/>
      <c r="DM207" s="925"/>
      <c r="DN207" s="925"/>
      <c r="DO207" s="925"/>
      <c r="DP207" s="925"/>
      <c r="DQ207" s="924"/>
      <c r="DR207" s="925"/>
      <c r="DS207" s="925"/>
      <c r="DT207" s="925"/>
      <c r="DV207" s="925"/>
      <c r="DW207" s="925"/>
      <c r="DX207" s="925"/>
      <c r="DY207" s="925"/>
      <c r="DZ207" s="925"/>
      <c r="EA207" s="925"/>
      <c r="EB207" s="925"/>
      <c r="EC207" s="925"/>
      <c r="ED207" s="925"/>
      <c r="EE207" s="925"/>
      <c r="EF207" s="925"/>
      <c r="EG207" s="925"/>
      <c r="EH207" s="925"/>
      <c r="EI207" s="925"/>
      <c r="EJ207" s="925"/>
      <c r="EK207" s="925"/>
      <c r="EL207" s="925"/>
      <c r="EM207" s="925"/>
      <c r="EN207" s="925"/>
      <c r="EO207" s="925"/>
      <c r="EP207" s="925"/>
      <c r="EQ207" s="925"/>
      <c r="ER207" s="925"/>
      <c r="ES207" s="925"/>
      <c r="ET207" s="925"/>
      <c r="EV207" s="924"/>
      <c r="EW207" s="925"/>
      <c r="EX207" s="925"/>
      <c r="EY207" s="925"/>
    </row>
    <row r="208" spans="1:155" s="927" customFormat="1" ht="24" x14ac:dyDescent="0.25">
      <c r="A208" s="912" t="s">
        <v>62</v>
      </c>
      <c r="B208" s="913" t="s">
        <v>31</v>
      </c>
      <c r="C208" s="914">
        <v>1</v>
      </c>
      <c r="D208" s="914">
        <v>22544</v>
      </c>
      <c r="E208" s="915">
        <v>1.0549999999999999</v>
      </c>
      <c r="F208" s="916">
        <f t="shared" si="77"/>
        <v>23784</v>
      </c>
      <c r="G208" s="915">
        <v>1.01</v>
      </c>
      <c r="H208" s="916">
        <f t="shared" si="78"/>
        <v>24022</v>
      </c>
      <c r="I208" s="917">
        <f t="shared" si="79"/>
        <v>24022</v>
      </c>
      <c r="J208" s="918">
        <f t="shared" si="80"/>
        <v>0</v>
      </c>
      <c r="K208" s="919"/>
      <c r="L208" s="917">
        <f t="shared" si="81"/>
        <v>0</v>
      </c>
      <c r="M208" s="918">
        <f t="shared" si="82"/>
        <v>0</v>
      </c>
      <c r="N208" s="919"/>
      <c r="O208" s="917">
        <f t="shared" si="83"/>
        <v>0</v>
      </c>
      <c r="P208" s="918">
        <f t="shared" si="84"/>
        <v>0</v>
      </c>
      <c r="Q208" s="919"/>
      <c r="R208" s="917">
        <f t="shared" si="85"/>
        <v>0</v>
      </c>
      <c r="S208" s="918">
        <f t="shared" si="86"/>
        <v>0</v>
      </c>
      <c r="T208" s="919"/>
      <c r="U208" s="917">
        <f t="shared" si="87"/>
        <v>0</v>
      </c>
      <c r="V208" s="918">
        <f t="shared" si="88"/>
        <v>0</v>
      </c>
      <c r="W208" s="919"/>
      <c r="X208" s="917">
        <f t="shared" si="89"/>
        <v>0</v>
      </c>
      <c r="Y208" s="918">
        <f t="shared" si="90"/>
        <v>0.15</v>
      </c>
      <c r="Z208" s="919">
        <v>3381.6</v>
      </c>
      <c r="AA208" s="917">
        <f t="shared" si="91"/>
        <v>3603.3</v>
      </c>
      <c r="AB208" s="918">
        <f t="shared" si="92"/>
        <v>0.2</v>
      </c>
      <c r="AC208" s="919">
        <v>4508.8</v>
      </c>
      <c r="AD208" s="917">
        <f t="shared" si="93"/>
        <v>4804.3999999999996</v>
      </c>
      <c r="AE208" s="918">
        <f t="shared" si="94"/>
        <v>0</v>
      </c>
      <c r="AF208" s="919"/>
      <c r="AG208" s="917">
        <f t="shared" si="95"/>
        <v>0</v>
      </c>
      <c r="AH208" s="918">
        <f t="shared" si="96"/>
        <v>0</v>
      </c>
      <c r="AI208" s="919"/>
      <c r="AJ208" s="917">
        <f t="shared" si="97"/>
        <v>0</v>
      </c>
      <c r="AK208" s="918">
        <f t="shared" si="98"/>
        <v>0</v>
      </c>
      <c r="AL208" s="919"/>
      <c r="AM208" s="917">
        <f t="shared" si="99"/>
        <v>0</v>
      </c>
      <c r="AN208" s="920">
        <v>19242</v>
      </c>
      <c r="AO208" s="917">
        <f t="shared" si="100"/>
        <v>0</v>
      </c>
      <c r="AP208" s="920"/>
      <c r="AQ208" s="916">
        <f t="shared" si="101"/>
        <v>0</v>
      </c>
      <c r="AR208" s="917">
        <f t="shared" si="102"/>
        <v>32429.7</v>
      </c>
      <c r="AS208" s="916">
        <v>12</v>
      </c>
      <c r="AT208" s="921">
        <f t="shared" si="103"/>
        <v>389156.4</v>
      </c>
      <c r="AU208" s="920"/>
      <c r="AV208" s="922">
        <f t="shared" si="104"/>
        <v>3891.56</v>
      </c>
      <c r="AW208" s="921">
        <f t="shared" si="105"/>
        <v>393047.96</v>
      </c>
      <c r="AX208" s="921">
        <f t="shared" si="106"/>
        <v>118700.48</v>
      </c>
      <c r="AY208" s="921">
        <f t="shared" si="107"/>
        <v>511748.44</v>
      </c>
      <c r="AZ208" s="923">
        <f t="shared" si="108"/>
        <v>393</v>
      </c>
      <c r="BA208" s="923">
        <f t="shared" si="109"/>
        <v>118.7</v>
      </c>
      <c r="BB208" s="923">
        <f t="shared" si="110"/>
        <v>511.7</v>
      </c>
      <c r="BC208" s="915">
        <v>0.95</v>
      </c>
      <c r="BD208" s="923">
        <f t="shared" si="111"/>
        <v>373.4</v>
      </c>
      <c r="BE208" s="923">
        <f t="shared" si="112"/>
        <v>112.8</v>
      </c>
      <c r="BF208" s="923">
        <f t="shared" si="113"/>
        <v>486.2</v>
      </c>
      <c r="BG208" s="924">
        <f>'[3]свод (2024)'!$B$116</f>
        <v>0.99758349999999996</v>
      </c>
      <c r="BH208" s="923">
        <f t="shared" si="114"/>
        <v>372.5</v>
      </c>
      <c r="BI208" s="923">
        <f t="shared" si="115"/>
        <v>112.5</v>
      </c>
      <c r="BJ208" s="923">
        <f t="shared" si="116"/>
        <v>485</v>
      </c>
      <c r="BK208" s="925">
        <f t="shared" si="117"/>
        <v>-20.5</v>
      </c>
      <c r="BL208" s="925">
        <f t="shared" si="117"/>
        <v>-6.2</v>
      </c>
      <c r="BM208" s="925">
        <f t="shared" si="118"/>
        <v>-26.7</v>
      </c>
      <c r="BN208" s="925">
        <f t="shared" si="119"/>
        <v>0</v>
      </c>
      <c r="BO208" s="925">
        <f t="shared" si="120"/>
        <v>0</v>
      </c>
      <c r="BP208" s="926"/>
      <c r="BQ208" s="925">
        <f t="shared" si="121"/>
        <v>372.5</v>
      </c>
      <c r="BR208" s="925">
        <f t="shared" si="121"/>
        <v>112.5</v>
      </c>
      <c r="BS208" s="925">
        <f t="shared" si="122"/>
        <v>485</v>
      </c>
      <c r="BU208" s="928"/>
      <c r="BV208" s="917"/>
      <c r="BW208" s="928"/>
      <c r="BX208" s="928"/>
      <c r="BY208" s="928"/>
      <c r="BZ208" s="917"/>
      <c r="CA208" s="928"/>
      <c r="CB208" s="917"/>
      <c r="CC208" s="928"/>
      <c r="CD208" s="928"/>
      <c r="CE208" s="928"/>
      <c r="CF208" s="929"/>
      <c r="CG208" s="928"/>
      <c r="CH208" s="928"/>
      <c r="CI208" s="928"/>
      <c r="CJ208" s="925"/>
      <c r="CK208" s="925"/>
      <c r="CL208" s="925"/>
      <c r="CM208" s="925"/>
      <c r="CN208" s="925"/>
      <c r="CO208" s="925"/>
      <c r="CP208" s="925"/>
      <c r="CQ208" s="925"/>
      <c r="CR208" s="925"/>
      <c r="CS208" s="917"/>
      <c r="CT208" s="928"/>
      <c r="CU208" s="928"/>
      <c r="CV208" s="928"/>
      <c r="CX208" s="925"/>
      <c r="CY208" s="925"/>
      <c r="CZ208" s="925"/>
      <c r="DB208" s="925"/>
      <c r="DC208" s="925"/>
      <c r="DD208" s="925"/>
      <c r="DE208" s="925"/>
      <c r="DF208" s="925"/>
      <c r="DG208" s="925"/>
      <c r="DH208" s="925"/>
      <c r="DI208" s="925"/>
      <c r="DJ208" s="925"/>
      <c r="DK208" s="925"/>
      <c r="DL208" s="925"/>
      <c r="DM208" s="925"/>
      <c r="DN208" s="925"/>
      <c r="DO208" s="925"/>
      <c r="DP208" s="925"/>
      <c r="DQ208" s="924"/>
      <c r="DR208" s="925"/>
      <c r="DS208" s="925"/>
      <c r="DT208" s="925"/>
      <c r="DV208" s="925"/>
      <c r="DW208" s="925"/>
      <c r="DX208" s="925"/>
      <c r="DY208" s="925"/>
      <c r="DZ208" s="925"/>
      <c r="EA208" s="925"/>
      <c r="EB208" s="925"/>
      <c r="EC208" s="925"/>
      <c r="ED208" s="925"/>
      <c r="EE208" s="925"/>
      <c r="EF208" s="925"/>
      <c r="EG208" s="925"/>
      <c r="EH208" s="925"/>
      <c r="EI208" s="925"/>
      <c r="EJ208" s="925"/>
      <c r="EK208" s="925"/>
      <c r="EL208" s="925"/>
      <c r="EM208" s="925"/>
      <c r="EN208" s="925"/>
      <c r="EO208" s="925"/>
      <c r="EP208" s="925"/>
      <c r="EQ208" s="925"/>
      <c r="ER208" s="925"/>
      <c r="ES208" s="925"/>
      <c r="ET208" s="925"/>
      <c r="EV208" s="924"/>
      <c r="EW208" s="925"/>
      <c r="EX208" s="925"/>
      <c r="EY208" s="925"/>
    </row>
    <row r="209" spans="1:155" s="927" customFormat="1" ht="24" x14ac:dyDescent="0.25">
      <c r="A209" s="912" t="s">
        <v>62</v>
      </c>
      <c r="B209" s="913" t="s">
        <v>30</v>
      </c>
      <c r="C209" s="914">
        <v>1</v>
      </c>
      <c r="D209" s="914">
        <v>22544</v>
      </c>
      <c r="E209" s="915">
        <v>1.0549999999999999</v>
      </c>
      <c r="F209" s="916">
        <f t="shared" si="77"/>
        <v>23784</v>
      </c>
      <c r="G209" s="915">
        <v>1.01</v>
      </c>
      <c r="H209" s="916">
        <f t="shared" si="78"/>
        <v>24022</v>
      </c>
      <c r="I209" s="917">
        <f t="shared" si="79"/>
        <v>24022</v>
      </c>
      <c r="J209" s="918">
        <f t="shared" si="80"/>
        <v>0</v>
      </c>
      <c r="K209" s="919"/>
      <c r="L209" s="917">
        <f t="shared" si="81"/>
        <v>0</v>
      </c>
      <c r="M209" s="918">
        <f t="shared" si="82"/>
        <v>0</v>
      </c>
      <c r="N209" s="919"/>
      <c r="O209" s="917">
        <f t="shared" si="83"/>
        <v>0</v>
      </c>
      <c r="P209" s="918">
        <f t="shared" si="84"/>
        <v>0</v>
      </c>
      <c r="Q209" s="988"/>
      <c r="R209" s="917">
        <f t="shared" si="85"/>
        <v>0</v>
      </c>
      <c r="S209" s="918">
        <f t="shared" si="86"/>
        <v>0</v>
      </c>
      <c r="T209" s="919"/>
      <c r="U209" s="917">
        <f t="shared" si="87"/>
        <v>0</v>
      </c>
      <c r="V209" s="918">
        <f t="shared" si="88"/>
        <v>0</v>
      </c>
      <c r="W209" s="919"/>
      <c r="X209" s="917">
        <f t="shared" si="89"/>
        <v>0</v>
      </c>
      <c r="Y209" s="918">
        <f t="shared" si="90"/>
        <v>0.15</v>
      </c>
      <c r="Z209" s="919">
        <v>3381.6</v>
      </c>
      <c r="AA209" s="917">
        <f t="shared" si="91"/>
        <v>3603.3</v>
      </c>
      <c r="AB209" s="918">
        <f t="shared" si="92"/>
        <v>0.2</v>
      </c>
      <c r="AC209" s="919">
        <v>4508.8</v>
      </c>
      <c r="AD209" s="917">
        <f t="shared" si="93"/>
        <v>4804.3999999999996</v>
      </c>
      <c r="AE209" s="918">
        <f t="shared" si="94"/>
        <v>0</v>
      </c>
      <c r="AF209" s="919"/>
      <c r="AG209" s="917">
        <f t="shared" si="95"/>
        <v>0</v>
      </c>
      <c r="AH209" s="918">
        <f t="shared" si="96"/>
        <v>0</v>
      </c>
      <c r="AI209" s="919"/>
      <c r="AJ209" s="917">
        <f t="shared" si="97"/>
        <v>0</v>
      </c>
      <c r="AK209" s="918">
        <f t="shared" si="98"/>
        <v>0</v>
      </c>
      <c r="AL209" s="919"/>
      <c r="AM209" s="917">
        <f t="shared" si="99"/>
        <v>0</v>
      </c>
      <c r="AN209" s="920">
        <v>19242</v>
      </c>
      <c r="AO209" s="917">
        <f t="shared" si="100"/>
        <v>0</v>
      </c>
      <c r="AP209" s="920"/>
      <c r="AQ209" s="916">
        <f t="shared" si="101"/>
        <v>0</v>
      </c>
      <c r="AR209" s="917">
        <f t="shared" si="102"/>
        <v>32429.7</v>
      </c>
      <c r="AS209" s="916">
        <v>12</v>
      </c>
      <c r="AT209" s="921">
        <f t="shared" si="103"/>
        <v>389156.4</v>
      </c>
      <c r="AU209" s="920"/>
      <c r="AV209" s="922">
        <f t="shared" si="104"/>
        <v>3891.56</v>
      </c>
      <c r="AW209" s="921">
        <f t="shared" si="105"/>
        <v>393047.96</v>
      </c>
      <c r="AX209" s="921">
        <f t="shared" si="106"/>
        <v>118700.48</v>
      </c>
      <c r="AY209" s="921">
        <f t="shared" si="107"/>
        <v>511748.44</v>
      </c>
      <c r="AZ209" s="923">
        <f t="shared" si="108"/>
        <v>393</v>
      </c>
      <c r="BA209" s="923">
        <f t="shared" si="109"/>
        <v>118.7</v>
      </c>
      <c r="BB209" s="923">
        <f t="shared" si="110"/>
        <v>511.7</v>
      </c>
      <c r="BC209" s="915">
        <v>0.95</v>
      </c>
      <c r="BD209" s="923">
        <f t="shared" si="111"/>
        <v>373.4</v>
      </c>
      <c r="BE209" s="923">
        <f t="shared" si="112"/>
        <v>112.8</v>
      </c>
      <c r="BF209" s="923">
        <f t="shared" si="113"/>
        <v>486.2</v>
      </c>
      <c r="BG209" s="924">
        <f>'[3]свод (2024)'!$B$116</f>
        <v>0.99758349999999996</v>
      </c>
      <c r="BH209" s="923">
        <f t="shared" si="114"/>
        <v>372.5</v>
      </c>
      <c r="BI209" s="923">
        <f t="shared" si="115"/>
        <v>112.5</v>
      </c>
      <c r="BJ209" s="923">
        <f t="shared" si="116"/>
        <v>485</v>
      </c>
      <c r="BK209" s="925">
        <f t="shared" si="117"/>
        <v>-20.5</v>
      </c>
      <c r="BL209" s="925">
        <f t="shared" si="117"/>
        <v>-6.2</v>
      </c>
      <c r="BM209" s="925">
        <f t="shared" si="118"/>
        <v>-26.7</v>
      </c>
      <c r="BN209" s="925">
        <f t="shared" si="119"/>
        <v>0</v>
      </c>
      <c r="BO209" s="925">
        <f t="shared" si="120"/>
        <v>0</v>
      </c>
      <c r="BP209" s="926"/>
      <c r="BQ209" s="925">
        <f t="shared" si="121"/>
        <v>372.5</v>
      </c>
      <c r="BR209" s="925">
        <f t="shared" si="121"/>
        <v>112.5</v>
      </c>
      <c r="BS209" s="925">
        <f t="shared" si="122"/>
        <v>485</v>
      </c>
      <c r="BU209" s="928"/>
      <c r="BV209" s="917"/>
      <c r="BW209" s="928"/>
      <c r="BX209" s="928"/>
      <c r="BY209" s="928"/>
      <c r="BZ209" s="917"/>
      <c r="CA209" s="928"/>
      <c r="CB209" s="917"/>
      <c r="CC209" s="928"/>
      <c r="CD209" s="928"/>
      <c r="CE209" s="928"/>
      <c r="CF209" s="929"/>
      <c r="CG209" s="928"/>
      <c r="CH209" s="928"/>
      <c r="CI209" s="928"/>
      <c r="CJ209" s="925"/>
      <c r="CK209" s="925"/>
      <c r="CL209" s="925"/>
      <c r="CM209" s="925"/>
      <c r="CN209" s="925"/>
      <c r="CO209" s="925"/>
      <c r="CP209" s="925"/>
      <c r="CQ209" s="925"/>
      <c r="CR209" s="925"/>
      <c r="CS209" s="917"/>
      <c r="CT209" s="928"/>
      <c r="CU209" s="928"/>
      <c r="CV209" s="928"/>
      <c r="CX209" s="925"/>
      <c r="CY209" s="925"/>
      <c r="CZ209" s="925"/>
      <c r="DB209" s="925"/>
      <c r="DC209" s="925"/>
      <c r="DD209" s="925"/>
      <c r="DE209" s="925"/>
      <c r="DF209" s="925"/>
      <c r="DG209" s="925"/>
      <c r="DH209" s="925"/>
      <c r="DI209" s="925"/>
      <c r="DJ209" s="925"/>
      <c r="DK209" s="925"/>
      <c r="DL209" s="925"/>
      <c r="DM209" s="925"/>
      <c r="DN209" s="925"/>
      <c r="DO209" s="925"/>
      <c r="DP209" s="925"/>
      <c r="DQ209" s="924"/>
      <c r="DR209" s="925"/>
      <c r="DS209" s="925"/>
      <c r="DT209" s="925"/>
      <c r="DV209" s="925"/>
      <c r="DW209" s="925"/>
      <c r="DX209" s="925"/>
      <c r="DY209" s="925"/>
      <c r="DZ209" s="925"/>
      <c r="EA209" s="925"/>
      <c r="EB209" s="925"/>
      <c r="EC209" s="925"/>
      <c r="ED209" s="925"/>
      <c r="EE209" s="925"/>
      <c r="EF209" s="925"/>
      <c r="EG209" s="925"/>
      <c r="EH209" s="925"/>
      <c r="EI209" s="925"/>
      <c r="EJ209" s="925"/>
      <c r="EK209" s="925"/>
      <c r="EL209" s="925"/>
      <c r="EM209" s="925"/>
      <c r="EN209" s="925"/>
      <c r="EO209" s="925"/>
      <c r="EP209" s="925"/>
      <c r="EQ209" s="925"/>
      <c r="ER209" s="925"/>
      <c r="ES209" s="925"/>
      <c r="ET209" s="925"/>
      <c r="EV209" s="924"/>
      <c r="EW209" s="925"/>
      <c r="EX209" s="925"/>
      <c r="EY209" s="925"/>
    </row>
    <row r="210" spans="1:155" s="927" customFormat="1" ht="15.75" x14ac:dyDescent="0.25">
      <c r="A210" s="912" t="s">
        <v>62</v>
      </c>
      <c r="B210" s="913" t="s">
        <v>36</v>
      </c>
      <c r="C210" s="914">
        <v>1</v>
      </c>
      <c r="D210" s="914">
        <v>13772</v>
      </c>
      <c r="E210" s="915">
        <v>1.0549999999999999</v>
      </c>
      <c r="F210" s="916">
        <f t="shared" si="77"/>
        <v>14530</v>
      </c>
      <c r="G210" s="915">
        <v>1.01</v>
      </c>
      <c r="H210" s="916">
        <f t="shared" si="78"/>
        <v>14676</v>
      </c>
      <c r="I210" s="917">
        <f t="shared" si="79"/>
        <v>14676</v>
      </c>
      <c r="J210" s="918">
        <f t="shared" si="80"/>
        <v>0.25</v>
      </c>
      <c r="K210" s="919">
        <v>3443</v>
      </c>
      <c r="L210" s="917">
        <f t="shared" si="81"/>
        <v>3669</v>
      </c>
      <c r="M210" s="918">
        <f t="shared" si="82"/>
        <v>0</v>
      </c>
      <c r="N210" s="919"/>
      <c r="O210" s="917">
        <f t="shared" si="83"/>
        <v>0</v>
      </c>
      <c r="P210" s="918">
        <f t="shared" si="84"/>
        <v>0</v>
      </c>
      <c r="Q210" s="919"/>
      <c r="R210" s="917">
        <f t="shared" si="85"/>
        <v>0</v>
      </c>
      <c r="S210" s="918">
        <f t="shared" si="86"/>
        <v>0</v>
      </c>
      <c r="T210" s="919"/>
      <c r="U210" s="917">
        <f t="shared" si="87"/>
        <v>0</v>
      </c>
      <c r="V210" s="918">
        <f t="shared" si="88"/>
        <v>0</v>
      </c>
      <c r="W210" s="919"/>
      <c r="X210" s="917">
        <f t="shared" si="89"/>
        <v>0</v>
      </c>
      <c r="Y210" s="918">
        <f t="shared" si="90"/>
        <v>0</v>
      </c>
      <c r="Z210" s="919"/>
      <c r="AA210" s="917">
        <f t="shared" si="91"/>
        <v>0</v>
      </c>
      <c r="AB210" s="918">
        <f t="shared" si="92"/>
        <v>0.125</v>
      </c>
      <c r="AC210" s="919">
        <v>1721.5</v>
      </c>
      <c r="AD210" s="917">
        <f t="shared" si="93"/>
        <v>1834.5</v>
      </c>
      <c r="AE210" s="918">
        <f t="shared" si="94"/>
        <v>0</v>
      </c>
      <c r="AF210" s="919"/>
      <c r="AG210" s="917">
        <f t="shared" si="95"/>
        <v>0</v>
      </c>
      <c r="AH210" s="918">
        <f t="shared" si="96"/>
        <v>0</v>
      </c>
      <c r="AI210" s="919"/>
      <c r="AJ210" s="917">
        <f t="shared" si="97"/>
        <v>0</v>
      </c>
      <c r="AK210" s="918">
        <f t="shared" si="98"/>
        <v>0</v>
      </c>
      <c r="AL210" s="919"/>
      <c r="AM210" s="917">
        <f t="shared" si="99"/>
        <v>0</v>
      </c>
      <c r="AN210" s="920">
        <v>19242</v>
      </c>
      <c r="AO210" s="917">
        <f t="shared" si="100"/>
        <v>0</v>
      </c>
      <c r="AP210" s="920"/>
      <c r="AQ210" s="916">
        <f t="shared" si="101"/>
        <v>0</v>
      </c>
      <c r="AR210" s="917">
        <f t="shared" si="102"/>
        <v>20179.5</v>
      </c>
      <c r="AS210" s="916">
        <v>12</v>
      </c>
      <c r="AT210" s="921">
        <f t="shared" si="103"/>
        <v>242154</v>
      </c>
      <c r="AU210" s="920"/>
      <c r="AV210" s="922">
        <f t="shared" si="104"/>
        <v>2421.54</v>
      </c>
      <c r="AW210" s="921">
        <f t="shared" si="105"/>
        <v>244575.54</v>
      </c>
      <c r="AX210" s="921">
        <f t="shared" si="106"/>
        <v>73861.81</v>
      </c>
      <c r="AY210" s="921">
        <f t="shared" si="107"/>
        <v>318437.34999999998</v>
      </c>
      <c r="AZ210" s="923">
        <f t="shared" si="108"/>
        <v>244.6</v>
      </c>
      <c r="BA210" s="923">
        <f t="shared" si="109"/>
        <v>73.900000000000006</v>
      </c>
      <c r="BB210" s="923">
        <f t="shared" si="110"/>
        <v>318.5</v>
      </c>
      <c r="BC210" s="915">
        <v>0.95</v>
      </c>
      <c r="BD210" s="923">
        <f t="shared" si="111"/>
        <v>232.4</v>
      </c>
      <c r="BE210" s="923">
        <f t="shared" si="112"/>
        <v>70.2</v>
      </c>
      <c r="BF210" s="923">
        <f t="shared" si="113"/>
        <v>302.60000000000002</v>
      </c>
      <c r="BG210" s="924">
        <f>'[3]свод (2024)'!$B$116</f>
        <v>0.99758349999999996</v>
      </c>
      <c r="BH210" s="923">
        <f t="shared" si="114"/>
        <v>231.8</v>
      </c>
      <c r="BI210" s="923">
        <f t="shared" si="115"/>
        <v>70</v>
      </c>
      <c r="BJ210" s="923">
        <f t="shared" si="116"/>
        <v>301.8</v>
      </c>
      <c r="BK210" s="925">
        <f t="shared" si="117"/>
        <v>-12.8</v>
      </c>
      <c r="BL210" s="925">
        <f t="shared" si="117"/>
        <v>-3.9</v>
      </c>
      <c r="BM210" s="925">
        <f t="shared" si="118"/>
        <v>-16.7</v>
      </c>
      <c r="BN210" s="925">
        <f t="shared" si="119"/>
        <v>0</v>
      </c>
      <c r="BO210" s="925">
        <f t="shared" si="120"/>
        <v>0</v>
      </c>
      <c r="BP210" s="926"/>
      <c r="BQ210" s="925">
        <f t="shared" si="121"/>
        <v>231.8</v>
      </c>
      <c r="BR210" s="925">
        <f t="shared" si="121"/>
        <v>70</v>
      </c>
      <c r="BS210" s="925">
        <f t="shared" si="122"/>
        <v>301.8</v>
      </c>
      <c r="BU210" s="928">
        <f t="shared" si="123"/>
        <v>1</v>
      </c>
      <c r="BV210" s="917"/>
      <c r="BW210" s="928"/>
      <c r="BX210" s="928">
        <f t="shared" si="124"/>
        <v>244575.54</v>
      </c>
      <c r="BY210" s="928"/>
      <c r="BZ210" s="917"/>
      <c r="CA210" s="928"/>
      <c r="CB210" s="917"/>
      <c r="CC210" s="928"/>
      <c r="CD210" s="928"/>
      <c r="CE210" s="928"/>
      <c r="CF210" s="929">
        <f>CC$220/BU$220*BU210</f>
        <v>56315.66</v>
      </c>
      <c r="CG210" s="928"/>
      <c r="CH210" s="928"/>
      <c r="CI210" s="928"/>
      <c r="CJ210" s="925"/>
      <c r="CK210" s="925"/>
      <c r="CL210" s="925"/>
      <c r="CM210" s="925"/>
      <c r="CN210" s="925"/>
      <c r="CO210" s="925"/>
      <c r="CP210" s="925"/>
      <c r="CQ210" s="925"/>
      <c r="CR210" s="925"/>
      <c r="CS210" s="917"/>
      <c r="CT210" s="928"/>
      <c r="CU210" s="928"/>
      <c r="CV210" s="928"/>
      <c r="CX210" s="925"/>
      <c r="CY210" s="925"/>
      <c r="CZ210" s="925"/>
      <c r="DB210" s="925"/>
      <c r="DC210" s="925"/>
      <c r="DD210" s="925"/>
      <c r="DE210" s="925"/>
      <c r="DF210" s="925"/>
      <c r="DG210" s="925"/>
      <c r="DH210" s="925"/>
      <c r="DI210" s="925"/>
      <c r="DJ210" s="925"/>
      <c r="DK210" s="925"/>
      <c r="DL210" s="925"/>
      <c r="DM210" s="925"/>
      <c r="DN210" s="925"/>
      <c r="DO210" s="925"/>
      <c r="DP210" s="925"/>
      <c r="DQ210" s="924"/>
      <c r="DR210" s="925"/>
      <c r="DS210" s="925"/>
      <c r="DT210" s="925"/>
      <c r="DV210" s="925"/>
      <c r="DW210" s="925"/>
      <c r="DX210" s="925"/>
      <c r="DY210" s="925"/>
      <c r="DZ210" s="925"/>
      <c r="EA210" s="925"/>
      <c r="EB210" s="925"/>
      <c r="EC210" s="925"/>
      <c r="ED210" s="925"/>
      <c r="EE210" s="925"/>
      <c r="EF210" s="925"/>
      <c r="EG210" s="925"/>
      <c r="EH210" s="925"/>
      <c r="EI210" s="925"/>
      <c r="EJ210" s="925"/>
      <c r="EK210" s="925"/>
      <c r="EL210" s="925"/>
      <c r="EM210" s="925"/>
      <c r="EN210" s="925"/>
      <c r="EO210" s="925"/>
      <c r="EP210" s="925"/>
      <c r="EQ210" s="925"/>
      <c r="ER210" s="925"/>
      <c r="ES210" s="925"/>
      <c r="ET210" s="925"/>
      <c r="EV210" s="924"/>
      <c r="EW210" s="925"/>
      <c r="EX210" s="925"/>
      <c r="EY210" s="925"/>
    </row>
    <row r="211" spans="1:155" s="927" customFormat="1" ht="15.75" x14ac:dyDescent="0.25">
      <c r="A211" s="912" t="s">
        <v>62</v>
      </c>
      <c r="B211" s="913" t="s">
        <v>1416</v>
      </c>
      <c r="C211" s="914">
        <v>2</v>
      </c>
      <c r="D211" s="914">
        <v>5156</v>
      </c>
      <c r="E211" s="915">
        <v>1.0549999999999999</v>
      </c>
      <c r="F211" s="916">
        <f t="shared" si="77"/>
        <v>5440</v>
      </c>
      <c r="G211" s="915">
        <v>1.01</v>
      </c>
      <c r="H211" s="916">
        <f t="shared" si="78"/>
        <v>5495</v>
      </c>
      <c r="I211" s="917">
        <f t="shared" si="79"/>
        <v>10990</v>
      </c>
      <c r="J211" s="918">
        <f t="shared" si="80"/>
        <v>0</v>
      </c>
      <c r="K211" s="919"/>
      <c r="L211" s="917">
        <f t="shared" si="81"/>
        <v>0</v>
      </c>
      <c r="M211" s="918">
        <f t="shared" si="82"/>
        <v>0</v>
      </c>
      <c r="N211" s="919"/>
      <c r="O211" s="917">
        <f t="shared" si="83"/>
        <v>0</v>
      </c>
      <c r="P211" s="918">
        <f t="shared" si="84"/>
        <v>0</v>
      </c>
      <c r="Q211" s="919"/>
      <c r="R211" s="917">
        <f t="shared" si="85"/>
        <v>0</v>
      </c>
      <c r="S211" s="918">
        <f t="shared" si="86"/>
        <v>0</v>
      </c>
      <c r="T211" s="919"/>
      <c r="U211" s="917">
        <f t="shared" si="87"/>
        <v>0</v>
      </c>
      <c r="V211" s="918">
        <f t="shared" si="88"/>
        <v>0</v>
      </c>
      <c r="W211" s="919"/>
      <c r="X211" s="917">
        <f t="shared" si="89"/>
        <v>0</v>
      </c>
      <c r="Y211" s="918">
        <f t="shared" si="90"/>
        <v>0</v>
      </c>
      <c r="Z211" s="919"/>
      <c r="AA211" s="917">
        <f t="shared" si="91"/>
        <v>0</v>
      </c>
      <c r="AB211" s="918">
        <f t="shared" si="92"/>
        <v>0</v>
      </c>
      <c r="AC211" s="919"/>
      <c r="AD211" s="917">
        <f t="shared" si="93"/>
        <v>0</v>
      </c>
      <c r="AE211" s="918">
        <f t="shared" si="94"/>
        <v>0</v>
      </c>
      <c r="AF211" s="919"/>
      <c r="AG211" s="917">
        <f t="shared" si="95"/>
        <v>0</v>
      </c>
      <c r="AH211" s="918">
        <f t="shared" si="96"/>
        <v>0</v>
      </c>
      <c r="AI211" s="919"/>
      <c r="AJ211" s="917">
        <f t="shared" si="97"/>
        <v>0</v>
      </c>
      <c r="AK211" s="918">
        <f t="shared" si="98"/>
        <v>0</v>
      </c>
      <c r="AL211" s="919"/>
      <c r="AM211" s="917">
        <f t="shared" si="99"/>
        <v>0</v>
      </c>
      <c r="AN211" s="920">
        <v>19242</v>
      </c>
      <c r="AO211" s="917">
        <f t="shared" si="100"/>
        <v>27494</v>
      </c>
      <c r="AP211" s="920">
        <v>1060.29</v>
      </c>
      <c r="AQ211" s="916">
        <f t="shared" si="101"/>
        <v>2120.58</v>
      </c>
      <c r="AR211" s="917">
        <f t="shared" si="102"/>
        <v>40604.58</v>
      </c>
      <c r="AS211" s="916">
        <v>12</v>
      </c>
      <c r="AT211" s="921">
        <f t="shared" si="103"/>
        <v>487254.96</v>
      </c>
      <c r="AU211" s="920">
        <f>AT211*0.085</f>
        <v>41416.67</v>
      </c>
      <c r="AV211" s="922">
        <f t="shared" si="104"/>
        <v>4872.55</v>
      </c>
      <c r="AW211" s="921">
        <f t="shared" si="105"/>
        <v>533544.18000000005</v>
      </c>
      <c r="AX211" s="921">
        <f t="shared" si="106"/>
        <v>161130.34</v>
      </c>
      <c r="AY211" s="921">
        <f t="shared" si="107"/>
        <v>694674.52</v>
      </c>
      <c r="AZ211" s="923">
        <f t="shared" si="108"/>
        <v>533.5</v>
      </c>
      <c r="BA211" s="923">
        <f t="shared" si="109"/>
        <v>161.1</v>
      </c>
      <c r="BB211" s="923">
        <f t="shared" si="110"/>
        <v>694.6</v>
      </c>
      <c r="BC211" s="915">
        <v>0.95</v>
      </c>
      <c r="BD211" s="923">
        <f t="shared" si="111"/>
        <v>506.8</v>
      </c>
      <c r="BE211" s="923">
        <f t="shared" si="112"/>
        <v>153.1</v>
      </c>
      <c r="BF211" s="923">
        <f t="shared" si="113"/>
        <v>659.9</v>
      </c>
      <c r="BG211" s="924">
        <f>'[3]свод (2024)'!$B$116</f>
        <v>0.99758349999999996</v>
      </c>
      <c r="BH211" s="923">
        <f t="shared" si="114"/>
        <v>505.6</v>
      </c>
      <c r="BI211" s="923">
        <f t="shared" si="115"/>
        <v>152.69999999999999</v>
      </c>
      <c r="BJ211" s="923">
        <f t="shared" si="116"/>
        <v>658.3</v>
      </c>
      <c r="BK211" s="925">
        <f t="shared" si="117"/>
        <v>-27.9</v>
      </c>
      <c r="BL211" s="925">
        <f t="shared" si="117"/>
        <v>-8.4</v>
      </c>
      <c r="BM211" s="925">
        <f t="shared" si="118"/>
        <v>-36.299999999999997</v>
      </c>
      <c r="BN211" s="925">
        <f t="shared" si="119"/>
        <v>0</v>
      </c>
      <c r="BO211" s="925">
        <f t="shared" si="120"/>
        <v>0</v>
      </c>
      <c r="BP211" s="926"/>
      <c r="BQ211" s="925">
        <f t="shared" si="121"/>
        <v>505.6</v>
      </c>
      <c r="BR211" s="925">
        <f t="shared" si="121"/>
        <v>152.69999999999999</v>
      </c>
      <c r="BS211" s="925">
        <f t="shared" si="122"/>
        <v>658.3</v>
      </c>
      <c r="BU211" s="928"/>
      <c r="BV211" s="917"/>
      <c r="BW211" s="928"/>
      <c r="BX211" s="928"/>
      <c r="BY211" s="928"/>
      <c r="BZ211" s="917"/>
      <c r="CA211" s="928"/>
      <c r="CB211" s="917"/>
      <c r="CC211" s="928"/>
      <c r="CD211" s="928"/>
      <c r="CE211" s="928"/>
      <c r="CF211" s="929"/>
      <c r="CG211" s="928"/>
      <c r="CH211" s="928"/>
      <c r="CI211" s="928"/>
      <c r="CJ211" s="925"/>
      <c r="CK211" s="925"/>
      <c r="CL211" s="925"/>
      <c r="CM211" s="925"/>
      <c r="CN211" s="925"/>
      <c r="CO211" s="925"/>
      <c r="CP211" s="925"/>
      <c r="CQ211" s="925"/>
      <c r="CR211" s="925"/>
      <c r="CS211" s="917"/>
      <c r="CT211" s="928"/>
      <c r="CU211" s="928"/>
      <c r="CV211" s="928"/>
      <c r="CX211" s="925"/>
      <c r="CY211" s="925"/>
      <c r="CZ211" s="925"/>
      <c r="DB211" s="925"/>
      <c r="DC211" s="925"/>
      <c r="DD211" s="925"/>
      <c r="DE211" s="925"/>
      <c r="DF211" s="925"/>
      <c r="DG211" s="925"/>
      <c r="DH211" s="925"/>
      <c r="DI211" s="925"/>
      <c r="DJ211" s="925"/>
      <c r="DK211" s="925"/>
      <c r="DL211" s="925"/>
      <c r="DM211" s="925"/>
      <c r="DN211" s="925"/>
      <c r="DO211" s="925"/>
      <c r="DP211" s="925"/>
      <c r="DQ211" s="924"/>
      <c r="DR211" s="925"/>
      <c r="DS211" s="925"/>
      <c r="DT211" s="925"/>
      <c r="DV211" s="925"/>
      <c r="DW211" s="925"/>
      <c r="DX211" s="925"/>
      <c r="DY211" s="925"/>
      <c r="DZ211" s="925"/>
      <c r="EA211" s="925"/>
      <c r="EB211" s="925"/>
      <c r="EC211" s="925"/>
      <c r="ED211" s="925"/>
      <c r="EE211" s="925"/>
      <c r="EF211" s="925"/>
      <c r="EG211" s="925"/>
      <c r="EH211" s="925"/>
      <c r="EI211" s="925"/>
      <c r="EJ211" s="925"/>
      <c r="EK211" s="925"/>
      <c r="EL211" s="925"/>
      <c r="EM211" s="925"/>
      <c r="EN211" s="925"/>
      <c r="EO211" s="925"/>
      <c r="EP211" s="925"/>
      <c r="EQ211" s="925"/>
      <c r="ER211" s="925"/>
      <c r="ES211" s="925"/>
      <c r="ET211" s="925"/>
      <c r="EV211" s="924"/>
      <c r="EW211" s="925"/>
      <c r="EX211" s="925"/>
      <c r="EY211" s="925"/>
    </row>
    <row r="212" spans="1:155" s="927" customFormat="1" ht="15.75" x14ac:dyDescent="0.25">
      <c r="A212" s="912" t="s">
        <v>62</v>
      </c>
      <c r="B212" s="913" t="s">
        <v>35</v>
      </c>
      <c r="C212" s="914">
        <v>14.44</v>
      </c>
      <c r="D212" s="914">
        <v>13132</v>
      </c>
      <c r="E212" s="915">
        <v>1.0549999999999999</v>
      </c>
      <c r="F212" s="916">
        <f t="shared" si="77"/>
        <v>13855</v>
      </c>
      <c r="G212" s="915">
        <v>1.01</v>
      </c>
      <c r="H212" s="916">
        <f t="shared" si="78"/>
        <v>13994</v>
      </c>
      <c r="I212" s="917">
        <f t="shared" si="79"/>
        <v>202073.36</v>
      </c>
      <c r="J212" s="918">
        <f t="shared" si="80"/>
        <v>0.17122999999999999</v>
      </c>
      <c r="K212" s="919">
        <v>32468.87</v>
      </c>
      <c r="L212" s="917">
        <f t="shared" si="81"/>
        <v>34601.019999999997</v>
      </c>
      <c r="M212" s="918">
        <f t="shared" si="82"/>
        <v>0</v>
      </c>
      <c r="N212" s="919"/>
      <c r="O212" s="917">
        <f t="shared" si="83"/>
        <v>0</v>
      </c>
      <c r="P212" s="918">
        <f t="shared" si="84"/>
        <v>0</v>
      </c>
      <c r="Q212" s="919"/>
      <c r="R212" s="917">
        <f t="shared" si="85"/>
        <v>0</v>
      </c>
      <c r="S212" s="918">
        <f t="shared" si="86"/>
        <v>0</v>
      </c>
      <c r="T212" s="919"/>
      <c r="U212" s="917">
        <f t="shared" si="87"/>
        <v>0</v>
      </c>
      <c r="V212" s="918">
        <f t="shared" si="88"/>
        <v>0</v>
      </c>
      <c r="W212" s="919"/>
      <c r="X212" s="917">
        <f t="shared" si="89"/>
        <v>0</v>
      </c>
      <c r="Y212" s="918">
        <f t="shared" si="90"/>
        <v>0</v>
      </c>
      <c r="Z212" s="919"/>
      <c r="AA212" s="917">
        <f t="shared" si="91"/>
        <v>0</v>
      </c>
      <c r="AB212" s="918">
        <f t="shared" si="92"/>
        <v>0.17238999999999999</v>
      </c>
      <c r="AC212" s="919">
        <v>32689.49</v>
      </c>
      <c r="AD212" s="917">
        <f t="shared" si="93"/>
        <v>34835.43</v>
      </c>
      <c r="AE212" s="918">
        <f t="shared" si="94"/>
        <v>0</v>
      </c>
      <c r="AF212" s="919"/>
      <c r="AG212" s="917">
        <f t="shared" si="95"/>
        <v>0</v>
      </c>
      <c r="AH212" s="918">
        <f t="shared" si="96"/>
        <v>0</v>
      </c>
      <c r="AI212" s="919"/>
      <c r="AJ212" s="917">
        <f t="shared" si="97"/>
        <v>0</v>
      </c>
      <c r="AK212" s="918">
        <f t="shared" si="98"/>
        <v>0</v>
      </c>
      <c r="AL212" s="919"/>
      <c r="AM212" s="917">
        <f t="shared" si="99"/>
        <v>0</v>
      </c>
      <c r="AN212" s="920">
        <v>19242</v>
      </c>
      <c r="AO212" s="917">
        <f t="shared" si="100"/>
        <v>6344.67</v>
      </c>
      <c r="AP212" s="920"/>
      <c r="AQ212" s="916">
        <f t="shared" si="101"/>
        <v>0</v>
      </c>
      <c r="AR212" s="917">
        <f t="shared" si="102"/>
        <v>277854.48</v>
      </c>
      <c r="AS212" s="916">
        <v>12</v>
      </c>
      <c r="AT212" s="921">
        <f t="shared" si="103"/>
        <v>3334253.76</v>
      </c>
      <c r="AU212" s="920"/>
      <c r="AV212" s="922">
        <f t="shared" si="104"/>
        <v>33342.54</v>
      </c>
      <c r="AW212" s="921">
        <f t="shared" si="105"/>
        <v>3367596.3</v>
      </c>
      <c r="AX212" s="921">
        <f t="shared" si="106"/>
        <v>1017014.08</v>
      </c>
      <c r="AY212" s="921">
        <f t="shared" si="107"/>
        <v>4384610.38</v>
      </c>
      <c r="AZ212" s="923">
        <f t="shared" si="108"/>
        <v>3367.6</v>
      </c>
      <c r="BA212" s="923">
        <f t="shared" si="109"/>
        <v>1017</v>
      </c>
      <c r="BB212" s="923">
        <f t="shared" si="110"/>
        <v>4384.6000000000004</v>
      </c>
      <c r="BC212" s="915">
        <v>0.95</v>
      </c>
      <c r="BD212" s="923">
        <f t="shared" si="111"/>
        <v>3199.2</v>
      </c>
      <c r="BE212" s="923">
        <f t="shared" si="112"/>
        <v>966.2</v>
      </c>
      <c r="BF212" s="923">
        <f t="shared" si="113"/>
        <v>4165.3999999999996</v>
      </c>
      <c r="BG212" s="924">
        <f>'[3]свод (2024)'!$B$116</f>
        <v>0.99758349999999996</v>
      </c>
      <c r="BH212" s="923">
        <f t="shared" si="114"/>
        <v>3191.5</v>
      </c>
      <c r="BI212" s="923">
        <f t="shared" si="115"/>
        <v>963.8</v>
      </c>
      <c r="BJ212" s="923">
        <f t="shared" si="116"/>
        <v>4155.3</v>
      </c>
      <c r="BK212" s="925">
        <f t="shared" si="117"/>
        <v>-176.1</v>
      </c>
      <c r="BL212" s="925">
        <f t="shared" si="117"/>
        <v>-53.2</v>
      </c>
      <c r="BM212" s="925">
        <f t="shared" si="118"/>
        <v>-229.3</v>
      </c>
      <c r="BN212" s="925">
        <f t="shared" si="119"/>
        <v>0</v>
      </c>
      <c r="BO212" s="925">
        <f t="shared" si="120"/>
        <v>0</v>
      </c>
      <c r="BP212" s="926"/>
      <c r="BQ212" s="925">
        <f t="shared" si="121"/>
        <v>3191.5</v>
      </c>
      <c r="BR212" s="925">
        <f t="shared" si="121"/>
        <v>963.8</v>
      </c>
      <c r="BS212" s="925">
        <f t="shared" si="122"/>
        <v>4155.3</v>
      </c>
      <c r="BU212" s="928">
        <f t="shared" si="123"/>
        <v>14.44</v>
      </c>
      <c r="BV212" s="917"/>
      <c r="BW212" s="928"/>
      <c r="BX212" s="928">
        <f t="shared" si="124"/>
        <v>3367596.3</v>
      </c>
      <c r="BY212" s="928"/>
      <c r="BZ212" s="917"/>
      <c r="CA212" s="928"/>
      <c r="CB212" s="917"/>
      <c r="CC212" s="928"/>
      <c r="CD212" s="928"/>
      <c r="CE212" s="928"/>
      <c r="CF212" s="929">
        <f t="shared" ref="CF212:CF214" si="164">CC$220/BU$220*BU212</f>
        <v>813198.11</v>
      </c>
      <c r="CG212" s="928"/>
      <c r="CH212" s="928"/>
      <c r="CI212" s="928"/>
      <c r="CJ212" s="925"/>
      <c r="CK212" s="925"/>
      <c r="CL212" s="925"/>
      <c r="CM212" s="925"/>
      <c r="CN212" s="925"/>
      <c r="CO212" s="925"/>
      <c r="CP212" s="925"/>
      <c r="CQ212" s="925"/>
      <c r="CR212" s="925"/>
      <c r="CS212" s="917"/>
      <c r="CT212" s="928"/>
      <c r="CU212" s="928"/>
      <c r="CV212" s="928"/>
      <c r="CX212" s="925"/>
      <c r="CY212" s="925"/>
      <c r="CZ212" s="925"/>
      <c r="DB212" s="925"/>
      <c r="DC212" s="925"/>
      <c r="DD212" s="925"/>
      <c r="DE212" s="925"/>
      <c r="DF212" s="925"/>
      <c r="DG212" s="925"/>
      <c r="DH212" s="925"/>
      <c r="DI212" s="925"/>
      <c r="DJ212" s="925"/>
      <c r="DK212" s="925"/>
      <c r="DL212" s="925"/>
      <c r="DM212" s="925"/>
      <c r="DN212" s="925"/>
      <c r="DO212" s="925"/>
      <c r="DP212" s="925"/>
      <c r="DQ212" s="924"/>
      <c r="DR212" s="925"/>
      <c r="DS212" s="925"/>
      <c r="DT212" s="925"/>
      <c r="DV212" s="925"/>
      <c r="DW212" s="925"/>
      <c r="DX212" s="925"/>
      <c r="DY212" s="925"/>
      <c r="DZ212" s="925"/>
      <c r="EA212" s="925"/>
      <c r="EB212" s="925"/>
      <c r="EC212" s="925"/>
      <c r="ED212" s="925"/>
      <c r="EE212" s="925"/>
      <c r="EF212" s="925"/>
      <c r="EG212" s="925"/>
      <c r="EH212" s="925"/>
      <c r="EI212" s="925"/>
      <c r="EJ212" s="925"/>
      <c r="EK212" s="925"/>
      <c r="EL212" s="925"/>
      <c r="EM212" s="925"/>
      <c r="EN212" s="925"/>
      <c r="EO212" s="925"/>
      <c r="EP212" s="925"/>
      <c r="EQ212" s="925"/>
      <c r="ER212" s="925"/>
      <c r="ES212" s="925"/>
      <c r="ET212" s="925"/>
      <c r="EV212" s="924"/>
      <c r="EW212" s="925"/>
      <c r="EX212" s="925"/>
      <c r="EY212" s="925"/>
    </row>
    <row r="213" spans="1:155" s="927" customFormat="1" ht="15.75" x14ac:dyDescent="0.25">
      <c r="A213" s="912" t="s">
        <v>62</v>
      </c>
      <c r="B213" s="913" t="s">
        <v>37</v>
      </c>
      <c r="C213" s="914">
        <v>1</v>
      </c>
      <c r="D213" s="914">
        <v>13132</v>
      </c>
      <c r="E213" s="915">
        <v>1.0549999999999999</v>
      </c>
      <c r="F213" s="916">
        <f t="shared" ref="F213:F219" si="165">ROUNDUP(D213*E213,0)</f>
        <v>13855</v>
      </c>
      <c r="G213" s="915">
        <v>1.01</v>
      </c>
      <c r="H213" s="916">
        <f t="shared" ref="H213:H219" si="166">ROUNDUP(F213*G213,0)</f>
        <v>13994</v>
      </c>
      <c r="I213" s="917">
        <f t="shared" ref="I213:I219" si="167">ROUND(C213*H213,2)</f>
        <v>13994</v>
      </c>
      <c r="J213" s="918">
        <f t="shared" ref="J213:J219" si="168">IF(K213&gt;0,(ROUND(K213/($C213*$D213),5)),0)</f>
        <v>0.25</v>
      </c>
      <c r="K213" s="919">
        <v>3283</v>
      </c>
      <c r="L213" s="917">
        <f t="shared" ref="L213:L219" si="169">ROUND($I213*J213,2)</f>
        <v>3498.5</v>
      </c>
      <c r="M213" s="918">
        <f t="shared" ref="M213:M219" si="170">IF(N213&gt;0,(ROUND(N213/($C213*$D213),5)),0)</f>
        <v>0</v>
      </c>
      <c r="N213" s="919"/>
      <c r="O213" s="917">
        <f t="shared" ref="O213:O219" si="171">ROUND($I213*M213,2)</f>
        <v>0</v>
      </c>
      <c r="P213" s="918">
        <f t="shared" ref="P213:P219" si="172">IF(Q213&gt;0,(ROUND(Q213/($C213*$D213),5)),0)</f>
        <v>0</v>
      </c>
      <c r="Q213" s="919"/>
      <c r="R213" s="917">
        <f t="shared" ref="R213:R219" si="173">ROUND($I213*P213,2)</f>
        <v>0</v>
      </c>
      <c r="S213" s="918">
        <f t="shared" ref="S213:S219" si="174">IF(T213&gt;0,(ROUND(T213/($C213*$D213),5)),0)</f>
        <v>0</v>
      </c>
      <c r="T213" s="919"/>
      <c r="U213" s="917">
        <f t="shared" ref="U213:U219" si="175">ROUND($I213*S213,2)</f>
        <v>0</v>
      </c>
      <c r="V213" s="918">
        <f t="shared" ref="V213:V219" si="176">IF(W213&gt;0,(ROUND(W213/($C213*$D213),5)),0)</f>
        <v>0</v>
      </c>
      <c r="W213" s="919"/>
      <c r="X213" s="917">
        <f t="shared" ref="X213:X219" si="177">ROUND($I213*V213,2)</f>
        <v>0</v>
      </c>
      <c r="Y213" s="918">
        <f t="shared" ref="Y213:Y219" si="178">IF(Z213&gt;0,(ROUND(Z213/($C213*$D213),5)),0)</f>
        <v>0</v>
      </c>
      <c r="Z213" s="919"/>
      <c r="AA213" s="917">
        <f t="shared" ref="AA213:AA219" si="179">ROUND($I213*Y213,2)</f>
        <v>0</v>
      </c>
      <c r="AB213" s="918">
        <f t="shared" ref="AB213:AB219" si="180">IF(AC213&gt;0,(ROUND(AC213/($C213*$D213),5)),0)</f>
        <v>0.25</v>
      </c>
      <c r="AC213" s="919">
        <v>3283</v>
      </c>
      <c r="AD213" s="917">
        <f t="shared" ref="AD213:AD219" si="181">ROUND($I213*AB213,2)</f>
        <v>3498.5</v>
      </c>
      <c r="AE213" s="918">
        <f t="shared" ref="AE213:AE219" si="182">IF(AF213&gt;0,(ROUND(AF213/($C213*$D213),5)),0)</f>
        <v>0</v>
      </c>
      <c r="AF213" s="919"/>
      <c r="AG213" s="917">
        <f t="shared" ref="AG213:AG219" si="183">ROUND($I213*AE213,2)</f>
        <v>0</v>
      </c>
      <c r="AH213" s="918">
        <f t="shared" ref="AH213:AH219" si="184">IF(AI213&gt;0,(ROUND(AI213/($C213*$D213),5)),0)</f>
        <v>0</v>
      </c>
      <c r="AI213" s="919"/>
      <c r="AJ213" s="917">
        <f t="shared" ref="AJ213:AJ219" si="185">ROUND($I213*AH213,2)</f>
        <v>0</v>
      </c>
      <c r="AK213" s="918">
        <f t="shared" ref="AK213:AK219" si="186">IF(AL213&gt;0,(ROUND(AL213/($C213*$D213),5)),0)</f>
        <v>0</v>
      </c>
      <c r="AL213" s="919"/>
      <c r="AM213" s="917">
        <f t="shared" ref="AM213:AM219" si="187">ROUND($I213*AK213,2)</f>
        <v>0</v>
      </c>
      <c r="AN213" s="920">
        <v>19242</v>
      </c>
      <c r="AO213" s="917">
        <f t="shared" ref="AO213:AO219" si="188">ROUND(IF(((I213+L213+O213+R213+U213+X213+AA213+AD213+AG213+AJ213+AM213)&gt;(AN213*C213)),0,((AN213*C213)-(I213+L213+O213+R213+U213+X213+AA213+AD213+AG213+AJ213+AM213))),2)</f>
        <v>0</v>
      </c>
      <c r="AP213" s="920"/>
      <c r="AQ213" s="916">
        <f t="shared" ref="AQ213:AQ219" si="189">ROUND(C213*AP213,2)</f>
        <v>0</v>
      </c>
      <c r="AR213" s="917">
        <f t="shared" ref="AR213:AR219" si="190">ROUND((I213+L213+O213+R213+U213+X213+AA213+AD213+AG213+AJ213+AM213+AO213+AQ213),2)</f>
        <v>20991</v>
      </c>
      <c r="AS213" s="916">
        <v>12</v>
      </c>
      <c r="AT213" s="921">
        <f t="shared" ref="AT213:AT219" si="191">ROUND(AR213*AS213,2)</f>
        <v>251892</v>
      </c>
      <c r="AU213" s="920"/>
      <c r="AV213" s="922">
        <f t="shared" ref="AV213:AV219" si="192">ROUND(AT213*0.01,2)</f>
        <v>2518.92</v>
      </c>
      <c r="AW213" s="921">
        <f t="shared" ref="AW213:AW219" si="193">ROUND((AT213+AU213+AV213),2)</f>
        <v>254410.92</v>
      </c>
      <c r="AX213" s="921">
        <f t="shared" ref="AX213:AX219" si="194">ROUND(AW213*0.302,2)</f>
        <v>76832.100000000006</v>
      </c>
      <c r="AY213" s="921">
        <f t="shared" ref="AY213:AY219" si="195">ROUND((AW213+AX213),2)</f>
        <v>331243.02</v>
      </c>
      <c r="AZ213" s="923">
        <f t="shared" ref="AZ213:AZ219" si="196">ROUND(AW213/1000,1)</f>
        <v>254.4</v>
      </c>
      <c r="BA213" s="923">
        <f t="shared" ref="BA213:BA219" si="197">ROUND(AZ213*0.302,1)</f>
        <v>76.8</v>
      </c>
      <c r="BB213" s="923">
        <f t="shared" ref="BB213:BB219" si="198">ROUND((AZ213+BA213),1)</f>
        <v>331.2</v>
      </c>
      <c r="BC213" s="915">
        <v>0.95</v>
      </c>
      <c r="BD213" s="923">
        <f t="shared" ref="BD213:BD219" si="199">ROUND(AZ213*BC213,1)</f>
        <v>241.7</v>
      </c>
      <c r="BE213" s="923">
        <f t="shared" ref="BE213:BE219" si="200">ROUND(BD213*0.302,1)</f>
        <v>73</v>
      </c>
      <c r="BF213" s="923">
        <f t="shared" ref="BF213:BF219" si="201">ROUND((BD213+BE213),1)</f>
        <v>314.7</v>
      </c>
      <c r="BG213" s="924">
        <f>'[3]свод (2024)'!$B$116</f>
        <v>0.99758349999999996</v>
      </c>
      <c r="BH213" s="923">
        <f t="shared" ref="BH213:BH219" si="202">ROUND(BD213*BG213,1)</f>
        <v>241.1</v>
      </c>
      <c r="BI213" s="923">
        <f t="shared" ref="BI213:BI219" si="203">ROUND(BH213*0.302,1)</f>
        <v>72.8</v>
      </c>
      <c r="BJ213" s="923">
        <f t="shared" ref="BJ213:BJ219" si="204">ROUND((BH213+BI213),1)</f>
        <v>313.89999999999998</v>
      </c>
      <c r="BK213" s="925">
        <f t="shared" ref="BK213:BL219" si="205">ROUND((BH213-AZ213),1)</f>
        <v>-13.3</v>
      </c>
      <c r="BL213" s="925">
        <f t="shared" si="205"/>
        <v>-4</v>
      </c>
      <c r="BM213" s="925">
        <f t="shared" ref="BM213:BM219" si="206">ROUND((BK213+BL213),1)</f>
        <v>-17.3</v>
      </c>
      <c r="BN213" s="925">
        <f t="shared" ref="BN213:BN219" si="207">ROUND(BP213/1.302,1)</f>
        <v>0</v>
      </c>
      <c r="BO213" s="925">
        <f t="shared" ref="BO213:BO219" si="208">ROUND((BP213-BN213),1)</f>
        <v>0</v>
      </c>
      <c r="BP213" s="926"/>
      <c r="BQ213" s="925">
        <f t="shared" ref="BQ213:BR219" si="209">ROUND((BH213-BN213),1)</f>
        <v>241.1</v>
      </c>
      <c r="BR213" s="925">
        <f t="shared" si="209"/>
        <v>72.8</v>
      </c>
      <c r="BS213" s="925">
        <f t="shared" ref="BS213:BS219" si="210">ROUND((BQ213+BR213),1)</f>
        <v>313.89999999999998</v>
      </c>
      <c r="BU213" s="928">
        <f t="shared" ref="BU213:BU214" si="211">C213</f>
        <v>1</v>
      </c>
      <c r="BV213" s="917"/>
      <c r="BW213" s="928"/>
      <c r="BX213" s="928">
        <f t="shared" ref="BX213:BX214" si="212">AW213-X213</f>
        <v>254410.92</v>
      </c>
      <c r="BY213" s="928"/>
      <c r="BZ213" s="917"/>
      <c r="CA213" s="928"/>
      <c r="CB213" s="917"/>
      <c r="CC213" s="928"/>
      <c r="CD213" s="928"/>
      <c r="CE213" s="928"/>
      <c r="CF213" s="929">
        <f t="shared" si="164"/>
        <v>56315.66</v>
      </c>
      <c r="CG213" s="928"/>
      <c r="CH213" s="928"/>
      <c r="CI213" s="928"/>
      <c r="CJ213" s="925"/>
      <c r="CK213" s="925"/>
      <c r="CL213" s="925"/>
      <c r="CM213" s="925"/>
      <c r="CN213" s="925"/>
      <c r="CO213" s="925"/>
      <c r="CP213" s="925"/>
      <c r="CQ213" s="925"/>
      <c r="CR213" s="925"/>
      <c r="CS213" s="917"/>
      <c r="CT213" s="928"/>
      <c r="CU213" s="928"/>
      <c r="CV213" s="928"/>
      <c r="CX213" s="925"/>
      <c r="CY213" s="925"/>
      <c r="CZ213" s="925"/>
      <c r="DB213" s="925"/>
      <c r="DC213" s="925"/>
      <c r="DD213" s="925"/>
      <c r="DE213" s="925"/>
      <c r="DF213" s="925"/>
      <c r="DG213" s="925"/>
      <c r="DH213" s="925"/>
      <c r="DI213" s="925"/>
      <c r="DJ213" s="925"/>
      <c r="DK213" s="925"/>
      <c r="DL213" s="925"/>
      <c r="DM213" s="925"/>
      <c r="DN213" s="925"/>
      <c r="DO213" s="925"/>
      <c r="DP213" s="925"/>
      <c r="DQ213" s="924"/>
      <c r="DR213" s="925"/>
      <c r="DS213" s="925"/>
      <c r="DT213" s="925"/>
      <c r="DV213" s="925"/>
      <c r="DW213" s="925"/>
      <c r="DX213" s="925"/>
      <c r="DY213" s="925"/>
      <c r="DZ213" s="925"/>
      <c r="EA213" s="925"/>
      <c r="EB213" s="925"/>
      <c r="EC213" s="925"/>
      <c r="ED213" s="925"/>
      <c r="EE213" s="925"/>
      <c r="EF213" s="925"/>
      <c r="EG213" s="925"/>
      <c r="EH213" s="925"/>
      <c r="EI213" s="925"/>
      <c r="EJ213" s="925"/>
      <c r="EK213" s="925"/>
      <c r="EL213" s="925"/>
      <c r="EM213" s="925"/>
      <c r="EN213" s="925"/>
      <c r="EO213" s="925"/>
      <c r="EP213" s="925"/>
      <c r="EQ213" s="925"/>
      <c r="ER213" s="925"/>
      <c r="ES213" s="925"/>
      <c r="ET213" s="925"/>
      <c r="EV213" s="924"/>
      <c r="EW213" s="925"/>
      <c r="EX213" s="925"/>
      <c r="EY213" s="925"/>
    </row>
    <row r="214" spans="1:155" s="927" customFormat="1" ht="15.75" x14ac:dyDescent="0.25">
      <c r="A214" s="912" t="s">
        <v>62</v>
      </c>
      <c r="B214" s="913" t="s">
        <v>1386</v>
      </c>
      <c r="C214" s="914">
        <v>1</v>
      </c>
      <c r="D214" s="914">
        <v>13772</v>
      </c>
      <c r="E214" s="915">
        <v>1.0549999999999999</v>
      </c>
      <c r="F214" s="916">
        <f t="shared" si="165"/>
        <v>14530</v>
      </c>
      <c r="G214" s="915">
        <v>1.01</v>
      </c>
      <c r="H214" s="916">
        <f t="shared" si="166"/>
        <v>14676</v>
      </c>
      <c r="I214" s="917">
        <f t="shared" si="167"/>
        <v>14676</v>
      </c>
      <c r="J214" s="918">
        <f t="shared" si="168"/>
        <v>0.125</v>
      </c>
      <c r="K214" s="919">
        <v>1721.5</v>
      </c>
      <c r="L214" s="917">
        <f t="shared" si="169"/>
        <v>1834.5</v>
      </c>
      <c r="M214" s="918">
        <f t="shared" si="170"/>
        <v>0</v>
      </c>
      <c r="N214" s="919"/>
      <c r="O214" s="917">
        <f t="shared" si="171"/>
        <v>0</v>
      </c>
      <c r="P214" s="918">
        <f t="shared" si="172"/>
        <v>0</v>
      </c>
      <c r="Q214" s="919"/>
      <c r="R214" s="917">
        <f t="shared" si="173"/>
        <v>0</v>
      </c>
      <c r="S214" s="918">
        <f t="shared" si="174"/>
        <v>0</v>
      </c>
      <c r="T214" s="919"/>
      <c r="U214" s="917">
        <f t="shared" si="175"/>
        <v>0</v>
      </c>
      <c r="V214" s="918">
        <f t="shared" si="176"/>
        <v>0</v>
      </c>
      <c r="W214" s="919"/>
      <c r="X214" s="917">
        <f t="shared" si="177"/>
        <v>0</v>
      </c>
      <c r="Y214" s="918">
        <f t="shared" si="178"/>
        <v>0</v>
      </c>
      <c r="Z214" s="919"/>
      <c r="AA214" s="917">
        <f t="shared" si="179"/>
        <v>0</v>
      </c>
      <c r="AB214" s="918">
        <f t="shared" si="180"/>
        <v>0.15</v>
      </c>
      <c r="AC214" s="919">
        <v>2065.8000000000002</v>
      </c>
      <c r="AD214" s="917">
        <f t="shared" si="181"/>
        <v>2201.4</v>
      </c>
      <c r="AE214" s="918">
        <f t="shared" si="182"/>
        <v>0</v>
      </c>
      <c r="AF214" s="919"/>
      <c r="AG214" s="917">
        <f t="shared" si="183"/>
        <v>0</v>
      </c>
      <c r="AH214" s="918">
        <f t="shared" si="184"/>
        <v>0</v>
      </c>
      <c r="AI214" s="919"/>
      <c r="AJ214" s="917">
        <f t="shared" si="185"/>
        <v>0</v>
      </c>
      <c r="AK214" s="918">
        <f t="shared" si="186"/>
        <v>0</v>
      </c>
      <c r="AL214" s="919"/>
      <c r="AM214" s="917">
        <f t="shared" si="187"/>
        <v>0</v>
      </c>
      <c r="AN214" s="920">
        <v>19242</v>
      </c>
      <c r="AO214" s="917">
        <f t="shared" si="188"/>
        <v>530.1</v>
      </c>
      <c r="AP214" s="920"/>
      <c r="AQ214" s="916">
        <f t="shared" si="189"/>
        <v>0</v>
      </c>
      <c r="AR214" s="917">
        <f t="shared" si="190"/>
        <v>19242</v>
      </c>
      <c r="AS214" s="916">
        <v>12</v>
      </c>
      <c r="AT214" s="921">
        <f t="shared" si="191"/>
        <v>230904</v>
      </c>
      <c r="AU214" s="920"/>
      <c r="AV214" s="922">
        <f t="shared" si="192"/>
        <v>2309.04</v>
      </c>
      <c r="AW214" s="921">
        <f t="shared" si="193"/>
        <v>233213.04</v>
      </c>
      <c r="AX214" s="921">
        <f t="shared" si="194"/>
        <v>70430.34</v>
      </c>
      <c r="AY214" s="921">
        <f t="shared" si="195"/>
        <v>303643.38</v>
      </c>
      <c r="AZ214" s="923">
        <f t="shared" si="196"/>
        <v>233.2</v>
      </c>
      <c r="BA214" s="923">
        <f t="shared" si="197"/>
        <v>70.400000000000006</v>
      </c>
      <c r="BB214" s="923">
        <f t="shared" si="198"/>
        <v>303.60000000000002</v>
      </c>
      <c r="BC214" s="915">
        <v>0.95</v>
      </c>
      <c r="BD214" s="923">
        <f t="shared" si="199"/>
        <v>221.5</v>
      </c>
      <c r="BE214" s="923">
        <f t="shared" si="200"/>
        <v>66.900000000000006</v>
      </c>
      <c r="BF214" s="923">
        <f t="shared" si="201"/>
        <v>288.39999999999998</v>
      </c>
      <c r="BG214" s="924">
        <f>'[3]свод (2024)'!$B$116</f>
        <v>0.99758349999999996</v>
      </c>
      <c r="BH214" s="923">
        <f t="shared" si="202"/>
        <v>221</v>
      </c>
      <c r="BI214" s="923">
        <f t="shared" si="203"/>
        <v>66.7</v>
      </c>
      <c r="BJ214" s="923">
        <f t="shared" si="204"/>
        <v>287.7</v>
      </c>
      <c r="BK214" s="925">
        <f t="shared" si="205"/>
        <v>-12.2</v>
      </c>
      <c r="BL214" s="925">
        <f t="shared" si="205"/>
        <v>-3.7</v>
      </c>
      <c r="BM214" s="925">
        <f t="shared" si="206"/>
        <v>-15.9</v>
      </c>
      <c r="BN214" s="925">
        <f t="shared" si="207"/>
        <v>0</v>
      </c>
      <c r="BO214" s="925">
        <f t="shared" si="208"/>
        <v>0</v>
      </c>
      <c r="BP214" s="926"/>
      <c r="BQ214" s="925">
        <f t="shared" si="209"/>
        <v>221</v>
      </c>
      <c r="BR214" s="925">
        <f t="shared" si="209"/>
        <v>66.7</v>
      </c>
      <c r="BS214" s="925">
        <f t="shared" si="210"/>
        <v>287.7</v>
      </c>
      <c r="BU214" s="928">
        <f t="shared" si="211"/>
        <v>1</v>
      </c>
      <c r="BV214" s="917"/>
      <c r="BW214" s="928"/>
      <c r="BX214" s="928">
        <f t="shared" si="212"/>
        <v>233213.04</v>
      </c>
      <c r="BY214" s="928"/>
      <c r="BZ214" s="917"/>
      <c r="CA214" s="928"/>
      <c r="CB214" s="917"/>
      <c r="CC214" s="928"/>
      <c r="CD214" s="928"/>
      <c r="CE214" s="928"/>
      <c r="CF214" s="929">
        <f t="shared" si="164"/>
        <v>56315.66</v>
      </c>
      <c r="CG214" s="928"/>
      <c r="CH214" s="928"/>
      <c r="CI214" s="928"/>
      <c r="CJ214" s="925"/>
      <c r="CK214" s="925"/>
      <c r="CL214" s="925"/>
      <c r="CM214" s="925"/>
      <c r="CN214" s="925"/>
      <c r="CO214" s="925"/>
      <c r="CP214" s="925"/>
      <c r="CQ214" s="925"/>
      <c r="CR214" s="925"/>
      <c r="CS214" s="917"/>
      <c r="CT214" s="928"/>
      <c r="CU214" s="928"/>
      <c r="CV214" s="928"/>
      <c r="CX214" s="925"/>
      <c r="CY214" s="925"/>
      <c r="CZ214" s="925"/>
      <c r="DB214" s="925"/>
      <c r="DC214" s="925"/>
      <c r="DD214" s="925"/>
      <c r="DE214" s="925"/>
      <c r="DF214" s="925"/>
      <c r="DG214" s="925"/>
      <c r="DH214" s="925"/>
      <c r="DI214" s="925"/>
      <c r="DJ214" s="925"/>
      <c r="DK214" s="925"/>
      <c r="DL214" s="925"/>
      <c r="DM214" s="925"/>
      <c r="DN214" s="925"/>
      <c r="DO214" s="925"/>
      <c r="DP214" s="925"/>
      <c r="DQ214" s="924"/>
      <c r="DR214" s="925"/>
      <c r="DS214" s="925"/>
      <c r="DT214" s="925"/>
      <c r="DV214" s="925"/>
      <c r="DW214" s="925"/>
      <c r="DX214" s="925"/>
      <c r="DY214" s="925"/>
      <c r="DZ214" s="925"/>
      <c r="EA214" s="925"/>
      <c r="EB214" s="925"/>
      <c r="EC214" s="925"/>
      <c r="ED214" s="925"/>
      <c r="EE214" s="925"/>
      <c r="EF214" s="925"/>
      <c r="EG214" s="925"/>
      <c r="EH214" s="925"/>
      <c r="EI214" s="925"/>
      <c r="EJ214" s="925"/>
      <c r="EK214" s="925"/>
      <c r="EL214" s="925"/>
      <c r="EM214" s="925"/>
      <c r="EN214" s="925"/>
      <c r="EO214" s="925"/>
      <c r="EP214" s="925"/>
      <c r="EQ214" s="925"/>
      <c r="ER214" s="925"/>
      <c r="ES214" s="925"/>
      <c r="ET214" s="925"/>
      <c r="EV214" s="924"/>
      <c r="EW214" s="925"/>
      <c r="EX214" s="925"/>
      <c r="EY214" s="925"/>
    </row>
    <row r="215" spans="1:155" s="927" customFormat="1" ht="24" x14ac:dyDescent="0.25">
      <c r="A215" s="912" t="s">
        <v>62</v>
      </c>
      <c r="B215" s="913" t="s">
        <v>1417</v>
      </c>
      <c r="C215" s="914">
        <v>1</v>
      </c>
      <c r="D215" s="914">
        <v>4588</v>
      </c>
      <c r="E215" s="915">
        <v>1.0549999999999999</v>
      </c>
      <c r="F215" s="916">
        <f t="shared" si="165"/>
        <v>4841</v>
      </c>
      <c r="G215" s="915">
        <v>1.01</v>
      </c>
      <c r="H215" s="916">
        <f t="shared" si="166"/>
        <v>4890</v>
      </c>
      <c r="I215" s="917">
        <f t="shared" si="167"/>
        <v>4890</v>
      </c>
      <c r="J215" s="918">
        <f t="shared" si="168"/>
        <v>0</v>
      </c>
      <c r="K215" s="919"/>
      <c r="L215" s="917">
        <f t="shared" si="169"/>
        <v>0</v>
      </c>
      <c r="M215" s="918">
        <f t="shared" si="170"/>
        <v>0</v>
      </c>
      <c r="N215" s="919"/>
      <c r="O215" s="917">
        <f t="shared" si="171"/>
        <v>0</v>
      </c>
      <c r="P215" s="918">
        <f t="shared" si="172"/>
        <v>0</v>
      </c>
      <c r="Q215" s="919"/>
      <c r="R215" s="917">
        <f t="shared" si="173"/>
        <v>0</v>
      </c>
      <c r="S215" s="918">
        <f t="shared" si="174"/>
        <v>0</v>
      </c>
      <c r="T215" s="919"/>
      <c r="U215" s="917">
        <f t="shared" si="175"/>
        <v>0</v>
      </c>
      <c r="V215" s="918">
        <f t="shared" si="176"/>
        <v>0</v>
      </c>
      <c r="W215" s="919"/>
      <c r="X215" s="917">
        <f t="shared" si="177"/>
        <v>0</v>
      </c>
      <c r="Y215" s="918">
        <f t="shared" si="178"/>
        <v>0</v>
      </c>
      <c r="Z215" s="919"/>
      <c r="AA215" s="917">
        <f t="shared" si="179"/>
        <v>0</v>
      </c>
      <c r="AB215" s="918">
        <f t="shared" si="180"/>
        <v>0</v>
      </c>
      <c r="AC215" s="919"/>
      <c r="AD215" s="917">
        <f t="shared" si="181"/>
        <v>0</v>
      </c>
      <c r="AE215" s="918">
        <f t="shared" si="182"/>
        <v>0</v>
      </c>
      <c r="AF215" s="919"/>
      <c r="AG215" s="917">
        <f t="shared" si="183"/>
        <v>0</v>
      </c>
      <c r="AH215" s="918">
        <f t="shared" si="184"/>
        <v>0</v>
      </c>
      <c r="AI215" s="919"/>
      <c r="AJ215" s="917">
        <f t="shared" si="185"/>
        <v>0</v>
      </c>
      <c r="AK215" s="918">
        <f t="shared" si="186"/>
        <v>0</v>
      </c>
      <c r="AL215" s="919"/>
      <c r="AM215" s="917">
        <f t="shared" si="187"/>
        <v>0</v>
      </c>
      <c r="AN215" s="920">
        <v>19242</v>
      </c>
      <c r="AO215" s="917">
        <f t="shared" si="188"/>
        <v>14352</v>
      </c>
      <c r="AP215" s="920"/>
      <c r="AQ215" s="916">
        <f t="shared" si="189"/>
        <v>0</v>
      </c>
      <c r="AR215" s="917">
        <f t="shared" si="190"/>
        <v>19242</v>
      </c>
      <c r="AS215" s="916">
        <v>12</v>
      </c>
      <c r="AT215" s="921">
        <f t="shared" si="191"/>
        <v>230904</v>
      </c>
      <c r="AU215" s="920"/>
      <c r="AV215" s="922">
        <f t="shared" si="192"/>
        <v>2309.04</v>
      </c>
      <c r="AW215" s="921">
        <f t="shared" si="193"/>
        <v>233213.04</v>
      </c>
      <c r="AX215" s="921">
        <f t="shared" si="194"/>
        <v>70430.34</v>
      </c>
      <c r="AY215" s="921">
        <f t="shared" si="195"/>
        <v>303643.38</v>
      </c>
      <c r="AZ215" s="923">
        <f t="shared" si="196"/>
        <v>233.2</v>
      </c>
      <c r="BA215" s="923">
        <f t="shared" si="197"/>
        <v>70.400000000000006</v>
      </c>
      <c r="BB215" s="923">
        <f t="shared" si="198"/>
        <v>303.60000000000002</v>
      </c>
      <c r="BC215" s="915">
        <v>0.95</v>
      </c>
      <c r="BD215" s="923">
        <f t="shared" si="199"/>
        <v>221.5</v>
      </c>
      <c r="BE215" s="923">
        <f t="shared" si="200"/>
        <v>66.900000000000006</v>
      </c>
      <c r="BF215" s="923">
        <f t="shared" si="201"/>
        <v>288.39999999999998</v>
      </c>
      <c r="BG215" s="924">
        <f>'[3]свод (2024)'!$B$116</f>
        <v>0.99758349999999996</v>
      </c>
      <c r="BH215" s="923">
        <f t="shared" si="202"/>
        <v>221</v>
      </c>
      <c r="BI215" s="923">
        <f t="shared" si="203"/>
        <v>66.7</v>
      </c>
      <c r="BJ215" s="923">
        <f t="shared" si="204"/>
        <v>287.7</v>
      </c>
      <c r="BK215" s="925">
        <f t="shared" si="205"/>
        <v>-12.2</v>
      </c>
      <c r="BL215" s="925">
        <f t="shared" si="205"/>
        <v>-3.7</v>
      </c>
      <c r="BM215" s="925">
        <f t="shared" si="206"/>
        <v>-15.9</v>
      </c>
      <c r="BN215" s="925">
        <f t="shared" si="207"/>
        <v>0</v>
      </c>
      <c r="BO215" s="925">
        <f t="shared" si="208"/>
        <v>0</v>
      </c>
      <c r="BP215" s="926"/>
      <c r="BQ215" s="925">
        <f t="shared" si="209"/>
        <v>221</v>
      </c>
      <c r="BR215" s="925">
        <f t="shared" si="209"/>
        <v>66.7</v>
      </c>
      <c r="BS215" s="925">
        <f t="shared" si="210"/>
        <v>287.7</v>
      </c>
      <c r="BU215" s="928"/>
      <c r="BV215" s="917"/>
      <c r="BW215" s="928"/>
      <c r="BX215" s="928"/>
      <c r="BY215" s="928"/>
      <c r="BZ215" s="917"/>
      <c r="CA215" s="928"/>
      <c r="CB215" s="917"/>
      <c r="CC215" s="928"/>
      <c r="CD215" s="928"/>
      <c r="CE215" s="928"/>
      <c r="CF215" s="929"/>
      <c r="CG215" s="928"/>
      <c r="CH215" s="928"/>
      <c r="CI215" s="928"/>
      <c r="CJ215" s="925"/>
      <c r="CK215" s="925"/>
      <c r="CL215" s="925"/>
      <c r="CM215" s="925"/>
      <c r="CN215" s="925"/>
      <c r="CO215" s="925"/>
      <c r="CP215" s="925"/>
      <c r="CQ215" s="925"/>
      <c r="CR215" s="925"/>
      <c r="CS215" s="917"/>
      <c r="CT215" s="928"/>
      <c r="CU215" s="928"/>
      <c r="CV215" s="928"/>
      <c r="CX215" s="925"/>
      <c r="CY215" s="925"/>
      <c r="CZ215" s="925"/>
      <c r="DB215" s="925"/>
      <c r="DC215" s="925"/>
      <c r="DD215" s="925"/>
      <c r="DE215" s="925"/>
      <c r="DF215" s="925"/>
      <c r="DG215" s="925"/>
      <c r="DH215" s="925"/>
      <c r="DI215" s="925"/>
      <c r="DJ215" s="925"/>
      <c r="DK215" s="925"/>
      <c r="DL215" s="925"/>
      <c r="DM215" s="925"/>
      <c r="DN215" s="925"/>
      <c r="DO215" s="925"/>
      <c r="DP215" s="925"/>
      <c r="DQ215" s="924"/>
      <c r="DR215" s="925"/>
      <c r="DS215" s="925"/>
      <c r="DT215" s="925"/>
      <c r="DV215" s="925"/>
      <c r="DW215" s="925"/>
      <c r="DX215" s="925"/>
      <c r="DY215" s="925"/>
      <c r="DZ215" s="925"/>
      <c r="EA215" s="925"/>
      <c r="EB215" s="925"/>
      <c r="EC215" s="925"/>
      <c r="ED215" s="925"/>
      <c r="EE215" s="925"/>
      <c r="EF215" s="925"/>
      <c r="EG215" s="925"/>
      <c r="EH215" s="925"/>
      <c r="EI215" s="925"/>
      <c r="EJ215" s="925"/>
      <c r="EK215" s="925"/>
      <c r="EL215" s="925"/>
      <c r="EM215" s="925"/>
      <c r="EN215" s="925"/>
      <c r="EO215" s="925"/>
      <c r="EP215" s="925"/>
      <c r="EQ215" s="925"/>
      <c r="ER215" s="925"/>
      <c r="ES215" s="925"/>
      <c r="ET215" s="925"/>
      <c r="EV215" s="924"/>
      <c r="EW215" s="925"/>
      <c r="EX215" s="925"/>
      <c r="EY215" s="925"/>
    </row>
    <row r="216" spans="1:155" s="927" customFormat="1" ht="15.75" x14ac:dyDescent="0.25">
      <c r="A216" s="912" t="s">
        <v>62</v>
      </c>
      <c r="B216" s="913" t="s">
        <v>41</v>
      </c>
      <c r="C216" s="914">
        <v>1</v>
      </c>
      <c r="D216" s="914">
        <v>7912</v>
      </c>
      <c r="E216" s="915">
        <v>1.0549999999999999</v>
      </c>
      <c r="F216" s="916">
        <f t="shared" si="165"/>
        <v>8348</v>
      </c>
      <c r="G216" s="915">
        <v>1.01</v>
      </c>
      <c r="H216" s="916">
        <f t="shared" si="166"/>
        <v>8432</v>
      </c>
      <c r="I216" s="917">
        <f t="shared" si="167"/>
        <v>8432</v>
      </c>
      <c r="J216" s="918">
        <f t="shared" si="168"/>
        <v>0</v>
      </c>
      <c r="K216" s="919"/>
      <c r="L216" s="917">
        <f t="shared" si="169"/>
        <v>0</v>
      </c>
      <c r="M216" s="918">
        <f t="shared" si="170"/>
        <v>0</v>
      </c>
      <c r="N216" s="919"/>
      <c r="O216" s="917">
        <f t="shared" si="171"/>
        <v>0</v>
      </c>
      <c r="P216" s="918">
        <f t="shared" si="172"/>
        <v>0</v>
      </c>
      <c r="Q216" s="919"/>
      <c r="R216" s="917">
        <f t="shared" si="173"/>
        <v>0</v>
      </c>
      <c r="S216" s="918">
        <f t="shared" si="174"/>
        <v>0.2</v>
      </c>
      <c r="T216" s="919">
        <v>1582.4</v>
      </c>
      <c r="U216" s="917">
        <f t="shared" si="175"/>
        <v>1686.4</v>
      </c>
      <c r="V216" s="918">
        <f t="shared" si="176"/>
        <v>0</v>
      </c>
      <c r="W216" s="919"/>
      <c r="X216" s="917">
        <f t="shared" si="177"/>
        <v>0</v>
      </c>
      <c r="Y216" s="918">
        <f t="shared" si="178"/>
        <v>2</v>
      </c>
      <c r="Z216" s="919">
        <v>15824</v>
      </c>
      <c r="AA216" s="917">
        <f t="shared" si="179"/>
        <v>16864</v>
      </c>
      <c r="AB216" s="918">
        <f t="shared" si="180"/>
        <v>0.2</v>
      </c>
      <c r="AC216" s="919">
        <v>1582.4</v>
      </c>
      <c r="AD216" s="917">
        <f t="shared" si="181"/>
        <v>1686.4</v>
      </c>
      <c r="AE216" s="918">
        <f t="shared" si="182"/>
        <v>0</v>
      </c>
      <c r="AF216" s="919"/>
      <c r="AG216" s="917">
        <f t="shared" si="183"/>
        <v>0</v>
      </c>
      <c r="AH216" s="918">
        <f t="shared" si="184"/>
        <v>0</v>
      </c>
      <c r="AI216" s="919"/>
      <c r="AJ216" s="917">
        <f t="shared" si="185"/>
        <v>0</v>
      </c>
      <c r="AK216" s="918">
        <f t="shared" si="186"/>
        <v>0</v>
      </c>
      <c r="AL216" s="919"/>
      <c r="AM216" s="917">
        <f t="shared" si="187"/>
        <v>0</v>
      </c>
      <c r="AN216" s="920">
        <v>19242</v>
      </c>
      <c r="AO216" s="917">
        <f t="shared" si="188"/>
        <v>0</v>
      </c>
      <c r="AP216" s="920"/>
      <c r="AQ216" s="916">
        <f t="shared" si="189"/>
        <v>0</v>
      </c>
      <c r="AR216" s="917">
        <f t="shared" si="190"/>
        <v>28668.799999999999</v>
      </c>
      <c r="AS216" s="916">
        <v>12</v>
      </c>
      <c r="AT216" s="921">
        <f t="shared" si="191"/>
        <v>344025.59999999998</v>
      </c>
      <c r="AU216" s="920"/>
      <c r="AV216" s="922">
        <f t="shared" si="192"/>
        <v>3440.26</v>
      </c>
      <c r="AW216" s="921">
        <f t="shared" si="193"/>
        <v>347465.86</v>
      </c>
      <c r="AX216" s="921">
        <f t="shared" si="194"/>
        <v>104934.69</v>
      </c>
      <c r="AY216" s="921">
        <f t="shared" si="195"/>
        <v>452400.55</v>
      </c>
      <c r="AZ216" s="923">
        <f t="shared" si="196"/>
        <v>347.5</v>
      </c>
      <c r="BA216" s="923">
        <f t="shared" si="197"/>
        <v>104.9</v>
      </c>
      <c r="BB216" s="923">
        <f t="shared" si="198"/>
        <v>452.4</v>
      </c>
      <c r="BC216" s="915">
        <v>0.95</v>
      </c>
      <c r="BD216" s="923">
        <f t="shared" si="199"/>
        <v>330.1</v>
      </c>
      <c r="BE216" s="923">
        <f t="shared" si="200"/>
        <v>99.7</v>
      </c>
      <c r="BF216" s="923">
        <f t="shared" si="201"/>
        <v>429.8</v>
      </c>
      <c r="BG216" s="924">
        <f>'[3]свод (2024)'!$B$116</f>
        <v>0.99758349999999996</v>
      </c>
      <c r="BH216" s="923">
        <f t="shared" si="202"/>
        <v>329.3</v>
      </c>
      <c r="BI216" s="923">
        <f t="shared" si="203"/>
        <v>99.4</v>
      </c>
      <c r="BJ216" s="923">
        <f t="shared" si="204"/>
        <v>428.7</v>
      </c>
      <c r="BK216" s="925">
        <f t="shared" si="205"/>
        <v>-18.2</v>
      </c>
      <c r="BL216" s="925">
        <f t="shared" si="205"/>
        <v>-5.5</v>
      </c>
      <c r="BM216" s="925">
        <f t="shared" si="206"/>
        <v>-23.7</v>
      </c>
      <c r="BN216" s="925">
        <f t="shared" si="207"/>
        <v>0</v>
      </c>
      <c r="BO216" s="925">
        <f t="shared" si="208"/>
        <v>0</v>
      </c>
      <c r="BP216" s="926"/>
      <c r="BQ216" s="925">
        <f t="shared" si="209"/>
        <v>329.3</v>
      </c>
      <c r="BR216" s="925">
        <f t="shared" si="209"/>
        <v>99.4</v>
      </c>
      <c r="BS216" s="925">
        <f t="shared" si="210"/>
        <v>428.7</v>
      </c>
      <c r="BU216" s="928"/>
      <c r="BV216" s="917"/>
      <c r="BW216" s="928"/>
      <c r="BX216" s="928"/>
      <c r="BY216" s="928"/>
      <c r="BZ216" s="917"/>
      <c r="CA216" s="928"/>
      <c r="CB216" s="917"/>
      <c r="CC216" s="928"/>
      <c r="CD216" s="928"/>
      <c r="CE216" s="928"/>
      <c r="CF216" s="929"/>
      <c r="CG216" s="928"/>
      <c r="CH216" s="928"/>
      <c r="CI216" s="928"/>
      <c r="CJ216" s="925"/>
      <c r="CK216" s="925"/>
      <c r="CL216" s="925"/>
      <c r="CM216" s="925"/>
      <c r="CN216" s="925"/>
      <c r="CO216" s="925"/>
      <c r="CP216" s="925"/>
      <c r="CQ216" s="925"/>
      <c r="CR216" s="925"/>
      <c r="CS216" s="917"/>
      <c r="CT216" s="928"/>
      <c r="CU216" s="928"/>
      <c r="CV216" s="928"/>
      <c r="CX216" s="925"/>
      <c r="CY216" s="925"/>
      <c r="CZ216" s="925"/>
      <c r="DB216" s="925"/>
      <c r="DC216" s="925"/>
      <c r="DD216" s="925"/>
      <c r="DE216" s="925"/>
      <c r="DF216" s="925"/>
      <c r="DG216" s="925"/>
      <c r="DH216" s="925"/>
      <c r="DI216" s="925"/>
      <c r="DJ216" s="925"/>
      <c r="DK216" s="925"/>
      <c r="DL216" s="925"/>
      <c r="DM216" s="925"/>
      <c r="DN216" s="925"/>
      <c r="DO216" s="925"/>
      <c r="DP216" s="925"/>
      <c r="DQ216" s="924"/>
      <c r="DR216" s="925"/>
      <c r="DS216" s="925"/>
      <c r="DT216" s="925"/>
      <c r="DV216" s="925"/>
      <c r="DW216" s="925"/>
      <c r="DX216" s="925"/>
      <c r="DY216" s="925"/>
      <c r="DZ216" s="925"/>
      <c r="EA216" s="925"/>
      <c r="EB216" s="925"/>
      <c r="EC216" s="925"/>
      <c r="ED216" s="925"/>
      <c r="EE216" s="925"/>
      <c r="EF216" s="925"/>
      <c r="EG216" s="925"/>
      <c r="EH216" s="925"/>
      <c r="EI216" s="925"/>
      <c r="EJ216" s="925"/>
      <c r="EK216" s="925"/>
      <c r="EL216" s="925"/>
      <c r="EM216" s="925"/>
      <c r="EN216" s="925"/>
      <c r="EO216" s="925"/>
      <c r="EP216" s="925"/>
      <c r="EQ216" s="925"/>
      <c r="ER216" s="925"/>
      <c r="ES216" s="925"/>
      <c r="ET216" s="925"/>
      <c r="EV216" s="924"/>
      <c r="EW216" s="925"/>
      <c r="EX216" s="925"/>
      <c r="EY216" s="925"/>
    </row>
    <row r="217" spans="1:155" s="927" customFormat="1" ht="15.75" x14ac:dyDescent="0.25">
      <c r="A217" s="912" t="s">
        <v>62</v>
      </c>
      <c r="B217" s="913" t="s">
        <v>44</v>
      </c>
      <c r="C217" s="914">
        <v>0.5</v>
      </c>
      <c r="D217" s="914">
        <v>4588</v>
      </c>
      <c r="E217" s="915">
        <v>1.0549999999999999</v>
      </c>
      <c r="F217" s="916">
        <f t="shared" si="165"/>
        <v>4841</v>
      </c>
      <c r="G217" s="915">
        <v>1.01</v>
      </c>
      <c r="H217" s="916">
        <f t="shared" si="166"/>
        <v>4890</v>
      </c>
      <c r="I217" s="917">
        <f t="shared" si="167"/>
        <v>2445</v>
      </c>
      <c r="J217" s="918">
        <f t="shared" si="168"/>
        <v>0</v>
      </c>
      <c r="K217" s="919"/>
      <c r="L217" s="917">
        <f t="shared" si="169"/>
        <v>0</v>
      </c>
      <c r="M217" s="918">
        <f t="shared" si="170"/>
        <v>0</v>
      </c>
      <c r="N217" s="919"/>
      <c r="O217" s="917">
        <f t="shared" si="171"/>
        <v>0</v>
      </c>
      <c r="P217" s="918">
        <f t="shared" si="172"/>
        <v>0</v>
      </c>
      <c r="Q217" s="919"/>
      <c r="R217" s="917">
        <f t="shared" si="173"/>
        <v>0</v>
      </c>
      <c r="S217" s="918">
        <f t="shared" si="174"/>
        <v>0</v>
      </c>
      <c r="T217" s="919"/>
      <c r="U217" s="917">
        <f t="shared" si="175"/>
        <v>0</v>
      </c>
      <c r="V217" s="918">
        <f t="shared" si="176"/>
        <v>0</v>
      </c>
      <c r="W217" s="919"/>
      <c r="X217" s="917">
        <f t="shared" si="177"/>
        <v>0</v>
      </c>
      <c r="Y217" s="918">
        <f t="shared" si="178"/>
        <v>0</v>
      </c>
      <c r="Z217" s="919"/>
      <c r="AA217" s="917">
        <f t="shared" si="179"/>
        <v>0</v>
      </c>
      <c r="AB217" s="918">
        <f t="shared" si="180"/>
        <v>0</v>
      </c>
      <c r="AC217" s="919"/>
      <c r="AD217" s="917">
        <f t="shared" si="181"/>
        <v>0</v>
      </c>
      <c r="AE217" s="918">
        <f t="shared" si="182"/>
        <v>0</v>
      </c>
      <c r="AF217" s="919"/>
      <c r="AG217" s="917">
        <f t="shared" si="183"/>
        <v>0</v>
      </c>
      <c r="AH217" s="918">
        <f t="shared" si="184"/>
        <v>0</v>
      </c>
      <c r="AI217" s="919"/>
      <c r="AJ217" s="917">
        <f t="shared" si="185"/>
        <v>0</v>
      </c>
      <c r="AK217" s="918">
        <f t="shared" si="186"/>
        <v>0</v>
      </c>
      <c r="AL217" s="919"/>
      <c r="AM217" s="917">
        <f t="shared" si="187"/>
        <v>0</v>
      </c>
      <c r="AN217" s="920">
        <v>19242</v>
      </c>
      <c r="AO217" s="917">
        <f t="shared" si="188"/>
        <v>7176</v>
      </c>
      <c r="AP217" s="920"/>
      <c r="AQ217" s="916">
        <f t="shared" si="189"/>
        <v>0</v>
      </c>
      <c r="AR217" s="917">
        <f t="shared" si="190"/>
        <v>9621</v>
      </c>
      <c r="AS217" s="916">
        <v>12</v>
      </c>
      <c r="AT217" s="921">
        <f t="shared" si="191"/>
        <v>115452</v>
      </c>
      <c r="AU217" s="920"/>
      <c r="AV217" s="922">
        <f t="shared" si="192"/>
        <v>1154.52</v>
      </c>
      <c r="AW217" s="921">
        <f t="shared" si="193"/>
        <v>116606.52</v>
      </c>
      <c r="AX217" s="921">
        <f t="shared" si="194"/>
        <v>35215.17</v>
      </c>
      <c r="AY217" s="921">
        <f t="shared" si="195"/>
        <v>151821.69</v>
      </c>
      <c r="AZ217" s="923">
        <f t="shared" si="196"/>
        <v>116.6</v>
      </c>
      <c r="BA217" s="923">
        <f t="shared" si="197"/>
        <v>35.200000000000003</v>
      </c>
      <c r="BB217" s="923">
        <f t="shared" si="198"/>
        <v>151.80000000000001</v>
      </c>
      <c r="BC217" s="915">
        <v>0.95</v>
      </c>
      <c r="BD217" s="923">
        <f t="shared" si="199"/>
        <v>110.8</v>
      </c>
      <c r="BE217" s="923">
        <f t="shared" si="200"/>
        <v>33.5</v>
      </c>
      <c r="BF217" s="923">
        <f t="shared" si="201"/>
        <v>144.30000000000001</v>
      </c>
      <c r="BG217" s="924">
        <f>'[3]свод (2024)'!$B$116</f>
        <v>0.99758349999999996</v>
      </c>
      <c r="BH217" s="923">
        <f t="shared" si="202"/>
        <v>110.5</v>
      </c>
      <c r="BI217" s="923">
        <f t="shared" si="203"/>
        <v>33.4</v>
      </c>
      <c r="BJ217" s="923">
        <f t="shared" si="204"/>
        <v>143.9</v>
      </c>
      <c r="BK217" s="925">
        <f t="shared" si="205"/>
        <v>-6.1</v>
      </c>
      <c r="BL217" s="925">
        <f t="shared" si="205"/>
        <v>-1.8</v>
      </c>
      <c r="BM217" s="925">
        <f t="shared" si="206"/>
        <v>-7.9</v>
      </c>
      <c r="BN217" s="925">
        <f t="shared" si="207"/>
        <v>0</v>
      </c>
      <c r="BO217" s="925">
        <f t="shared" si="208"/>
        <v>0</v>
      </c>
      <c r="BP217" s="926"/>
      <c r="BQ217" s="925">
        <f t="shared" si="209"/>
        <v>110.5</v>
      </c>
      <c r="BR217" s="925">
        <f t="shared" si="209"/>
        <v>33.4</v>
      </c>
      <c r="BS217" s="925">
        <f t="shared" si="210"/>
        <v>143.9</v>
      </c>
      <c r="BU217" s="928"/>
      <c r="BV217" s="917"/>
      <c r="BW217" s="928"/>
      <c r="BX217" s="928"/>
      <c r="BY217" s="928"/>
      <c r="BZ217" s="917"/>
      <c r="CA217" s="928"/>
      <c r="CB217" s="917"/>
      <c r="CC217" s="928"/>
      <c r="CD217" s="928"/>
      <c r="CE217" s="928"/>
      <c r="CF217" s="929"/>
      <c r="CG217" s="928"/>
      <c r="CH217" s="928"/>
      <c r="CI217" s="928"/>
      <c r="CJ217" s="925"/>
      <c r="CK217" s="925"/>
      <c r="CL217" s="925"/>
      <c r="CM217" s="925"/>
      <c r="CN217" s="925"/>
      <c r="CO217" s="925"/>
      <c r="CP217" s="925"/>
      <c r="CQ217" s="925"/>
      <c r="CR217" s="925"/>
      <c r="CS217" s="917"/>
      <c r="CT217" s="928"/>
      <c r="CU217" s="928"/>
      <c r="CV217" s="928"/>
      <c r="CX217" s="925"/>
      <c r="CY217" s="925"/>
      <c r="CZ217" s="925"/>
      <c r="DB217" s="925"/>
      <c r="DC217" s="925"/>
      <c r="DD217" s="925"/>
      <c r="DE217" s="925"/>
      <c r="DF217" s="925"/>
      <c r="DG217" s="925"/>
      <c r="DH217" s="925"/>
      <c r="DI217" s="925"/>
      <c r="DJ217" s="925"/>
      <c r="DK217" s="925"/>
      <c r="DL217" s="925"/>
      <c r="DM217" s="925"/>
      <c r="DN217" s="925"/>
      <c r="DO217" s="925"/>
      <c r="DP217" s="925"/>
      <c r="DQ217" s="924"/>
      <c r="DR217" s="925"/>
      <c r="DS217" s="925"/>
      <c r="DT217" s="925"/>
      <c r="DV217" s="925"/>
      <c r="DW217" s="925"/>
      <c r="DX217" s="925"/>
      <c r="DY217" s="925"/>
      <c r="DZ217" s="925"/>
      <c r="EA217" s="925"/>
      <c r="EB217" s="925"/>
      <c r="EC217" s="925"/>
      <c r="ED217" s="925"/>
      <c r="EE217" s="925"/>
      <c r="EF217" s="925"/>
      <c r="EG217" s="925"/>
      <c r="EH217" s="925"/>
      <c r="EI217" s="925"/>
      <c r="EJ217" s="925"/>
      <c r="EK217" s="925"/>
      <c r="EL217" s="925"/>
      <c r="EM217" s="925"/>
      <c r="EN217" s="925"/>
      <c r="EO217" s="925"/>
      <c r="EP217" s="925"/>
      <c r="EQ217" s="925"/>
      <c r="ER217" s="925"/>
      <c r="ES217" s="925"/>
      <c r="ET217" s="925"/>
      <c r="EV217" s="924"/>
      <c r="EW217" s="925"/>
      <c r="EX217" s="925"/>
      <c r="EY217" s="925"/>
    </row>
    <row r="218" spans="1:155" s="927" customFormat="1" ht="15.75" x14ac:dyDescent="0.25">
      <c r="A218" s="912" t="s">
        <v>62</v>
      </c>
      <c r="B218" s="913" t="s">
        <v>1389</v>
      </c>
      <c r="C218" s="914">
        <v>3</v>
      </c>
      <c r="D218" s="914">
        <v>4336</v>
      </c>
      <c r="E218" s="915">
        <v>1.0549999999999999</v>
      </c>
      <c r="F218" s="916">
        <f t="shared" si="165"/>
        <v>4575</v>
      </c>
      <c r="G218" s="915">
        <v>1.01</v>
      </c>
      <c r="H218" s="916">
        <f t="shared" si="166"/>
        <v>4621</v>
      </c>
      <c r="I218" s="917">
        <f t="shared" si="167"/>
        <v>13863</v>
      </c>
      <c r="J218" s="918">
        <f t="shared" si="168"/>
        <v>0</v>
      </c>
      <c r="K218" s="919"/>
      <c r="L218" s="917">
        <f t="shared" si="169"/>
        <v>0</v>
      </c>
      <c r="M218" s="918">
        <f t="shared" si="170"/>
        <v>0</v>
      </c>
      <c r="N218" s="919"/>
      <c r="O218" s="917">
        <f t="shared" si="171"/>
        <v>0</v>
      </c>
      <c r="P218" s="918">
        <f t="shared" si="172"/>
        <v>0</v>
      </c>
      <c r="Q218" s="919"/>
      <c r="R218" s="917">
        <f t="shared" si="173"/>
        <v>0</v>
      </c>
      <c r="S218" s="918">
        <f t="shared" si="174"/>
        <v>0</v>
      </c>
      <c r="T218" s="919"/>
      <c r="U218" s="917">
        <f t="shared" si="175"/>
        <v>0</v>
      </c>
      <c r="V218" s="918">
        <f t="shared" si="176"/>
        <v>0</v>
      </c>
      <c r="W218" s="919"/>
      <c r="X218" s="917">
        <f t="shared" si="177"/>
        <v>0</v>
      </c>
      <c r="Y218" s="918">
        <f t="shared" si="178"/>
        <v>0</v>
      </c>
      <c r="Z218" s="919"/>
      <c r="AA218" s="917">
        <f t="shared" si="179"/>
        <v>0</v>
      </c>
      <c r="AB218" s="918">
        <f t="shared" si="180"/>
        <v>0</v>
      </c>
      <c r="AC218" s="919"/>
      <c r="AD218" s="917">
        <f t="shared" si="181"/>
        <v>0</v>
      </c>
      <c r="AE218" s="918">
        <f t="shared" si="182"/>
        <v>0</v>
      </c>
      <c r="AF218" s="919"/>
      <c r="AG218" s="917">
        <f t="shared" si="183"/>
        <v>0</v>
      </c>
      <c r="AH218" s="918">
        <f t="shared" si="184"/>
        <v>0</v>
      </c>
      <c r="AI218" s="919"/>
      <c r="AJ218" s="917">
        <f t="shared" si="185"/>
        <v>0</v>
      </c>
      <c r="AK218" s="918">
        <f t="shared" si="186"/>
        <v>0</v>
      </c>
      <c r="AL218" s="919"/>
      <c r="AM218" s="917">
        <f t="shared" si="187"/>
        <v>0</v>
      </c>
      <c r="AN218" s="920">
        <v>19242</v>
      </c>
      <c r="AO218" s="917">
        <f t="shared" si="188"/>
        <v>43863</v>
      </c>
      <c r="AP218" s="920">
        <v>1060.29</v>
      </c>
      <c r="AQ218" s="916">
        <f t="shared" si="189"/>
        <v>3180.87</v>
      </c>
      <c r="AR218" s="917">
        <f t="shared" si="190"/>
        <v>60906.87</v>
      </c>
      <c r="AS218" s="916">
        <v>12</v>
      </c>
      <c r="AT218" s="921">
        <f t="shared" si="191"/>
        <v>730882.44</v>
      </c>
      <c r="AU218" s="920">
        <f t="shared" ref="AU218:AU219" si="213">AT218*0.085</f>
        <v>62125.01</v>
      </c>
      <c r="AV218" s="922">
        <f t="shared" si="192"/>
        <v>7308.82</v>
      </c>
      <c r="AW218" s="921">
        <f t="shared" si="193"/>
        <v>800316.27</v>
      </c>
      <c r="AX218" s="921">
        <f t="shared" si="194"/>
        <v>241695.51</v>
      </c>
      <c r="AY218" s="921">
        <f t="shared" si="195"/>
        <v>1042011.78</v>
      </c>
      <c r="AZ218" s="923">
        <f t="shared" si="196"/>
        <v>800.3</v>
      </c>
      <c r="BA218" s="923">
        <f t="shared" si="197"/>
        <v>241.7</v>
      </c>
      <c r="BB218" s="923">
        <f t="shared" si="198"/>
        <v>1042</v>
      </c>
      <c r="BC218" s="915">
        <v>0.95</v>
      </c>
      <c r="BD218" s="923">
        <f t="shared" si="199"/>
        <v>760.3</v>
      </c>
      <c r="BE218" s="923">
        <f t="shared" si="200"/>
        <v>229.6</v>
      </c>
      <c r="BF218" s="923">
        <f t="shared" si="201"/>
        <v>989.9</v>
      </c>
      <c r="BG218" s="924">
        <f>'[3]свод (2024)'!$B$116</f>
        <v>0.99758349999999996</v>
      </c>
      <c r="BH218" s="923">
        <f t="shared" si="202"/>
        <v>758.5</v>
      </c>
      <c r="BI218" s="923">
        <f t="shared" si="203"/>
        <v>229.1</v>
      </c>
      <c r="BJ218" s="923">
        <f t="shared" si="204"/>
        <v>987.6</v>
      </c>
      <c r="BK218" s="925">
        <f t="shared" si="205"/>
        <v>-41.8</v>
      </c>
      <c r="BL218" s="925">
        <f t="shared" si="205"/>
        <v>-12.6</v>
      </c>
      <c r="BM218" s="925">
        <f t="shared" si="206"/>
        <v>-54.4</v>
      </c>
      <c r="BN218" s="925">
        <f t="shared" si="207"/>
        <v>0</v>
      </c>
      <c r="BO218" s="925">
        <f t="shared" si="208"/>
        <v>0</v>
      </c>
      <c r="BP218" s="926"/>
      <c r="BQ218" s="925">
        <f t="shared" si="209"/>
        <v>758.5</v>
      </c>
      <c r="BR218" s="925">
        <f t="shared" si="209"/>
        <v>229.1</v>
      </c>
      <c r="BS218" s="925">
        <f t="shared" si="210"/>
        <v>987.6</v>
      </c>
      <c r="BU218" s="928"/>
      <c r="BV218" s="917"/>
      <c r="BW218" s="928"/>
      <c r="BX218" s="928"/>
      <c r="BY218" s="928"/>
      <c r="BZ218" s="917"/>
      <c r="CA218" s="928"/>
      <c r="CB218" s="917"/>
      <c r="CC218" s="928"/>
      <c r="CD218" s="928"/>
      <c r="CE218" s="928"/>
      <c r="CF218" s="929"/>
      <c r="CG218" s="928"/>
      <c r="CH218" s="928"/>
      <c r="CI218" s="928"/>
      <c r="CJ218" s="925"/>
      <c r="CK218" s="925"/>
      <c r="CL218" s="925"/>
      <c r="CM218" s="925"/>
      <c r="CN218" s="925"/>
      <c r="CO218" s="925"/>
      <c r="CP218" s="925"/>
      <c r="CQ218" s="925"/>
      <c r="CR218" s="925"/>
      <c r="CS218" s="917"/>
      <c r="CT218" s="928"/>
      <c r="CU218" s="928"/>
      <c r="CV218" s="928"/>
      <c r="CX218" s="925"/>
      <c r="CY218" s="925"/>
      <c r="CZ218" s="925"/>
      <c r="DB218" s="925"/>
      <c r="DC218" s="925"/>
      <c r="DD218" s="925"/>
      <c r="DE218" s="925"/>
      <c r="DF218" s="925"/>
      <c r="DG218" s="925"/>
      <c r="DH218" s="925"/>
      <c r="DI218" s="925"/>
      <c r="DJ218" s="925"/>
      <c r="DK218" s="925"/>
      <c r="DL218" s="925"/>
      <c r="DM218" s="925"/>
      <c r="DN218" s="925"/>
      <c r="DO218" s="925"/>
      <c r="DP218" s="925"/>
      <c r="DQ218" s="924"/>
      <c r="DR218" s="925"/>
      <c r="DS218" s="925"/>
      <c r="DT218" s="925"/>
      <c r="DV218" s="925"/>
      <c r="DW218" s="925"/>
      <c r="DX218" s="925"/>
      <c r="DY218" s="925"/>
      <c r="DZ218" s="925"/>
      <c r="EA218" s="925"/>
      <c r="EB218" s="925"/>
      <c r="EC218" s="925"/>
      <c r="ED218" s="925"/>
      <c r="EE218" s="925"/>
      <c r="EF218" s="925"/>
      <c r="EG218" s="925"/>
      <c r="EH218" s="925"/>
      <c r="EI218" s="925"/>
      <c r="EJ218" s="925"/>
      <c r="EK218" s="925"/>
      <c r="EL218" s="925"/>
      <c r="EM218" s="925"/>
      <c r="EN218" s="925"/>
      <c r="EO218" s="925"/>
      <c r="EP218" s="925"/>
      <c r="EQ218" s="925"/>
      <c r="ER218" s="925"/>
      <c r="ES218" s="925"/>
      <c r="ET218" s="925"/>
      <c r="EV218" s="924"/>
      <c r="EW218" s="925"/>
      <c r="EX218" s="925"/>
      <c r="EY218" s="925"/>
    </row>
    <row r="219" spans="1:155" s="927" customFormat="1" ht="15.75" x14ac:dyDescent="0.25">
      <c r="A219" s="912" t="s">
        <v>62</v>
      </c>
      <c r="B219" s="913" t="s">
        <v>1390</v>
      </c>
      <c r="C219" s="914">
        <v>0.5</v>
      </c>
      <c r="D219" s="914">
        <v>4336</v>
      </c>
      <c r="E219" s="915">
        <v>1.0549999999999999</v>
      </c>
      <c r="F219" s="916">
        <f t="shared" si="165"/>
        <v>4575</v>
      </c>
      <c r="G219" s="915">
        <v>1.01</v>
      </c>
      <c r="H219" s="916">
        <f t="shared" si="166"/>
        <v>4621</v>
      </c>
      <c r="I219" s="917">
        <f t="shared" si="167"/>
        <v>2310.5</v>
      </c>
      <c r="J219" s="918">
        <f t="shared" si="168"/>
        <v>0</v>
      </c>
      <c r="K219" s="919"/>
      <c r="L219" s="917">
        <f t="shared" si="169"/>
        <v>0</v>
      </c>
      <c r="M219" s="918">
        <f t="shared" si="170"/>
        <v>0</v>
      </c>
      <c r="N219" s="919"/>
      <c r="O219" s="917">
        <f t="shared" si="171"/>
        <v>0</v>
      </c>
      <c r="P219" s="918">
        <f t="shared" si="172"/>
        <v>0</v>
      </c>
      <c r="Q219" s="919"/>
      <c r="R219" s="917">
        <f t="shared" si="173"/>
        <v>0</v>
      </c>
      <c r="S219" s="918">
        <f t="shared" si="174"/>
        <v>0</v>
      </c>
      <c r="T219" s="919"/>
      <c r="U219" s="917">
        <f t="shared" si="175"/>
        <v>0</v>
      </c>
      <c r="V219" s="918">
        <f t="shared" si="176"/>
        <v>0</v>
      </c>
      <c r="W219" s="919"/>
      <c r="X219" s="917">
        <f t="shared" si="177"/>
        <v>0</v>
      </c>
      <c r="Y219" s="918">
        <f t="shared" si="178"/>
        <v>0</v>
      </c>
      <c r="Z219" s="919"/>
      <c r="AA219" s="917">
        <f t="shared" si="179"/>
        <v>0</v>
      </c>
      <c r="AB219" s="918">
        <f t="shared" si="180"/>
        <v>0</v>
      </c>
      <c r="AC219" s="919"/>
      <c r="AD219" s="917">
        <f t="shared" si="181"/>
        <v>0</v>
      </c>
      <c r="AE219" s="918">
        <f t="shared" si="182"/>
        <v>0</v>
      </c>
      <c r="AF219" s="919"/>
      <c r="AG219" s="917">
        <f t="shared" si="183"/>
        <v>0</v>
      </c>
      <c r="AH219" s="918">
        <f t="shared" si="184"/>
        <v>0</v>
      </c>
      <c r="AI219" s="919"/>
      <c r="AJ219" s="917">
        <f t="shared" si="185"/>
        <v>0</v>
      </c>
      <c r="AK219" s="918">
        <f t="shared" si="186"/>
        <v>0</v>
      </c>
      <c r="AL219" s="919"/>
      <c r="AM219" s="917">
        <f t="shared" si="187"/>
        <v>0</v>
      </c>
      <c r="AN219" s="920">
        <v>19242</v>
      </c>
      <c r="AO219" s="917">
        <f t="shared" si="188"/>
        <v>7310.5</v>
      </c>
      <c r="AP219" s="920"/>
      <c r="AQ219" s="916">
        <f t="shared" si="189"/>
        <v>0</v>
      </c>
      <c r="AR219" s="917">
        <f t="shared" si="190"/>
        <v>9621</v>
      </c>
      <c r="AS219" s="916">
        <v>12</v>
      </c>
      <c r="AT219" s="921">
        <f t="shared" si="191"/>
        <v>115452</v>
      </c>
      <c r="AU219" s="920">
        <f t="shared" si="213"/>
        <v>9813.42</v>
      </c>
      <c r="AV219" s="922">
        <f t="shared" si="192"/>
        <v>1154.52</v>
      </c>
      <c r="AW219" s="921">
        <f t="shared" si="193"/>
        <v>126419.94</v>
      </c>
      <c r="AX219" s="921">
        <f t="shared" si="194"/>
        <v>38178.82</v>
      </c>
      <c r="AY219" s="921">
        <f t="shared" si="195"/>
        <v>164598.76</v>
      </c>
      <c r="AZ219" s="923">
        <f t="shared" si="196"/>
        <v>126.4</v>
      </c>
      <c r="BA219" s="923">
        <f t="shared" si="197"/>
        <v>38.200000000000003</v>
      </c>
      <c r="BB219" s="923">
        <f t="shared" si="198"/>
        <v>164.6</v>
      </c>
      <c r="BC219" s="915">
        <v>0.95</v>
      </c>
      <c r="BD219" s="923">
        <f t="shared" si="199"/>
        <v>120.1</v>
      </c>
      <c r="BE219" s="923">
        <f t="shared" si="200"/>
        <v>36.299999999999997</v>
      </c>
      <c r="BF219" s="923">
        <f t="shared" si="201"/>
        <v>156.4</v>
      </c>
      <c r="BG219" s="924">
        <f>'[3]свод (2024)'!$B$116</f>
        <v>0.99758349999999996</v>
      </c>
      <c r="BH219" s="923">
        <f t="shared" si="202"/>
        <v>119.8</v>
      </c>
      <c r="BI219" s="923">
        <f t="shared" si="203"/>
        <v>36.200000000000003</v>
      </c>
      <c r="BJ219" s="923">
        <f t="shared" si="204"/>
        <v>156</v>
      </c>
      <c r="BK219" s="925">
        <f t="shared" si="205"/>
        <v>-6.6</v>
      </c>
      <c r="BL219" s="925">
        <f t="shared" si="205"/>
        <v>-2</v>
      </c>
      <c r="BM219" s="925">
        <f t="shared" si="206"/>
        <v>-8.6</v>
      </c>
      <c r="BN219" s="925">
        <f t="shared" si="207"/>
        <v>0</v>
      </c>
      <c r="BO219" s="925">
        <f t="shared" si="208"/>
        <v>0</v>
      </c>
      <c r="BP219" s="926"/>
      <c r="BQ219" s="925">
        <f t="shared" si="209"/>
        <v>119.8</v>
      </c>
      <c r="BR219" s="925">
        <f t="shared" si="209"/>
        <v>36.200000000000003</v>
      </c>
      <c r="BS219" s="925">
        <f t="shared" si="210"/>
        <v>156</v>
      </c>
      <c r="BU219" s="928"/>
      <c r="BV219" s="917"/>
      <c r="BW219" s="928"/>
      <c r="BX219" s="928"/>
      <c r="BY219" s="928"/>
      <c r="BZ219" s="917"/>
      <c r="CA219" s="928"/>
      <c r="CB219" s="917"/>
      <c r="CC219" s="928"/>
      <c r="CD219" s="928"/>
      <c r="CE219" s="928"/>
      <c r="CF219" s="929"/>
      <c r="CG219" s="928"/>
      <c r="CH219" s="928"/>
      <c r="CI219" s="928"/>
      <c r="CJ219" s="925"/>
      <c r="CK219" s="925"/>
      <c r="CL219" s="925"/>
      <c r="CM219" s="925"/>
      <c r="CN219" s="925"/>
      <c r="CO219" s="925"/>
      <c r="CP219" s="925"/>
      <c r="CQ219" s="925"/>
      <c r="CR219" s="925"/>
      <c r="CS219" s="917"/>
      <c r="CT219" s="928"/>
      <c r="CU219" s="928"/>
      <c r="CV219" s="928"/>
      <c r="CX219" s="925"/>
      <c r="CY219" s="925"/>
      <c r="CZ219" s="925"/>
      <c r="DB219" s="925"/>
      <c r="DC219" s="925"/>
      <c r="DD219" s="925"/>
      <c r="DE219" s="925"/>
      <c r="DF219" s="925"/>
      <c r="DG219" s="925"/>
      <c r="DH219" s="925"/>
      <c r="DI219" s="925"/>
      <c r="DJ219" s="925"/>
      <c r="DK219" s="925"/>
      <c r="DL219" s="925"/>
      <c r="DM219" s="925"/>
      <c r="DN219" s="925"/>
      <c r="DO219" s="925"/>
      <c r="DP219" s="925"/>
      <c r="DQ219" s="924"/>
      <c r="DR219" s="925"/>
      <c r="DS219" s="925"/>
      <c r="DT219" s="925"/>
      <c r="DV219" s="925"/>
      <c r="DW219" s="925"/>
      <c r="DX219" s="925"/>
      <c r="DY219" s="925"/>
      <c r="DZ219" s="925"/>
      <c r="EA219" s="925"/>
      <c r="EB219" s="925"/>
      <c r="EC219" s="925"/>
      <c r="ED219" s="925"/>
      <c r="EE219" s="925"/>
      <c r="EF219" s="925"/>
      <c r="EG219" s="925"/>
      <c r="EH219" s="925"/>
      <c r="EI219" s="925"/>
      <c r="EJ219" s="925"/>
      <c r="EK219" s="925"/>
      <c r="EL219" s="925"/>
      <c r="EM219" s="925"/>
      <c r="EN219" s="925"/>
      <c r="EO219" s="925"/>
      <c r="EP219" s="925"/>
      <c r="EQ219" s="925"/>
      <c r="ER219" s="925"/>
      <c r="ES219" s="925"/>
      <c r="ET219" s="925"/>
      <c r="EV219" s="924"/>
      <c r="EW219" s="925"/>
      <c r="EX219" s="925"/>
      <c r="EY219" s="925"/>
    </row>
    <row r="220" spans="1:155" s="927" customFormat="1" ht="15.75" x14ac:dyDescent="0.25">
      <c r="A220" s="931" t="s">
        <v>62</v>
      </c>
      <c r="B220" s="932"/>
      <c r="C220" s="933">
        <f>SUM(C203:C219)</f>
        <v>31.44</v>
      </c>
      <c r="D220" s="933">
        <f t="shared" ref="D220:BO220" si="214">SUM(D203:D219)</f>
        <v>202961</v>
      </c>
      <c r="E220" s="934">
        <f t="shared" si="214"/>
        <v>17.934999999999999</v>
      </c>
      <c r="F220" s="935">
        <f t="shared" si="214"/>
        <v>214132</v>
      </c>
      <c r="G220" s="934">
        <f t="shared" si="214"/>
        <v>17.170000000000002</v>
      </c>
      <c r="H220" s="935">
        <f t="shared" si="214"/>
        <v>216281</v>
      </c>
      <c r="I220" s="936">
        <f t="shared" si="214"/>
        <v>407899.36</v>
      </c>
      <c r="J220" s="937">
        <f t="shared" si="214"/>
        <v>0.79622999999999999</v>
      </c>
      <c r="K220" s="938">
        <f t="shared" si="214"/>
        <v>40916.370000000003</v>
      </c>
      <c r="L220" s="936">
        <f t="shared" si="214"/>
        <v>43603.02</v>
      </c>
      <c r="M220" s="937">
        <f t="shared" si="214"/>
        <v>0</v>
      </c>
      <c r="N220" s="938">
        <f t="shared" si="214"/>
        <v>0</v>
      </c>
      <c r="O220" s="936">
        <f t="shared" si="214"/>
        <v>0</v>
      </c>
      <c r="P220" s="937">
        <f t="shared" si="214"/>
        <v>0</v>
      </c>
      <c r="Q220" s="938">
        <f t="shared" si="214"/>
        <v>0</v>
      </c>
      <c r="R220" s="936">
        <f t="shared" si="214"/>
        <v>0</v>
      </c>
      <c r="S220" s="937">
        <f t="shared" si="214"/>
        <v>0.2</v>
      </c>
      <c r="T220" s="938">
        <f t="shared" si="214"/>
        <v>1582.4</v>
      </c>
      <c r="U220" s="936">
        <f t="shared" si="214"/>
        <v>1686.4</v>
      </c>
      <c r="V220" s="937">
        <f t="shared" si="214"/>
        <v>0</v>
      </c>
      <c r="W220" s="938">
        <f t="shared" si="214"/>
        <v>0</v>
      </c>
      <c r="X220" s="936">
        <f t="shared" si="214"/>
        <v>0</v>
      </c>
      <c r="Y220" s="937">
        <f t="shared" si="214"/>
        <v>3.3212899999999999</v>
      </c>
      <c r="Z220" s="938">
        <f t="shared" si="214"/>
        <v>38758</v>
      </c>
      <c r="AA220" s="936">
        <f t="shared" si="214"/>
        <v>41302.660000000003</v>
      </c>
      <c r="AB220" s="937">
        <f t="shared" si="214"/>
        <v>2.0973899999999999</v>
      </c>
      <c r="AC220" s="938">
        <f t="shared" si="214"/>
        <v>62388.04</v>
      </c>
      <c r="AD220" s="936">
        <f t="shared" si="214"/>
        <v>66482.23</v>
      </c>
      <c r="AE220" s="937">
        <f t="shared" si="214"/>
        <v>0</v>
      </c>
      <c r="AF220" s="938">
        <f t="shared" si="214"/>
        <v>0</v>
      </c>
      <c r="AG220" s="936">
        <f t="shared" si="214"/>
        <v>0</v>
      </c>
      <c r="AH220" s="937">
        <f t="shared" si="214"/>
        <v>0</v>
      </c>
      <c r="AI220" s="938">
        <f t="shared" si="214"/>
        <v>0</v>
      </c>
      <c r="AJ220" s="936">
        <f t="shared" si="214"/>
        <v>0</v>
      </c>
      <c r="AK220" s="937">
        <f t="shared" si="214"/>
        <v>0</v>
      </c>
      <c r="AL220" s="938">
        <f t="shared" si="214"/>
        <v>0</v>
      </c>
      <c r="AM220" s="936">
        <f t="shared" si="214"/>
        <v>0</v>
      </c>
      <c r="AN220" s="933">
        <f t="shared" si="214"/>
        <v>327114</v>
      </c>
      <c r="AO220" s="936">
        <f t="shared" si="214"/>
        <v>118630.17</v>
      </c>
      <c r="AP220" s="933">
        <f t="shared" si="214"/>
        <v>2120.58</v>
      </c>
      <c r="AQ220" s="935">
        <f t="shared" si="214"/>
        <v>5301.45</v>
      </c>
      <c r="AR220" s="936">
        <f t="shared" si="214"/>
        <v>684905.29</v>
      </c>
      <c r="AS220" s="935">
        <f t="shared" si="214"/>
        <v>204</v>
      </c>
      <c r="AT220" s="939">
        <f t="shared" si="214"/>
        <v>8218863.4800000004</v>
      </c>
      <c r="AU220" s="933">
        <f t="shared" si="214"/>
        <v>123168.52</v>
      </c>
      <c r="AV220" s="940">
        <f t="shared" si="214"/>
        <v>82188.63</v>
      </c>
      <c r="AW220" s="939">
        <f t="shared" si="214"/>
        <v>8424220.6300000008</v>
      </c>
      <c r="AX220" s="939">
        <f t="shared" si="214"/>
        <v>2544114.61</v>
      </c>
      <c r="AY220" s="939">
        <f t="shared" si="214"/>
        <v>10968335.24</v>
      </c>
      <c r="AZ220" s="941">
        <f t="shared" si="214"/>
        <v>8424</v>
      </c>
      <c r="BA220" s="941">
        <f t="shared" si="214"/>
        <v>2544</v>
      </c>
      <c r="BB220" s="941">
        <f t="shared" si="214"/>
        <v>10968</v>
      </c>
      <c r="BC220" s="934">
        <f t="shared" si="214"/>
        <v>16.149999999999999</v>
      </c>
      <c r="BD220" s="941">
        <f t="shared" si="214"/>
        <v>8002.9</v>
      </c>
      <c r="BE220" s="941">
        <f t="shared" si="214"/>
        <v>2417.1999999999998</v>
      </c>
      <c r="BF220" s="941">
        <f t="shared" si="214"/>
        <v>10420.1</v>
      </c>
      <c r="BG220" s="942">
        <f>'[3]свод (2024)'!$B$116</f>
        <v>0.99758349999999996</v>
      </c>
      <c r="BH220" s="941">
        <f t="shared" si="214"/>
        <v>7983.5</v>
      </c>
      <c r="BI220" s="941">
        <f t="shared" si="214"/>
        <v>2411</v>
      </c>
      <c r="BJ220" s="941">
        <f t="shared" si="214"/>
        <v>10394.5</v>
      </c>
      <c r="BK220" s="943">
        <f t="shared" si="214"/>
        <v>-440.5</v>
      </c>
      <c r="BL220" s="943">
        <f t="shared" si="214"/>
        <v>-133</v>
      </c>
      <c r="BM220" s="943">
        <f t="shared" si="214"/>
        <v>-573.5</v>
      </c>
      <c r="BN220" s="943">
        <f t="shared" si="214"/>
        <v>0</v>
      </c>
      <c r="BO220" s="943">
        <f t="shared" si="214"/>
        <v>0</v>
      </c>
      <c r="BP220" s="944">
        <f t="shared" ref="BP220:BS220" si="215">SUM(BP203:BP219)</f>
        <v>0</v>
      </c>
      <c r="BQ220" s="943">
        <f t="shared" si="215"/>
        <v>7983.5</v>
      </c>
      <c r="BR220" s="943">
        <f t="shared" si="215"/>
        <v>2411</v>
      </c>
      <c r="BS220" s="943">
        <f t="shared" si="215"/>
        <v>10394.5</v>
      </c>
      <c r="BU220" s="945">
        <f>SUM(BU203:BU219)</f>
        <v>17.440000000000001</v>
      </c>
      <c r="BV220" s="946">
        <v>1.6</v>
      </c>
      <c r="BW220" s="947">
        <f t="shared" ref="BW220" si="216">BU220-BV220</f>
        <v>15.84</v>
      </c>
      <c r="BX220" s="945">
        <f>SUM(BX203:BX219)</f>
        <v>4099795.8</v>
      </c>
      <c r="BY220" s="947">
        <f>BX220/BU220*BW220</f>
        <v>3723667.74</v>
      </c>
      <c r="BZ220" s="946">
        <v>9.4</v>
      </c>
      <c r="CA220" s="947">
        <f t="shared" ref="CA220" si="217">BY220/BZ220/12</f>
        <v>33011.24</v>
      </c>
      <c r="CB220" s="946">
        <v>41718.199999999997</v>
      </c>
      <c r="CC220" s="947">
        <f t="shared" ref="CC220" si="218">(CB220-CA220)*BZ220*12</f>
        <v>982145.09</v>
      </c>
      <c r="CD220" s="947">
        <f t="shared" ref="CD220" si="219">CC220*0.302</f>
        <v>296607.82</v>
      </c>
      <c r="CE220" s="947">
        <f t="shared" ref="CE220" si="220">CC220+CD220</f>
        <v>1278752.9099999999</v>
      </c>
      <c r="CF220" s="948">
        <f>SUM(CF203:CF219)</f>
        <v>982145.09</v>
      </c>
      <c r="CG220" s="949">
        <f>ROUND(CC220/1000,1)</f>
        <v>982.1</v>
      </c>
      <c r="CH220" s="949">
        <f>ROUND(CD220/1000,1)</f>
        <v>296.60000000000002</v>
      </c>
      <c r="CI220" s="950">
        <f>CG220+CH220</f>
        <v>1278.7</v>
      </c>
      <c r="CJ220" s="951">
        <f>BQ220+CG220</f>
        <v>8965.6</v>
      </c>
      <c r="CK220" s="951">
        <f>BR220+CH220</f>
        <v>2707.6</v>
      </c>
      <c r="CL220" s="952">
        <f>CJ220+CK220</f>
        <v>11673.2</v>
      </c>
      <c r="CM220" s="951">
        <f>0/6*12</f>
        <v>0</v>
      </c>
      <c r="CN220" s="951">
        <f>CM220*0.302</f>
        <v>0</v>
      </c>
      <c r="CO220" s="952">
        <f>CM220+CN220</f>
        <v>0</v>
      </c>
      <c r="CP220" s="951">
        <f>ROUND(CJ220-CM220,1)</f>
        <v>8965.6</v>
      </c>
      <c r="CQ220" s="951">
        <f>ROUND(CK220-CN220,1)</f>
        <v>2707.6</v>
      </c>
      <c r="CR220" s="952">
        <f>CP220+CQ220</f>
        <v>11673.2</v>
      </c>
      <c r="CS220" s="946">
        <v>38663.800000000003</v>
      </c>
      <c r="CT220" s="953">
        <f>(CB220-CS220)*BZ220*12/1000</f>
        <v>344.5</v>
      </c>
      <c r="CU220" s="953">
        <f>CT220*0.302</f>
        <v>104</v>
      </c>
      <c r="CV220" s="953">
        <f>CT220+CU220</f>
        <v>448.5</v>
      </c>
      <c r="CX220" s="951">
        <f>(BY220+CC220)/1000</f>
        <v>4705.8</v>
      </c>
      <c r="CY220" s="951">
        <f>CX220*0.302</f>
        <v>1421.2</v>
      </c>
      <c r="CZ220" s="952">
        <f>CX220+CY220</f>
        <v>6127</v>
      </c>
      <c r="DB220" s="954"/>
      <c r="DC220" s="954"/>
      <c r="DD220" s="921"/>
      <c r="DE220" s="954"/>
      <c r="DF220" s="954"/>
      <c r="DG220" s="921"/>
      <c r="DH220" s="954"/>
      <c r="DI220" s="954"/>
      <c r="DJ220" s="921"/>
      <c r="DK220" s="954"/>
      <c r="DL220" s="954"/>
      <c r="DM220" s="921"/>
      <c r="DN220" s="954"/>
      <c r="DO220" s="954"/>
      <c r="DP220" s="921"/>
      <c r="DQ220" s="942">
        <f>$DQ$239</f>
        <v>0.97850278000000002</v>
      </c>
      <c r="DR220" s="951">
        <f>ROUND(CP220*DQ220,1)</f>
        <v>8772.9</v>
      </c>
      <c r="DS220" s="951">
        <f>ROUND(CQ220*DQ220,1)</f>
        <v>2649.4</v>
      </c>
      <c r="DT220" s="952">
        <f>DR220+DS220</f>
        <v>11422.3</v>
      </c>
      <c r="DV220" s="921"/>
      <c r="DW220" s="921"/>
      <c r="DX220" s="921"/>
      <c r="DY220" s="921"/>
      <c r="DZ220" s="921"/>
      <c r="EA220" s="921"/>
      <c r="EB220" s="921"/>
      <c r="EC220" s="921"/>
      <c r="ED220" s="921"/>
      <c r="EE220" s="921"/>
      <c r="EF220" s="921"/>
      <c r="EG220" s="921"/>
      <c r="EH220" s="921"/>
      <c r="EI220" s="921"/>
      <c r="EJ220" s="921"/>
      <c r="EK220" s="921"/>
      <c r="EL220" s="921"/>
      <c r="EM220" s="921"/>
      <c r="EN220" s="921"/>
      <c r="EO220" s="921"/>
      <c r="EP220" s="921"/>
      <c r="EQ220" s="954"/>
      <c r="ER220" s="954"/>
      <c r="ES220" s="954"/>
      <c r="ET220" s="954"/>
      <c r="EV220" s="942">
        <f>EV239</f>
        <v>0.98074006899999999</v>
      </c>
      <c r="EW220" s="955">
        <f>ROUND(CP220*EV220,1)-0.3</f>
        <v>8792.6</v>
      </c>
      <c r="EX220" s="951">
        <f>ROUND(CQ220*EV220,1)</f>
        <v>2655.5</v>
      </c>
      <c r="EY220" s="952">
        <f>EW220+EX220</f>
        <v>11448.1</v>
      </c>
    </row>
    <row r="221" spans="1:155" s="927" customFormat="1" ht="15.75" x14ac:dyDescent="0.25">
      <c r="A221" s="931"/>
      <c r="B221" s="932" t="s">
        <v>406</v>
      </c>
      <c r="C221" s="981">
        <f>C212</f>
        <v>14.44</v>
      </c>
      <c r="D221" s="938"/>
      <c r="E221" s="983"/>
      <c r="F221" s="936"/>
      <c r="G221" s="983"/>
      <c r="H221" s="984">
        <f t="shared" ref="H221:I221" si="221">H212</f>
        <v>13994</v>
      </c>
      <c r="I221" s="984">
        <f t="shared" si="221"/>
        <v>202073.36</v>
      </c>
      <c r="J221" s="937"/>
      <c r="K221" s="938"/>
      <c r="L221" s="984">
        <f t="shared" ref="L221" si="222">L212</f>
        <v>34601.019999999997</v>
      </c>
      <c r="M221" s="937"/>
      <c r="N221" s="938"/>
      <c r="O221" s="984">
        <f t="shared" ref="O221" si="223">O212</f>
        <v>0</v>
      </c>
      <c r="P221" s="937"/>
      <c r="Q221" s="938"/>
      <c r="R221" s="984">
        <f t="shared" ref="R221" si="224">R212</f>
        <v>0</v>
      </c>
      <c r="S221" s="937"/>
      <c r="T221" s="938"/>
      <c r="U221" s="984">
        <f t="shared" ref="U221" si="225">U212</f>
        <v>0</v>
      </c>
      <c r="V221" s="937"/>
      <c r="W221" s="938"/>
      <c r="X221" s="984">
        <f t="shared" ref="X221" si="226">X212</f>
        <v>0</v>
      </c>
      <c r="Y221" s="937"/>
      <c r="Z221" s="938"/>
      <c r="AA221" s="984">
        <f t="shared" ref="AA221" si="227">AA212</f>
        <v>0</v>
      </c>
      <c r="AB221" s="937"/>
      <c r="AC221" s="938"/>
      <c r="AD221" s="984">
        <f t="shared" ref="AD221" si="228">AD212</f>
        <v>34835.43</v>
      </c>
      <c r="AE221" s="937"/>
      <c r="AF221" s="938"/>
      <c r="AG221" s="984">
        <f t="shared" ref="AG221" si="229">AG212</f>
        <v>0</v>
      </c>
      <c r="AH221" s="937"/>
      <c r="AI221" s="938"/>
      <c r="AJ221" s="984">
        <f t="shared" ref="AJ221" si="230">AJ212</f>
        <v>0</v>
      </c>
      <c r="AK221" s="937"/>
      <c r="AL221" s="938"/>
      <c r="AM221" s="984">
        <f t="shared" ref="AM221" si="231">AM212</f>
        <v>0</v>
      </c>
      <c r="AN221" s="938"/>
      <c r="AO221" s="984">
        <f t="shared" ref="AO221" si="232">AO212</f>
        <v>6344.67</v>
      </c>
      <c r="AP221" s="938"/>
      <c r="AQ221" s="984">
        <f t="shared" ref="AQ221:AR221" si="233">AQ212</f>
        <v>0</v>
      </c>
      <c r="AR221" s="984">
        <f t="shared" si="233"/>
        <v>277854.48</v>
      </c>
      <c r="AS221" s="936"/>
      <c r="AT221" s="984">
        <f t="shared" ref="AT221:AW221" si="234">AT212</f>
        <v>3334253.76</v>
      </c>
      <c r="AU221" s="984">
        <f t="shared" si="234"/>
        <v>0</v>
      </c>
      <c r="AV221" s="984">
        <f t="shared" si="234"/>
        <v>33342.54</v>
      </c>
      <c r="AW221" s="984">
        <f t="shared" si="234"/>
        <v>3367596.3</v>
      </c>
      <c r="AX221" s="939"/>
      <c r="AY221" s="939"/>
      <c r="AZ221" s="941"/>
      <c r="BA221" s="941"/>
      <c r="BB221" s="941"/>
      <c r="BC221" s="934"/>
      <c r="BD221" s="941"/>
      <c r="BE221" s="941"/>
      <c r="BF221" s="941"/>
      <c r="BG221" s="942"/>
      <c r="BH221" s="941"/>
      <c r="BI221" s="941"/>
      <c r="BJ221" s="941"/>
      <c r="BK221" s="943"/>
      <c r="BL221" s="943"/>
      <c r="BM221" s="943"/>
      <c r="BN221" s="943"/>
      <c r="BO221" s="943"/>
      <c r="BP221" s="944"/>
      <c r="BQ221" s="943"/>
      <c r="BR221" s="943"/>
      <c r="BS221" s="943"/>
      <c r="BU221" s="945"/>
      <c r="BV221" s="946"/>
      <c r="BW221" s="947"/>
      <c r="BX221" s="945"/>
      <c r="BY221" s="947"/>
      <c r="BZ221" s="946"/>
      <c r="CA221" s="947"/>
      <c r="CB221" s="946"/>
      <c r="CC221" s="947"/>
      <c r="CD221" s="947"/>
      <c r="CE221" s="947"/>
      <c r="CF221" s="948"/>
      <c r="CG221" s="949"/>
      <c r="CH221" s="949"/>
      <c r="CI221" s="950"/>
      <c r="CJ221" s="951"/>
      <c r="CK221" s="951"/>
      <c r="CL221" s="952"/>
      <c r="CM221" s="951"/>
      <c r="CN221" s="951"/>
      <c r="CO221" s="952"/>
      <c r="CP221" s="951"/>
      <c r="CQ221" s="951"/>
      <c r="CR221" s="952"/>
      <c r="CS221" s="946"/>
      <c r="CT221" s="953"/>
      <c r="CU221" s="953"/>
      <c r="CV221" s="953"/>
      <c r="CX221" s="951"/>
      <c r="CY221" s="951"/>
      <c r="CZ221" s="952"/>
      <c r="DB221" s="954"/>
      <c r="DC221" s="954"/>
      <c r="DD221" s="921"/>
      <c r="DE221" s="954"/>
      <c r="DF221" s="954"/>
      <c r="DG221" s="921"/>
      <c r="DH221" s="954"/>
      <c r="DI221" s="954"/>
      <c r="DJ221" s="921"/>
      <c r="DK221" s="954"/>
      <c r="DL221" s="954"/>
      <c r="DM221" s="921"/>
      <c r="DN221" s="954"/>
      <c r="DO221" s="954"/>
      <c r="DP221" s="921"/>
      <c r="DQ221" s="942"/>
      <c r="DR221" s="951"/>
      <c r="DS221" s="951"/>
      <c r="DT221" s="952"/>
      <c r="DV221" s="921"/>
      <c r="DW221" s="921"/>
      <c r="DX221" s="921"/>
      <c r="DY221" s="921"/>
      <c r="DZ221" s="921"/>
      <c r="EA221" s="921"/>
      <c r="EB221" s="921"/>
      <c r="EC221" s="921"/>
      <c r="ED221" s="921"/>
      <c r="EE221" s="921"/>
      <c r="EF221" s="921"/>
      <c r="EG221" s="921"/>
      <c r="EH221" s="921"/>
      <c r="EI221" s="921"/>
      <c r="EJ221" s="921"/>
      <c r="EK221" s="921"/>
      <c r="EL221" s="921"/>
      <c r="EM221" s="921"/>
      <c r="EN221" s="921"/>
      <c r="EO221" s="921"/>
      <c r="EP221" s="921"/>
      <c r="EQ221" s="954"/>
      <c r="ER221" s="954"/>
      <c r="ES221" s="954"/>
      <c r="ET221" s="954"/>
      <c r="EV221" s="942"/>
      <c r="EW221" s="951"/>
      <c r="EX221" s="951"/>
      <c r="EY221" s="952"/>
    </row>
    <row r="222" spans="1:155" s="927" customFormat="1" ht="15.75" x14ac:dyDescent="0.25">
      <c r="A222" s="931"/>
      <c r="B222" s="932" t="s">
        <v>403</v>
      </c>
      <c r="C222" s="981">
        <f>C210+C213+C214</f>
        <v>3</v>
      </c>
      <c r="D222" s="938"/>
      <c r="E222" s="983"/>
      <c r="F222" s="936"/>
      <c r="G222" s="983"/>
      <c r="H222" s="984">
        <f t="shared" ref="H222:I222" si="235">H210+H213+H214</f>
        <v>43346</v>
      </c>
      <c r="I222" s="984">
        <f t="shared" si="235"/>
        <v>43346</v>
      </c>
      <c r="J222" s="937"/>
      <c r="K222" s="938"/>
      <c r="L222" s="984">
        <f t="shared" ref="L222" si="236">L210+L213+L214</f>
        <v>9002</v>
      </c>
      <c r="M222" s="937"/>
      <c r="N222" s="938"/>
      <c r="O222" s="984">
        <f t="shared" ref="O222" si="237">O210+O213+O214</f>
        <v>0</v>
      </c>
      <c r="P222" s="937"/>
      <c r="Q222" s="938"/>
      <c r="R222" s="984">
        <f t="shared" ref="R222" si="238">R210+R213+R214</f>
        <v>0</v>
      </c>
      <c r="S222" s="937"/>
      <c r="T222" s="938"/>
      <c r="U222" s="984">
        <f t="shared" ref="U222" si="239">U210+U213+U214</f>
        <v>0</v>
      </c>
      <c r="V222" s="937"/>
      <c r="W222" s="938"/>
      <c r="X222" s="984">
        <f t="shared" ref="X222" si="240">X210+X213+X214</f>
        <v>0</v>
      </c>
      <c r="Y222" s="937"/>
      <c r="Z222" s="938"/>
      <c r="AA222" s="984">
        <f t="shared" ref="AA222" si="241">AA210+AA213+AA214</f>
        <v>0</v>
      </c>
      <c r="AB222" s="937"/>
      <c r="AC222" s="938"/>
      <c r="AD222" s="984">
        <f t="shared" ref="AD222" si="242">AD210+AD213+AD214</f>
        <v>7534.4</v>
      </c>
      <c r="AE222" s="937"/>
      <c r="AF222" s="938"/>
      <c r="AG222" s="984">
        <f t="shared" ref="AG222" si="243">AG210+AG213+AG214</f>
        <v>0</v>
      </c>
      <c r="AH222" s="937"/>
      <c r="AI222" s="938"/>
      <c r="AJ222" s="984">
        <f t="shared" ref="AJ222" si="244">AJ210+AJ213+AJ214</f>
        <v>0</v>
      </c>
      <c r="AK222" s="937"/>
      <c r="AL222" s="938"/>
      <c r="AM222" s="984">
        <f t="shared" ref="AM222" si="245">AM210+AM213+AM214</f>
        <v>0</v>
      </c>
      <c r="AN222" s="938"/>
      <c r="AO222" s="984">
        <f t="shared" ref="AO222" si="246">AO210+AO213+AO214</f>
        <v>530.1</v>
      </c>
      <c r="AP222" s="938"/>
      <c r="AQ222" s="984">
        <f t="shared" ref="AQ222:AR222" si="247">AQ210+AQ213+AQ214</f>
        <v>0</v>
      </c>
      <c r="AR222" s="984">
        <f t="shared" si="247"/>
        <v>60412.5</v>
      </c>
      <c r="AS222" s="936"/>
      <c r="AT222" s="984">
        <f t="shared" ref="AT222:AW222" si="248">AT210+AT213+AT214</f>
        <v>724950</v>
      </c>
      <c r="AU222" s="984">
        <f t="shared" si="248"/>
        <v>0</v>
      </c>
      <c r="AV222" s="984">
        <f t="shared" si="248"/>
        <v>7249.5</v>
      </c>
      <c r="AW222" s="984">
        <f t="shared" si="248"/>
        <v>732199.5</v>
      </c>
      <c r="AX222" s="939"/>
      <c r="AY222" s="939"/>
      <c r="AZ222" s="941"/>
      <c r="BA222" s="941"/>
      <c r="BB222" s="941"/>
      <c r="BC222" s="934"/>
      <c r="BD222" s="941"/>
      <c r="BE222" s="941"/>
      <c r="BF222" s="941"/>
      <c r="BG222" s="942"/>
      <c r="BH222" s="941"/>
      <c r="BI222" s="941"/>
      <c r="BJ222" s="941"/>
      <c r="BK222" s="943"/>
      <c r="BL222" s="943"/>
      <c r="BM222" s="943"/>
      <c r="BN222" s="943"/>
      <c r="BO222" s="943"/>
      <c r="BP222" s="944"/>
      <c r="BQ222" s="943"/>
      <c r="BR222" s="943"/>
      <c r="BS222" s="943"/>
      <c r="BU222" s="945"/>
      <c r="BV222" s="946"/>
      <c r="BW222" s="947"/>
      <c r="BX222" s="945"/>
      <c r="BY222" s="947"/>
      <c r="BZ222" s="946"/>
      <c r="CA222" s="947"/>
      <c r="CB222" s="946"/>
      <c r="CC222" s="947"/>
      <c r="CD222" s="947"/>
      <c r="CE222" s="947"/>
      <c r="CF222" s="948"/>
      <c r="CG222" s="949"/>
      <c r="CH222" s="949"/>
      <c r="CI222" s="950"/>
      <c r="CJ222" s="951"/>
      <c r="CK222" s="951"/>
      <c r="CL222" s="952"/>
      <c r="CM222" s="951"/>
      <c r="CN222" s="951"/>
      <c r="CO222" s="952"/>
      <c r="CP222" s="951"/>
      <c r="CQ222" s="951"/>
      <c r="CR222" s="952"/>
      <c r="CS222" s="946"/>
      <c r="CT222" s="953"/>
      <c r="CU222" s="953"/>
      <c r="CV222" s="953"/>
      <c r="CX222" s="951"/>
      <c r="CY222" s="951"/>
      <c r="CZ222" s="952"/>
      <c r="DB222" s="954"/>
      <c r="DC222" s="954"/>
      <c r="DD222" s="921"/>
      <c r="DE222" s="954"/>
      <c r="DF222" s="954"/>
      <c r="DG222" s="921"/>
      <c r="DH222" s="954"/>
      <c r="DI222" s="954"/>
      <c r="DJ222" s="921"/>
      <c r="DK222" s="954"/>
      <c r="DL222" s="954"/>
      <c r="DM222" s="921"/>
      <c r="DN222" s="954"/>
      <c r="DO222" s="954"/>
      <c r="DP222" s="921"/>
      <c r="DQ222" s="942"/>
      <c r="DR222" s="951"/>
      <c r="DS222" s="951"/>
      <c r="DT222" s="952"/>
      <c r="DV222" s="921"/>
      <c r="DW222" s="921"/>
      <c r="DX222" s="921"/>
      <c r="DY222" s="921"/>
      <c r="DZ222" s="921"/>
      <c r="EA222" s="921"/>
      <c r="EB222" s="921"/>
      <c r="EC222" s="921"/>
      <c r="ED222" s="921"/>
      <c r="EE222" s="921"/>
      <c r="EF222" s="921"/>
      <c r="EG222" s="921"/>
      <c r="EH222" s="921"/>
      <c r="EI222" s="921"/>
      <c r="EJ222" s="921"/>
      <c r="EK222" s="921"/>
      <c r="EL222" s="921"/>
      <c r="EM222" s="921"/>
      <c r="EN222" s="921"/>
      <c r="EO222" s="921"/>
      <c r="EP222" s="921"/>
      <c r="EQ222" s="954"/>
      <c r="ER222" s="954"/>
      <c r="ES222" s="954"/>
      <c r="ET222" s="954"/>
      <c r="EV222" s="942"/>
      <c r="EW222" s="951"/>
      <c r="EX222" s="951"/>
      <c r="EY222" s="952"/>
    </row>
    <row r="223" spans="1:155" s="927" customFormat="1" ht="15.75" x14ac:dyDescent="0.25">
      <c r="A223" s="931"/>
      <c r="B223" s="932" t="s">
        <v>404</v>
      </c>
      <c r="C223" s="981">
        <f>C203+C204+C205+C206+C207+C208+C209+C216+C219</f>
        <v>7.5</v>
      </c>
      <c r="D223" s="938"/>
      <c r="E223" s="983"/>
      <c r="F223" s="936"/>
      <c r="G223" s="983"/>
      <c r="H223" s="984">
        <f t="shared" ref="H223:I223" si="249">H203+H204+H205+H206+H207+H208+H209+H216+H219</f>
        <v>139045</v>
      </c>
      <c r="I223" s="984">
        <f t="shared" si="249"/>
        <v>130292</v>
      </c>
      <c r="J223" s="937"/>
      <c r="K223" s="938"/>
      <c r="L223" s="984">
        <f t="shared" ref="L223" si="250">L203+L204+L205+L206+L207+L208+L209+L216+L219</f>
        <v>0</v>
      </c>
      <c r="M223" s="937"/>
      <c r="N223" s="938"/>
      <c r="O223" s="984">
        <f t="shared" ref="O223" si="251">O203+O204+O205+O206+O207+O208+O209+O216+O219</f>
        <v>0</v>
      </c>
      <c r="P223" s="937"/>
      <c r="Q223" s="938"/>
      <c r="R223" s="984">
        <f t="shared" ref="R223" si="252">R203+R204+R205+R206+R207+R208+R209+R216+R219</f>
        <v>0</v>
      </c>
      <c r="S223" s="937"/>
      <c r="T223" s="938"/>
      <c r="U223" s="984">
        <f t="shared" ref="U223" si="253">U203+U204+U205+U206+U207+U208+U209+U216+U219</f>
        <v>1686.4</v>
      </c>
      <c r="V223" s="937"/>
      <c r="W223" s="938"/>
      <c r="X223" s="984">
        <f t="shared" ref="X223" si="254">X203+X204+X205+X206+X207+X208+X209+X216+X219</f>
        <v>0</v>
      </c>
      <c r="Y223" s="937"/>
      <c r="Z223" s="938"/>
      <c r="AA223" s="984">
        <f t="shared" ref="AA223" si="255">AA203+AA204+AA205+AA206+AA207+AA208+AA209+AA216+AA219</f>
        <v>41302.660000000003</v>
      </c>
      <c r="AB223" s="937"/>
      <c r="AC223" s="938"/>
      <c r="AD223" s="984">
        <f t="shared" ref="AD223" si="256">AD203+AD204+AD205+AD206+AD207+AD208+AD209+AD216+AD219</f>
        <v>24112.400000000001</v>
      </c>
      <c r="AE223" s="937"/>
      <c r="AF223" s="938"/>
      <c r="AG223" s="984">
        <f t="shared" ref="AG223" si="257">AG203+AG204+AG205+AG206+AG207+AG208+AG209+AG216+AG219</f>
        <v>0</v>
      </c>
      <c r="AH223" s="937"/>
      <c r="AI223" s="938"/>
      <c r="AJ223" s="984">
        <f t="shared" ref="AJ223" si="258">AJ203+AJ204+AJ205+AJ206+AJ207+AJ208+AJ209+AJ216+AJ219</f>
        <v>0</v>
      </c>
      <c r="AK223" s="937"/>
      <c r="AL223" s="938"/>
      <c r="AM223" s="984">
        <f t="shared" ref="AM223" si="259">AM203+AM204+AM205+AM206+AM207+AM208+AM209+AM216+AM219</f>
        <v>0</v>
      </c>
      <c r="AN223" s="938"/>
      <c r="AO223" s="984">
        <f t="shared" ref="AO223" si="260">AO203+AO204+AO205+AO206+AO207+AO208+AO209+AO216+AO219</f>
        <v>18870.400000000001</v>
      </c>
      <c r="AP223" s="938"/>
      <c r="AQ223" s="984">
        <f t="shared" ref="AQ223:AR223" si="261">AQ203+AQ204+AQ205+AQ206+AQ207+AQ208+AQ209+AQ216+AQ219</f>
        <v>0</v>
      </c>
      <c r="AR223" s="984">
        <f t="shared" si="261"/>
        <v>216263.86</v>
      </c>
      <c r="AS223" s="936"/>
      <c r="AT223" s="984">
        <f t="shared" ref="AT223:AW223" si="262">AT203+AT204+AT205+AT206+AT207+AT208+AT209+AT216+AT219</f>
        <v>2595166.3199999998</v>
      </c>
      <c r="AU223" s="984">
        <f t="shared" si="262"/>
        <v>19626.84</v>
      </c>
      <c r="AV223" s="984">
        <f t="shared" si="262"/>
        <v>25951.66</v>
      </c>
      <c r="AW223" s="984">
        <f t="shared" si="262"/>
        <v>2640744.8199999998</v>
      </c>
      <c r="AX223" s="939"/>
      <c r="AY223" s="939"/>
      <c r="AZ223" s="941"/>
      <c r="BA223" s="941"/>
      <c r="BB223" s="941"/>
      <c r="BC223" s="934"/>
      <c r="BD223" s="941"/>
      <c r="BE223" s="941"/>
      <c r="BF223" s="941"/>
      <c r="BG223" s="942"/>
      <c r="BH223" s="941"/>
      <c r="BI223" s="941"/>
      <c r="BJ223" s="941"/>
      <c r="BK223" s="943"/>
      <c r="BL223" s="943"/>
      <c r="BM223" s="943"/>
      <c r="BN223" s="943"/>
      <c r="BO223" s="943"/>
      <c r="BP223" s="944"/>
      <c r="BQ223" s="943"/>
      <c r="BR223" s="943"/>
      <c r="BS223" s="943"/>
      <c r="BU223" s="945"/>
      <c r="BV223" s="946"/>
      <c r="BW223" s="947"/>
      <c r="BX223" s="945"/>
      <c r="BY223" s="947"/>
      <c r="BZ223" s="946"/>
      <c r="CA223" s="947"/>
      <c r="CB223" s="946"/>
      <c r="CC223" s="947"/>
      <c r="CD223" s="947"/>
      <c r="CE223" s="947"/>
      <c r="CF223" s="948"/>
      <c r="CG223" s="949"/>
      <c r="CH223" s="949"/>
      <c r="CI223" s="950"/>
      <c r="CJ223" s="951"/>
      <c r="CK223" s="951"/>
      <c r="CL223" s="952"/>
      <c r="CM223" s="951"/>
      <c r="CN223" s="951"/>
      <c r="CO223" s="952"/>
      <c r="CP223" s="951"/>
      <c r="CQ223" s="951"/>
      <c r="CR223" s="952"/>
      <c r="CS223" s="946"/>
      <c r="CT223" s="953"/>
      <c r="CU223" s="953"/>
      <c r="CV223" s="953"/>
      <c r="CX223" s="951"/>
      <c r="CY223" s="951"/>
      <c r="CZ223" s="952"/>
      <c r="DB223" s="954"/>
      <c r="DC223" s="954"/>
      <c r="DD223" s="921"/>
      <c r="DE223" s="954"/>
      <c r="DF223" s="954"/>
      <c r="DG223" s="921"/>
      <c r="DH223" s="954"/>
      <c r="DI223" s="954"/>
      <c r="DJ223" s="921"/>
      <c r="DK223" s="954"/>
      <c r="DL223" s="954"/>
      <c r="DM223" s="921"/>
      <c r="DN223" s="954"/>
      <c r="DO223" s="954"/>
      <c r="DP223" s="921"/>
      <c r="DQ223" s="942"/>
      <c r="DR223" s="951"/>
      <c r="DS223" s="951"/>
      <c r="DT223" s="952"/>
      <c r="DV223" s="921"/>
      <c r="DW223" s="921"/>
      <c r="DX223" s="921"/>
      <c r="DY223" s="921"/>
      <c r="DZ223" s="921"/>
      <c r="EA223" s="921"/>
      <c r="EB223" s="921"/>
      <c r="EC223" s="921"/>
      <c r="ED223" s="921"/>
      <c r="EE223" s="921"/>
      <c r="EF223" s="921"/>
      <c r="EG223" s="921"/>
      <c r="EH223" s="921"/>
      <c r="EI223" s="921"/>
      <c r="EJ223" s="921"/>
      <c r="EK223" s="921"/>
      <c r="EL223" s="921"/>
      <c r="EM223" s="921"/>
      <c r="EN223" s="921"/>
      <c r="EO223" s="921"/>
      <c r="EP223" s="921"/>
      <c r="EQ223" s="954"/>
      <c r="ER223" s="954"/>
      <c r="ES223" s="954"/>
      <c r="ET223" s="954"/>
      <c r="EV223" s="942"/>
      <c r="EW223" s="951"/>
      <c r="EX223" s="951"/>
      <c r="EY223" s="952"/>
    </row>
    <row r="224" spans="1:155" s="927" customFormat="1" ht="15.75" x14ac:dyDescent="0.25">
      <c r="A224" s="931"/>
      <c r="B224" s="932" t="s">
        <v>405</v>
      </c>
      <c r="C224" s="981">
        <f>C211+C215+C217+C218</f>
        <v>6.5</v>
      </c>
      <c r="D224" s="938"/>
      <c r="E224" s="983"/>
      <c r="F224" s="936"/>
      <c r="G224" s="983"/>
      <c r="H224" s="984">
        <f t="shared" ref="H224:I224" si="263">H211+H215+H217+H218</f>
        <v>19896</v>
      </c>
      <c r="I224" s="984">
        <f t="shared" si="263"/>
        <v>32188</v>
      </c>
      <c r="J224" s="937"/>
      <c r="K224" s="938"/>
      <c r="L224" s="984">
        <f t="shared" ref="L224" si="264">L211+L215+L217+L218</f>
        <v>0</v>
      </c>
      <c r="M224" s="937"/>
      <c r="N224" s="938"/>
      <c r="O224" s="984">
        <f t="shared" ref="O224" si="265">O211+O215+O217+O218</f>
        <v>0</v>
      </c>
      <c r="P224" s="937"/>
      <c r="Q224" s="938"/>
      <c r="R224" s="984">
        <f t="shared" ref="R224" si="266">R211+R215+R217+R218</f>
        <v>0</v>
      </c>
      <c r="S224" s="937"/>
      <c r="T224" s="938"/>
      <c r="U224" s="984">
        <f t="shared" ref="U224" si="267">U211+U215+U217+U218</f>
        <v>0</v>
      </c>
      <c r="V224" s="937"/>
      <c r="W224" s="938"/>
      <c r="X224" s="984">
        <f t="shared" ref="X224" si="268">X211+X215+X217+X218</f>
        <v>0</v>
      </c>
      <c r="Y224" s="937"/>
      <c r="Z224" s="938"/>
      <c r="AA224" s="984">
        <f t="shared" ref="AA224" si="269">AA211+AA215+AA217+AA218</f>
        <v>0</v>
      </c>
      <c r="AB224" s="937"/>
      <c r="AC224" s="938"/>
      <c r="AD224" s="984">
        <f t="shared" ref="AD224" si="270">AD211+AD215+AD217+AD218</f>
        <v>0</v>
      </c>
      <c r="AE224" s="937"/>
      <c r="AF224" s="938"/>
      <c r="AG224" s="984">
        <f t="shared" ref="AG224" si="271">AG211+AG215+AG217+AG218</f>
        <v>0</v>
      </c>
      <c r="AH224" s="937"/>
      <c r="AI224" s="938"/>
      <c r="AJ224" s="984">
        <f t="shared" ref="AJ224" si="272">AJ211+AJ215+AJ217+AJ218</f>
        <v>0</v>
      </c>
      <c r="AK224" s="937"/>
      <c r="AL224" s="938"/>
      <c r="AM224" s="984">
        <f t="shared" ref="AM224" si="273">AM211+AM215+AM217+AM218</f>
        <v>0</v>
      </c>
      <c r="AN224" s="938"/>
      <c r="AO224" s="984">
        <f t="shared" ref="AO224" si="274">AO211+AO215+AO217+AO218</f>
        <v>92885</v>
      </c>
      <c r="AP224" s="938"/>
      <c r="AQ224" s="984">
        <f t="shared" ref="AQ224:AR224" si="275">AQ211+AQ215+AQ217+AQ218</f>
        <v>5301.45</v>
      </c>
      <c r="AR224" s="984">
        <f t="shared" si="275"/>
        <v>130374.45</v>
      </c>
      <c r="AS224" s="936"/>
      <c r="AT224" s="984">
        <f t="shared" ref="AT224:AW224" si="276">AT211+AT215+AT217+AT218</f>
        <v>1564493.4</v>
      </c>
      <c r="AU224" s="984">
        <f t="shared" si="276"/>
        <v>103541.68</v>
      </c>
      <c r="AV224" s="984">
        <f t="shared" si="276"/>
        <v>15644.93</v>
      </c>
      <c r="AW224" s="984">
        <f t="shared" si="276"/>
        <v>1683680.01</v>
      </c>
      <c r="AX224" s="939"/>
      <c r="AY224" s="939"/>
      <c r="AZ224" s="941"/>
      <c r="BA224" s="941"/>
      <c r="BB224" s="941"/>
      <c r="BC224" s="934"/>
      <c r="BD224" s="941"/>
      <c r="BE224" s="941"/>
      <c r="BF224" s="941"/>
      <c r="BG224" s="942"/>
      <c r="BH224" s="941"/>
      <c r="BI224" s="941"/>
      <c r="BJ224" s="941"/>
      <c r="BK224" s="943"/>
      <c r="BL224" s="943"/>
      <c r="BM224" s="943"/>
      <c r="BN224" s="943"/>
      <c r="BO224" s="943"/>
      <c r="BP224" s="944"/>
      <c r="BQ224" s="943"/>
      <c r="BR224" s="943"/>
      <c r="BS224" s="943"/>
      <c r="BU224" s="945"/>
      <c r="BV224" s="946"/>
      <c r="BW224" s="947"/>
      <c r="BX224" s="945"/>
      <c r="BY224" s="947"/>
      <c r="BZ224" s="946"/>
      <c r="CA224" s="947"/>
      <c r="CB224" s="946"/>
      <c r="CC224" s="947"/>
      <c r="CD224" s="947"/>
      <c r="CE224" s="947"/>
      <c r="CF224" s="948"/>
      <c r="CG224" s="949"/>
      <c r="CH224" s="949"/>
      <c r="CI224" s="950"/>
      <c r="CJ224" s="951"/>
      <c r="CK224" s="951"/>
      <c r="CL224" s="952"/>
      <c r="CM224" s="951"/>
      <c r="CN224" s="951"/>
      <c r="CO224" s="952"/>
      <c r="CP224" s="951"/>
      <c r="CQ224" s="951"/>
      <c r="CR224" s="952"/>
      <c r="CS224" s="946"/>
      <c r="CT224" s="953"/>
      <c r="CU224" s="953"/>
      <c r="CV224" s="953"/>
      <c r="CX224" s="951"/>
      <c r="CY224" s="951"/>
      <c r="CZ224" s="952"/>
      <c r="DB224" s="954"/>
      <c r="DC224" s="954"/>
      <c r="DD224" s="921"/>
      <c r="DE224" s="954"/>
      <c r="DF224" s="954"/>
      <c r="DG224" s="921"/>
      <c r="DH224" s="954"/>
      <c r="DI224" s="954"/>
      <c r="DJ224" s="921"/>
      <c r="DK224" s="954"/>
      <c r="DL224" s="954"/>
      <c r="DM224" s="921"/>
      <c r="DN224" s="954"/>
      <c r="DO224" s="954"/>
      <c r="DP224" s="921"/>
      <c r="DQ224" s="942"/>
      <c r="DR224" s="951"/>
      <c r="DS224" s="951"/>
      <c r="DT224" s="952"/>
      <c r="DV224" s="921"/>
      <c r="DW224" s="921"/>
      <c r="DX224" s="921"/>
      <c r="DY224" s="921"/>
      <c r="DZ224" s="921"/>
      <c r="EA224" s="921"/>
      <c r="EB224" s="921"/>
      <c r="EC224" s="921"/>
      <c r="ED224" s="921"/>
      <c r="EE224" s="921"/>
      <c r="EF224" s="921"/>
      <c r="EG224" s="921"/>
      <c r="EH224" s="921"/>
      <c r="EI224" s="921"/>
      <c r="EJ224" s="921"/>
      <c r="EK224" s="921"/>
      <c r="EL224" s="921"/>
      <c r="EM224" s="921"/>
      <c r="EN224" s="921"/>
      <c r="EO224" s="921"/>
      <c r="EP224" s="921"/>
      <c r="EQ224" s="954"/>
      <c r="ER224" s="954"/>
      <c r="ES224" s="954"/>
      <c r="ET224" s="954"/>
      <c r="EV224" s="942"/>
      <c r="EW224" s="951"/>
      <c r="EX224" s="951"/>
      <c r="EY224" s="952"/>
    </row>
    <row r="225" spans="1:155" s="927" customFormat="1" ht="15.75" x14ac:dyDescent="0.25">
      <c r="A225" s="931"/>
      <c r="B225" s="932"/>
      <c r="C225" s="982">
        <f>C220-C221-C222-C223-C224</f>
        <v>0</v>
      </c>
      <c r="D225" s="938"/>
      <c r="E225" s="983"/>
      <c r="F225" s="936"/>
      <c r="G225" s="983"/>
      <c r="H225" s="985">
        <f>H220-H221-H222-H223-H224</f>
        <v>0</v>
      </c>
      <c r="I225" s="985">
        <f>I220-I221-I222-I223-I224</f>
        <v>0</v>
      </c>
      <c r="J225" s="937"/>
      <c r="K225" s="938"/>
      <c r="L225" s="985">
        <f>L220-L221-L222-L223-L224</f>
        <v>0</v>
      </c>
      <c r="M225" s="937"/>
      <c r="N225" s="938"/>
      <c r="O225" s="985">
        <f>O220-O221-O222-O223-O224</f>
        <v>0</v>
      </c>
      <c r="P225" s="937"/>
      <c r="Q225" s="938"/>
      <c r="R225" s="985">
        <f>R220-R221-R222-R223-R224</f>
        <v>0</v>
      </c>
      <c r="S225" s="937"/>
      <c r="T225" s="938"/>
      <c r="U225" s="985">
        <f>U220-U221-U222-U223-U224</f>
        <v>0</v>
      </c>
      <c r="V225" s="937"/>
      <c r="W225" s="938"/>
      <c r="X225" s="985">
        <f>X220-X221-X222-X223-X224</f>
        <v>0</v>
      </c>
      <c r="Y225" s="937"/>
      <c r="Z225" s="938"/>
      <c r="AA225" s="985">
        <f>AA220-AA221-AA222-AA223-AA224</f>
        <v>0</v>
      </c>
      <c r="AB225" s="937"/>
      <c r="AC225" s="938"/>
      <c r="AD225" s="985">
        <f>AD220-AD221-AD222-AD223-AD224</f>
        <v>0</v>
      </c>
      <c r="AE225" s="937"/>
      <c r="AF225" s="938"/>
      <c r="AG225" s="985">
        <f>AG220-AG221-AG222-AG223-AG224</f>
        <v>0</v>
      </c>
      <c r="AH225" s="937"/>
      <c r="AI225" s="938"/>
      <c r="AJ225" s="985">
        <f>AJ220-AJ221-AJ222-AJ223-AJ224</f>
        <v>0</v>
      </c>
      <c r="AK225" s="937"/>
      <c r="AL225" s="938"/>
      <c r="AM225" s="985">
        <f>AM220-AM221-AM222-AM223-AM224</f>
        <v>0</v>
      </c>
      <c r="AN225" s="938"/>
      <c r="AO225" s="985">
        <f>AO220-AO221-AO222-AO223-AO224</f>
        <v>0</v>
      </c>
      <c r="AP225" s="938"/>
      <c r="AQ225" s="985">
        <f>AQ220-AQ221-AQ222-AQ223-AQ224</f>
        <v>0</v>
      </c>
      <c r="AR225" s="985">
        <f>AR220-AR221-AR222-AR223-AR224</f>
        <v>0</v>
      </c>
      <c r="AS225" s="936"/>
      <c r="AT225" s="985">
        <f t="shared" ref="AT225:AW225" si="277">AT220-AT221-AT222-AT223-AT224</f>
        <v>0</v>
      </c>
      <c r="AU225" s="985">
        <f t="shared" si="277"/>
        <v>0</v>
      </c>
      <c r="AV225" s="985">
        <f t="shared" si="277"/>
        <v>0</v>
      </c>
      <c r="AW225" s="985">
        <f t="shared" si="277"/>
        <v>0</v>
      </c>
      <c r="AX225" s="939"/>
      <c r="AY225" s="939"/>
      <c r="AZ225" s="941"/>
      <c r="BA225" s="941"/>
      <c r="BB225" s="941"/>
      <c r="BC225" s="934"/>
      <c r="BD225" s="941"/>
      <c r="BE225" s="941"/>
      <c r="BF225" s="941"/>
      <c r="BG225" s="942"/>
      <c r="BH225" s="941"/>
      <c r="BI225" s="941"/>
      <c r="BJ225" s="941"/>
      <c r="BK225" s="943"/>
      <c r="BL225" s="943"/>
      <c r="BM225" s="943"/>
      <c r="BN225" s="943"/>
      <c r="BO225" s="943"/>
      <c r="BP225" s="944"/>
      <c r="BQ225" s="943"/>
      <c r="BR225" s="943"/>
      <c r="BS225" s="943"/>
      <c r="BU225" s="945"/>
      <c r="BV225" s="946"/>
      <c r="BW225" s="947"/>
      <c r="BX225" s="945"/>
      <c r="BY225" s="947"/>
      <c r="BZ225" s="946"/>
      <c r="CA225" s="947"/>
      <c r="CB225" s="946"/>
      <c r="CC225" s="947"/>
      <c r="CD225" s="947"/>
      <c r="CE225" s="947"/>
      <c r="CF225" s="948"/>
      <c r="CG225" s="949"/>
      <c r="CH225" s="949"/>
      <c r="CI225" s="950"/>
      <c r="CJ225" s="951"/>
      <c r="CK225" s="951"/>
      <c r="CL225" s="952"/>
      <c r="CM225" s="951"/>
      <c r="CN225" s="951"/>
      <c r="CO225" s="952"/>
      <c r="CP225" s="951"/>
      <c r="CQ225" s="951"/>
      <c r="CR225" s="952"/>
      <c r="CS225" s="946"/>
      <c r="CT225" s="953"/>
      <c r="CU225" s="953"/>
      <c r="CV225" s="953"/>
      <c r="CX225" s="951"/>
      <c r="CY225" s="951"/>
      <c r="CZ225" s="952"/>
      <c r="DB225" s="954"/>
      <c r="DC225" s="954"/>
      <c r="DD225" s="921"/>
      <c r="DE225" s="954"/>
      <c r="DF225" s="954"/>
      <c r="DG225" s="921"/>
      <c r="DH225" s="954"/>
      <c r="DI225" s="954"/>
      <c r="DJ225" s="921"/>
      <c r="DK225" s="954"/>
      <c r="DL225" s="954"/>
      <c r="DM225" s="921"/>
      <c r="DN225" s="954"/>
      <c r="DO225" s="954"/>
      <c r="DP225" s="921"/>
      <c r="DQ225" s="942"/>
      <c r="DR225" s="951"/>
      <c r="DS225" s="951"/>
      <c r="DT225" s="952"/>
      <c r="DV225" s="921"/>
      <c r="DW225" s="921"/>
      <c r="DX225" s="921"/>
      <c r="DY225" s="921"/>
      <c r="DZ225" s="921"/>
      <c r="EA225" s="921"/>
      <c r="EB225" s="921"/>
      <c r="EC225" s="921"/>
      <c r="ED225" s="921"/>
      <c r="EE225" s="921"/>
      <c r="EF225" s="921"/>
      <c r="EG225" s="921"/>
      <c r="EH225" s="921"/>
      <c r="EI225" s="921"/>
      <c r="EJ225" s="921"/>
      <c r="EK225" s="921"/>
      <c r="EL225" s="921"/>
      <c r="EM225" s="921"/>
      <c r="EN225" s="921"/>
      <c r="EO225" s="921"/>
      <c r="EP225" s="921"/>
      <c r="EQ225" s="954"/>
      <c r="ER225" s="954"/>
      <c r="ES225" s="954"/>
      <c r="ET225" s="954"/>
      <c r="EV225" s="942"/>
      <c r="EW225" s="951"/>
      <c r="EX225" s="951"/>
      <c r="EY225" s="952"/>
    </row>
    <row r="226" spans="1:155" s="927" customFormat="1" ht="15.75" x14ac:dyDescent="0.25">
      <c r="A226" s="931"/>
      <c r="B226" s="932" t="s">
        <v>806</v>
      </c>
      <c r="C226" s="933"/>
      <c r="D226" s="933"/>
      <c r="E226" s="934"/>
      <c r="F226" s="935"/>
      <c r="G226" s="934"/>
      <c r="H226" s="935"/>
      <c r="I226" s="936"/>
      <c r="J226" s="937"/>
      <c r="K226" s="938"/>
      <c r="L226" s="936"/>
      <c r="M226" s="937"/>
      <c r="N226" s="938"/>
      <c r="O226" s="936"/>
      <c r="P226" s="937"/>
      <c r="Q226" s="938"/>
      <c r="R226" s="936"/>
      <c r="S226" s="937"/>
      <c r="T226" s="938"/>
      <c r="U226" s="936"/>
      <c r="V226" s="937"/>
      <c r="W226" s="938"/>
      <c r="X226" s="936"/>
      <c r="Y226" s="937"/>
      <c r="Z226" s="938"/>
      <c r="AA226" s="936"/>
      <c r="AB226" s="937"/>
      <c r="AC226" s="938"/>
      <c r="AD226" s="936"/>
      <c r="AE226" s="937"/>
      <c r="AF226" s="938"/>
      <c r="AG226" s="936"/>
      <c r="AH226" s="937"/>
      <c r="AI226" s="938"/>
      <c r="AJ226" s="936"/>
      <c r="AK226" s="937"/>
      <c r="AL226" s="938"/>
      <c r="AM226" s="936"/>
      <c r="AN226" s="933"/>
      <c r="AO226" s="936"/>
      <c r="AP226" s="933"/>
      <c r="AQ226" s="935"/>
      <c r="AR226" s="936"/>
      <c r="AS226" s="935"/>
      <c r="AT226" s="939"/>
      <c r="AU226" s="933"/>
      <c r="AV226" s="940"/>
      <c r="AW226" s="389">
        <f>AW220/12-AO220</f>
        <v>583388.22</v>
      </c>
      <c r="AX226" s="939"/>
      <c r="AY226" s="939"/>
      <c r="AZ226" s="941"/>
      <c r="BA226" s="941"/>
      <c r="BB226" s="941"/>
      <c r="BC226" s="934"/>
      <c r="BD226" s="941"/>
      <c r="BE226" s="941"/>
      <c r="BF226" s="941"/>
      <c r="BG226" s="942"/>
      <c r="BH226" s="941"/>
      <c r="BI226" s="941"/>
      <c r="BJ226" s="941"/>
      <c r="BK226" s="943"/>
      <c r="BL226" s="943"/>
      <c r="BM226" s="943"/>
      <c r="BN226" s="943"/>
      <c r="BO226" s="943"/>
      <c r="BP226" s="944"/>
      <c r="BQ226" s="943"/>
      <c r="BR226" s="943"/>
      <c r="BS226" s="943"/>
      <c r="BU226" s="945"/>
      <c r="BV226" s="946"/>
      <c r="BW226" s="947"/>
      <c r="BX226" s="945"/>
      <c r="BY226" s="947"/>
      <c r="BZ226" s="946"/>
      <c r="CA226" s="947"/>
      <c r="CB226" s="946"/>
      <c r="CC226" s="947"/>
      <c r="CD226" s="947"/>
      <c r="CE226" s="947"/>
      <c r="CF226" s="948"/>
      <c r="CG226" s="949"/>
      <c r="CH226" s="949"/>
      <c r="CI226" s="950"/>
      <c r="CJ226" s="951"/>
      <c r="CK226" s="951"/>
      <c r="CL226" s="952"/>
      <c r="CM226" s="951"/>
      <c r="CN226" s="951"/>
      <c r="CO226" s="952"/>
      <c r="CP226" s="951"/>
      <c r="CQ226" s="951"/>
      <c r="CR226" s="952"/>
      <c r="CS226" s="946"/>
      <c r="CT226" s="953"/>
      <c r="CU226" s="953"/>
      <c r="CV226" s="953"/>
      <c r="CX226" s="951"/>
      <c r="CY226" s="951"/>
      <c r="CZ226" s="952"/>
      <c r="DB226" s="954"/>
      <c r="DC226" s="954"/>
      <c r="DD226" s="921"/>
      <c r="DE226" s="954"/>
      <c r="DF226" s="954"/>
      <c r="DG226" s="921"/>
      <c r="DH226" s="954"/>
      <c r="DI226" s="954"/>
      <c r="DJ226" s="921"/>
      <c r="DK226" s="954"/>
      <c r="DL226" s="954"/>
      <c r="DM226" s="921"/>
      <c r="DN226" s="954"/>
      <c r="DO226" s="954"/>
      <c r="DP226" s="921"/>
      <c r="DQ226" s="942"/>
      <c r="DR226" s="951"/>
      <c r="DS226" s="951"/>
      <c r="DT226" s="952"/>
      <c r="DV226" s="921"/>
      <c r="DW226" s="921"/>
      <c r="DX226" s="921"/>
      <c r="DY226" s="921"/>
      <c r="DZ226" s="921"/>
      <c r="EA226" s="921"/>
      <c r="EB226" s="921"/>
      <c r="EC226" s="921"/>
      <c r="ED226" s="921"/>
      <c r="EE226" s="921"/>
      <c r="EF226" s="921"/>
      <c r="EG226" s="921"/>
      <c r="EH226" s="921"/>
      <c r="EI226" s="921"/>
      <c r="EJ226" s="921"/>
      <c r="EK226" s="921"/>
      <c r="EL226" s="921"/>
      <c r="EM226" s="921"/>
      <c r="EN226" s="921"/>
      <c r="EO226" s="921"/>
      <c r="EP226" s="921"/>
      <c r="EQ226" s="954"/>
      <c r="ER226" s="954"/>
      <c r="ES226" s="954"/>
      <c r="ET226" s="954"/>
      <c r="EV226" s="942"/>
      <c r="EW226" s="951"/>
      <c r="EX226" s="951"/>
      <c r="EY226" s="952"/>
    </row>
    <row r="227" spans="1:155" s="927" customFormat="1" ht="15.75" x14ac:dyDescent="0.25">
      <c r="A227" s="931"/>
      <c r="B227" s="932" t="s">
        <v>406</v>
      </c>
      <c r="C227" s="933"/>
      <c r="D227" s="933"/>
      <c r="E227" s="934"/>
      <c r="F227" s="935"/>
      <c r="G227" s="934"/>
      <c r="H227" s="935"/>
      <c r="I227" s="936"/>
      <c r="J227" s="937"/>
      <c r="K227" s="938"/>
      <c r="L227" s="936"/>
      <c r="M227" s="937"/>
      <c r="N227" s="938"/>
      <c r="O227" s="936"/>
      <c r="P227" s="937"/>
      <c r="Q227" s="938"/>
      <c r="R227" s="936"/>
      <c r="S227" s="937"/>
      <c r="T227" s="938"/>
      <c r="U227" s="936"/>
      <c r="V227" s="937"/>
      <c r="W227" s="938"/>
      <c r="X227" s="936"/>
      <c r="Y227" s="937"/>
      <c r="Z227" s="938"/>
      <c r="AA227" s="936"/>
      <c r="AB227" s="937"/>
      <c r="AC227" s="938"/>
      <c r="AD227" s="936"/>
      <c r="AE227" s="937"/>
      <c r="AF227" s="938"/>
      <c r="AG227" s="936"/>
      <c r="AH227" s="937"/>
      <c r="AI227" s="938"/>
      <c r="AJ227" s="936"/>
      <c r="AK227" s="937"/>
      <c r="AL227" s="938"/>
      <c r="AM227" s="936"/>
      <c r="AN227" s="933"/>
      <c r="AO227" s="936"/>
      <c r="AP227" s="933"/>
      <c r="AQ227" s="935"/>
      <c r="AR227" s="936"/>
      <c r="AS227" s="935"/>
      <c r="AT227" s="939"/>
      <c r="AU227" s="933"/>
      <c r="AV227" s="940"/>
      <c r="AW227" s="389">
        <f>AW221/12-AO221</f>
        <v>274288.36</v>
      </c>
      <c r="AX227" s="939"/>
      <c r="AY227" s="939"/>
      <c r="AZ227" s="941"/>
      <c r="BA227" s="941"/>
      <c r="BB227" s="941"/>
      <c r="BC227" s="934"/>
      <c r="BD227" s="941"/>
      <c r="BE227" s="941"/>
      <c r="BF227" s="941"/>
      <c r="BG227" s="942"/>
      <c r="BH227" s="941"/>
      <c r="BI227" s="941"/>
      <c r="BJ227" s="941"/>
      <c r="BK227" s="943"/>
      <c r="BL227" s="943"/>
      <c r="BM227" s="943"/>
      <c r="BN227" s="943"/>
      <c r="BO227" s="943"/>
      <c r="BP227" s="944"/>
      <c r="BQ227" s="943"/>
      <c r="BR227" s="943"/>
      <c r="BS227" s="943"/>
      <c r="BU227" s="945"/>
      <c r="BV227" s="946"/>
      <c r="BW227" s="947"/>
      <c r="BX227" s="945"/>
      <c r="BY227" s="947"/>
      <c r="BZ227" s="946"/>
      <c r="CA227" s="947"/>
      <c r="CB227" s="946"/>
      <c r="CC227" s="947"/>
      <c r="CD227" s="947"/>
      <c r="CE227" s="947"/>
      <c r="CF227" s="948"/>
      <c r="CG227" s="949"/>
      <c r="CH227" s="949"/>
      <c r="CI227" s="950"/>
      <c r="CJ227" s="951"/>
      <c r="CK227" s="951"/>
      <c r="CL227" s="952"/>
      <c r="CM227" s="951"/>
      <c r="CN227" s="951"/>
      <c r="CO227" s="952"/>
      <c r="CP227" s="951"/>
      <c r="CQ227" s="951"/>
      <c r="CR227" s="952"/>
      <c r="CS227" s="946"/>
      <c r="CT227" s="953"/>
      <c r="CU227" s="953"/>
      <c r="CV227" s="953"/>
      <c r="CX227" s="951"/>
      <c r="CY227" s="951"/>
      <c r="CZ227" s="952"/>
      <c r="DB227" s="954"/>
      <c r="DC227" s="954"/>
      <c r="DD227" s="921"/>
      <c r="DE227" s="954"/>
      <c r="DF227" s="954"/>
      <c r="DG227" s="921"/>
      <c r="DH227" s="954"/>
      <c r="DI227" s="954"/>
      <c r="DJ227" s="921"/>
      <c r="DK227" s="954"/>
      <c r="DL227" s="954"/>
      <c r="DM227" s="921"/>
      <c r="DN227" s="954"/>
      <c r="DO227" s="954"/>
      <c r="DP227" s="921"/>
      <c r="DQ227" s="942"/>
      <c r="DR227" s="951"/>
      <c r="DS227" s="951"/>
      <c r="DT227" s="952"/>
      <c r="DV227" s="921"/>
      <c r="DW227" s="921"/>
      <c r="DX227" s="921"/>
      <c r="DY227" s="921"/>
      <c r="DZ227" s="921"/>
      <c r="EA227" s="921"/>
      <c r="EB227" s="921"/>
      <c r="EC227" s="921"/>
      <c r="ED227" s="921"/>
      <c r="EE227" s="921"/>
      <c r="EF227" s="921"/>
      <c r="EG227" s="921"/>
      <c r="EH227" s="921"/>
      <c r="EI227" s="921"/>
      <c r="EJ227" s="921"/>
      <c r="EK227" s="921"/>
      <c r="EL227" s="921"/>
      <c r="EM227" s="921"/>
      <c r="EN227" s="921"/>
      <c r="EO227" s="921"/>
      <c r="EP227" s="921"/>
      <c r="EQ227" s="954"/>
      <c r="ER227" s="954"/>
      <c r="ES227" s="954"/>
      <c r="ET227" s="954"/>
      <c r="EV227" s="942"/>
      <c r="EW227" s="951"/>
      <c r="EX227" s="951"/>
      <c r="EY227" s="952"/>
    </row>
    <row r="228" spans="1:155" s="927" customFormat="1" ht="15.75" x14ac:dyDescent="0.25">
      <c r="A228" s="931"/>
      <c r="B228" s="932" t="s">
        <v>403</v>
      </c>
      <c r="C228" s="933"/>
      <c r="D228" s="933"/>
      <c r="E228" s="934"/>
      <c r="F228" s="935"/>
      <c r="G228" s="934"/>
      <c r="H228" s="935"/>
      <c r="I228" s="936"/>
      <c r="J228" s="937"/>
      <c r="K228" s="938"/>
      <c r="L228" s="936"/>
      <c r="M228" s="937"/>
      <c r="N228" s="938"/>
      <c r="O228" s="936"/>
      <c r="P228" s="937"/>
      <c r="Q228" s="938"/>
      <c r="R228" s="936"/>
      <c r="S228" s="937"/>
      <c r="T228" s="938"/>
      <c r="U228" s="936"/>
      <c r="V228" s="937"/>
      <c r="W228" s="938"/>
      <c r="X228" s="936"/>
      <c r="Y228" s="937"/>
      <c r="Z228" s="938"/>
      <c r="AA228" s="936"/>
      <c r="AB228" s="937"/>
      <c r="AC228" s="938"/>
      <c r="AD228" s="936"/>
      <c r="AE228" s="937"/>
      <c r="AF228" s="938"/>
      <c r="AG228" s="936"/>
      <c r="AH228" s="937"/>
      <c r="AI228" s="938"/>
      <c r="AJ228" s="936"/>
      <c r="AK228" s="937"/>
      <c r="AL228" s="938"/>
      <c r="AM228" s="936"/>
      <c r="AN228" s="933"/>
      <c r="AO228" s="936"/>
      <c r="AP228" s="933"/>
      <c r="AQ228" s="935"/>
      <c r="AR228" s="936"/>
      <c r="AS228" s="935"/>
      <c r="AT228" s="939"/>
      <c r="AU228" s="933"/>
      <c r="AV228" s="940"/>
      <c r="AW228" s="389">
        <f>AW222/12-AO222</f>
        <v>60486.53</v>
      </c>
      <c r="AX228" s="939"/>
      <c r="AY228" s="939"/>
      <c r="AZ228" s="941"/>
      <c r="BA228" s="941"/>
      <c r="BB228" s="941"/>
      <c r="BC228" s="934"/>
      <c r="BD228" s="941"/>
      <c r="BE228" s="941"/>
      <c r="BF228" s="941"/>
      <c r="BG228" s="942"/>
      <c r="BH228" s="941"/>
      <c r="BI228" s="941"/>
      <c r="BJ228" s="941"/>
      <c r="BK228" s="943"/>
      <c r="BL228" s="943"/>
      <c r="BM228" s="943"/>
      <c r="BN228" s="943"/>
      <c r="BO228" s="943"/>
      <c r="BP228" s="944"/>
      <c r="BQ228" s="943"/>
      <c r="BR228" s="943"/>
      <c r="BS228" s="943"/>
      <c r="BU228" s="945"/>
      <c r="BV228" s="946"/>
      <c r="BW228" s="947"/>
      <c r="BX228" s="945"/>
      <c r="BY228" s="947"/>
      <c r="BZ228" s="946"/>
      <c r="CA228" s="947"/>
      <c r="CB228" s="946"/>
      <c r="CC228" s="947"/>
      <c r="CD228" s="947"/>
      <c r="CE228" s="947"/>
      <c r="CF228" s="948"/>
      <c r="CG228" s="949"/>
      <c r="CH228" s="949"/>
      <c r="CI228" s="950"/>
      <c r="CJ228" s="951"/>
      <c r="CK228" s="951"/>
      <c r="CL228" s="952"/>
      <c r="CM228" s="951"/>
      <c r="CN228" s="951"/>
      <c r="CO228" s="952"/>
      <c r="CP228" s="951"/>
      <c r="CQ228" s="951"/>
      <c r="CR228" s="952"/>
      <c r="CS228" s="946"/>
      <c r="CT228" s="953"/>
      <c r="CU228" s="953"/>
      <c r="CV228" s="953"/>
      <c r="CX228" s="951"/>
      <c r="CY228" s="951"/>
      <c r="CZ228" s="952"/>
      <c r="DB228" s="954"/>
      <c r="DC228" s="954"/>
      <c r="DD228" s="921"/>
      <c r="DE228" s="954"/>
      <c r="DF228" s="954"/>
      <c r="DG228" s="921"/>
      <c r="DH228" s="954"/>
      <c r="DI228" s="954"/>
      <c r="DJ228" s="921"/>
      <c r="DK228" s="954"/>
      <c r="DL228" s="954"/>
      <c r="DM228" s="921"/>
      <c r="DN228" s="954"/>
      <c r="DO228" s="954"/>
      <c r="DP228" s="921"/>
      <c r="DQ228" s="942"/>
      <c r="DR228" s="951"/>
      <c r="DS228" s="951"/>
      <c r="DT228" s="952"/>
      <c r="DV228" s="921"/>
      <c r="DW228" s="921"/>
      <c r="DX228" s="921"/>
      <c r="DY228" s="921"/>
      <c r="DZ228" s="921"/>
      <c r="EA228" s="921"/>
      <c r="EB228" s="921"/>
      <c r="EC228" s="921"/>
      <c r="ED228" s="921"/>
      <c r="EE228" s="921"/>
      <c r="EF228" s="921"/>
      <c r="EG228" s="921"/>
      <c r="EH228" s="921"/>
      <c r="EI228" s="921"/>
      <c r="EJ228" s="921"/>
      <c r="EK228" s="921"/>
      <c r="EL228" s="921"/>
      <c r="EM228" s="921"/>
      <c r="EN228" s="921"/>
      <c r="EO228" s="921"/>
      <c r="EP228" s="921"/>
      <c r="EQ228" s="954"/>
      <c r="ER228" s="954"/>
      <c r="ES228" s="954"/>
      <c r="ET228" s="954"/>
      <c r="EV228" s="942"/>
      <c r="EW228" s="951"/>
      <c r="EX228" s="951"/>
      <c r="EY228" s="952"/>
    </row>
    <row r="229" spans="1:155" s="927" customFormat="1" ht="15.75" x14ac:dyDescent="0.25">
      <c r="A229" s="931"/>
      <c r="B229" s="932" t="s">
        <v>404</v>
      </c>
      <c r="C229" s="933"/>
      <c r="D229" s="933"/>
      <c r="E229" s="934"/>
      <c r="F229" s="935"/>
      <c r="G229" s="934"/>
      <c r="H229" s="935"/>
      <c r="I229" s="936"/>
      <c r="J229" s="937"/>
      <c r="K229" s="938"/>
      <c r="L229" s="936"/>
      <c r="M229" s="937"/>
      <c r="N229" s="938"/>
      <c r="O229" s="936"/>
      <c r="P229" s="937"/>
      <c r="Q229" s="938"/>
      <c r="R229" s="936"/>
      <c r="S229" s="937"/>
      <c r="T229" s="938"/>
      <c r="U229" s="936"/>
      <c r="V229" s="937"/>
      <c r="W229" s="938"/>
      <c r="X229" s="936"/>
      <c r="Y229" s="937"/>
      <c r="Z229" s="938"/>
      <c r="AA229" s="936"/>
      <c r="AB229" s="937"/>
      <c r="AC229" s="938"/>
      <c r="AD229" s="936"/>
      <c r="AE229" s="937"/>
      <c r="AF229" s="938"/>
      <c r="AG229" s="936"/>
      <c r="AH229" s="937"/>
      <c r="AI229" s="938"/>
      <c r="AJ229" s="936"/>
      <c r="AK229" s="937"/>
      <c r="AL229" s="938"/>
      <c r="AM229" s="936"/>
      <c r="AN229" s="933"/>
      <c r="AO229" s="936"/>
      <c r="AP229" s="933"/>
      <c r="AQ229" s="935"/>
      <c r="AR229" s="936"/>
      <c r="AS229" s="935"/>
      <c r="AT229" s="939"/>
      <c r="AU229" s="933"/>
      <c r="AV229" s="940"/>
      <c r="AW229" s="389">
        <f>AW223/12-AO223</f>
        <v>201191.67</v>
      </c>
      <c r="AX229" s="939"/>
      <c r="AY229" s="939"/>
      <c r="AZ229" s="941"/>
      <c r="BA229" s="941"/>
      <c r="BB229" s="941"/>
      <c r="BC229" s="934"/>
      <c r="BD229" s="941"/>
      <c r="BE229" s="941"/>
      <c r="BF229" s="941"/>
      <c r="BG229" s="942"/>
      <c r="BH229" s="941"/>
      <c r="BI229" s="941"/>
      <c r="BJ229" s="941"/>
      <c r="BK229" s="943"/>
      <c r="BL229" s="943"/>
      <c r="BM229" s="943"/>
      <c r="BN229" s="943"/>
      <c r="BO229" s="943"/>
      <c r="BP229" s="944"/>
      <c r="BQ229" s="943"/>
      <c r="BR229" s="943"/>
      <c r="BS229" s="943"/>
      <c r="BU229" s="945"/>
      <c r="BV229" s="946"/>
      <c r="BW229" s="947"/>
      <c r="BX229" s="945"/>
      <c r="BY229" s="947"/>
      <c r="BZ229" s="946"/>
      <c r="CA229" s="947"/>
      <c r="CB229" s="946"/>
      <c r="CC229" s="947"/>
      <c r="CD229" s="947"/>
      <c r="CE229" s="947"/>
      <c r="CF229" s="948"/>
      <c r="CG229" s="949"/>
      <c r="CH229" s="949"/>
      <c r="CI229" s="950"/>
      <c r="CJ229" s="951"/>
      <c r="CK229" s="951"/>
      <c r="CL229" s="952"/>
      <c r="CM229" s="951"/>
      <c r="CN229" s="951"/>
      <c r="CO229" s="952"/>
      <c r="CP229" s="951"/>
      <c r="CQ229" s="951"/>
      <c r="CR229" s="952"/>
      <c r="CS229" s="946"/>
      <c r="CT229" s="953"/>
      <c r="CU229" s="953"/>
      <c r="CV229" s="953"/>
      <c r="CX229" s="951"/>
      <c r="CY229" s="951"/>
      <c r="CZ229" s="952"/>
      <c r="DB229" s="954"/>
      <c r="DC229" s="954"/>
      <c r="DD229" s="921"/>
      <c r="DE229" s="954"/>
      <c r="DF229" s="954"/>
      <c r="DG229" s="921"/>
      <c r="DH229" s="954"/>
      <c r="DI229" s="954"/>
      <c r="DJ229" s="921"/>
      <c r="DK229" s="954"/>
      <c r="DL229" s="954"/>
      <c r="DM229" s="921"/>
      <c r="DN229" s="954"/>
      <c r="DO229" s="954"/>
      <c r="DP229" s="921"/>
      <c r="DQ229" s="942"/>
      <c r="DR229" s="951"/>
      <c r="DS229" s="951"/>
      <c r="DT229" s="952"/>
      <c r="DV229" s="921"/>
      <c r="DW229" s="921"/>
      <c r="DX229" s="921"/>
      <c r="DY229" s="921"/>
      <c r="DZ229" s="921"/>
      <c r="EA229" s="921"/>
      <c r="EB229" s="921"/>
      <c r="EC229" s="921"/>
      <c r="ED229" s="921"/>
      <c r="EE229" s="921"/>
      <c r="EF229" s="921"/>
      <c r="EG229" s="921"/>
      <c r="EH229" s="921"/>
      <c r="EI229" s="921"/>
      <c r="EJ229" s="921"/>
      <c r="EK229" s="921"/>
      <c r="EL229" s="921"/>
      <c r="EM229" s="921"/>
      <c r="EN229" s="921"/>
      <c r="EO229" s="921"/>
      <c r="EP229" s="921"/>
      <c r="EQ229" s="954"/>
      <c r="ER229" s="954"/>
      <c r="ES229" s="954"/>
      <c r="ET229" s="954"/>
      <c r="EV229" s="942"/>
      <c r="EW229" s="951"/>
      <c r="EX229" s="951"/>
      <c r="EY229" s="952"/>
    </row>
    <row r="230" spans="1:155" s="927" customFormat="1" ht="15.75" x14ac:dyDescent="0.25">
      <c r="A230" s="931"/>
      <c r="B230" s="932" t="s">
        <v>405</v>
      </c>
      <c r="C230" s="933"/>
      <c r="D230" s="933"/>
      <c r="E230" s="934"/>
      <c r="F230" s="935"/>
      <c r="G230" s="934"/>
      <c r="H230" s="935"/>
      <c r="I230" s="936"/>
      <c r="J230" s="937"/>
      <c r="K230" s="938"/>
      <c r="L230" s="936"/>
      <c r="M230" s="937"/>
      <c r="N230" s="938"/>
      <c r="O230" s="936"/>
      <c r="P230" s="937"/>
      <c r="Q230" s="938"/>
      <c r="R230" s="936"/>
      <c r="S230" s="937"/>
      <c r="T230" s="938"/>
      <c r="U230" s="936"/>
      <c r="V230" s="937"/>
      <c r="W230" s="938"/>
      <c r="X230" s="936"/>
      <c r="Y230" s="937"/>
      <c r="Z230" s="938"/>
      <c r="AA230" s="936"/>
      <c r="AB230" s="937"/>
      <c r="AC230" s="938"/>
      <c r="AD230" s="936"/>
      <c r="AE230" s="937"/>
      <c r="AF230" s="938"/>
      <c r="AG230" s="936"/>
      <c r="AH230" s="937"/>
      <c r="AI230" s="938"/>
      <c r="AJ230" s="936"/>
      <c r="AK230" s="937"/>
      <c r="AL230" s="938"/>
      <c r="AM230" s="936"/>
      <c r="AN230" s="933"/>
      <c r="AO230" s="936"/>
      <c r="AP230" s="933"/>
      <c r="AQ230" s="935"/>
      <c r="AR230" s="936"/>
      <c r="AS230" s="935"/>
      <c r="AT230" s="939"/>
      <c r="AU230" s="933"/>
      <c r="AV230" s="940"/>
      <c r="AW230" s="389">
        <f>AW224/12-AO224</f>
        <v>47421.67</v>
      </c>
      <c r="AX230" s="939"/>
      <c r="AY230" s="939"/>
      <c r="AZ230" s="941"/>
      <c r="BA230" s="941"/>
      <c r="BB230" s="941"/>
      <c r="BC230" s="934"/>
      <c r="BD230" s="941"/>
      <c r="BE230" s="941"/>
      <c r="BF230" s="941"/>
      <c r="BG230" s="942"/>
      <c r="BH230" s="941"/>
      <c r="BI230" s="941"/>
      <c r="BJ230" s="941"/>
      <c r="BK230" s="943"/>
      <c r="BL230" s="943"/>
      <c r="BM230" s="943"/>
      <c r="BN230" s="943"/>
      <c r="BO230" s="943"/>
      <c r="BP230" s="944"/>
      <c r="BQ230" s="943"/>
      <c r="BR230" s="943"/>
      <c r="BS230" s="943"/>
      <c r="BU230" s="945"/>
      <c r="BV230" s="946"/>
      <c r="BW230" s="947"/>
      <c r="BX230" s="945"/>
      <c r="BY230" s="947"/>
      <c r="BZ230" s="946"/>
      <c r="CA230" s="947"/>
      <c r="CB230" s="946"/>
      <c r="CC230" s="947"/>
      <c r="CD230" s="947"/>
      <c r="CE230" s="947"/>
      <c r="CF230" s="948"/>
      <c r="CG230" s="949"/>
      <c r="CH230" s="949"/>
      <c r="CI230" s="950"/>
      <c r="CJ230" s="951"/>
      <c r="CK230" s="951"/>
      <c r="CL230" s="952"/>
      <c r="CM230" s="951"/>
      <c r="CN230" s="951"/>
      <c r="CO230" s="952"/>
      <c r="CP230" s="951"/>
      <c r="CQ230" s="951"/>
      <c r="CR230" s="952"/>
      <c r="CS230" s="946"/>
      <c r="CT230" s="953"/>
      <c r="CU230" s="953"/>
      <c r="CV230" s="953"/>
      <c r="CX230" s="951"/>
      <c r="CY230" s="951"/>
      <c r="CZ230" s="952"/>
      <c r="DB230" s="954"/>
      <c r="DC230" s="954"/>
      <c r="DD230" s="921"/>
      <c r="DE230" s="954"/>
      <c r="DF230" s="954"/>
      <c r="DG230" s="921"/>
      <c r="DH230" s="954"/>
      <c r="DI230" s="954"/>
      <c r="DJ230" s="921"/>
      <c r="DK230" s="954"/>
      <c r="DL230" s="954"/>
      <c r="DM230" s="921"/>
      <c r="DN230" s="954"/>
      <c r="DO230" s="954"/>
      <c r="DP230" s="921"/>
      <c r="DQ230" s="942"/>
      <c r="DR230" s="951"/>
      <c r="DS230" s="951"/>
      <c r="DT230" s="952"/>
      <c r="DV230" s="921"/>
      <c r="DW230" s="921"/>
      <c r="DX230" s="921"/>
      <c r="DY230" s="921"/>
      <c r="DZ230" s="921"/>
      <c r="EA230" s="921"/>
      <c r="EB230" s="921"/>
      <c r="EC230" s="921"/>
      <c r="ED230" s="921"/>
      <c r="EE230" s="921"/>
      <c r="EF230" s="921"/>
      <c r="EG230" s="921"/>
      <c r="EH230" s="921"/>
      <c r="EI230" s="921"/>
      <c r="EJ230" s="921"/>
      <c r="EK230" s="921"/>
      <c r="EL230" s="921"/>
      <c r="EM230" s="921"/>
      <c r="EN230" s="921"/>
      <c r="EO230" s="921"/>
      <c r="EP230" s="921"/>
      <c r="EQ230" s="954"/>
      <c r="ER230" s="954"/>
      <c r="ES230" s="954"/>
      <c r="ET230" s="954"/>
      <c r="EV230" s="942"/>
      <c r="EW230" s="951"/>
      <c r="EX230" s="951"/>
      <c r="EY230" s="952"/>
    </row>
    <row r="231" spans="1:155" s="927" customFormat="1" ht="15.75" x14ac:dyDescent="0.25">
      <c r="A231" s="931"/>
      <c r="B231" s="932" t="s">
        <v>499</v>
      </c>
      <c r="C231" s="933"/>
      <c r="D231" s="933"/>
      <c r="E231" s="934"/>
      <c r="F231" s="935"/>
      <c r="G231" s="934"/>
      <c r="H231" s="935"/>
      <c r="I231" s="936"/>
      <c r="J231" s="937"/>
      <c r="K231" s="938"/>
      <c r="L231" s="936"/>
      <c r="M231" s="937"/>
      <c r="N231" s="938"/>
      <c r="O231" s="936"/>
      <c r="P231" s="937"/>
      <c r="Q231" s="938"/>
      <c r="R231" s="936"/>
      <c r="S231" s="937"/>
      <c r="T231" s="938"/>
      <c r="U231" s="936"/>
      <c r="V231" s="937"/>
      <c r="W231" s="938"/>
      <c r="X231" s="936"/>
      <c r="Y231" s="937"/>
      <c r="Z231" s="938"/>
      <c r="AA231" s="936"/>
      <c r="AB231" s="937"/>
      <c r="AC231" s="938"/>
      <c r="AD231" s="936"/>
      <c r="AE231" s="937"/>
      <c r="AF231" s="938"/>
      <c r="AG231" s="936"/>
      <c r="AH231" s="937"/>
      <c r="AI231" s="938"/>
      <c r="AJ231" s="936"/>
      <c r="AK231" s="937"/>
      <c r="AL231" s="938"/>
      <c r="AM231" s="936"/>
      <c r="AN231" s="933"/>
      <c r="AO231" s="936"/>
      <c r="AP231" s="933"/>
      <c r="AQ231" s="935"/>
      <c r="AR231" s="936"/>
      <c r="AS231" s="935"/>
      <c r="AT231" s="939"/>
      <c r="AU231" s="933"/>
      <c r="AV231" s="940"/>
      <c r="AW231" s="986"/>
      <c r="AX231" s="939"/>
      <c r="AY231" s="939"/>
      <c r="AZ231" s="941"/>
      <c r="BA231" s="941"/>
      <c r="BB231" s="941"/>
      <c r="BC231" s="934"/>
      <c r="BD231" s="941"/>
      <c r="BE231" s="941"/>
      <c r="BF231" s="941"/>
      <c r="BG231" s="942"/>
      <c r="BH231" s="941"/>
      <c r="BI231" s="941"/>
      <c r="BJ231" s="941"/>
      <c r="BK231" s="943"/>
      <c r="BL231" s="943"/>
      <c r="BM231" s="943"/>
      <c r="BN231" s="943"/>
      <c r="BO231" s="943"/>
      <c r="BP231" s="944"/>
      <c r="BQ231" s="943"/>
      <c r="BR231" s="943"/>
      <c r="BS231" s="943"/>
      <c r="BU231" s="945"/>
      <c r="BV231" s="946"/>
      <c r="BW231" s="947"/>
      <c r="BX231" s="945"/>
      <c r="BY231" s="947"/>
      <c r="BZ231" s="946"/>
      <c r="CA231" s="947"/>
      <c r="CB231" s="946"/>
      <c r="CC231" s="947"/>
      <c r="CD231" s="947"/>
      <c r="CE231" s="947"/>
      <c r="CF231" s="948"/>
      <c r="CG231" s="949"/>
      <c r="CH231" s="949"/>
      <c r="CI231" s="950"/>
      <c r="CJ231" s="951"/>
      <c r="CK231" s="951"/>
      <c r="CL231" s="952"/>
      <c r="CM231" s="951"/>
      <c r="CN231" s="951"/>
      <c r="CO231" s="952"/>
      <c r="CP231" s="951"/>
      <c r="CQ231" s="951"/>
      <c r="CR231" s="952"/>
      <c r="CS231" s="946"/>
      <c r="CT231" s="953"/>
      <c r="CU231" s="953"/>
      <c r="CV231" s="953"/>
      <c r="CX231" s="951"/>
      <c r="CY231" s="951"/>
      <c r="CZ231" s="952"/>
      <c r="DB231" s="954"/>
      <c r="DC231" s="954"/>
      <c r="DD231" s="921"/>
      <c r="DE231" s="954"/>
      <c r="DF231" s="954"/>
      <c r="DG231" s="921"/>
      <c r="DH231" s="954"/>
      <c r="DI231" s="954"/>
      <c r="DJ231" s="921"/>
      <c r="DK231" s="954"/>
      <c r="DL231" s="954"/>
      <c r="DM231" s="921"/>
      <c r="DN231" s="954"/>
      <c r="DO231" s="954"/>
      <c r="DP231" s="921"/>
      <c r="DQ231" s="942"/>
      <c r="DR231" s="951"/>
      <c r="DS231" s="951"/>
      <c r="DT231" s="952"/>
      <c r="DV231" s="921"/>
      <c r="DW231" s="921"/>
      <c r="DX231" s="921"/>
      <c r="DY231" s="921"/>
      <c r="DZ231" s="921"/>
      <c r="EA231" s="921"/>
      <c r="EB231" s="921"/>
      <c r="EC231" s="921"/>
      <c r="ED231" s="921"/>
      <c r="EE231" s="921"/>
      <c r="EF231" s="921"/>
      <c r="EG231" s="921"/>
      <c r="EH231" s="921"/>
      <c r="EI231" s="921"/>
      <c r="EJ231" s="921"/>
      <c r="EK231" s="921"/>
      <c r="EL231" s="921"/>
      <c r="EM231" s="921"/>
      <c r="EN231" s="921"/>
      <c r="EO231" s="921"/>
      <c r="EP231" s="921"/>
      <c r="EQ231" s="954"/>
      <c r="ER231" s="954"/>
      <c r="ES231" s="954"/>
      <c r="ET231" s="954"/>
      <c r="EV231" s="942"/>
      <c r="EW231" s="951"/>
      <c r="EX231" s="951"/>
      <c r="EY231" s="952"/>
    </row>
    <row r="232" spans="1:155" s="927" customFormat="1" ht="15.75" x14ac:dyDescent="0.25">
      <c r="A232" s="931"/>
      <c r="B232" s="932" t="s">
        <v>406</v>
      </c>
      <c r="C232" s="933"/>
      <c r="D232" s="933"/>
      <c r="E232" s="934"/>
      <c r="F232" s="935"/>
      <c r="G232" s="934"/>
      <c r="H232" s="935"/>
      <c r="I232" s="936"/>
      <c r="J232" s="937"/>
      <c r="K232" s="938"/>
      <c r="L232" s="936"/>
      <c r="M232" s="937"/>
      <c r="N232" s="938"/>
      <c r="O232" s="936"/>
      <c r="P232" s="937"/>
      <c r="Q232" s="938"/>
      <c r="R232" s="936"/>
      <c r="S232" s="937"/>
      <c r="T232" s="938"/>
      <c r="U232" s="936"/>
      <c r="V232" s="937"/>
      <c r="W232" s="938"/>
      <c r="X232" s="936"/>
      <c r="Y232" s="937"/>
      <c r="Z232" s="938"/>
      <c r="AA232" s="936"/>
      <c r="AB232" s="937"/>
      <c r="AC232" s="938"/>
      <c r="AD232" s="936"/>
      <c r="AE232" s="937"/>
      <c r="AF232" s="938"/>
      <c r="AG232" s="936"/>
      <c r="AH232" s="937"/>
      <c r="AI232" s="938"/>
      <c r="AJ232" s="936"/>
      <c r="AK232" s="937"/>
      <c r="AL232" s="938"/>
      <c r="AM232" s="936"/>
      <c r="AN232" s="933"/>
      <c r="AO232" s="936"/>
      <c r="AP232" s="933"/>
      <c r="AQ232" s="935"/>
      <c r="AR232" s="936"/>
      <c r="AS232" s="935"/>
      <c r="AT232" s="939"/>
      <c r="AU232" s="933"/>
      <c r="AV232" s="940"/>
      <c r="AW232" s="336">
        <f>AW227/I221</f>
        <v>1.35737</v>
      </c>
      <c r="AX232" s="939"/>
      <c r="AY232" s="939"/>
      <c r="AZ232" s="941"/>
      <c r="BA232" s="941"/>
      <c r="BB232" s="941"/>
      <c r="BC232" s="934"/>
      <c r="BD232" s="941"/>
      <c r="BE232" s="941"/>
      <c r="BF232" s="941"/>
      <c r="BG232" s="942"/>
      <c r="BH232" s="941"/>
      <c r="BI232" s="941"/>
      <c r="BJ232" s="941"/>
      <c r="BK232" s="943"/>
      <c r="BL232" s="943"/>
      <c r="BM232" s="943"/>
      <c r="BN232" s="943"/>
      <c r="BO232" s="943"/>
      <c r="BP232" s="944"/>
      <c r="BQ232" s="943"/>
      <c r="BR232" s="943"/>
      <c r="BS232" s="943"/>
      <c r="BU232" s="945"/>
      <c r="BV232" s="946"/>
      <c r="BW232" s="947"/>
      <c r="BX232" s="945"/>
      <c r="BY232" s="947"/>
      <c r="BZ232" s="946"/>
      <c r="CA232" s="947"/>
      <c r="CB232" s="946"/>
      <c r="CC232" s="947"/>
      <c r="CD232" s="947"/>
      <c r="CE232" s="947"/>
      <c r="CF232" s="948"/>
      <c r="CG232" s="949"/>
      <c r="CH232" s="949"/>
      <c r="CI232" s="950"/>
      <c r="CJ232" s="951"/>
      <c r="CK232" s="951"/>
      <c r="CL232" s="952"/>
      <c r="CM232" s="951"/>
      <c r="CN232" s="951"/>
      <c r="CO232" s="952"/>
      <c r="CP232" s="951"/>
      <c r="CQ232" s="951"/>
      <c r="CR232" s="952"/>
      <c r="CS232" s="946"/>
      <c r="CT232" s="953"/>
      <c r="CU232" s="953"/>
      <c r="CV232" s="953"/>
      <c r="CX232" s="951"/>
      <c r="CY232" s="951"/>
      <c r="CZ232" s="952"/>
      <c r="DB232" s="954"/>
      <c r="DC232" s="954"/>
      <c r="DD232" s="921"/>
      <c r="DE232" s="954"/>
      <c r="DF232" s="954"/>
      <c r="DG232" s="921"/>
      <c r="DH232" s="954"/>
      <c r="DI232" s="954"/>
      <c r="DJ232" s="921"/>
      <c r="DK232" s="954"/>
      <c r="DL232" s="954"/>
      <c r="DM232" s="921"/>
      <c r="DN232" s="954"/>
      <c r="DO232" s="954"/>
      <c r="DP232" s="921"/>
      <c r="DQ232" s="942"/>
      <c r="DR232" s="951"/>
      <c r="DS232" s="951"/>
      <c r="DT232" s="952"/>
      <c r="DV232" s="921"/>
      <c r="DW232" s="921"/>
      <c r="DX232" s="921"/>
      <c r="DY232" s="921"/>
      <c r="DZ232" s="921"/>
      <c r="EA232" s="921"/>
      <c r="EB232" s="921"/>
      <c r="EC232" s="921"/>
      <c r="ED232" s="921"/>
      <c r="EE232" s="921"/>
      <c r="EF232" s="921"/>
      <c r="EG232" s="921"/>
      <c r="EH232" s="921"/>
      <c r="EI232" s="921"/>
      <c r="EJ232" s="921"/>
      <c r="EK232" s="921"/>
      <c r="EL232" s="921"/>
      <c r="EM232" s="921"/>
      <c r="EN232" s="921"/>
      <c r="EO232" s="921"/>
      <c r="EP232" s="921"/>
      <c r="EQ232" s="954"/>
      <c r="ER232" s="954"/>
      <c r="ES232" s="954"/>
      <c r="ET232" s="954"/>
      <c r="EV232" s="942"/>
      <c r="EW232" s="951"/>
      <c r="EX232" s="951"/>
      <c r="EY232" s="952"/>
    </row>
    <row r="233" spans="1:155" s="927" customFormat="1" ht="15.75" x14ac:dyDescent="0.25">
      <c r="A233" s="931"/>
      <c r="B233" s="932" t="s">
        <v>498</v>
      </c>
      <c r="C233" s="933"/>
      <c r="D233" s="933"/>
      <c r="E233" s="934"/>
      <c r="F233" s="935"/>
      <c r="G233" s="934"/>
      <c r="H233" s="935"/>
      <c r="I233" s="936"/>
      <c r="J233" s="937"/>
      <c r="K233" s="938"/>
      <c r="L233" s="936"/>
      <c r="M233" s="937"/>
      <c r="N233" s="938"/>
      <c r="O233" s="936"/>
      <c r="P233" s="937"/>
      <c r="Q233" s="938"/>
      <c r="R233" s="936"/>
      <c r="S233" s="937"/>
      <c r="T233" s="938"/>
      <c r="U233" s="936"/>
      <c r="V233" s="937"/>
      <c r="W233" s="938"/>
      <c r="X233" s="936"/>
      <c r="Y233" s="937"/>
      <c r="Z233" s="938"/>
      <c r="AA233" s="936"/>
      <c r="AB233" s="937"/>
      <c r="AC233" s="938"/>
      <c r="AD233" s="936"/>
      <c r="AE233" s="937"/>
      <c r="AF233" s="938"/>
      <c r="AG233" s="936"/>
      <c r="AH233" s="937"/>
      <c r="AI233" s="938"/>
      <c r="AJ233" s="936"/>
      <c r="AK233" s="937"/>
      <c r="AL233" s="938"/>
      <c r="AM233" s="936"/>
      <c r="AN233" s="933"/>
      <c r="AO233" s="936"/>
      <c r="AP233" s="933"/>
      <c r="AQ233" s="935"/>
      <c r="AR233" s="936"/>
      <c r="AS233" s="935"/>
      <c r="AT233" s="939"/>
      <c r="AU233" s="933"/>
      <c r="AV233" s="940"/>
      <c r="AW233" s="986"/>
      <c r="AX233" s="939"/>
      <c r="AY233" s="939"/>
      <c r="AZ233" s="941"/>
      <c r="BA233" s="941"/>
      <c r="BB233" s="941"/>
      <c r="BC233" s="934"/>
      <c r="BD233" s="941"/>
      <c r="BE233" s="941"/>
      <c r="BF233" s="941"/>
      <c r="BG233" s="942"/>
      <c r="BH233" s="941"/>
      <c r="BI233" s="941"/>
      <c r="BJ233" s="941"/>
      <c r="BK233" s="943"/>
      <c r="BL233" s="943"/>
      <c r="BM233" s="943"/>
      <c r="BN233" s="943"/>
      <c r="BO233" s="943"/>
      <c r="BP233" s="944"/>
      <c r="BQ233" s="943"/>
      <c r="BR233" s="943"/>
      <c r="BS233" s="943"/>
      <c r="BU233" s="945"/>
      <c r="BV233" s="946"/>
      <c r="BW233" s="947"/>
      <c r="BX233" s="945"/>
      <c r="BY233" s="947"/>
      <c r="BZ233" s="946"/>
      <c r="CA233" s="947"/>
      <c r="CB233" s="946"/>
      <c r="CC233" s="947"/>
      <c r="CD233" s="947"/>
      <c r="CE233" s="947"/>
      <c r="CF233" s="948"/>
      <c r="CG233" s="949"/>
      <c r="CH233" s="949"/>
      <c r="CI233" s="950"/>
      <c r="CJ233" s="951"/>
      <c r="CK233" s="951"/>
      <c r="CL233" s="952"/>
      <c r="CM233" s="951"/>
      <c r="CN233" s="951"/>
      <c r="CO233" s="952"/>
      <c r="CP233" s="951"/>
      <c r="CQ233" s="951"/>
      <c r="CR233" s="952"/>
      <c r="CS233" s="946"/>
      <c r="CT233" s="953"/>
      <c r="CU233" s="953"/>
      <c r="CV233" s="953"/>
      <c r="CX233" s="951"/>
      <c r="CY233" s="951"/>
      <c r="CZ233" s="952"/>
      <c r="DB233" s="954"/>
      <c r="DC233" s="954"/>
      <c r="DD233" s="921"/>
      <c r="DE233" s="954"/>
      <c r="DF233" s="954"/>
      <c r="DG233" s="921"/>
      <c r="DH233" s="954"/>
      <c r="DI233" s="954"/>
      <c r="DJ233" s="921"/>
      <c r="DK233" s="954"/>
      <c r="DL233" s="954"/>
      <c r="DM233" s="921"/>
      <c r="DN233" s="954"/>
      <c r="DO233" s="954"/>
      <c r="DP233" s="921"/>
      <c r="DQ233" s="942"/>
      <c r="DR233" s="951"/>
      <c r="DS233" s="951"/>
      <c r="DT233" s="952"/>
      <c r="DV233" s="921"/>
      <c r="DW233" s="921"/>
      <c r="DX233" s="921"/>
      <c r="DY233" s="921"/>
      <c r="DZ233" s="921"/>
      <c r="EA233" s="921"/>
      <c r="EB233" s="921"/>
      <c r="EC233" s="921"/>
      <c r="ED233" s="921"/>
      <c r="EE233" s="921"/>
      <c r="EF233" s="921"/>
      <c r="EG233" s="921"/>
      <c r="EH233" s="921"/>
      <c r="EI233" s="921"/>
      <c r="EJ233" s="921"/>
      <c r="EK233" s="921"/>
      <c r="EL233" s="921"/>
      <c r="EM233" s="921"/>
      <c r="EN233" s="921"/>
      <c r="EO233" s="921"/>
      <c r="EP233" s="921"/>
      <c r="EQ233" s="954"/>
      <c r="ER233" s="954"/>
      <c r="ES233" s="954"/>
      <c r="ET233" s="954"/>
      <c r="EV233" s="942"/>
      <c r="EW233" s="951"/>
      <c r="EX233" s="951"/>
      <c r="EY233" s="952"/>
    </row>
    <row r="234" spans="1:155" s="927" customFormat="1" ht="15.75" x14ac:dyDescent="0.25">
      <c r="A234" s="931"/>
      <c r="B234" s="932" t="s">
        <v>403</v>
      </c>
      <c r="C234" s="933"/>
      <c r="D234" s="933"/>
      <c r="E234" s="934"/>
      <c r="F234" s="935"/>
      <c r="G234" s="934"/>
      <c r="H234" s="935"/>
      <c r="I234" s="936"/>
      <c r="J234" s="937"/>
      <c r="K234" s="938"/>
      <c r="L234" s="936"/>
      <c r="M234" s="937"/>
      <c r="N234" s="938"/>
      <c r="O234" s="936"/>
      <c r="P234" s="937"/>
      <c r="Q234" s="938"/>
      <c r="R234" s="936"/>
      <c r="S234" s="937"/>
      <c r="T234" s="938"/>
      <c r="U234" s="936"/>
      <c r="V234" s="937"/>
      <c r="W234" s="938"/>
      <c r="X234" s="936"/>
      <c r="Y234" s="937"/>
      <c r="Z234" s="938"/>
      <c r="AA234" s="936"/>
      <c r="AB234" s="937"/>
      <c r="AC234" s="938"/>
      <c r="AD234" s="936"/>
      <c r="AE234" s="937"/>
      <c r="AF234" s="938"/>
      <c r="AG234" s="936"/>
      <c r="AH234" s="937"/>
      <c r="AI234" s="938"/>
      <c r="AJ234" s="936"/>
      <c r="AK234" s="937"/>
      <c r="AL234" s="938"/>
      <c r="AM234" s="936"/>
      <c r="AN234" s="933"/>
      <c r="AO234" s="936"/>
      <c r="AP234" s="933"/>
      <c r="AQ234" s="935"/>
      <c r="AR234" s="936"/>
      <c r="AS234" s="935"/>
      <c r="AT234" s="939"/>
      <c r="AU234" s="933"/>
      <c r="AV234" s="940"/>
      <c r="AW234" s="337">
        <f>AW228/AW227</f>
        <v>0.22051999999999999</v>
      </c>
      <c r="AX234" s="939"/>
      <c r="AY234" s="939"/>
      <c r="AZ234" s="941"/>
      <c r="BA234" s="941"/>
      <c r="BB234" s="941"/>
      <c r="BC234" s="934"/>
      <c r="BD234" s="941"/>
      <c r="BE234" s="941"/>
      <c r="BF234" s="941"/>
      <c r="BG234" s="942"/>
      <c r="BH234" s="941"/>
      <c r="BI234" s="941"/>
      <c r="BJ234" s="941"/>
      <c r="BK234" s="943"/>
      <c r="BL234" s="943"/>
      <c r="BM234" s="943"/>
      <c r="BN234" s="943"/>
      <c r="BO234" s="943"/>
      <c r="BP234" s="944"/>
      <c r="BQ234" s="943"/>
      <c r="BR234" s="943"/>
      <c r="BS234" s="943"/>
      <c r="BU234" s="945"/>
      <c r="BV234" s="946"/>
      <c r="BW234" s="947"/>
      <c r="BX234" s="945"/>
      <c r="BY234" s="947"/>
      <c r="BZ234" s="946"/>
      <c r="CA234" s="947"/>
      <c r="CB234" s="946"/>
      <c r="CC234" s="947"/>
      <c r="CD234" s="947"/>
      <c r="CE234" s="947"/>
      <c r="CF234" s="948"/>
      <c r="CG234" s="949"/>
      <c r="CH234" s="949"/>
      <c r="CI234" s="950"/>
      <c r="CJ234" s="951"/>
      <c r="CK234" s="951"/>
      <c r="CL234" s="952"/>
      <c r="CM234" s="951"/>
      <c r="CN234" s="951"/>
      <c r="CO234" s="952"/>
      <c r="CP234" s="951"/>
      <c r="CQ234" s="951"/>
      <c r="CR234" s="952"/>
      <c r="CS234" s="946"/>
      <c r="CT234" s="953"/>
      <c r="CU234" s="953"/>
      <c r="CV234" s="953"/>
      <c r="CX234" s="951"/>
      <c r="CY234" s="951"/>
      <c r="CZ234" s="952"/>
      <c r="DB234" s="954"/>
      <c r="DC234" s="954"/>
      <c r="DD234" s="921"/>
      <c r="DE234" s="954"/>
      <c r="DF234" s="954"/>
      <c r="DG234" s="921"/>
      <c r="DH234" s="954"/>
      <c r="DI234" s="954"/>
      <c r="DJ234" s="921"/>
      <c r="DK234" s="954"/>
      <c r="DL234" s="954"/>
      <c r="DM234" s="921"/>
      <c r="DN234" s="954"/>
      <c r="DO234" s="954"/>
      <c r="DP234" s="921"/>
      <c r="DQ234" s="942"/>
      <c r="DR234" s="951"/>
      <c r="DS234" s="951"/>
      <c r="DT234" s="952"/>
      <c r="DV234" s="921"/>
      <c r="DW234" s="921"/>
      <c r="DX234" s="921"/>
      <c r="DY234" s="921"/>
      <c r="DZ234" s="921"/>
      <c r="EA234" s="921"/>
      <c r="EB234" s="921"/>
      <c r="EC234" s="921"/>
      <c r="ED234" s="921"/>
      <c r="EE234" s="921"/>
      <c r="EF234" s="921"/>
      <c r="EG234" s="921"/>
      <c r="EH234" s="921"/>
      <c r="EI234" s="921"/>
      <c r="EJ234" s="921"/>
      <c r="EK234" s="921"/>
      <c r="EL234" s="921"/>
      <c r="EM234" s="921"/>
      <c r="EN234" s="921"/>
      <c r="EO234" s="921"/>
      <c r="EP234" s="921"/>
      <c r="EQ234" s="954"/>
      <c r="ER234" s="954"/>
      <c r="ES234" s="954"/>
      <c r="ET234" s="954"/>
      <c r="EV234" s="942"/>
      <c r="EW234" s="951"/>
      <c r="EX234" s="951"/>
      <c r="EY234" s="952"/>
    </row>
    <row r="235" spans="1:155" s="927" customFormat="1" ht="15.75" x14ac:dyDescent="0.25">
      <c r="A235" s="931"/>
      <c r="B235" s="932" t="s">
        <v>404</v>
      </c>
      <c r="C235" s="933"/>
      <c r="D235" s="933"/>
      <c r="E235" s="934"/>
      <c r="F235" s="935"/>
      <c r="G235" s="934"/>
      <c r="H235" s="935"/>
      <c r="I235" s="936"/>
      <c r="J235" s="937"/>
      <c r="K235" s="938"/>
      <c r="L235" s="936"/>
      <c r="M235" s="937"/>
      <c r="N235" s="938"/>
      <c r="O235" s="936"/>
      <c r="P235" s="937"/>
      <c r="Q235" s="938"/>
      <c r="R235" s="936"/>
      <c r="S235" s="937"/>
      <c r="T235" s="938"/>
      <c r="U235" s="936"/>
      <c r="V235" s="937"/>
      <c r="W235" s="938"/>
      <c r="X235" s="936"/>
      <c r="Y235" s="937"/>
      <c r="Z235" s="938"/>
      <c r="AA235" s="936"/>
      <c r="AB235" s="937"/>
      <c r="AC235" s="938"/>
      <c r="AD235" s="936"/>
      <c r="AE235" s="937"/>
      <c r="AF235" s="938"/>
      <c r="AG235" s="936"/>
      <c r="AH235" s="937"/>
      <c r="AI235" s="938"/>
      <c r="AJ235" s="936"/>
      <c r="AK235" s="937"/>
      <c r="AL235" s="938"/>
      <c r="AM235" s="936"/>
      <c r="AN235" s="933"/>
      <c r="AO235" s="936"/>
      <c r="AP235" s="933"/>
      <c r="AQ235" s="935"/>
      <c r="AR235" s="936"/>
      <c r="AS235" s="935"/>
      <c r="AT235" s="939"/>
      <c r="AU235" s="933"/>
      <c r="AV235" s="940"/>
      <c r="AW235" s="338">
        <f>AW229/AW227</f>
        <v>0.73350000000000004</v>
      </c>
      <c r="AX235" s="939"/>
      <c r="AY235" s="939"/>
      <c r="AZ235" s="941"/>
      <c r="BA235" s="941"/>
      <c r="BB235" s="941"/>
      <c r="BC235" s="934"/>
      <c r="BD235" s="941"/>
      <c r="BE235" s="941"/>
      <c r="BF235" s="941"/>
      <c r="BG235" s="942"/>
      <c r="BH235" s="941"/>
      <c r="BI235" s="941"/>
      <c r="BJ235" s="941"/>
      <c r="BK235" s="943"/>
      <c r="BL235" s="943"/>
      <c r="BM235" s="943"/>
      <c r="BN235" s="943"/>
      <c r="BO235" s="943"/>
      <c r="BP235" s="944"/>
      <c r="BQ235" s="943"/>
      <c r="BR235" s="943"/>
      <c r="BS235" s="943"/>
      <c r="BU235" s="945"/>
      <c r="BV235" s="946"/>
      <c r="BW235" s="947"/>
      <c r="BX235" s="945"/>
      <c r="BY235" s="947"/>
      <c r="BZ235" s="946"/>
      <c r="CA235" s="947"/>
      <c r="CB235" s="946"/>
      <c r="CC235" s="947"/>
      <c r="CD235" s="947"/>
      <c r="CE235" s="947"/>
      <c r="CF235" s="948"/>
      <c r="CG235" s="949"/>
      <c r="CH235" s="949"/>
      <c r="CI235" s="950"/>
      <c r="CJ235" s="951"/>
      <c r="CK235" s="951"/>
      <c r="CL235" s="952"/>
      <c r="CM235" s="951"/>
      <c r="CN235" s="951"/>
      <c r="CO235" s="952"/>
      <c r="CP235" s="951"/>
      <c r="CQ235" s="951"/>
      <c r="CR235" s="952"/>
      <c r="CS235" s="946"/>
      <c r="CT235" s="953"/>
      <c r="CU235" s="953"/>
      <c r="CV235" s="953"/>
      <c r="CX235" s="951"/>
      <c r="CY235" s="951"/>
      <c r="CZ235" s="952"/>
      <c r="DB235" s="954"/>
      <c r="DC235" s="954"/>
      <c r="DD235" s="921"/>
      <c r="DE235" s="954"/>
      <c r="DF235" s="954"/>
      <c r="DG235" s="921"/>
      <c r="DH235" s="954"/>
      <c r="DI235" s="954"/>
      <c r="DJ235" s="921"/>
      <c r="DK235" s="954"/>
      <c r="DL235" s="954"/>
      <c r="DM235" s="921"/>
      <c r="DN235" s="954"/>
      <c r="DO235" s="954"/>
      <c r="DP235" s="921"/>
      <c r="DQ235" s="942"/>
      <c r="DR235" s="951"/>
      <c r="DS235" s="951"/>
      <c r="DT235" s="952"/>
      <c r="DV235" s="921"/>
      <c r="DW235" s="921"/>
      <c r="DX235" s="921"/>
      <c r="DY235" s="921"/>
      <c r="DZ235" s="921"/>
      <c r="EA235" s="921"/>
      <c r="EB235" s="921"/>
      <c r="EC235" s="921"/>
      <c r="ED235" s="921"/>
      <c r="EE235" s="921"/>
      <c r="EF235" s="921"/>
      <c r="EG235" s="921"/>
      <c r="EH235" s="921"/>
      <c r="EI235" s="921"/>
      <c r="EJ235" s="921"/>
      <c r="EK235" s="921"/>
      <c r="EL235" s="921"/>
      <c r="EM235" s="921"/>
      <c r="EN235" s="921"/>
      <c r="EO235" s="921"/>
      <c r="EP235" s="921"/>
      <c r="EQ235" s="954"/>
      <c r="ER235" s="954"/>
      <c r="ES235" s="954"/>
      <c r="ET235" s="954"/>
      <c r="EV235" s="942"/>
      <c r="EW235" s="951"/>
      <c r="EX235" s="951"/>
      <c r="EY235" s="952"/>
    </row>
    <row r="236" spans="1:155" s="927" customFormat="1" ht="15.75" x14ac:dyDescent="0.25">
      <c r="A236" s="931"/>
      <c r="B236" s="932" t="s">
        <v>405</v>
      </c>
      <c r="C236" s="933"/>
      <c r="D236" s="933"/>
      <c r="E236" s="934"/>
      <c r="F236" s="935"/>
      <c r="G236" s="934"/>
      <c r="H236" s="935"/>
      <c r="I236" s="936"/>
      <c r="J236" s="937"/>
      <c r="K236" s="938"/>
      <c r="L236" s="936"/>
      <c r="M236" s="937"/>
      <c r="N236" s="938"/>
      <c r="O236" s="936"/>
      <c r="P236" s="937"/>
      <c r="Q236" s="938"/>
      <c r="R236" s="936"/>
      <c r="S236" s="937"/>
      <c r="T236" s="938"/>
      <c r="U236" s="936"/>
      <c r="V236" s="937"/>
      <c r="W236" s="938"/>
      <c r="X236" s="936"/>
      <c r="Y236" s="937"/>
      <c r="Z236" s="938"/>
      <c r="AA236" s="936"/>
      <c r="AB236" s="937"/>
      <c r="AC236" s="938"/>
      <c r="AD236" s="936"/>
      <c r="AE236" s="937"/>
      <c r="AF236" s="938"/>
      <c r="AG236" s="936"/>
      <c r="AH236" s="937"/>
      <c r="AI236" s="938"/>
      <c r="AJ236" s="936"/>
      <c r="AK236" s="937"/>
      <c r="AL236" s="938"/>
      <c r="AM236" s="936"/>
      <c r="AN236" s="933"/>
      <c r="AO236" s="936"/>
      <c r="AP236" s="933"/>
      <c r="AQ236" s="935"/>
      <c r="AR236" s="936"/>
      <c r="AS236" s="935"/>
      <c r="AT236" s="939"/>
      <c r="AU236" s="933"/>
      <c r="AV236" s="940"/>
      <c r="AW236" s="339">
        <f>AW230/AW227</f>
        <v>0.17288999999999999</v>
      </c>
      <c r="AX236" s="939"/>
      <c r="AY236" s="939"/>
      <c r="AZ236" s="941"/>
      <c r="BA236" s="941"/>
      <c r="BB236" s="941"/>
      <c r="BC236" s="934"/>
      <c r="BD236" s="941"/>
      <c r="BE236" s="941"/>
      <c r="BF236" s="941"/>
      <c r="BG236" s="942"/>
      <c r="BH236" s="941"/>
      <c r="BI236" s="941"/>
      <c r="BJ236" s="941"/>
      <c r="BK236" s="943"/>
      <c r="BL236" s="943"/>
      <c r="BM236" s="943"/>
      <c r="BN236" s="943"/>
      <c r="BO236" s="943"/>
      <c r="BP236" s="944"/>
      <c r="BQ236" s="943"/>
      <c r="BR236" s="943"/>
      <c r="BS236" s="943"/>
      <c r="BU236" s="945"/>
      <c r="BV236" s="946"/>
      <c r="BW236" s="947"/>
      <c r="BX236" s="945"/>
      <c r="BY236" s="947"/>
      <c r="BZ236" s="946"/>
      <c r="CA236" s="947"/>
      <c r="CB236" s="946"/>
      <c r="CC236" s="947"/>
      <c r="CD236" s="947"/>
      <c r="CE236" s="947"/>
      <c r="CF236" s="948"/>
      <c r="CG236" s="949"/>
      <c r="CH236" s="949"/>
      <c r="CI236" s="950"/>
      <c r="CJ236" s="951"/>
      <c r="CK236" s="951"/>
      <c r="CL236" s="952"/>
      <c r="CM236" s="951"/>
      <c r="CN236" s="951"/>
      <c r="CO236" s="952"/>
      <c r="CP236" s="951"/>
      <c r="CQ236" s="951"/>
      <c r="CR236" s="952"/>
      <c r="CS236" s="946"/>
      <c r="CT236" s="953"/>
      <c r="CU236" s="953"/>
      <c r="CV236" s="953"/>
      <c r="CX236" s="951"/>
      <c r="CY236" s="951"/>
      <c r="CZ236" s="952"/>
      <c r="DB236" s="954"/>
      <c r="DC236" s="954"/>
      <c r="DD236" s="921"/>
      <c r="DE236" s="954"/>
      <c r="DF236" s="954"/>
      <c r="DG236" s="921"/>
      <c r="DH236" s="954"/>
      <c r="DI236" s="954"/>
      <c r="DJ236" s="921"/>
      <c r="DK236" s="954"/>
      <c r="DL236" s="954"/>
      <c r="DM236" s="921"/>
      <c r="DN236" s="954"/>
      <c r="DO236" s="954"/>
      <c r="DP236" s="921"/>
      <c r="DQ236" s="942"/>
      <c r="DR236" s="951"/>
      <c r="DS236" s="951"/>
      <c r="DT236" s="952"/>
      <c r="DV236" s="921"/>
      <c r="DW236" s="921"/>
      <c r="DX236" s="921"/>
      <c r="DY236" s="921"/>
      <c r="DZ236" s="921"/>
      <c r="EA236" s="921"/>
      <c r="EB236" s="921"/>
      <c r="EC236" s="921"/>
      <c r="ED236" s="921"/>
      <c r="EE236" s="921"/>
      <c r="EF236" s="921"/>
      <c r="EG236" s="921"/>
      <c r="EH236" s="921"/>
      <c r="EI236" s="921"/>
      <c r="EJ236" s="921"/>
      <c r="EK236" s="921"/>
      <c r="EL236" s="921"/>
      <c r="EM236" s="921"/>
      <c r="EN236" s="921"/>
      <c r="EO236" s="921"/>
      <c r="EP236" s="921"/>
      <c r="EQ236" s="954"/>
      <c r="ER236" s="954"/>
      <c r="ES236" s="954"/>
      <c r="ET236" s="954"/>
      <c r="EV236" s="942"/>
      <c r="EW236" s="951"/>
      <c r="EX236" s="951"/>
      <c r="EY236" s="952"/>
    </row>
    <row r="237" spans="1:155" s="927" customFormat="1" ht="15.75" x14ac:dyDescent="0.25">
      <c r="A237" s="931"/>
      <c r="B237" s="932" t="s">
        <v>807</v>
      </c>
      <c r="C237" s="933"/>
      <c r="D237" s="933"/>
      <c r="E237" s="934"/>
      <c r="F237" s="935"/>
      <c r="G237" s="934"/>
      <c r="H237" s="935"/>
      <c r="I237" s="936"/>
      <c r="J237" s="937"/>
      <c r="K237" s="938"/>
      <c r="L237" s="936"/>
      <c r="M237" s="937"/>
      <c r="N237" s="938"/>
      <c r="O237" s="936"/>
      <c r="P237" s="937"/>
      <c r="Q237" s="938"/>
      <c r="R237" s="936"/>
      <c r="S237" s="937"/>
      <c r="T237" s="938"/>
      <c r="U237" s="936"/>
      <c r="V237" s="937"/>
      <c r="W237" s="938"/>
      <c r="X237" s="936"/>
      <c r="Y237" s="937"/>
      <c r="Z237" s="938"/>
      <c r="AA237" s="936"/>
      <c r="AB237" s="937"/>
      <c r="AC237" s="938"/>
      <c r="AD237" s="936"/>
      <c r="AE237" s="937"/>
      <c r="AF237" s="938"/>
      <c r="AG237" s="936"/>
      <c r="AH237" s="937"/>
      <c r="AI237" s="938"/>
      <c r="AJ237" s="936"/>
      <c r="AK237" s="937"/>
      <c r="AL237" s="938"/>
      <c r="AM237" s="936"/>
      <c r="AN237" s="933"/>
      <c r="AO237" s="936"/>
      <c r="AP237" s="933"/>
      <c r="AQ237" s="935"/>
      <c r="AR237" s="936"/>
      <c r="AS237" s="935"/>
      <c r="AT237" s="939"/>
      <c r="AU237" s="933"/>
      <c r="AV237" s="940"/>
      <c r="AW237" s="335">
        <f>(AW220/12)/AW226</f>
        <v>1.2033499999999999</v>
      </c>
      <c r="AX237" s="939"/>
      <c r="AY237" s="939"/>
      <c r="AZ237" s="941"/>
      <c r="BA237" s="941"/>
      <c r="BB237" s="941"/>
      <c r="BC237" s="934"/>
      <c r="BD237" s="941"/>
      <c r="BE237" s="941"/>
      <c r="BF237" s="941"/>
      <c r="BG237" s="942"/>
      <c r="BH237" s="941"/>
      <c r="BI237" s="941"/>
      <c r="BJ237" s="941"/>
      <c r="BK237" s="943"/>
      <c r="BL237" s="943"/>
      <c r="BM237" s="943"/>
      <c r="BN237" s="943"/>
      <c r="BO237" s="943"/>
      <c r="BP237" s="944"/>
      <c r="BQ237" s="943"/>
      <c r="BR237" s="943"/>
      <c r="BS237" s="943"/>
      <c r="BU237" s="945"/>
      <c r="BV237" s="946"/>
      <c r="BW237" s="947"/>
      <c r="BX237" s="945"/>
      <c r="BY237" s="947"/>
      <c r="BZ237" s="946"/>
      <c r="CA237" s="947"/>
      <c r="CB237" s="946"/>
      <c r="CC237" s="947"/>
      <c r="CD237" s="947"/>
      <c r="CE237" s="947"/>
      <c r="CF237" s="948"/>
      <c r="CG237" s="949"/>
      <c r="CH237" s="949"/>
      <c r="CI237" s="950"/>
      <c r="CJ237" s="951"/>
      <c r="CK237" s="951"/>
      <c r="CL237" s="952"/>
      <c r="CM237" s="951"/>
      <c r="CN237" s="951"/>
      <c r="CO237" s="952"/>
      <c r="CP237" s="951"/>
      <c r="CQ237" s="951"/>
      <c r="CR237" s="952"/>
      <c r="CS237" s="946"/>
      <c r="CT237" s="953"/>
      <c r="CU237" s="953"/>
      <c r="CV237" s="953"/>
      <c r="CX237" s="951"/>
      <c r="CY237" s="951"/>
      <c r="CZ237" s="952"/>
      <c r="DB237" s="954"/>
      <c r="DC237" s="954"/>
      <c r="DD237" s="921"/>
      <c r="DE237" s="954"/>
      <c r="DF237" s="954"/>
      <c r="DG237" s="921"/>
      <c r="DH237" s="954"/>
      <c r="DI237" s="954"/>
      <c r="DJ237" s="921"/>
      <c r="DK237" s="954"/>
      <c r="DL237" s="954"/>
      <c r="DM237" s="921"/>
      <c r="DN237" s="954"/>
      <c r="DO237" s="954"/>
      <c r="DP237" s="921"/>
      <c r="DQ237" s="942"/>
      <c r="DR237" s="951"/>
      <c r="DS237" s="951"/>
      <c r="DT237" s="952"/>
      <c r="DV237" s="921"/>
      <c r="DW237" s="921"/>
      <c r="DX237" s="921"/>
      <c r="DY237" s="921"/>
      <c r="DZ237" s="921"/>
      <c r="EA237" s="921"/>
      <c r="EB237" s="921"/>
      <c r="EC237" s="921"/>
      <c r="ED237" s="921"/>
      <c r="EE237" s="921"/>
      <c r="EF237" s="921"/>
      <c r="EG237" s="921"/>
      <c r="EH237" s="921"/>
      <c r="EI237" s="921"/>
      <c r="EJ237" s="921"/>
      <c r="EK237" s="921"/>
      <c r="EL237" s="921"/>
      <c r="EM237" s="921"/>
      <c r="EN237" s="921"/>
      <c r="EO237" s="921"/>
      <c r="EP237" s="921"/>
      <c r="EQ237" s="954"/>
      <c r="ER237" s="954"/>
      <c r="ES237" s="954"/>
      <c r="ET237" s="954"/>
      <c r="EV237" s="942"/>
      <c r="EW237" s="951"/>
      <c r="EX237" s="951"/>
      <c r="EY237" s="952"/>
    </row>
    <row r="238" spans="1:155" s="927" customFormat="1" ht="15.75" x14ac:dyDescent="0.25">
      <c r="A238" s="931"/>
      <c r="B238" s="932"/>
      <c r="C238" s="933"/>
      <c r="D238" s="933"/>
      <c r="E238" s="934"/>
      <c r="F238" s="935"/>
      <c r="G238" s="934"/>
      <c r="H238" s="935"/>
      <c r="I238" s="936"/>
      <c r="J238" s="937"/>
      <c r="K238" s="938"/>
      <c r="L238" s="936"/>
      <c r="M238" s="937"/>
      <c r="N238" s="938"/>
      <c r="O238" s="936"/>
      <c r="P238" s="937"/>
      <c r="Q238" s="938"/>
      <c r="R238" s="936"/>
      <c r="S238" s="937"/>
      <c r="T238" s="938"/>
      <c r="U238" s="936"/>
      <c r="V238" s="937"/>
      <c r="W238" s="938"/>
      <c r="X238" s="936"/>
      <c r="Y238" s="937"/>
      <c r="Z238" s="938"/>
      <c r="AA238" s="936"/>
      <c r="AB238" s="937"/>
      <c r="AC238" s="938"/>
      <c r="AD238" s="936"/>
      <c r="AE238" s="937"/>
      <c r="AF238" s="938"/>
      <c r="AG238" s="936"/>
      <c r="AH238" s="937"/>
      <c r="AI238" s="938"/>
      <c r="AJ238" s="936"/>
      <c r="AK238" s="937"/>
      <c r="AL238" s="938"/>
      <c r="AM238" s="936"/>
      <c r="AN238" s="933"/>
      <c r="AO238" s="936"/>
      <c r="AP238" s="933"/>
      <c r="AQ238" s="935"/>
      <c r="AR238" s="936"/>
      <c r="AS238" s="935"/>
      <c r="AT238" s="939"/>
      <c r="AU238" s="933"/>
      <c r="AV238" s="940"/>
      <c r="AW238" s="939"/>
      <c r="AX238" s="939"/>
      <c r="AY238" s="939"/>
      <c r="AZ238" s="941"/>
      <c r="BA238" s="941"/>
      <c r="BB238" s="941"/>
      <c r="BC238" s="934"/>
      <c r="BD238" s="941"/>
      <c r="BE238" s="941"/>
      <c r="BF238" s="941"/>
      <c r="BG238" s="942"/>
      <c r="BH238" s="941"/>
      <c r="BI238" s="941"/>
      <c r="BJ238" s="941"/>
      <c r="BK238" s="943"/>
      <c r="BL238" s="943"/>
      <c r="BM238" s="943"/>
      <c r="BN238" s="943"/>
      <c r="BO238" s="943"/>
      <c r="BP238" s="944"/>
      <c r="BQ238" s="943"/>
      <c r="BR238" s="943"/>
      <c r="BS238" s="943"/>
      <c r="BU238" s="945"/>
      <c r="BV238" s="946"/>
      <c r="BW238" s="947"/>
      <c r="BX238" s="945"/>
      <c r="BY238" s="947"/>
      <c r="BZ238" s="946"/>
      <c r="CA238" s="947"/>
      <c r="CB238" s="946"/>
      <c r="CC238" s="947"/>
      <c r="CD238" s="947"/>
      <c r="CE238" s="947"/>
      <c r="CF238" s="948"/>
      <c r="CG238" s="949"/>
      <c r="CH238" s="949"/>
      <c r="CI238" s="950"/>
      <c r="CJ238" s="951"/>
      <c r="CK238" s="951"/>
      <c r="CL238" s="952"/>
      <c r="CM238" s="951"/>
      <c r="CN238" s="951"/>
      <c r="CO238" s="952"/>
      <c r="CP238" s="951"/>
      <c r="CQ238" s="951"/>
      <c r="CR238" s="952"/>
      <c r="CS238" s="946"/>
      <c r="CT238" s="953"/>
      <c r="CU238" s="953"/>
      <c r="CV238" s="953"/>
      <c r="CX238" s="951"/>
      <c r="CY238" s="951"/>
      <c r="CZ238" s="952"/>
      <c r="DB238" s="954"/>
      <c r="DC238" s="954"/>
      <c r="DD238" s="921"/>
      <c r="DE238" s="954"/>
      <c r="DF238" s="954"/>
      <c r="DG238" s="921"/>
      <c r="DH238" s="954"/>
      <c r="DI238" s="954"/>
      <c r="DJ238" s="921"/>
      <c r="DK238" s="954"/>
      <c r="DL238" s="954"/>
      <c r="DM238" s="921"/>
      <c r="DN238" s="954"/>
      <c r="DO238" s="954"/>
      <c r="DP238" s="921"/>
      <c r="DQ238" s="942"/>
      <c r="DR238" s="951"/>
      <c r="DS238" s="951"/>
      <c r="DT238" s="952"/>
      <c r="DV238" s="921"/>
      <c r="DW238" s="921"/>
      <c r="DX238" s="921"/>
      <c r="DY238" s="921"/>
      <c r="DZ238" s="921"/>
      <c r="EA238" s="921"/>
      <c r="EB238" s="921"/>
      <c r="EC238" s="921"/>
      <c r="ED238" s="921"/>
      <c r="EE238" s="921"/>
      <c r="EF238" s="921"/>
      <c r="EG238" s="921"/>
      <c r="EH238" s="921"/>
      <c r="EI238" s="921"/>
      <c r="EJ238" s="921"/>
      <c r="EK238" s="921"/>
      <c r="EL238" s="921"/>
      <c r="EM238" s="921"/>
      <c r="EN238" s="921"/>
      <c r="EO238" s="921"/>
      <c r="EP238" s="921"/>
      <c r="EQ238" s="954"/>
      <c r="ER238" s="954"/>
      <c r="ES238" s="954"/>
      <c r="ET238" s="954"/>
      <c r="EV238" s="942"/>
      <c r="EW238" s="951"/>
      <c r="EX238" s="951"/>
      <c r="EY238" s="952"/>
    </row>
    <row r="239" spans="1:155" s="965" customFormat="1" ht="15.75" x14ac:dyDescent="0.25">
      <c r="A239" s="931" t="s">
        <v>60</v>
      </c>
      <c r="B239" s="956"/>
      <c r="C239" s="957">
        <f>C48+C79+C134+C184+C220</f>
        <v>432.07</v>
      </c>
      <c r="D239" s="957">
        <f t="shared" ref="D239:BO243" si="278">D48+D79+D134+D184+D220</f>
        <v>1403768</v>
      </c>
      <c r="E239" s="958">
        <f t="shared" si="278"/>
        <v>139.26</v>
      </c>
      <c r="F239" s="959">
        <f t="shared" si="278"/>
        <v>1481040</v>
      </c>
      <c r="G239" s="958">
        <f t="shared" si="278"/>
        <v>133.32</v>
      </c>
      <c r="H239" s="960">
        <f t="shared" si="278"/>
        <v>1495905</v>
      </c>
      <c r="I239" s="939">
        <f t="shared" si="278"/>
        <v>5022183.58</v>
      </c>
      <c r="J239" s="939">
        <f t="shared" si="278"/>
        <v>5.41</v>
      </c>
      <c r="K239" s="961">
        <f t="shared" si="278"/>
        <v>660098.30000000005</v>
      </c>
      <c r="L239" s="939">
        <f t="shared" si="278"/>
        <v>703432.22</v>
      </c>
      <c r="M239" s="939">
        <f t="shared" si="278"/>
        <v>0.39</v>
      </c>
      <c r="N239" s="961">
        <f t="shared" si="278"/>
        <v>6742.52</v>
      </c>
      <c r="O239" s="939">
        <f t="shared" si="278"/>
        <v>7184.88</v>
      </c>
      <c r="P239" s="939">
        <f t="shared" si="278"/>
        <v>0</v>
      </c>
      <c r="Q239" s="961">
        <f t="shared" si="278"/>
        <v>0</v>
      </c>
      <c r="R239" s="939">
        <f t="shared" si="278"/>
        <v>0</v>
      </c>
      <c r="S239" s="939">
        <f t="shared" si="278"/>
        <v>8.02</v>
      </c>
      <c r="T239" s="961">
        <f t="shared" si="278"/>
        <v>97096.93</v>
      </c>
      <c r="U239" s="939">
        <f t="shared" si="278"/>
        <v>103475.51</v>
      </c>
      <c r="V239" s="939">
        <f t="shared" si="278"/>
        <v>0</v>
      </c>
      <c r="W239" s="961">
        <f t="shared" si="278"/>
        <v>0</v>
      </c>
      <c r="X239" s="939">
        <f t="shared" si="278"/>
        <v>0</v>
      </c>
      <c r="Y239" s="939">
        <f t="shared" si="278"/>
        <v>59.37</v>
      </c>
      <c r="Z239" s="961">
        <f t="shared" si="278"/>
        <v>493782.93</v>
      </c>
      <c r="AA239" s="939">
        <f t="shared" si="278"/>
        <v>526197.55000000005</v>
      </c>
      <c r="AB239" s="939">
        <f t="shared" si="278"/>
        <v>18.350000000000001</v>
      </c>
      <c r="AC239" s="961">
        <f t="shared" si="278"/>
        <v>738861.93</v>
      </c>
      <c r="AD239" s="939">
        <f t="shared" si="278"/>
        <v>787351.73</v>
      </c>
      <c r="AE239" s="939">
        <f t="shared" si="278"/>
        <v>0.52</v>
      </c>
      <c r="AF239" s="961">
        <f t="shared" si="278"/>
        <v>27845</v>
      </c>
      <c r="AG239" s="939">
        <f t="shared" si="278"/>
        <v>29673.26</v>
      </c>
      <c r="AH239" s="939">
        <f t="shared" si="278"/>
        <v>0</v>
      </c>
      <c r="AI239" s="961">
        <f t="shared" si="278"/>
        <v>0</v>
      </c>
      <c r="AJ239" s="939">
        <f t="shared" si="278"/>
        <v>0</v>
      </c>
      <c r="AK239" s="939">
        <f t="shared" si="278"/>
        <v>0</v>
      </c>
      <c r="AL239" s="961">
        <f t="shared" si="278"/>
        <v>0</v>
      </c>
      <c r="AM239" s="939">
        <f t="shared" si="278"/>
        <v>0</v>
      </c>
      <c r="AN239" s="957">
        <f t="shared" si="278"/>
        <v>2539944</v>
      </c>
      <c r="AO239" s="939">
        <f t="shared" si="278"/>
        <v>1813530.82</v>
      </c>
      <c r="AP239" s="957">
        <f t="shared" si="278"/>
        <v>8482.32</v>
      </c>
      <c r="AQ239" s="960">
        <f t="shared" si="278"/>
        <v>49833.63</v>
      </c>
      <c r="AR239" s="939">
        <f t="shared" si="278"/>
        <v>9042863.1799999997</v>
      </c>
      <c r="AS239" s="960">
        <f t="shared" si="278"/>
        <v>1584</v>
      </c>
      <c r="AT239" s="939">
        <f t="shared" si="278"/>
        <v>108514358.16</v>
      </c>
      <c r="AU239" s="960">
        <f t="shared" si="278"/>
        <v>1738738.54</v>
      </c>
      <c r="AV239" s="962">
        <f t="shared" si="278"/>
        <v>1085143.58</v>
      </c>
      <c r="AW239" s="939">
        <f t="shared" si="278"/>
        <v>111338240.28</v>
      </c>
      <c r="AX239" s="939">
        <f t="shared" si="278"/>
        <v>33624148.600000001</v>
      </c>
      <c r="AY239" s="939">
        <f t="shared" si="278"/>
        <v>144962388.88</v>
      </c>
      <c r="AZ239" s="941">
        <f t="shared" si="278"/>
        <v>111337.5</v>
      </c>
      <c r="BA239" s="941">
        <f t="shared" si="278"/>
        <v>33623.699999999997</v>
      </c>
      <c r="BB239" s="941">
        <f t="shared" si="278"/>
        <v>144961.20000000001</v>
      </c>
      <c r="BC239" s="958">
        <f t="shared" si="278"/>
        <v>125.4</v>
      </c>
      <c r="BD239" s="941">
        <f t="shared" si="278"/>
        <v>105770.9</v>
      </c>
      <c r="BE239" s="941">
        <f t="shared" si="278"/>
        <v>31943.5</v>
      </c>
      <c r="BF239" s="941">
        <f t="shared" si="278"/>
        <v>137714.4</v>
      </c>
      <c r="BG239" s="963">
        <f>'[3]свод (2024)'!$B$116</f>
        <v>0.99758349999999996</v>
      </c>
      <c r="BH239" s="941">
        <f t="shared" si="278"/>
        <v>105470.8</v>
      </c>
      <c r="BI239" s="941">
        <f t="shared" si="278"/>
        <v>31852.1</v>
      </c>
      <c r="BJ239" s="941">
        <f t="shared" si="278"/>
        <v>137322.9</v>
      </c>
      <c r="BK239" s="951">
        <f t="shared" si="278"/>
        <v>-5866.7</v>
      </c>
      <c r="BL239" s="951">
        <f t="shared" si="278"/>
        <v>-1771.6</v>
      </c>
      <c r="BM239" s="951">
        <f t="shared" si="278"/>
        <v>-7638.3</v>
      </c>
      <c r="BN239" s="951">
        <f t="shared" si="278"/>
        <v>0</v>
      </c>
      <c r="BO239" s="951">
        <f t="shared" si="278"/>
        <v>0</v>
      </c>
      <c r="BP239" s="964">
        <f t="shared" ref="BP239:CV239" si="279">BP48+BP79+BP134+BP184+BP220</f>
        <v>0</v>
      </c>
      <c r="BQ239" s="951">
        <f t="shared" si="279"/>
        <v>105470.8</v>
      </c>
      <c r="BR239" s="951">
        <f t="shared" si="279"/>
        <v>31852.1</v>
      </c>
      <c r="BS239" s="951">
        <f t="shared" si="279"/>
        <v>137322.9</v>
      </c>
      <c r="BU239" s="939">
        <f t="shared" si="279"/>
        <v>245.07</v>
      </c>
      <c r="BV239" s="939">
        <f t="shared" si="279"/>
        <v>29.5</v>
      </c>
      <c r="BW239" s="939">
        <f t="shared" si="279"/>
        <v>215.57</v>
      </c>
      <c r="BX239" s="939">
        <f t="shared" si="279"/>
        <v>58619159.07</v>
      </c>
      <c r="BY239" s="939">
        <f t="shared" si="279"/>
        <v>51598343.880000003</v>
      </c>
      <c r="BZ239" s="939">
        <f t="shared" si="279"/>
        <v>144.19999999999999</v>
      </c>
      <c r="CA239" s="939"/>
      <c r="CB239" s="939"/>
      <c r="CC239" s="939">
        <f t="shared" si="279"/>
        <v>20590829.879999999</v>
      </c>
      <c r="CD239" s="939">
        <f t="shared" si="279"/>
        <v>6218430.6299999999</v>
      </c>
      <c r="CE239" s="939">
        <f t="shared" si="279"/>
        <v>26809260.510000002</v>
      </c>
      <c r="CF239" s="966">
        <f t="shared" si="279"/>
        <v>20590829.859999999</v>
      </c>
      <c r="CG239" s="939">
        <f t="shared" si="279"/>
        <v>20590.900000000001</v>
      </c>
      <c r="CH239" s="939">
        <f t="shared" si="279"/>
        <v>6218.5</v>
      </c>
      <c r="CI239" s="939">
        <f t="shared" si="279"/>
        <v>26809.4</v>
      </c>
      <c r="CJ239" s="967">
        <f t="shared" si="279"/>
        <v>126061.7</v>
      </c>
      <c r="CK239" s="967">
        <f t="shared" si="279"/>
        <v>38070.6</v>
      </c>
      <c r="CL239" s="967">
        <f t="shared" si="279"/>
        <v>164132.29999999999</v>
      </c>
      <c r="CM239" s="967">
        <f t="shared" si="279"/>
        <v>1514.4</v>
      </c>
      <c r="CN239" s="967">
        <f t="shared" si="279"/>
        <v>457.4</v>
      </c>
      <c r="CO239" s="967">
        <f t="shared" si="279"/>
        <v>1971.8</v>
      </c>
      <c r="CP239" s="968">
        <f t="shared" si="279"/>
        <v>124547.3</v>
      </c>
      <c r="CQ239" s="968">
        <f t="shared" si="279"/>
        <v>37613.199999999997</v>
      </c>
      <c r="CR239" s="969">
        <f t="shared" si="279"/>
        <v>162160.5</v>
      </c>
      <c r="CS239" s="941"/>
      <c r="CT239" s="941">
        <f t="shared" si="279"/>
        <v>5285.3</v>
      </c>
      <c r="CU239" s="941">
        <f t="shared" si="279"/>
        <v>1596.1</v>
      </c>
      <c r="CV239" s="941">
        <f t="shared" si="279"/>
        <v>6881.4</v>
      </c>
      <c r="CX239" s="967">
        <f t="shared" ref="CX239:CZ239" si="280">CX48+CX79+CX134+CX184+CX220</f>
        <v>70674.8</v>
      </c>
      <c r="CY239" s="967">
        <f t="shared" si="280"/>
        <v>21343.9</v>
      </c>
      <c r="CZ239" s="967">
        <f t="shared" si="280"/>
        <v>92018.7</v>
      </c>
      <c r="DA239" s="965">
        <f>144.2*41718.2*12*1.302/1000</f>
        <v>93990.303610560004</v>
      </c>
      <c r="DB239" s="967">
        <v>669.4</v>
      </c>
      <c r="DC239" s="967">
        <v>202.1</v>
      </c>
      <c r="DD239" s="970">
        <f>DB239+DC239</f>
        <v>871.5</v>
      </c>
      <c r="DE239" s="967">
        <v>669.4</v>
      </c>
      <c r="DF239" s="967">
        <v>202.1</v>
      </c>
      <c r="DG239" s="970">
        <f>DE239+DF239</f>
        <v>871.5</v>
      </c>
      <c r="DH239" s="967">
        <v>669.4</v>
      </c>
      <c r="DI239" s="967">
        <v>202.1</v>
      </c>
      <c r="DJ239" s="970">
        <f>DH239+DI239</f>
        <v>871.5</v>
      </c>
      <c r="DK239" s="967">
        <v>669.4</v>
      </c>
      <c r="DL239" s="967">
        <v>202.1</v>
      </c>
      <c r="DM239" s="970">
        <f>DK239+DL239</f>
        <v>871.5</v>
      </c>
      <c r="DN239" s="968">
        <f>DB239+DE239+DH239+DK239</f>
        <v>2677.6</v>
      </c>
      <c r="DO239" s="968">
        <f>DC239+DF239+DI239+DL239</f>
        <v>808.4</v>
      </c>
      <c r="DP239" s="969">
        <f>DN239+DO239</f>
        <v>3486</v>
      </c>
      <c r="DQ239" s="963">
        <f>(CR239-DP239)/CR239</f>
        <v>0.97850278000000002</v>
      </c>
      <c r="DR239" s="968">
        <f t="shared" ref="DR239:DS239" si="281">DR48+DR79+DR134+DR184+DR220</f>
        <v>121869.9</v>
      </c>
      <c r="DS239" s="968">
        <f t="shared" si="281"/>
        <v>36804.6</v>
      </c>
      <c r="DT239" s="969">
        <f>DR239+DS239</f>
        <v>158674.5</v>
      </c>
      <c r="DV239" s="970">
        <f>DW239+DZ239</f>
        <v>871.5</v>
      </c>
      <c r="DW239" s="970">
        <f>DX239+DY239</f>
        <v>780.8</v>
      </c>
      <c r="DX239" s="967">
        <v>599.70000000000005</v>
      </c>
      <c r="DY239" s="967">
        <v>181.1</v>
      </c>
      <c r="DZ239" s="967">
        <v>90.7</v>
      </c>
      <c r="EA239" s="970">
        <f>EB239+EE239</f>
        <v>871.5</v>
      </c>
      <c r="EB239" s="970">
        <f>EC239+ED239</f>
        <v>780.8</v>
      </c>
      <c r="EC239" s="967">
        <v>599.70000000000005</v>
      </c>
      <c r="ED239" s="967">
        <v>181.1</v>
      </c>
      <c r="EE239" s="967">
        <v>90.7</v>
      </c>
      <c r="EF239" s="970">
        <f>EG239+EJ239</f>
        <v>871.5</v>
      </c>
      <c r="EG239" s="970">
        <f>EH239+EI239</f>
        <v>780.8</v>
      </c>
      <c r="EH239" s="967">
        <v>599.70000000000005</v>
      </c>
      <c r="EI239" s="967">
        <v>181.1</v>
      </c>
      <c r="EJ239" s="967">
        <v>90.7</v>
      </c>
      <c r="EK239" s="970">
        <f>EL239+EO239</f>
        <v>871.5</v>
      </c>
      <c r="EL239" s="970">
        <f>EM239+EN239</f>
        <v>780.8</v>
      </c>
      <c r="EM239" s="967">
        <v>599.70000000000005</v>
      </c>
      <c r="EN239" s="967">
        <v>181.1</v>
      </c>
      <c r="EO239" s="967">
        <v>90.7</v>
      </c>
      <c r="EP239" s="969">
        <f>EQ239+ET239</f>
        <v>3486</v>
      </c>
      <c r="EQ239" s="968">
        <f>ER239+ES239</f>
        <v>3123.2</v>
      </c>
      <c r="ER239" s="968">
        <f>DX239+EC239+EH239+EM239</f>
        <v>2398.8000000000002</v>
      </c>
      <c r="ES239" s="968">
        <f t="shared" ref="ES239:ET239" si="282">DY239+ED239+EI239+EN239</f>
        <v>724.4</v>
      </c>
      <c r="ET239" s="968">
        <f t="shared" si="282"/>
        <v>362.8</v>
      </c>
      <c r="EV239" s="963">
        <f>(CR239-EQ239)/CR239</f>
        <v>0.98074006899999999</v>
      </c>
      <c r="EW239" s="968">
        <f t="shared" ref="EW239:EX239" si="283">EW48+EW79+EW134+EW184+EW220</f>
        <v>122148.2</v>
      </c>
      <c r="EX239" s="968">
        <f t="shared" si="283"/>
        <v>36888.800000000003</v>
      </c>
      <c r="EY239" s="969">
        <f>EW239+EX239</f>
        <v>159037</v>
      </c>
    </row>
    <row r="240" spans="1:155" s="927" customFormat="1" ht="15.75" x14ac:dyDescent="0.25">
      <c r="A240" s="931"/>
      <c r="B240" s="932" t="s">
        <v>406</v>
      </c>
      <c r="C240" s="981">
        <f>C49+C80+C135+C185+C221</f>
        <v>183.63</v>
      </c>
      <c r="D240" s="938"/>
      <c r="E240" s="983"/>
      <c r="F240" s="936"/>
      <c r="G240" s="983"/>
      <c r="H240" s="984">
        <f t="shared" si="278"/>
        <v>97958</v>
      </c>
      <c r="I240" s="984">
        <f t="shared" si="278"/>
        <v>2569718.2200000002</v>
      </c>
      <c r="J240" s="937"/>
      <c r="K240" s="938"/>
      <c r="L240" s="984">
        <f t="shared" si="278"/>
        <v>539877.78</v>
      </c>
      <c r="M240" s="937"/>
      <c r="N240" s="938"/>
      <c r="O240" s="984">
        <f t="shared" si="278"/>
        <v>0</v>
      </c>
      <c r="P240" s="937"/>
      <c r="Q240" s="938"/>
      <c r="R240" s="984">
        <f t="shared" si="278"/>
        <v>0</v>
      </c>
      <c r="S240" s="937"/>
      <c r="T240" s="938"/>
      <c r="U240" s="984">
        <f t="shared" si="278"/>
        <v>0</v>
      </c>
      <c r="V240" s="937"/>
      <c r="W240" s="938"/>
      <c r="X240" s="984">
        <f t="shared" si="278"/>
        <v>0</v>
      </c>
      <c r="Y240" s="937"/>
      <c r="Z240" s="938"/>
      <c r="AA240" s="984">
        <f t="shared" si="278"/>
        <v>0</v>
      </c>
      <c r="AB240" s="937"/>
      <c r="AC240" s="938"/>
      <c r="AD240" s="984">
        <f t="shared" si="278"/>
        <v>450074.83</v>
      </c>
      <c r="AE240" s="937"/>
      <c r="AF240" s="938"/>
      <c r="AG240" s="984">
        <f t="shared" si="278"/>
        <v>18233.07</v>
      </c>
      <c r="AH240" s="937"/>
      <c r="AI240" s="938"/>
      <c r="AJ240" s="984">
        <f t="shared" si="278"/>
        <v>0</v>
      </c>
      <c r="AK240" s="937"/>
      <c r="AL240" s="938"/>
      <c r="AM240" s="984">
        <f t="shared" si="278"/>
        <v>0</v>
      </c>
      <c r="AN240" s="938"/>
      <c r="AO240" s="984">
        <f t="shared" si="278"/>
        <v>43303.66</v>
      </c>
      <c r="AP240" s="938"/>
      <c r="AQ240" s="984">
        <f t="shared" si="278"/>
        <v>0</v>
      </c>
      <c r="AR240" s="984">
        <f t="shared" si="278"/>
        <v>3621207.56</v>
      </c>
      <c r="AS240" s="936"/>
      <c r="AT240" s="984">
        <f t="shared" si="278"/>
        <v>43454490.719999999</v>
      </c>
      <c r="AU240" s="984">
        <f t="shared" si="278"/>
        <v>0</v>
      </c>
      <c r="AV240" s="984">
        <f t="shared" si="278"/>
        <v>434544.91</v>
      </c>
      <c r="AW240" s="984">
        <f t="shared" si="278"/>
        <v>43889035.630000003</v>
      </c>
      <c r="AX240" s="939"/>
      <c r="AY240" s="939"/>
      <c r="AZ240" s="941"/>
      <c r="BA240" s="941"/>
      <c r="BB240" s="941"/>
      <c r="BC240" s="934"/>
      <c r="BD240" s="941"/>
      <c r="BE240" s="941"/>
      <c r="BF240" s="941"/>
      <c r="BG240" s="942"/>
      <c r="BH240" s="941"/>
      <c r="BI240" s="941"/>
      <c r="BJ240" s="941"/>
      <c r="BK240" s="943"/>
      <c r="BL240" s="943"/>
      <c r="BM240" s="943"/>
      <c r="BN240" s="943"/>
      <c r="BO240" s="943"/>
      <c r="BP240" s="944"/>
      <c r="BQ240" s="943"/>
      <c r="BR240" s="943"/>
      <c r="BS240" s="943"/>
      <c r="BU240" s="945"/>
      <c r="BV240" s="946"/>
      <c r="BW240" s="947"/>
      <c r="BX240" s="945"/>
      <c r="BY240" s="947"/>
      <c r="BZ240" s="946"/>
      <c r="CA240" s="947"/>
      <c r="CB240" s="946"/>
      <c r="CC240" s="947"/>
      <c r="CD240" s="947"/>
      <c r="CE240" s="947"/>
      <c r="CF240" s="948"/>
      <c r="CG240" s="949"/>
      <c r="CH240" s="949"/>
      <c r="CI240" s="950"/>
      <c r="CJ240" s="951"/>
      <c r="CK240" s="951"/>
      <c r="CL240" s="952"/>
      <c r="CM240" s="951"/>
      <c r="CN240" s="951"/>
      <c r="CO240" s="952"/>
      <c r="CP240" s="951"/>
      <c r="CQ240" s="951"/>
      <c r="CR240" s="952"/>
      <c r="CS240" s="946"/>
      <c r="CT240" s="953"/>
      <c r="CU240" s="953"/>
      <c r="CV240" s="953"/>
      <c r="CX240" s="951"/>
      <c r="CY240" s="951"/>
      <c r="CZ240" s="952"/>
      <c r="DB240" s="954"/>
      <c r="DC240" s="954"/>
      <c r="DD240" s="921"/>
      <c r="DE240" s="954"/>
      <c r="DF240" s="954"/>
      <c r="DG240" s="921"/>
      <c r="DH240" s="954"/>
      <c r="DI240" s="954"/>
      <c r="DJ240" s="921"/>
      <c r="DK240" s="954"/>
      <c r="DL240" s="954"/>
      <c r="DM240" s="921"/>
      <c r="DN240" s="954"/>
      <c r="DO240" s="954"/>
      <c r="DP240" s="921"/>
      <c r="DQ240" s="942"/>
      <c r="DR240" s="951"/>
      <c r="DS240" s="951"/>
      <c r="DT240" s="952"/>
      <c r="DV240" s="921"/>
      <c r="DW240" s="921"/>
      <c r="DX240" s="921"/>
      <c r="DY240" s="921"/>
      <c r="DZ240" s="921"/>
      <c r="EA240" s="921"/>
      <c r="EB240" s="921"/>
      <c r="EC240" s="921"/>
      <c r="ED240" s="921"/>
      <c r="EE240" s="921"/>
      <c r="EF240" s="921"/>
      <c r="EG240" s="921"/>
      <c r="EH240" s="921"/>
      <c r="EI240" s="921"/>
      <c r="EJ240" s="921"/>
      <c r="EK240" s="921"/>
      <c r="EL240" s="921"/>
      <c r="EM240" s="921"/>
      <c r="EN240" s="921"/>
      <c r="EO240" s="921"/>
      <c r="EP240" s="921"/>
      <c r="EQ240" s="954"/>
      <c r="ER240" s="954"/>
      <c r="ES240" s="954"/>
      <c r="ET240" s="954"/>
      <c r="EV240" s="942"/>
      <c r="EW240" s="951"/>
      <c r="EX240" s="951"/>
      <c r="EY240" s="952"/>
    </row>
    <row r="241" spans="1:155" s="927" customFormat="1" ht="15.75" x14ac:dyDescent="0.25">
      <c r="A241" s="931"/>
      <c r="B241" s="932" t="s">
        <v>403</v>
      </c>
      <c r="C241" s="981">
        <f t="shared" ref="C241:C243" si="284">C50+C81+C136+C186+C222</f>
        <v>61.44</v>
      </c>
      <c r="D241" s="938"/>
      <c r="E241" s="983"/>
      <c r="F241" s="936"/>
      <c r="G241" s="983"/>
      <c r="H241" s="984">
        <f t="shared" si="278"/>
        <v>286018</v>
      </c>
      <c r="I241" s="984">
        <f t="shared" si="278"/>
        <v>874454.36</v>
      </c>
      <c r="J241" s="937"/>
      <c r="K241" s="938"/>
      <c r="L241" s="984">
        <f t="shared" si="278"/>
        <v>163554.44</v>
      </c>
      <c r="M241" s="937"/>
      <c r="N241" s="938"/>
      <c r="O241" s="984">
        <f t="shared" si="278"/>
        <v>0</v>
      </c>
      <c r="P241" s="937"/>
      <c r="Q241" s="938"/>
      <c r="R241" s="984">
        <f t="shared" si="278"/>
        <v>0</v>
      </c>
      <c r="S241" s="937"/>
      <c r="T241" s="938"/>
      <c r="U241" s="984">
        <f t="shared" si="278"/>
        <v>0</v>
      </c>
      <c r="V241" s="937"/>
      <c r="W241" s="938"/>
      <c r="X241" s="984">
        <f t="shared" si="278"/>
        <v>0</v>
      </c>
      <c r="Y241" s="937"/>
      <c r="Z241" s="938"/>
      <c r="AA241" s="984">
        <f t="shared" si="278"/>
        <v>0</v>
      </c>
      <c r="AB241" s="937"/>
      <c r="AC241" s="938"/>
      <c r="AD241" s="984">
        <f t="shared" si="278"/>
        <v>136658.87</v>
      </c>
      <c r="AE241" s="937"/>
      <c r="AF241" s="938"/>
      <c r="AG241" s="984">
        <f t="shared" si="278"/>
        <v>2798.59</v>
      </c>
      <c r="AH241" s="937"/>
      <c r="AI241" s="938"/>
      <c r="AJ241" s="984">
        <f t="shared" si="278"/>
        <v>0</v>
      </c>
      <c r="AK241" s="937"/>
      <c r="AL241" s="938"/>
      <c r="AM241" s="984">
        <f t="shared" si="278"/>
        <v>0</v>
      </c>
      <c r="AN241" s="938"/>
      <c r="AO241" s="984">
        <f t="shared" si="278"/>
        <v>37890.46</v>
      </c>
      <c r="AP241" s="938"/>
      <c r="AQ241" s="984">
        <f t="shared" si="278"/>
        <v>0</v>
      </c>
      <c r="AR241" s="984">
        <f t="shared" si="278"/>
        <v>1215356.72</v>
      </c>
      <c r="AS241" s="936"/>
      <c r="AT241" s="984">
        <f t="shared" si="278"/>
        <v>14584280.640000001</v>
      </c>
      <c r="AU241" s="984">
        <f t="shared" si="278"/>
        <v>0</v>
      </c>
      <c r="AV241" s="984">
        <f t="shared" si="278"/>
        <v>145842.79999999999</v>
      </c>
      <c r="AW241" s="984">
        <f t="shared" si="278"/>
        <v>14730123.439999999</v>
      </c>
      <c r="AX241" s="939"/>
      <c r="AY241" s="939"/>
      <c r="AZ241" s="941"/>
      <c r="BA241" s="941"/>
      <c r="BB241" s="941"/>
      <c r="BC241" s="934"/>
      <c r="BD241" s="941"/>
      <c r="BE241" s="941"/>
      <c r="BF241" s="941"/>
      <c r="BG241" s="942"/>
      <c r="BH241" s="941"/>
      <c r="BI241" s="941"/>
      <c r="BJ241" s="941"/>
      <c r="BK241" s="943"/>
      <c r="BL241" s="943"/>
      <c r="BM241" s="943"/>
      <c r="BN241" s="943"/>
      <c r="BO241" s="943"/>
      <c r="BP241" s="944"/>
      <c r="BQ241" s="943"/>
      <c r="BR241" s="943"/>
      <c r="BS241" s="943"/>
      <c r="BU241" s="945"/>
      <c r="BV241" s="946"/>
      <c r="BW241" s="947"/>
      <c r="BX241" s="945"/>
      <c r="BY241" s="947"/>
      <c r="BZ241" s="946"/>
      <c r="CA241" s="947"/>
      <c r="CB241" s="946"/>
      <c r="CC241" s="947"/>
      <c r="CD241" s="947"/>
      <c r="CE241" s="947"/>
      <c r="CF241" s="948"/>
      <c r="CG241" s="949"/>
      <c r="CH241" s="949"/>
      <c r="CI241" s="950"/>
      <c r="CJ241" s="951"/>
      <c r="CK241" s="951"/>
      <c r="CL241" s="952"/>
      <c r="CM241" s="951"/>
      <c r="CN241" s="951"/>
      <c r="CO241" s="952"/>
      <c r="CP241" s="951"/>
      <c r="CQ241" s="951"/>
      <c r="CR241" s="952"/>
      <c r="CS241" s="946"/>
      <c r="CT241" s="953"/>
      <c r="CU241" s="953"/>
      <c r="CV241" s="953"/>
      <c r="CX241" s="951"/>
      <c r="CY241" s="951"/>
      <c r="CZ241" s="952"/>
      <c r="DB241" s="954"/>
      <c r="DC241" s="954"/>
      <c r="DD241" s="921"/>
      <c r="DE241" s="954"/>
      <c r="DF241" s="954"/>
      <c r="DG241" s="921"/>
      <c r="DH241" s="954"/>
      <c r="DI241" s="954"/>
      <c r="DJ241" s="921"/>
      <c r="DK241" s="954"/>
      <c r="DL241" s="954"/>
      <c r="DM241" s="921"/>
      <c r="DN241" s="954"/>
      <c r="DO241" s="954"/>
      <c r="DP241" s="921"/>
      <c r="DQ241" s="942"/>
      <c r="DR241" s="951"/>
      <c r="DS241" s="951"/>
      <c r="DT241" s="952"/>
      <c r="DV241" s="921"/>
      <c r="DW241" s="921"/>
      <c r="DX241" s="921"/>
      <c r="DY241" s="921"/>
      <c r="DZ241" s="921"/>
      <c r="EA241" s="921"/>
      <c r="EB241" s="921"/>
      <c r="EC241" s="921"/>
      <c r="ED241" s="921"/>
      <c r="EE241" s="921"/>
      <c r="EF241" s="921"/>
      <c r="EG241" s="921"/>
      <c r="EH241" s="921"/>
      <c r="EI241" s="921"/>
      <c r="EJ241" s="921"/>
      <c r="EK241" s="921"/>
      <c r="EL241" s="921"/>
      <c r="EM241" s="921"/>
      <c r="EN241" s="921"/>
      <c r="EO241" s="921"/>
      <c r="EP241" s="921"/>
      <c r="EQ241" s="954"/>
      <c r="ER241" s="954"/>
      <c r="ES241" s="954"/>
      <c r="ET241" s="954"/>
      <c r="EV241" s="942"/>
      <c r="EW241" s="951"/>
      <c r="EX241" s="951"/>
      <c r="EY241" s="952"/>
    </row>
    <row r="242" spans="1:155" s="927" customFormat="1" ht="15.75" x14ac:dyDescent="0.25">
      <c r="A242" s="931"/>
      <c r="B242" s="932" t="s">
        <v>404</v>
      </c>
      <c r="C242" s="981">
        <f t="shared" si="284"/>
        <v>119.25</v>
      </c>
      <c r="D242" s="938"/>
      <c r="E242" s="983"/>
      <c r="F242" s="936"/>
      <c r="G242" s="983"/>
      <c r="H242" s="984">
        <f t="shared" si="278"/>
        <v>1010592</v>
      </c>
      <c r="I242" s="984">
        <f t="shared" si="278"/>
        <v>1248786.5</v>
      </c>
      <c r="J242" s="937"/>
      <c r="K242" s="938"/>
      <c r="L242" s="984">
        <f t="shared" si="278"/>
        <v>0</v>
      </c>
      <c r="M242" s="937"/>
      <c r="N242" s="938"/>
      <c r="O242" s="984">
        <f t="shared" si="278"/>
        <v>7184.88</v>
      </c>
      <c r="P242" s="937"/>
      <c r="Q242" s="938"/>
      <c r="R242" s="984">
        <f t="shared" si="278"/>
        <v>0</v>
      </c>
      <c r="S242" s="937"/>
      <c r="T242" s="938"/>
      <c r="U242" s="984">
        <f t="shared" si="278"/>
        <v>71106.92</v>
      </c>
      <c r="V242" s="937"/>
      <c r="W242" s="938"/>
      <c r="X242" s="984">
        <f t="shared" si="278"/>
        <v>0</v>
      </c>
      <c r="Y242" s="937"/>
      <c r="Z242" s="938"/>
      <c r="AA242" s="984">
        <f t="shared" si="278"/>
        <v>526197.55000000005</v>
      </c>
      <c r="AB242" s="937"/>
      <c r="AC242" s="938"/>
      <c r="AD242" s="984">
        <f t="shared" si="278"/>
        <v>200618.03</v>
      </c>
      <c r="AE242" s="937"/>
      <c r="AF242" s="938"/>
      <c r="AG242" s="984">
        <f t="shared" si="278"/>
        <v>8641.6</v>
      </c>
      <c r="AH242" s="937"/>
      <c r="AI242" s="938"/>
      <c r="AJ242" s="984">
        <f t="shared" si="278"/>
        <v>0</v>
      </c>
      <c r="AK242" s="937"/>
      <c r="AL242" s="938"/>
      <c r="AM242" s="984">
        <f t="shared" si="278"/>
        <v>0</v>
      </c>
      <c r="AN242" s="938"/>
      <c r="AO242" s="984">
        <f t="shared" si="278"/>
        <v>790284.29</v>
      </c>
      <c r="AP242" s="938"/>
      <c r="AQ242" s="984">
        <f t="shared" si="278"/>
        <v>4241.16</v>
      </c>
      <c r="AR242" s="984">
        <f t="shared" si="278"/>
        <v>2857060.93</v>
      </c>
      <c r="AS242" s="936"/>
      <c r="AT242" s="984">
        <f t="shared" si="278"/>
        <v>34284731.159999996</v>
      </c>
      <c r="AU242" s="984">
        <f t="shared" si="278"/>
        <v>809026.42</v>
      </c>
      <c r="AV242" s="984">
        <f t="shared" si="278"/>
        <v>342847.32</v>
      </c>
      <c r="AW242" s="984">
        <f t="shared" si="278"/>
        <v>35436604.899999999</v>
      </c>
      <c r="AX242" s="939"/>
      <c r="AY242" s="939"/>
      <c r="AZ242" s="941"/>
      <c r="BA242" s="941"/>
      <c r="BB242" s="941"/>
      <c r="BC242" s="934"/>
      <c r="BD242" s="941"/>
      <c r="BE242" s="941"/>
      <c r="BF242" s="941"/>
      <c r="BG242" s="942"/>
      <c r="BH242" s="941"/>
      <c r="BI242" s="941"/>
      <c r="BJ242" s="941"/>
      <c r="BK242" s="943"/>
      <c r="BL242" s="943"/>
      <c r="BM242" s="943"/>
      <c r="BN242" s="943"/>
      <c r="BO242" s="943"/>
      <c r="BP242" s="944"/>
      <c r="BQ242" s="943"/>
      <c r="BR242" s="943"/>
      <c r="BS242" s="943"/>
      <c r="BU242" s="945"/>
      <c r="BV242" s="946"/>
      <c r="BW242" s="947"/>
      <c r="BX242" s="945"/>
      <c r="BY242" s="947"/>
      <c r="BZ242" s="946"/>
      <c r="CA242" s="947"/>
      <c r="CB242" s="946"/>
      <c r="CC242" s="947"/>
      <c r="CD242" s="947"/>
      <c r="CE242" s="947"/>
      <c r="CF242" s="948"/>
      <c r="CG242" s="949"/>
      <c r="CH242" s="949"/>
      <c r="CI242" s="950"/>
      <c r="CJ242" s="951"/>
      <c r="CK242" s="951"/>
      <c r="CL242" s="952"/>
      <c r="CM242" s="951"/>
      <c r="CN242" s="951"/>
      <c r="CO242" s="952"/>
      <c r="CP242" s="951"/>
      <c r="CQ242" s="951"/>
      <c r="CR242" s="952"/>
      <c r="CS242" s="946"/>
      <c r="CT242" s="953"/>
      <c r="CU242" s="953"/>
      <c r="CV242" s="953"/>
      <c r="CX242" s="951"/>
      <c r="CY242" s="951"/>
      <c r="CZ242" s="952"/>
      <c r="DB242" s="954"/>
      <c r="DC242" s="954"/>
      <c r="DD242" s="921"/>
      <c r="DE242" s="954"/>
      <c r="DF242" s="954"/>
      <c r="DG242" s="921"/>
      <c r="DH242" s="954"/>
      <c r="DI242" s="954"/>
      <c r="DJ242" s="921"/>
      <c r="DK242" s="954"/>
      <c r="DL242" s="954"/>
      <c r="DM242" s="921"/>
      <c r="DN242" s="954"/>
      <c r="DO242" s="954"/>
      <c r="DP242" s="921"/>
      <c r="DQ242" s="942"/>
      <c r="DR242" s="951"/>
      <c r="DS242" s="951"/>
      <c r="DT242" s="952"/>
      <c r="DV242" s="921"/>
      <c r="DW242" s="921"/>
      <c r="DX242" s="921"/>
      <c r="DY242" s="921"/>
      <c r="DZ242" s="921"/>
      <c r="EA242" s="921"/>
      <c r="EB242" s="921"/>
      <c r="EC242" s="921"/>
      <c r="ED242" s="921"/>
      <c r="EE242" s="921"/>
      <c r="EF242" s="921"/>
      <c r="EG242" s="921"/>
      <c r="EH242" s="921"/>
      <c r="EI242" s="921"/>
      <c r="EJ242" s="921"/>
      <c r="EK242" s="921"/>
      <c r="EL242" s="921"/>
      <c r="EM242" s="921"/>
      <c r="EN242" s="921"/>
      <c r="EO242" s="921"/>
      <c r="EP242" s="921"/>
      <c r="EQ242" s="954"/>
      <c r="ER242" s="954"/>
      <c r="ES242" s="954"/>
      <c r="ET242" s="954"/>
      <c r="EV242" s="942"/>
      <c r="EW242" s="951"/>
      <c r="EX242" s="951"/>
      <c r="EY242" s="952"/>
    </row>
    <row r="243" spans="1:155" s="927" customFormat="1" ht="15.75" x14ac:dyDescent="0.25">
      <c r="A243" s="931"/>
      <c r="B243" s="932" t="s">
        <v>405</v>
      </c>
      <c r="C243" s="981">
        <f t="shared" si="284"/>
        <v>67.75</v>
      </c>
      <c r="D243" s="938"/>
      <c r="E243" s="983"/>
      <c r="F243" s="936"/>
      <c r="G243" s="983"/>
      <c r="H243" s="984">
        <f t="shared" si="278"/>
        <v>101337</v>
      </c>
      <c r="I243" s="984">
        <f t="shared" si="278"/>
        <v>329224.5</v>
      </c>
      <c r="J243" s="937"/>
      <c r="K243" s="938"/>
      <c r="L243" s="984">
        <f t="shared" si="278"/>
        <v>0</v>
      </c>
      <c r="M243" s="937"/>
      <c r="N243" s="938"/>
      <c r="O243" s="984">
        <f t="shared" si="278"/>
        <v>0</v>
      </c>
      <c r="P243" s="937"/>
      <c r="Q243" s="938"/>
      <c r="R243" s="984">
        <f t="shared" si="278"/>
        <v>0</v>
      </c>
      <c r="S243" s="937"/>
      <c r="T243" s="938"/>
      <c r="U243" s="984">
        <f t="shared" si="278"/>
        <v>32368.59</v>
      </c>
      <c r="V243" s="937"/>
      <c r="W243" s="938"/>
      <c r="X243" s="984">
        <f t="shared" si="278"/>
        <v>0</v>
      </c>
      <c r="Y243" s="937"/>
      <c r="Z243" s="938"/>
      <c r="AA243" s="984">
        <f t="shared" si="278"/>
        <v>0</v>
      </c>
      <c r="AB243" s="937"/>
      <c r="AC243" s="938"/>
      <c r="AD243" s="984">
        <f t="shared" si="278"/>
        <v>0</v>
      </c>
      <c r="AE243" s="937"/>
      <c r="AF243" s="938"/>
      <c r="AG243" s="984">
        <f t="shared" si="278"/>
        <v>0</v>
      </c>
      <c r="AH243" s="937"/>
      <c r="AI243" s="938"/>
      <c r="AJ243" s="984">
        <f t="shared" si="278"/>
        <v>0</v>
      </c>
      <c r="AK243" s="937"/>
      <c r="AL243" s="938"/>
      <c r="AM243" s="984">
        <f t="shared" si="278"/>
        <v>0</v>
      </c>
      <c r="AN243" s="938"/>
      <c r="AO243" s="984">
        <f t="shared" si="278"/>
        <v>942052.41</v>
      </c>
      <c r="AP243" s="938"/>
      <c r="AQ243" s="984">
        <f t="shared" si="278"/>
        <v>45592.47</v>
      </c>
      <c r="AR243" s="984">
        <f t="shared" si="278"/>
        <v>1349237.97</v>
      </c>
      <c r="AS243" s="936"/>
      <c r="AT243" s="984">
        <f t="shared" si="278"/>
        <v>16190855.640000001</v>
      </c>
      <c r="AU243" s="984">
        <f t="shared" si="278"/>
        <v>929712.12</v>
      </c>
      <c r="AV243" s="984">
        <f t="shared" si="278"/>
        <v>161908.54999999999</v>
      </c>
      <c r="AW243" s="984">
        <f t="shared" si="278"/>
        <v>17282476.309999999</v>
      </c>
      <c r="AX243" s="939"/>
      <c r="AY243" s="939"/>
      <c r="AZ243" s="941"/>
      <c r="BA243" s="941"/>
      <c r="BB243" s="941"/>
      <c r="BC243" s="934"/>
      <c r="BD243" s="941"/>
      <c r="BE243" s="941"/>
      <c r="BF243" s="941"/>
      <c r="BG243" s="942"/>
      <c r="BH243" s="941"/>
      <c r="BI243" s="941"/>
      <c r="BJ243" s="941"/>
      <c r="BK243" s="943"/>
      <c r="BL243" s="943"/>
      <c r="BM243" s="943"/>
      <c r="BN243" s="943"/>
      <c r="BO243" s="943"/>
      <c r="BP243" s="944"/>
      <c r="BQ243" s="943"/>
      <c r="BR243" s="943"/>
      <c r="BS243" s="943"/>
      <c r="BU243" s="945"/>
      <c r="BV243" s="946"/>
      <c r="BW243" s="947"/>
      <c r="BX243" s="945"/>
      <c r="BY243" s="947"/>
      <c r="BZ243" s="946"/>
      <c r="CA243" s="947"/>
      <c r="CB243" s="946"/>
      <c r="CC243" s="947"/>
      <c r="CD243" s="947"/>
      <c r="CE243" s="947"/>
      <c r="CF243" s="948"/>
      <c r="CG243" s="949"/>
      <c r="CH243" s="949"/>
      <c r="CI243" s="950"/>
      <c r="CJ243" s="951"/>
      <c r="CK243" s="951"/>
      <c r="CL243" s="952"/>
      <c r="CM243" s="951"/>
      <c r="CN243" s="951"/>
      <c r="CO243" s="952"/>
      <c r="CP243" s="951"/>
      <c r="CQ243" s="951"/>
      <c r="CR243" s="952"/>
      <c r="CS243" s="946"/>
      <c r="CT243" s="953"/>
      <c r="CU243" s="953"/>
      <c r="CV243" s="953"/>
      <c r="CX243" s="951"/>
      <c r="CY243" s="951"/>
      <c r="CZ243" s="952"/>
      <c r="DB243" s="954"/>
      <c r="DC243" s="954"/>
      <c r="DD243" s="921"/>
      <c r="DE243" s="954"/>
      <c r="DF243" s="954"/>
      <c r="DG243" s="921"/>
      <c r="DH243" s="954"/>
      <c r="DI243" s="954"/>
      <c r="DJ243" s="921"/>
      <c r="DK243" s="954"/>
      <c r="DL243" s="954"/>
      <c r="DM243" s="921"/>
      <c r="DN243" s="954"/>
      <c r="DO243" s="954"/>
      <c r="DP243" s="921"/>
      <c r="DQ243" s="942"/>
      <c r="DR243" s="951"/>
      <c r="DS243" s="951"/>
      <c r="DT243" s="952"/>
      <c r="DV243" s="921"/>
      <c r="DW243" s="921"/>
      <c r="DX243" s="921"/>
      <c r="DY243" s="921"/>
      <c r="DZ243" s="921"/>
      <c r="EA243" s="921"/>
      <c r="EB243" s="921"/>
      <c r="EC243" s="921"/>
      <c r="ED243" s="921"/>
      <c r="EE243" s="921"/>
      <c r="EF243" s="921"/>
      <c r="EG243" s="921"/>
      <c r="EH243" s="921"/>
      <c r="EI243" s="921"/>
      <c r="EJ243" s="921"/>
      <c r="EK243" s="921"/>
      <c r="EL243" s="921"/>
      <c r="EM243" s="921"/>
      <c r="EN243" s="921"/>
      <c r="EO243" s="921"/>
      <c r="EP243" s="921"/>
      <c r="EQ243" s="954"/>
      <c r="ER243" s="954"/>
      <c r="ES243" s="954"/>
      <c r="ET243" s="954"/>
      <c r="EV243" s="942"/>
      <c r="EW243" s="951"/>
      <c r="EX243" s="951"/>
      <c r="EY243" s="952"/>
    </row>
    <row r="244" spans="1:155" s="927" customFormat="1" ht="15.75" x14ac:dyDescent="0.25">
      <c r="A244" s="931"/>
      <c r="B244" s="932"/>
      <c r="C244" s="982">
        <f>C239-C240-C241-C242-C243</f>
        <v>0</v>
      </c>
      <c r="D244" s="938"/>
      <c r="E244" s="983"/>
      <c r="F244" s="936"/>
      <c r="G244" s="983"/>
      <c r="H244" s="985">
        <f>H239-H240-H241-H242-H243</f>
        <v>0</v>
      </c>
      <c r="I244" s="985">
        <f>I239-I240-I241-I242-I243</f>
        <v>0</v>
      </c>
      <c r="J244" s="937"/>
      <c r="K244" s="938"/>
      <c r="L244" s="985">
        <f>L239-L240-L241-L242-L243</f>
        <v>0</v>
      </c>
      <c r="M244" s="937"/>
      <c r="N244" s="938"/>
      <c r="O244" s="985">
        <f>O239-O240-O241-O242-O243</f>
        <v>0</v>
      </c>
      <c r="P244" s="937"/>
      <c r="Q244" s="938"/>
      <c r="R244" s="985">
        <f>R239-R240-R241-R242-R243</f>
        <v>0</v>
      </c>
      <c r="S244" s="937"/>
      <c r="T244" s="938"/>
      <c r="U244" s="985">
        <f>U239-U240-U241-U242-U243</f>
        <v>0</v>
      </c>
      <c r="V244" s="937"/>
      <c r="W244" s="938"/>
      <c r="X244" s="985">
        <f>X239-X240-X241-X242-X243</f>
        <v>0</v>
      </c>
      <c r="Y244" s="937"/>
      <c r="Z244" s="938"/>
      <c r="AA244" s="985">
        <f>AA239-AA240-AA241-AA242-AA243</f>
        <v>0</v>
      </c>
      <c r="AB244" s="937"/>
      <c r="AC244" s="938"/>
      <c r="AD244" s="985">
        <f>AD239-AD240-AD241-AD242-AD243</f>
        <v>0</v>
      </c>
      <c r="AE244" s="937"/>
      <c r="AF244" s="938"/>
      <c r="AG244" s="985">
        <f>AG239-AG240-AG241-AG242-AG243</f>
        <v>0</v>
      </c>
      <c r="AH244" s="937"/>
      <c r="AI244" s="938"/>
      <c r="AJ244" s="985">
        <f>AJ239-AJ240-AJ241-AJ242-AJ243</f>
        <v>0</v>
      </c>
      <c r="AK244" s="937"/>
      <c r="AL244" s="938"/>
      <c r="AM244" s="985">
        <f>AM239-AM240-AM241-AM242-AM243</f>
        <v>0</v>
      </c>
      <c r="AN244" s="938"/>
      <c r="AO244" s="985">
        <f>AO239-AO240-AO241-AO242-AO243</f>
        <v>0</v>
      </c>
      <c r="AP244" s="938"/>
      <c r="AQ244" s="985">
        <f>AQ239-AQ240-AQ241-AQ242-AQ243</f>
        <v>0</v>
      </c>
      <c r="AR244" s="985">
        <f>AR239-AR240-AR241-AR242-AR243</f>
        <v>0</v>
      </c>
      <c r="AS244" s="936"/>
      <c r="AT244" s="985">
        <f t="shared" ref="AT244:AW244" si="285">AT239-AT240-AT241-AT242-AT243</f>
        <v>0</v>
      </c>
      <c r="AU244" s="985">
        <f t="shared" si="285"/>
        <v>0</v>
      </c>
      <c r="AV244" s="985">
        <f t="shared" si="285"/>
        <v>0</v>
      </c>
      <c r="AW244" s="985">
        <f t="shared" si="285"/>
        <v>0</v>
      </c>
      <c r="AX244" s="939"/>
      <c r="AY244" s="939"/>
      <c r="AZ244" s="941"/>
      <c r="BA244" s="941"/>
      <c r="BB244" s="941"/>
      <c r="BC244" s="934"/>
      <c r="BD244" s="941"/>
      <c r="BE244" s="941"/>
      <c r="BF244" s="941"/>
      <c r="BG244" s="942"/>
      <c r="BH244" s="941"/>
      <c r="BI244" s="941"/>
      <c r="BJ244" s="941"/>
      <c r="BK244" s="943"/>
      <c r="BL244" s="943"/>
      <c r="BM244" s="943"/>
      <c r="BN244" s="943"/>
      <c r="BO244" s="943"/>
      <c r="BP244" s="944"/>
      <c r="BQ244" s="943"/>
      <c r="BR244" s="943"/>
      <c r="BS244" s="943"/>
      <c r="BU244" s="945"/>
      <c r="BV244" s="946"/>
      <c r="BW244" s="947"/>
      <c r="BX244" s="945"/>
      <c r="BY244" s="947"/>
      <c r="BZ244" s="946"/>
      <c r="CA244" s="947"/>
      <c r="CB244" s="946"/>
      <c r="CC244" s="947"/>
      <c r="CD244" s="947"/>
      <c r="CE244" s="947"/>
      <c r="CF244" s="948"/>
      <c r="CG244" s="949"/>
      <c r="CH244" s="949"/>
      <c r="CI244" s="950"/>
      <c r="CJ244" s="951"/>
      <c r="CK244" s="951"/>
      <c r="CL244" s="952"/>
      <c r="CM244" s="951"/>
      <c r="CN244" s="951"/>
      <c r="CO244" s="952"/>
      <c r="CP244" s="951"/>
      <c r="CQ244" s="951"/>
      <c r="CR244" s="952"/>
      <c r="CS244" s="946"/>
      <c r="CT244" s="953"/>
      <c r="CU244" s="953"/>
      <c r="CV244" s="953"/>
      <c r="CX244" s="951"/>
      <c r="CY244" s="951"/>
      <c r="CZ244" s="952"/>
      <c r="DB244" s="954"/>
      <c r="DC244" s="954"/>
      <c r="DD244" s="921"/>
      <c r="DE244" s="954"/>
      <c r="DF244" s="954"/>
      <c r="DG244" s="921"/>
      <c r="DH244" s="954"/>
      <c r="DI244" s="954"/>
      <c r="DJ244" s="921"/>
      <c r="DK244" s="954"/>
      <c r="DL244" s="954"/>
      <c r="DM244" s="921"/>
      <c r="DN244" s="954"/>
      <c r="DO244" s="954"/>
      <c r="DP244" s="921"/>
      <c r="DQ244" s="942"/>
      <c r="DR244" s="951"/>
      <c r="DS244" s="951"/>
      <c r="DT244" s="952"/>
      <c r="DV244" s="921"/>
      <c r="DW244" s="921"/>
      <c r="DX244" s="921"/>
      <c r="DY244" s="921"/>
      <c r="DZ244" s="921"/>
      <c r="EA244" s="921"/>
      <c r="EB244" s="921"/>
      <c r="EC244" s="921"/>
      <c r="ED244" s="921"/>
      <c r="EE244" s="921"/>
      <c r="EF244" s="921"/>
      <c r="EG244" s="921"/>
      <c r="EH244" s="921"/>
      <c r="EI244" s="921"/>
      <c r="EJ244" s="921"/>
      <c r="EK244" s="921"/>
      <c r="EL244" s="921"/>
      <c r="EM244" s="921"/>
      <c r="EN244" s="921"/>
      <c r="EO244" s="921"/>
      <c r="EP244" s="921"/>
      <c r="EQ244" s="954"/>
      <c r="ER244" s="954"/>
      <c r="ES244" s="954"/>
      <c r="ET244" s="954"/>
      <c r="EV244" s="942"/>
      <c r="EW244" s="951"/>
      <c r="EX244" s="951"/>
      <c r="EY244" s="952"/>
    </row>
    <row r="245" spans="1:155" s="927" customFormat="1" ht="15.75" x14ac:dyDescent="0.25">
      <c r="A245" s="931"/>
      <c r="B245" s="932" t="s">
        <v>806</v>
      </c>
      <c r="C245" s="933"/>
      <c r="D245" s="933"/>
      <c r="E245" s="934"/>
      <c r="F245" s="935"/>
      <c r="G245" s="934"/>
      <c r="H245" s="935"/>
      <c r="I245" s="936"/>
      <c r="J245" s="937"/>
      <c r="K245" s="938"/>
      <c r="L245" s="936"/>
      <c r="M245" s="937"/>
      <c r="N245" s="938"/>
      <c r="O245" s="936"/>
      <c r="P245" s="937"/>
      <c r="Q245" s="938"/>
      <c r="R245" s="936"/>
      <c r="S245" s="937"/>
      <c r="T245" s="938"/>
      <c r="U245" s="936"/>
      <c r="V245" s="937"/>
      <c r="W245" s="938"/>
      <c r="X245" s="936"/>
      <c r="Y245" s="937"/>
      <c r="Z245" s="938"/>
      <c r="AA245" s="936"/>
      <c r="AB245" s="937"/>
      <c r="AC245" s="938"/>
      <c r="AD245" s="936"/>
      <c r="AE245" s="937"/>
      <c r="AF245" s="938"/>
      <c r="AG245" s="936"/>
      <c r="AH245" s="937"/>
      <c r="AI245" s="938"/>
      <c r="AJ245" s="936"/>
      <c r="AK245" s="937"/>
      <c r="AL245" s="938"/>
      <c r="AM245" s="936"/>
      <c r="AN245" s="933"/>
      <c r="AO245" s="936"/>
      <c r="AP245" s="933"/>
      <c r="AQ245" s="935"/>
      <c r="AR245" s="936"/>
      <c r="AS245" s="935"/>
      <c r="AT245" s="939"/>
      <c r="AU245" s="933"/>
      <c r="AV245" s="940"/>
      <c r="AW245" s="389">
        <f>AW239/12-AO239</f>
        <v>7464655.8700000001</v>
      </c>
      <c r="AX245" s="939"/>
      <c r="AY245" s="939"/>
      <c r="AZ245" s="941"/>
      <c r="BA245" s="941"/>
      <c r="BB245" s="941"/>
      <c r="BC245" s="934"/>
      <c r="BD245" s="941"/>
      <c r="BE245" s="941"/>
      <c r="BF245" s="941"/>
      <c r="BG245" s="942"/>
      <c r="BH245" s="941"/>
      <c r="BI245" s="941"/>
      <c r="BJ245" s="941"/>
      <c r="BK245" s="943"/>
      <c r="BL245" s="943"/>
      <c r="BM245" s="943"/>
      <c r="BN245" s="943"/>
      <c r="BO245" s="943"/>
      <c r="BP245" s="944"/>
      <c r="BQ245" s="943"/>
      <c r="BR245" s="943"/>
      <c r="BS245" s="943"/>
      <c r="BU245" s="945"/>
      <c r="BV245" s="946"/>
      <c r="BW245" s="947"/>
      <c r="BX245" s="945"/>
      <c r="BY245" s="947"/>
      <c r="BZ245" s="946"/>
      <c r="CA245" s="947"/>
      <c r="CB245" s="946"/>
      <c r="CC245" s="947"/>
      <c r="CD245" s="947"/>
      <c r="CE245" s="947"/>
      <c r="CF245" s="948"/>
      <c r="CG245" s="949"/>
      <c r="CH245" s="949"/>
      <c r="CI245" s="950"/>
      <c r="CJ245" s="951"/>
      <c r="CK245" s="951"/>
      <c r="CL245" s="952"/>
      <c r="CM245" s="951"/>
      <c r="CN245" s="951"/>
      <c r="CO245" s="952"/>
      <c r="CP245" s="951"/>
      <c r="CQ245" s="951"/>
      <c r="CR245" s="952"/>
      <c r="CS245" s="946"/>
      <c r="CT245" s="953"/>
      <c r="CU245" s="953"/>
      <c r="CV245" s="953"/>
      <c r="CX245" s="951"/>
      <c r="CY245" s="951"/>
      <c r="CZ245" s="952"/>
      <c r="DB245" s="954"/>
      <c r="DC245" s="954"/>
      <c r="DD245" s="921"/>
      <c r="DE245" s="954"/>
      <c r="DF245" s="954"/>
      <c r="DG245" s="921"/>
      <c r="DH245" s="954"/>
      <c r="DI245" s="954"/>
      <c r="DJ245" s="921"/>
      <c r="DK245" s="954"/>
      <c r="DL245" s="954"/>
      <c r="DM245" s="921"/>
      <c r="DN245" s="954"/>
      <c r="DO245" s="954"/>
      <c r="DP245" s="921"/>
      <c r="DQ245" s="942"/>
      <c r="DR245" s="951"/>
      <c r="DS245" s="951"/>
      <c r="DT245" s="952"/>
      <c r="DV245" s="921"/>
      <c r="DW245" s="921"/>
      <c r="DX245" s="921"/>
      <c r="DY245" s="921"/>
      <c r="DZ245" s="921"/>
      <c r="EA245" s="921"/>
      <c r="EB245" s="921"/>
      <c r="EC245" s="921"/>
      <c r="ED245" s="921"/>
      <c r="EE245" s="921"/>
      <c r="EF245" s="921"/>
      <c r="EG245" s="921"/>
      <c r="EH245" s="921"/>
      <c r="EI245" s="921"/>
      <c r="EJ245" s="921"/>
      <c r="EK245" s="921"/>
      <c r="EL245" s="921"/>
      <c r="EM245" s="921"/>
      <c r="EN245" s="921"/>
      <c r="EO245" s="921"/>
      <c r="EP245" s="921"/>
      <c r="EQ245" s="954"/>
      <c r="ER245" s="954"/>
      <c r="ES245" s="954"/>
      <c r="ET245" s="954"/>
      <c r="EV245" s="942"/>
      <c r="EW245" s="951"/>
      <c r="EX245" s="951"/>
      <c r="EY245" s="952"/>
    </row>
    <row r="246" spans="1:155" s="927" customFormat="1" ht="15.75" x14ac:dyDescent="0.25">
      <c r="A246" s="931"/>
      <c r="B246" s="932" t="s">
        <v>406</v>
      </c>
      <c r="C246" s="933"/>
      <c r="D246" s="933"/>
      <c r="E246" s="934"/>
      <c r="F246" s="935"/>
      <c r="G246" s="934"/>
      <c r="H246" s="935"/>
      <c r="I246" s="936"/>
      <c r="J246" s="937"/>
      <c r="K246" s="938"/>
      <c r="L246" s="936"/>
      <c r="M246" s="937"/>
      <c r="N246" s="938"/>
      <c r="O246" s="936"/>
      <c r="P246" s="937"/>
      <c r="Q246" s="938"/>
      <c r="R246" s="936"/>
      <c r="S246" s="937"/>
      <c r="T246" s="938"/>
      <c r="U246" s="936"/>
      <c r="V246" s="937"/>
      <c r="W246" s="938"/>
      <c r="X246" s="936"/>
      <c r="Y246" s="937"/>
      <c r="Z246" s="938"/>
      <c r="AA246" s="936"/>
      <c r="AB246" s="937"/>
      <c r="AC246" s="938"/>
      <c r="AD246" s="936"/>
      <c r="AE246" s="937"/>
      <c r="AF246" s="938"/>
      <c r="AG246" s="936"/>
      <c r="AH246" s="937"/>
      <c r="AI246" s="938"/>
      <c r="AJ246" s="936"/>
      <c r="AK246" s="937"/>
      <c r="AL246" s="938"/>
      <c r="AM246" s="936"/>
      <c r="AN246" s="933"/>
      <c r="AO246" s="936"/>
      <c r="AP246" s="933"/>
      <c r="AQ246" s="935"/>
      <c r="AR246" s="936"/>
      <c r="AS246" s="935"/>
      <c r="AT246" s="939"/>
      <c r="AU246" s="933"/>
      <c r="AV246" s="940"/>
      <c r="AW246" s="389">
        <f>AW240/12-AO240</f>
        <v>3614115.98</v>
      </c>
      <c r="AX246" s="939"/>
      <c r="AY246" s="939"/>
      <c r="AZ246" s="941"/>
      <c r="BA246" s="941"/>
      <c r="BB246" s="941"/>
      <c r="BC246" s="934"/>
      <c r="BD246" s="941"/>
      <c r="BE246" s="941"/>
      <c r="BF246" s="941"/>
      <c r="BG246" s="942"/>
      <c r="BH246" s="941"/>
      <c r="BI246" s="941"/>
      <c r="BJ246" s="941"/>
      <c r="BK246" s="943"/>
      <c r="BL246" s="943"/>
      <c r="BM246" s="943"/>
      <c r="BN246" s="943"/>
      <c r="BO246" s="943"/>
      <c r="BP246" s="944"/>
      <c r="BQ246" s="943"/>
      <c r="BR246" s="943"/>
      <c r="BS246" s="943"/>
      <c r="BU246" s="945"/>
      <c r="BV246" s="946"/>
      <c r="BW246" s="947"/>
      <c r="BX246" s="945"/>
      <c r="BY246" s="947"/>
      <c r="BZ246" s="946"/>
      <c r="CA246" s="947"/>
      <c r="CB246" s="946"/>
      <c r="CC246" s="947"/>
      <c r="CD246" s="947"/>
      <c r="CE246" s="947"/>
      <c r="CF246" s="948"/>
      <c r="CG246" s="949"/>
      <c r="CH246" s="949"/>
      <c r="CI246" s="950"/>
      <c r="CJ246" s="951"/>
      <c r="CK246" s="951"/>
      <c r="CL246" s="952"/>
      <c r="CM246" s="951"/>
      <c r="CN246" s="951"/>
      <c r="CO246" s="952"/>
      <c r="CP246" s="951"/>
      <c r="CQ246" s="951"/>
      <c r="CR246" s="952"/>
      <c r="CS246" s="946"/>
      <c r="CT246" s="953"/>
      <c r="CU246" s="953"/>
      <c r="CV246" s="953"/>
      <c r="CX246" s="951"/>
      <c r="CY246" s="951"/>
      <c r="CZ246" s="952"/>
      <c r="DB246" s="954"/>
      <c r="DC246" s="954"/>
      <c r="DD246" s="921"/>
      <c r="DE246" s="954"/>
      <c r="DF246" s="954"/>
      <c r="DG246" s="921"/>
      <c r="DH246" s="954"/>
      <c r="DI246" s="954"/>
      <c r="DJ246" s="921"/>
      <c r="DK246" s="954"/>
      <c r="DL246" s="954"/>
      <c r="DM246" s="921"/>
      <c r="DN246" s="954"/>
      <c r="DO246" s="954"/>
      <c r="DP246" s="921"/>
      <c r="DQ246" s="942"/>
      <c r="DR246" s="951"/>
      <c r="DS246" s="951"/>
      <c r="DT246" s="952"/>
      <c r="DV246" s="921"/>
      <c r="DW246" s="921"/>
      <c r="DX246" s="921"/>
      <c r="DY246" s="921"/>
      <c r="DZ246" s="921"/>
      <c r="EA246" s="921"/>
      <c r="EB246" s="921"/>
      <c r="EC246" s="921"/>
      <c r="ED246" s="921"/>
      <c r="EE246" s="921"/>
      <c r="EF246" s="921"/>
      <c r="EG246" s="921"/>
      <c r="EH246" s="921"/>
      <c r="EI246" s="921"/>
      <c r="EJ246" s="921"/>
      <c r="EK246" s="921"/>
      <c r="EL246" s="921"/>
      <c r="EM246" s="921"/>
      <c r="EN246" s="921"/>
      <c r="EO246" s="921"/>
      <c r="EP246" s="921"/>
      <c r="EQ246" s="954"/>
      <c r="ER246" s="954"/>
      <c r="ES246" s="954"/>
      <c r="ET246" s="954"/>
      <c r="EV246" s="942"/>
      <c r="EW246" s="951"/>
      <c r="EX246" s="951"/>
      <c r="EY246" s="952"/>
    </row>
    <row r="247" spans="1:155" s="927" customFormat="1" ht="15.75" x14ac:dyDescent="0.25">
      <c r="A247" s="931"/>
      <c r="B247" s="932" t="s">
        <v>403</v>
      </c>
      <c r="C247" s="933"/>
      <c r="D247" s="933"/>
      <c r="E247" s="934"/>
      <c r="F247" s="935"/>
      <c r="G247" s="934"/>
      <c r="H247" s="935"/>
      <c r="I247" s="936"/>
      <c r="J247" s="937"/>
      <c r="K247" s="938"/>
      <c r="L247" s="936"/>
      <c r="M247" s="937"/>
      <c r="N247" s="938"/>
      <c r="O247" s="936"/>
      <c r="P247" s="937"/>
      <c r="Q247" s="938"/>
      <c r="R247" s="936"/>
      <c r="S247" s="937"/>
      <c r="T247" s="938"/>
      <c r="U247" s="936"/>
      <c r="V247" s="937"/>
      <c r="W247" s="938"/>
      <c r="X247" s="936"/>
      <c r="Y247" s="937"/>
      <c r="Z247" s="938"/>
      <c r="AA247" s="936"/>
      <c r="AB247" s="937"/>
      <c r="AC247" s="938"/>
      <c r="AD247" s="936"/>
      <c r="AE247" s="937"/>
      <c r="AF247" s="938"/>
      <c r="AG247" s="936"/>
      <c r="AH247" s="937"/>
      <c r="AI247" s="938"/>
      <c r="AJ247" s="936"/>
      <c r="AK247" s="937"/>
      <c r="AL247" s="938"/>
      <c r="AM247" s="936"/>
      <c r="AN247" s="933"/>
      <c r="AO247" s="936"/>
      <c r="AP247" s="933"/>
      <c r="AQ247" s="935"/>
      <c r="AR247" s="936"/>
      <c r="AS247" s="935"/>
      <c r="AT247" s="939"/>
      <c r="AU247" s="933"/>
      <c r="AV247" s="940"/>
      <c r="AW247" s="389">
        <f>AW241/12-AO241</f>
        <v>1189619.83</v>
      </c>
      <c r="AX247" s="939"/>
      <c r="AY247" s="939"/>
      <c r="AZ247" s="941"/>
      <c r="BA247" s="941"/>
      <c r="BB247" s="941"/>
      <c r="BC247" s="934"/>
      <c r="BD247" s="941"/>
      <c r="BE247" s="941"/>
      <c r="BF247" s="941"/>
      <c r="BG247" s="942"/>
      <c r="BH247" s="941"/>
      <c r="BI247" s="941"/>
      <c r="BJ247" s="941"/>
      <c r="BK247" s="943"/>
      <c r="BL247" s="943"/>
      <c r="BM247" s="943"/>
      <c r="BN247" s="943"/>
      <c r="BO247" s="943"/>
      <c r="BP247" s="944"/>
      <c r="BQ247" s="943"/>
      <c r="BR247" s="943"/>
      <c r="BS247" s="943"/>
      <c r="BU247" s="945"/>
      <c r="BV247" s="946"/>
      <c r="BW247" s="947"/>
      <c r="BX247" s="945"/>
      <c r="BY247" s="947"/>
      <c r="BZ247" s="946"/>
      <c r="CA247" s="947"/>
      <c r="CB247" s="946"/>
      <c r="CC247" s="947"/>
      <c r="CD247" s="947"/>
      <c r="CE247" s="947"/>
      <c r="CF247" s="948"/>
      <c r="CG247" s="949"/>
      <c r="CH247" s="949"/>
      <c r="CI247" s="950"/>
      <c r="CJ247" s="951"/>
      <c r="CK247" s="951"/>
      <c r="CL247" s="952"/>
      <c r="CM247" s="951"/>
      <c r="CN247" s="951"/>
      <c r="CO247" s="952"/>
      <c r="CP247" s="951"/>
      <c r="CQ247" s="951"/>
      <c r="CR247" s="952"/>
      <c r="CS247" s="946"/>
      <c r="CT247" s="953"/>
      <c r="CU247" s="953"/>
      <c r="CV247" s="953"/>
      <c r="CX247" s="951"/>
      <c r="CY247" s="951"/>
      <c r="CZ247" s="952"/>
      <c r="DB247" s="954"/>
      <c r="DC247" s="954"/>
      <c r="DD247" s="921"/>
      <c r="DE247" s="954"/>
      <c r="DF247" s="954"/>
      <c r="DG247" s="921"/>
      <c r="DH247" s="954"/>
      <c r="DI247" s="954"/>
      <c r="DJ247" s="921"/>
      <c r="DK247" s="954"/>
      <c r="DL247" s="954"/>
      <c r="DM247" s="921"/>
      <c r="DN247" s="954"/>
      <c r="DO247" s="954"/>
      <c r="DP247" s="921"/>
      <c r="DQ247" s="942"/>
      <c r="DR247" s="951"/>
      <c r="DS247" s="951"/>
      <c r="DT247" s="952"/>
      <c r="DV247" s="921"/>
      <c r="DW247" s="921"/>
      <c r="DX247" s="921"/>
      <c r="DY247" s="921"/>
      <c r="DZ247" s="921"/>
      <c r="EA247" s="921"/>
      <c r="EB247" s="921"/>
      <c r="EC247" s="921"/>
      <c r="ED247" s="921"/>
      <c r="EE247" s="921"/>
      <c r="EF247" s="921"/>
      <c r="EG247" s="921"/>
      <c r="EH247" s="921"/>
      <c r="EI247" s="921"/>
      <c r="EJ247" s="921"/>
      <c r="EK247" s="921"/>
      <c r="EL247" s="921"/>
      <c r="EM247" s="921"/>
      <c r="EN247" s="921"/>
      <c r="EO247" s="921"/>
      <c r="EP247" s="921"/>
      <c r="EQ247" s="954"/>
      <c r="ER247" s="954"/>
      <c r="ES247" s="954"/>
      <c r="ET247" s="954"/>
      <c r="EV247" s="942"/>
      <c r="EW247" s="951"/>
      <c r="EX247" s="951"/>
      <c r="EY247" s="952"/>
    </row>
    <row r="248" spans="1:155" s="927" customFormat="1" ht="15.75" x14ac:dyDescent="0.25">
      <c r="A248" s="931"/>
      <c r="B248" s="932" t="s">
        <v>404</v>
      </c>
      <c r="C248" s="933"/>
      <c r="D248" s="933"/>
      <c r="E248" s="934"/>
      <c r="F248" s="935"/>
      <c r="G248" s="934"/>
      <c r="H248" s="935"/>
      <c r="I248" s="936"/>
      <c r="J248" s="937"/>
      <c r="K248" s="938"/>
      <c r="L248" s="936"/>
      <c r="M248" s="937"/>
      <c r="N248" s="938"/>
      <c r="O248" s="936"/>
      <c r="P248" s="937"/>
      <c r="Q248" s="938"/>
      <c r="R248" s="936"/>
      <c r="S248" s="937"/>
      <c r="T248" s="938"/>
      <c r="U248" s="936"/>
      <c r="V248" s="937"/>
      <c r="W248" s="938"/>
      <c r="X248" s="936"/>
      <c r="Y248" s="937"/>
      <c r="Z248" s="938"/>
      <c r="AA248" s="936"/>
      <c r="AB248" s="937"/>
      <c r="AC248" s="938"/>
      <c r="AD248" s="936"/>
      <c r="AE248" s="937"/>
      <c r="AF248" s="938"/>
      <c r="AG248" s="936"/>
      <c r="AH248" s="937"/>
      <c r="AI248" s="938"/>
      <c r="AJ248" s="936"/>
      <c r="AK248" s="937"/>
      <c r="AL248" s="938"/>
      <c r="AM248" s="936"/>
      <c r="AN248" s="933"/>
      <c r="AO248" s="936"/>
      <c r="AP248" s="933"/>
      <c r="AQ248" s="935"/>
      <c r="AR248" s="936"/>
      <c r="AS248" s="935"/>
      <c r="AT248" s="939"/>
      <c r="AU248" s="933"/>
      <c r="AV248" s="940"/>
      <c r="AW248" s="389">
        <f>AW242/12-AO242</f>
        <v>2162766.12</v>
      </c>
      <c r="AX248" s="939"/>
      <c r="AY248" s="939"/>
      <c r="AZ248" s="941"/>
      <c r="BA248" s="941"/>
      <c r="BB248" s="941"/>
      <c r="BC248" s="934"/>
      <c r="BD248" s="941"/>
      <c r="BE248" s="941"/>
      <c r="BF248" s="941"/>
      <c r="BG248" s="942"/>
      <c r="BH248" s="941"/>
      <c r="BI248" s="941"/>
      <c r="BJ248" s="941"/>
      <c r="BK248" s="943"/>
      <c r="BL248" s="943"/>
      <c r="BM248" s="943"/>
      <c r="BN248" s="943"/>
      <c r="BO248" s="943"/>
      <c r="BP248" s="944"/>
      <c r="BQ248" s="943"/>
      <c r="BR248" s="943"/>
      <c r="BS248" s="943"/>
      <c r="BU248" s="945"/>
      <c r="BV248" s="946"/>
      <c r="BW248" s="947"/>
      <c r="BX248" s="945"/>
      <c r="BY248" s="947"/>
      <c r="BZ248" s="946"/>
      <c r="CA248" s="947"/>
      <c r="CB248" s="946"/>
      <c r="CC248" s="947"/>
      <c r="CD248" s="947"/>
      <c r="CE248" s="947"/>
      <c r="CF248" s="948"/>
      <c r="CG248" s="949"/>
      <c r="CH248" s="949"/>
      <c r="CI248" s="950"/>
      <c r="CJ248" s="951"/>
      <c r="CK248" s="951"/>
      <c r="CL248" s="952"/>
      <c r="CM248" s="951"/>
      <c r="CN248" s="951"/>
      <c r="CO248" s="952"/>
      <c r="CP248" s="951"/>
      <c r="CQ248" s="951"/>
      <c r="CR248" s="952"/>
      <c r="CS248" s="946"/>
      <c r="CT248" s="953"/>
      <c r="CU248" s="953"/>
      <c r="CV248" s="953"/>
      <c r="CX248" s="951"/>
      <c r="CY248" s="951"/>
      <c r="CZ248" s="952"/>
      <c r="DB248" s="954"/>
      <c r="DC248" s="954"/>
      <c r="DD248" s="921"/>
      <c r="DE248" s="954"/>
      <c r="DF248" s="954"/>
      <c r="DG248" s="921"/>
      <c r="DH248" s="954"/>
      <c r="DI248" s="954"/>
      <c r="DJ248" s="921"/>
      <c r="DK248" s="954"/>
      <c r="DL248" s="954"/>
      <c r="DM248" s="921"/>
      <c r="DN248" s="954"/>
      <c r="DO248" s="954"/>
      <c r="DP248" s="921"/>
      <c r="DQ248" s="942"/>
      <c r="DR248" s="951"/>
      <c r="DS248" s="951"/>
      <c r="DT248" s="952"/>
      <c r="DV248" s="921"/>
      <c r="DW248" s="921"/>
      <c r="DX248" s="921"/>
      <c r="DY248" s="921"/>
      <c r="DZ248" s="921"/>
      <c r="EA248" s="921"/>
      <c r="EB248" s="921"/>
      <c r="EC248" s="921"/>
      <c r="ED248" s="921"/>
      <c r="EE248" s="921"/>
      <c r="EF248" s="921"/>
      <c r="EG248" s="921"/>
      <c r="EH248" s="921"/>
      <c r="EI248" s="921"/>
      <c r="EJ248" s="921"/>
      <c r="EK248" s="921"/>
      <c r="EL248" s="921"/>
      <c r="EM248" s="921"/>
      <c r="EN248" s="921"/>
      <c r="EO248" s="921"/>
      <c r="EP248" s="921"/>
      <c r="EQ248" s="954"/>
      <c r="ER248" s="954"/>
      <c r="ES248" s="954"/>
      <c r="ET248" s="954"/>
      <c r="EV248" s="942"/>
      <c r="EW248" s="951"/>
      <c r="EX248" s="951"/>
      <c r="EY248" s="952"/>
    </row>
    <row r="249" spans="1:155" s="927" customFormat="1" ht="15.75" x14ac:dyDescent="0.25">
      <c r="A249" s="931"/>
      <c r="B249" s="932" t="s">
        <v>405</v>
      </c>
      <c r="C249" s="933"/>
      <c r="D249" s="933"/>
      <c r="E249" s="934"/>
      <c r="F249" s="935"/>
      <c r="G249" s="934"/>
      <c r="H249" s="935"/>
      <c r="I249" s="936"/>
      <c r="J249" s="937"/>
      <c r="K249" s="938"/>
      <c r="L249" s="936"/>
      <c r="M249" s="937"/>
      <c r="N249" s="938"/>
      <c r="O249" s="936"/>
      <c r="P249" s="937"/>
      <c r="Q249" s="938"/>
      <c r="R249" s="936"/>
      <c r="S249" s="937"/>
      <c r="T249" s="938"/>
      <c r="U249" s="936"/>
      <c r="V249" s="937"/>
      <c r="W249" s="938"/>
      <c r="X249" s="936"/>
      <c r="Y249" s="937"/>
      <c r="Z249" s="938"/>
      <c r="AA249" s="936"/>
      <c r="AB249" s="937"/>
      <c r="AC249" s="938"/>
      <c r="AD249" s="936"/>
      <c r="AE249" s="937"/>
      <c r="AF249" s="938"/>
      <c r="AG249" s="936"/>
      <c r="AH249" s="937"/>
      <c r="AI249" s="938"/>
      <c r="AJ249" s="936"/>
      <c r="AK249" s="937"/>
      <c r="AL249" s="938"/>
      <c r="AM249" s="936"/>
      <c r="AN249" s="933"/>
      <c r="AO249" s="936"/>
      <c r="AP249" s="933"/>
      <c r="AQ249" s="935"/>
      <c r="AR249" s="936"/>
      <c r="AS249" s="935"/>
      <c r="AT249" s="939"/>
      <c r="AU249" s="933"/>
      <c r="AV249" s="940"/>
      <c r="AW249" s="389">
        <f>AW243/12-AO243</f>
        <v>498153.95</v>
      </c>
      <c r="AX249" s="939"/>
      <c r="AY249" s="939"/>
      <c r="AZ249" s="941"/>
      <c r="BA249" s="941"/>
      <c r="BB249" s="941"/>
      <c r="BC249" s="934"/>
      <c r="BD249" s="941"/>
      <c r="BE249" s="941"/>
      <c r="BF249" s="941"/>
      <c r="BG249" s="942"/>
      <c r="BH249" s="941"/>
      <c r="BI249" s="941"/>
      <c r="BJ249" s="941"/>
      <c r="BK249" s="943"/>
      <c r="BL249" s="943"/>
      <c r="BM249" s="943"/>
      <c r="BN249" s="943"/>
      <c r="BO249" s="943"/>
      <c r="BP249" s="944"/>
      <c r="BQ249" s="943"/>
      <c r="BR249" s="943"/>
      <c r="BS249" s="943"/>
      <c r="BU249" s="945"/>
      <c r="BV249" s="946"/>
      <c r="BW249" s="947"/>
      <c r="BX249" s="945"/>
      <c r="BY249" s="947"/>
      <c r="BZ249" s="946"/>
      <c r="CA249" s="947"/>
      <c r="CB249" s="946"/>
      <c r="CC249" s="947"/>
      <c r="CD249" s="947"/>
      <c r="CE249" s="947"/>
      <c r="CF249" s="948"/>
      <c r="CG249" s="949"/>
      <c r="CH249" s="949"/>
      <c r="CI249" s="950"/>
      <c r="CJ249" s="951"/>
      <c r="CK249" s="951"/>
      <c r="CL249" s="952"/>
      <c r="CM249" s="951"/>
      <c r="CN249" s="951"/>
      <c r="CO249" s="952"/>
      <c r="CP249" s="951"/>
      <c r="CQ249" s="951"/>
      <c r="CR249" s="952"/>
      <c r="CS249" s="946"/>
      <c r="CT249" s="953"/>
      <c r="CU249" s="953"/>
      <c r="CV249" s="953"/>
      <c r="CX249" s="951"/>
      <c r="CY249" s="951"/>
      <c r="CZ249" s="952"/>
      <c r="DB249" s="954"/>
      <c r="DC249" s="954"/>
      <c r="DD249" s="921"/>
      <c r="DE249" s="954"/>
      <c r="DF249" s="954"/>
      <c r="DG249" s="921"/>
      <c r="DH249" s="954"/>
      <c r="DI249" s="954"/>
      <c r="DJ249" s="921"/>
      <c r="DK249" s="954"/>
      <c r="DL249" s="954"/>
      <c r="DM249" s="921"/>
      <c r="DN249" s="954"/>
      <c r="DO249" s="954"/>
      <c r="DP249" s="921"/>
      <c r="DQ249" s="942"/>
      <c r="DR249" s="951"/>
      <c r="DS249" s="951"/>
      <c r="DT249" s="952"/>
      <c r="DV249" s="921"/>
      <c r="DW249" s="921"/>
      <c r="DX249" s="921"/>
      <c r="DY249" s="921"/>
      <c r="DZ249" s="921"/>
      <c r="EA249" s="921"/>
      <c r="EB249" s="921"/>
      <c r="EC249" s="921"/>
      <c r="ED249" s="921"/>
      <c r="EE249" s="921"/>
      <c r="EF249" s="921"/>
      <c r="EG249" s="921"/>
      <c r="EH249" s="921"/>
      <c r="EI249" s="921"/>
      <c r="EJ249" s="921"/>
      <c r="EK249" s="921"/>
      <c r="EL249" s="921"/>
      <c r="EM249" s="921"/>
      <c r="EN249" s="921"/>
      <c r="EO249" s="921"/>
      <c r="EP249" s="921"/>
      <c r="EQ249" s="954"/>
      <c r="ER249" s="954"/>
      <c r="ES249" s="954"/>
      <c r="ET249" s="954"/>
      <c r="EV249" s="942"/>
      <c r="EW249" s="951"/>
      <c r="EX249" s="951"/>
      <c r="EY249" s="952"/>
    </row>
    <row r="250" spans="1:155" s="927" customFormat="1" ht="15.75" x14ac:dyDescent="0.25">
      <c r="A250" s="931"/>
      <c r="B250" s="932" t="s">
        <v>499</v>
      </c>
      <c r="C250" s="933"/>
      <c r="D250" s="933"/>
      <c r="E250" s="934"/>
      <c r="F250" s="935"/>
      <c r="G250" s="934"/>
      <c r="H250" s="935"/>
      <c r="I250" s="936"/>
      <c r="J250" s="937"/>
      <c r="K250" s="938"/>
      <c r="L250" s="936"/>
      <c r="M250" s="937"/>
      <c r="N250" s="938"/>
      <c r="O250" s="936"/>
      <c r="P250" s="937"/>
      <c r="Q250" s="938"/>
      <c r="R250" s="936"/>
      <c r="S250" s="937"/>
      <c r="T250" s="938"/>
      <c r="U250" s="936"/>
      <c r="V250" s="937"/>
      <c r="W250" s="938"/>
      <c r="X250" s="936"/>
      <c r="Y250" s="937"/>
      <c r="Z250" s="938"/>
      <c r="AA250" s="936"/>
      <c r="AB250" s="937"/>
      <c r="AC250" s="938"/>
      <c r="AD250" s="936"/>
      <c r="AE250" s="937"/>
      <c r="AF250" s="938"/>
      <c r="AG250" s="936"/>
      <c r="AH250" s="937"/>
      <c r="AI250" s="938"/>
      <c r="AJ250" s="936"/>
      <c r="AK250" s="937"/>
      <c r="AL250" s="938"/>
      <c r="AM250" s="936"/>
      <c r="AN250" s="933"/>
      <c r="AO250" s="936"/>
      <c r="AP250" s="933"/>
      <c r="AQ250" s="935"/>
      <c r="AR250" s="936"/>
      <c r="AS250" s="935"/>
      <c r="AT250" s="939"/>
      <c r="AU250" s="933"/>
      <c r="AV250" s="940"/>
      <c r="AW250" s="986"/>
      <c r="AX250" s="939"/>
      <c r="AY250" s="939"/>
      <c r="AZ250" s="941"/>
      <c r="BA250" s="941"/>
      <c r="BB250" s="941"/>
      <c r="BC250" s="934"/>
      <c r="BD250" s="941"/>
      <c r="BE250" s="941"/>
      <c r="BF250" s="941"/>
      <c r="BG250" s="942"/>
      <c r="BH250" s="941"/>
      <c r="BI250" s="941"/>
      <c r="BJ250" s="941"/>
      <c r="BK250" s="943"/>
      <c r="BL250" s="943"/>
      <c r="BM250" s="943"/>
      <c r="BN250" s="943"/>
      <c r="BO250" s="943"/>
      <c r="BP250" s="944"/>
      <c r="BQ250" s="943"/>
      <c r="BR250" s="943"/>
      <c r="BS250" s="943"/>
      <c r="BU250" s="945"/>
      <c r="BV250" s="946"/>
      <c r="BW250" s="947"/>
      <c r="BX250" s="945"/>
      <c r="BY250" s="947"/>
      <c r="BZ250" s="946"/>
      <c r="CA250" s="947"/>
      <c r="CB250" s="946"/>
      <c r="CC250" s="947"/>
      <c r="CD250" s="947"/>
      <c r="CE250" s="947"/>
      <c r="CF250" s="948"/>
      <c r="CG250" s="949"/>
      <c r="CH250" s="949"/>
      <c r="CI250" s="950"/>
      <c r="CJ250" s="951"/>
      <c r="CK250" s="951"/>
      <c r="CL250" s="952"/>
      <c r="CM250" s="951"/>
      <c r="CN250" s="951"/>
      <c r="CO250" s="952"/>
      <c r="CP250" s="951"/>
      <c r="CQ250" s="951"/>
      <c r="CR250" s="952"/>
      <c r="CS250" s="946"/>
      <c r="CT250" s="953"/>
      <c r="CU250" s="953"/>
      <c r="CV250" s="953"/>
      <c r="CX250" s="951"/>
      <c r="CY250" s="951"/>
      <c r="CZ250" s="952"/>
      <c r="DB250" s="954"/>
      <c r="DC250" s="954"/>
      <c r="DD250" s="921"/>
      <c r="DE250" s="954"/>
      <c r="DF250" s="954"/>
      <c r="DG250" s="921"/>
      <c r="DH250" s="954"/>
      <c r="DI250" s="954"/>
      <c r="DJ250" s="921"/>
      <c r="DK250" s="954"/>
      <c r="DL250" s="954"/>
      <c r="DM250" s="921"/>
      <c r="DN250" s="954"/>
      <c r="DO250" s="954"/>
      <c r="DP250" s="921"/>
      <c r="DQ250" s="942"/>
      <c r="DR250" s="951"/>
      <c r="DS250" s="951"/>
      <c r="DT250" s="952"/>
      <c r="DV250" s="921"/>
      <c r="DW250" s="921"/>
      <c r="DX250" s="921"/>
      <c r="DY250" s="921"/>
      <c r="DZ250" s="921"/>
      <c r="EA250" s="921"/>
      <c r="EB250" s="921"/>
      <c r="EC250" s="921"/>
      <c r="ED250" s="921"/>
      <c r="EE250" s="921"/>
      <c r="EF250" s="921"/>
      <c r="EG250" s="921"/>
      <c r="EH250" s="921"/>
      <c r="EI250" s="921"/>
      <c r="EJ250" s="921"/>
      <c r="EK250" s="921"/>
      <c r="EL250" s="921"/>
      <c r="EM250" s="921"/>
      <c r="EN250" s="921"/>
      <c r="EO250" s="921"/>
      <c r="EP250" s="921"/>
      <c r="EQ250" s="954"/>
      <c r="ER250" s="954"/>
      <c r="ES250" s="954"/>
      <c r="ET250" s="954"/>
      <c r="EV250" s="942"/>
      <c r="EW250" s="951"/>
      <c r="EX250" s="951"/>
      <c r="EY250" s="952"/>
    </row>
    <row r="251" spans="1:155" s="927" customFormat="1" ht="15.75" x14ac:dyDescent="0.25">
      <c r="A251" s="931"/>
      <c r="B251" s="932" t="s">
        <v>406</v>
      </c>
      <c r="C251" s="933"/>
      <c r="D251" s="933"/>
      <c r="E251" s="934"/>
      <c r="F251" s="935"/>
      <c r="G251" s="934"/>
      <c r="H251" s="935"/>
      <c r="I251" s="936"/>
      <c r="J251" s="937"/>
      <c r="K251" s="938"/>
      <c r="L251" s="936"/>
      <c r="M251" s="937"/>
      <c r="N251" s="938"/>
      <c r="O251" s="936"/>
      <c r="P251" s="937"/>
      <c r="Q251" s="938"/>
      <c r="R251" s="936"/>
      <c r="S251" s="937"/>
      <c r="T251" s="938"/>
      <c r="U251" s="936"/>
      <c r="V251" s="937"/>
      <c r="W251" s="938"/>
      <c r="X251" s="936"/>
      <c r="Y251" s="937"/>
      <c r="Z251" s="938"/>
      <c r="AA251" s="936"/>
      <c r="AB251" s="937"/>
      <c r="AC251" s="938"/>
      <c r="AD251" s="936"/>
      <c r="AE251" s="937"/>
      <c r="AF251" s="938"/>
      <c r="AG251" s="936"/>
      <c r="AH251" s="937"/>
      <c r="AI251" s="938"/>
      <c r="AJ251" s="936"/>
      <c r="AK251" s="937"/>
      <c r="AL251" s="938"/>
      <c r="AM251" s="936"/>
      <c r="AN251" s="933"/>
      <c r="AO251" s="936"/>
      <c r="AP251" s="933"/>
      <c r="AQ251" s="935"/>
      <c r="AR251" s="936"/>
      <c r="AS251" s="935"/>
      <c r="AT251" s="939"/>
      <c r="AU251" s="933"/>
      <c r="AV251" s="940"/>
      <c r="AW251" s="336">
        <f>AW246/I240</f>
        <v>1.4064300000000001</v>
      </c>
      <c r="AX251" s="939"/>
      <c r="AY251" s="939"/>
      <c r="AZ251" s="941"/>
      <c r="BA251" s="941"/>
      <c r="BB251" s="941"/>
      <c r="BC251" s="934"/>
      <c r="BD251" s="941"/>
      <c r="BE251" s="941"/>
      <c r="BF251" s="941"/>
      <c r="BG251" s="942"/>
      <c r="BH251" s="941"/>
      <c r="BI251" s="941"/>
      <c r="BJ251" s="941"/>
      <c r="BK251" s="943"/>
      <c r="BL251" s="943"/>
      <c r="BM251" s="943"/>
      <c r="BN251" s="943"/>
      <c r="BO251" s="943"/>
      <c r="BP251" s="944"/>
      <c r="BQ251" s="943"/>
      <c r="BR251" s="943"/>
      <c r="BS251" s="943"/>
      <c r="BU251" s="945"/>
      <c r="BV251" s="946"/>
      <c r="BW251" s="947"/>
      <c r="BX251" s="945"/>
      <c r="BY251" s="947"/>
      <c r="BZ251" s="946"/>
      <c r="CA251" s="947"/>
      <c r="CB251" s="946"/>
      <c r="CC251" s="947"/>
      <c r="CD251" s="947"/>
      <c r="CE251" s="947"/>
      <c r="CF251" s="948"/>
      <c r="CG251" s="949"/>
      <c r="CH251" s="949"/>
      <c r="CI251" s="950"/>
      <c r="CJ251" s="951"/>
      <c r="CK251" s="951"/>
      <c r="CL251" s="952"/>
      <c r="CM251" s="951"/>
      <c r="CN251" s="951"/>
      <c r="CO251" s="952"/>
      <c r="CP251" s="951"/>
      <c r="CQ251" s="951"/>
      <c r="CR251" s="952"/>
      <c r="CS251" s="946"/>
      <c r="CT251" s="953"/>
      <c r="CU251" s="953"/>
      <c r="CV251" s="953"/>
      <c r="CX251" s="951"/>
      <c r="CY251" s="951"/>
      <c r="CZ251" s="952"/>
      <c r="DB251" s="954"/>
      <c r="DC251" s="954"/>
      <c r="DD251" s="921"/>
      <c r="DE251" s="954"/>
      <c r="DF251" s="954"/>
      <c r="DG251" s="921"/>
      <c r="DH251" s="954"/>
      <c r="DI251" s="954"/>
      <c r="DJ251" s="921"/>
      <c r="DK251" s="954"/>
      <c r="DL251" s="954"/>
      <c r="DM251" s="921"/>
      <c r="DN251" s="954"/>
      <c r="DO251" s="954"/>
      <c r="DP251" s="921"/>
      <c r="DQ251" s="942"/>
      <c r="DR251" s="951"/>
      <c r="DS251" s="951"/>
      <c r="DT251" s="952"/>
      <c r="DV251" s="921"/>
      <c r="DW251" s="921"/>
      <c r="DX251" s="921"/>
      <c r="DY251" s="921"/>
      <c r="DZ251" s="921"/>
      <c r="EA251" s="921"/>
      <c r="EB251" s="921"/>
      <c r="EC251" s="921"/>
      <c r="ED251" s="921"/>
      <c r="EE251" s="921"/>
      <c r="EF251" s="921"/>
      <c r="EG251" s="921"/>
      <c r="EH251" s="921"/>
      <c r="EI251" s="921"/>
      <c r="EJ251" s="921"/>
      <c r="EK251" s="921"/>
      <c r="EL251" s="921"/>
      <c r="EM251" s="921"/>
      <c r="EN251" s="921"/>
      <c r="EO251" s="921"/>
      <c r="EP251" s="921"/>
      <c r="EQ251" s="954"/>
      <c r="ER251" s="954"/>
      <c r="ES251" s="954"/>
      <c r="ET251" s="954"/>
      <c r="EV251" s="942"/>
      <c r="EW251" s="951"/>
      <c r="EX251" s="951"/>
      <c r="EY251" s="952"/>
    </row>
    <row r="252" spans="1:155" s="927" customFormat="1" ht="15.75" x14ac:dyDescent="0.25">
      <c r="A252" s="931"/>
      <c r="B252" s="932" t="s">
        <v>498</v>
      </c>
      <c r="C252" s="933"/>
      <c r="D252" s="933"/>
      <c r="E252" s="934"/>
      <c r="F252" s="935"/>
      <c r="G252" s="934"/>
      <c r="H252" s="935"/>
      <c r="I252" s="936"/>
      <c r="J252" s="937"/>
      <c r="K252" s="938"/>
      <c r="L252" s="936"/>
      <c r="M252" s="937"/>
      <c r="N252" s="938"/>
      <c r="O252" s="936"/>
      <c r="P252" s="937"/>
      <c r="Q252" s="938"/>
      <c r="R252" s="936"/>
      <c r="S252" s="937"/>
      <c r="T252" s="938"/>
      <c r="U252" s="936"/>
      <c r="V252" s="937"/>
      <c r="W252" s="938"/>
      <c r="X252" s="936"/>
      <c r="Y252" s="937"/>
      <c r="Z252" s="938"/>
      <c r="AA252" s="936"/>
      <c r="AB252" s="937"/>
      <c r="AC252" s="938"/>
      <c r="AD252" s="936"/>
      <c r="AE252" s="937"/>
      <c r="AF252" s="938"/>
      <c r="AG252" s="936"/>
      <c r="AH252" s="937"/>
      <c r="AI252" s="938"/>
      <c r="AJ252" s="936"/>
      <c r="AK252" s="937"/>
      <c r="AL252" s="938"/>
      <c r="AM252" s="936"/>
      <c r="AN252" s="933"/>
      <c r="AO252" s="936"/>
      <c r="AP252" s="933"/>
      <c r="AQ252" s="935"/>
      <c r="AR252" s="936"/>
      <c r="AS252" s="935"/>
      <c r="AT252" s="939"/>
      <c r="AU252" s="933"/>
      <c r="AV252" s="940"/>
      <c r="AW252" s="986"/>
      <c r="AX252" s="939"/>
      <c r="AY252" s="939"/>
      <c r="AZ252" s="941"/>
      <c r="BA252" s="941"/>
      <c r="BB252" s="941"/>
      <c r="BC252" s="934"/>
      <c r="BD252" s="941"/>
      <c r="BE252" s="941"/>
      <c r="BF252" s="941"/>
      <c r="BG252" s="942"/>
      <c r="BH252" s="941"/>
      <c r="BI252" s="941"/>
      <c r="BJ252" s="941"/>
      <c r="BK252" s="943"/>
      <c r="BL252" s="943"/>
      <c r="BM252" s="943"/>
      <c r="BN252" s="943"/>
      <c r="BO252" s="943"/>
      <c r="BP252" s="944"/>
      <c r="BQ252" s="943"/>
      <c r="BR252" s="943"/>
      <c r="BS252" s="943"/>
      <c r="BU252" s="945"/>
      <c r="BV252" s="946"/>
      <c r="BW252" s="947"/>
      <c r="BX252" s="945"/>
      <c r="BY252" s="947"/>
      <c r="BZ252" s="946"/>
      <c r="CA252" s="947"/>
      <c r="CB252" s="946"/>
      <c r="CC252" s="947"/>
      <c r="CD252" s="947"/>
      <c r="CE252" s="947"/>
      <c r="CF252" s="948"/>
      <c r="CG252" s="949"/>
      <c r="CH252" s="949"/>
      <c r="CI252" s="950"/>
      <c r="CJ252" s="951"/>
      <c r="CK252" s="951"/>
      <c r="CL252" s="952"/>
      <c r="CM252" s="951"/>
      <c r="CN252" s="951"/>
      <c r="CO252" s="952"/>
      <c r="CP252" s="951"/>
      <c r="CQ252" s="951"/>
      <c r="CR252" s="952"/>
      <c r="CS252" s="946"/>
      <c r="CT252" s="953"/>
      <c r="CU252" s="953"/>
      <c r="CV252" s="953"/>
      <c r="CX252" s="951"/>
      <c r="CY252" s="951"/>
      <c r="CZ252" s="952"/>
      <c r="DB252" s="954"/>
      <c r="DC252" s="954"/>
      <c r="DD252" s="921"/>
      <c r="DE252" s="954"/>
      <c r="DF252" s="954"/>
      <c r="DG252" s="921"/>
      <c r="DH252" s="954"/>
      <c r="DI252" s="954"/>
      <c r="DJ252" s="921"/>
      <c r="DK252" s="954"/>
      <c r="DL252" s="954"/>
      <c r="DM252" s="921"/>
      <c r="DN252" s="954"/>
      <c r="DO252" s="954"/>
      <c r="DP252" s="921"/>
      <c r="DQ252" s="942"/>
      <c r="DR252" s="951"/>
      <c r="DS252" s="951"/>
      <c r="DT252" s="952"/>
      <c r="DV252" s="921"/>
      <c r="DW252" s="921"/>
      <c r="DX252" s="921"/>
      <c r="DY252" s="921"/>
      <c r="DZ252" s="921"/>
      <c r="EA252" s="921"/>
      <c r="EB252" s="921"/>
      <c r="EC252" s="921"/>
      <c r="ED252" s="921"/>
      <c r="EE252" s="921"/>
      <c r="EF252" s="921"/>
      <c r="EG252" s="921"/>
      <c r="EH252" s="921"/>
      <c r="EI252" s="921"/>
      <c r="EJ252" s="921"/>
      <c r="EK252" s="921"/>
      <c r="EL252" s="921"/>
      <c r="EM252" s="921"/>
      <c r="EN252" s="921"/>
      <c r="EO252" s="921"/>
      <c r="EP252" s="921"/>
      <c r="EQ252" s="954"/>
      <c r="ER252" s="954"/>
      <c r="ES252" s="954"/>
      <c r="ET252" s="954"/>
      <c r="EV252" s="942"/>
      <c r="EW252" s="951"/>
      <c r="EX252" s="951"/>
      <c r="EY252" s="952"/>
    </row>
    <row r="253" spans="1:155" s="927" customFormat="1" ht="15.75" x14ac:dyDescent="0.25">
      <c r="A253" s="931"/>
      <c r="B253" s="932" t="s">
        <v>403</v>
      </c>
      <c r="C253" s="933"/>
      <c r="D253" s="933"/>
      <c r="E253" s="934"/>
      <c r="F253" s="935"/>
      <c r="G253" s="934"/>
      <c r="H253" s="935"/>
      <c r="I253" s="936"/>
      <c r="J253" s="937"/>
      <c r="K253" s="938"/>
      <c r="L253" s="936"/>
      <c r="M253" s="937"/>
      <c r="N253" s="938"/>
      <c r="O253" s="936"/>
      <c r="P253" s="937"/>
      <c r="Q253" s="938"/>
      <c r="R253" s="936"/>
      <c r="S253" s="937"/>
      <c r="T253" s="938"/>
      <c r="U253" s="936"/>
      <c r="V253" s="937"/>
      <c r="W253" s="938"/>
      <c r="X253" s="936"/>
      <c r="Y253" s="937"/>
      <c r="Z253" s="938"/>
      <c r="AA253" s="936"/>
      <c r="AB253" s="937"/>
      <c r="AC253" s="938"/>
      <c r="AD253" s="936"/>
      <c r="AE253" s="937"/>
      <c r="AF253" s="938"/>
      <c r="AG253" s="936"/>
      <c r="AH253" s="937"/>
      <c r="AI253" s="938"/>
      <c r="AJ253" s="936"/>
      <c r="AK253" s="937"/>
      <c r="AL253" s="938"/>
      <c r="AM253" s="936"/>
      <c r="AN253" s="933"/>
      <c r="AO253" s="936"/>
      <c r="AP253" s="933"/>
      <c r="AQ253" s="935"/>
      <c r="AR253" s="936"/>
      <c r="AS253" s="935"/>
      <c r="AT253" s="939"/>
      <c r="AU253" s="933"/>
      <c r="AV253" s="940"/>
      <c r="AW253" s="337">
        <f>AW247/AW246</f>
        <v>0.32916000000000001</v>
      </c>
      <c r="AX253" s="939"/>
      <c r="AY253" s="939"/>
      <c r="AZ253" s="941"/>
      <c r="BA253" s="941"/>
      <c r="BB253" s="941"/>
      <c r="BC253" s="934"/>
      <c r="BD253" s="941"/>
      <c r="BE253" s="941"/>
      <c r="BF253" s="941"/>
      <c r="BG253" s="942"/>
      <c r="BH253" s="941"/>
      <c r="BI253" s="941"/>
      <c r="BJ253" s="941"/>
      <c r="BK253" s="943"/>
      <c r="BL253" s="943"/>
      <c r="BM253" s="943"/>
      <c r="BN253" s="943"/>
      <c r="BO253" s="943"/>
      <c r="BP253" s="944"/>
      <c r="BQ253" s="943"/>
      <c r="BR253" s="943"/>
      <c r="BS253" s="943"/>
      <c r="BU253" s="945"/>
      <c r="BV253" s="946"/>
      <c r="BW253" s="947"/>
      <c r="BX253" s="945"/>
      <c r="BY253" s="947"/>
      <c r="BZ253" s="946"/>
      <c r="CA253" s="947"/>
      <c r="CB253" s="946"/>
      <c r="CC253" s="947"/>
      <c r="CD253" s="947"/>
      <c r="CE253" s="947"/>
      <c r="CF253" s="948"/>
      <c r="CG253" s="949"/>
      <c r="CH253" s="949"/>
      <c r="CI253" s="950"/>
      <c r="CJ253" s="951"/>
      <c r="CK253" s="951"/>
      <c r="CL253" s="952"/>
      <c r="CM253" s="951"/>
      <c r="CN253" s="951"/>
      <c r="CO253" s="952"/>
      <c r="CP253" s="951"/>
      <c r="CQ253" s="951"/>
      <c r="CR253" s="952"/>
      <c r="CS253" s="946"/>
      <c r="CT253" s="953"/>
      <c r="CU253" s="953"/>
      <c r="CV253" s="953"/>
      <c r="CX253" s="951"/>
      <c r="CY253" s="951"/>
      <c r="CZ253" s="952"/>
      <c r="DB253" s="954"/>
      <c r="DC253" s="954"/>
      <c r="DD253" s="921"/>
      <c r="DE253" s="954"/>
      <c r="DF253" s="954"/>
      <c r="DG253" s="921"/>
      <c r="DH253" s="954"/>
      <c r="DI253" s="954"/>
      <c r="DJ253" s="921"/>
      <c r="DK253" s="954"/>
      <c r="DL253" s="954"/>
      <c r="DM253" s="921"/>
      <c r="DN253" s="954"/>
      <c r="DO253" s="954"/>
      <c r="DP253" s="921"/>
      <c r="DQ253" s="942"/>
      <c r="DR253" s="951"/>
      <c r="DS253" s="951"/>
      <c r="DT253" s="952"/>
      <c r="DV253" s="921"/>
      <c r="DW253" s="921"/>
      <c r="DX253" s="921"/>
      <c r="DY253" s="921"/>
      <c r="DZ253" s="921"/>
      <c r="EA253" s="921"/>
      <c r="EB253" s="921"/>
      <c r="EC253" s="921"/>
      <c r="ED253" s="921"/>
      <c r="EE253" s="921"/>
      <c r="EF253" s="921"/>
      <c r="EG253" s="921"/>
      <c r="EH253" s="921"/>
      <c r="EI253" s="921"/>
      <c r="EJ253" s="921"/>
      <c r="EK253" s="921"/>
      <c r="EL253" s="921"/>
      <c r="EM253" s="921"/>
      <c r="EN253" s="921"/>
      <c r="EO253" s="921"/>
      <c r="EP253" s="921"/>
      <c r="EQ253" s="954"/>
      <c r="ER253" s="954"/>
      <c r="ES253" s="954"/>
      <c r="ET253" s="954"/>
      <c r="EV253" s="942"/>
      <c r="EW253" s="951"/>
      <c r="EX253" s="951"/>
      <c r="EY253" s="952"/>
    </row>
    <row r="254" spans="1:155" s="927" customFormat="1" ht="15.75" x14ac:dyDescent="0.25">
      <c r="A254" s="931"/>
      <c r="B254" s="932" t="s">
        <v>404</v>
      </c>
      <c r="C254" s="933"/>
      <c r="D254" s="933"/>
      <c r="E254" s="934"/>
      <c r="F254" s="935"/>
      <c r="G254" s="934"/>
      <c r="H254" s="935"/>
      <c r="I254" s="936"/>
      <c r="J254" s="937"/>
      <c r="K254" s="938"/>
      <c r="L254" s="936"/>
      <c r="M254" s="937"/>
      <c r="N254" s="938"/>
      <c r="O254" s="936"/>
      <c r="P254" s="937"/>
      <c r="Q254" s="938"/>
      <c r="R254" s="936"/>
      <c r="S254" s="937"/>
      <c r="T254" s="938"/>
      <c r="U254" s="936"/>
      <c r="V254" s="937"/>
      <c r="W254" s="938"/>
      <c r="X254" s="936"/>
      <c r="Y254" s="937"/>
      <c r="Z254" s="938"/>
      <c r="AA254" s="936"/>
      <c r="AB254" s="937"/>
      <c r="AC254" s="938"/>
      <c r="AD254" s="936"/>
      <c r="AE254" s="937"/>
      <c r="AF254" s="938"/>
      <c r="AG254" s="936"/>
      <c r="AH254" s="937"/>
      <c r="AI254" s="938"/>
      <c r="AJ254" s="936"/>
      <c r="AK254" s="937"/>
      <c r="AL254" s="938"/>
      <c r="AM254" s="936"/>
      <c r="AN254" s="933"/>
      <c r="AO254" s="936"/>
      <c r="AP254" s="933"/>
      <c r="AQ254" s="935"/>
      <c r="AR254" s="936"/>
      <c r="AS254" s="935"/>
      <c r="AT254" s="939"/>
      <c r="AU254" s="933"/>
      <c r="AV254" s="940"/>
      <c r="AW254" s="338">
        <f>AW248/AW246</f>
        <v>0.59841999999999995</v>
      </c>
      <c r="AX254" s="939"/>
      <c r="AY254" s="939"/>
      <c r="AZ254" s="941"/>
      <c r="BA254" s="941"/>
      <c r="BB254" s="941"/>
      <c r="BC254" s="934"/>
      <c r="BD254" s="941"/>
      <c r="BE254" s="941"/>
      <c r="BF254" s="941"/>
      <c r="BG254" s="942"/>
      <c r="BH254" s="941"/>
      <c r="BI254" s="941"/>
      <c r="BJ254" s="941"/>
      <c r="BK254" s="943"/>
      <c r="BL254" s="943"/>
      <c r="BM254" s="943"/>
      <c r="BN254" s="943"/>
      <c r="BO254" s="943"/>
      <c r="BP254" s="944"/>
      <c r="BQ254" s="943"/>
      <c r="BR254" s="943"/>
      <c r="BS254" s="943"/>
      <c r="BU254" s="945"/>
      <c r="BV254" s="946"/>
      <c r="BW254" s="947"/>
      <c r="BX254" s="945"/>
      <c r="BY254" s="947"/>
      <c r="BZ254" s="946"/>
      <c r="CA254" s="947"/>
      <c r="CB254" s="946"/>
      <c r="CC254" s="947"/>
      <c r="CD254" s="947"/>
      <c r="CE254" s="947"/>
      <c r="CF254" s="948"/>
      <c r="CG254" s="949"/>
      <c r="CH254" s="949"/>
      <c r="CI254" s="950"/>
      <c r="CJ254" s="951"/>
      <c r="CK254" s="951"/>
      <c r="CL254" s="952"/>
      <c r="CM254" s="951"/>
      <c r="CN254" s="951"/>
      <c r="CO254" s="952"/>
      <c r="CP254" s="951"/>
      <c r="CQ254" s="951"/>
      <c r="CR254" s="952"/>
      <c r="CS254" s="946"/>
      <c r="CT254" s="953"/>
      <c r="CU254" s="953"/>
      <c r="CV254" s="953"/>
      <c r="CX254" s="951"/>
      <c r="CY254" s="951"/>
      <c r="CZ254" s="952"/>
      <c r="DB254" s="954"/>
      <c r="DC254" s="954"/>
      <c r="DD254" s="921"/>
      <c r="DE254" s="954"/>
      <c r="DF254" s="954"/>
      <c r="DG254" s="921"/>
      <c r="DH254" s="954"/>
      <c r="DI254" s="954"/>
      <c r="DJ254" s="921"/>
      <c r="DK254" s="954"/>
      <c r="DL254" s="954"/>
      <c r="DM254" s="921"/>
      <c r="DN254" s="954"/>
      <c r="DO254" s="954"/>
      <c r="DP254" s="921"/>
      <c r="DQ254" s="942"/>
      <c r="DR254" s="951"/>
      <c r="DS254" s="951"/>
      <c r="DT254" s="952"/>
      <c r="DV254" s="921"/>
      <c r="DW254" s="921"/>
      <c r="DX254" s="921"/>
      <c r="DY254" s="921"/>
      <c r="DZ254" s="921"/>
      <c r="EA254" s="921"/>
      <c r="EB254" s="921"/>
      <c r="EC254" s="921"/>
      <c r="ED254" s="921"/>
      <c r="EE254" s="921"/>
      <c r="EF254" s="921"/>
      <c r="EG254" s="921"/>
      <c r="EH254" s="921"/>
      <c r="EI254" s="921"/>
      <c r="EJ254" s="921"/>
      <c r="EK254" s="921"/>
      <c r="EL254" s="921"/>
      <c r="EM254" s="921"/>
      <c r="EN254" s="921"/>
      <c r="EO254" s="921"/>
      <c r="EP254" s="921"/>
      <c r="EQ254" s="954"/>
      <c r="ER254" s="954"/>
      <c r="ES254" s="954"/>
      <c r="ET254" s="954"/>
      <c r="EV254" s="942"/>
      <c r="EW254" s="951"/>
      <c r="EX254" s="951"/>
      <c r="EY254" s="952"/>
    </row>
    <row r="255" spans="1:155" s="927" customFormat="1" ht="15.75" x14ac:dyDescent="0.25">
      <c r="A255" s="931"/>
      <c r="B255" s="932" t="s">
        <v>405</v>
      </c>
      <c r="C255" s="933"/>
      <c r="D255" s="933"/>
      <c r="E255" s="934"/>
      <c r="F255" s="935"/>
      <c r="G255" s="934"/>
      <c r="H255" s="935"/>
      <c r="I255" s="936"/>
      <c r="J255" s="937"/>
      <c r="K255" s="938"/>
      <c r="L255" s="936"/>
      <c r="M255" s="937"/>
      <c r="N255" s="938"/>
      <c r="O255" s="936"/>
      <c r="P255" s="937"/>
      <c r="Q255" s="938"/>
      <c r="R255" s="936"/>
      <c r="S255" s="937"/>
      <c r="T255" s="938"/>
      <c r="U255" s="936"/>
      <c r="V255" s="937"/>
      <c r="W255" s="938"/>
      <c r="X255" s="936"/>
      <c r="Y255" s="937"/>
      <c r="Z255" s="938"/>
      <c r="AA255" s="936"/>
      <c r="AB255" s="937"/>
      <c r="AC255" s="938"/>
      <c r="AD255" s="936"/>
      <c r="AE255" s="937"/>
      <c r="AF255" s="938"/>
      <c r="AG255" s="936"/>
      <c r="AH255" s="937"/>
      <c r="AI255" s="938"/>
      <c r="AJ255" s="936"/>
      <c r="AK255" s="937"/>
      <c r="AL255" s="938"/>
      <c r="AM255" s="936"/>
      <c r="AN255" s="933"/>
      <c r="AO255" s="936"/>
      <c r="AP255" s="933"/>
      <c r="AQ255" s="935"/>
      <c r="AR255" s="936"/>
      <c r="AS255" s="935"/>
      <c r="AT255" s="939"/>
      <c r="AU255" s="933"/>
      <c r="AV255" s="940"/>
      <c r="AW255" s="339">
        <f>AW249/AW246</f>
        <v>0.13783999999999999</v>
      </c>
      <c r="AX255" s="939"/>
      <c r="AY255" s="939"/>
      <c r="AZ255" s="941"/>
      <c r="BA255" s="941"/>
      <c r="BB255" s="941"/>
      <c r="BC255" s="934"/>
      <c r="BD255" s="941"/>
      <c r="BE255" s="941"/>
      <c r="BF255" s="941"/>
      <c r="BG255" s="942"/>
      <c r="BH255" s="941"/>
      <c r="BI255" s="941"/>
      <c r="BJ255" s="941"/>
      <c r="BK255" s="943"/>
      <c r="BL255" s="943"/>
      <c r="BM255" s="943"/>
      <c r="BN255" s="943"/>
      <c r="BO255" s="943"/>
      <c r="BP255" s="944"/>
      <c r="BQ255" s="943"/>
      <c r="BR255" s="943"/>
      <c r="BS255" s="943"/>
      <c r="BU255" s="945"/>
      <c r="BV255" s="946"/>
      <c r="BW255" s="947"/>
      <c r="BX255" s="945"/>
      <c r="BY255" s="947"/>
      <c r="BZ255" s="946"/>
      <c r="CA255" s="947"/>
      <c r="CB255" s="946"/>
      <c r="CC255" s="947"/>
      <c r="CD255" s="947"/>
      <c r="CE255" s="947"/>
      <c r="CF255" s="948"/>
      <c r="CG255" s="949"/>
      <c r="CH255" s="949"/>
      <c r="CI255" s="950"/>
      <c r="CJ255" s="951"/>
      <c r="CK255" s="951"/>
      <c r="CL255" s="952"/>
      <c r="CM255" s="951"/>
      <c r="CN255" s="951"/>
      <c r="CO255" s="952"/>
      <c r="CP255" s="951"/>
      <c r="CQ255" s="951"/>
      <c r="CR255" s="952"/>
      <c r="CS255" s="946"/>
      <c r="CT255" s="953"/>
      <c r="CU255" s="953"/>
      <c r="CV255" s="953"/>
      <c r="CX255" s="951"/>
      <c r="CY255" s="951"/>
      <c r="CZ255" s="952"/>
      <c r="DB255" s="954"/>
      <c r="DC255" s="954"/>
      <c r="DD255" s="921"/>
      <c r="DE255" s="954"/>
      <c r="DF255" s="954"/>
      <c r="DG255" s="921"/>
      <c r="DH255" s="954"/>
      <c r="DI255" s="954"/>
      <c r="DJ255" s="921"/>
      <c r="DK255" s="954"/>
      <c r="DL255" s="954"/>
      <c r="DM255" s="921"/>
      <c r="DN255" s="954"/>
      <c r="DO255" s="954"/>
      <c r="DP255" s="921"/>
      <c r="DQ255" s="942"/>
      <c r="DR255" s="951"/>
      <c r="DS255" s="951"/>
      <c r="DT255" s="952"/>
      <c r="DV255" s="921"/>
      <c r="DW255" s="921"/>
      <c r="DX255" s="921"/>
      <c r="DY255" s="921"/>
      <c r="DZ255" s="921"/>
      <c r="EA255" s="921"/>
      <c r="EB255" s="921"/>
      <c r="EC255" s="921"/>
      <c r="ED255" s="921"/>
      <c r="EE255" s="921"/>
      <c r="EF255" s="921"/>
      <c r="EG255" s="921"/>
      <c r="EH255" s="921"/>
      <c r="EI255" s="921"/>
      <c r="EJ255" s="921"/>
      <c r="EK255" s="921"/>
      <c r="EL255" s="921"/>
      <c r="EM255" s="921"/>
      <c r="EN255" s="921"/>
      <c r="EO255" s="921"/>
      <c r="EP255" s="921"/>
      <c r="EQ255" s="954"/>
      <c r="ER255" s="954"/>
      <c r="ES255" s="954"/>
      <c r="ET255" s="954"/>
      <c r="EV255" s="942"/>
      <c r="EW255" s="951"/>
      <c r="EX255" s="951"/>
      <c r="EY255" s="952"/>
    </row>
    <row r="256" spans="1:155" s="927" customFormat="1" ht="15.75" x14ac:dyDescent="0.25">
      <c r="A256" s="931"/>
      <c r="B256" s="932" t="s">
        <v>807</v>
      </c>
      <c r="C256" s="933"/>
      <c r="D256" s="933"/>
      <c r="E256" s="934"/>
      <c r="F256" s="935"/>
      <c r="G256" s="934"/>
      <c r="H256" s="935"/>
      <c r="I256" s="936"/>
      <c r="J256" s="937"/>
      <c r="K256" s="938"/>
      <c r="L256" s="936"/>
      <c r="M256" s="937"/>
      <c r="N256" s="938"/>
      <c r="O256" s="936"/>
      <c r="P256" s="937"/>
      <c r="Q256" s="938"/>
      <c r="R256" s="936"/>
      <c r="S256" s="937"/>
      <c r="T256" s="938"/>
      <c r="U256" s="936"/>
      <c r="V256" s="937"/>
      <c r="W256" s="938"/>
      <c r="X256" s="936"/>
      <c r="Y256" s="937"/>
      <c r="Z256" s="938"/>
      <c r="AA256" s="936"/>
      <c r="AB256" s="937"/>
      <c r="AC256" s="938"/>
      <c r="AD256" s="936"/>
      <c r="AE256" s="937"/>
      <c r="AF256" s="938"/>
      <c r="AG256" s="936"/>
      <c r="AH256" s="937"/>
      <c r="AI256" s="938"/>
      <c r="AJ256" s="936"/>
      <c r="AK256" s="937"/>
      <c r="AL256" s="938"/>
      <c r="AM256" s="936"/>
      <c r="AN256" s="933"/>
      <c r="AO256" s="936"/>
      <c r="AP256" s="933"/>
      <c r="AQ256" s="935"/>
      <c r="AR256" s="936"/>
      <c r="AS256" s="935"/>
      <c r="AT256" s="939"/>
      <c r="AU256" s="933"/>
      <c r="AV256" s="940"/>
      <c r="AW256" s="335">
        <f>(AW239/12)/AW245</f>
        <v>1.24295</v>
      </c>
      <c r="AX256" s="939"/>
      <c r="AY256" s="939"/>
      <c r="AZ256" s="941"/>
      <c r="BA256" s="941"/>
      <c r="BB256" s="941"/>
      <c r="BC256" s="934"/>
      <c r="BD256" s="941"/>
      <c r="BE256" s="941"/>
      <c r="BF256" s="941"/>
      <c r="BG256" s="942"/>
      <c r="BH256" s="941"/>
      <c r="BI256" s="941"/>
      <c r="BJ256" s="941"/>
      <c r="BK256" s="943"/>
      <c r="BL256" s="943"/>
      <c r="BM256" s="943"/>
      <c r="BN256" s="943"/>
      <c r="BO256" s="943"/>
      <c r="BP256" s="944"/>
      <c r="BQ256" s="943"/>
      <c r="BR256" s="943"/>
      <c r="BS256" s="943"/>
      <c r="BU256" s="945"/>
      <c r="BV256" s="946"/>
      <c r="BW256" s="947"/>
      <c r="BX256" s="945"/>
      <c r="BY256" s="947"/>
      <c r="BZ256" s="946"/>
      <c r="CA256" s="947"/>
      <c r="CB256" s="946"/>
      <c r="CC256" s="947"/>
      <c r="CD256" s="947"/>
      <c r="CE256" s="947"/>
      <c r="CF256" s="948"/>
      <c r="CG256" s="949"/>
      <c r="CH256" s="949"/>
      <c r="CI256" s="950"/>
      <c r="CJ256" s="951"/>
      <c r="CK256" s="951"/>
      <c r="CL256" s="952"/>
      <c r="CM256" s="951"/>
      <c r="CN256" s="951"/>
      <c r="CO256" s="952"/>
      <c r="CP256" s="951"/>
      <c r="CQ256" s="951"/>
      <c r="CR256" s="952"/>
      <c r="CS256" s="946"/>
      <c r="CT256" s="953"/>
      <c r="CU256" s="953"/>
      <c r="CV256" s="953"/>
      <c r="CX256" s="951"/>
      <c r="CY256" s="951"/>
      <c r="CZ256" s="952"/>
      <c r="DB256" s="954"/>
      <c r="DC256" s="954"/>
      <c r="DD256" s="921"/>
      <c r="DE256" s="954"/>
      <c r="DF256" s="954"/>
      <c r="DG256" s="921"/>
      <c r="DH256" s="954"/>
      <c r="DI256" s="954"/>
      <c r="DJ256" s="921"/>
      <c r="DK256" s="954"/>
      <c r="DL256" s="954"/>
      <c r="DM256" s="921"/>
      <c r="DN256" s="954"/>
      <c r="DO256" s="954"/>
      <c r="DP256" s="921"/>
      <c r="DQ256" s="942"/>
      <c r="DR256" s="951"/>
      <c r="DS256" s="951"/>
      <c r="DT256" s="952"/>
      <c r="DV256" s="921"/>
      <c r="DW256" s="921"/>
      <c r="DX256" s="921"/>
      <c r="DY256" s="921"/>
      <c r="DZ256" s="921"/>
      <c r="EA256" s="921"/>
      <c r="EB256" s="921"/>
      <c r="EC256" s="921"/>
      <c r="ED256" s="921"/>
      <c r="EE256" s="921"/>
      <c r="EF256" s="921"/>
      <c r="EG256" s="921"/>
      <c r="EH256" s="921"/>
      <c r="EI256" s="921"/>
      <c r="EJ256" s="921"/>
      <c r="EK256" s="921"/>
      <c r="EL256" s="921"/>
      <c r="EM256" s="921"/>
      <c r="EN256" s="921"/>
      <c r="EO256" s="921"/>
      <c r="EP256" s="921"/>
      <c r="EQ256" s="954"/>
      <c r="ER256" s="954"/>
      <c r="ES256" s="954"/>
      <c r="ET256" s="954"/>
      <c r="EV256" s="942"/>
      <c r="EW256" s="951"/>
      <c r="EX256" s="951"/>
      <c r="EY256" s="952"/>
    </row>
    <row r="257" spans="1:155" s="927" customFormat="1" ht="15.75" x14ac:dyDescent="0.25">
      <c r="A257" s="931"/>
      <c r="B257" s="932"/>
      <c r="C257" s="933"/>
      <c r="D257" s="933"/>
      <c r="E257" s="934"/>
      <c r="F257" s="935"/>
      <c r="G257" s="934"/>
      <c r="H257" s="935"/>
      <c r="I257" s="936"/>
      <c r="J257" s="937"/>
      <c r="K257" s="938"/>
      <c r="L257" s="936"/>
      <c r="M257" s="937"/>
      <c r="N257" s="938"/>
      <c r="O257" s="936"/>
      <c r="P257" s="937"/>
      <c r="Q257" s="938"/>
      <c r="R257" s="936"/>
      <c r="S257" s="937"/>
      <c r="T257" s="938"/>
      <c r="U257" s="936"/>
      <c r="V257" s="937"/>
      <c r="W257" s="938"/>
      <c r="X257" s="936"/>
      <c r="Y257" s="937"/>
      <c r="Z257" s="938"/>
      <c r="AA257" s="936"/>
      <c r="AB257" s="937"/>
      <c r="AC257" s="938"/>
      <c r="AD257" s="936"/>
      <c r="AE257" s="937"/>
      <c r="AF257" s="938"/>
      <c r="AG257" s="936"/>
      <c r="AH257" s="937"/>
      <c r="AI257" s="938"/>
      <c r="AJ257" s="936"/>
      <c r="AK257" s="937"/>
      <c r="AL257" s="938"/>
      <c r="AM257" s="936"/>
      <c r="AN257" s="933"/>
      <c r="AO257" s="936"/>
      <c r="AP257" s="933"/>
      <c r="AQ257" s="935"/>
      <c r="AR257" s="936"/>
      <c r="AS257" s="935"/>
      <c r="AT257" s="939"/>
      <c r="AU257" s="933"/>
      <c r="AV257" s="940"/>
      <c r="AW257" s="939"/>
      <c r="AX257" s="939"/>
      <c r="AY257" s="939"/>
      <c r="AZ257" s="941"/>
      <c r="BA257" s="941"/>
      <c r="BB257" s="941"/>
      <c r="BC257" s="934"/>
      <c r="BD257" s="941"/>
      <c r="BE257" s="941"/>
      <c r="BF257" s="941"/>
      <c r="BG257" s="942"/>
      <c r="BH257" s="941"/>
      <c r="BI257" s="941"/>
      <c r="BJ257" s="941"/>
      <c r="BK257" s="943"/>
      <c r="BL257" s="943"/>
      <c r="BM257" s="943"/>
      <c r="BN257" s="943"/>
      <c r="BO257" s="943"/>
      <c r="BP257" s="944"/>
      <c r="BQ257" s="943"/>
      <c r="BR257" s="943"/>
      <c r="BS257" s="943"/>
      <c r="BU257" s="945"/>
      <c r="BV257" s="946"/>
      <c r="BW257" s="947"/>
      <c r="BX257" s="945"/>
      <c r="BY257" s="947"/>
      <c r="BZ257" s="946"/>
      <c r="CA257" s="947"/>
      <c r="CB257" s="946"/>
      <c r="CC257" s="947"/>
      <c r="CD257" s="947"/>
      <c r="CE257" s="947"/>
      <c r="CF257" s="948"/>
      <c r="CG257" s="949"/>
      <c r="CH257" s="949"/>
      <c r="CI257" s="950"/>
      <c r="CJ257" s="951"/>
      <c r="CK257" s="951"/>
      <c r="CL257" s="952"/>
      <c r="CM257" s="951"/>
      <c r="CN257" s="951"/>
      <c r="CO257" s="952"/>
      <c r="CP257" s="951"/>
      <c r="CQ257" s="951"/>
      <c r="CR257" s="952"/>
      <c r="CS257" s="946"/>
      <c r="CT257" s="953"/>
      <c r="CU257" s="953"/>
      <c r="CV257" s="953"/>
      <c r="CX257" s="951"/>
      <c r="CY257" s="951"/>
      <c r="CZ257" s="952"/>
      <c r="DB257" s="954"/>
      <c r="DC257" s="954"/>
      <c r="DD257" s="921"/>
      <c r="DE257" s="954"/>
      <c r="DF257" s="954"/>
      <c r="DG257" s="921"/>
      <c r="DH257" s="954"/>
      <c r="DI257" s="954"/>
      <c r="DJ257" s="921"/>
      <c r="DK257" s="954"/>
      <c r="DL257" s="954"/>
      <c r="DM257" s="921"/>
      <c r="DN257" s="954"/>
      <c r="DO257" s="954"/>
      <c r="DP257" s="921"/>
      <c r="DQ257" s="942"/>
      <c r="DR257" s="951"/>
      <c r="DS257" s="951"/>
      <c r="DT257" s="952"/>
      <c r="DV257" s="921"/>
      <c r="DW257" s="921"/>
      <c r="DX257" s="921"/>
      <c r="DY257" s="921"/>
      <c r="DZ257" s="921"/>
      <c r="EA257" s="921"/>
      <c r="EB257" s="921"/>
      <c r="EC257" s="921"/>
      <c r="ED257" s="921"/>
      <c r="EE257" s="921"/>
      <c r="EF257" s="921"/>
      <c r="EG257" s="921"/>
      <c r="EH257" s="921"/>
      <c r="EI257" s="921"/>
      <c r="EJ257" s="921"/>
      <c r="EK257" s="921"/>
      <c r="EL257" s="921"/>
      <c r="EM257" s="921"/>
      <c r="EN257" s="921"/>
      <c r="EO257" s="921"/>
      <c r="EP257" s="921"/>
      <c r="EQ257" s="954"/>
      <c r="ER257" s="954"/>
      <c r="ES257" s="954"/>
      <c r="ET257" s="954"/>
      <c r="EV257" s="942"/>
      <c r="EW257" s="955"/>
      <c r="EX257" s="951"/>
      <c r="EY257" s="952"/>
    </row>
    <row r="258" spans="1:155" x14ac:dyDescent="0.25">
      <c r="B258" s="876" t="s">
        <v>1418</v>
      </c>
      <c r="C258" s="971">
        <f>C13+C15+C16+C28+C30+C34+C35+C37+C38+C42+C44+C47+C72+C76+C78+C99+C100+C101+C103+C107+C114+C115+C120+C121+C123+C127+C130+C131+C133+C153+C154+C156+C157+C160+C165+C166+C167+C169+C170+C171+C175+C177+C179+C180+C181+C182+C183+C203+C205+C211+C215+C217+C218+C219</f>
        <v>130.5</v>
      </c>
      <c r="AO258" s="971">
        <f>AO13+AO15+AO16+AO28+AO30+AO34+AO35+AO37+AO38+AO42+AO44+AO47+AO72+AO76+AO78+AO99+AO100+AO101+AO103+AO107+AO114+AO115+AO120+AO121+AO123+AO127+AO130+AO131+AO133+AO153+AO154+AO156+AO157+AO160+AO165+AO166+AO167+AO169+AO170+AO171+AO175+AO177+AO179+AO180+AO181+AO182+AO183+AO203+AO205+AO211+AO215+AO217+AO218+AO219</f>
        <v>1732336.7</v>
      </c>
      <c r="BZ258" s="876">
        <v>144.19999999999999</v>
      </c>
      <c r="CI258" s="974" t="s">
        <v>619</v>
      </c>
      <c r="CJ258" s="975">
        <f>CJ239-CJ259</f>
        <v>80689.5</v>
      </c>
      <c r="CK258" s="975">
        <f t="shared" ref="CK258:CZ258" si="286">CK239-CK259</f>
        <v>24368.1</v>
      </c>
      <c r="CL258" s="975">
        <f t="shared" si="286"/>
        <v>105057.60000000001</v>
      </c>
      <c r="CM258" s="975">
        <f t="shared" si="286"/>
        <v>723.4</v>
      </c>
      <c r="CN258" s="975">
        <f t="shared" si="286"/>
        <v>218.5</v>
      </c>
      <c r="CO258" s="975">
        <f t="shared" si="286"/>
        <v>941.9</v>
      </c>
      <c r="CP258" s="975">
        <f t="shared" si="286"/>
        <v>79966.100000000006</v>
      </c>
      <c r="CQ258" s="975">
        <f t="shared" si="286"/>
        <v>24149.599999999999</v>
      </c>
      <c r="CR258" s="975">
        <f t="shared" si="286"/>
        <v>104115.7</v>
      </c>
      <c r="CS258" s="976"/>
      <c r="CT258" s="976">
        <f t="shared" si="286"/>
        <v>3093.5</v>
      </c>
      <c r="CU258" s="976">
        <f t="shared" si="286"/>
        <v>934.2</v>
      </c>
      <c r="CV258" s="976">
        <f t="shared" si="286"/>
        <v>4027.7</v>
      </c>
      <c r="CW258" s="876">
        <f t="shared" si="286"/>
        <v>0</v>
      </c>
      <c r="CX258" s="975">
        <f t="shared" si="286"/>
        <v>41528.800000000003</v>
      </c>
      <c r="CY258" s="975">
        <f t="shared" si="286"/>
        <v>12541.8</v>
      </c>
      <c r="CZ258" s="975">
        <f t="shared" si="286"/>
        <v>54070.6</v>
      </c>
      <c r="DR258" s="975">
        <f t="shared" ref="DR258:DT258" si="287">DR239-DR259</f>
        <v>78247.100000000006</v>
      </c>
      <c r="DS258" s="975">
        <f t="shared" si="287"/>
        <v>23630.400000000001</v>
      </c>
      <c r="DT258" s="975">
        <f t="shared" si="287"/>
        <v>101877.5</v>
      </c>
      <c r="DV258" s="876">
        <v>780.8</v>
      </c>
      <c r="DW258" s="876">
        <v>599.70000000000005</v>
      </c>
      <c r="DX258" s="876">
        <v>181.1</v>
      </c>
      <c r="DY258" s="876">
        <v>780.8</v>
      </c>
      <c r="DZ258" s="876">
        <f>871.5-DY258</f>
        <v>90.7</v>
      </c>
      <c r="EW258" s="975">
        <f t="shared" ref="EW258:EY258" si="288">EW239-EW259</f>
        <v>78425.600000000006</v>
      </c>
      <c r="EX258" s="975">
        <f t="shared" si="288"/>
        <v>23684.5</v>
      </c>
      <c r="EY258" s="975">
        <f t="shared" si="288"/>
        <v>102110.1</v>
      </c>
    </row>
    <row r="259" spans="1:155" x14ac:dyDescent="0.25">
      <c r="C259" s="971"/>
      <c r="AO259" s="971"/>
      <c r="CI259" s="974" t="s">
        <v>620</v>
      </c>
      <c r="CJ259" s="975">
        <f>CJ48</f>
        <v>45372.2</v>
      </c>
      <c r="CK259" s="975">
        <f t="shared" ref="CK259:CV259" si="289">CK48</f>
        <v>13702.5</v>
      </c>
      <c r="CL259" s="975">
        <f t="shared" si="289"/>
        <v>59074.7</v>
      </c>
      <c r="CM259" s="975">
        <f t="shared" si="289"/>
        <v>791</v>
      </c>
      <c r="CN259" s="975">
        <f t="shared" si="289"/>
        <v>238.9</v>
      </c>
      <c r="CO259" s="975">
        <f t="shared" si="289"/>
        <v>1029.9000000000001</v>
      </c>
      <c r="CP259" s="975">
        <f t="shared" si="289"/>
        <v>44581.2</v>
      </c>
      <c r="CQ259" s="975">
        <f t="shared" si="289"/>
        <v>13463.6</v>
      </c>
      <c r="CR259" s="975">
        <f t="shared" si="289"/>
        <v>58044.800000000003</v>
      </c>
      <c r="CS259" s="976"/>
      <c r="CT259" s="976">
        <f t="shared" si="289"/>
        <v>2191.8000000000002</v>
      </c>
      <c r="CU259" s="976">
        <f t="shared" si="289"/>
        <v>661.9</v>
      </c>
      <c r="CV259" s="976">
        <f t="shared" si="289"/>
        <v>2853.7</v>
      </c>
      <c r="CX259" s="975">
        <f t="shared" ref="CX259:CZ259" si="290">CX48</f>
        <v>29146</v>
      </c>
      <c r="CY259" s="975">
        <f t="shared" si="290"/>
        <v>8802.1</v>
      </c>
      <c r="CZ259" s="975">
        <f t="shared" si="290"/>
        <v>37948.1</v>
      </c>
      <c r="DR259" s="975">
        <f t="shared" ref="DR259:DT259" si="291">DR48</f>
        <v>43622.8</v>
      </c>
      <c r="DS259" s="975">
        <f t="shared" si="291"/>
        <v>13174.2</v>
      </c>
      <c r="DT259" s="975">
        <f t="shared" si="291"/>
        <v>56797</v>
      </c>
      <c r="EW259" s="975">
        <f t="shared" ref="EW259:EY259" si="292">EW48</f>
        <v>43722.6</v>
      </c>
      <c r="EX259" s="975">
        <f t="shared" si="292"/>
        <v>13204.3</v>
      </c>
      <c r="EY259" s="975">
        <f t="shared" si="292"/>
        <v>56926.9</v>
      </c>
    </row>
    <row r="260" spans="1:155" x14ac:dyDescent="0.25">
      <c r="B260" s="977" t="s">
        <v>1419</v>
      </c>
      <c r="C260" s="978">
        <f>CR239</f>
        <v>162160.5</v>
      </c>
      <c r="AO260" s="971"/>
    </row>
    <row r="261" spans="1:155" x14ac:dyDescent="0.25">
      <c r="B261" s="876" t="s">
        <v>1420</v>
      </c>
      <c r="C261" s="979">
        <f>CZ239</f>
        <v>92018.7</v>
      </c>
      <c r="AO261" s="971"/>
      <c r="EY261" s="979">
        <f>EY239-DT239</f>
        <v>362.5</v>
      </c>
    </row>
    <row r="262" spans="1:155" x14ac:dyDescent="0.25">
      <c r="B262" s="876" t="s">
        <v>1421</v>
      </c>
      <c r="C262" s="979">
        <f>C258*19242*12*1.302/1000</f>
        <v>39233.1</v>
      </c>
      <c r="BY262" s="971">
        <f>BY239*1.302</f>
        <v>67181043.730000004</v>
      </c>
    </row>
    <row r="263" spans="1:155" x14ac:dyDescent="0.25">
      <c r="B263" s="876" t="s">
        <v>1422</v>
      </c>
      <c r="C263" s="979">
        <f>C260-C261-C262</f>
        <v>30908.7</v>
      </c>
      <c r="BY263" s="971"/>
      <c r="CJ263" s="979"/>
      <c r="CK263" s="979"/>
      <c r="CL263" s="979"/>
      <c r="CM263" s="979"/>
      <c r="CN263" s="979"/>
      <c r="CO263" s="979"/>
      <c r="CP263" s="979"/>
      <c r="CQ263" s="979"/>
      <c r="CR263" s="979"/>
      <c r="CS263" s="980"/>
      <c r="CT263" s="980"/>
      <c r="CU263" s="980"/>
      <c r="CV263" s="980"/>
      <c r="CX263" s="979"/>
      <c r="CY263" s="979"/>
      <c r="CZ263" s="979"/>
      <c r="DB263" s="979"/>
      <c r="DC263" s="979"/>
      <c r="DD263" s="979"/>
      <c r="DE263" s="979"/>
      <c r="DF263" s="979"/>
      <c r="DG263" s="979"/>
      <c r="DH263" s="979"/>
      <c r="DI263" s="979"/>
      <c r="DJ263" s="979"/>
      <c r="DK263" s="979"/>
      <c r="DL263" s="979"/>
      <c r="DM263" s="979"/>
      <c r="DN263" s="979"/>
      <c r="DO263" s="979"/>
      <c r="DP263" s="979"/>
      <c r="DR263" s="979"/>
      <c r="DS263" s="979"/>
      <c r="DT263" s="979"/>
      <c r="DV263" s="979"/>
      <c r="DW263" s="979"/>
      <c r="DX263" s="979"/>
      <c r="DY263" s="979"/>
      <c r="DZ263" s="979"/>
      <c r="EA263" s="979"/>
      <c r="EB263" s="979"/>
      <c r="EC263" s="979"/>
      <c r="ED263" s="979"/>
      <c r="EE263" s="979"/>
      <c r="EF263" s="979"/>
      <c r="EG263" s="979"/>
      <c r="EH263" s="979"/>
      <c r="EI263" s="979"/>
      <c r="EJ263" s="979"/>
      <c r="EK263" s="979"/>
      <c r="EL263" s="979"/>
      <c r="EM263" s="979"/>
      <c r="EN263" s="979"/>
      <c r="EO263" s="979"/>
      <c r="EP263" s="979"/>
      <c r="EQ263" s="979"/>
      <c r="ER263" s="979"/>
      <c r="ES263" s="979"/>
      <c r="ET263" s="979"/>
      <c r="EW263" s="979"/>
      <c r="EX263" s="979"/>
      <c r="EY263" s="979"/>
    </row>
    <row r="264" spans="1:155" x14ac:dyDescent="0.25">
      <c r="C264" s="979"/>
      <c r="BY264" s="971"/>
      <c r="CJ264" s="979"/>
      <c r="CK264" s="979"/>
      <c r="CL264" s="979"/>
      <c r="CM264" s="979"/>
      <c r="CN264" s="979"/>
      <c r="CO264" s="979"/>
      <c r="CP264" s="979"/>
      <c r="CQ264" s="979"/>
      <c r="CR264" s="979"/>
      <c r="CS264" s="980"/>
      <c r="CT264" s="980"/>
      <c r="CU264" s="980"/>
      <c r="CV264" s="980"/>
      <c r="CX264" s="979"/>
      <c r="CY264" s="979"/>
      <c r="CZ264" s="979"/>
      <c r="DB264" s="979"/>
      <c r="DC264" s="979"/>
      <c r="DD264" s="979"/>
      <c r="DE264" s="979"/>
      <c r="DF264" s="979"/>
      <c r="DG264" s="979"/>
      <c r="DH264" s="979"/>
      <c r="DI264" s="979"/>
      <c r="DJ264" s="979"/>
      <c r="DK264" s="979"/>
      <c r="DL264" s="979"/>
      <c r="DM264" s="979"/>
      <c r="DN264" s="979"/>
      <c r="DO264" s="979"/>
      <c r="DP264" s="979"/>
      <c r="DR264" s="979"/>
      <c r="DS264" s="979"/>
      <c r="DT264" s="979"/>
      <c r="DV264" s="979"/>
      <c r="DW264" s="979"/>
      <c r="DX264" s="979"/>
      <c r="DY264" s="979"/>
      <c r="DZ264" s="979"/>
      <c r="EA264" s="979"/>
      <c r="EB264" s="979"/>
      <c r="EC264" s="979"/>
      <c r="ED264" s="979"/>
      <c r="EE264" s="979"/>
      <c r="EF264" s="979"/>
      <c r="EG264" s="979"/>
      <c r="EH264" s="979"/>
      <c r="EI264" s="979"/>
      <c r="EJ264" s="979"/>
      <c r="EK264" s="979"/>
      <c r="EL264" s="979"/>
      <c r="EM264" s="979"/>
      <c r="EN264" s="979"/>
      <c r="EO264" s="979"/>
      <c r="EP264" s="979"/>
      <c r="EQ264" s="979"/>
      <c r="ER264" s="979"/>
      <c r="ES264" s="979"/>
      <c r="ET264" s="979"/>
      <c r="EW264" s="979"/>
      <c r="EX264" s="979"/>
      <c r="EY264" s="979"/>
    </row>
    <row r="265" spans="1:155" x14ac:dyDescent="0.25">
      <c r="B265" s="876" t="s">
        <v>1423</v>
      </c>
      <c r="C265" s="979"/>
      <c r="BY265" s="971"/>
      <c r="CJ265" s="979"/>
      <c r="CK265" s="979"/>
      <c r="CL265" s="979"/>
      <c r="CM265" s="979"/>
      <c r="CN265" s="979"/>
      <c r="CO265" s="979"/>
      <c r="CP265" s="979"/>
      <c r="CQ265" s="979"/>
      <c r="CR265" s="979"/>
      <c r="CS265" s="980"/>
      <c r="CT265" s="980"/>
      <c r="CU265" s="980"/>
      <c r="CV265" s="980"/>
      <c r="CX265" s="979"/>
      <c r="CY265" s="979"/>
      <c r="CZ265" s="979"/>
      <c r="DB265" s="979"/>
      <c r="DC265" s="979"/>
      <c r="DD265" s="979"/>
      <c r="DE265" s="979"/>
      <c r="DF265" s="979"/>
      <c r="DG265" s="979"/>
      <c r="DH265" s="979"/>
      <c r="DI265" s="979"/>
      <c r="DJ265" s="979"/>
      <c r="DK265" s="979"/>
      <c r="DL265" s="979"/>
      <c r="DM265" s="979"/>
      <c r="DN265" s="979"/>
      <c r="DO265" s="979"/>
      <c r="DP265" s="979"/>
      <c r="DR265" s="979"/>
      <c r="DS265" s="979"/>
      <c r="DT265" s="979"/>
      <c r="DV265" s="979"/>
      <c r="DW265" s="979"/>
      <c r="DX265" s="979"/>
      <c r="DY265" s="979"/>
      <c r="DZ265" s="979"/>
      <c r="EA265" s="979"/>
      <c r="EB265" s="979"/>
      <c r="EC265" s="979"/>
      <c r="ED265" s="979"/>
      <c r="EE265" s="979"/>
      <c r="EF265" s="979"/>
      <c r="EG265" s="979"/>
      <c r="EH265" s="979"/>
      <c r="EI265" s="979"/>
      <c r="EJ265" s="979"/>
      <c r="EK265" s="979"/>
      <c r="EL265" s="979"/>
      <c r="EM265" s="979"/>
      <c r="EN265" s="979"/>
      <c r="EO265" s="979"/>
      <c r="EP265" s="979"/>
      <c r="EQ265" s="979"/>
      <c r="ER265" s="979"/>
      <c r="ES265" s="979"/>
      <c r="ET265" s="979"/>
      <c r="EW265" s="979"/>
      <c r="EX265" s="979"/>
      <c r="EY265" s="979"/>
    </row>
    <row r="266" spans="1:155" x14ac:dyDescent="0.25">
      <c r="B266" s="876" t="s">
        <v>1424</v>
      </c>
      <c r="C266" s="979">
        <f>C258*3000*12*1.302/1000</f>
        <v>6116.8</v>
      </c>
      <c r="BY266" s="971">
        <f>BY262+CE239</f>
        <v>93990304.239999995</v>
      </c>
    </row>
    <row r="267" spans="1:155" x14ac:dyDescent="0.25">
      <c r="B267" s="876" t="s">
        <v>1425</v>
      </c>
      <c r="C267" s="979">
        <f>(CR239-CZ239-C262)*0.055</f>
        <v>1700</v>
      </c>
    </row>
  </sheetData>
  <mergeCells count="34">
    <mergeCell ref="B2:AR2"/>
    <mergeCell ref="B3:AR3"/>
    <mergeCell ref="B4:AR4"/>
    <mergeCell ref="B5:AR5"/>
    <mergeCell ref="B6:AR6"/>
    <mergeCell ref="DQ7:DT7"/>
    <mergeCell ref="EV7:EY7"/>
    <mergeCell ref="A8:A9"/>
    <mergeCell ref="B8:B9"/>
    <mergeCell ref="C8:C9"/>
    <mergeCell ref="D8:BJ8"/>
    <mergeCell ref="BK8:BM8"/>
    <mergeCell ref="BN8:BP8"/>
    <mergeCell ref="BQ8:BS8"/>
    <mergeCell ref="BU8:CF8"/>
    <mergeCell ref="DB7:DP7"/>
    <mergeCell ref="CG8:CI8"/>
    <mergeCell ref="CJ8:CL8"/>
    <mergeCell ref="CM8:CO8"/>
    <mergeCell ref="CP8:CR8"/>
    <mergeCell ref="CS8:CV8"/>
    <mergeCell ref="CX8:CZ8"/>
    <mergeCell ref="EV8:EY8"/>
    <mergeCell ref="DB8:DD8"/>
    <mergeCell ref="DE8:DG8"/>
    <mergeCell ref="DH8:DJ8"/>
    <mergeCell ref="DK8:DM8"/>
    <mergeCell ref="DN8:DP8"/>
    <mergeCell ref="DQ8:DT8"/>
    <mergeCell ref="DV8:DZ8"/>
    <mergeCell ref="EA8:EE8"/>
    <mergeCell ref="EF8:EJ8"/>
    <mergeCell ref="EK8:EO8"/>
    <mergeCell ref="EP8:ET8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CC691-32F2-45CC-9BBD-82077BD61187}">
  <dimension ref="A1:EY267"/>
  <sheetViews>
    <sheetView zoomScale="80" zoomScaleNormal="80" workbookViewId="0">
      <pane xSplit="3" ySplit="11" topLeftCell="AO235" activePane="bottomRight" state="frozen"/>
      <selection pane="topRight" activeCell="D1" sqref="D1"/>
      <selection pane="bottomLeft" activeCell="A12" sqref="A12"/>
      <selection pane="bottomRight" activeCell="AQ10" sqref="AQ10"/>
    </sheetView>
  </sheetViews>
  <sheetFormatPr defaultRowHeight="15" x14ac:dyDescent="0.25"/>
  <cols>
    <col min="1" max="1" width="18.85546875" style="876" customWidth="1"/>
    <col min="2" max="2" width="32.28515625" style="876" customWidth="1"/>
    <col min="3" max="3" width="13" style="876" customWidth="1"/>
    <col min="4" max="34" width="15.7109375" style="876" customWidth="1"/>
    <col min="35" max="35" width="17.5703125" style="876" customWidth="1"/>
    <col min="36" max="36" width="20.140625" style="876" customWidth="1"/>
    <col min="37" max="67" width="15.7109375" style="876" customWidth="1"/>
    <col min="68" max="68" width="15.7109375" style="972" customWidth="1"/>
    <col min="69" max="71" width="15.7109375" style="876" customWidth="1"/>
    <col min="72" max="72" width="3" style="876" customWidth="1"/>
    <col min="73" max="73" width="9.140625" style="876" customWidth="1"/>
    <col min="74" max="75" width="9" style="876" customWidth="1"/>
    <col min="76" max="77" width="16" style="876" customWidth="1"/>
    <col min="78" max="78" width="9" style="876" customWidth="1"/>
    <col min="79" max="80" width="12.28515625" style="876" customWidth="1"/>
    <col min="81" max="83" width="14.85546875" style="876" customWidth="1"/>
    <col min="84" max="84" width="14.85546875" style="973" hidden="1" customWidth="1"/>
    <col min="85" max="86" width="12.140625" style="876" customWidth="1"/>
    <col min="87" max="87" width="11.5703125" style="876" customWidth="1"/>
    <col min="88" max="100" width="11.7109375" style="876" customWidth="1"/>
    <col min="101" max="101" width="2.28515625" style="876" customWidth="1"/>
    <col min="102" max="104" width="11.7109375" style="876" customWidth="1"/>
    <col min="105" max="105" width="9.140625" style="876"/>
    <col min="106" max="120" width="11.7109375" style="876" hidden="1" customWidth="1"/>
    <col min="121" max="121" width="15.7109375" style="876" hidden="1" customWidth="1"/>
    <col min="122" max="123" width="11.42578125" style="876" hidden="1" customWidth="1"/>
    <col min="124" max="124" width="10.7109375" style="876" hidden="1" customWidth="1"/>
    <col min="125" max="125" width="0" style="876" hidden="1" customWidth="1"/>
    <col min="126" max="150" width="11.7109375" style="876" customWidth="1"/>
    <col min="151" max="151" width="5.5703125" style="876" customWidth="1"/>
    <col min="152" max="152" width="15.7109375" style="876" customWidth="1"/>
    <col min="153" max="154" width="11.42578125" style="876" customWidth="1"/>
    <col min="155" max="155" width="10.7109375" style="876" customWidth="1"/>
    <col min="156" max="269" width="9.140625" style="876"/>
    <col min="270" max="270" width="21.85546875" style="876" customWidth="1"/>
    <col min="271" max="271" width="32.28515625" style="876" customWidth="1"/>
    <col min="272" max="272" width="13" style="876" customWidth="1"/>
    <col min="273" max="303" width="15.7109375" style="876" customWidth="1"/>
    <col min="304" max="304" width="17.5703125" style="876" customWidth="1"/>
    <col min="305" max="305" width="20.140625" style="876" customWidth="1"/>
    <col min="306" max="340" width="15.7109375" style="876" customWidth="1"/>
    <col min="341" max="341" width="3" style="876" customWidth="1"/>
    <col min="342" max="342" width="9.140625" style="876" customWidth="1"/>
    <col min="343" max="344" width="9" style="876" customWidth="1"/>
    <col min="345" max="346" width="16" style="876" customWidth="1"/>
    <col min="347" max="347" width="9" style="876" customWidth="1"/>
    <col min="348" max="349" width="12.28515625" style="876" customWidth="1"/>
    <col min="350" max="352" width="14.85546875" style="876" customWidth="1"/>
    <col min="353" max="353" width="0" style="876" hidden="1" customWidth="1"/>
    <col min="354" max="355" width="12.140625" style="876" customWidth="1"/>
    <col min="356" max="356" width="10.7109375" style="876" customWidth="1"/>
    <col min="357" max="359" width="15.7109375" style="876" customWidth="1"/>
    <col min="360" max="360" width="11.85546875" style="876" customWidth="1"/>
    <col min="361" max="363" width="13.7109375" style="876" customWidth="1"/>
    <col min="364" max="364" width="3" style="876" customWidth="1"/>
    <col min="365" max="366" width="15.7109375" style="876" customWidth="1"/>
    <col min="367" max="525" width="9.140625" style="876"/>
    <col min="526" max="526" width="21.85546875" style="876" customWidth="1"/>
    <col min="527" max="527" width="32.28515625" style="876" customWidth="1"/>
    <col min="528" max="528" width="13" style="876" customWidth="1"/>
    <col min="529" max="559" width="15.7109375" style="876" customWidth="1"/>
    <col min="560" max="560" width="17.5703125" style="876" customWidth="1"/>
    <col min="561" max="561" width="20.140625" style="876" customWidth="1"/>
    <col min="562" max="596" width="15.7109375" style="876" customWidth="1"/>
    <col min="597" max="597" width="3" style="876" customWidth="1"/>
    <col min="598" max="598" width="9.140625" style="876" customWidth="1"/>
    <col min="599" max="600" width="9" style="876" customWidth="1"/>
    <col min="601" max="602" width="16" style="876" customWidth="1"/>
    <col min="603" max="603" width="9" style="876" customWidth="1"/>
    <col min="604" max="605" width="12.28515625" style="876" customWidth="1"/>
    <col min="606" max="608" width="14.85546875" style="876" customWidth="1"/>
    <col min="609" max="609" width="0" style="876" hidden="1" customWidth="1"/>
    <col min="610" max="611" width="12.140625" style="876" customWidth="1"/>
    <col min="612" max="612" width="10.7109375" style="876" customWidth="1"/>
    <col min="613" max="615" width="15.7109375" style="876" customWidth="1"/>
    <col min="616" max="616" width="11.85546875" style="876" customWidth="1"/>
    <col min="617" max="619" width="13.7109375" style="876" customWidth="1"/>
    <col min="620" max="620" width="3" style="876" customWidth="1"/>
    <col min="621" max="622" width="15.7109375" style="876" customWidth="1"/>
    <col min="623" max="781" width="9.140625" style="876"/>
    <col min="782" max="782" width="21.85546875" style="876" customWidth="1"/>
    <col min="783" max="783" width="32.28515625" style="876" customWidth="1"/>
    <col min="784" max="784" width="13" style="876" customWidth="1"/>
    <col min="785" max="815" width="15.7109375" style="876" customWidth="1"/>
    <col min="816" max="816" width="17.5703125" style="876" customWidth="1"/>
    <col min="817" max="817" width="20.140625" style="876" customWidth="1"/>
    <col min="818" max="852" width="15.7109375" style="876" customWidth="1"/>
    <col min="853" max="853" width="3" style="876" customWidth="1"/>
    <col min="854" max="854" width="9.140625" style="876" customWidth="1"/>
    <col min="855" max="856" width="9" style="876" customWidth="1"/>
    <col min="857" max="858" width="16" style="876" customWidth="1"/>
    <col min="859" max="859" width="9" style="876" customWidth="1"/>
    <col min="860" max="861" width="12.28515625" style="876" customWidth="1"/>
    <col min="862" max="864" width="14.85546875" style="876" customWidth="1"/>
    <col min="865" max="865" width="0" style="876" hidden="1" customWidth="1"/>
    <col min="866" max="867" width="12.140625" style="876" customWidth="1"/>
    <col min="868" max="868" width="10.7109375" style="876" customWidth="1"/>
    <col min="869" max="871" width="15.7109375" style="876" customWidth="1"/>
    <col min="872" max="872" width="11.85546875" style="876" customWidth="1"/>
    <col min="873" max="875" width="13.7109375" style="876" customWidth="1"/>
    <col min="876" max="876" width="3" style="876" customWidth="1"/>
    <col min="877" max="878" width="15.7109375" style="876" customWidth="1"/>
    <col min="879" max="1037" width="9.140625" style="876"/>
    <col min="1038" max="1038" width="21.85546875" style="876" customWidth="1"/>
    <col min="1039" max="1039" width="32.28515625" style="876" customWidth="1"/>
    <col min="1040" max="1040" width="13" style="876" customWidth="1"/>
    <col min="1041" max="1071" width="15.7109375" style="876" customWidth="1"/>
    <col min="1072" max="1072" width="17.5703125" style="876" customWidth="1"/>
    <col min="1073" max="1073" width="20.140625" style="876" customWidth="1"/>
    <col min="1074" max="1108" width="15.7109375" style="876" customWidth="1"/>
    <col min="1109" max="1109" width="3" style="876" customWidth="1"/>
    <col min="1110" max="1110" width="9.140625" style="876" customWidth="1"/>
    <col min="1111" max="1112" width="9" style="876" customWidth="1"/>
    <col min="1113" max="1114" width="16" style="876" customWidth="1"/>
    <col min="1115" max="1115" width="9" style="876" customWidth="1"/>
    <col min="1116" max="1117" width="12.28515625" style="876" customWidth="1"/>
    <col min="1118" max="1120" width="14.85546875" style="876" customWidth="1"/>
    <col min="1121" max="1121" width="0" style="876" hidden="1" customWidth="1"/>
    <col min="1122" max="1123" width="12.140625" style="876" customWidth="1"/>
    <col min="1124" max="1124" width="10.7109375" style="876" customWidth="1"/>
    <col min="1125" max="1127" width="15.7109375" style="876" customWidth="1"/>
    <col min="1128" max="1128" width="11.85546875" style="876" customWidth="1"/>
    <col min="1129" max="1131" width="13.7109375" style="876" customWidth="1"/>
    <col min="1132" max="1132" width="3" style="876" customWidth="1"/>
    <col min="1133" max="1134" width="15.7109375" style="876" customWidth="1"/>
    <col min="1135" max="1293" width="9.140625" style="876"/>
    <col min="1294" max="1294" width="21.85546875" style="876" customWidth="1"/>
    <col min="1295" max="1295" width="32.28515625" style="876" customWidth="1"/>
    <col min="1296" max="1296" width="13" style="876" customWidth="1"/>
    <col min="1297" max="1327" width="15.7109375" style="876" customWidth="1"/>
    <col min="1328" max="1328" width="17.5703125" style="876" customWidth="1"/>
    <col min="1329" max="1329" width="20.140625" style="876" customWidth="1"/>
    <col min="1330" max="1364" width="15.7109375" style="876" customWidth="1"/>
    <col min="1365" max="1365" width="3" style="876" customWidth="1"/>
    <col min="1366" max="1366" width="9.140625" style="876" customWidth="1"/>
    <col min="1367" max="1368" width="9" style="876" customWidth="1"/>
    <col min="1369" max="1370" width="16" style="876" customWidth="1"/>
    <col min="1371" max="1371" width="9" style="876" customWidth="1"/>
    <col min="1372" max="1373" width="12.28515625" style="876" customWidth="1"/>
    <col min="1374" max="1376" width="14.85546875" style="876" customWidth="1"/>
    <col min="1377" max="1377" width="0" style="876" hidden="1" customWidth="1"/>
    <col min="1378" max="1379" width="12.140625" style="876" customWidth="1"/>
    <col min="1380" max="1380" width="10.7109375" style="876" customWidth="1"/>
    <col min="1381" max="1383" width="15.7109375" style="876" customWidth="1"/>
    <col min="1384" max="1384" width="11.85546875" style="876" customWidth="1"/>
    <col min="1385" max="1387" width="13.7109375" style="876" customWidth="1"/>
    <col min="1388" max="1388" width="3" style="876" customWidth="1"/>
    <col min="1389" max="1390" width="15.7109375" style="876" customWidth="1"/>
    <col min="1391" max="1549" width="9.140625" style="876"/>
    <col min="1550" max="1550" width="21.85546875" style="876" customWidth="1"/>
    <col min="1551" max="1551" width="32.28515625" style="876" customWidth="1"/>
    <col min="1552" max="1552" width="13" style="876" customWidth="1"/>
    <col min="1553" max="1583" width="15.7109375" style="876" customWidth="1"/>
    <col min="1584" max="1584" width="17.5703125" style="876" customWidth="1"/>
    <col min="1585" max="1585" width="20.140625" style="876" customWidth="1"/>
    <col min="1586" max="1620" width="15.7109375" style="876" customWidth="1"/>
    <col min="1621" max="1621" width="3" style="876" customWidth="1"/>
    <col min="1622" max="1622" width="9.140625" style="876" customWidth="1"/>
    <col min="1623" max="1624" width="9" style="876" customWidth="1"/>
    <col min="1625" max="1626" width="16" style="876" customWidth="1"/>
    <col min="1627" max="1627" width="9" style="876" customWidth="1"/>
    <col min="1628" max="1629" width="12.28515625" style="876" customWidth="1"/>
    <col min="1630" max="1632" width="14.85546875" style="876" customWidth="1"/>
    <col min="1633" max="1633" width="0" style="876" hidden="1" customWidth="1"/>
    <col min="1634" max="1635" width="12.140625" style="876" customWidth="1"/>
    <col min="1636" max="1636" width="10.7109375" style="876" customWidth="1"/>
    <col min="1637" max="1639" width="15.7109375" style="876" customWidth="1"/>
    <col min="1640" max="1640" width="11.85546875" style="876" customWidth="1"/>
    <col min="1641" max="1643" width="13.7109375" style="876" customWidth="1"/>
    <col min="1644" max="1644" width="3" style="876" customWidth="1"/>
    <col min="1645" max="1646" width="15.7109375" style="876" customWidth="1"/>
    <col min="1647" max="1805" width="9.140625" style="876"/>
    <col min="1806" max="1806" width="21.85546875" style="876" customWidth="1"/>
    <col min="1807" max="1807" width="32.28515625" style="876" customWidth="1"/>
    <col min="1808" max="1808" width="13" style="876" customWidth="1"/>
    <col min="1809" max="1839" width="15.7109375" style="876" customWidth="1"/>
    <col min="1840" max="1840" width="17.5703125" style="876" customWidth="1"/>
    <col min="1841" max="1841" width="20.140625" style="876" customWidth="1"/>
    <col min="1842" max="1876" width="15.7109375" style="876" customWidth="1"/>
    <col min="1877" max="1877" width="3" style="876" customWidth="1"/>
    <col min="1878" max="1878" width="9.140625" style="876" customWidth="1"/>
    <col min="1879" max="1880" width="9" style="876" customWidth="1"/>
    <col min="1881" max="1882" width="16" style="876" customWidth="1"/>
    <col min="1883" max="1883" width="9" style="876" customWidth="1"/>
    <col min="1884" max="1885" width="12.28515625" style="876" customWidth="1"/>
    <col min="1886" max="1888" width="14.85546875" style="876" customWidth="1"/>
    <col min="1889" max="1889" width="0" style="876" hidden="1" customWidth="1"/>
    <col min="1890" max="1891" width="12.140625" style="876" customWidth="1"/>
    <col min="1892" max="1892" width="10.7109375" style="876" customWidth="1"/>
    <col min="1893" max="1895" width="15.7109375" style="876" customWidth="1"/>
    <col min="1896" max="1896" width="11.85546875" style="876" customWidth="1"/>
    <col min="1897" max="1899" width="13.7109375" style="876" customWidth="1"/>
    <col min="1900" max="1900" width="3" style="876" customWidth="1"/>
    <col min="1901" max="1902" width="15.7109375" style="876" customWidth="1"/>
    <col min="1903" max="2061" width="9.140625" style="876"/>
    <col min="2062" max="2062" width="21.85546875" style="876" customWidth="1"/>
    <col min="2063" max="2063" width="32.28515625" style="876" customWidth="1"/>
    <col min="2064" max="2064" width="13" style="876" customWidth="1"/>
    <col min="2065" max="2095" width="15.7109375" style="876" customWidth="1"/>
    <col min="2096" max="2096" width="17.5703125" style="876" customWidth="1"/>
    <col min="2097" max="2097" width="20.140625" style="876" customWidth="1"/>
    <col min="2098" max="2132" width="15.7109375" style="876" customWidth="1"/>
    <col min="2133" max="2133" width="3" style="876" customWidth="1"/>
    <col min="2134" max="2134" width="9.140625" style="876" customWidth="1"/>
    <col min="2135" max="2136" width="9" style="876" customWidth="1"/>
    <col min="2137" max="2138" width="16" style="876" customWidth="1"/>
    <col min="2139" max="2139" width="9" style="876" customWidth="1"/>
    <col min="2140" max="2141" width="12.28515625" style="876" customWidth="1"/>
    <col min="2142" max="2144" width="14.85546875" style="876" customWidth="1"/>
    <col min="2145" max="2145" width="0" style="876" hidden="1" customWidth="1"/>
    <col min="2146" max="2147" width="12.140625" style="876" customWidth="1"/>
    <col min="2148" max="2148" width="10.7109375" style="876" customWidth="1"/>
    <col min="2149" max="2151" width="15.7109375" style="876" customWidth="1"/>
    <col min="2152" max="2152" width="11.85546875" style="876" customWidth="1"/>
    <col min="2153" max="2155" width="13.7109375" style="876" customWidth="1"/>
    <col min="2156" max="2156" width="3" style="876" customWidth="1"/>
    <col min="2157" max="2158" width="15.7109375" style="876" customWidth="1"/>
    <col min="2159" max="2317" width="9.140625" style="876"/>
    <col min="2318" max="2318" width="21.85546875" style="876" customWidth="1"/>
    <col min="2319" max="2319" width="32.28515625" style="876" customWidth="1"/>
    <col min="2320" max="2320" width="13" style="876" customWidth="1"/>
    <col min="2321" max="2351" width="15.7109375" style="876" customWidth="1"/>
    <col min="2352" max="2352" width="17.5703125" style="876" customWidth="1"/>
    <col min="2353" max="2353" width="20.140625" style="876" customWidth="1"/>
    <col min="2354" max="2388" width="15.7109375" style="876" customWidth="1"/>
    <col min="2389" max="2389" width="3" style="876" customWidth="1"/>
    <col min="2390" max="2390" width="9.140625" style="876" customWidth="1"/>
    <col min="2391" max="2392" width="9" style="876" customWidth="1"/>
    <col min="2393" max="2394" width="16" style="876" customWidth="1"/>
    <col min="2395" max="2395" width="9" style="876" customWidth="1"/>
    <col min="2396" max="2397" width="12.28515625" style="876" customWidth="1"/>
    <col min="2398" max="2400" width="14.85546875" style="876" customWidth="1"/>
    <col min="2401" max="2401" width="0" style="876" hidden="1" customWidth="1"/>
    <col min="2402" max="2403" width="12.140625" style="876" customWidth="1"/>
    <col min="2404" max="2404" width="10.7109375" style="876" customWidth="1"/>
    <col min="2405" max="2407" width="15.7109375" style="876" customWidth="1"/>
    <col min="2408" max="2408" width="11.85546875" style="876" customWidth="1"/>
    <col min="2409" max="2411" width="13.7109375" style="876" customWidth="1"/>
    <col min="2412" max="2412" width="3" style="876" customWidth="1"/>
    <col min="2413" max="2414" width="15.7109375" style="876" customWidth="1"/>
    <col min="2415" max="2573" width="9.140625" style="876"/>
    <col min="2574" max="2574" width="21.85546875" style="876" customWidth="1"/>
    <col min="2575" max="2575" width="32.28515625" style="876" customWidth="1"/>
    <col min="2576" max="2576" width="13" style="876" customWidth="1"/>
    <col min="2577" max="2607" width="15.7109375" style="876" customWidth="1"/>
    <col min="2608" max="2608" width="17.5703125" style="876" customWidth="1"/>
    <col min="2609" max="2609" width="20.140625" style="876" customWidth="1"/>
    <col min="2610" max="2644" width="15.7109375" style="876" customWidth="1"/>
    <col min="2645" max="2645" width="3" style="876" customWidth="1"/>
    <col min="2646" max="2646" width="9.140625" style="876" customWidth="1"/>
    <col min="2647" max="2648" width="9" style="876" customWidth="1"/>
    <col min="2649" max="2650" width="16" style="876" customWidth="1"/>
    <col min="2651" max="2651" width="9" style="876" customWidth="1"/>
    <col min="2652" max="2653" width="12.28515625" style="876" customWidth="1"/>
    <col min="2654" max="2656" width="14.85546875" style="876" customWidth="1"/>
    <col min="2657" max="2657" width="0" style="876" hidden="1" customWidth="1"/>
    <col min="2658" max="2659" width="12.140625" style="876" customWidth="1"/>
    <col min="2660" max="2660" width="10.7109375" style="876" customWidth="1"/>
    <col min="2661" max="2663" width="15.7109375" style="876" customWidth="1"/>
    <col min="2664" max="2664" width="11.85546875" style="876" customWidth="1"/>
    <col min="2665" max="2667" width="13.7109375" style="876" customWidth="1"/>
    <col min="2668" max="2668" width="3" style="876" customWidth="1"/>
    <col min="2669" max="2670" width="15.7109375" style="876" customWidth="1"/>
    <col min="2671" max="2829" width="9.140625" style="876"/>
    <col min="2830" max="2830" width="21.85546875" style="876" customWidth="1"/>
    <col min="2831" max="2831" width="32.28515625" style="876" customWidth="1"/>
    <col min="2832" max="2832" width="13" style="876" customWidth="1"/>
    <col min="2833" max="2863" width="15.7109375" style="876" customWidth="1"/>
    <col min="2864" max="2864" width="17.5703125" style="876" customWidth="1"/>
    <col min="2865" max="2865" width="20.140625" style="876" customWidth="1"/>
    <col min="2866" max="2900" width="15.7109375" style="876" customWidth="1"/>
    <col min="2901" max="2901" width="3" style="876" customWidth="1"/>
    <col min="2902" max="2902" width="9.140625" style="876" customWidth="1"/>
    <col min="2903" max="2904" width="9" style="876" customWidth="1"/>
    <col min="2905" max="2906" width="16" style="876" customWidth="1"/>
    <col min="2907" max="2907" width="9" style="876" customWidth="1"/>
    <col min="2908" max="2909" width="12.28515625" style="876" customWidth="1"/>
    <col min="2910" max="2912" width="14.85546875" style="876" customWidth="1"/>
    <col min="2913" max="2913" width="0" style="876" hidden="1" customWidth="1"/>
    <col min="2914" max="2915" width="12.140625" style="876" customWidth="1"/>
    <col min="2916" max="2916" width="10.7109375" style="876" customWidth="1"/>
    <col min="2917" max="2919" width="15.7109375" style="876" customWidth="1"/>
    <col min="2920" max="2920" width="11.85546875" style="876" customWidth="1"/>
    <col min="2921" max="2923" width="13.7109375" style="876" customWidth="1"/>
    <col min="2924" max="2924" width="3" style="876" customWidth="1"/>
    <col min="2925" max="2926" width="15.7109375" style="876" customWidth="1"/>
    <col min="2927" max="3085" width="9.140625" style="876"/>
    <col min="3086" max="3086" width="21.85546875" style="876" customWidth="1"/>
    <col min="3087" max="3087" width="32.28515625" style="876" customWidth="1"/>
    <col min="3088" max="3088" width="13" style="876" customWidth="1"/>
    <col min="3089" max="3119" width="15.7109375" style="876" customWidth="1"/>
    <col min="3120" max="3120" width="17.5703125" style="876" customWidth="1"/>
    <col min="3121" max="3121" width="20.140625" style="876" customWidth="1"/>
    <col min="3122" max="3156" width="15.7109375" style="876" customWidth="1"/>
    <col min="3157" max="3157" width="3" style="876" customWidth="1"/>
    <col min="3158" max="3158" width="9.140625" style="876" customWidth="1"/>
    <col min="3159" max="3160" width="9" style="876" customWidth="1"/>
    <col min="3161" max="3162" width="16" style="876" customWidth="1"/>
    <col min="3163" max="3163" width="9" style="876" customWidth="1"/>
    <col min="3164" max="3165" width="12.28515625" style="876" customWidth="1"/>
    <col min="3166" max="3168" width="14.85546875" style="876" customWidth="1"/>
    <col min="3169" max="3169" width="0" style="876" hidden="1" customWidth="1"/>
    <col min="3170" max="3171" width="12.140625" style="876" customWidth="1"/>
    <col min="3172" max="3172" width="10.7109375" style="876" customWidth="1"/>
    <col min="3173" max="3175" width="15.7109375" style="876" customWidth="1"/>
    <col min="3176" max="3176" width="11.85546875" style="876" customWidth="1"/>
    <col min="3177" max="3179" width="13.7109375" style="876" customWidth="1"/>
    <col min="3180" max="3180" width="3" style="876" customWidth="1"/>
    <col min="3181" max="3182" width="15.7109375" style="876" customWidth="1"/>
    <col min="3183" max="3341" width="9.140625" style="876"/>
    <col min="3342" max="3342" width="21.85546875" style="876" customWidth="1"/>
    <col min="3343" max="3343" width="32.28515625" style="876" customWidth="1"/>
    <col min="3344" max="3344" width="13" style="876" customWidth="1"/>
    <col min="3345" max="3375" width="15.7109375" style="876" customWidth="1"/>
    <col min="3376" max="3376" width="17.5703125" style="876" customWidth="1"/>
    <col min="3377" max="3377" width="20.140625" style="876" customWidth="1"/>
    <col min="3378" max="3412" width="15.7109375" style="876" customWidth="1"/>
    <col min="3413" max="3413" width="3" style="876" customWidth="1"/>
    <col min="3414" max="3414" width="9.140625" style="876" customWidth="1"/>
    <col min="3415" max="3416" width="9" style="876" customWidth="1"/>
    <col min="3417" max="3418" width="16" style="876" customWidth="1"/>
    <col min="3419" max="3419" width="9" style="876" customWidth="1"/>
    <col min="3420" max="3421" width="12.28515625" style="876" customWidth="1"/>
    <col min="3422" max="3424" width="14.85546875" style="876" customWidth="1"/>
    <col min="3425" max="3425" width="0" style="876" hidden="1" customWidth="1"/>
    <col min="3426" max="3427" width="12.140625" style="876" customWidth="1"/>
    <col min="3428" max="3428" width="10.7109375" style="876" customWidth="1"/>
    <col min="3429" max="3431" width="15.7109375" style="876" customWidth="1"/>
    <col min="3432" max="3432" width="11.85546875" style="876" customWidth="1"/>
    <col min="3433" max="3435" width="13.7109375" style="876" customWidth="1"/>
    <col min="3436" max="3436" width="3" style="876" customWidth="1"/>
    <col min="3437" max="3438" width="15.7109375" style="876" customWidth="1"/>
    <col min="3439" max="3597" width="9.140625" style="876"/>
    <col min="3598" max="3598" width="21.85546875" style="876" customWidth="1"/>
    <col min="3599" max="3599" width="32.28515625" style="876" customWidth="1"/>
    <col min="3600" max="3600" width="13" style="876" customWidth="1"/>
    <col min="3601" max="3631" width="15.7109375" style="876" customWidth="1"/>
    <col min="3632" max="3632" width="17.5703125" style="876" customWidth="1"/>
    <col min="3633" max="3633" width="20.140625" style="876" customWidth="1"/>
    <col min="3634" max="3668" width="15.7109375" style="876" customWidth="1"/>
    <col min="3669" max="3669" width="3" style="876" customWidth="1"/>
    <col min="3670" max="3670" width="9.140625" style="876" customWidth="1"/>
    <col min="3671" max="3672" width="9" style="876" customWidth="1"/>
    <col min="3673" max="3674" width="16" style="876" customWidth="1"/>
    <col min="3675" max="3675" width="9" style="876" customWidth="1"/>
    <col min="3676" max="3677" width="12.28515625" style="876" customWidth="1"/>
    <col min="3678" max="3680" width="14.85546875" style="876" customWidth="1"/>
    <col min="3681" max="3681" width="0" style="876" hidden="1" customWidth="1"/>
    <col min="3682" max="3683" width="12.140625" style="876" customWidth="1"/>
    <col min="3684" max="3684" width="10.7109375" style="876" customWidth="1"/>
    <col min="3685" max="3687" width="15.7109375" style="876" customWidth="1"/>
    <col min="3688" max="3688" width="11.85546875" style="876" customWidth="1"/>
    <col min="3689" max="3691" width="13.7109375" style="876" customWidth="1"/>
    <col min="3692" max="3692" width="3" style="876" customWidth="1"/>
    <col min="3693" max="3694" width="15.7109375" style="876" customWidth="1"/>
    <col min="3695" max="3853" width="9.140625" style="876"/>
    <col min="3854" max="3854" width="21.85546875" style="876" customWidth="1"/>
    <col min="3855" max="3855" width="32.28515625" style="876" customWidth="1"/>
    <col min="3856" max="3856" width="13" style="876" customWidth="1"/>
    <col min="3857" max="3887" width="15.7109375" style="876" customWidth="1"/>
    <col min="3888" max="3888" width="17.5703125" style="876" customWidth="1"/>
    <col min="3889" max="3889" width="20.140625" style="876" customWidth="1"/>
    <col min="3890" max="3924" width="15.7109375" style="876" customWidth="1"/>
    <col min="3925" max="3925" width="3" style="876" customWidth="1"/>
    <col min="3926" max="3926" width="9.140625" style="876" customWidth="1"/>
    <col min="3927" max="3928" width="9" style="876" customWidth="1"/>
    <col min="3929" max="3930" width="16" style="876" customWidth="1"/>
    <col min="3931" max="3931" width="9" style="876" customWidth="1"/>
    <col min="3932" max="3933" width="12.28515625" style="876" customWidth="1"/>
    <col min="3934" max="3936" width="14.85546875" style="876" customWidth="1"/>
    <col min="3937" max="3937" width="0" style="876" hidden="1" customWidth="1"/>
    <col min="3938" max="3939" width="12.140625" style="876" customWidth="1"/>
    <col min="3940" max="3940" width="10.7109375" style="876" customWidth="1"/>
    <col min="3941" max="3943" width="15.7109375" style="876" customWidth="1"/>
    <col min="3944" max="3944" width="11.85546875" style="876" customWidth="1"/>
    <col min="3945" max="3947" width="13.7109375" style="876" customWidth="1"/>
    <col min="3948" max="3948" width="3" style="876" customWidth="1"/>
    <col min="3949" max="3950" width="15.7109375" style="876" customWidth="1"/>
    <col min="3951" max="4109" width="9.140625" style="876"/>
    <col min="4110" max="4110" width="21.85546875" style="876" customWidth="1"/>
    <col min="4111" max="4111" width="32.28515625" style="876" customWidth="1"/>
    <col min="4112" max="4112" width="13" style="876" customWidth="1"/>
    <col min="4113" max="4143" width="15.7109375" style="876" customWidth="1"/>
    <col min="4144" max="4144" width="17.5703125" style="876" customWidth="1"/>
    <col min="4145" max="4145" width="20.140625" style="876" customWidth="1"/>
    <col min="4146" max="4180" width="15.7109375" style="876" customWidth="1"/>
    <col min="4181" max="4181" width="3" style="876" customWidth="1"/>
    <col min="4182" max="4182" width="9.140625" style="876" customWidth="1"/>
    <col min="4183" max="4184" width="9" style="876" customWidth="1"/>
    <col min="4185" max="4186" width="16" style="876" customWidth="1"/>
    <col min="4187" max="4187" width="9" style="876" customWidth="1"/>
    <col min="4188" max="4189" width="12.28515625" style="876" customWidth="1"/>
    <col min="4190" max="4192" width="14.85546875" style="876" customWidth="1"/>
    <col min="4193" max="4193" width="0" style="876" hidden="1" customWidth="1"/>
    <col min="4194" max="4195" width="12.140625" style="876" customWidth="1"/>
    <col min="4196" max="4196" width="10.7109375" style="876" customWidth="1"/>
    <col min="4197" max="4199" width="15.7109375" style="876" customWidth="1"/>
    <col min="4200" max="4200" width="11.85546875" style="876" customWidth="1"/>
    <col min="4201" max="4203" width="13.7109375" style="876" customWidth="1"/>
    <col min="4204" max="4204" width="3" style="876" customWidth="1"/>
    <col min="4205" max="4206" width="15.7109375" style="876" customWidth="1"/>
    <col min="4207" max="4365" width="9.140625" style="876"/>
    <col min="4366" max="4366" width="21.85546875" style="876" customWidth="1"/>
    <col min="4367" max="4367" width="32.28515625" style="876" customWidth="1"/>
    <col min="4368" max="4368" width="13" style="876" customWidth="1"/>
    <col min="4369" max="4399" width="15.7109375" style="876" customWidth="1"/>
    <col min="4400" max="4400" width="17.5703125" style="876" customWidth="1"/>
    <col min="4401" max="4401" width="20.140625" style="876" customWidth="1"/>
    <col min="4402" max="4436" width="15.7109375" style="876" customWidth="1"/>
    <col min="4437" max="4437" width="3" style="876" customWidth="1"/>
    <col min="4438" max="4438" width="9.140625" style="876" customWidth="1"/>
    <col min="4439" max="4440" width="9" style="876" customWidth="1"/>
    <col min="4441" max="4442" width="16" style="876" customWidth="1"/>
    <col min="4443" max="4443" width="9" style="876" customWidth="1"/>
    <col min="4444" max="4445" width="12.28515625" style="876" customWidth="1"/>
    <col min="4446" max="4448" width="14.85546875" style="876" customWidth="1"/>
    <col min="4449" max="4449" width="0" style="876" hidden="1" customWidth="1"/>
    <col min="4450" max="4451" width="12.140625" style="876" customWidth="1"/>
    <col min="4452" max="4452" width="10.7109375" style="876" customWidth="1"/>
    <col min="4453" max="4455" width="15.7109375" style="876" customWidth="1"/>
    <col min="4456" max="4456" width="11.85546875" style="876" customWidth="1"/>
    <col min="4457" max="4459" width="13.7109375" style="876" customWidth="1"/>
    <col min="4460" max="4460" width="3" style="876" customWidth="1"/>
    <col min="4461" max="4462" width="15.7109375" style="876" customWidth="1"/>
    <col min="4463" max="4621" width="9.140625" style="876"/>
    <col min="4622" max="4622" width="21.85546875" style="876" customWidth="1"/>
    <col min="4623" max="4623" width="32.28515625" style="876" customWidth="1"/>
    <col min="4624" max="4624" width="13" style="876" customWidth="1"/>
    <col min="4625" max="4655" width="15.7109375" style="876" customWidth="1"/>
    <col min="4656" max="4656" width="17.5703125" style="876" customWidth="1"/>
    <col min="4657" max="4657" width="20.140625" style="876" customWidth="1"/>
    <col min="4658" max="4692" width="15.7109375" style="876" customWidth="1"/>
    <col min="4693" max="4693" width="3" style="876" customWidth="1"/>
    <col min="4694" max="4694" width="9.140625" style="876" customWidth="1"/>
    <col min="4695" max="4696" width="9" style="876" customWidth="1"/>
    <col min="4697" max="4698" width="16" style="876" customWidth="1"/>
    <col min="4699" max="4699" width="9" style="876" customWidth="1"/>
    <col min="4700" max="4701" width="12.28515625" style="876" customWidth="1"/>
    <col min="4702" max="4704" width="14.85546875" style="876" customWidth="1"/>
    <col min="4705" max="4705" width="0" style="876" hidden="1" customWidth="1"/>
    <col min="4706" max="4707" width="12.140625" style="876" customWidth="1"/>
    <col min="4708" max="4708" width="10.7109375" style="876" customWidth="1"/>
    <col min="4709" max="4711" width="15.7109375" style="876" customWidth="1"/>
    <col min="4712" max="4712" width="11.85546875" style="876" customWidth="1"/>
    <col min="4713" max="4715" width="13.7109375" style="876" customWidth="1"/>
    <col min="4716" max="4716" width="3" style="876" customWidth="1"/>
    <col min="4717" max="4718" width="15.7109375" style="876" customWidth="1"/>
    <col min="4719" max="4877" width="9.140625" style="876"/>
    <col min="4878" max="4878" width="21.85546875" style="876" customWidth="1"/>
    <col min="4879" max="4879" width="32.28515625" style="876" customWidth="1"/>
    <col min="4880" max="4880" width="13" style="876" customWidth="1"/>
    <col min="4881" max="4911" width="15.7109375" style="876" customWidth="1"/>
    <col min="4912" max="4912" width="17.5703125" style="876" customWidth="1"/>
    <col min="4913" max="4913" width="20.140625" style="876" customWidth="1"/>
    <col min="4914" max="4948" width="15.7109375" style="876" customWidth="1"/>
    <col min="4949" max="4949" width="3" style="876" customWidth="1"/>
    <col min="4950" max="4950" width="9.140625" style="876" customWidth="1"/>
    <col min="4951" max="4952" width="9" style="876" customWidth="1"/>
    <col min="4953" max="4954" width="16" style="876" customWidth="1"/>
    <col min="4955" max="4955" width="9" style="876" customWidth="1"/>
    <col min="4956" max="4957" width="12.28515625" style="876" customWidth="1"/>
    <col min="4958" max="4960" width="14.85546875" style="876" customWidth="1"/>
    <col min="4961" max="4961" width="0" style="876" hidden="1" customWidth="1"/>
    <col min="4962" max="4963" width="12.140625" style="876" customWidth="1"/>
    <col min="4964" max="4964" width="10.7109375" style="876" customWidth="1"/>
    <col min="4965" max="4967" width="15.7109375" style="876" customWidth="1"/>
    <col min="4968" max="4968" width="11.85546875" style="876" customWidth="1"/>
    <col min="4969" max="4971" width="13.7109375" style="876" customWidth="1"/>
    <col min="4972" max="4972" width="3" style="876" customWidth="1"/>
    <col min="4973" max="4974" width="15.7109375" style="876" customWidth="1"/>
    <col min="4975" max="5133" width="9.140625" style="876"/>
    <col min="5134" max="5134" width="21.85546875" style="876" customWidth="1"/>
    <col min="5135" max="5135" width="32.28515625" style="876" customWidth="1"/>
    <col min="5136" max="5136" width="13" style="876" customWidth="1"/>
    <col min="5137" max="5167" width="15.7109375" style="876" customWidth="1"/>
    <col min="5168" max="5168" width="17.5703125" style="876" customWidth="1"/>
    <col min="5169" max="5169" width="20.140625" style="876" customWidth="1"/>
    <col min="5170" max="5204" width="15.7109375" style="876" customWidth="1"/>
    <col min="5205" max="5205" width="3" style="876" customWidth="1"/>
    <col min="5206" max="5206" width="9.140625" style="876" customWidth="1"/>
    <col min="5207" max="5208" width="9" style="876" customWidth="1"/>
    <col min="5209" max="5210" width="16" style="876" customWidth="1"/>
    <col min="5211" max="5211" width="9" style="876" customWidth="1"/>
    <col min="5212" max="5213" width="12.28515625" style="876" customWidth="1"/>
    <col min="5214" max="5216" width="14.85546875" style="876" customWidth="1"/>
    <col min="5217" max="5217" width="0" style="876" hidden="1" customWidth="1"/>
    <col min="5218" max="5219" width="12.140625" style="876" customWidth="1"/>
    <col min="5220" max="5220" width="10.7109375" style="876" customWidth="1"/>
    <col min="5221" max="5223" width="15.7109375" style="876" customWidth="1"/>
    <col min="5224" max="5224" width="11.85546875" style="876" customWidth="1"/>
    <col min="5225" max="5227" width="13.7109375" style="876" customWidth="1"/>
    <col min="5228" max="5228" width="3" style="876" customWidth="1"/>
    <col min="5229" max="5230" width="15.7109375" style="876" customWidth="1"/>
    <col min="5231" max="5389" width="9.140625" style="876"/>
    <col min="5390" max="5390" width="21.85546875" style="876" customWidth="1"/>
    <col min="5391" max="5391" width="32.28515625" style="876" customWidth="1"/>
    <col min="5392" max="5392" width="13" style="876" customWidth="1"/>
    <col min="5393" max="5423" width="15.7109375" style="876" customWidth="1"/>
    <col min="5424" max="5424" width="17.5703125" style="876" customWidth="1"/>
    <col min="5425" max="5425" width="20.140625" style="876" customWidth="1"/>
    <col min="5426" max="5460" width="15.7109375" style="876" customWidth="1"/>
    <col min="5461" max="5461" width="3" style="876" customWidth="1"/>
    <col min="5462" max="5462" width="9.140625" style="876" customWidth="1"/>
    <col min="5463" max="5464" width="9" style="876" customWidth="1"/>
    <col min="5465" max="5466" width="16" style="876" customWidth="1"/>
    <col min="5467" max="5467" width="9" style="876" customWidth="1"/>
    <col min="5468" max="5469" width="12.28515625" style="876" customWidth="1"/>
    <col min="5470" max="5472" width="14.85546875" style="876" customWidth="1"/>
    <col min="5473" max="5473" width="0" style="876" hidden="1" customWidth="1"/>
    <col min="5474" max="5475" width="12.140625" style="876" customWidth="1"/>
    <col min="5476" max="5476" width="10.7109375" style="876" customWidth="1"/>
    <col min="5477" max="5479" width="15.7109375" style="876" customWidth="1"/>
    <col min="5480" max="5480" width="11.85546875" style="876" customWidth="1"/>
    <col min="5481" max="5483" width="13.7109375" style="876" customWidth="1"/>
    <col min="5484" max="5484" width="3" style="876" customWidth="1"/>
    <col min="5485" max="5486" width="15.7109375" style="876" customWidth="1"/>
    <col min="5487" max="5645" width="9.140625" style="876"/>
    <col min="5646" max="5646" width="21.85546875" style="876" customWidth="1"/>
    <col min="5647" max="5647" width="32.28515625" style="876" customWidth="1"/>
    <col min="5648" max="5648" width="13" style="876" customWidth="1"/>
    <col min="5649" max="5679" width="15.7109375" style="876" customWidth="1"/>
    <col min="5680" max="5680" width="17.5703125" style="876" customWidth="1"/>
    <col min="5681" max="5681" width="20.140625" style="876" customWidth="1"/>
    <col min="5682" max="5716" width="15.7109375" style="876" customWidth="1"/>
    <col min="5717" max="5717" width="3" style="876" customWidth="1"/>
    <col min="5718" max="5718" width="9.140625" style="876" customWidth="1"/>
    <col min="5719" max="5720" width="9" style="876" customWidth="1"/>
    <col min="5721" max="5722" width="16" style="876" customWidth="1"/>
    <col min="5723" max="5723" width="9" style="876" customWidth="1"/>
    <col min="5724" max="5725" width="12.28515625" style="876" customWidth="1"/>
    <col min="5726" max="5728" width="14.85546875" style="876" customWidth="1"/>
    <col min="5729" max="5729" width="0" style="876" hidden="1" customWidth="1"/>
    <col min="5730" max="5731" width="12.140625" style="876" customWidth="1"/>
    <col min="5732" max="5732" width="10.7109375" style="876" customWidth="1"/>
    <col min="5733" max="5735" width="15.7109375" style="876" customWidth="1"/>
    <col min="5736" max="5736" width="11.85546875" style="876" customWidth="1"/>
    <col min="5737" max="5739" width="13.7109375" style="876" customWidth="1"/>
    <col min="5740" max="5740" width="3" style="876" customWidth="1"/>
    <col min="5741" max="5742" width="15.7109375" style="876" customWidth="1"/>
    <col min="5743" max="5901" width="9.140625" style="876"/>
    <col min="5902" max="5902" width="21.85546875" style="876" customWidth="1"/>
    <col min="5903" max="5903" width="32.28515625" style="876" customWidth="1"/>
    <col min="5904" max="5904" width="13" style="876" customWidth="1"/>
    <col min="5905" max="5935" width="15.7109375" style="876" customWidth="1"/>
    <col min="5936" max="5936" width="17.5703125" style="876" customWidth="1"/>
    <col min="5937" max="5937" width="20.140625" style="876" customWidth="1"/>
    <col min="5938" max="5972" width="15.7109375" style="876" customWidth="1"/>
    <col min="5973" max="5973" width="3" style="876" customWidth="1"/>
    <col min="5974" max="5974" width="9.140625" style="876" customWidth="1"/>
    <col min="5975" max="5976" width="9" style="876" customWidth="1"/>
    <col min="5977" max="5978" width="16" style="876" customWidth="1"/>
    <col min="5979" max="5979" width="9" style="876" customWidth="1"/>
    <col min="5980" max="5981" width="12.28515625" style="876" customWidth="1"/>
    <col min="5982" max="5984" width="14.85546875" style="876" customWidth="1"/>
    <col min="5985" max="5985" width="0" style="876" hidden="1" customWidth="1"/>
    <col min="5986" max="5987" width="12.140625" style="876" customWidth="1"/>
    <col min="5988" max="5988" width="10.7109375" style="876" customWidth="1"/>
    <col min="5989" max="5991" width="15.7109375" style="876" customWidth="1"/>
    <col min="5992" max="5992" width="11.85546875" style="876" customWidth="1"/>
    <col min="5993" max="5995" width="13.7109375" style="876" customWidth="1"/>
    <col min="5996" max="5996" width="3" style="876" customWidth="1"/>
    <col min="5997" max="5998" width="15.7109375" style="876" customWidth="1"/>
    <col min="5999" max="6157" width="9.140625" style="876"/>
    <col min="6158" max="6158" width="21.85546875" style="876" customWidth="1"/>
    <col min="6159" max="6159" width="32.28515625" style="876" customWidth="1"/>
    <col min="6160" max="6160" width="13" style="876" customWidth="1"/>
    <col min="6161" max="6191" width="15.7109375" style="876" customWidth="1"/>
    <col min="6192" max="6192" width="17.5703125" style="876" customWidth="1"/>
    <col min="6193" max="6193" width="20.140625" style="876" customWidth="1"/>
    <col min="6194" max="6228" width="15.7109375" style="876" customWidth="1"/>
    <col min="6229" max="6229" width="3" style="876" customWidth="1"/>
    <col min="6230" max="6230" width="9.140625" style="876" customWidth="1"/>
    <col min="6231" max="6232" width="9" style="876" customWidth="1"/>
    <col min="6233" max="6234" width="16" style="876" customWidth="1"/>
    <col min="6235" max="6235" width="9" style="876" customWidth="1"/>
    <col min="6236" max="6237" width="12.28515625" style="876" customWidth="1"/>
    <col min="6238" max="6240" width="14.85546875" style="876" customWidth="1"/>
    <col min="6241" max="6241" width="0" style="876" hidden="1" customWidth="1"/>
    <col min="6242" max="6243" width="12.140625" style="876" customWidth="1"/>
    <col min="6244" max="6244" width="10.7109375" style="876" customWidth="1"/>
    <col min="6245" max="6247" width="15.7109375" style="876" customWidth="1"/>
    <col min="6248" max="6248" width="11.85546875" style="876" customWidth="1"/>
    <col min="6249" max="6251" width="13.7109375" style="876" customWidth="1"/>
    <col min="6252" max="6252" width="3" style="876" customWidth="1"/>
    <col min="6253" max="6254" width="15.7109375" style="876" customWidth="1"/>
    <col min="6255" max="6413" width="9.140625" style="876"/>
    <col min="6414" max="6414" width="21.85546875" style="876" customWidth="1"/>
    <col min="6415" max="6415" width="32.28515625" style="876" customWidth="1"/>
    <col min="6416" max="6416" width="13" style="876" customWidth="1"/>
    <col min="6417" max="6447" width="15.7109375" style="876" customWidth="1"/>
    <col min="6448" max="6448" width="17.5703125" style="876" customWidth="1"/>
    <col min="6449" max="6449" width="20.140625" style="876" customWidth="1"/>
    <col min="6450" max="6484" width="15.7109375" style="876" customWidth="1"/>
    <col min="6485" max="6485" width="3" style="876" customWidth="1"/>
    <col min="6486" max="6486" width="9.140625" style="876" customWidth="1"/>
    <col min="6487" max="6488" width="9" style="876" customWidth="1"/>
    <col min="6489" max="6490" width="16" style="876" customWidth="1"/>
    <col min="6491" max="6491" width="9" style="876" customWidth="1"/>
    <col min="6492" max="6493" width="12.28515625" style="876" customWidth="1"/>
    <col min="6494" max="6496" width="14.85546875" style="876" customWidth="1"/>
    <col min="6497" max="6497" width="0" style="876" hidden="1" customWidth="1"/>
    <col min="6498" max="6499" width="12.140625" style="876" customWidth="1"/>
    <col min="6500" max="6500" width="10.7109375" style="876" customWidth="1"/>
    <col min="6501" max="6503" width="15.7109375" style="876" customWidth="1"/>
    <col min="6504" max="6504" width="11.85546875" style="876" customWidth="1"/>
    <col min="6505" max="6507" width="13.7109375" style="876" customWidth="1"/>
    <col min="6508" max="6508" width="3" style="876" customWidth="1"/>
    <col min="6509" max="6510" width="15.7109375" style="876" customWidth="1"/>
    <col min="6511" max="6669" width="9.140625" style="876"/>
    <col min="6670" max="6670" width="21.85546875" style="876" customWidth="1"/>
    <col min="6671" max="6671" width="32.28515625" style="876" customWidth="1"/>
    <col min="6672" max="6672" width="13" style="876" customWidth="1"/>
    <col min="6673" max="6703" width="15.7109375" style="876" customWidth="1"/>
    <col min="6704" max="6704" width="17.5703125" style="876" customWidth="1"/>
    <col min="6705" max="6705" width="20.140625" style="876" customWidth="1"/>
    <col min="6706" max="6740" width="15.7109375" style="876" customWidth="1"/>
    <col min="6741" max="6741" width="3" style="876" customWidth="1"/>
    <col min="6742" max="6742" width="9.140625" style="876" customWidth="1"/>
    <col min="6743" max="6744" width="9" style="876" customWidth="1"/>
    <col min="6745" max="6746" width="16" style="876" customWidth="1"/>
    <col min="6747" max="6747" width="9" style="876" customWidth="1"/>
    <col min="6748" max="6749" width="12.28515625" style="876" customWidth="1"/>
    <col min="6750" max="6752" width="14.85546875" style="876" customWidth="1"/>
    <col min="6753" max="6753" width="0" style="876" hidden="1" customWidth="1"/>
    <col min="6754" max="6755" width="12.140625" style="876" customWidth="1"/>
    <col min="6756" max="6756" width="10.7109375" style="876" customWidth="1"/>
    <col min="6757" max="6759" width="15.7109375" style="876" customWidth="1"/>
    <col min="6760" max="6760" width="11.85546875" style="876" customWidth="1"/>
    <col min="6761" max="6763" width="13.7109375" style="876" customWidth="1"/>
    <col min="6764" max="6764" width="3" style="876" customWidth="1"/>
    <col min="6765" max="6766" width="15.7109375" style="876" customWidth="1"/>
    <col min="6767" max="6925" width="9.140625" style="876"/>
    <col min="6926" max="6926" width="21.85546875" style="876" customWidth="1"/>
    <col min="6927" max="6927" width="32.28515625" style="876" customWidth="1"/>
    <col min="6928" max="6928" width="13" style="876" customWidth="1"/>
    <col min="6929" max="6959" width="15.7109375" style="876" customWidth="1"/>
    <col min="6960" max="6960" width="17.5703125" style="876" customWidth="1"/>
    <col min="6961" max="6961" width="20.140625" style="876" customWidth="1"/>
    <col min="6962" max="6996" width="15.7109375" style="876" customWidth="1"/>
    <col min="6997" max="6997" width="3" style="876" customWidth="1"/>
    <col min="6998" max="6998" width="9.140625" style="876" customWidth="1"/>
    <col min="6999" max="7000" width="9" style="876" customWidth="1"/>
    <col min="7001" max="7002" width="16" style="876" customWidth="1"/>
    <col min="7003" max="7003" width="9" style="876" customWidth="1"/>
    <col min="7004" max="7005" width="12.28515625" style="876" customWidth="1"/>
    <col min="7006" max="7008" width="14.85546875" style="876" customWidth="1"/>
    <col min="7009" max="7009" width="0" style="876" hidden="1" customWidth="1"/>
    <col min="7010" max="7011" width="12.140625" style="876" customWidth="1"/>
    <col min="7012" max="7012" width="10.7109375" style="876" customWidth="1"/>
    <col min="7013" max="7015" width="15.7109375" style="876" customWidth="1"/>
    <col min="7016" max="7016" width="11.85546875" style="876" customWidth="1"/>
    <col min="7017" max="7019" width="13.7109375" style="876" customWidth="1"/>
    <col min="7020" max="7020" width="3" style="876" customWidth="1"/>
    <col min="7021" max="7022" width="15.7109375" style="876" customWidth="1"/>
    <col min="7023" max="7181" width="9.140625" style="876"/>
    <col min="7182" max="7182" width="21.85546875" style="876" customWidth="1"/>
    <col min="7183" max="7183" width="32.28515625" style="876" customWidth="1"/>
    <col min="7184" max="7184" width="13" style="876" customWidth="1"/>
    <col min="7185" max="7215" width="15.7109375" style="876" customWidth="1"/>
    <col min="7216" max="7216" width="17.5703125" style="876" customWidth="1"/>
    <col min="7217" max="7217" width="20.140625" style="876" customWidth="1"/>
    <col min="7218" max="7252" width="15.7109375" style="876" customWidth="1"/>
    <col min="7253" max="7253" width="3" style="876" customWidth="1"/>
    <col min="7254" max="7254" width="9.140625" style="876" customWidth="1"/>
    <col min="7255" max="7256" width="9" style="876" customWidth="1"/>
    <col min="7257" max="7258" width="16" style="876" customWidth="1"/>
    <col min="7259" max="7259" width="9" style="876" customWidth="1"/>
    <col min="7260" max="7261" width="12.28515625" style="876" customWidth="1"/>
    <col min="7262" max="7264" width="14.85546875" style="876" customWidth="1"/>
    <col min="7265" max="7265" width="0" style="876" hidden="1" customWidth="1"/>
    <col min="7266" max="7267" width="12.140625" style="876" customWidth="1"/>
    <col min="7268" max="7268" width="10.7109375" style="876" customWidth="1"/>
    <col min="7269" max="7271" width="15.7109375" style="876" customWidth="1"/>
    <col min="7272" max="7272" width="11.85546875" style="876" customWidth="1"/>
    <col min="7273" max="7275" width="13.7109375" style="876" customWidth="1"/>
    <col min="7276" max="7276" width="3" style="876" customWidth="1"/>
    <col min="7277" max="7278" width="15.7109375" style="876" customWidth="1"/>
    <col min="7279" max="7437" width="9.140625" style="876"/>
    <col min="7438" max="7438" width="21.85546875" style="876" customWidth="1"/>
    <col min="7439" max="7439" width="32.28515625" style="876" customWidth="1"/>
    <col min="7440" max="7440" width="13" style="876" customWidth="1"/>
    <col min="7441" max="7471" width="15.7109375" style="876" customWidth="1"/>
    <col min="7472" max="7472" width="17.5703125" style="876" customWidth="1"/>
    <col min="7473" max="7473" width="20.140625" style="876" customWidth="1"/>
    <col min="7474" max="7508" width="15.7109375" style="876" customWidth="1"/>
    <col min="7509" max="7509" width="3" style="876" customWidth="1"/>
    <col min="7510" max="7510" width="9.140625" style="876" customWidth="1"/>
    <col min="7511" max="7512" width="9" style="876" customWidth="1"/>
    <col min="7513" max="7514" width="16" style="876" customWidth="1"/>
    <col min="7515" max="7515" width="9" style="876" customWidth="1"/>
    <col min="7516" max="7517" width="12.28515625" style="876" customWidth="1"/>
    <col min="7518" max="7520" width="14.85546875" style="876" customWidth="1"/>
    <col min="7521" max="7521" width="0" style="876" hidden="1" customWidth="1"/>
    <col min="7522" max="7523" width="12.140625" style="876" customWidth="1"/>
    <col min="7524" max="7524" width="10.7109375" style="876" customWidth="1"/>
    <col min="7525" max="7527" width="15.7109375" style="876" customWidth="1"/>
    <col min="7528" max="7528" width="11.85546875" style="876" customWidth="1"/>
    <col min="7529" max="7531" width="13.7109375" style="876" customWidth="1"/>
    <col min="7532" max="7532" width="3" style="876" customWidth="1"/>
    <col min="7533" max="7534" width="15.7109375" style="876" customWidth="1"/>
    <col min="7535" max="7693" width="9.140625" style="876"/>
    <col min="7694" max="7694" width="21.85546875" style="876" customWidth="1"/>
    <col min="7695" max="7695" width="32.28515625" style="876" customWidth="1"/>
    <col min="7696" max="7696" width="13" style="876" customWidth="1"/>
    <col min="7697" max="7727" width="15.7109375" style="876" customWidth="1"/>
    <col min="7728" max="7728" width="17.5703125" style="876" customWidth="1"/>
    <col min="7729" max="7729" width="20.140625" style="876" customWidth="1"/>
    <col min="7730" max="7764" width="15.7109375" style="876" customWidth="1"/>
    <col min="7765" max="7765" width="3" style="876" customWidth="1"/>
    <col min="7766" max="7766" width="9.140625" style="876" customWidth="1"/>
    <col min="7767" max="7768" width="9" style="876" customWidth="1"/>
    <col min="7769" max="7770" width="16" style="876" customWidth="1"/>
    <col min="7771" max="7771" width="9" style="876" customWidth="1"/>
    <col min="7772" max="7773" width="12.28515625" style="876" customWidth="1"/>
    <col min="7774" max="7776" width="14.85546875" style="876" customWidth="1"/>
    <col min="7777" max="7777" width="0" style="876" hidden="1" customWidth="1"/>
    <col min="7778" max="7779" width="12.140625" style="876" customWidth="1"/>
    <col min="7780" max="7780" width="10.7109375" style="876" customWidth="1"/>
    <col min="7781" max="7783" width="15.7109375" style="876" customWidth="1"/>
    <col min="7784" max="7784" width="11.85546875" style="876" customWidth="1"/>
    <col min="7785" max="7787" width="13.7109375" style="876" customWidth="1"/>
    <col min="7788" max="7788" width="3" style="876" customWidth="1"/>
    <col min="7789" max="7790" width="15.7109375" style="876" customWidth="1"/>
    <col min="7791" max="7949" width="9.140625" style="876"/>
    <col min="7950" max="7950" width="21.85546875" style="876" customWidth="1"/>
    <col min="7951" max="7951" width="32.28515625" style="876" customWidth="1"/>
    <col min="7952" max="7952" width="13" style="876" customWidth="1"/>
    <col min="7953" max="7983" width="15.7109375" style="876" customWidth="1"/>
    <col min="7984" max="7984" width="17.5703125" style="876" customWidth="1"/>
    <col min="7985" max="7985" width="20.140625" style="876" customWidth="1"/>
    <col min="7986" max="8020" width="15.7109375" style="876" customWidth="1"/>
    <col min="8021" max="8021" width="3" style="876" customWidth="1"/>
    <col min="8022" max="8022" width="9.140625" style="876" customWidth="1"/>
    <col min="8023" max="8024" width="9" style="876" customWidth="1"/>
    <col min="8025" max="8026" width="16" style="876" customWidth="1"/>
    <col min="8027" max="8027" width="9" style="876" customWidth="1"/>
    <col min="8028" max="8029" width="12.28515625" style="876" customWidth="1"/>
    <col min="8030" max="8032" width="14.85546875" style="876" customWidth="1"/>
    <col min="8033" max="8033" width="0" style="876" hidden="1" customWidth="1"/>
    <col min="8034" max="8035" width="12.140625" style="876" customWidth="1"/>
    <col min="8036" max="8036" width="10.7109375" style="876" customWidth="1"/>
    <col min="8037" max="8039" width="15.7109375" style="876" customWidth="1"/>
    <col min="8040" max="8040" width="11.85546875" style="876" customWidth="1"/>
    <col min="8041" max="8043" width="13.7109375" style="876" customWidth="1"/>
    <col min="8044" max="8044" width="3" style="876" customWidth="1"/>
    <col min="8045" max="8046" width="15.7109375" style="876" customWidth="1"/>
    <col min="8047" max="8205" width="9.140625" style="876"/>
    <col min="8206" max="8206" width="21.85546875" style="876" customWidth="1"/>
    <col min="8207" max="8207" width="32.28515625" style="876" customWidth="1"/>
    <col min="8208" max="8208" width="13" style="876" customWidth="1"/>
    <col min="8209" max="8239" width="15.7109375" style="876" customWidth="1"/>
    <col min="8240" max="8240" width="17.5703125" style="876" customWidth="1"/>
    <col min="8241" max="8241" width="20.140625" style="876" customWidth="1"/>
    <col min="8242" max="8276" width="15.7109375" style="876" customWidth="1"/>
    <col min="8277" max="8277" width="3" style="876" customWidth="1"/>
    <col min="8278" max="8278" width="9.140625" style="876" customWidth="1"/>
    <col min="8279" max="8280" width="9" style="876" customWidth="1"/>
    <col min="8281" max="8282" width="16" style="876" customWidth="1"/>
    <col min="8283" max="8283" width="9" style="876" customWidth="1"/>
    <col min="8284" max="8285" width="12.28515625" style="876" customWidth="1"/>
    <col min="8286" max="8288" width="14.85546875" style="876" customWidth="1"/>
    <col min="8289" max="8289" width="0" style="876" hidden="1" customWidth="1"/>
    <col min="8290" max="8291" width="12.140625" style="876" customWidth="1"/>
    <col min="8292" max="8292" width="10.7109375" style="876" customWidth="1"/>
    <col min="8293" max="8295" width="15.7109375" style="876" customWidth="1"/>
    <col min="8296" max="8296" width="11.85546875" style="876" customWidth="1"/>
    <col min="8297" max="8299" width="13.7109375" style="876" customWidth="1"/>
    <col min="8300" max="8300" width="3" style="876" customWidth="1"/>
    <col min="8301" max="8302" width="15.7109375" style="876" customWidth="1"/>
    <col min="8303" max="8461" width="9.140625" style="876"/>
    <col min="8462" max="8462" width="21.85546875" style="876" customWidth="1"/>
    <col min="8463" max="8463" width="32.28515625" style="876" customWidth="1"/>
    <col min="8464" max="8464" width="13" style="876" customWidth="1"/>
    <col min="8465" max="8495" width="15.7109375" style="876" customWidth="1"/>
    <col min="8496" max="8496" width="17.5703125" style="876" customWidth="1"/>
    <col min="8497" max="8497" width="20.140625" style="876" customWidth="1"/>
    <col min="8498" max="8532" width="15.7109375" style="876" customWidth="1"/>
    <col min="8533" max="8533" width="3" style="876" customWidth="1"/>
    <col min="8534" max="8534" width="9.140625" style="876" customWidth="1"/>
    <col min="8535" max="8536" width="9" style="876" customWidth="1"/>
    <col min="8537" max="8538" width="16" style="876" customWidth="1"/>
    <col min="8539" max="8539" width="9" style="876" customWidth="1"/>
    <col min="8540" max="8541" width="12.28515625" style="876" customWidth="1"/>
    <col min="8542" max="8544" width="14.85546875" style="876" customWidth="1"/>
    <col min="8545" max="8545" width="0" style="876" hidden="1" customWidth="1"/>
    <col min="8546" max="8547" width="12.140625" style="876" customWidth="1"/>
    <col min="8548" max="8548" width="10.7109375" style="876" customWidth="1"/>
    <col min="8549" max="8551" width="15.7109375" style="876" customWidth="1"/>
    <col min="8552" max="8552" width="11.85546875" style="876" customWidth="1"/>
    <col min="8553" max="8555" width="13.7109375" style="876" customWidth="1"/>
    <col min="8556" max="8556" width="3" style="876" customWidth="1"/>
    <col min="8557" max="8558" width="15.7109375" style="876" customWidth="1"/>
    <col min="8559" max="8717" width="9.140625" style="876"/>
    <col min="8718" max="8718" width="21.85546875" style="876" customWidth="1"/>
    <col min="8719" max="8719" width="32.28515625" style="876" customWidth="1"/>
    <col min="8720" max="8720" width="13" style="876" customWidth="1"/>
    <col min="8721" max="8751" width="15.7109375" style="876" customWidth="1"/>
    <col min="8752" max="8752" width="17.5703125" style="876" customWidth="1"/>
    <col min="8753" max="8753" width="20.140625" style="876" customWidth="1"/>
    <col min="8754" max="8788" width="15.7109375" style="876" customWidth="1"/>
    <col min="8789" max="8789" width="3" style="876" customWidth="1"/>
    <col min="8790" max="8790" width="9.140625" style="876" customWidth="1"/>
    <col min="8791" max="8792" width="9" style="876" customWidth="1"/>
    <col min="8793" max="8794" width="16" style="876" customWidth="1"/>
    <col min="8795" max="8795" width="9" style="876" customWidth="1"/>
    <col min="8796" max="8797" width="12.28515625" style="876" customWidth="1"/>
    <col min="8798" max="8800" width="14.85546875" style="876" customWidth="1"/>
    <col min="8801" max="8801" width="0" style="876" hidden="1" customWidth="1"/>
    <col min="8802" max="8803" width="12.140625" style="876" customWidth="1"/>
    <col min="8804" max="8804" width="10.7109375" style="876" customWidth="1"/>
    <col min="8805" max="8807" width="15.7109375" style="876" customWidth="1"/>
    <col min="8808" max="8808" width="11.85546875" style="876" customWidth="1"/>
    <col min="8809" max="8811" width="13.7109375" style="876" customWidth="1"/>
    <col min="8812" max="8812" width="3" style="876" customWidth="1"/>
    <col min="8813" max="8814" width="15.7109375" style="876" customWidth="1"/>
    <col min="8815" max="8973" width="9.140625" style="876"/>
    <col min="8974" max="8974" width="21.85546875" style="876" customWidth="1"/>
    <col min="8975" max="8975" width="32.28515625" style="876" customWidth="1"/>
    <col min="8976" max="8976" width="13" style="876" customWidth="1"/>
    <col min="8977" max="9007" width="15.7109375" style="876" customWidth="1"/>
    <col min="9008" max="9008" width="17.5703125" style="876" customWidth="1"/>
    <col min="9009" max="9009" width="20.140625" style="876" customWidth="1"/>
    <col min="9010" max="9044" width="15.7109375" style="876" customWidth="1"/>
    <col min="9045" max="9045" width="3" style="876" customWidth="1"/>
    <col min="9046" max="9046" width="9.140625" style="876" customWidth="1"/>
    <col min="9047" max="9048" width="9" style="876" customWidth="1"/>
    <col min="9049" max="9050" width="16" style="876" customWidth="1"/>
    <col min="9051" max="9051" width="9" style="876" customWidth="1"/>
    <col min="9052" max="9053" width="12.28515625" style="876" customWidth="1"/>
    <col min="9054" max="9056" width="14.85546875" style="876" customWidth="1"/>
    <col min="9057" max="9057" width="0" style="876" hidden="1" customWidth="1"/>
    <col min="9058" max="9059" width="12.140625" style="876" customWidth="1"/>
    <col min="9060" max="9060" width="10.7109375" style="876" customWidth="1"/>
    <col min="9061" max="9063" width="15.7109375" style="876" customWidth="1"/>
    <col min="9064" max="9064" width="11.85546875" style="876" customWidth="1"/>
    <col min="9065" max="9067" width="13.7109375" style="876" customWidth="1"/>
    <col min="9068" max="9068" width="3" style="876" customWidth="1"/>
    <col min="9069" max="9070" width="15.7109375" style="876" customWidth="1"/>
    <col min="9071" max="9229" width="9.140625" style="876"/>
    <col min="9230" max="9230" width="21.85546875" style="876" customWidth="1"/>
    <col min="9231" max="9231" width="32.28515625" style="876" customWidth="1"/>
    <col min="9232" max="9232" width="13" style="876" customWidth="1"/>
    <col min="9233" max="9263" width="15.7109375" style="876" customWidth="1"/>
    <col min="9264" max="9264" width="17.5703125" style="876" customWidth="1"/>
    <col min="9265" max="9265" width="20.140625" style="876" customWidth="1"/>
    <col min="9266" max="9300" width="15.7109375" style="876" customWidth="1"/>
    <col min="9301" max="9301" width="3" style="876" customWidth="1"/>
    <col min="9302" max="9302" width="9.140625" style="876" customWidth="1"/>
    <col min="9303" max="9304" width="9" style="876" customWidth="1"/>
    <col min="9305" max="9306" width="16" style="876" customWidth="1"/>
    <col min="9307" max="9307" width="9" style="876" customWidth="1"/>
    <col min="9308" max="9309" width="12.28515625" style="876" customWidth="1"/>
    <col min="9310" max="9312" width="14.85546875" style="876" customWidth="1"/>
    <col min="9313" max="9313" width="0" style="876" hidden="1" customWidth="1"/>
    <col min="9314" max="9315" width="12.140625" style="876" customWidth="1"/>
    <col min="9316" max="9316" width="10.7109375" style="876" customWidth="1"/>
    <col min="9317" max="9319" width="15.7109375" style="876" customWidth="1"/>
    <col min="9320" max="9320" width="11.85546875" style="876" customWidth="1"/>
    <col min="9321" max="9323" width="13.7109375" style="876" customWidth="1"/>
    <col min="9324" max="9324" width="3" style="876" customWidth="1"/>
    <col min="9325" max="9326" width="15.7109375" style="876" customWidth="1"/>
    <col min="9327" max="9485" width="9.140625" style="876"/>
    <col min="9486" max="9486" width="21.85546875" style="876" customWidth="1"/>
    <col min="9487" max="9487" width="32.28515625" style="876" customWidth="1"/>
    <col min="9488" max="9488" width="13" style="876" customWidth="1"/>
    <col min="9489" max="9519" width="15.7109375" style="876" customWidth="1"/>
    <col min="9520" max="9520" width="17.5703125" style="876" customWidth="1"/>
    <col min="9521" max="9521" width="20.140625" style="876" customWidth="1"/>
    <col min="9522" max="9556" width="15.7109375" style="876" customWidth="1"/>
    <col min="9557" max="9557" width="3" style="876" customWidth="1"/>
    <col min="9558" max="9558" width="9.140625" style="876" customWidth="1"/>
    <col min="9559" max="9560" width="9" style="876" customWidth="1"/>
    <col min="9561" max="9562" width="16" style="876" customWidth="1"/>
    <col min="9563" max="9563" width="9" style="876" customWidth="1"/>
    <col min="9564" max="9565" width="12.28515625" style="876" customWidth="1"/>
    <col min="9566" max="9568" width="14.85546875" style="876" customWidth="1"/>
    <col min="9569" max="9569" width="0" style="876" hidden="1" customWidth="1"/>
    <col min="9570" max="9571" width="12.140625" style="876" customWidth="1"/>
    <col min="9572" max="9572" width="10.7109375" style="876" customWidth="1"/>
    <col min="9573" max="9575" width="15.7109375" style="876" customWidth="1"/>
    <col min="9576" max="9576" width="11.85546875" style="876" customWidth="1"/>
    <col min="9577" max="9579" width="13.7109375" style="876" customWidth="1"/>
    <col min="9580" max="9580" width="3" style="876" customWidth="1"/>
    <col min="9581" max="9582" width="15.7109375" style="876" customWidth="1"/>
    <col min="9583" max="9741" width="9.140625" style="876"/>
    <col min="9742" max="9742" width="21.85546875" style="876" customWidth="1"/>
    <col min="9743" max="9743" width="32.28515625" style="876" customWidth="1"/>
    <col min="9744" max="9744" width="13" style="876" customWidth="1"/>
    <col min="9745" max="9775" width="15.7109375" style="876" customWidth="1"/>
    <col min="9776" max="9776" width="17.5703125" style="876" customWidth="1"/>
    <col min="9777" max="9777" width="20.140625" style="876" customWidth="1"/>
    <col min="9778" max="9812" width="15.7109375" style="876" customWidth="1"/>
    <col min="9813" max="9813" width="3" style="876" customWidth="1"/>
    <col min="9814" max="9814" width="9.140625" style="876" customWidth="1"/>
    <col min="9815" max="9816" width="9" style="876" customWidth="1"/>
    <col min="9817" max="9818" width="16" style="876" customWidth="1"/>
    <col min="9819" max="9819" width="9" style="876" customWidth="1"/>
    <col min="9820" max="9821" width="12.28515625" style="876" customWidth="1"/>
    <col min="9822" max="9824" width="14.85546875" style="876" customWidth="1"/>
    <col min="9825" max="9825" width="0" style="876" hidden="1" customWidth="1"/>
    <col min="9826" max="9827" width="12.140625" style="876" customWidth="1"/>
    <col min="9828" max="9828" width="10.7109375" style="876" customWidth="1"/>
    <col min="9829" max="9831" width="15.7109375" style="876" customWidth="1"/>
    <col min="9832" max="9832" width="11.85546875" style="876" customWidth="1"/>
    <col min="9833" max="9835" width="13.7109375" style="876" customWidth="1"/>
    <col min="9836" max="9836" width="3" style="876" customWidth="1"/>
    <col min="9837" max="9838" width="15.7109375" style="876" customWidth="1"/>
    <col min="9839" max="9997" width="9.140625" style="876"/>
    <col min="9998" max="9998" width="21.85546875" style="876" customWidth="1"/>
    <col min="9999" max="9999" width="32.28515625" style="876" customWidth="1"/>
    <col min="10000" max="10000" width="13" style="876" customWidth="1"/>
    <col min="10001" max="10031" width="15.7109375" style="876" customWidth="1"/>
    <col min="10032" max="10032" width="17.5703125" style="876" customWidth="1"/>
    <col min="10033" max="10033" width="20.140625" style="876" customWidth="1"/>
    <col min="10034" max="10068" width="15.7109375" style="876" customWidth="1"/>
    <col min="10069" max="10069" width="3" style="876" customWidth="1"/>
    <col min="10070" max="10070" width="9.140625" style="876" customWidth="1"/>
    <col min="10071" max="10072" width="9" style="876" customWidth="1"/>
    <col min="10073" max="10074" width="16" style="876" customWidth="1"/>
    <col min="10075" max="10075" width="9" style="876" customWidth="1"/>
    <col min="10076" max="10077" width="12.28515625" style="876" customWidth="1"/>
    <col min="10078" max="10080" width="14.85546875" style="876" customWidth="1"/>
    <col min="10081" max="10081" width="0" style="876" hidden="1" customWidth="1"/>
    <col min="10082" max="10083" width="12.140625" style="876" customWidth="1"/>
    <col min="10084" max="10084" width="10.7109375" style="876" customWidth="1"/>
    <col min="10085" max="10087" width="15.7109375" style="876" customWidth="1"/>
    <col min="10088" max="10088" width="11.85546875" style="876" customWidth="1"/>
    <col min="10089" max="10091" width="13.7109375" style="876" customWidth="1"/>
    <col min="10092" max="10092" width="3" style="876" customWidth="1"/>
    <col min="10093" max="10094" width="15.7109375" style="876" customWidth="1"/>
    <col min="10095" max="10253" width="9.140625" style="876"/>
    <col min="10254" max="10254" width="21.85546875" style="876" customWidth="1"/>
    <col min="10255" max="10255" width="32.28515625" style="876" customWidth="1"/>
    <col min="10256" max="10256" width="13" style="876" customWidth="1"/>
    <col min="10257" max="10287" width="15.7109375" style="876" customWidth="1"/>
    <col min="10288" max="10288" width="17.5703125" style="876" customWidth="1"/>
    <col min="10289" max="10289" width="20.140625" style="876" customWidth="1"/>
    <col min="10290" max="10324" width="15.7109375" style="876" customWidth="1"/>
    <col min="10325" max="10325" width="3" style="876" customWidth="1"/>
    <col min="10326" max="10326" width="9.140625" style="876" customWidth="1"/>
    <col min="10327" max="10328" width="9" style="876" customWidth="1"/>
    <col min="10329" max="10330" width="16" style="876" customWidth="1"/>
    <col min="10331" max="10331" width="9" style="876" customWidth="1"/>
    <col min="10332" max="10333" width="12.28515625" style="876" customWidth="1"/>
    <col min="10334" max="10336" width="14.85546875" style="876" customWidth="1"/>
    <col min="10337" max="10337" width="0" style="876" hidden="1" customWidth="1"/>
    <col min="10338" max="10339" width="12.140625" style="876" customWidth="1"/>
    <col min="10340" max="10340" width="10.7109375" style="876" customWidth="1"/>
    <col min="10341" max="10343" width="15.7109375" style="876" customWidth="1"/>
    <col min="10344" max="10344" width="11.85546875" style="876" customWidth="1"/>
    <col min="10345" max="10347" width="13.7109375" style="876" customWidth="1"/>
    <col min="10348" max="10348" width="3" style="876" customWidth="1"/>
    <col min="10349" max="10350" width="15.7109375" style="876" customWidth="1"/>
    <col min="10351" max="10509" width="9.140625" style="876"/>
    <col min="10510" max="10510" width="21.85546875" style="876" customWidth="1"/>
    <col min="10511" max="10511" width="32.28515625" style="876" customWidth="1"/>
    <col min="10512" max="10512" width="13" style="876" customWidth="1"/>
    <col min="10513" max="10543" width="15.7109375" style="876" customWidth="1"/>
    <col min="10544" max="10544" width="17.5703125" style="876" customWidth="1"/>
    <col min="10545" max="10545" width="20.140625" style="876" customWidth="1"/>
    <col min="10546" max="10580" width="15.7109375" style="876" customWidth="1"/>
    <col min="10581" max="10581" width="3" style="876" customWidth="1"/>
    <col min="10582" max="10582" width="9.140625" style="876" customWidth="1"/>
    <col min="10583" max="10584" width="9" style="876" customWidth="1"/>
    <col min="10585" max="10586" width="16" style="876" customWidth="1"/>
    <col min="10587" max="10587" width="9" style="876" customWidth="1"/>
    <col min="10588" max="10589" width="12.28515625" style="876" customWidth="1"/>
    <col min="10590" max="10592" width="14.85546875" style="876" customWidth="1"/>
    <col min="10593" max="10593" width="0" style="876" hidden="1" customWidth="1"/>
    <col min="10594" max="10595" width="12.140625" style="876" customWidth="1"/>
    <col min="10596" max="10596" width="10.7109375" style="876" customWidth="1"/>
    <col min="10597" max="10599" width="15.7109375" style="876" customWidth="1"/>
    <col min="10600" max="10600" width="11.85546875" style="876" customWidth="1"/>
    <col min="10601" max="10603" width="13.7109375" style="876" customWidth="1"/>
    <col min="10604" max="10604" width="3" style="876" customWidth="1"/>
    <col min="10605" max="10606" width="15.7109375" style="876" customWidth="1"/>
    <col min="10607" max="10765" width="9.140625" style="876"/>
    <col min="10766" max="10766" width="21.85546875" style="876" customWidth="1"/>
    <col min="10767" max="10767" width="32.28515625" style="876" customWidth="1"/>
    <col min="10768" max="10768" width="13" style="876" customWidth="1"/>
    <col min="10769" max="10799" width="15.7109375" style="876" customWidth="1"/>
    <col min="10800" max="10800" width="17.5703125" style="876" customWidth="1"/>
    <col min="10801" max="10801" width="20.140625" style="876" customWidth="1"/>
    <col min="10802" max="10836" width="15.7109375" style="876" customWidth="1"/>
    <col min="10837" max="10837" width="3" style="876" customWidth="1"/>
    <col min="10838" max="10838" width="9.140625" style="876" customWidth="1"/>
    <col min="10839" max="10840" width="9" style="876" customWidth="1"/>
    <col min="10841" max="10842" width="16" style="876" customWidth="1"/>
    <col min="10843" max="10843" width="9" style="876" customWidth="1"/>
    <col min="10844" max="10845" width="12.28515625" style="876" customWidth="1"/>
    <col min="10846" max="10848" width="14.85546875" style="876" customWidth="1"/>
    <col min="10849" max="10849" width="0" style="876" hidden="1" customWidth="1"/>
    <col min="10850" max="10851" width="12.140625" style="876" customWidth="1"/>
    <col min="10852" max="10852" width="10.7109375" style="876" customWidth="1"/>
    <col min="10853" max="10855" width="15.7109375" style="876" customWidth="1"/>
    <col min="10856" max="10856" width="11.85546875" style="876" customWidth="1"/>
    <col min="10857" max="10859" width="13.7109375" style="876" customWidth="1"/>
    <col min="10860" max="10860" width="3" style="876" customWidth="1"/>
    <col min="10861" max="10862" width="15.7109375" style="876" customWidth="1"/>
    <col min="10863" max="11021" width="9.140625" style="876"/>
    <col min="11022" max="11022" width="21.85546875" style="876" customWidth="1"/>
    <col min="11023" max="11023" width="32.28515625" style="876" customWidth="1"/>
    <col min="11024" max="11024" width="13" style="876" customWidth="1"/>
    <col min="11025" max="11055" width="15.7109375" style="876" customWidth="1"/>
    <col min="11056" max="11056" width="17.5703125" style="876" customWidth="1"/>
    <col min="11057" max="11057" width="20.140625" style="876" customWidth="1"/>
    <col min="11058" max="11092" width="15.7109375" style="876" customWidth="1"/>
    <col min="11093" max="11093" width="3" style="876" customWidth="1"/>
    <col min="11094" max="11094" width="9.140625" style="876" customWidth="1"/>
    <col min="11095" max="11096" width="9" style="876" customWidth="1"/>
    <col min="11097" max="11098" width="16" style="876" customWidth="1"/>
    <col min="11099" max="11099" width="9" style="876" customWidth="1"/>
    <col min="11100" max="11101" width="12.28515625" style="876" customWidth="1"/>
    <col min="11102" max="11104" width="14.85546875" style="876" customWidth="1"/>
    <col min="11105" max="11105" width="0" style="876" hidden="1" customWidth="1"/>
    <col min="11106" max="11107" width="12.140625" style="876" customWidth="1"/>
    <col min="11108" max="11108" width="10.7109375" style="876" customWidth="1"/>
    <col min="11109" max="11111" width="15.7109375" style="876" customWidth="1"/>
    <col min="11112" max="11112" width="11.85546875" style="876" customWidth="1"/>
    <col min="11113" max="11115" width="13.7109375" style="876" customWidth="1"/>
    <col min="11116" max="11116" width="3" style="876" customWidth="1"/>
    <col min="11117" max="11118" width="15.7109375" style="876" customWidth="1"/>
    <col min="11119" max="11277" width="9.140625" style="876"/>
    <col min="11278" max="11278" width="21.85546875" style="876" customWidth="1"/>
    <col min="11279" max="11279" width="32.28515625" style="876" customWidth="1"/>
    <col min="11280" max="11280" width="13" style="876" customWidth="1"/>
    <col min="11281" max="11311" width="15.7109375" style="876" customWidth="1"/>
    <col min="11312" max="11312" width="17.5703125" style="876" customWidth="1"/>
    <col min="11313" max="11313" width="20.140625" style="876" customWidth="1"/>
    <col min="11314" max="11348" width="15.7109375" style="876" customWidth="1"/>
    <col min="11349" max="11349" width="3" style="876" customWidth="1"/>
    <col min="11350" max="11350" width="9.140625" style="876" customWidth="1"/>
    <col min="11351" max="11352" width="9" style="876" customWidth="1"/>
    <col min="11353" max="11354" width="16" style="876" customWidth="1"/>
    <col min="11355" max="11355" width="9" style="876" customWidth="1"/>
    <col min="11356" max="11357" width="12.28515625" style="876" customWidth="1"/>
    <col min="11358" max="11360" width="14.85546875" style="876" customWidth="1"/>
    <col min="11361" max="11361" width="0" style="876" hidden="1" customWidth="1"/>
    <col min="11362" max="11363" width="12.140625" style="876" customWidth="1"/>
    <col min="11364" max="11364" width="10.7109375" style="876" customWidth="1"/>
    <col min="11365" max="11367" width="15.7109375" style="876" customWidth="1"/>
    <col min="11368" max="11368" width="11.85546875" style="876" customWidth="1"/>
    <col min="11369" max="11371" width="13.7109375" style="876" customWidth="1"/>
    <col min="11372" max="11372" width="3" style="876" customWidth="1"/>
    <col min="11373" max="11374" width="15.7109375" style="876" customWidth="1"/>
    <col min="11375" max="11533" width="9.140625" style="876"/>
    <col min="11534" max="11534" width="21.85546875" style="876" customWidth="1"/>
    <col min="11535" max="11535" width="32.28515625" style="876" customWidth="1"/>
    <col min="11536" max="11536" width="13" style="876" customWidth="1"/>
    <col min="11537" max="11567" width="15.7109375" style="876" customWidth="1"/>
    <col min="11568" max="11568" width="17.5703125" style="876" customWidth="1"/>
    <col min="11569" max="11569" width="20.140625" style="876" customWidth="1"/>
    <col min="11570" max="11604" width="15.7109375" style="876" customWidth="1"/>
    <col min="11605" max="11605" width="3" style="876" customWidth="1"/>
    <col min="11606" max="11606" width="9.140625" style="876" customWidth="1"/>
    <col min="11607" max="11608" width="9" style="876" customWidth="1"/>
    <col min="11609" max="11610" width="16" style="876" customWidth="1"/>
    <col min="11611" max="11611" width="9" style="876" customWidth="1"/>
    <col min="11612" max="11613" width="12.28515625" style="876" customWidth="1"/>
    <col min="11614" max="11616" width="14.85546875" style="876" customWidth="1"/>
    <col min="11617" max="11617" width="0" style="876" hidden="1" customWidth="1"/>
    <col min="11618" max="11619" width="12.140625" style="876" customWidth="1"/>
    <col min="11620" max="11620" width="10.7109375" style="876" customWidth="1"/>
    <col min="11621" max="11623" width="15.7109375" style="876" customWidth="1"/>
    <col min="11624" max="11624" width="11.85546875" style="876" customWidth="1"/>
    <col min="11625" max="11627" width="13.7109375" style="876" customWidth="1"/>
    <col min="11628" max="11628" width="3" style="876" customWidth="1"/>
    <col min="11629" max="11630" width="15.7109375" style="876" customWidth="1"/>
    <col min="11631" max="11789" width="9.140625" style="876"/>
    <col min="11790" max="11790" width="21.85546875" style="876" customWidth="1"/>
    <col min="11791" max="11791" width="32.28515625" style="876" customWidth="1"/>
    <col min="11792" max="11792" width="13" style="876" customWidth="1"/>
    <col min="11793" max="11823" width="15.7109375" style="876" customWidth="1"/>
    <col min="11824" max="11824" width="17.5703125" style="876" customWidth="1"/>
    <col min="11825" max="11825" width="20.140625" style="876" customWidth="1"/>
    <col min="11826" max="11860" width="15.7109375" style="876" customWidth="1"/>
    <col min="11861" max="11861" width="3" style="876" customWidth="1"/>
    <col min="11862" max="11862" width="9.140625" style="876" customWidth="1"/>
    <col min="11863" max="11864" width="9" style="876" customWidth="1"/>
    <col min="11865" max="11866" width="16" style="876" customWidth="1"/>
    <col min="11867" max="11867" width="9" style="876" customWidth="1"/>
    <col min="11868" max="11869" width="12.28515625" style="876" customWidth="1"/>
    <col min="11870" max="11872" width="14.85546875" style="876" customWidth="1"/>
    <col min="11873" max="11873" width="0" style="876" hidden="1" customWidth="1"/>
    <col min="11874" max="11875" width="12.140625" style="876" customWidth="1"/>
    <col min="11876" max="11876" width="10.7109375" style="876" customWidth="1"/>
    <col min="11877" max="11879" width="15.7109375" style="876" customWidth="1"/>
    <col min="11880" max="11880" width="11.85546875" style="876" customWidth="1"/>
    <col min="11881" max="11883" width="13.7109375" style="876" customWidth="1"/>
    <col min="11884" max="11884" width="3" style="876" customWidth="1"/>
    <col min="11885" max="11886" width="15.7109375" style="876" customWidth="1"/>
    <col min="11887" max="12045" width="9.140625" style="876"/>
    <col min="12046" max="12046" width="21.85546875" style="876" customWidth="1"/>
    <col min="12047" max="12047" width="32.28515625" style="876" customWidth="1"/>
    <col min="12048" max="12048" width="13" style="876" customWidth="1"/>
    <col min="12049" max="12079" width="15.7109375" style="876" customWidth="1"/>
    <col min="12080" max="12080" width="17.5703125" style="876" customWidth="1"/>
    <col min="12081" max="12081" width="20.140625" style="876" customWidth="1"/>
    <col min="12082" max="12116" width="15.7109375" style="876" customWidth="1"/>
    <col min="12117" max="12117" width="3" style="876" customWidth="1"/>
    <col min="12118" max="12118" width="9.140625" style="876" customWidth="1"/>
    <col min="12119" max="12120" width="9" style="876" customWidth="1"/>
    <col min="12121" max="12122" width="16" style="876" customWidth="1"/>
    <col min="12123" max="12123" width="9" style="876" customWidth="1"/>
    <col min="12124" max="12125" width="12.28515625" style="876" customWidth="1"/>
    <col min="12126" max="12128" width="14.85546875" style="876" customWidth="1"/>
    <col min="12129" max="12129" width="0" style="876" hidden="1" customWidth="1"/>
    <col min="12130" max="12131" width="12.140625" style="876" customWidth="1"/>
    <col min="12132" max="12132" width="10.7109375" style="876" customWidth="1"/>
    <col min="12133" max="12135" width="15.7109375" style="876" customWidth="1"/>
    <col min="12136" max="12136" width="11.85546875" style="876" customWidth="1"/>
    <col min="12137" max="12139" width="13.7109375" style="876" customWidth="1"/>
    <col min="12140" max="12140" width="3" style="876" customWidth="1"/>
    <col min="12141" max="12142" width="15.7109375" style="876" customWidth="1"/>
    <col min="12143" max="12301" width="9.140625" style="876"/>
    <col min="12302" max="12302" width="21.85546875" style="876" customWidth="1"/>
    <col min="12303" max="12303" width="32.28515625" style="876" customWidth="1"/>
    <col min="12304" max="12304" width="13" style="876" customWidth="1"/>
    <col min="12305" max="12335" width="15.7109375" style="876" customWidth="1"/>
    <col min="12336" max="12336" width="17.5703125" style="876" customWidth="1"/>
    <col min="12337" max="12337" width="20.140625" style="876" customWidth="1"/>
    <col min="12338" max="12372" width="15.7109375" style="876" customWidth="1"/>
    <col min="12373" max="12373" width="3" style="876" customWidth="1"/>
    <col min="12374" max="12374" width="9.140625" style="876" customWidth="1"/>
    <col min="12375" max="12376" width="9" style="876" customWidth="1"/>
    <col min="12377" max="12378" width="16" style="876" customWidth="1"/>
    <col min="12379" max="12379" width="9" style="876" customWidth="1"/>
    <col min="12380" max="12381" width="12.28515625" style="876" customWidth="1"/>
    <col min="12382" max="12384" width="14.85546875" style="876" customWidth="1"/>
    <col min="12385" max="12385" width="0" style="876" hidden="1" customWidth="1"/>
    <col min="12386" max="12387" width="12.140625" style="876" customWidth="1"/>
    <col min="12388" max="12388" width="10.7109375" style="876" customWidth="1"/>
    <col min="12389" max="12391" width="15.7109375" style="876" customWidth="1"/>
    <col min="12392" max="12392" width="11.85546875" style="876" customWidth="1"/>
    <col min="12393" max="12395" width="13.7109375" style="876" customWidth="1"/>
    <col min="12396" max="12396" width="3" style="876" customWidth="1"/>
    <col min="12397" max="12398" width="15.7109375" style="876" customWidth="1"/>
    <col min="12399" max="12557" width="9.140625" style="876"/>
    <col min="12558" max="12558" width="21.85546875" style="876" customWidth="1"/>
    <col min="12559" max="12559" width="32.28515625" style="876" customWidth="1"/>
    <col min="12560" max="12560" width="13" style="876" customWidth="1"/>
    <col min="12561" max="12591" width="15.7109375" style="876" customWidth="1"/>
    <col min="12592" max="12592" width="17.5703125" style="876" customWidth="1"/>
    <col min="12593" max="12593" width="20.140625" style="876" customWidth="1"/>
    <col min="12594" max="12628" width="15.7109375" style="876" customWidth="1"/>
    <col min="12629" max="12629" width="3" style="876" customWidth="1"/>
    <col min="12630" max="12630" width="9.140625" style="876" customWidth="1"/>
    <col min="12631" max="12632" width="9" style="876" customWidth="1"/>
    <col min="12633" max="12634" width="16" style="876" customWidth="1"/>
    <col min="12635" max="12635" width="9" style="876" customWidth="1"/>
    <col min="12636" max="12637" width="12.28515625" style="876" customWidth="1"/>
    <col min="12638" max="12640" width="14.85546875" style="876" customWidth="1"/>
    <col min="12641" max="12641" width="0" style="876" hidden="1" customWidth="1"/>
    <col min="12642" max="12643" width="12.140625" style="876" customWidth="1"/>
    <col min="12644" max="12644" width="10.7109375" style="876" customWidth="1"/>
    <col min="12645" max="12647" width="15.7109375" style="876" customWidth="1"/>
    <col min="12648" max="12648" width="11.85546875" style="876" customWidth="1"/>
    <col min="12649" max="12651" width="13.7109375" style="876" customWidth="1"/>
    <col min="12652" max="12652" width="3" style="876" customWidth="1"/>
    <col min="12653" max="12654" width="15.7109375" style="876" customWidth="1"/>
    <col min="12655" max="12813" width="9.140625" style="876"/>
    <col min="12814" max="12814" width="21.85546875" style="876" customWidth="1"/>
    <col min="12815" max="12815" width="32.28515625" style="876" customWidth="1"/>
    <col min="12816" max="12816" width="13" style="876" customWidth="1"/>
    <col min="12817" max="12847" width="15.7109375" style="876" customWidth="1"/>
    <col min="12848" max="12848" width="17.5703125" style="876" customWidth="1"/>
    <col min="12849" max="12849" width="20.140625" style="876" customWidth="1"/>
    <col min="12850" max="12884" width="15.7109375" style="876" customWidth="1"/>
    <col min="12885" max="12885" width="3" style="876" customWidth="1"/>
    <col min="12886" max="12886" width="9.140625" style="876" customWidth="1"/>
    <col min="12887" max="12888" width="9" style="876" customWidth="1"/>
    <col min="12889" max="12890" width="16" style="876" customWidth="1"/>
    <col min="12891" max="12891" width="9" style="876" customWidth="1"/>
    <col min="12892" max="12893" width="12.28515625" style="876" customWidth="1"/>
    <col min="12894" max="12896" width="14.85546875" style="876" customWidth="1"/>
    <col min="12897" max="12897" width="0" style="876" hidden="1" customWidth="1"/>
    <col min="12898" max="12899" width="12.140625" style="876" customWidth="1"/>
    <col min="12900" max="12900" width="10.7109375" style="876" customWidth="1"/>
    <col min="12901" max="12903" width="15.7109375" style="876" customWidth="1"/>
    <col min="12904" max="12904" width="11.85546875" style="876" customWidth="1"/>
    <col min="12905" max="12907" width="13.7109375" style="876" customWidth="1"/>
    <col min="12908" max="12908" width="3" style="876" customWidth="1"/>
    <col min="12909" max="12910" width="15.7109375" style="876" customWidth="1"/>
    <col min="12911" max="13069" width="9.140625" style="876"/>
    <col min="13070" max="13070" width="21.85546875" style="876" customWidth="1"/>
    <col min="13071" max="13071" width="32.28515625" style="876" customWidth="1"/>
    <col min="13072" max="13072" width="13" style="876" customWidth="1"/>
    <col min="13073" max="13103" width="15.7109375" style="876" customWidth="1"/>
    <col min="13104" max="13104" width="17.5703125" style="876" customWidth="1"/>
    <col min="13105" max="13105" width="20.140625" style="876" customWidth="1"/>
    <col min="13106" max="13140" width="15.7109375" style="876" customWidth="1"/>
    <col min="13141" max="13141" width="3" style="876" customWidth="1"/>
    <col min="13142" max="13142" width="9.140625" style="876" customWidth="1"/>
    <col min="13143" max="13144" width="9" style="876" customWidth="1"/>
    <col min="13145" max="13146" width="16" style="876" customWidth="1"/>
    <col min="13147" max="13147" width="9" style="876" customWidth="1"/>
    <col min="13148" max="13149" width="12.28515625" style="876" customWidth="1"/>
    <col min="13150" max="13152" width="14.85546875" style="876" customWidth="1"/>
    <col min="13153" max="13153" width="0" style="876" hidden="1" customWidth="1"/>
    <col min="13154" max="13155" width="12.140625" style="876" customWidth="1"/>
    <col min="13156" max="13156" width="10.7109375" style="876" customWidth="1"/>
    <col min="13157" max="13159" width="15.7109375" style="876" customWidth="1"/>
    <col min="13160" max="13160" width="11.85546875" style="876" customWidth="1"/>
    <col min="13161" max="13163" width="13.7109375" style="876" customWidth="1"/>
    <col min="13164" max="13164" width="3" style="876" customWidth="1"/>
    <col min="13165" max="13166" width="15.7109375" style="876" customWidth="1"/>
    <col min="13167" max="13325" width="9.140625" style="876"/>
    <col min="13326" max="13326" width="21.85546875" style="876" customWidth="1"/>
    <col min="13327" max="13327" width="32.28515625" style="876" customWidth="1"/>
    <col min="13328" max="13328" width="13" style="876" customWidth="1"/>
    <col min="13329" max="13359" width="15.7109375" style="876" customWidth="1"/>
    <col min="13360" max="13360" width="17.5703125" style="876" customWidth="1"/>
    <col min="13361" max="13361" width="20.140625" style="876" customWidth="1"/>
    <col min="13362" max="13396" width="15.7109375" style="876" customWidth="1"/>
    <col min="13397" max="13397" width="3" style="876" customWidth="1"/>
    <col min="13398" max="13398" width="9.140625" style="876" customWidth="1"/>
    <col min="13399" max="13400" width="9" style="876" customWidth="1"/>
    <col min="13401" max="13402" width="16" style="876" customWidth="1"/>
    <col min="13403" max="13403" width="9" style="876" customWidth="1"/>
    <col min="13404" max="13405" width="12.28515625" style="876" customWidth="1"/>
    <col min="13406" max="13408" width="14.85546875" style="876" customWidth="1"/>
    <col min="13409" max="13409" width="0" style="876" hidden="1" customWidth="1"/>
    <col min="13410" max="13411" width="12.140625" style="876" customWidth="1"/>
    <col min="13412" max="13412" width="10.7109375" style="876" customWidth="1"/>
    <col min="13413" max="13415" width="15.7109375" style="876" customWidth="1"/>
    <col min="13416" max="13416" width="11.85546875" style="876" customWidth="1"/>
    <col min="13417" max="13419" width="13.7109375" style="876" customWidth="1"/>
    <col min="13420" max="13420" width="3" style="876" customWidth="1"/>
    <col min="13421" max="13422" width="15.7109375" style="876" customWidth="1"/>
    <col min="13423" max="13581" width="9.140625" style="876"/>
    <col min="13582" max="13582" width="21.85546875" style="876" customWidth="1"/>
    <col min="13583" max="13583" width="32.28515625" style="876" customWidth="1"/>
    <col min="13584" max="13584" width="13" style="876" customWidth="1"/>
    <col min="13585" max="13615" width="15.7109375" style="876" customWidth="1"/>
    <col min="13616" max="13616" width="17.5703125" style="876" customWidth="1"/>
    <col min="13617" max="13617" width="20.140625" style="876" customWidth="1"/>
    <col min="13618" max="13652" width="15.7109375" style="876" customWidth="1"/>
    <col min="13653" max="13653" width="3" style="876" customWidth="1"/>
    <col min="13654" max="13654" width="9.140625" style="876" customWidth="1"/>
    <col min="13655" max="13656" width="9" style="876" customWidth="1"/>
    <col min="13657" max="13658" width="16" style="876" customWidth="1"/>
    <col min="13659" max="13659" width="9" style="876" customWidth="1"/>
    <col min="13660" max="13661" width="12.28515625" style="876" customWidth="1"/>
    <col min="13662" max="13664" width="14.85546875" style="876" customWidth="1"/>
    <col min="13665" max="13665" width="0" style="876" hidden="1" customWidth="1"/>
    <col min="13666" max="13667" width="12.140625" style="876" customWidth="1"/>
    <col min="13668" max="13668" width="10.7109375" style="876" customWidth="1"/>
    <col min="13669" max="13671" width="15.7109375" style="876" customWidth="1"/>
    <col min="13672" max="13672" width="11.85546875" style="876" customWidth="1"/>
    <col min="13673" max="13675" width="13.7109375" style="876" customWidth="1"/>
    <col min="13676" max="13676" width="3" style="876" customWidth="1"/>
    <col min="13677" max="13678" width="15.7109375" style="876" customWidth="1"/>
    <col min="13679" max="13837" width="9.140625" style="876"/>
    <col min="13838" max="13838" width="21.85546875" style="876" customWidth="1"/>
    <col min="13839" max="13839" width="32.28515625" style="876" customWidth="1"/>
    <col min="13840" max="13840" width="13" style="876" customWidth="1"/>
    <col min="13841" max="13871" width="15.7109375" style="876" customWidth="1"/>
    <col min="13872" max="13872" width="17.5703125" style="876" customWidth="1"/>
    <col min="13873" max="13873" width="20.140625" style="876" customWidth="1"/>
    <col min="13874" max="13908" width="15.7109375" style="876" customWidth="1"/>
    <col min="13909" max="13909" width="3" style="876" customWidth="1"/>
    <col min="13910" max="13910" width="9.140625" style="876" customWidth="1"/>
    <col min="13911" max="13912" width="9" style="876" customWidth="1"/>
    <col min="13913" max="13914" width="16" style="876" customWidth="1"/>
    <col min="13915" max="13915" width="9" style="876" customWidth="1"/>
    <col min="13916" max="13917" width="12.28515625" style="876" customWidth="1"/>
    <col min="13918" max="13920" width="14.85546875" style="876" customWidth="1"/>
    <col min="13921" max="13921" width="0" style="876" hidden="1" customWidth="1"/>
    <col min="13922" max="13923" width="12.140625" style="876" customWidth="1"/>
    <col min="13924" max="13924" width="10.7109375" style="876" customWidth="1"/>
    <col min="13925" max="13927" width="15.7109375" style="876" customWidth="1"/>
    <col min="13928" max="13928" width="11.85546875" style="876" customWidth="1"/>
    <col min="13929" max="13931" width="13.7109375" style="876" customWidth="1"/>
    <col min="13932" max="13932" width="3" style="876" customWidth="1"/>
    <col min="13933" max="13934" width="15.7109375" style="876" customWidth="1"/>
    <col min="13935" max="14093" width="9.140625" style="876"/>
    <col min="14094" max="14094" width="21.85546875" style="876" customWidth="1"/>
    <col min="14095" max="14095" width="32.28515625" style="876" customWidth="1"/>
    <col min="14096" max="14096" width="13" style="876" customWidth="1"/>
    <col min="14097" max="14127" width="15.7109375" style="876" customWidth="1"/>
    <col min="14128" max="14128" width="17.5703125" style="876" customWidth="1"/>
    <col min="14129" max="14129" width="20.140625" style="876" customWidth="1"/>
    <col min="14130" max="14164" width="15.7109375" style="876" customWidth="1"/>
    <col min="14165" max="14165" width="3" style="876" customWidth="1"/>
    <col min="14166" max="14166" width="9.140625" style="876" customWidth="1"/>
    <col min="14167" max="14168" width="9" style="876" customWidth="1"/>
    <col min="14169" max="14170" width="16" style="876" customWidth="1"/>
    <col min="14171" max="14171" width="9" style="876" customWidth="1"/>
    <col min="14172" max="14173" width="12.28515625" style="876" customWidth="1"/>
    <col min="14174" max="14176" width="14.85546875" style="876" customWidth="1"/>
    <col min="14177" max="14177" width="0" style="876" hidden="1" customWidth="1"/>
    <col min="14178" max="14179" width="12.140625" style="876" customWidth="1"/>
    <col min="14180" max="14180" width="10.7109375" style="876" customWidth="1"/>
    <col min="14181" max="14183" width="15.7109375" style="876" customWidth="1"/>
    <col min="14184" max="14184" width="11.85546875" style="876" customWidth="1"/>
    <col min="14185" max="14187" width="13.7109375" style="876" customWidth="1"/>
    <col min="14188" max="14188" width="3" style="876" customWidth="1"/>
    <col min="14189" max="14190" width="15.7109375" style="876" customWidth="1"/>
    <col min="14191" max="14349" width="9.140625" style="876"/>
    <col min="14350" max="14350" width="21.85546875" style="876" customWidth="1"/>
    <col min="14351" max="14351" width="32.28515625" style="876" customWidth="1"/>
    <col min="14352" max="14352" width="13" style="876" customWidth="1"/>
    <col min="14353" max="14383" width="15.7109375" style="876" customWidth="1"/>
    <col min="14384" max="14384" width="17.5703125" style="876" customWidth="1"/>
    <col min="14385" max="14385" width="20.140625" style="876" customWidth="1"/>
    <col min="14386" max="14420" width="15.7109375" style="876" customWidth="1"/>
    <col min="14421" max="14421" width="3" style="876" customWidth="1"/>
    <col min="14422" max="14422" width="9.140625" style="876" customWidth="1"/>
    <col min="14423" max="14424" width="9" style="876" customWidth="1"/>
    <col min="14425" max="14426" width="16" style="876" customWidth="1"/>
    <col min="14427" max="14427" width="9" style="876" customWidth="1"/>
    <col min="14428" max="14429" width="12.28515625" style="876" customWidth="1"/>
    <col min="14430" max="14432" width="14.85546875" style="876" customWidth="1"/>
    <col min="14433" max="14433" width="0" style="876" hidden="1" customWidth="1"/>
    <col min="14434" max="14435" width="12.140625" style="876" customWidth="1"/>
    <col min="14436" max="14436" width="10.7109375" style="876" customWidth="1"/>
    <col min="14437" max="14439" width="15.7109375" style="876" customWidth="1"/>
    <col min="14440" max="14440" width="11.85546875" style="876" customWidth="1"/>
    <col min="14441" max="14443" width="13.7109375" style="876" customWidth="1"/>
    <col min="14444" max="14444" width="3" style="876" customWidth="1"/>
    <col min="14445" max="14446" width="15.7109375" style="876" customWidth="1"/>
    <col min="14447" max="14605" width="9.140625" style="876"/>
    <col min="14606" max="14606" width="21.85546875" style="876" customWidth="1"/>
    <col min="14607" max="14607" width="32.28515625" style="876" customWidth="1"/>
    <col min="14608" max="14608" width="13" style="876" customWidth="1"/>
    <col min="14609" max="14639" width="15.7109375" style="876" customWidth="1"/>
    <col min="14640" max="14640" width="17.5703125" style="876" customWidth="1"/>
    <col min="14641" max="14641" width="20.140625" style="876" customWidth="1"/>
    <col min="14642" max="14676" width="15.7109375" style="876" customWidth="1"/>
    <col min="14677" max="14677" width="3" style="876" customWidth="1"/>
    <col min="14678" max="14678" width="9.140625" style="876" customWidth="1"/>
    <col min="14679" max="14680" width="9" style="876" customWidth="1"/>
    <col min="14681" max="14682" width="16" style="876" customWidth="1"/>
    <col min="14683" max="14683" width="9" style="876" customWidth="1"/>
    <col min="14684" max="14685" width="12.28515625" style="876" customWidth="1"/>
    <col min="14686" max="14688" width="14.85546875" style="876" customWidth="1"/>
    <col min="14689" max="14689" width="0" style="876" hidden="1" customWidth="1"/>
    <col min="14690" max="14691" width="12.140625" style="876" customWidth="1"/>
    <col min="14692" max="14692" width="10.7109375" style="876" customWidth="1"/>
    <col min="14693" max="14695" width="15.7109375" style="876" customWidth="1"/>
    <col min="14696" max="14696" width="11.85546875" style="876" customWidth="1"/>
    <col min="14697" max="14699" width="13.7109375" style="876" customWidth="1"/>
    <col min="14700" max="14700" width="3" style="876" customWidth="1"/>
    <col min="14701" max="14702" width="15.7109375" style="876" customWidth="1"/>
    <col min="14703" max="14861" width="9.140625" style="876"/>
    <col min="14862" max="14862" width="21.85546875" style="876" customWidth="1"/>
    <col min="14863" max="14863" width="32.28515625" style="876" customWidth="1"/>
    <col min="14864" max="14864" width="13" style="876" customWidth="1"/>
    <col min="14865" max="14895" width="15.7109375" style="876" customWidth="1"/>
    <col min="14896" max="14896" width="17.5703125" style="876" customWidth="1"/>
    <col min="14897" max="14897" width="20.140625" style="876" customWidth="1"/>
    <col min="14898" max="14932" width="15.7109375" style="876" customWidth="1"/>
    <col min="14933" max="14933" width="3" style="876" customWidth="1"/>
    <col min="14934" max="14934" width="9.140625" style="876" customWidth="1"/>
    <col min="14935" max="14936" width="9" style="876" customWidth="1"/>
    <col min="14937" max="14938" width="16" style="876" customWidth="1"/>
    <col min="14939" max="14939" width="9" style="876" customWidth="1"/>
    <col min="14940" max="14941" width="12.28515625" style="876" customWidth="1"/>
    <col min="14942" max="14944" width="14.85546875" style="876" customWidth="1"/>
    <col min="14945" max="14945" width="0" style="876" hidden="1" customWidth="1"/>
    <col min="14946" max="14947" width="12.140625" style="876" customWidth="1"/>
    <col min="14948" max="14948" width="10.7109375" style="876" customWidth="1"/>
    <col min="14949" max="14951" width="15.7109375" style="876" customWidth="1"/>
    <col min="14952" max="14952" width="11.85546875" style="876" customWidth="1"/>
    <col min="14953" max="14955" width="13.7109375" style="876" customWidth="1"/>
    <col min="14956" max="14956" width="3" style="876" customWidth="1"/>
    <col min="14957" max="14958" width="15.7109375" style="876" customWidth="1"/>
    <col min="14959" max="15117" width="9.140625" style="876"/>
    <col min="15118" max="15118" width="21.85546875" style="876" customWidth="1"/>
    <col min="15119" max="15119" width="32.28515625" style="876" customWidth="1"/>
    <col min="15120" max="15120" width="13" style="876" customWidth="1"/>
    <col min="15121" max="15151" width="15.7109375" style="876" customWidth="1"/>
    <col min="15152" max="15152" width="17.5703125" style="876" customWidth="1"/>
    <col min="15153" max="15153" width="20.140625" style="876" customWidth="1"/>
    <col min="15154" max="15188" width="15.7109375" style="876" customWidth="1"/>
    <col min="15189" max="15189" width="3" style="876" customWidth="1"/>
    <col min="15190" max="15190" width="9.140625" style="876" customWidth="1"/>
    <col min="15191" max="15192" width="9" style="876" customWidth="1"/>
    <col min="15193" max="15194" width="16" style="876" customWidth="1"/>
    <col min="15195" max="15195" width="9" style="876" customWidth="1"/>
    <col min="15196" max="15197" width="12.28515625" style="876" customWidth="1"/>
    <col min="15198" max="15200" width="14.85546875" style="876" customWidth="1"/>
    <col min="15201" max="15201" width="0" style="876" hidden="1" customWidth="1"/>
    <col min="15202" max="15203" width="12.140625" style="876" customWidth="1"/>
    <col min="15204" max="15204" width="10.7109375" style="876" customWidth="1"/>
    <col min="15205" max="15207" width="15.7109375" style="876" customWidth="1"/>
    <col min="15208" max="15208" width="11.85546875" style="876" customWidth="1"/>
    <col min="15209" max="15211" width="13.7109375" style="876" customWidth="1"/>
    <col min="15212" max="15212" width="3" style="876" customWidth="1"/>
    <col min="15213" max="15214" width="15.7109375" style="876" customWidth="1"/>
    <col min="15215" max="15373" width="9.140625" style="876"/>
    <col min="15374" max="15374" width="21.85546875" style="876" customWidth="1"/>
    <col min="15375" max="15375" width="32.28515625" style="876" customWidth="1"/>
    <col min="15376" max="15376" width="13" style="876" customWidth="1"/>
    <col min="15377" max="15407" width="15.7109375" style="876" customWidth="1"/>
    <col min="15408" max="15408" width="17.5703125" style="876" customWidth="1"/>
    <col min="15409" max="15409" width="20.140625" style="876" customWidth="1"/>
    <col min="15410" max="15444" width="15.7109375" style="876" customWidth="1"/>
    <col min="15445" max="15445" width="3" style="876" customWidth="1"/>
    <col min="15446" max="15446" width="9.140625" style="876" customWidth="1"/>
    <col min="15447" max="15448" width="9" style="876" customWidth="1"/>
    <col min="15449" max="15450" width="16" style="876" customWidth="1"/>
    <col min="15451" max="15451" width="9" style="876" customWidth="1"/>
    <col min="15452" max="15453" width="12.28515625" style="876" customWidth="1"/>
    <col min="15454" max="15456" width="14.85546875" style="876" customWidth="1"/>
    <col min="15457" max="15457" width="0" style="876" hidden="1" customWidth="1"/>
    <col min="15458" max="15459" width="12.140625" style="876" customWidth="1"/>
    <col min="15460" max="15460" width="10.7109375" style="876" customWidth="1"/>
    <col min="15461" max="15463" width="15.7109375" style="876" customWidth="1"/>
    <col min="15464" max="15464" width="11.85546875" style="876" customWidth="1"/>
    <col min="15465" max="15467" width="13.7109375" style="876" customWidth="1"/>
    <col min="15468" max="15468" width="3" style="876" customWidth="1"/>
    <col min="15469" max="15470" width="15.7109375" style="876" customWidth="1"/>
    <col min="15471" max="15629" width="9.140625" style="876"/>
    <col min="15630" max="15630" width="21.85546875" style="876" customWidth="1"/>
    <col min="15631" max="15631" width="32.28515625" style="876" customWidth="1"/>
    <col min="15632" max="15632" width="13" style="876" customWidth="1"/>
    <col min="15633" max="15663" width="15.7109375" style="876" customWidth="1"/>
    <col min="15664" max="15664" width="17.5703125" style="876" customWidth="1"/>
    <col min="15665" max="15665" width="20.140625" style="876" customWidth="1"/>
    <col min="15666" max="15700" width="15.7109375" style="876" customWidth="1"/>
    <col min="15701" max="15701" width="3" style="876" customWidth="1"/>
    <col min="15702" max="15702" width="9.140625" style="876" customWidth="1"/>
    <col min="15703" max="15704" width="9" style="876" customWidth="1"/>
    <col min="15705" max="15706" width="16" style="876" customWidth="1"/>
    <col min="15707" max="15707" width="9" style="876" customWidth="1"/>
    <col min="15708" max="15709" width="12.28515625" style="876" customWidth="1"/>
    <col min="15710" max="15712" width="14.85546875" style="876" customWidth="1"/>
    <col min="15713" max="15713" width="0" style="876" hidden="1" customWidth="1"/>
    <col min="15714" max="15715" width="12.140625" style="876" customWidth="1"/>
    <col min="15716" max="15716" width="10.7109375" style="876" customWidth="1"/>
    <col min="15717" max="15719" width="15.7109375" style="876" customWidth="1"/>
    <col min="15720" max="15720" width="11.85546875" style="876" customWidth="1"/>
    <col min="15721" max="15723" width="13.7109375" style="876" customWidth="1"/>
    <col min="15724" max="15724" width="3" style="876" customWidth="1"/>
    <col min="15725" max="15726" width="15.7109375" style="876" customWidth="1"/>
    <col min="15727" max="15885" width="9.140625" style="876"/>
    <col min="15886" max="15886" width="21.85546875" style="876" customWidth="1"/>
    <col min="15887" max="15887" width="32.28515625" style="876" customWidth="1"/>
    <col min="15888" max="15888" width="13" style="876" customWidth="1"/>
    <col min="15889" max="15919" width="15.7109375" style="876" customWidth="1"/>
    <col min="15920" max="15920" width="17.5703125" style="876" customWidth="1"/>
    <col min="15921" max="15921" width="20.140625" style="876" customWidth="1"/>
    <col min="15922" max="15956" width="15.7109375" style="876" customWidth="1"/>
    <col min="15957" max="15957" width="3" style="876" customWidth="1"/>
    <col min="15958" max="15958" width="9.140625" style="876" customWidth="1"/>
    <col min="15959" max="15960" width="9" style="876" customWidth="1"/>
    <col min="15961" max="15962" width="16" style="876" customWidth="1"/>
    <col min="15963" max="15963" width="9" style="876" customWidth="1"/>
    <col min="15964" max="15965" width="12.28515625" style="876" customWidth="1"/>
    <col min="15966" max="15968" width="14.85546875" style="876" customWidth="1"/>
    <col min="15969" max="15969" width="0" style="876" hidden="1" customWidth="1"/>
    <col min="15970" max="15971" width="12.140625" style="876" customWidth="1"/>
    <col min="15972" max="15972" width="10.7109375" style="876" customWidth="1"/>
    <col min="15973" max="15975" width="15.7109375" style="876" customWidth="1"/>
    <col min="15976" max="15976" width="11.85546875" style="876" customWidth="1"/>
    <col min="15977" max="15979" width="13.7109375" style="876" customWidth="1"/>
    <col min="15980" max="15980" width="3" style="876" customWidth="1"/>
    <col min="15981" max="15982" width="15.7109375" style="876" customWidth="1"/>
    <col min="15983" max="16141" width="9.140625" style="876"/>
    <col min="16142" max="16142" width="21.85546875" style="876" customWidth="1"/>
    <col min="16143" max="16143" width="32.28515625" style="876" customWidth="1"/>
    <col min="16144" max="16144" width="13" style="876" customWidth="1"/>
    <col min="16145" max="16175" width="15.7109375" style="876" customWidth="1"/>
    <col min="16176" max="16176" width="17.5703125" style="876" customWidth="1"/>
    <col min="16177" max="16177" width="20.140625" style="876" customWidth="1"/>
    <col min="16178" max="16212" width="15.7109375" style="876" customWidth="1"/>
    <col min="16213" max="16213" width="3" style="876" customWidth="1"/>
    <col min="16214" max="16214" width="9.140625" style="876" customWidth="1"/>
    <col min="16215" max="16216" width="9" style="876" customWidth="1"/>
    <col min="16217" max="16218" width="16" style="876" customWidth="1"/>
    <col min="16219" max="16219" width="9" style="876" customWidth="1"/>
    <col min="16220" max="16221" width="12.28515625" style="876" customWidth="1"/>
    <col min="16222" max="16224" width="14.85546875" style="876" customWidth="1"/>
    <col min="16225" max="16225" width="0" style="876" hidden="1" customWidth="1"/>
    <col min="16226" max="16227" width="12.140625" style="876" customWidth="1"/>
    <col min="16228" max="16228" width="10.7109375" style="876" customWidth="1"/>
    <col min="16229" max="16231" width="15.7109375" style="876" customWidth="1"/>
    <col min="16232" max="16232" width="11.85546875" style="876" customWidth="1"/>
    <col min="16233" max="16235" width="13.7109375" style="876" customWidth="1"/>
    <col min="16236" max="16236" width="3" style="876" customWidth="1"/>
    <col min="16237" max="16238" width="15.7109375" style="876" customWidth="1"/>
    <col min="16239" max="16384" width="9.140625" style="876"/>
  </cols>
  <sheetData>
    <row r="1" spans="1:155" x14ac:dyDescent="0.25">
      <c r="A1" s="870"/>
      <c r="B1" s="871"/>
      <c r="C1" s="872"/>
      <c r="D1" s="872"/>
      <c r="E1" s="872"/>
      <c r="F1" s="872"/>
      <c r="G1" s="872"/>
      <c r="H1" s="872"/>
      <c r="I1" s="872"/>
      <c r="J1" s="873"/>
      <c r="K1" s="872"/>
      <c r="L1" s="872"/>
      <c r="M1" s="874"/>
      <c r="N1" s="872"/>
      <c r="O1" s="872"/>
      <c r="P1" s="874"/>
      <c r="Q1" s="872"/>
      <c r="R1" s="872"/>
      <c r="S1" s="874"/>
      <c r="T1" s="872"/>
      <c r="U1" s="872"/>
      <c r="V1" s="874"/>
      <c r="W1" s="872"/>
      <c r="X1" s="872"/>
      <c r="Y1" s="874"/>
      <c r="Z1" s="872"/>
      <c r="AA1" s="872"/>
      <c r="AB1" s="874"/>
      <c r="AC1" s="872"/>
      <c r="AD1" s="872"/>
      <c r="AE1" s="874"/>
      <c r="AF1" s="872"/>
      <c r="AG1" s="872"/>
      <c r="AH1" s="874"/>
      <c r="AI1" s="872"/>
      <c r="AJ1" s="872"/>
      <c r="AK1" s="874"/>
      <c r="AL1" s="872"/>
      <c r="AM1" s="872"/>
      <c r="AN1" s="872"/>
      <c r="AO1" s="872"/>
      <c r="AP1" s="872"/>
      <c r="AQ1" s="872"/>
      <c r="AR1" s="872"/>
      <c r="AS1" s="872"/>
      <c r="AT1" s="872"/>
      <c r="AU1" s="872"/>
      <c r="AV1" s="872"/>
      <c r="AW1" s="872"/>
      <c r="AX1" s="872"/>
      <c r="AY1" s="872"/>
      <c r="AZ1" s="872"/>
      <c r="BA1" s="872"/>
      <c r="BB1" s="872"/>
      <c r="BC1" s="872"/>
      <c r="BD1" s="872"/>
      <c r="BE1" s="872"/>
      <c r="BF1" s="872"/>
      <c r="BG1" s="872"/>
      <c r="BH1" s="872"/>
      <c r="BI1" s="872"/>
      <c r="BJ1" s="872"/>
      <c r="BK1" s="872"/>
      <c r="BL1" s="872"/>
      <c r="BM1" s="872"/>
      <c r="BN1" s="872"/>
      <c r="BO1" s="872"/>
      <c r="BP1" s="875"/>
      <c r="BQ1" s="872"/>
      <c r="BR1" s="872"/>
      <c r="BS1" s="872"/>
      <c r="BU1" s="872"/>
      <c r="BV1" s="872"/>
      <c r="BW1" s="872"/>
      <c r="BX1" s="872"/>
      <c r="BY1" s="872"/>
      <c r="BZ1" s="872"/>
      <c r="CA1" s="872"/>
      <c r="CB1" s="872"/>
      <c r="CC1" s="872"/>
      <c r="CD1" s="872"/>
      <c r="CE1" s="872"/>
      <c r="CF1" s="877"/>
      <c r="CG1" s="872"/>
      <c r="CH1" s="872"/>
      <c r="CI1" s="872"/>
      <c r="CJ1" s="872"/>
      <c r="CK1" s="872"/>
      <c r="CL1" s="872"/>
      <c r="CM1" s="872"/>
      <c r="CN1" s="872"/>
      <c r="CO1" s="872"/>
      <c r="CP1" s="872"/>
      <c r="CQ1" s="872"/>
      <c r="CR1" s="872"/>
      <c r="CS1" s="872"/>
      <c r="CT1" s="872"/>
      <c r="CU1" s="872"/>
      <c r="CV1" s="872"/>
      <c r="CX1" s="872"/>
      <c r="CY1" s="872"/>
      <c r="CZ1" s="872"/>
      <c r="DB1" s="872" t="s">
        <v>1213</v>
      </c>
      <c r="DC1" s="872"/>
      <c r="DD1" s="872"/>
      <c r="DE1" s="872"/>
      <c r="DF1" s="872"/>
      <c r="DG1" s="872"/>
      <c r="DH1" s="872"/>
      <c r="DI1" s="872"/>
      <c r="DJ1" s="872"/>
      <c r="DK1" s="872"/>
      <c r="DL1" s="872"/>
      <c r="DM1" s="872"/>
      <c r="DN1" s="872"/>
      <c r="DO1" s="872"/>
      <c r="DP1" s="872"/>
      <c r="DQ1" s="872"/>
      <c r="DR1" s="872"/>
      <c r="DS1" s="872"/>
      <c r="DT1" s="872"/>
      <c r="DV1" s="872" t="s">
        <v>1214</v>
      </c>
      <c r="DW1" s="872"/>
      <c r="DX1" s="872"/>
      <c r="DY1" s="872"/>
      <c r="DZ1" s="872"/>
      <c r="EA1" s="872"/>
      <c r="EB1" s="872"/>
      <c r="EC1" s="872"/>
      <c r="ED1" s="872"/>
      <c r="EE1" s="872"/>
      <c r="EF1" s="872"/>
      <c r="EG1" s="872"/>
      <c r="EH1" s="872"/>
      <c r="EI1" s="872"/>
      <c r="EJ1" s="872"/>
      <c r="EK1" s="872"/>
      <c r="EL1" s="872"/>
      <c r="EM1" s="872"/>
      <c r="EN1" s="872"/>
      <c r="EO1" s="872"/>
      <c r="EP1" s="872"/>
      <c r="EQ1" s="872"/>
      <c r="ER1" s="872"/>
      <c r="ES1" s="872"/>
      <c r="ET1" s="872"/>
      <c r="EV1" s="872"/>
      <c r="EW1" s="872"/>
      <c r="EX1" s="872"/>
      <c r="EY1" s="872"/>
    </row>
    <row r="2" spans="1:155" ht="15.75" hidden="1" customHeight="1" x14ac:dyDescent="0.25">
      <c r="A2" s="878"/>
      <c r="B2" s="1107" t="s">
        <v>830</v>
      </c>
      <c r="C2" s="1107"/>
      <c r="D2" s="1107"/>
      <c r="E2" s="1107"/>
      <c r="F2" s="1107"/>
      <c r="G2" s="1107"/>
      <c r="H2" s="1107"/>
      <c r="I2" s="1107"/>
      <c r="J2" s="1107"/>
      <c r="K2" s="1107"/>
      <c r="L2" s="1107"/>
      <c r="M2" s="1107"/>
      <c r="N2" s="1107"/>
      <c r="O2" s="1107"/>
      <c r="P2" s="1107"/>
      <c r="Q2" s="1107"/>
      <c r="R2" s="1107"/>
      <c r="S2" s="1107"/>
      <c r="T2" s="1107"/>
      <c r="U2" s="1107"/>
      <c r="V2" s="1107"/>
      <c r="W2" s="1107"/>
      <c r="X2" s="1107"/>
      <c r="Y2" s="1107"/>
      <c r="Z2" s="1107"/>
      <c r="AA2" s="1107"/>
      <c r="AB2" s="1107"/>
      <c r="AC2" s="1107"/>
      <c r="AD2" s="1107"/>
      <c r="AE2" s="1107"/>
      <c r="AF2" s="1107"/>
      <c r="AG2" s="1107"/>
      <c r="AH2" s="1107"/>
      <c r="AI2" s="1107"/>
      <c r="AJ2" s="1107"/>
      <c r="AK2" s="1107"/>
      <c r="AL2" s="1107"/>
      <c r="AM2" s="1107"/>
      <c r="AN2" s="1107"/>
      <c r="AO2" s="1107"/>
      <c r="AP2" s="1107"/>
      <c r="AQ2" s="1107"/>
      <c r="AR2" s="1107"/>
      <c r="AS2" s="872"/>
      <c r="AT2" s="872"/>
      <c r="AU2" s="879"/>
      <c r="AV2" s="879"/>
      <c r="AW2" s="872"/>
      <c r="AX2" s="872"/>
      <c r="AY2" s="872"/>
      <c r="AZ2" s="872"/>
      <c r="BA2" s="872"/>
      <c r="BB2" s="872"/>
      <c r="BC2" s="872"/>
      <c r="BD2" s="872"/>
      <c r="BE2" s="872"/>
      <c r="BF2" s="872"/>
      <c r="BG2" s="872"/>
      <c r="BH2" s="872"/>
      <c r="BI2" s="872"/>
      <c r="BJ2" s="872"/>
      <c r="BK2" s="872"/>
      <c r="BL2" s="872"/>
      <c r="BM2" s="872"/>
      <c r="BN2" s="872"/>
      <c r="BO2" s="872"/>
      <c r="BP2" s="875"/>
      <c r="BQ2" s="872"/>
      <c r="BR2" s="872"/>
      <c r="BS2" s="872"/>
      <c r="BU2" s="872"/>
      <c r="BV2" s="872"/>
      <c r="BW2" s="872"/>
      <c r="BX2" s="872"/>
      <c r="BY2" s="872"/>
      <c r="BZ2" s="872"/>
      <c r="CA2" s="872"/>
      <c r="CB2" s="872"/>
      <c r="CC2" s="872"/>
      <c r="CD2" s="872"/>
      <c r="CE2" s="872"/>
      <c r="CF2" s="877"/>
      <c r="CG2" s="872"/>
      <c r="CH2" s="872"/>
      <c r="CI2" s="872"/>
      <c r="CJ2" s="872"/>
      <c r="CK2" s="872"/>
      <c r="CL2" s="872"/>
      <c r="CM2" s="872"/>
      <c r="CN2" s="872"/>
      <c r="CO2" s="872"/>
      <c r="CP2" s="872"/>
      <c r="CQ2" s="872"/>
      <c r="CR2" s="872"/>
      <c r="CS2" s="872"/>
      <c r="CT2" s="872"/>
      <c r="CU2" s="872"/>
      <c r="CV2" s="872"/>
      <c r="CX2" s="872"/>
      <c r="CY2" s="872"/>
      <c r="CZ2" s="872"/>
      <c r="DB2" s="872"/>
      <c r="DC2" s="872"/>
      <c r="DD2" s="872"/>
      <c r="DE2" s="872"/>
      <c r="DF2" s="872"/>
      <c r="DG2" s="872"/>
      <c r="DH2" s="872"/>
      <c r="DI2" s="872"/>
      <c r="DJ2" s="872"/>
      <c r="DK2" s="872"/>
      <c r="DL2" s="872"/>
      <c r="DM2" s="872"/>
      <c r="DN2" s="872"/>
      <c r="DO2" s="872"/>
      <c r="DP2" s="872"/>
      <c r="DQ2" s="872"/>
      <c r="DR2" s="872"/>
      <c r="DS2" s="872"/>
      <c r="DT2" s="872"/>
      <c r="DV2" s="872"/>
      <c r="DW2" s="872"/>
      <c r="DX2" s="872"/>
      <c r="DY2" s="872"/>
      <c r="DZ2" s="872"/>
      <c r="EA2" s="872"/>
      <c r="EB2" s="872"/>
      <c r="EC2" s="872"/>
      <c r="ED2" s="872"/>
      <c r="EE2" s="872"/>
      <c r="EF2" s="872"/>
      <c r="EG2" s="872"/>
      <c r="EH2" s="872"/>
      <c r="EI2" s="872"/>
      <c r="EJ2" s="872"/>
      <c r="EK2" s="872"/>
      <c r="EL2" s="872"/>
      <c r="EM2" s="872"/>
      <c r="EN2" s="872"/>
      <c r="EO2" s="872"/>
      <c r="EP2" s="872"/>
      <c r="EQ2" s="872"/>
      <c r="ER2" s="872"/>
      <c r="ES2" s="872"/>
      <c r="ET2" s="872"/>
      <c r="EV2" s="872"/>
      <c r="EW2" s="872"/>
      <c r="EX2" s="872"/>
      <c r="EY2" s="872"/>
    </row>
    <row r="3" spans="1:155" ht="15.75" hidden="1" customHeight="1" x14ac:dyDescent="0.25">
      <c r="A3" s="878"/>
      <c r="B3" s="1107" t="s">
        <v>384</v>
      </c>
      <c r="C3" s="1107"/>
      <c r="D3" s="1107"/>
      <c r="E3" s="1107"/>
      <c r="F3" s="1107"/>
      <c r="G3" s="1107"/>
      <c r="H3" s="1107"/>
      <c r="I3" s="1107"/>
      <c r="J3" s="1107"/>
      <c r="K3" s="1107"/>
      <c r="L3" s="1107"/>
      <c r="M3" s="1107"/>
      <c r="N3" s="1107"/>
      <c r="O3" s="1107"/>
      <c r="P3" s="1107"/>
      <c r="Q3" s="1107"/>
      <c r="R3" s="1107"/>
      <c r="S3" s="1107"/>
      <c r="T3" s="1107"/>
      <c r="U3" s="1107"/>
      <c r="V3" s="1107"/>
      <c r="W3" s="1107"/>
      <c r="X3" s="1107"/>
      <c r="Y3" s="1107"/>
      <c r="Z3" s="1107"/>
      <c r="AA3" s="1107"/>
      <c r="AB3" s="1107"/>
      <c r="AC3" s="1107"/>
      <c r="AD3" s="1107"/>
      <c r="AE3" s="1107"/>
      <c r="AF3" s="1107"/>
      <c r="AG3" s="1107"/>
      <c r="AH3" s="1107"/>
      <c r="AI3" s="1107"/>
      <c r="AJ3" s="1107"/>
      <c r="AK3" s="1107"/>
      <c r="AL3" s="1107"/>
      <c r="AM3" s="1107"/>
      <c r="AN3" s="1107"/>
      <c r="AO3" s="1107"/>
      <c r="AP3" s="1107"/>
      <c r="AQ3" s="1107"/>
      <c r="AR3" s="1107"/>
      <c r="AS3" s="872"/>
      <c r="AT3" s="872"/>
      <c r="AU3" s="879"/>
      <c r="AV3" s="879"/>
      <c r="AW3" s="872"/>
      <c r="AX3" s="872"/>
      <c r="AY3" s="872"/>
      <c r="AZ3" s="872"/>
      <c r="BA3" s="872"/>
      <c r="BB3" s="872"/>
      <c r="BC3" s="872"/>
      <c r="BD3" s="872"/>
      <c r="BE3" s="872"/>
      <c r="BF3" s="872"/>
      <c r="BG3" s="872"/>
      <c r="BH3" s="872"/>
      <c r="BI3" s="872"/>
      <c r="BJ3" s="872"/>
      <c r="BK3" s="872"/>
      <c r="BL3" s="872"/>
      <c r="BM3" s="872"/>
      <c r="BN3" s="872"/>
      <c r="BO3" s="872"/>
      <c r="BP3" s="875"/>
      <c r="BQ3" s="872"/>
      <c r="BR3" s="872"/>
      <c r="BS3" s="872"/>
      <c r="BU3" s="872"/>
      <c r="BV3" s="872"/>
      <c r="BW3" s="872"/>
      <c r="BX3" s="872"/>
      <c r="BY3" s="872"/>
      <c r="BZ3" s="872"/>
      <c r="CA3" s="872"/>
      <c r="CB3" s="872"/>
      <c r="CC3" s="872"/>
      <c r="CD3" s="872"/>
      <c r="CE3" s="872"/>
      <c r="CF3" s="877"/>
      <c r="CG3" s="872"/>
      <c r="CH3" s="872"/>
      <c r="CI3" s="872"/>
      <c r="CJ3" s="872"/>
      <c r="CK3" s="872"/>
      <c r="CL3" s="872"/>
      <c r="CM3" s="872"/>
      <c r="CN3" s="872"/>
      <c r="CO3" s="872"/>
      <c r="CP3" s="872"/>
      <c r="CQ3" s="872"/>
      <c r="CR3" s="872"/>
      <c r="CS3" s="872"/>
      <c r="CT3" s="872"/>
      <c r="CU3" s="872"/>
      <c r="CV3" s="872"/>
      <c r="CX3" s="872"/>
      <c r="CY3" s="872"/>
      <c r="CZ3" s="872"/>
      <c r="DB3" s="872"/>
      <c r="DC3" s="872"/>
      <c r="DD3" s="872"/>
      <c r="DE3" s="872"/>
      <c r="DF3" s="872"/>
      <c r="DG3" s="872"/>
      <c r="DH3" s="872"/>
      <c r="DI3" s="872"/>
      <c r="DJ3" s="872"/>
      <c r="DK3" s="872"/>
      <c r="DL3" s="872"/>
      <c r="DM3" s="872"/>
      <c r="DN3" s="872"/>
      <c r="DO3" s="872"/>
      <c r="DP3" s="872"/>
      <c r="DQ3" s="872"/>
      <c r="DR3" s="872"/>
      <c r="DS3" s="872"/>
      <c r="DT3" s="872"/>
      <c r="DV3" s="872"/>
      <c r="DW3" s="872"/>
      <c r="DX3" s="872"/>
      <c r="DY3" s="872"/>
      <c r="DZ3" s="872"/>
      <c r="EA3" s="872"/>
      <c r="EB3" s="872"/>
      <c r="EC3" s="872"/>
      <c r="ED3" s="872"/>
      <c r="EE3" s="872"/>
      <c r="EF3" s="872"/>
      <c r="EG3" s="872"/>
      <c r="EH3" s="872"/>
      <c r="EI3" s="872"/>
      <c r="EJ3" s="872"/>
      <c r="EK3" s="872"/>
      <c r="EL3" s="872"/>
      <c r="EM3" s="872"/>
      <c r="EN3" s="872"/>
      <c r="EO3" s="872"/>
      <c r="EP3" s="872"/>
      <c r="EQ3" s="872"/>
      <c r="ER3" s="872"/>
      <c r="ES3" s="872"/>
      <c r="ET3" s="872"/>
      <c r="EV3" s="872"/>
      <c r="EW3" s="872"/>
      <c r="EX3" s="872"/>
      <c r="EY3" s="872"/>
    </row>
    <row r="4" spans="1:155" ht="15.75" hidden="1" customHeight="1" x14ac:dyDescent="0.25">
      <c r="A4" s="878"/>
      <c r="B4" s="1107" t="s">
        <v>385</v>
      </c>
      <c r="C4" s="1107"/>
      <c r="D4" s="1107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872"/>
      <c r="AT4" s="872"/>
      <c r="AU4" s="879"/>
      <c r="AV4" s="879"/>
      <c r="AW4" s="872"/>
      <c r="AX4" s="872"/>
      <c r="AY4" s="872"/>
      <c r="AZ4" s="872"/>
      <c r="BA4" s="872"/>
      <c r="BB4" s="872"/>
      <c r="BC4" s="872"/>
      <c r="BD4" s="872"/>
      <c r="BE4" s="872"/>
      <c r="BF4" s="872"/>
      <c r="BG4" s="872"/>
      <c r="BH4" s="872"/>
      <c r="BI4" s="872"/>
      <c r="BJ4" s="872"/>
      <c r="BK4" s="872"/>
      <c r="BL4" s="872"/>
      <c r="BM4" s="872"/>
      <c r="BN4" s="872"/>
      <c r="BO4" s="872"/>
      <c r="BP4" s="875"/>
      <c r="BQ4" s="872"/>
      <c r="BR4" s="872"/>
      <c r="BS4" s="872"/>
      <c r="BU4" s="872"/>
      <c r="BV4" s="872"/>
      <c r="BW4" s="872"/>
      <c r="BX4" s="872"/>
      <c r="BY4" s="872"/>
      <c r="BZ4" s="872"/>
      <c r="CA4" s="872"/>
      <c r="CB4" s="872"/>
      <c r="CC4" s="872"/>
      <c r="CD4" s="872"/>
      <c r="CE4" s="872"/>
      <c r="CF4" s="877"/>
      <c r="CG4" s="872"/>
      <c r="CH4" s="872"/>
      <c r="CI4" s="872"/>
      <c r="CJ4" s="872"/>
      <c r="CK4" s="872"/>
      <c r="CL4" s="872"/>
      <c r="CM4" s="872"/>
      <c r="CN4" s="872"/>
      <c r="CO4" s="872"/>
      <c r="CP4" s="872"/>
      <c r="CQ4" s="872"/>
      <c r="CR4" s="872"/>
      <c r="CS4" s="872"/>
      <c r="CT4" s="872"/>
      <c r="CU4" s="872"/>
      <c r="CV4" s="872"/>
      <c r="CX4" s="872"/>
      <c r="CY4" s="872"/>
      <c r="CZ4" s="872"/>
      <c r="DB4" s="872"/>
      <c r="DC4" s="872"/>
      <c r="DD4" s="872"/>
      <c r="DE4" s="872"/>
      <c r="DF4" s="872"/>
      <c r="DG4" s="872"/>
      <c r="DH4" s="872"/>
      <c r="DI4" s="872"/>
      <c r="DJ4" s="872"/>
      <c r="DK4" s="872"/>
      <c r="DL4" s="872"/>
      <c r="DM4" s="872"/>
      <c r="DN4" s="872"/>
      <c r="DO4" s="872"/>
      <c r="DP4" s="872"/>
      <c r="DQ4" s="872"/>
      <c r="DR4" s="872"/>
      <c r="DS4" s="872"/>
      <c r="DT4" s="872"/>
      <c r="DV4" s="872"/>
      <c r="DW4" s="872"/>
      <c r="DX4" s="872"/>
      <c r="DY4" s="872"/>
      <c r="DZ4" s="872"/>
      <c r="EA4" s="872"/>
      <c r="EB4" s="872"/>
      <c r="EC4" s="872"/>
      <c r="ED4" s="872"/>
      <c r="EE4" s="872"/>
      <c r="EF4" s="872"/>
      <c r="EG4" s="872"/>
      <c r="EH4" s="872"/>
      <c r="EI4" s="872"/>
      <c r="EJ4" s="872"/>
      <c r="EK4" s="872"/>
      <c r="EL4" s="872"/>
      <c r="EM4" s="872"/>
      <c r="EN4" s="872"/>
      <c r="EO4" s="872"/>
      <c r="EP4" s="872"/>
      <c r="EQ4" s="872"/>
      <c r="ER4" s="872"/>
      <c r="ES4" s="872"/>
      <c r="ET4" s="872"/>
      <c r="EV4" s="872"/>
      <c r="EW4" s="872"/>
      <c r="EX4" s="872"/>
      <c r="EY4" s="872"/>
    </row>
    <row r="5" spans="1:155" ht="15.75" hidden="1" customHeight="1" x14ac:dyDescent="0.25">
      <c r="A5" s="878"/>
      <c r="B5" s="1107" t="s">
        <v>1215</v>
      </c>
      <c r="C5" s="1107"/>
      <c r="D5" s="1107"/>
      <c r="E5" s="1107"/>
      <c r="F5" s="1107"/>
      <c r="G5" s="1107"/>
      <c r="H5" s="1107"/>
      <c r="I5" s="1107"/>
      <c r="J5" s="1107"/>
      <c r="K5" s="1107"/>
      <c r="L5" s="1107"/>
      <c r="M5" s="1107"/>
      <c r="N5" s="1107"/>
      <c r="O5" s="1107"/>
      <c r="P5" s="1107"/>
      <c r="Q5" s="1107"/>
      <c r="R5" s="1107"/>
      <c r="S5" s="1107"/>
      <c r="T5" s="1107"/>
      <c r="U5" s="1107"/>
      <c r="V5" s="1107"/>
      <c r="W5" s="1107"/>
      <c r="X5" s="1107"/>
      <c r="Y5" s="1107"/>
      <c r="Z5" s="1107"/>
      <c r="AA5" s="1107"/>
      <c r="AB5" s="1107"/>
      <c r="AC5" s="1107"/>
      <c r="AD5" s="1107"/>
      <c r="AE5" s="1107"/>
      <c r="AF5" s="1107"/>
      <c r="AG5" s="1107"/>
      <c r="AH5" s="1107"/>
      <c r="AI5" s="1107"/>
      <c r="AJ5" s="1107"/>
      <c r="AK5" s="1107"/>
      <c r="AL5" s="1107"/>
      <c r="AM5" s="1107"/>
      <c r="AN5" s="1107"/>
      <c r="AO5" s="1107"/>
      <c r="AP5" s="1107"/>
      <c r="AQ5" s="1107"/>
      <c r="AR5" s="1107"/>
      <c r="AS5" s="872"/>
      <c r="AT5" s="872"/>
      <c r="AU5" s="879"/>
      <c r="AV5" s="879"/>
      <c r="AW5" s="872"/>
      <c r="AX5" s="872"/>
      <c r="AY5" s="872"/>
      <c r="AZ5" s="872"/>
      <c r="BA5" s="872"/>
      <c r="BB5" s="872"/>
      <c r="BC5" s="872"/>
      <c r="BD5" s="872"/>
      <c r="BE5" s="872"/>
      <c r="BF5" s="872"/>
      <c r="BG5" s="872"/>
      <c r="BH5" s="872"/>
      <c r="BI5" s="872"/>
      <c r="BJ5" s="872"/>
      <c r="BK5" s="872"/>
      <c r="BL5" s="872"/>
      <c r="BM5" s="872"/>
      <c r="BN5" s="872"/>
      <c r="BO5" s="872"/>
      <c r="BP5" s="875"/>
      <c r="BQ5" s="872"/>
      <c r="BR5" s="872"/>
      <c r="BS5" s="872"/>
      <c r="BU5" s="872"/>
      <c r="BV5" s="872"/>
      <c r="BW5" s="872"/>
      <c r="BX5" s="872"/>
      <c r="BY5" s="872"/>
      <c r="BZ5" s="872"/>
      <c r="CA5" s="872"/>
      <c r="CB5" s="872"/>
      <c r="CC5" s="872"/>
      <c r="CD5" s="872"/>
      <c r="CE5" s="872"/>
      <c r="CF5" s="877"/>
      <c r="CG5" s="872"/>
      <c r="CH5" s="872"/>
      <c r="CI5" s="872"/>
      <c r="CJ5" s="872"/>
      <c r="CK5" s="872"/>
      <c r="CL5" s="872"/>
      <c r="CM5" s="872"/>
      <c r="CN5" s="872"/>
      <c r="CO5" s="872"/>
      <c r="CP5" s="872"/>
      <c r="CQ5" s="872"/>
      <c r="CR5" s="872"/>
      <c r="CS5" s="872"/>
      <c r="CT5" s="872"/>
      <c r="CU5" s="872"/>
      <c r="CV5" s="872"/>
      <c r="CX5" s="872"/>
      <c r="CY5" s="872"/>
      <c r="CZ5" s="872"/>
      <c r="DB5" s="872"/>
      <c r="DC5" s="872"/>
      <c r="DD5" s="872"/>
      <c r="DE5" s="872"/>
      <c r="DF5" s="872"/>
      <c r="DG5" s="872"/>
      <c r="DH5" s="872"/>
      <c r="DI5" s="872"/>
      <c r="DJ5" s="872"/>
      <c r="DK5" s="872"/>
      <c r="DL5" s="872"/>
      <c r="DM5" s="872"/>
      <c r="DN5" s="872"/>
      <c r="DO5" s="872"/>
      <c r="DP5" s="872"/>
      <c r="DQ5" s="872"/>
      <c r="DR5" s="872"/>
      <c r="DS5" s="872"/>
      <c r="DT5" s="872"/>
      <c r="DV5" s="872"/>
      <c r="DW5" s="872"/>
      <c r="DX5" s="872"/>
      <c r="DY5" s="872"/>
      <c r="DZ5" s="872"/>
      <c r="EA5" s="872"/>
      <c r="EB5" s="872"/>
      <c r="EC5" s="872"/>
      <c r="ED5" s="872"/>
      <c r="EE5" s="872"/>
      <c r="EF5" s="872"/>
      <c r="EG5" s="872"/>
      <c r="EH5" s="872"/>
      <c r="EI5" s="872"/>
      <c r="EJ5" s="872"/>
      <c r="EK5" s="872"/>
      <c r="EL5" s="872"/>
      <c r="EM5" s="872"/>
      <c r="EN5" s="872"/>
      <c r="EO5" s="872"/>
      <c r="EP5" s="872"/>
      <c r="EQ5" s="872"/>
      <c r="ER5" s="872"/>
      <c r="ES5" s="872"/>
      <c r="ET5" s="872"/>
      <c r="EV5" s="872"/>
      <c r="EW5" s="872"/>
      <c r="EX5" s="872"/>
      <c r="EY5" s="872"/>
    </row>
    <row r="6" spans="1:155" ht="15.75" hidden="1" customHeight="1" x14ac:dyDescent="0.25">
      <c r="A6" s="878"/>
      <c r="B6" s="1107" t="s">
        <v>386</v>
      </c>
      <c r="C6" s="1107"/>
      <c r="D6" s="1107"/>
      <c r="E6" s="1107"/>
      <c r="F6" s="1107"/>
      <c r="G6" s="1107"/>
      <c r="H6" s="1107"/>
      <c r="I6" s="1107"/>
      <c r="J6" s="1107"/>
      <c r="K6" s="1107"/>
      <c r="L6" s="1107"/>
      <c r="M6" s="1107"/>
      <c r="N6" s="1107"/>
      <c r="O6" s="1107"/>
      <c r="P6" s="1107"/>
      <c r="Q6" s="1107"/>
      <c r="R6" s="1107"/>
      <c r="S6" s="1107"/>
      <c r="T6" s="1107"/>
      <c r="U6" s="1107"/>
      <c r="V6" s="1107"/>
      <c r="W6" s="1107"/>
      <c r="X6" s="1107"/>
      <c r="Y6" s="1107"/>
      <c r="Z6" s="1107"/>
      <c r="AA6" s="1107"/>
      <c r="AB6" s="1107"/>
      <c r="AC6" s="1107"/>
      <c r="AD6" s="1107"/>
      <c r="AE6" s="1107"/>
      <c r="AF6" s="1107"/>
      <c r="AG6" s="1107"/>
      <c r="AH6" s="1107"/>
      <c r="AI6" s="1107"/>
      <c r="AJ6" s="1107"/>
      <c r="AK6" s="1107"/>
      <c r="AL6" s="1107"/>
      <c r="AM6" s="1107"/>
      <c r="AN6" s="1107"/>
      <c r="AO6" s="1107"/>
      <c r="AP6" s="1107"/>
      <c r="AQ6" s="1107"/>
      <c r="AR6" s="1107"/>
      <c r="AS6" s="872"/>
      <c r="AT6" s="872"/>
      <c r="AU6" s="879"/>
      <c r="AV6" s="879"/>
      <c r="AW6" s="872"/>
      <c r="AX6" s="872"/>
      <c r="AY6" s="872"/>
      <c r="AZ6" s="872"/>
      <c r="BA6" s="872"/>
      <c r="BB6" s="872"/>
      <c r="BC6" s="872"/>
      <c r="BD6" s="872"/>
      <c r="BE6" s="872"/>
      <c r="BF6" s="872"/>
      <c r="BG6" s="872"/>
      <c r="BH6" s="872"/>
      <c r="BI6" s="872"/>
      <c r="BJ6" s="872"/>
      <c r="BK6" s="872"/>
      <c r="BL6" s="872"/>
      <c r="BM6" s="872"/>
      <c r="BN6" s="872"/>
      <c r="BO6" s="872"/>
      <c r="BP6" s="875"/>
      <c r="BQ6" s="872"/>
      <c r="BR6" s="872"/>
      <c r="BS6" s="872"/>
      <c r="BU6" s="872"/>
      <c r="BV6" s="872"/>
      <c r="BW6" s="872"/>
      <c r="BX6" s="872"/>
      <c r="BY6" s="872"/>
      <c r="BZ6" s="872"/>
      <c r="CA6" s="872"/>
      <c r="CB6" s="872"/>
      <c r="CC6" s="872"/>
      <c r="CD6" s="872"/>
      <c r="CE6" s="872"/>
      <c r="CF6" s="877"/>
      <c r="CG6" s="872"/>
      <c r="CH6" s="872"/>
      <c r="CI6" s="872"/>
      <c r="CJ6" s="872"/>
      <c r="CK6" s="872"/>
      <c r="CL6" s="872"/>
      <c r="CM6" s="872"/>
      <c r="CN6" s="872"/>
      <c r="CO6" s="872"/>
      <c r="CP6" s="872"/>
      <c r="CQ6" s="872"/>
      <c r="CR6" s="872"/>
      <c r="CS6" s="872"/>
      <c r="CT6" s="872"/>
      <c r="CU6" s="872"/>
      <c r="CV6" s="872"/>
      <c r="CX6" s="872"/>
      <c r="CY6" s="872"/>
      <c r="CZ6" s="872"/>
      <c r="DB6" s="872"/>
      <c r="DC6" s="872"/>
      <c r="DD6" s="872"/>
      <c r="DE6" s="872"/>
      <c r="DF6" s="872"/>
      <c r="DG6" s="872"/>
      <c r="DH6" s="872"/>
      <c r="DI6" s="872"/>
      <c r="DJ6" s="872"/>
      <c r="DK6" s="872"/>
      <c r="DL6" s="872"/>
      <c r="DM6" s="872"/>
      <c r="DN6" s="872"/>
      <c r="DO6" s="872"/>
      <c r="DP6" s="872"/>
      <c r="DQ6" s="872"/>
      <c r="DR6" s="872"/>
      <c r="DS6" s="872"/>
      <c r="DT6" s="872"/>
      <c r="DV6" s="872"/>
      <c r="DW6" s="872"/>
      <c r="DX6" s="872"/>
      <c r="DY6" s="872"/>
      <c r="DZ6" s="872"/>
      <c r="EA6" s="872"/>
      <c r="EB6" s="872"/>
      <c r="EC6" s="872"/>
      <c r="ED6" s="872"/>
      <c r="EE6" s="872"/>
      <c r="EF6" s="872"/>
      <c r="EG6" s="872"/>
      <c r="EH6" s="872"/>
      <c r="EI6" s="872"/>
      <c r="EJ6" s="872"/>
      <c r="EK6" s="872"/>
      <c r="EL6" s="872"/>
      <c r="EM6" s="872"/>
      <c r="EN6" s="872"/>
      <c r="EO6" s="872"/>
      <c r="EP6" s="872"/>
      <c r="EQ6" s="872"/>
      <c r="ER6" s="872"/>
      <c r="ES6" s="872"/>
      <c r="ET6" s="872"/>
      <c r="EV6" s="872"/>
      <c r="EW6" s="872"/>
      <c r="EX6" s="872"/>
      <c r="EY6" s="872"/>
    </row>
    <row r="7" spans="1:155" ht="15.75" x14ac:dyDescent="0.25">
      <c r="A7" s="880">
        <v>2024</v>
      </c>
      <c r="B7" s="881"/>
      <c r="C7" s="882"/>
      <c r="D7" s="883"/>
      <c r="E7" s="872"/>
      <c r="F7" s="872"/>
      <c r="G7" s="872"/>
      <c r="H7" s="883"/>
      <c r="I7" s="872"/>
      <c r="J7" s="873"/>
      <c r="K7" s="872"/>
      <c r="L7" s="872"/>
      <c r="M7" s="874"/>
      <c r="N7" s="872"/>
      <c r="O7" s="872"/>
      <c r="P7" s="874"/>
      <c r="Q7" s="872"/>
      <c r="R7" s="872"/>
      <c r="S7" s="874"/>
      <c r="T7" s="872"/>
      <c r="U7" s="872"/>
      <c r="V7" s="874"/>
      <c r="W7" s="872"/>
      <c r="X7" s="872"/>
      <c r="Y7" s="874"/>
      <c r="Z7" s="872"/>
      <c r="AA7" s="872"/>
      <c r="AB7" s="874"/>
      <c r="AC7" s="872"/>
      <c r="AD7" s="872"/>
      <c r="AE7" s="874"/>
      <c r="AF7" s="872"/>
      <c r="AG7" s="872"/>
      <c r="AH7" s="874"/>
      <c r="AI7" s="872"/>
      <c r="AJ7" s="872"/>
      <c r="AK7" s="874"/>
      <c r="AL7" s="872"/>
      <c r="AM7" s="872"/>
      <c r="AN7" s="872"/>
      <c r="AO7" s="872"/>
      <c r="AP7" s="872"/>
      <c r="AQ7" s="872"/>
      <c r="AR7" s="872"/>
      <c r="AS7" s="872"/>
      <c r="AT7" s="872"/>
      <c r="AU7" s="872"/>
      <c r="AV7" s="872"/>
      <c r="AW7" s="872"/>
      <c r="AX7" s="872"/>
      <c r="AY7" s="872"/>
      <c r="AZ7" s="872"/>
      <c r="BA7" s="872"/>
      <c r="BB7" s="872"/>
      <c r="BC7" s="872"/>
      <c r="BD7" s="872"/>
      <c r="BE7" s="872"/>
      <c r="BF7" s="872"/>
      <c r="BG7" s="872"/>
      <c r="BH7" s="872"/>
      <c r="BI7" s="872"/>
      <c r="BJ7" s="872"/>
      <c r="BK7" s="872"/>
      <c r="BL7" s="872"/>
      <c r="BM7" s="872"/>
      <c r="BN7" s="872"/>
      <c r="BO7" s="872"/>
      <c r="BP7" s="875"/>
      <c r="BQ7" s="872"/>
      <c r="BR7" s="872"/>
      <c r="BS7" s="872"/>
      <c r="BU7" s="872"/>
      <c r="BV7" s="872"/>
      <c r="BW7" s="872"/>
      <c r="BX7" s="872"/>
      <c r="BY7" s="872"/>
      <c r="BZ7" s="872"/>
      <c r="CA7" s="872"/>
      <c r="CB7" s="872"/>
      <c r="CC7" s="872"/>
      <c r="CD7" s="872"/>
      <c r="CE7" s="872"/>
      <c r="CF7" s="877"/>
      <c r="CG7" s="872"/>
      <c r="CH7" s="872"/>
      <c r="CI7" s="872"/>
      <c r="CJ7" s="872"/>
      <c r="CK7" s="872"/>
      <c r="CL7" s="872"/>
      <c r="CM7" s="872"/>
      <c r="CN7" s="872"/>
      <c r="CO7" s="872"/>
      <c r="CP7" s="872"/>
      <c r="CQ7" s="872"/>
      <c r="CR7" s="872"/>
      <c r="CS7" s="872"/>
      <c r="CT7" s="872"/>
      <c r="CU7" s="872"/>
      <c r="CV7" s="872"/>
      <c r="CX7" s="872"/>
      <c r="CY7" s="872"/>
      <c r="CZ7" s="872"/>
      <c r="DB7" s="1092" t="s">
        <v>1216</v>
      </c>
      <c r="DC7" s="1093"/>
      <c r="DD7" s="1093"/>
      <c r="DE7" s="1093"/>
      <c r="DF7" s="1093"/>
      <c r="DG7" s="1093"/>
      <c r="DH7" s="1093"/>
      <c r="DI7" s="1093"/>
      <c r="DJ7" s="1093"/>
      <c r="DK7" s="1093"/>
      <c r="DL7" s="1093"/>
      <c r="DM7" s="1093"/>
      <c r="DN7" s="1093"/>
      <c r="DO7" s="1093"/>
      <c r="DP7" s="1094"/>
      <c r="DQ7" s="1083" t="s">
        <v>1217</v>
      </c>
      <c r="DR7" s="1083"/>
      <c r="DS7" s="1083"/>
      <c r="DT7" s="1083"/>
      <c r="DV7" s="884" t="s">
        <v>1216</v>
      </c>
      <c r="DW7" s="885"/>
      <c r="DX7" s="885"/>
      <c r="DY7" s="885"/>
      <c r="DZ7" s="885"/>
      <c r="EA7" s="885"/>
      <c r="EB7" s="885"/>
      <c r="EC7" s="885"/>
      <c r="ED7" s="885"/>
      <c r="EE7" s="885"/>
      <c r="EF7" s="885"/>
      <c r="EG7" s="885"/>
      <c r="EH7" s="885"/>
      <c r="EI7" s="885"/>
      <c r="EJ7" s="885"/>
      <c r="EK7" s="885"/>
      <c r="EL7" s="885"/>
      <c r="EM7" s="885"/>
      <c r="EN7" s="885"/>
      <c r="EO7" s="885"/>
      <c r="EP7" s="886"/>
      <c r="EQ7" s="887"/>
      <c r="ER7" s="887"/>
      <c r="ES7" s="887"/>
      <c r="ET7" s="887"/>
      <c r="EV7" s="1083" t="s">
        <v>1217</v>
      </c>
      <c r="EW7" s="1083"/>
      <c r="EX7" s="1083"/>
      <c r="EY7" s="1083"/>
    </row>
    <row r="8" spans="1:155" ht="63.75" customHeight="1" x14ac:dyDescent="0.25">
      <c r="A8" s="1084" t="s">
        <v>387</v>
      </c>
      <c r="B8" s="1084" t="s">
        <v>388</v>
      </c>
      <c r="C8" s="1085" t="s">
        <v>1218</v>
      </c>
      <c r="D8" s="1086" t="s">
        <v>1219</v>
      </c>
      <c r="E8" s="1086"/>
      <c r="F8" s="1086"/>
      <c r="G8" s="1086"/>
      <c r="H8" s="1086"/>
      <c r="I8" s="1086"/>
      <c r="J8" s="1086"/>
      <c r="K8" s="1086"/>
      <c r="L8" s="1086"/>
      <c r="M8" s="1086"/>
      <c r="N8" s="1086"/>
      <c r="O8" s="1086"/>
      <c r="P8" s="1086"/>
      <c r="Q8" s="1086"/>
      <c r="R8" s="1086"/>
      <c r="S8" s="1086"/>
      <c r="T8" s="1086"/>
      <c r="U8" s="1086"/>
      <c r="V8" s="1086"/>
      <c r="W8" s="1086"/>
      <c r="X8" s="1086"/>
      <c r="Y8" s="1086"/>
      <c r="Z8" s="1086"/>
      <c r="AA8" s="1086"/>
      <c r="AB8" s="1086"/>
      <c r="AC8" s="1086"/>
      <c r="AD8" s="1086"/>
      <c r="AE8" s="1086"/>
      <c r="AF8" s="1086"/>
      <c r="AG8" s="1086"/>
      <c r="AH8" s="1086"/>
      <c r="AI8" s="1086"/>
      <c r="AJ8" s="1086"/>
      <c r="AK8" s="1086"/>
      <c r="AL8" s="1086"/>
      <c r="AM8" s="1086"/>
      <c r="AN8" s="1086"/>
      <c r="AO8" s="1086"/>
      <c r="AP8" s="1086"/>
      <c r="AQ8" s="1086"/>
      <c r="AR8" s="1086"/>
      <c r="AS8" s="1086"/>
      <c r="AT8" s="1086"/>
      <c r="AU8" s="1086"/>
      <c r="AV8" s="1086"/>
      <c r="AW8" s="1086"/>
      <c r="AX8" s="1086"/>
      <c r="AY8" s="1086"/>
      <c r="AZ8" s="1086"/>
      <c r="BA8" s="1086"/>
      <c r="BB8" s="1086"/>
      <c r="BC8" s="1086"/>
      <c r="BD8" s="1086"/>
      <c r="BE8" s="1086"/>
      <c r="BF8" s="1086"/>
      <c r="BG8" s="1086"/>
      <c r="BH8" s="1086"/>
      <c r="BI8" s="1086"/>
      <c r="BJ8" s="1086"/>
      <c r="BK8" s="1087" t="s">
        <v>1220</v>
      </c>
      <c r="BL8" s="1088"/>
      <c r="BM8" s="1089"/>
      <c r="BN8" s="1073" t="s">
        <v>1221</v>
      </c>
      <c r="BO8" s="1074"/>
      <c r="BP8" s="1075"/>
      <c r="BQ8" s="1073" t="s">
        <v>1222</v>
      </c>
      <c r="BR8" s="1074"/>
      <c r="BS8" s="1075"/>
      <c r="BU8" s="1090" t="s">
        <v>1223</v>
      </c>
      <c r="BV8" s="1091"/>
      <c r="BW8" s="1091"/>
      <c r="BX8" s="1091"/>
      <c r="BY8" s="1091"/>
      <c r="BZ8" s="1091"/>
      <c r="CA8" s="1091"/>
      <c r="CB8" s="1091"/>
      <c r="CC8" s="1091"/>
      <c r="CD8" s="1091"/>
      <c r="CE8" s="1091"/>
      <c r="CF8" s="1091"/>
      <c r="CG8" s="1095" t="s">
        <v>1224</v>
      </c>
      <c r="CH8" s="1096"/>
      <c r="CI8" s="1097"/>
      <c r="CJ8" s="1098" t="s">
        <v>1225</v>
      </c>
      <c r="CK8" s="1099"/>
      <c r="CL8" s="1100"/>
      <c r="CM8" s="1073" t="s">
        <v>1226</v>
      </c>
      <c r="CN8" s="1074"/>
      <c r="CO8" s="1075"/>
      <c r="CP8" s="1101" t="s">
        <v>1227</v>
      </c>
      <c r="CQ8" s="1102"/>
      <c r="CR8" s="1103"/>
      <c r="CS8" s="1104" t="s">
        <v>1228</v>
      </c>
      <c r="CT8" s="1105"/>
      <c r="CU8" s="1105"/>
      <c r="CV8" s="1106"/>
      <c r="CX8" s="1073" t="s">
        <v>1229</v>
      </c>
      <c r="CY8" s="1074"/>
      <c r="CZ8" s="1075"/>
      <c r="DB8" s="1077" t="s">
        <v>1230</v>
      </c>
      <c r="DC8" s="1078"/>
      <c r="DD8" s="1079"/>
      <c r="DE8" s="1077" t="s">
        <v>1231</v>
      </c>
      <c r="DF8" s="1078"/>
      <c r="DG8" s="1079"/>
      <c r="DH8" s="1077" t="s">
        <v>1232</v>
      </c>
      <c r="DI8" s="1078"/>
      <c r="DJ8" s="1079"/>
      <c r="DK8" s="1077" t="s">
        <v>1233</v>
      </c>
      <c r="DL8" s="1078"/>
      <c r="DM8" s="1079"/>
      <c r="DN8" s="1080" t="s">
        <v>1234</v>
      </c>
      <c r="DO8" s="1081"/>
      <c r="DP8" s="1082"/>
      <c r="DQ8" s="1076" t="s">
        <v>1235</v>
      </c>
      <c r="DR8" s="1076"/>
      <c r="DS8" s="1076"/>
      <c r="DT8" s="1076"/>
      <c r="DV8" s="1077" t="s">
        <v>1230</v>
      </c>
      <c r="DW8" s="1078"/>
      <c r="DX8" s="1078"/>
      <c r="DY8" s="1078"/>
      <c r="DZ8" s="1079"/>
      <c r="EA8" s="1077" t="s">
        <v>1231</v>
      </c>
      <c r="EB8" s="1078"/>
      <c r="EC8" s="1078"/>
      <c r="ED8" s="1078"/>
      <c r="EE8" s="1079"/>
      <c r="EF8" s="1077" t="s">
        <v>1232</v>
      </c>
      <c r="EG8" s="1078"/>
      <c r="EH8" s="1078"/>
      <c r="EI8" s="1078"/>
      <c r="EJ8" s="1079"/>
      <c r="EK8" s="1077" t="s">
        <v>1233</v>
      </c>
      <c r="EL8" s="1078"/>
      <c r="EM8" s="1078"/>
      <c r="EN8" s="1078"/>
      <c r="EO8" s="1079"/>
      <c r="EP8" s="1080" t="s">
        <v>1234</v>
      </c>
      <c r="EQ8" s="1081"/>
      <c r="ER8" s="1081"/>
      <c r="ES8" s="1081"/>
      <c r="ET8" s="1081"/>
      <c r="EV8" s="1076" t="s">
        <v>1235</v>
      </c>
      <c r="EW8" s="1076"/>
      <c r="EX8" s="1076"/>
      <c r="EY8" s="1076"/>
    </row>
    <row r="9" spans="1:155" ht="90" customHeight="1" x14ac:dyDescent="0.25">
      <c r="A9" s="1084"/>
      <c r="B9" s="1084"/>
      <c r="C9" s="1085"/>
      <c r="D9" s="888" t="s">
        <v>1236</v>
      </c>
      <c r="E9" s="888" t="s">
        <v>1237</v>
      </c>
      <c r="F9" s="888" t="s">
        <v>1238</v>
      </c>
      <c r="G9" s="888" t="s">
        <v>1239</v>
      </c>
      <c r="H9" s="888" t="s">
        <v>1240</v>
      </c>
      <c r="I9" s="889" t="s">
        <v>491</v>
      </c>
      <c r="J9" s="890" t="s">
        <v>699</v>
      </c>
      <c r="K9" s="889" t="s">
        <v>389</v>
      </c>
      <c r="L9" s="889" t="s">
        <v>1241</v>
      </c>
      <c r="M9" s="891" t="s">
        <v>699</v>
      </c>
      <c r="N9" s="889" t="s">
        <v>357</v>
      </c>
      <c r="O9" s="889" t="s">
        <v>1242</v>
      </c>
      <c r="P9" s="891" t="s">
        <v>699</v>
      </c>
      <c r="Q9" s="987" t="s">
        <v>492</v>
      </c>
      <c r="R9" s="889" t="s">
        <v>1243</v>
      </c>
      <c r="S9" s="891" t="s">
        <v>699</v>
      </c>
      <c r="T9" s="889" t="s">
        <v>1244</v>
      </c>
      <c r="U9" s="889" t="s">
        <v>1245</v>
      </c>
      <c r="V9" s="891" t="s">
        <v>699</v>
      </c>
      <c r="W9" s="889" t="s">
        <v>1246</v>
      </c>
      <c r="X9" s="889" t="s">
        <v>1247</v>
      </c>
      <c r="Y9" s="891" t="s">
        <v>699</v>
      </c>
      <c r="Z9" s="889" t="s">
        <v>1248</v>
      </c>
      <c r="AA9" s="889" t="s">
        <v>1249</v>
      </c>
      <c r="AB9" s="891" t="s">
        <v>699</v>
      </c>
      <c r="AC9" s="889" t="s">
        <v>390</v>
      </c>
      <c r="AD9" s="889" t="s">
        <v>1250</v>
      </c>
      <c r="AE9" s="891" t="s">
        <v>699</v>
      </c>
      <c r="AF9" s="889" t="s">
        <v>391</v>
      </c>
      <c r="AG9" s="889" t="s">
        <v>1251</v>
      </c>
      <c r="AH9" s="891" t="s">
        <v>699</v>
      </c>
      <c r="AI9" s="889" t="s">
        <v>392</v>
      </c>
      <c r="AJ9" s="889" t="s">
        <v>1252</v>
      </c>
      <c r="AK9" s="891" t="s">
        <v>699</v>
      </c>
      <c r="AL9" s="889" t="s">
        <v>393</v>
      </c>
      <c r="AM9" s="889" t="s">
        <v>1253</v>
      </c>
      <c r="AN9" s="889" t="s">
        <v>1254</v>
      </c>
      <c r="AO9" s="889" t="s">
        <v>1255</v>
      </c>
      <c r="AP9" s="889" t="s">
        <v>1256</v>
      </c>
      <c r="AQ9" s="888" t="s">
        <v>1257</v>
      </c>
      <c r="AR9" s="892" t="s">
        <v>394</v>
      </c>
      <c r="AS9" s="892" t="s">
        <v>395</v>
      </c>
      <c r="AT9" s="893" t="s">
        <v>396</v>
      </c>
      <c r="AU9" s="888" t="s">
        <v>1258</v>
      </c>
      <c r="AV9" s="888" t="s">
        <v>1259</v>
      </c>
      <c r="AW9" s="893" t="s">
        <v>396</v>
      </c>
      <c r="AX9" s="893" t="s">
        <v>397</v>
      </c>
      <c r="AY9" s="893" t="s">
        <v>700</v>
      </c>
      <c r="AZ9" s="893" t="s">
        <v>1260</v>
      </c>
      <c r="BA9" s="893" t="s">
        <v>1261</v>
      </c>
      <c r="BB9" s="893" t="s">
        <v>1262</v>
      </c>
      <c r="BC9" s="894" t="s">
        <v>1263</v>
      </c>
      <c r="BD9" s="893" t="s">
        <v>1264</v>
      </c>
      <c r="BE9" s="893" t="s">
        <v>1265</v>
      </c>
      <c r="BF9" s="893" t="s">
        <v>1266</v>
      </c>
      <c r="BG9" s="894" t="s">
        <v>686</v>
      </c>
      <c r="BH9" s="893" t="s">
        <v>1267</v>
      </c>
      <c r="BI9" s="893" t="s">
        <v>1268</v>
      </c>
      <c r="BJ9" s="893" t="s">
        <v>1269</v>
      </c>
      <c r="BK9" s="892" t="s">
        <v>1270</v>
      </c>
      <c r="BL9" s="892" t="s">
        <v>1271</v>
      </c>
      <c r="BM9" s="892" t="s">
        <v>1272</v>
      </c>
      <c r="BN9" s="893">
        <v>211</v>
      </c>
      <c r="BO9" s="893">
        <v>213</v>
      </c>
      <c r="BP9" s="893" t="s">
        <v>1273</v>
      </c>
      <c r="BQ9" s="893" t="s">
        <v>1274</v>
      </c>
      <c r="BR9" s="893" t="s">
        <v>1275</v>
      </c>
      <c r="BS9" s="893" t="s">
        <v>1273</v>
      </c>
      <c r="BU9" s="889" t="s">
        <v>1276</v>
      </c>
      <c r="BV9" s="889" t="s">
        <v>1277</v>
      </c>
      <c r="BW9" s="889" t="s">
        <v>1278</v>
      </c>
      <c r="BX9" s="889" t="s">
        <v>1279</v>
      </c>
      <c r="BY9" s="889" t="s">
        <v>1280</v>
      </c>
      <c r="BZ9" s="889" t="s">
        <v>1281</v>
      </c>
      <c r="CA9" s="889" t="s">
        <v>1282</v>
      </c>
      <c r="CB9" s="889" t="s">
        <v>1283</v>
      </c>
      <c r="CC9" s="889" t="s">
        <v>1284</v>
      </c>
      <c r="CD9" s="889" t="s">
        <v>1285</v>
      </c>
      <c r="CE9" s="889" t="s">
        <v>1286</v>
      </c>
      <c r="CF9" s="895" t="s">
        <v>1287</v>
      </c>
      <c r="CG9" s="896" t="s">
        <v>1288</v>
      </c>
      <c r="CH9" s="896" t="s">
        <v>1289</v>
      </c>
      <c r="CI9" s="896" t="s">
        <v>1290</v>
      </c>
      <c r="CJ9" s="893" t="s">
        <v>1274</v>
      </c>
      <c r="CK9" s="893" t="s">
        <v>1275</v>
      </c>
      <c r="CL9" s="893" t="s">
        <v>1273</v>
      </c>
      <c r="CM9" s="893" t="s">
        <v>1274</v>
      </c>
      <c r="CN9" s="893" t="s">
        <v>1275</v>
      </c>
      <c r="CO9" s="893" t="s">
        <v>1273</v>
      </c>
      <c r="CP9" s="893" t="s">
        <v>1274</v>
      </c>
      <c r="CQ9" s="893" t="s">
        <v>1275</v>
      </c>
      <c r="CR9" s="893" t="s">
        <v>1273</v>
      </c>
      <c r="CS9" s="889" t="s">
        <v>1283</v>
      </c>
      <c r="CT9" s="889" t="s">
        <v>1288</v>
      </c>
      <c r="CU9" s="889" t="s">
        <v>1291</v>
      </c>
      <c r="CV9" s="889" t="s">
        <v>1290</v>
      </c>
      <c r="CX9" s="893" t="s">
        <v>1274</v>
      </c>
      <c r="CY9" s="893" t="s">
        <v>1275</v>
      </c>
      <c r="CZ9" s="893" t="s">
        <v>1273</v>
      </c>
      <c r="DB9" s="893" t="s">
        <v>1274</v>
      </c>
      <c r="DC9" s="893" t="s">
        <v>1275</v>
      </c>
      <c r="DD9" s="893" t="s">
        <v>1273</v>
      </c>
      <c r="DE9" s="893" t="s">
        <v>1274</v>
      </c>
      <c r="DF9" s="893" t="s">
        <v>1275</v>
      </c>
      <c r="DG9" s="893" t="s">
        <v>1273</v>
      </c>
      <c r="DH9" s="893" t="s">
        <v>1274</v>
      </c>
      <c r="DI9" s="893" t="s">
        <v>1275</v>
      </c>
      <c r="DJ9" s="893" t="s">
        <v>1273</v>
      </c>
      <c r="DK9" s="893" t="s">
        <v>1274</v>
      </c>
      <c r="DL9" s="893" t="s">
        <v>1275</v>
      </c>
      <c r="DM9" s="893" t="s">
        <v>1273</v>
      </c>
      <c r="DN9" s="893" t="s">
        <v>1274</v>
      </c>
      <c r="DO9" s="893" t="s">
        <v>1275</v>
      </c>
      <c r="DP9" s="893" t="s">
        <v>1273</v>
      </c>
      <c r="DQ9" s="894" t="s">
        <v>1292</v>
      </c>
      <c r="DR9" s="893" t="s">
        <v>1274</v>
      </c>
      <c r="DS9" s="893" t="s">
        <v>1275</v>
      </c>
      <c r="DT9" s="893" t="s">
        <v>1273</v>
      </c>
      <c r="DV9" s="893" t="s">
        <v>285</v>
      </c>
      <c r="DW9" s="893" t="s">
        <v>1273</v>
      </c>
      <c r="DX9" s="893">
        <v>211</v>
      </c>
      <c r="DY9" s="893">
        <v>213</v>
      </c>
      <c r="DZ9" s="893" t="s">
        <v>1293</v>
      </c>
      <c r="EA9" s="893" t="s">
        <v>285</v>
      </c>
      <c r="EB9" s="893" t="s">
        <v>1273</v>
      </c>
      <c r="EC9" s="893">
        <v>211</v>
      </c>
      <c r="ED9" s="893">
        <v>213</v>
      </c>
      <c r="EE9" s="893" t="s">
        <v>1293</v>
      </c>
      <c r="EF9" s="893" t="s">
        <v>285</v>
      </c>
      <c r="EG9" s="893" t="s">
        <v>1273</v>
      </c>
      <c r="EH9" s="893">
        <v>211</v>
      </c>
      <c r="EI9" s="893">
        <v>213</v>
      </c>
      <c r="EJ9" s="893" t="s">
        <v>1293</v>
      </c>
      <c r="EK9" s="893" t="s">
        <v>285</v>
      </c>
      <c r="EL9" s="893" t="s">
        <v>1273</v>
      </c>
      <c r="EM9" s="893">
        <v>211</v>
      </c>
      <c r="EN9" s="893">
        <v>213</v>
      </c>
      <c r="EO9" s="893" t="s">
        <v>1293</v>
      </c>
      <c r="EP9" s="893" t="s">
        <v>285</v>
      </c>
      <c r="EQ9" s="893" t="s">
        <v>1273</v>
      </c>
      <c r="ER9" s="893">
        <v>211</v>
      </c>
      <c r="ES9" s="893">
        <v>213</v>
      </c>
      <c r="ET9" s="893" t="s">
        <v>1293</v>
      </c>
      <c r="EV9" s="894" t="s">
        <v>1292</v>
      </c>
      <c r="EW9" s="893" t="s">
        <v>1274</v>
      </c>
      <c r="EX9" s="893" t="s">
        <v>1275</v>
      </c>
      <c r="EY9" s="893" t="s">
        <v>1273</v>
      </c>
    </row>
    <row r="10" spans="1:155" ht="41.25" customHeight="1" thickBot="1" x14ac:dyDescent="0.3">
      <c r="A10" s="897">
        <v>1</v>
      </c>
      <c r="B10" s="897">
        <v>2</v>
      </c>
      <c r="C10" s="898">
        <v>3</v>
      </c>
      <c r="D10" s="898" t="s">
        <v>1294</v>
      </c>
      <c r="E10" s="899" t="s">
        <v>1295</v>
      </c>
      <c r="F10" s="900" t="s">
        <v>1296</v>
      </c>
      <c r="G10" s="900" t="s">
        <v>1297</v>
      </c>
      <c r="H10" s="900" t="s">
        <v>1298</v>
      </c>
      <c r="I10" s="900" t="s">
        <v>1299</v>
      </c>
      <c r="J10" s="901" t="s">
        <v>1300</v>
      </c>
      <c r="K10" s="902">
        <v>11</v>
      </c>
      <c r="L10" s="900" t="s">
        <v>1301</v>
      </c>
      <c r="M10" s="901" t="s">
        <v>1302</v>
      </c>
      <c r="N10" s="902">
        <v>14</v>
      </c>
      <c r="O10" s="900" t="s">
        <v>1303</v>
      </c>
      <c r="P10" s="901" t="s">
        <v>1304</v>
      </c>
      <c r="Q10" s="902">
        <v>17</v>
      </c>
      <c r="R10" s="900" t="s">
        <v>1305</v>
      </c>
      <c r="S10" s="901" t="s">
        <v>1306</v>
      </c>
      <c r="T10" s="902">
        <v>20</v>
      </c>
      <c r="U10" s="900" t="s">
        <v>1307</v>
      </c>
      <c r="V10" s="901" t="s">
        <v>1308</v>
      </c>
      <c r="W10" s="902" t="s">
        <v>1309</v>
      </c>
      <c r="X10" s="900" t="s">
        <v>1310</v>
      </c>
      <c r="Y10" s="901" t="s">
        <v>1311</v>
      </c>
      <c r="Z10" s="902">
        <v>26</v>
      </c>
      <c r="AA10" s="900" t="s">
        <v>1312</v>
      </c>
      <c r="AB10" s="901" t="s">
        <v>1313</v>
      </c>
      <c r="AC10" s="902">
        <v>29</v>
      </c>
      <c r="AD10" s="900" t="s">
        <v>1314</v>
      </c>
      <c r="AE10" s="901" t="s">
        <v>1315</v>
      </c>
      <c r="AF10" s="902">
        <v>32</v>
      </c>
      <c r="AG10" s="900" t="s">
        <v>1316</v>
      </c>
      <c r="AH10" s="901" t="s">
        <v>1317</v>
      </c>
      <c r="AI10" s="902">
        <v>35</v>
      </c>
      <c r="AJ10" s="900" t="s">
        <v>1318</v>
      </c>
      <c r="AK10" s="901" t="s">
        <v>1319</v>
      </c>
      <c r="AL10" s="902">
        <v>38</v>
      </c>
      <c r="AM10" s="900" t="s">
        <v>1320</v>
      </c>
      <c r="AN10" s="902" t="s">
        <v>1321</v>
      </c>
      <c r="AO10" s="902" t="s">
        <v>1322</v>
      </c>
      <c r="AP10" s="902" t="s">
        <v>1323</v>
      </c>
      <c r="AQ10" s="900" t="s">
        <v>1324</v>
      </c>
      <c r="AR10" s="902" t="s">
        <v>1325</v>
      </c>
      <c r="AS10" s="902">
        <v>43</v>
      </c>
      <c r="AT10" s="902" t="s">
        <v>1326</v>
      </c>
      <c r="AU10" s="900" t="s">
        <v>1327</v>
      </c>
      <c r="AV10" s="900" t="s">
        <v>1328</v>
      </c>
      <c r="AW10" s="902" t="s">
        <v>1329</v>
      </c>
      <c r="AX10" s="902" t="s">
        <v>1330</v>
      </c>
      <c r="AY10" s="902" t="s">
        <v>1331</v>
      </c>
      <c r="AZ10" s="902" t="s">
        <v>1332</v>
      </c>
      <c r="BA10" s="902" t="s">
        <v>1333</v>
      </c>
      <c r="BB10" s="902" t="s">
        <v>1334</v>
      </c>
      <c r="BC10" s="900">
        <v>53</v>
      </c>
      <c r="BD10" s="902" t="s">
        <v>1335</v>
      </c>
      <c r="BE10" s="902" t="s">
        <v>1336</v>
      </c>
      <c r="BF10" s="902" t="s">
        <v>1337</v>
      </c>
      <c r="BG10" s="900">
        <v>57</v>
      </c>
      <c r="BH10" s="902" t="s">
        <v>1338</v>
      </c>
      <c r="BI10" s="902" t="s">
        <v>1339</v>
      </c>
      <c r="BJ10" s="902" t="s">
        <v>1340</v>
      </c>
      <c r="BK10" s="902" t="s">
        <v>1341</v>
      </c>
      <c r="BL10" s="902" t="s">
        <v>1342</v>
      </c>
      <c r="BM10" s="902" t="s">
        <v>1343</v>
      </c>
      <c r="BN10" s="902" t="s">
        <v>1344</v>
      </c>
      <c r="BO10" s="902" t="s">
        <v>1345</v>
      </c>
      <c r="BP10" s="902">
        <v>66</v>
      </c>
      <c r="BQ10" s="902" t="s">
        <v>1346</v>
      </c>
      <c r="BR10" s="902" t="s">
        <v>1347</v>
      </c>
      <c r="BS10" s="902" t="s">
        <v>1348</v>
      </c>
      <c r="BU10" s="902" t="s">
        <v>1349</v>
      </c>
      <c r="BV10" s="902" t="s">
        <v>1350</v>
      </c>
      <c r="BW10" s="902" t="s">
        <v>1351</v>
      </c>
      <c r="BX10" s="902" t="s">
        <v>1352</v>
      </c>
      <c r="BY10" s="902" t="s">
        <v>1353</v>
      </c>
      <c r="BZ10" s="902" t="s">
        <v>1354</v>
      </c>
      <c r="CA10" s="902" t="s">
        <v>1355</v>
      </c>
      <c r="CB10" s="902" t="s">
        <v>1356</v>
      </c>
      <c r="CC10" s="902" t="s">
        <v>1357</v>
      </c>
      <c r="CD10" s="902" t="s">
        <v>1358</v>
      </c>
      <c r="CE10" s="902" t="s">
        <v>1359</v>
      </c>
      <c r="CF10" s="903"/>
      <c r="CG10" s="902" t="s">
        <v>1360</v>
      </c>
      <c r="CH10" s="902" t="s">
        <v>1361</v>
      </c>
      <c r="CI10" s="902" t="s">
        <v>1362</v>
      </c>
      <c r="CJ10" s="902" t="s">
        <v>1363</v>
      </c>
      <c r="CK10" s="902" t="s">
        <v>1364</v>
      </c>
      <c r="CL10" s="902" t="s">
        <v>1365</v>
      </c>
      <c r="CM10" s="902">
        <v>87</v>
      </c>
      <c r="CN10" s="902" t="s">
        <v>1366</v>
      </c>
      <c r="CO10" s="902" t="s">
        <v>1367</v>
      </c>
      <c r="CP10" s="902" t="s">
        <v>1368</v>
      </c>
      <c r="CQ10" s="902" t="s">
        <v>1369</v>
      </c>
      <c r="CR10" s="902" t="s">
        <v>1370</v>
      </c>
      <c r="CS10" s="902">
        <v>93</v>
      </c>
      <c r="CT10" s="902" t="s">
        <v>1371</v>
      </c>
      <c r="CU10" s="902" t="s">
        <v>1372</v>
      </c>
      <c r="CV10" s="902" t="s">
        <v>1373</v>
      </c>
      <c r="CX10" s="902" t="s">
        <v>1374</v>
      </c>
      <c r="CY10" s="902" t="s">
        <v>1375</v>
      </c>
      <c r="CZ10" s="902" t="s">
        <v>1376</v>
      </c>
      <c r="DB10" s="902"/>
      <c r="DC10" s="902"/>
      <c r="DD10" s="902"/>
      <c r="DE10" s="902"/>
      <c r="DF10" s="902"/>
      <c r="DG10" s="902"/>
      <c r="DH10" s="902"/>
      <c r="DI10" s="902"/>
      <c r="DJ10" s="902"/>
      <c r="DK10" s="902"/>
      <c r="DL10" s="902"/>
      <c r="DM10" s="902"/>
      <c r="DN10" s="902"/>
      <c r="DO10" s="902"/>
      <c r="DP10" s="902"/>
      <c r="DQ10" s="900"/>
      <c r="DR10" s="902"/>
      <c r="DS10" s="902"/>
      <c r="DT10" s="902"/>
      <c r="DV10" s="902"/>
      <c r="DW10" s="902"/>
      <c r="DX10" s="902"/>
      <c r="DY10" s="902"/>
      <c r="DZ10" s="902"/>
      <c r="EA10" s="902"/>
      <c r="EB10" s="902"/>
      <c r="EC10" s="902"/>
      <c r="ED10" s="902"/>
      <c r="EE10" s="902"/>
      <c r="EF10" s="902"/>
      <c r="EG10" s="902"/>
      <c r="EH10" s="902"/>
      <c r="EI10" s="902"/>
      <c r="EJ10" s="902"/>
      <c r="EK10" s="902"/>
      <c r="EL10" s="902"/>
      <c r="EM10" s="902"/>
      <c r="EN10" s="902"/>
      <c r="EO10" s="902"/>
      <c r="EP10" s="902"/>
      <c r="EQ10" s="902"/>
      <c r="ER10" s="902"/>
      <c r="ES10" s="902"/>
      <c r="ET10" s="902"/>
      <c r="EV10" s="900"/>
      <c r="EW10" s="902"/>
      <c r="EX10" s="902"/>
      <c r="EY10" s="902"/>
    </row>
    <row r="11" spans="1:155" x14ac:dyDescent="0.25">
      <c r="A11" s="904"/>
      <c r="B11" s="905" t="s">
        <v>1377</v>
      </c>
      <c r="C11" s="906"/>
      <c r="D11" s="906"/>
      <c r="E11" s="907">
        <v>1.0549999999999999</v>
      </c>
      <c r="F11" s="906"/>
      <c r="G11" s="907">
        <f>4/100/12*3+1</f>
        <v>1.01</v>
      </c>
      <c r="H11" s="906"/>
      <c r="I11" s="906"/>
      <c r="J11" s="908"/>
      <c r="K11" s="904"/>
      <c r="L11" s="906"/>
      <c r="M11" s="908"/>
      <c r="N11" s="904"/>
      <c r="O11" s="906"/>
      <c r="P11" s="908"/>
      <c r="Q11" s="904"/>
      <c r="R11" s="906"/>
      <c r="S11" s="908"/>
      <c r="T11" s="904"/>
      <c r="U11" s="906"/>
      <c r="V11" s="908"/>
      <c r="W11" s="904"/>
      <c r="X11" s="906"/>
      <c r="Y11" s="908"/>
      <c r="Z11" s="904"/>
      <c r="AA11" s="906"/>
      <c r="AB11" s="908"/>
      <c r="AC11" s="904"/>
      <c r="AD11" s="906"/>
      <c r="AE11" s="908"/>
      <c r="AF11" s="904"/>
      <c r="AG11" s="906"/>
      <c r="AH11" s="908"/>
      <c r="AI11" s="904"/>
      <c r="AJ11" s="906"/>
      <c r="AK11" s="908"/>
      <c r="AL11" s="904"/>
      <c r="AM11" s="906"/>
      <c r="AN11" s="909">
        <v>19242</v>
      </c>
      <c r="AO11" s="904"/>
      <c r="AP11" s="909">
        <v>1060.29</v>
      </c>
      <c r="AQ11" s="906"/>
      <c r="AR11" s="904"/>
      <c r="AS11" s="904"/>
      <c r="AT11" s="904"/>
      <c r="AU11" s="906"/>
      <c r="AV11" s="906"/>
      <c r="AW11" s="904"/>
      <c r="AX11" s="904"/>
      <c r="AY11" s="904"/>
      <c r="AZ11" s="904"/>
      <c r="BA11" s="904"/>
      <c r="BB11" s="904"/>
      <c r="BC11" s="907">
        <v>0.95</v>
      </c>
      <c r="BD11" s="904"/>
      <c r="BE11" s="904"/>
      <c r="BF11" s="904"/>
      <c r="BG11" s="910">
        <f>'[3]свод (2024)'!$B$116</f>
        <v>0.99758349999999996</v>
      </c>
      <c r="BH11" s="904"/>
      <c r="BI11" s="904"/>
      <c r="BJ11" s="904"/>
      <c r="BK11" s="904"/>
      <c r="BL11" s="904"/>
      <c r="BM11" s="904"/>
      <c r="BN11" s="904"/>
      <c r="BO11" s="904"/>
      <c r="BP11" s="904"/>
      <c r="BQ11" s="904"/>
      <c r="BR11" s="904"/>
      <c r="BS11" s="904"/>
      <c r="BU11" s="904"/>
      <c r="BV11" s="904"/>
      <c r="BW11" s="904"/>
      <c r="BX11" s="904"/>
      <c r="BY11" s="904"/>
      <c r="BZ11" s="904"/>
      <c r="CA11" s="904"/>
      <c r="CB11" s="904"/>
      <c r="CC11" s="904"/>
      <c r="CD11" s="904"/>
      <c r="CE11" s="904"/>
      <c r="CF11" s="911"/>
      <c r="CG11" s="904"/>
      <c r="CH11" s="904"/>
      <c r="CI11" s="904"/>
      <c r="CJ11" s="904"/>
      <c r="CK11" s="904"/>
      <c r="CL11" s="904"/>
      <c r="CM11" s="904"/>
      <c r="CN11" s="904"/>
      <c r="CO11" s="904"/>
      <c r="CP11" s="904"/>
      <c r="CQ11" s="904"/>
      <c r="CR11" s="904"/>
      <c r="CS11" s="904"/>
      <c r="CT11" s="904"/>
      <c r="CU11" s="904"/>
      <c r="CV11" s="904"/>
      <c r="CX11" s="904"/>
      <c r="CY11" s="904"/>
      <c r="CZ11" s="904"/>
      <c r="DB11" s="904"/>
      <c r="DC11" s="904"/>
      <c r="DD11" s="904"/>
      <c r="DE11" s="904"/>
      <c r="DF11" s="904"/>
      <c r="DG11" s="904"/>
      <c r="DH11" s="904"/>
      <c r="DI11" s="904"/>
      <c r="DJ11" s="904"/>
      <c r="DK11" s="904"/>
      <c r="DL11" s="904"/>
      <c r="DM11" s="904"/>
      <c r="DN11" s="904"/>
      <c r="DO11" s="904"/>
      <c r="DP11" s="904"/>
      <c r="DQ11" s="910"/>
      <c r="DR11" s="904"/>
      <c r="DS11" s="904"/>
      <c r="DT11" s="904"/>
      <c r="DV11" s="904"/>
      <c r="DW11" s="904"/>
      <c r="DX11" s="904"/>
      <c r="DY11" s="904"/>
      <c r="DZ11" s="904"/>
      <c r="EA11" s="904"/>
      <c r="EB11" s="904"/>
      <c r="EC11" s="904"/>
      <c r="ED11" s="904"/>
      <c r="EE11" s="904"/>
      <c r="EF11" s="904"/>
      <c r="EG11" s="904"/>
      <c r="EH11" s="904"/>
      <c r="EI11" s="904"/>
      <c r="EJ11" s="904"/>
      <c r="EK11" s="904"/>
      <c r="EL11" s="904"/>
      <c r="EM11" s="904"/>
      <c r="EN11" s="904"/>
      <c r="EO11" s="904"/>
      <c r="EP11" s="904"/>
      <c r="EQ11" s="904"/>
      <c r="ER11" s="904"/>
      <c r="ES11" s="904"/>
      <c r="ET11" s="904"/>
      <c r="EV11" s="910"/>
      <c r="EW11" s="904"/>
      <c r="EX11" s="904"/>
      <c r="EY11" s="904"/>
    </row>
    <row r="12" spans="1:155" s="927" customFormat="1" ht="15.75" x14ac:dyDescent="0.25">
      <c r="A12" s="912" t="s">
        <v>359</v>
      </c>
      <c r="B12" s="913" t="s">
        <v>1378</v>
      </c>
      <c r="C12" s="914">
        <v>1.5</v>
      </c>
      <c r="D12" s="914">
        <v>7388</v>
      </c>
      <c r="E12" s="915">
        <v>1.0549999999999999</v>
      </c>
      <c r="F12" s="916">
        <f>ROUNDUP(D12*E12,0)</f>
        <v>7795</v>
      </c>
      <c r="G12" s="915">
        <v>1.01</v>
      </c>
      <c r="H12" s="916">
        <f>ROUNDUP(F12*G12,0)</f>
        <v>7873</v>
      </c>
      <c r="I12" s="917">
        <f>ROUND(C12*H12,2)</f>
        <v>11809.5</v>
      </c>
      <c r="J12" s="918">
        <f>IF(K12&gt;0,(ROUND(K12/($C12*$D12),5)),0)</f>
        <v>0</v>
      </c>
      <c r="K12" s="919"/>
      <c r="L12" s="917">
        <f>ROUND($I12*J12,2)</f>
        <v>0</v>
      </c>
      <c r="M12" s="918">
        <f>IF(N12&gt;0,(ROUND(N12/($C12*$D12),5)),0)</f>
        <v>0</v>
      </c>
      <c r="N12" s="919"/>
      <c r="O12" s="917">
        <f>ROUND($I12*M12,2)</f>
        <v>0</v>
      </c>
      <c r="P12" s="918">
        <f>IF(Q12&gt;0,(ROUND(Q12/($C12*$D12),5)),0)</f>
        <v>0</v>
      </c>
      <c r="Q12" s="919"/>
      <c r="R12" s="917">
        <f>ROUND($I12*P12,2)</f>
        <v>0</v>
      </c>
      <c r="S12" s="918">
        <f>IF(T12&gt;0,(ROUND(T12/($C12*$D12),5)),0)</f>
        <v>0.15332999999999999</v>
      </c>
      <c r="T12" s="919">
        <v>1699.24</v>
      </c>
      <c r="U12" s="917">
        <f>ROUND($I12*S12,2)</f>
        <v>1810.75</v>
      </c>
      <c r="V12" s="918">
        <f>IF(W12&gt;0,(ROUND(W12/($C12*$D12),5)),0)</f>
        <v>0</v>
      </c>
      <c r="W12" s="919"/>
      <c r="X12" s="917">
        <f>ROUND($I12*V12,2)</f>
        <v>0</v>
      </c>
      <c r="Y12" s="918">
        <f>IF(Z12&gt;0,(ROUND(Z12/($C12*$D12),5)),0)</f>
        <v>1.32</v>
      </c>
      <c r="Z12" s="919">
        <v>14628.24</v>
      </c>
      <c r="AA12" s="917">
        <f>ROUND($I12*Y12,2)</f>
        <v>15588.54</v>
      </c>
      <c r="AB12" s="918">
        <f>IF(AC12&gt;0,(ROUND(AC12/($C12*$D12),5)),0)</f>
        <v>0.2</v>
      </c>
      <c r="AC12" s="919">
        <v>2216.4</v>
      </c>
      <c r="AD12" s="917">
        <f>ROUND($I12*AB12,2)</f>
        <v>2361.9</v>
      </c>
      <c r="AE12" s="918">
        <f>IF(AF12&gt;0,(ROUND(AF12/($C12*$D12),5)),0)</f>
        <v>0</v>
      </c>
      <c r="AF12" s="919"/>
      <c r="AG12" s="917">
        <f>ROUND($I12*AE12,2)</f>
        <v>0</v>
      </c>
      <c r="AH12" s="918">
        <f>IF(AI12&gt;0,(ROUND(AI12/($C12*$D12),5)),0)</f>
        <v>0</v>
      </c>
      <c r="AI12" s="919"/>
      <c r="AJ12" s="917">
        <f>ROUND($I12*AH12,2)</f>
        <v>0</v>
      </c>
      <c r="AK12" s="918">
        <f>IF(AL12&gt;0,(ROUND(AL12/($C12*$D12),5)),0)</f>
        <v>0</v>
      </c>
      <c r="AL12" s="919"/>
      <c r="AM12" s="917">
        <f>ROUND($I12*AK12,2)</f>
        <v>0</v>
      </c>
      <c r="AN12" s="920">
        <v>19242</v>
      </c>
      <c r="AO12" s="917">
        <f>ROUND(IF(((I12+L12+O12+R12+U12+X12+AA12+AD12+AG12+AJ12+AM12)&gt;(AN12*C12)),0,((AN12*C12)-(I12+L12+O12+R12+U12+X12+AA12+AD12+AG12+AJ12+AM12))),2)</f>
        <v>0</v>
      </c>
      <c r="AP12" s="920"/>
      <c r="AQ12" s="916">
        <f>ROUND(C12*AP12,2)</f>
        <v>0</v>
      </c>
      <c r="AR12" s="917">
        <f>ROUND((I12+L12+O12+R12+U12+X12+AA12+AD12+AG12+AJ12+AM12+AO12+AQ12),2)</f>
        <v>31570.69</v>
      </c>
      <c r="AS12" s="916">
        <v>12</v>
      </c>
      <c r="AT12" s="921">
        <f>ROUND(AR12*AS12,2)</f>
        <v>378848.28</v>
      </c>
      <c r="AU12" s="920"/>
      <c r="AV12" s="922">
        <f>ROUND(AT12*0.01,2)</f>
        <v>3788.48</v>
      </c>
      <c r="AW12" s="921">
        <f>ROUND((AT12+AU12+AV12),2)</f>
        <v>382636.76</v>
      </c>
      <c r="AX12" s="921">
        <f>ROUND(AW12*0.302,2)</f>
        <v>115556.3</v>
      </c>
      <c r="AY12" s="921">
        <f>ROUND((AW12+AX12),2)</f>
        <v>498193.06</v>
      </c>
      <c r="AZ12" s="923">
        <f>ROUND(AW12/1000,1)</f>
        <v>382.6</v>
      </c>
      <c r="BA12" s="923">
        <f>ROUND(AZ12*0.302,1)</f>
        <v>115.5</v>
      </c>
      <c r="BB12" s="923">
        <f>ROUND((AZ12+BA12),1)</f>
        <v>498.1</v>
      </c>
      <c r="BC12" s="915">
        <v>0.95</v>
      </c>
      <c r="BD12" s="923">
        <f>ROUND(AZ12*BC12,1)</f>
        <v>363.5</v>
      </c>
      <c r="BE12" s="923">
        <f>ROUND(BD12*0.302,1)</f>
        <v>109.8</v>
      </c>
      <c r="BF12" s="923">
        <f>ROUND((BD12+BE12),1)</f>
        <v>473.3</v>
      </c>
      <c r="BG12" s="924">
        <f>'[3]свод (2024)'!$B$116</f>
        <v>0.99758349999999996</v>
      </c>
      <c r="BH12" s="923">
        <f>ROUND(BD12*BG12,1)</f>
        <v>362.6</v>
      </c>
      <c r="BI12" s="923">
        <f>ROUND(BH12*0.302,1)</f>
        <v>109.5</v>
      </c>
      <c r="BJ12" s="923">
        <f>ROUND((BH12+BI12),1)</f>
        <v>472.1</v>
      </c>
      <c r="BK12" s="925">
        <f>ROUND((BH12-AZ12),1)</f>
        <v>-20</v>
      </c>
      <c r="BL12" s="925">
        <f>ROUND((BI12-BA12),1)</f>
        <v>-6</v>
      </c>
      <c r="BM12" s="925">
        <f>ROUND((BK12+BL12),1)</f>
        <v>-26</v>
      </c>
      <c r="BN12" s="925">
        <f>ROUND(BP12/1.302,1)</f>
        <v>0</v>
      </c>
      <c r="BO12" s="925">
        <f>ROUND((BP12-BN12),1)</f>
        <v>0</v>
      </c>
      <c r="BP12" s="926"/>
      <c r="BQ12" s="925">
        <f>ROUND((BH12-BN12),1)</f>
        <v>362.6</v>
      </c>
      <c r="BR12" s="925">
        <f>ROUND((BI12-BO12),1)</f>
        <v>109.5</v>
      </c>
      <c r="BS12" s="925">
        <f>ROUND((BQ12+BR12),1)</f>
        <v>472.1</v>
      </c>
      <c r="BU12" s="928"/>
      <c r="BV12" s="917"/>
      <c r="BW12" s="928"/>
      <c r="BX12" s="928"/>
      <c r="BY12" s="928"/>
      <c r="BZ12" s="917"/>
      <c r="CA12" s="928"/>
      <c r="CB12" s="917"/>
      <c r="CC12" s="928"/>
      <c r="CD12" s="928"/>
      <c r="CE12" s="928"/>
      <c r="CF12" s="929"/>
      <c r="CG12" s="928"/>
      <c r="CH12" s="928"/>
      <c r="CI12" s="928"/>
      <c r="CJ12" s="925"/>
      <c r="CK12" s="925"/>
      <c r="CL12" s="925"/>
      <c r="CM12" s="925"/>
      <c r="CN12" s="925"/>
      <c r="CO12" s="925"/>
      <c r="CP12" s="925"/>
      <c r="CQ12" s="925"/>
      <c r="CR12" s="925"/>
      <c r="CS12" s="917"/>
      <c r="CT12" s="928"/>
      <c r="CU12" s="928"/>
      <c r="CV12" s="928"/>
      <c r="CX12" s="925"/>
      <c r="CY12" s="925"/>
      <c r="CZ12" s="925"/>
      <c r="DB12" s="925"/>
      <c r="DC12" s="925"/>
      <c r="DD12" s="925"/>
      <c r="DE12" s="925"/>
      <c r="DF12" s="925"/>
      <c r="DG12" s="925"/>
      <c r="DH12" s="925"/>
      <c r="DI12" s="925"/>
      <c r="DJ12" s="925"/>
      <c r="DK12" s="925"/>
      <c r="DL12" s="925"/>
      <c r="DM12" s="925"/>
      <c r="DN12" s="925"/>
      <c r="DO12" s="925"/>
      <c r="DP12" s="925"/>
      <c r="DQ12" s="924"/>
      <c r="DR12" s="925"/>
      <c r="DS12" s="925"/>
      <c r="DT12" s="925"/>
      <c r="DV12" s="925"/>
      <c r="DW12" s="925"/>
      <c r="DX12" s="925"/>
      <c r="DY12" s="925"/>
      <c r="DZ12" s="925"/>
      <c r="EA12" s="925"/>
      <c r="EB12" s="925"/>
      <c r="EC12" s="925"/>
      <c r="ED12" s="925"/>
      <c r="EE12" s="925"/>
      <c r="EF12" s="925"/>
      <c r="EG12" s="925"/>
      <c r="EH12" s="925"/>
      <c r="EI12" s="925"/>
      <c r="EJ12" s="925"/>
      <c r="EK12" s="925"/>
      <c r="EL12" s="925"/>
      <c r="EM12" s="925"/>
      <c r="EN12" s="925"/>
      <c r="EO12" s="925"/>
      <c r="EP12" s="925"/>
      <c r="EQ12" s="925"/>
      <c r="ER12" s="925"/>
      <c r="ES12" s="925"/>
      <c r="ET12" s="925"/>
      <c r="EV12" s="924"/>
      <c r="EW12" s="925"/>
      <c r="EX12" s="925"/>
      <c r="EY12" s="925"/>
    </row>
    <row r="13" spans="1:155" s="927" customFormat="1" ht="15.75" x14ac:dyDescent="0.25">
      <c r="A13" s="912" t="s">
        <v>359</v>
      </c>
      <c r="B13" s="913" t="s">
        <v>46</v>
      </c>
      <c r="C13" s="914">
        <v>1.5</v>
      </c>
      <c r="D13" s="914">
        <v>4336</v>
      </c>
      <c r="E13" s="915">
        <v>1.0549999999999999</v>
      </c>
      <c r="F13" s="916">
        <f t="shared" ref="F13:F112" si="0">ROUNDUP(D13*E13,0)</f>
        <v>4575</v>
      </c>
      <c r="G13" s="915">
        <v>1.01</v>
      </c>
      <c r="H13" s="916">
        <f t="shared" ref="H13:H112" si="1">ROUNDUP(F13*G13,0)</f>
        <v>4621</v>
      </c>
      <c r="I13" s="917">
        <f t="shared" ref="I13:I112" si="2">ROUND(C13*H13,2)</f>
        <v>6931.5</v>
      </c>
      <c r="J13" s="918">
        <f t="shared" ref="J13:J112" si="3">IF(K13&gt;0,(ROUND(K13/($C13*$D13),5)),0)</f>
        <v>0</v>
      </c>
      <c r="K13" s="919"/>
      <c r="L13" s="917">
        <f t="shared" ref="L13:L112" si="4">ROUND($I13*J13,2)</f>
        <v>0</v>
      </c>
      <c r="M13" s="918">
        <f t="shared" ref="M13:M112" si="5">IF(N13&gt;0,(ROUND(N13/($C13*$D13),5)),0)</f>
        <v>0</v>
      </c>
      <c r="N13" s="919"/>
      <c r="O13" s="917">
        <f t="shared" ref="O13:O112" si="6">ROUND($I13*M13,2)</f>
        <v>0</v>
      </c>
      <c r="P13" s="918">
        <f t="shared" ref="P13:P112" si="7">IF(Q13&gt;0,(ROUND(Q13/($C13*$D13),5)),0)</f>
        <v>0</v>
      </c>
      <c r="Q13" s="919"/>
      <c r="R13" s="917">
        <f t="shared" ref="R13:R112" si="8">ROUND($I13*P13,2)</f>
        <v>0</v>
      </c>
      <c r="S13" s="918">
        <f t="shared" ref="S13:S112" si="9">IF(T13&gt;0,(ROUND(T13/($C13*$D13),5)),0)</f>
        <v>0.5</v>
      </c>
      <c r="T13" s="919">
        <v>3252</v>
      </c>
      <c r="U13" s="917">
        <f t="shared" ref="U13:U112" si="10">ROUND($I13*S13,2)</f>
        <v>3465.75</v>
      </c>
      <c r="V13" s="918">
        <f t="shared" ref="V13:V112" si="11">IF(W13&gt;0,(ROUND(W13/($C13*$D13),5)),0)</f>
        <v>0</v>
      </c>
      <c r="W13" s="919"/>
      <c r="X13" s="917">
        <f t="shared" ref="X13:X112" si="12">ROUND($I13*V13,2)</f>
        <v>0</v>
      </c>
      <c r="Y13" s="918">
        <f t="shared" ref="Y13:Y112" si="13">IF(Z13&gt;0,(ROUND(Z13/($C13*$D13),5)),0)</f>
        <v>0</v>
      </c>
      <c r="Z13" s="919"/>
      <c r="AA13" s="917">
        <f t="shared" ref="AA13:AA112" si="14">ROUND($I13*Y13,2)</f>
        <v>0</v>
      </c>
      <c r="AB13" s="918">
        <f t="shared" ref="AB13:AB112" si="15">IF(AC13&gt;0,(ROUND(AC13/($C13*$D13),5)),0)</f>
        <v>0</v>
      </c>
      <c r="AC13" s="919"/>
      <c r="AD13" s="917">
        <f t="shared" ref="AD13:AD112" si="16">ROUND($I13*AB13,2)</f>
        <v>0</v>
      </c>
      <c r="AE13" s="918">
        <f t="shared" ref="AE13:AE112" si="17">IF(AF13&gt;0,(ROUND(AF13/($C13*$D13),5)),0)</f>
        <v>0</v>
      </c>
      <c r="AF13" s="919"/>
      <c r="AG13" s="917">
        <f t="shared" ref="AG13:AG112" si="18">ROUND($I13*AE13,2)</f>
        <v>0</v>
      </c>
      <c r="AH13" s="918">
        <f t="shared" ref="AH13:AH112" si="19">IF(AI13&gt;0,(ROUND(AI13/($C13*$D13),5)),0)</f>
        <v>0</v>
      </c>
      <c r="AI13" s="919"/>
      <c r="AJ13" s="917">
        <f t="shared" ref="AJ13:AJ112" si="20">ROUND($I13*AH13,2)</f>
        <v>0</v>
      </c>
      <c r="AK13" s="918">
        <f t="shared" ref="AK13:AK112" si="21">IF(AL13&gt;0,(ROUND(AL13/($C13*$D13),5)),0)</f>
        <v>0</v>
      </c>
      <c r="AL13" s="919"/>
      <c r="AM13" s="917">
        <f t="shared" ref="AM13:AM112" si="22">ROUND($I13*AK13,2)</f>
        <v>0</v>
      </c>
      <c r="AN13" s="920">
        <v>19242</v>
      </c>
      <c r="AO13" s="917">
        <f t="shared" ref="AO13:AO112" si="23">ROUND(IF(((I13+L13+O13+R13+U13+X13+AA13+AD13+AG13+AJ13+AM13)&gt;(AN13*C13)),0,((AN13*C13)-(I13+L13+O13+R13+U13+X13+AA13+AD13+AG13+AJ13+AM13))),2)</f>
        <v>18465.75</v>
      </c>
      <c r="AP13" s="920"/>
      <c r="AQ13" s="916">
        <f t="shared" ref="AQ13:AQ112" si="24">ROUND(C13*AP13,2)</f>
        <v>0</v>
      </c>
      <c r="AR13" s="917">
        <f t="shared" ref="AR13:AR112" si="25">ROUND((I13+L13+O13+R13+U13+X13+AA13+AD13+AG13+AJ13+AM13+AO13+AQ13),2)</f>
        <v>28863</v>
      </c>
      <c r="AS13" s="916">
        <v>12</v>
      </c>
      <c r="AT13" s="921">
        <f t="shared" ref="AT13:AT112" si="26">ROUND(AR13*AS13,2)</f>
        <v>346356</v>
      </c>
      <c r="AU13" s="920"/>
      <c r="AV13" s="922">
        <f t="shared" ref="AV13:AV112" si="27">ROUND(AT13*0.01,2)</f>
        <v>3463.56</v>
      </c>
      <c r="AW13" s="921">
        <f t="shared" ref="AW13:AW112" si="28">ROUND((AT13+AU13+AV13),2)</f>
        <v>349819.56</v>
      </c>
      <c r="AX13" s="921">
        <f t="shared" ref="AX13:AX112" si="29">ROUND(AW13*0.302,2)</f>
        <v>105645.51</v>
      </c>
      <c r="AY13" s="921">
        <f t="shared" ref="AY13:AY112" si="30">ROUND((AW13+AX13),2)</f>
        <v>455465.07</v>
      </c>
      <c r="AZ13" s="923">
        <f t="shared" ref="AZ13:AZ112" si="31">ROUND(AW13/1000,1)</f>
        <v>349.8</v>
      </c>
      <c r="BA13" s="923">
        <f t="shared" ref="BA13:BA112" si="32">ROUND(AZ13*0.302,1)</f>
        <v>105.6</v>
      </c>
      <c r="BB13" s="923">
        <f t="shared" ref="BB13:BB112" si="33">ROUND((AZ13+BA13),1)</f>
        <v>455.4</v>
      </c>
      <c r="BC13" s="915">
        <v>0.95</v>
      </c>
      <c r="BD13" s="923">
        <f t="shared" ref="BD13:BD112" si="34">ROUND(AZ13*BC13,1)</f>
        <v>332.3</v>
      </c>
      <c r="BE13" s="923">
        <f t="shared" ref="BE13:BE112" si="35">ROUND(BD13*0.302,1)</f>
        <v>100.4</v>
      </c>
      <c r="BF13" s="923">
        <f t="shared" ref="BF13:BF112" si="36">ROUND((BD13+BE13),1)</f>
        <v>432.7</v>
      </c>
      <c r="BG13" s="924">
        <f>'[3]свод (2024)'!$B$116</f>
        <v>0.99758349999999996</v>
      </c>
      <c r="BH13" s="923">
        <f t="shared" ref="BH13:BH112" si="37">ROUND(BD13*BG13,1)</f>
        <v>331.5</v>
      </c>
      <c r="BI13" s="923">
        <f t="shared" ref="BI13:BI112" si="38">ROUND(BH13*0.302,1)</f>
        <v>100.1</v>
      </c>
      <c r="BJ13" s="923">
        <f t="shared" ref="BJ13:BJ112" si="39">ROUND((BH13+BI13),1)</f>
        <v>431.6</v>
      </c>
      <c r="BK13" s="925">
        <f t="shared" ref="BK13:BL112" si="40">ROUND((BH13-AZ13),1)</f>
        <v>-18.3</v>
      </c>
      <c r="BL13" s="925">
        <f t="shared" si="40"/>
        <v>-5.5</v>
      </c>
      <c r="BM13" s="925">
        <f t="shared" ref="BM13:BM112" si="41">ROUND((BK13+BL13),1)</f>
        <v>-23.8</v>
      </c>
      <c r="BN13" s="925">
        <f t="shared" ref="BN13:BN112" si="42">ROUND(BP13/1.302,1)</f>
        <v>0</v>
      </c>
      <c r="BO13" s="925">
        <f t="shared" ref="BO13:BO112" si="43">ROUND((BP13-BN13),1)</f>
        <v>0</v>
      </c>
      <c r="BP13" s="926"/>
      <c r="BQ13" s="925">
        <f t="shared" ref="BQ13:BR112" si="44">ROUND((BH13-BN13),1)</f>
        <v>331.5</v>
      </c>
      <c r="BR13" s="925">
        <f t="shared" si="44"/>
        <v>100.1</v>
      </c>
      <c r="BS13" s="925">
        <f t="shared" ref="BS13:BS112" si="45">ROUND((BQ13+BR13),1)</f>
        <v>431.6</v>
      </c>
      <c r="BU13" s="928"/>
      <c r="BV13" s="917"/>
      <c r="BW13" s="928"/>
      <c r="BX13" s="928"/>
      <c r="BY13" s="928"/>
      <c r="BZ13" s="917"/>
      <c r="CA13" s="928"/>
      <c r="CB13" s="917"/>
      <c r="CC13" s="928"/>
      <c r="CD13" s="928"/>
      <c r="CE13" s="928"/>
      <c r="CF13" s="929"/>
      <c r="CG13" s="928"/>
      <c r="CH13" s="928"/>
      <c r="CI13" s="928"/>
      <c r="CJ13" s="925"/>
      <c r="CK13" s="925"/>
      <c r="CL13" s="925"/>
      <c r="CM13" s="925"/>
      <c r="CN13" s="925"/>
      <c r="CO13" s="925"/>
      <c r="CP13" s="925"/>
      <c r="CQ13" s="925"/>
      <c r="CR13" s="925"/>
      <c r="CS13" s="917"/>
      <c r="CT13" s="928"/>
      <c r="CU13" s="928"/>
      <c r="CV13" s="928"/>
      <c r="CX13" s="925"/>
      <c r="CY13" s="925"/>
      <c r="CZ13" s="925"/>
      <c r="DB13" s="925"/>
      <c r="DC13" s="925"/>
      <c r="DD13" s="925"/>
      <c r="DE13" s="925"/>
      <c r="DF13" s="925"/>
      <c r="DG13" s="925"/>
      <c r="DH13" s="925"/>
      <c r="DI13" s="925"/>
      <c r="DJ13" s="925"/>
      <c r="DK13" s="925"/>
      <c r="DL13" s="925"/>
      <c r="DM13" s="925"/>
      <c r="DN13" s="925"/>
      <c r="DO13" s="925"/>
      <c r="DP13" s="925"/>
      <c r="DQ13" s="924"/>
      <c r="DR13" s="925"/>
      <c r="DS13" s="925"/>
      <c r="DT13" s="925"/>
      <c r="DV13" s="925"/>
      <c r="DW13" s="925"/>
      <c r="DX13" s="925"/>
      <c r="DY13" s="925"/>
      <c r="DZ13" s="925"/>
      <c r="EA13" s="925"/>
      <c r="EB13" s="925"/>
      <c r="EC13" s="925"/>
      <c r="ED13" s="925"/>
      <c r="EE13" s="925"/>
      <c r="EF13" s="925"/>
      <c r="EG13" s="925"/>
      <c r="EH13" s="925"/>
      <c r="EI13" s="925"/>
      <c r="EJ13" s="925"/>
      <c r="EK13" s="925"/>
      <c r="EL13" s="925"/>
      <c r="EM13" s="925"/>
      <c r="EN13" s="925"/>
      <c r="EO13" s="925"/>
      <c r="EP13" s="925"/>
      <c r="EQ13" s="925"/>
      <c r="ER13" s="925"/>
      <c r="ES13" s="925"/>
      <c r="ET13" s="925"/>
      <c r="EV13" s="924"/>
      <c r="EW13" s="925"/>
      <c r="EX13" s="925"/>
      <c r="EY13" s="925"/>
    </row>
    <row r="14" spans="1:155" s="927" customFormat="1" ht="15.75" x14ac:dyDescent="0.25">
      <c r="A14" s="912" t="s">
        <v>359</v>
      </c>
      <c r="B14" s="913" t="s">
        <v>32</v>
      </c>
      <c r="C14" s="914">
        <v>1</v>
      </c>
      <c r="D14" s="914">
        <v>22542</v>
      </c>
      <c r="E14" s="915">
        <v>1.0549999999999999</v>
      </c>
      <c r="F14" s="916">
        <f t="shared" si="0"/>
        <v>23782</v>
      </c>
      <c r="G14" s="915">
        <v>1.01</v>
      </c>
      <c r="H14" s="916">
        <f t="shared" si="1"/>
        <v>24020</v>
      </c>
      <c r="I14" s="917">
        <f t="shared" si="2"/>
        <v>24020</v>
      </c>
      <c r="J14" s="918">
        <f t="shared" si="3"/>
        <v>0</v>
      </c>
      <c r="K14" s="919"/>
      <c r="L14" s="917">
        <f t="shared" si="4"/>
        <v>0</v>
      </c>
      <c r="M14" s="918">
        <f t="shared" si="5"/>
        <v>0</v>
      </c>
      <c r="N14" s="919"/>
      <c r="O14" s="917">
        <f t="shared" si="6"/>
        <v>0</v>
      </c>
      <c r="P14" s="918">
        <f t="shared" si="7"/>
        <v>0</v>
      </c>
      <c r="Q14" s="919"/>
      <c r="R14" s="917">
        <f t="shared" si="8"/>
        <v>0</v>
      </c>
      <c r="S14" s="918">
        <f t="shared" si="9"/>
        <v>0</v>
      </c>
      <c r="T14" s="919"/>
      <c r="U14" s="917">
        <f t="shared" si="10"/>
        <v>0</v>
      </c>
      <c r="V14" s="918">
        <f t="shared" si="11"/>
        <v>0</v>
      </c>
      <c r="W14" s="919"/>
      <c r="X14" s="917">
        <f t="shared" si="12"/>
        <v>0</v>
      </c>
      <c r="Y14" s="918">
        <f t="shared" si="13"/>
        <v>0.35</v>
      </c>
      <c r="Z14" s="919">
        <v>7889.7</v>
      </c>
      <c r="AA14" s="917">
        <f t="shared" si="14"/>
        <v>8407</v>
      </c>
      <c r="AB14" s="918">
        <f t="shared" si="15"/>
        <v>0.2</v>
      </c>
      <c r="AC14" s="919">
        <v>4508.3999999999996</v>
      </c>
      <c r="AD14" s="917">
        <f t="shared" si="16"/>
        <v>4804</v>
      </c>
      <c r="AE14" s="918">
        <f t="shared" si="17"/>
        <v>0</v>
      </c>
      <c r="AF14" s="919"/>
      <c r="AG14" s="917">
        <f t="shared" si="18"/>
        <v>0</v>
      </c>
      <c r="AH14" s="918">
        <f t="shared" si="19"/>
        <v>0</v>
      </c>
      <c r="AI14" s="919"/>
      <c r="AJ14" s="917">
        <f t="shared" si="20"/>
        <v>0</v>
      </c>
      <c r="AK14" s="918">
        <f t="shared" si="21"/>
        <v>0</v>
      </c>
      <c r="AL14" s="919"/>
      <c r="AM14" s="917">
        <f t="shared" si="22"/>
        <v>0</v>
      </c>
      <c r="AN14" s="920">
        <v>19242</v>
      </c>
      <c r="AO14" s="917">
        <f t="shared" si="23"/>
        <v>0</v>
      </c>
      <c r="AP14" s="920"/>
      <c r="AQ14" s="916">
        <f t="shared" si="24"/>
        <v>0</v>
      </c>
      <c r="AR14" s="917">
        <f t="shared" si="25"/>
        <v>37231</v>
      </c>
      <c r="AS14" s="916">
        <v>12</v>
      </c>
      <c r="AT14" s="921">
        <f t="shared" si="26"/>
        <v>446772</v>
      </c>
      <c r="AU14" s="920"/>
      <c r="AV14" s="922">
        <f t="shared" si="27"/>
        <v>4467.72</v>
      </c>
      <c r="AW14" s="921">
        <f t="shared" si="28"/>
        <v>451239.72</v>
      </c>
      <c r="AX14" s="921">
        <f t="shared" si="29"/>
        <v>136274.4</v>
      </c>
      <c r="AY14" s="921">
        <f t="shared" si="30"/>
        <v>587514.12</v>
      </c>
      <c r="AZ14" s="923">
        <f t="shared" si="31"/>
        <v>451.2</v>
      </c>
      <c r="BA14" s="923">
        <f t="shared" si="32"/>
        <v>136.30000000000001</v>
      </c>
      <c r="BB14" s="923">
        <f t="shared" si="33"/>
        <v>587.5</v>
      </c>
      <c r="BC14" s="915">
        <v>0.95</v>
      </c>
      <c r="BD14" s="923">
        <f t="shared" si="34"/>
        <v>428.6</v>
      </c>
      <c r="BE14" s="923">
        <f t="shared" si="35"/>
        <v>129.4</v>
      </c>
      <c r="BF14" s="923">
        <f t="shared" si="36"/>
        <v>558</v>
      </c>
      <c r="BG14" s="924">
        <f>'[3]свод (2024)'!$B$116</f>
        <v>0.99758349999999996</v>
      </c>
      <c r="BH14" s="923">
        <f t="shared" si="37"/>
        <v>427.6</v>
      </c>
      <c r="BI14" s="923">
        <f t="shared" si="38"/>
        <v>129.1</v>
      </c>
      <c r="BJ14" s="923">
        <f t="shared" si="39"/>
        <v>556.70000000000005</v>
      </c>
      <c r="BK14" s="925">
        <f t="shared" si="40"/>
        <v>-23.6</v>
      </c>
      <c r="BL14" s="925">
        <f t="shared" si="40"/>
        <v>-7.2</v>
      </c>
      <c r="BM14" s="925">
        <f t="shared" si="41"/>
        <v>-30.8</v>
      </c>
      <c r="BN14" s="925">
        <f t="shared" si="42"/>
        <v>0</v>
      </c>
      <c r="BO14" s="925">
        <f t="shared" si="43"/>
        <v>0</v>
      </c>
      <c r="BP14" s="926"/>
      <c r="BQ14" s="925">
        <f t="shared" si="44"/>
        <v>427.6</v>
      </c>
      <c r="BR14" s="925">
        <f t="shared" si="44"/>
        <v>129.1</v>
      </c>
      <c r="BS14" s="925">
        <f t="shared" si="45"/>
        <v>556.70000000000005</v>
      </c>
      <c r="BU14" s="928"/>
      <c r="BV14" s="917"/>
      <c r="BW14" s="928"/>
      <c r="BX14" s="928"/>
      <c r="BY14" s="928"/>
      <c r="BZ14" s="917"/>
      <c r="CA14" s="928"/>
      <c r="CB14" s="917"/>
      <c r="CC14" s="928"/>
      <c r="CD14" s="928"/>
      <c r="CE14" s="928"/>
      <c r="CF14" s="929"/>
      <c r="CG14" s="928"/>
      <c r="CH14" s="928"/>
      <c r="CI14" s="928"/>
      <c r="CJ14" s="925"/>
      <c r="CK14" s="925"/>
      <c r="CL14" s="925"/>
      <c r="CM14" s="925"/>
      <c r="CN14" s="925"/>
      <c r="CO14" s="925"/>
      <c r="CP14" s="925"/>
      <c r="CQ14" s="925"/>
      <c r="CR14" s="925"/>
      <c r="CS14" s="917"/>
      <c r="CT14" s="928"/>
      <c r="CU14" s="928"/>
      <c r="CV14" s="928"/>
      <c r="CX14" s="925"/>
      <c r="CY14" s="925"/>
      <c r="CZ14" s="925"/>
      <c r="DB14" s="925"/>
      <c r="DC14" s="925"/>
      <c r="DD14" s="925"/>
      <c r="DE14" s="925"/>
      <c r="DF14" s="925"/>
      <c r="DG14" s="925"/>
      <c r="DH14" s="925"/>
      <c r="DI14" s="925"/>
      <c r="DJ14" s="925"/>
      <c r="DK14" s="925"/>
      <c r="DL14" s="925"/>
      <c r="DM14" s="925"/>
      <c r="DN14" s="925"/>
      <c r="DO14" s="925"/>
      <c r="DP14" s="925"/>
      <c r="DQ14" s="924"/>
      <c r="DR14" s="925"/>
      <c r="DS14" s="925"/>
      <c r="DT14" s="925"/>
      <c r="DV14" s="925"/>
      <c r="DW14" s="925"/>
      <c r="DX14" s="925"/>
      <c r="DY14" s="925"/>
      <c r="DZ14" s="925"/>
      <c r="EA14" s="925"/>
      <c r="EB14" s="925"/>
      <c r="EC14" s="925"/>
      <c r="ED14" s="925"/>
      <c r="EE14" s="925"/>
      <c r="EF14" s="925"/>
      <c r="EG14" s="925"/>
      <c r="EH14" s="925"/>
      <c r="EI14" s="925"/>
      <c r="EJ14" s="925"/>
      <c r="EK14" s="925"/>
      <c r="EL14" s="925"/>
      <c r="EM14" s="925"/>
      <c r="EN14" s="925"/>
      <c r="EO14" s="925"/>
      <c r="EP14" s="925"/>
      <c r="EQ14" s="925"/>
      <c r="ER14" s="925"/>
      <c r="ES14" s="925"/>
      <c r="ET14" s="925"/>
      <c r="EV14" s="924"/>
      <c r="EW14" s="925"/>
      <c r="EX14" s="925"/>
      <c r="EY14" s="925"/>
    </row>
    <row r="15" spans="1:155" s="927" customFormat="1" ht="15.75" x14ac:dyDescent="0.25">
      <c r="A15" s="912" t="s">
        <v>359</v>
      </c>
      <c r="B15" s="913" t="s">
        <v>1379</v>
      </c>
      <c r="C15" s="914">
        <v>2.25</v>
      </c>
      <c r="D15" s="914">
        <v>4336</v>
      </c>
      <c r="E15" s="915">
        <v>1.0549999999999999</v>
      </c>
      <c r="F15" s="916">
        <f t="shared" si="0"/>
        <v>4575</v>
      </c>
      <c r="G15" s="915">
        <v>1.01</v>
      </c>
      <c r="H15" s="916">
        <f t="shared" si="1"/>
        <v>4621</v>
      </c>
      <c r="I15" s="917">
        <f t="shared" si="2"/>
        <v>10397.25</v>
      </c>
      <c r="J15" s="918">
        <f t="shared" si="3"/>
        <v>0</v>
      </c>
      <c r="K15" s="919"/>
      <c r="L15" s="917">
        <f t="shared" si="4"/>
        <v>0</v>
      </c>
      <c r="M15" s="918">
        <f t="shared" si="5"/>
        <v>0</v>
      </c>
      <c r="N15" s="919"/>
      <c r="O15" s="917">
        <f t="shared" si="6"/>
        <v>0</v>
      </c>
      <c r="P15" s="918">
        <f t="shared" si="7"/>
        <v>0</v>
      </c>
      <c r="Q15" s="919"/>
      <c r="R15" s="917">
        <f t="shared" si="8"/>
        <v>0</v>
      </c>
      <c r="S15" s="918">
        <f t="shared" si="9"/>
        <v>0.55556000000000005</v>
      </c>
      <c r="T15" s="919">
        <v>5420</v>
      </c>
      <c r="U15" s="917">
        <f t="shared" si="10"/>
        <v>5776.3</v>
      </c>
      <c r="V15" s="918">
        <f t="shared" si="11"/>
        <v>0</v>
      </c>
      <c r="W15" s="919"/>
      <c r="X15" s="917">
        <f t="shared" si="12"/>
        <v>0</v>
      </c>
      <c r="Y15" s="918">
        <f t="shared" si="13"/>
        <v>0</v>
      </c>
      <c r="Z15" s="919"/>
      <c r="AA15" s="917">
        <f t="shared" si="14"/>
        <v>0</v>
      </c>
      <c r="AB15" s="918">
        <f t="shared" si="15"/>
        <v>0</v>
      </c>
      <c r="AC15" s="919"/>
      <c r="AD15" s="917">
        <f t="shared" si="16"/>
        <v>0</v>
      </c>
      <c r="AE15" s="918">
        <f t="shared" si="17"/>
        <v>0</v>
      </c>
      <c r="AF15" s="919"/>
      <c r="AG15" s="917">
        <f t="shared" si="18"/>
        <v>0</v>
      </c>
      <c r="AH15" s="918">
        <f t="shared" si="19"/>
        <v>0</v>
      </c>
      <c r="AI15" s="919"/>
      <c r="AJ15" s="917">
        <f t="shared" si="20"/>
        <v>0</v>
      </c>
      <c r="AK15" s="918">
        <f t="shared" si="21"/>
        <v>0</v>
      </c>
      <c r="AL15" s="919"/>
      <c r="AM15" s="917">
        <f t="shared" si="22"/>
        <v>0</v>
      </c>
      <c r="AN15" s="920">
        <v>19242</v>
      </c>
      <c r="AO15" s="917">
        <f t="shared" si="23"/>
        <v>27120.95</v>
      </c>
      <c r="AP15" s="920"/>
      <c r="AQ15" s="916">
        <f t="shared" si="24"/>
        <v>0</v>
      </c>
      <c r="AR15" s="917">
        <f t="shared" si="25"/>
        <v>43294.5</v>
      </c>
      <c r="AS15" s="916">
        <v>12</v>
      </c>
      <c r="AT15" s="921">
        <f t="shared" si="26"/>
        <v>519534</v>
      </c>
      <c r="AU15" s="920">
        <f>AT15*0.085</f>
        <v>44160.39</v>
      </c>
      <c r="AV15" s="922">
        <f t="shared" si="27"/>
        <v>5195.34</v>
      </c>
      <c r="AW15" s="921">
        <f t="shared" si="28"/>
        <v>568889.73</v>
      </c>
      <c r="AX15" s="921">
        <f t="shared" si="29"/>
        <v>171804.7</v>
      </c>
      <c r="AY15" s="921">
        <f t="shared" si="30"/>
        <v>740694.43</v>
      </c>
      <c r="AZ15" s="923">
        <f t="shared" si="31"/>
        <v>568.9</v>
      </c>
      <c r="BA15" s="923">
        <f t="shared" si="32"/>
        <v>171.8</v>
      </c>
      <c r="BB15" s="923">
        <f t="shared" si="33"/>
        <v>740.7</v>
      </c>
      <c r="BC15" s="915">
        <v>0.95</v>
      </c>
      <c r="BD15" s="923">
        <f t="shared" si="34"/>
        <v>540.5</v>
      </c>
      <c r="BE15" s="923">
        <f t="shared" si="35"/>
        <v>163.19999999999999</v>
      </c>
      <c r="BF15" s="923">
        <f t="shared" si="36"/>
        <v>703.7</v>
      </c>
      <c r="BG15" s="924">
        <f>'[3]свод (2024)'!$B$116</f>
        <v>0.99758349999999996</v>
      </c>
      <c r="BH15" s="923">
        <f t="shared" si="37"/>
        <v>539.20000000000005</v>
      </c>
      <c r="BI15" s="923">
        <f t="shared" si="38"/>
        <v>162.80000000000001</v>
      </c>
      <c r="BJ15" s="923">
        <f t="shared" si="39"/>
        <v>702</v>
      </c>
      <c r="BK15" s="925">
        <f t="shared" si="40"/>
        <v>-29.7</v>
      </c>
      <c r="BL15" s="925">
        <f t="shared" si="40"/>
        <v>-9</v>
      </c>
      <c r="BM15" s="925">
        <f t="shared" si="41"/>
        <v>-38.700000000000003</v>
      </c>
      <c r="BN15" s="925">
        <f t="shared" si="42"/>
        <v>0</v>
      </c>
      <c r="BO15" s="925">
        <f t="shared" si="43"/>
        <v>0</v>
      </c>
      <c r="BP15" s="926"/>
      <c r="BQ15" s="925">
        <f t="shared" si="44"/>
        <v>539.20000000000005</v>
      </c>
      <c r="BR15" s="925">
        <f t="shared" si="44"/>
        <v>162.80000000000001</v>
      </c>
      <c r="BS15" s="925">
        <f t="shared" si="45"/>
        <v>702</v>
      </c>
      <c r="BU15" s="928"/>
      <c r="BV15" s="917"/>
      <c r="BW15" s="928"/>
      <c r="BX15" s="928"/>
      <c r="BY15" s="928"/>
      <c r="BZ15" s="917"/>
      <c r="CA15" s="928"/>
      <c r="CB15" s="917"/>
      <c r="CC15" s="928"/>
      <c r="CD15" s="928"/>
      <c r="CE15" s="928"/>
      <c r="CF15" s="929"/>
      <c r="CG15" s="928"/>
      <c r="CH15" s="928"/>
      <c r="CI15" s="928"/>
      <c r="CJ15" s="925"/>
      <c r="CK15" s="925"/>
      <c r="CL15" s="925"/>
      <c r="CM15" s="925"/>
      <c r="CN15" s="925"/>
      <c r="CO15" s="925"/>
      <c r="CP15" s="925"/>
      <c r="CQ15" s="925"/>
      <c r="CR15" s="925"/>
      <c r="CS15" s="917"/>
      <c r="CT15" s="928"/>
      <c r="CU15" s="928"/>
      <c r="CV15" s="928"/>
      <c r="CX15" s="925"/>
      <c r="CY15" s="925"/>
      <c r="CZ15" s="925"/>
      <c r="DB15" s="925"/>
      <c r="DC15" s="925"/>
      <c r="DD15" s="925"/>
      <c r="DE15" s="925"/>
      <c r="DF15" s="925"/>
      <c r="DG15" s="925"/>
      <c r="DH15" s="925"/>
      <c r="DI15" s="925"/>
      <c r="DJ15" s="925"/>
      <c r="DK15" s="925"/>
      <c r="DL15" s="925"/>
      <c r="DM15" s="925"/>
      <c r="DN15" s="925"/>
      <c r="DO15" s="925"/>
      <c r="DP15" s="925"/>
      <c r="DQ15" s="924"/>
      <c r="DR15" s="925"/>
      <c r="DS15" s="925"/>
      <c r="DT15" s="925"/>
      <c r="DV15" s="925"/>
      <c r="DW15" s="925"/>
      <c r="DX15" s="925"/>
      <c r="DY15" s="925"/>
      <c r="DZ15" s="925"/>
      <c r="EA15" s="925"/>
      <c r="EB15" s="925"/>
      <c r="EC15" s="925"/>
      <c r="ED15" s="925"/>
      <c r="EE15" s="925"/>
      <c r="EF15" s="925"/>
      <c r="EG15" s="925"/>
      <c r="EH15" s="925"/>
      <c r="EI15" s="925"/>
      <c r="EJ15" s="925"/>
      <c r="EK15" s="925"/>
      <c r="EL15" s="925"/>
      <c r="EM15" s="925"/>
      <c r="EN15" s="925"/>
      <c r="EO15" s="925"/>
      <c r="EP15" s="925"/>
      <c r="EQ15" s="925"/>
      <c r="ER15" s="925"/>
      <c r="ES15" s="925"/>
      <c r="ET15" s="925"/>
      <c r="EV15" s="924"/>
      <c r="EW15" s="925"/>
      <c r="EX15" s="925"/>
      <c r="EY15" s="925"/>
    </row>
    <row r="16" spans="1:155" s="927" customFormat="1" ht="15.75" x14ac:dyDescent="0.25">
      <c r="A16" s="912" t="s">
        <v>359</v>
      </c>
      <c r="B16" s="913" t="s">
        <v>358</v>
      </c>
      <c r="C16" s="914">
        <v>0.5</v>
      </c>
      <c r="D16" s="914">
        <v>5274</v>
      </c>
      <c r="E16" s="915">
        <v>1.0549999999999999</v>
      </c>
      <c r="F16" s="916">
        <f t="shared" si="0"/>
        <v>5565</v>
      </c>
      <c r="G16" s="915">
        <v>1.01</v>
      </c>
      <c r="H16" s="916">
        <f t="shared" si="1"/>
        <v>5621</v>
      </c>
      <c r="I16" s="917">
        <f t="shared" si="2"/>
        <v>2810.5</v>
      </c>
      <c r="J16" s="918">
        <f t="shared" si="3"/>
        <v>0</v>
      </c>
      <c r="K16" s="919"/>
      <c r="L16" s="917">
        <f t="shared" si="4"/>
        <v>0</v>
      </c>
      <c r="M16" s="918">
        <f t="shared" si="5"/>
        <v>0</v>
      </c>
      <c r="N16" s="919"/>
      <c r="O16" s="917">
        <f t="shared" si="6"/>
        <v>0</v>
      </c>
      <c r="P16" s="918">
        <f t="shared" si="7"/>
        <v>0</v>
      </c>
      <c r="Q16" s="919"/>
      <c r="R16" s="917">
        <f t="shared" si="8"/>
        <v>0</v>
      </c>
      <c r="S16" s="918">
        <f t="shared" si="9"/>
        <v>0</v>
      </c>
      <c r="T16" s="919"/>
      <c r="U16" s="917">
        <f t="shared" si="10"/>
        <v>0</v>
      </c>
      <c r="V16" s="918">
        <f t="shared" si="11"/>
        <v>0</v>
      </c>
      <c r="W16" s="919"/>
      <c r="X16" s="917">
        <f t="shared" si="12"/>
        <v>0</v>
      </c>
      <c r="Y16" s="918">
        <f t="shared" si="13"/>
        <v>1.98</v>
      </c>
      <c r="Z16" s="919">
        <v>5221.26</v>
      </c>
      <c r="AA16" s="917">
        <f t="shared" si="14"/>
        <v>5564.79</v>
      </c>
      <c r="AB16" s="918">
        <f t="shared" si="15"/>
        <v>0.3</v>
      </c>
      <c r="AC16" s="919">
        <v>791.1</v>
      </c>
      <c r="AD16" s="917">
        <f t="shared" si="16"/>
        <v>843.15</v>
      </c>
      <c r="AE16" s="918">
        <f t="shared" si="17"/>
        <v>0</v>
      </c>
      <c r="AF16" s="919"/>
      <c r="AG16" s="917">
        <f t="shared" si="18"/>
        <v>0</v>
      </c>
      <c r="AH16" s="918">
        <f t="shared" si="19"/>
        <v>0</v>
      </c>
      <c r="AI16" s="919"/>
      <c r="AJ16" s="917">
        <f t="shared" si="20"/>
        <v>0</v>
      </c>
      <c r="AK16" s="918">
        <f t="shared" si="21"/>
        <v>0</v>
      </c>
      <c r="AL16" s="919"/>
      <c r="AM16" s="917">
        <f t="shared" si="22"/>
        <v>0</v>
      </c>
      <c r="AN16" s="920">
        <v>19242</v>
      </c>
      <c r="AO16" s="917">
        <f t="shared" si="23"/>
        <v>402.56</v>
      </c>
      <c r="AP16" s="920"/>
      <c r="AQ16" s="916">
        <f t="shared" si="24"/>
        <v>0</v>
      </c>
      <c r="AR16" s="917">
        <f t="shared" si="25"/>
        <v>9621</v>
      </c>
      <c r="AS16" s="916">
        <v>12</v>
      </c>
      <c r="AT16" s="921">
        <f t="shared" si="26"/>
        <v>115452</v>
      </c>
      <c r="AU16" s="920"/>
      <c r="AV16" s="922">
        <f t="shared" si="27"/>
        <v>1154.52</v>
      </c>
      <c r="AW16" s="921">
        <f t="shared" si="28"/>
        <v>116606.52</v>
      </c>
      <c r="AX16" s="921">
        <f t="shared" si="29"/>
        <v>35215.17</v>
      </c>
      <c r="AY16" s="921">
        <f t="shared" si="30"/>
        <v>151821.69</v>
      </c>
      <c r="AZ16" s="923">
        <f t="shared" si="31"/>
        <v>116.6</v>
      </c>
      <c r="BA16" s="923">
        <f t="shared" si="32"/>
        <v>35.200000000000003</v>
      </c>
      <c r="BB16" s="923">
        <f t="shared" si="33"/>
        <v>151.80000000000001</v>
      </c>
      <c r="BC16" s="915">
        <v>0.95</v>
      </c>
      <c r="BD16" s="923">
        <f t="shared" si="34"/>
        <v>110.8</v>
      </c>
      <c r="BE16" s="923">
        <f t="shared" si="35"/>
        <v>33.5</v>
      </c>
      <c r="BF16" s="923">
        <f t="shared" si="36"/>
        <v>144.30000000000001</v>
      </c>
      <c r="BG16" s="924">
        <f>'[3]свод (2024)'!$B$116</f>
        <v>0.99758349999999996</v>
      </c>
      <c r="BH16" s="923">
        <f t="shared" si="37"/>
        <v>110.5</v>
      </c>
      <c r="BI16" s="923">
        <f t="shared" si="38"/>
        <v>33.4</v>
      </c>
      <c r="BJ16" s="923">
        <f t="shared" si="39"/>
        <v>143.9</v>
      </c>
      <c r="BK16" s="925">
        <f t="shared" si="40"/>
        <v>-6.1</v>
      </c>
      <c r="BL16" s="925">
        <f t="shared" si="40"/>
        <v>-1.8</v>
      </c>
      <c r="BM16" s="925">
        <f t="shared" si="41"/>
        <v>-7.9</v>
      </c>
      <c r="BN16" s="925">
        <f t="shared" si="42"/>
        <v>0</v>
      </c>
      <c r="BO16" s="925">
        <f t="shared" si="43"/>
        <v>0</v>
      </c>
      <c r="BP16" s="926"/>
      <c r="BQ16" s="925">
        <f t="shared" si="44"/>
        <v>110.5</v>
      </c>
      <c r="BR16" s="925">
        <f t="shared" si="44"/>
        <v>33.4</v>
      </c>
      <c r="BS16" s="925">
        <f t="shared" si="45"/>
        <v>143.9</v>
      </c>
      <c r="BU16" s="928"/>
      <c r="BV16" s="917"/>
      <c r="BW16" s="928"/>
      <c r="BX16" s="928"/>
      <c r="BY16" s="928"/>
      <c r="BZ16" s="917"/>
      <c r="CA16" s="928"/>
      <c r="CB16" s="917"/>
      <c r="CC16" s="928"/>
      <c r="CD16" s="928"/>
      <c r="CE16" s="928"/>
      <c r="CF16" s="929"/>
      <c r="CG16" s="928"/>
      <c r="CH16" s="928"/>
      <c r="CI16" s="928"/>
      <c r="CJ16" s="925"/>
      <c r="CK16" s="925"/>
      <c r="CL16" s="925"/>
      <c r="CM16" s="925"/>
      <c r="CN16" s="925"/>
      <c r="CO16" s="925"/>
      <c r="CP16" s="925"/>
      <c r="CQ16" s="925"/>
      <c r="CR16" s="925"/>
      <c r="CS16" s="917"/>
      <c r="CT16" s="928"/>
      <c r="CU16" s="928"/>
      <c r="CV16" s="928"/>
      <c r="CX16" s="925"/>
      <c r="CY16" s="925"/>
      <c r="CZ16" s="925"/>
      <c r="DB16" s="925"/>
      <c r="DC16" s="925"/>
      <c r="DD16" s="925"/>
      <c r="DE16" s="925"/>
      <c r="DF16" s="925"/>
      <c r="DG16" s="925"/>
      <c r="DH16" s="925"/>
      <c r="DI16" s="925"/>
      <c r="DJ16" s="925"/>
      <c r="DK16" s="925"/>
      <c r="DL16" s="925"/>
      <c r="DM16" s="925"/>
      <c r="DN16" s="925"/>
      <c r="DO16" s="925"/>
      <c r="DP16" s="925"/>
      <c r="DQ16" s="924"/>
      <c r="DR16" s="925"/>
      <c r="DS16" s="925"/>
      <c r="DT16" s="925"/>
      <c r="DV16" s="925"/>
      <c r="DW16" s="925"/>
      <c r="DX16" s="925"/>
      <c r="DY16" s="925"/>
      <c r="DZ16" s="925"/>
      <c r="EA16" s="925"/>
      <c r="EB16" s="925"/>
      <c r="EC16" s="925"/>
      <c r="ED16" s="925"/>
      <c r="EE16" s="925"/>
      <c r="EF16" s="925"/>
      <c r="EG16" s="925"/>
      <c r="EH16" s="925"/>
      <c r="EI16" s="925"/>
      <c r="EJ16" s="925"/>
      <c r="EK16" s="925"/>
      <c r="EL16" s="925"/>
      <c r="EM16" s="925"/>
      <c r="EN16" s="925"/>
      <c r="EO16" s="925"/>
      <c r="EP16" s="925"/>
      <c r="EQ16" s="925"/>
      <c r="ER16" s="925"/>
      <c r="ES16" s="925"/>
      <c r="ET16" s="925"/>
      <c r="EV16" s="924"/>
      <c r="EW16" s="925"/>
      <c r="EX16" s="925"/>
      <c r="EY16" s="925"/>
    </row>
    <row r="17" spans="1:155" s="927" customFormat="1" ht="15.75" x14ac:dyDescent="0.25">
      <c r="A17" s="912" t="s">
        <v>359</v>
      </c>
      <c r="B17" s="913" t="s">
        <v>1380</v>
      </c>
      <c r="C17" s="914">
        <v>1</v>
      </c>
      <c r="D17" s="914">
        <v>25048</v>
      </c>
      <c r="E17" s="915">
        <v>1.0549999999999999</v>
      </c>
      <c r="F17" s="916">
        <f t="shared" si="0"/>
        <v>26426</v>
      </c>
      <c r="G17" s="915">
        <v>1.01</v>
      </c>
      <c r="H17" s="916">
        <f t="shared" si="1"/>
        <v>26691</v>
      </c>
      <c r="I17" s="917">
        <f t="shared" si="2"/>
        <v>26691</v>
      </c>
      <c r="J17" s="918">
        <f t="shared" si="3"/>
        <v>0</v>
      </c>
      <c r="K17" s="919"/>
      <c r="L17" s="917">
        <f t="shared" si="4"/>
        <v>0</v>
      </c>
      <c r="M17" s="918">
        <f t="shared" si="5"/>
        <v>0</v>
      </c>
      <c r="N17" s="919"/>
      <c r="O17" s="917">
        <f t="shared" si="6"/>
        <v>0</v>
      </c>
      <c r="P17" s="918">
        <f t="shared" si="7"/>
        <v>0.1</v>
      </c>
      <c r="Q17" s="919">
        <f>D17*C17*0.1</f>
        <v>2504.8000000000002</v>
      </c>
      <c r="R17" s="917">
        <f t="shared" si="8"/>
        <v>2669.1</v>
      </c>
      <c r="S17" s="918">
        <f t="shared" si="9"/>
        <v>0</v>
      </c>
      <c r="T17" s="919"/>
      <c r="U17" s="917">
        <f t="shared" si="10"/>
        <v>0</v>
      </c>
      <c r="V17" s="918">
        <f t="shared" si="11"/>
        <v>0</v>
      </c>
      <c r="W17" s="919"/>
      <c r="X17" s="917">
        <f t="shared" si="12"/>
        <v>0</v>
      </c>
      <c r="Y17" s="918">
        <f t="shared" si="13"/>
        <v>0</v>
      </c>
      <c r="Z17" s="919"/>
      <c r="AA17" s="917">
        <f t="shared" si="14"/>
        <v>0</v>
      </c>
      <c r="AB17" s="918">
        <f t="shared" si="15"/>
        <v>0.2</v>
      </c>
      <c r="AC17" s="919">
        <v>5009.6000000000004</v>
      </c>
      <c r="AD17" s="917">
        <f t="shared" si="16"/>
        <v>5338.2</v>
      </c>
      <c r="AE17" s="918">
        <f t="shared" si="17"/>
        <v>0</v>
      </c>
      <c r="AF17" s="919"/>
      <c r="AG17" s="917">
        <f t="shared" si="18"/>
        <v>0</v>
      </c>
      <c r="AH17" s="918">
        <f t="shared" si="19"/>
        <v>0</v>
      </c>
      <c r="AI17" s="919"/>
      <c r="AJ17" s="917">
        <f t="shared" si="20"/>
        <v>0</v>
      </c>
      <c r="AK17" s="918">
        <f t="shared" si="21"/>
        <v>0</v>
      </c>
      <c r="AL17" s="919"/>
      <c r="AM17" s="917">
        <f t="shared" si="22"/>
        <v>0</v>
      </c>
      <c r="AN17" s="920">
        <v>19242</v>
      </c>
      <c r="AO17" s="917">
        <f t="shared" si="23"/>
        <v>0</v>
      </c>
      <c r="AP17" s="920"/>
      <c r="AQ17" s="916">
        <f t="shared" si="24"/>
        <v>0</v>
      </c>
      <c r="AR17" s="917">
        <f t="shared" si="25"/>
        <v>34698.300000000003</v>
      </c>
      <c r="AS17" s="916">
        <v>12</v>
      </c>
      <c r="AT17" s="921">
        <f t="shared" si="26"/>
        <v>416379.6</v>
      </c>
      <c r="AU17" s="920"/>
      <c r="AV17" s="922">
        <f t="shared" si="27"/>
        <v>4163.8</v>
      </c>
      <c r="AW17" s="921">
        <f t="shared" si="28"/>
        <v>420543.4</v>
      </c>
      <c r="AX17" s="921">
        <f t="shared" si="29"/>
        <v>127004.11</v>
      </c>
      <c r="AY17" s="921">
        <f t="shared" si="30"/>
        <v>547547.51</v>
      </c>
      <c r="AZ17" s="923">
        <f t="shared" si="31"/>
        <v>420.5</v>
      </c>
      <c r="BA17" s="923">
        <f t="shared" si="32"/>
        <v>127</v>
      </c>
      <c r="BB17" s="923">
        <f t="shared" si="33"/>
        <v>547.5</v>
      </c>
      <c r="BC17" s="915">
        <v>0.95</v>
      </c>
      <c r="BD17" s="923">
        <f t="shared" si="34"/>
        <v>399.5</v>
      </c>
      <c r="BE17" s="923">
        <f t="shared" si="35"/>
        <v>120.6</v>
      </c>
      <c r="BF17" s="923">
        <f t="shared" si="36"/>
        <v>520.1</v>
      </c>
      <c r="BG17" s="924">
        <f>'[3]свод (2024)'!$B$116</f>
        <v>0.99758349999999996</v>
      </c>
      <c r="BH17" s="923">
        <f t="shared" si="37"/>
        <v>398.5</v>
      </c>
      <c r="BI17" s="923">
        <f t="shared" si="38"/>
        <v>120.3</v>
      </c>
      <c r="BJ17" s="923">
        <f t="shared" si="39"/>
        <v>518.79999999999995</v>
      </c>
      <c r="BK17" s="925">
        <f t="shared" si="40"/>
        <v>-22</v>
      </c>
      <c r="BL17" s="925">
        <f t="shared" si="40"/>
        <v>-6.7</v>
      </c>
      <c r="BM17" s="925">
        <f t="shared" si="41"/>
        <v>-28.7</v>
      </c>
      <c r="BN17" s="925">
        <f t="shared" si="42"/>
        <v>0</v>
      </c>
      <c r="BO17" s="925">
        <f t="shared" si="43"/>
        <v>0</v>
      </c>
      <c r="BP17" s="926"/>
      <c r="BQ17" s="925">
        <f t="shared" si="44"/>
        <v>398.5</v>
      </c>
      <c r="BR17" s="925">
        <f t="shared" si="44"/>
        <v>120.3</v>
      </c>
      <c r="BS17" s="925">
        <f t="shared" si="45"/>
        <v>518.79999999999995</v>
      </c>
      <c r="BU17" s="928"/>
      <c r="BV17" s="917"/>
      <c r="BW17" s="928"/>
      <c r="BX17" s="928"/>
      <c r="BY17" s="928"/>
      <c r="BZ17" s="917"/>
      <c r="CA17" s="928"/>
      <c r="CB17" s="917"/>
      <c r="CC17" s="928"/>
      <c r="CD17" s="928"/>
      <c r="CE17" s="928"/>
      <c r="CF17" s="929"/>
      <c r="CG17" s="928"/>
      <c r="CH17" s="928"/>
      <c r="CI17" s="928"/>
      <c r="CJ17" s="925"/>
      <c r="CK17" s="925"/>
      <c r="CL17" s="925"/>
      <c r="CM17" s="925"/>
      <c r="CN17" s="925"/>
      <c r="CO17" s="925"/>
      <c r="CP17" s="925"/>
      <c r="CQ17" s="925"/>
      <c r="CR17" s="925"/>
      <c r="CS17" s="917"/>
      <c r="CT17" s="928"/>
      <c r="CU17" s="928"/>
      <c r="CV17" s="928"/>
      <c r="CX17" s="925"/>
      <c r="CY17" s="925"/>
      <c r="CZ17" s="925"/>
      <c r="DB17" s="925"/>
      <c r="DC17" s="925"/>
      <c r="DD17" s="925"/>
      <c r="DE17" s="925"/>
      <c r="DF17" s="925"/>
      <c r="DG17" s="925"/>
      <c r="DH17" s="925"/>
      <c r="DI17" s="925"/>
      <c r="DJ17" s="925"/>
      <c r="DK17" s="925"/>
      <c r="DL17" s="925"/>
      <c r="DM17" s="925"/>
      <c r="DN17" s="925"/>
      <c r="DO17" s="925"/>
      <c r="DP17" s="925"/>
      <c r="DQ17" s="924"/>
      <c r="DR17" s="925"/>
      <c r="DS17" s="925"/>
      <c r="DT17" s="925"/>
      <c r="DV17" s="925"/>
      <c r="DW17" s="925"/>
      <c r="DX17" s="925"/>
      <c r="DY17" s="925"/>
      <c r="DZ17" s="925"/>
      <c r="EA17" s="925"/>
      <c r="EB17" s="925"/>
      <c r="EC17" s="925"/>
      <c r="ED17" s="925"/>
      <c r="EE17" s="925"/>
      <c r="EF17" s="925"/>
      <c r="EG17" s="925"/>
      <c r="EH17" s="925"/>
      <c r="EI17" s="925"/>
      <c r="EJ17" s="925"/>
      <c r="EK17" s="925"/>
      <c r="EL17" s="925"/>
      <c r="EM17" s="925"/>
      <c r="EN17" s="925"/>
      <c r="EO17" s="925"/>
      <c r="EP17" s="925"/>
      <c r="EQ17" s="925"/>
      <c r="ER17" s="925"/>
      <c r="ES17" s="925"/>
      <c r="ET17" s="925"/>
      <c r="EV17" s="924"/>
      <c r="EW17" s="925"/>
      <c r="EX17" s="925"/>
      <c r="EY17" s="925"/>
    </row>
    <row r="18" spans="1:155" s="927" customFormat="1" ht="24" x14ac:dyDescent="0.25">
      <c r="A18" s="912" t="s">
        <v>359</v>
      </c>
      <c r="B18" s="913" t="s">
        <v>1381</v>
      </c>
      <c r="C18" s="914">
        <v>4</v>
      </c>
      <c r="D18" s="914">
        <v>13466</v>
      </c>
      <c r="E18" s="915">
        <v>1.0549999999999999</v>
      </c>
      <c r="F18" s="916">
        <f t="shared" si="0"/>
        <v>14207</v>
      </c>
      <c r="G18" s="915">
        <v>1.01</v>
      </c>
      <c r="H18" s="916">
        <f t="shared" si="1"/>
        <v>14350</v>
      </c>
      <c r="I18" s="917">
        <f t="shared" si="2"/>
        <v>57400</v>
      </c>
      <c r="J18" s="918">
        <f t="shared" si="3"/>
        <v>0</v>
      </c>
      <c r="K18" s="919"/>
      <c r="L18" s="917">
        <f t="shared" si="4"/>
        <v>0</v>
      </c>
      <c r="M18" s="918">
        <f t="shared" si="5"/>
        <v>0</v>
      </c>
      <c r="N18" s="919"/>
      <c r="O18" s="917">
        <f t="shared" si="6"/>
        <v>0</v>
      </c>
      <c r="P18" s="918">
        <f t="shared" si="7"/>
        <v>2.5000000000000001E-2</v>
      </c>
      <c r="Q18" s="988">
        <f>D18*C18/C18*0.1</f>
        <v>1346.6</v>
      </c>
      <c r="R18" s="917">
        <f t="shared" si="8"/>
        <v>1435</v>
      </c>
      <c r="S18" s="918">
        <f t="shared" si="9"/>
        <v>0</v>
      </c>
      <c r="T18" s="919"/>
      <c r="U18" s="917">
        <f t="shared" si="10"/>
        <v>0</v>
      </c>
      <c r="V18" s="918">
        <f t="shared" si="11"/>
        <v>0</v>
      </c>
      <c r="W18" s="919"/>
      <c r="X18" s="917">
        <f t="shared" si="12"/>
        <v>0</v>
      </c>
      <c r="Y18" s="918">
        <f t="shared" si="13"/>
        <v>0.25</v>
      </c>
      <c r="Z18" s="919">
        <v>13466</v>
      </c>
      <c r="AA18" s="917">
        <f t="shared" si="14"/>
        <v>14350</v>
      </c>
      <c r="AB18" s="918">
        <f t="shared" si="15"/>
        <v>0.2</v>
      </c>
      <c r="AC18" s="919">
        <v>10772.8</v>
      </c>
      <c r="AD18" s="917">
        <f t="shared" si="16"/>
        <v>11480</v>
      </c>
      <c r="AE18" s="918">
        <f t="shared" si="17"/>
        <v>0</v>
      </c>
      <c r="AF18" s="919"/>
      <c r="AG18" s="917">
        <f t="shared" si="18"/>
        <v>0</v>
      </c>
      <c r="AH18" s="918">
        <f t="shared" si="19"/>
        <v>0</v>
      </c>
      <c r="AI18" s="919"/>
      <c r="AJ18" s="917">
        <f t="shared" si="20"/>
        <v>0</v>
      </c>
      <c r="AK18" s="918">
        <f t="shared" si="21"/>
        <v>0</v>
      </c>
      <c r="AL18" s="919"/>
      <c r="AM18" s="917">
        <f t="shared" si="22"/>
        <v>0</v>
      </c>
      <c r="AN18" s="920">
        <v>19242</v>
      </c>
      <c r="AO18" s="917">
        <f t="shared" si="23"/>
        <v>0</v>
      </c>
      <c r="AP18" s="920"/>
      <c r="AQ18" s="916">
        <f t="shared" si="24"/>
        <v>0</v>
      </c>
      <c r="AR18" s="917">
        <f t="shared" si="25"/>
        <v>84665</v>
      </c>
      <c r="AS18" s="916">
        <v>12</v>
      </c>
      <c r="AT18" s="921">
        <f t="shared" si="26"/>
        <v>1015980</v>
      </c>
      <c r="AU18" s="920"/>
      <c r="AV18" s="922">
        <f t="shared" si="27"/>
        <v>10159.799999999999</v>
      </c>
      <c r="AW18" s="921">
        <f t="shared" si="28"/>
        <v>1026139.8</v>
      </c>
      <c r="AX18" s="921">
        <f t="shared" si="29"/>
        <v>309894.21999999997</v>
      </c>
      <c r="AY18" s="921">
        <f t="shared" si="30"/>
        <v>1336034.02</v>
      </c>
      <c r="AZ18" s="923">
        <f t="shared" si="31"/>
        <v>1026.0999999999999</v>
      </c>
      <c r="BA18" s="923">
        <f t="shared" si="32"/>
        <v>309.89999999999998</v>
      </c>
      <c r="BB18" s="923">
        <f t="shared" si="33"/>
        <v>1336</v>
      </c>
      <c r="BC18" s="915">
        <v>0.95</v>
      </c>
      <c r="BD18" s="923">
        <f t="shared" si="34"/>
        <v>974.8</v>
      </c>
      <c r="BE18" s="923">
        <f t="shared" si="35"/>
        <v>294.39999999999998</v>
      </c>
      <c r="BF18" s="923">
        <f t="shared" si="36"/>
        <v>1269.2</v>
      </c>
      <c r="BG18" s="924">
        <f>'[3]свод (2024)'!$B$116</f>
        <v>0.99758349999999996</v>
      </c>
      <c r="BH18" s="923">
        <f t="shared" si="37"/>
        <v>972.4</v>
      </c>
      <c r="BI18" s="923">
        <f t="shared" si="38"/>
        <v>293.7</v>
      </c>
      <c r="BJ18" s="923">
        <f t="shared" si="39"/>
        <v>1266.0999999999999</v>
      </c>
      <c r="BK18" s="925">
        <f t="shared" si="40"/>
        <v>-53.7</v>
      </c>
      <c r="BL18" s="925">
        <f t="shared" si="40"/>
        <v>-16.2</v>
      </c>
      <c r="BM18" s="925">
        <f t="shared" si="41"/>
        <v>-69.900000000000006</v>
      </c>
      <c r="BN18" s="925">
        <f t="shared" si="42"/>
        <v>0</v>
      </c>
      <c r="BO18" s="925">
        <f t="shared" si="43"/>
        <v>0</v>
      </c>
      <c r="BP18" s="926"/>
      <c r="BQ18" s="925">
        <f t="shared" si="44"/>
        <v>972.4</v>
      </c>
      <c r="BR18" s="925">
        <f t="shared" si="44"/>
        <v>293.7</v>
      </c>
      <c r="BS18" s="925">
        <f t="shared" si="45"/>
        <v>1266.0999999999999</v>
      </c>
      <c r="BU18" s="928"/>
      <c r="BV18" s="917"/>
      <c r="BW18" s="928"/>
      <c r="BX18" s="928"/>
      <c r="BY18" s="928"/>
      <c r="BZ18" s="917"/>
      <c r="CA18" s="928"/>
      <c r="CB18" s="917"/>
      <c r="CC18" s="928"/>
      <c r="CD18" s="928"/>
      <c r="CE18" s="928"/>
      <c r="CF18" s="929"/>
      <c r="CG18" s="928"/>
      <c r="CH18" s="928"/>
      <c r="CI18" s="928"/>
      <c r="CJ18" s="925"/>
      <c r="CK18" s="925"/>
      <c r="CL18" s="925"/>
      <c r="CM18" s="925"/>
      <c r="CN18" s="925"/>
      <c r="CO18" s="925"/>
      <c r="CP18" s="925"/>
      <c r="CQ18" s="925"/>
      <c r="CR18" s="925"/>
      <c r="CS18" s="917"/>
      <c r="CT18" s="928"/>
      <c r="CU18" s="928"/>
      <c r="CV18" s="928"/>
      <c r="CX18" s="925"/>
      <c r="CY18" s="925"/>
      <c r="CZ18" s="925"/>
      <c r="DB18" s="925"/>
      <c r="DC18" s="925"/>
      <c r="DD18" s="925"/>
      <c r="DE18" s="925"/>
      <c r="DF18" s="925"/>
      <c r="DG18" s="925"/>
      <c r="DH18" s="925"/>
      <c r="DI18" s="925"/>
      <c r="DJ18" s="925"/>
      <c r="DK18" s="925"/>
      <c r="DL18" s="925"/>
      <c r="DM18" s="925"/>
      <c r="DN18" s="925"/>
      <c r="DO18" s="925"/>
      <c r="DP18" s="925"/>
      <c r="DQ18" s="924"/>
      <c r="DR18" s="925"/>
      <c r="DS18" s="925"/>
      <c r="DT18" s="925"/>
      <c r="DV18" s="925"/>
      <c r="DW18" s="925"/>
      <c r="DX18" s="925"/>
      <c r="DY18" s="925"/>
      <c r="DZ18" s="925"/>
      <c r="EA18" s="925"/>
      <c r="EB18" s="925"/>
      <c r="EC18" s="925"/>
      <c r="ED18" s="925"/>
      <c r="EE18" s="925"/>
      <c r="EF18" s="925"/>
      <c r="EG18" s="925"/>
      <c r="EH18" s="925"/>
      <c r="EI18" s="925"/>
      <c r="EJ18" s="925"/>
      <c r="EK18" s="925"/>
      <c r="EL18" s="925"/>
      <c r="EM18" s="925"/>
      <c r="EN18" s="925"/>
      <c r="EO18" s="925"/>
      <c r="EP18" s="925"/>
      <c r="EQ18" s="925"/>
      <c r="ER18" s="925"/>
      <c r="ES18" s="925"/>
      <c r="ET18" s="925"/>
      <c r="EV18" s="924"/>
      <c r="EW18" s="925"/>
      <c r="EX18" s="925"/>
      <c r="EY18" s="925"/>
    </row>
    <row r="19" spans="1:155" s="927" customFormat="1" ht="15.75" x14ac:dyDescent="0.25">
      <c r="A19" s="912" t="s">
        <v>359</v>
      </c>
      <c r="B19" s="913" t="s">
        <v>39</v>
      </c>
      <c r="C19" s="914">
        <v>1</v>
      </c>
      <c r="D19" s="914">
        <v>6097</v>
      </c>
      <c r="E19" s="915">
        <v>1.0549999999999999</v>
      </c>
      <c r="F19" s="916">
        <f t="shared" si="0"/>
        <v>6433</v>
      </c>
      <c r="G19" s="915">
        <v>1.01</v>
      </c>
      <c r="H19" s="916">
        <f t="shared" si="1"/>
        <v>6498</v>
      </c>
      <c r="I19" s="917">
        <f t="shared" si="2"/>
        <v>6498</v>
      </c>
      <c r="J19" s="918">
        <f t="shared" si="3"/>
        <v>0</v>
      </c>
      <c r="K19" s="919"/>
      <c r="L19" s="917">
        <f t="shared" si="4"/>
        <v>0</v>
      </c>
      <c r="M19" s="918">
        <f t="shared" si="5"/>
        <v>0</v>
      </c>
      <c r="N19" s="919"/>
      <c r="O19" s="917">
        <f t="shared" si="6"/>
        <v>0</v>
      </c>
      <c r="P19" s="918">
        <f t="shared" si="7"/>
        <v>0</v>
      </c>
      <c r="Q19" s="919"/>
      <c r="R19" s="917">
        <f t="shared" si="8"/>
        <v>0</v>
      </c>
      <c r="S19" s="918">
        <f t="shared" si="9"/>
        <v>0</v>
      </c>
      <c r="T19" s="919"/>
      <c r="U19" s="917">
        <f t="shared" si="10"/>
        <v>0</v>
      </c>
      <c r="V19" s="918">
        <f t="shared" si="11"/>
        <v>0</v>
      </c>
      <c r="W19" s="919"/>
      <c r="X19" s="917">
        <f t="shared" si="12"/>
        <v>0</v>
      </c>
      <c r="Y19" s="918">
        <f t="shared" si="13"/>
        <v>1.98</v>
      </c>
      <c r="Z19" s="919">
        <v>12072.06</v>
      </c>
      <c r="AA19" s="917">
        <f t="shared" si="14"/>
        <v>12866.04</v>
      </c>
      <c r="AB19" s="918">
        <f t="shared" si="15"/>
        <v>0.3</v>
      </c>
      <c r="AC19" s="919">
        <v>1829.1</v>
      </c>
      <c r="AD19" s="917">
        <f t="shared" si="16"/>
        <v>1949.4</v>
      </c>
      <c r="AE19" s="918">
        <f t="shared" si="17"/>
        <v>0</v>
      </c>
      <c r="AF19" s="919"/>
      <c r="AG19" s="917">
        <f t="shared" si="18"/>
        <v>0</v>
      </c>
      <c r="AH19" s="918">
        <f t="shared" si="19"/>
        <v>0</v>
      </c>
      <c r="AI19" s="919"/>
      <c r="AJ19" s="917">
        <f t="shared" si="20"/>
        <v>0</v>
      </c>
      <c r="AK19" s="918">
        <f t="shared" si="21"/>
        <v>0</v>
      </c>
      <c r="AL19" s="919"/>
      <c r="AM19" s="917">
        <f t="shared" si="22"/>
        <v>0</v>
      </c>
      <c r="AN19" s="920">
        <v>19242</v>
      </c>
      <c r="AO19" s="917">
        <f t="shared" si="23"/>
        <v>0</v>
      </c>
      <c r="AP19" s="920"/>
      <c r="AQ19" s="916">
        <f t="shared" si="24"/>
        <v>0</v>
      </c>
      <c r="AR19" s="917">
        <f t="shared" si="25"/>
        <v>21313.439999999999</v>
      </c>
      <c r="AS19" s="916">
        <v>12</v>
      </c>
      <c r="AT19" s="921">
        <f t="shared" si="26"/>
        <v>255761.28</v>
      </c>
      <c r="AU19" s="920"/>
      <c r="AV19" s="922">
        <f t="shared" si="27"/>
        <v>2557.61</v>
      </c>
      <c r="AW19" s="921">
        <f t="shared" si="28"/>
        <v>258318.89</v>
      </c>
      <c r="AX19" s="921">
        <f t="shared" si="29"/>
        <v>78012.3</v>
      </c>
      <c r="AY19" s="921">
        <f t="shared" si="30"/>
        <v>336331.19</v>
      </c>
      <c r="AZ19" s="923">
        <f t="shared" si="31"/>
        <v>258.3</v>
      </c>
      <c r="BA19" s="923">
        <f t="shared" si="32"/>
        <v>78</v>
      </c>
      <c r="BB19" s="923">
        <f t="shared" si="33"/>
        <v>336.3</v>
      </c>
      <c r="BC19" s="915">
        <v>0.95</v>
      </c>
      <c r="BD19" s="923">
        <f t="shared" si="34"/>
        <v>245.4</v>
      </c>
      <c r="BE19" s="923">
        <f t="shared" si="35"/>
        <v>74.099999999999994</v>
      </c>
      <c r="BF19" s="923">
        <f t="shared" si="36"/>
        <v>319.5</v>
      </c>
      <c r="BG19" s="924">
        <f>'[3]свод (2024)'!$B$116</f>
        <v>0.99758349999999996</v>
      </c>
      <c r="BH19" s="923">
        <f t="shared" si="37"/>
        <v>244.8</v>
      </c>
      <c r="BI19" s="923">
        <f t="shared" si="38"/>
        <v>73.900000000000006</v>
      </c>
      <c r="BJ19" s="923">
        <f t="shared" si="39"/>
        <v>318.7</v>
      </c>
      <c r="BK19" s="925">
        <f t="shared" si="40"/>
        <v>-13.5</v>
      </c>
      <c r="BL19" s="925">
        <f t="shared" si="40"/>
        <v>-4.0999999999999996</v>
      </c>
      <c r="BM19" s="925">
        <f t="shared" si="41"/>
        <v>-17.600000000000001</v>
      </c>
      <c r="BN19" s="925">
        <f t="shared" si="42"/>
        <v>0</v>
      </c>
      <c r="BO19" s="925">
        <f t="shared" si="43"/>
        <v>0</v>
      </c>
      <c r="BP19" s="926"/>
      <c r="BQ19" s="925">
        <f t="shared" si="44"/>
        <v>244.8</v>
      </c>
      <c r="BR19" s="925">
        <f t="shared" si="44"/>
        <v>73.900000000000006</v>
      </c>
      <c r="BS19" s="925">
        <f t="shared" si="45"/>
        <v>318.7</v>
      </c>
      <c r="BU19" s="928"/>
      <c r="BV19" s="917"/>
      <c r="BW19" s="928"/>
      <c r="BX19" s="928"/>
      <c r="BY19" s="928"/>
      <c r="BZ19" s="917"/>
      <c r="CA19" s="928"/>
      <c r="CB19" s="917"/>
      <c r="CC19" s="928"/>
      <c r="CD19" s="928"/>
      <c r="CE19" s="928"/>
      <c r="CF19" s="929"/>
      <c r="CG19" s="928"/>
      <c r="CH19" s="928"/>
      <c r="CI19" s="928"/>
      <c r="CJ19" s="925"/>
      <c r="CK19" s="925"/>
      <c r="CL19" s="925"/>
      <c r="CM19" s="925"/>
      <c r="CN19" s="925"/>
      <c r="CO19" s="925"/>
      <c r="CP19" s="925"/>
      <c r="CQ19" s="925"/>
      <c r="CR19" s="925"/>
      <c r="CS19" s="917"/>
      <c r="CT19" s="928"/>
      <c r="CU19" s="928"/>
      <c r="CV19" s="928"/>
      <c r="CX19" s="925"/>
      <c r="CY19" s="925"/>
      <c r="CZ19" s="925"/>
      <c r="DB19" s="925"/>
      <c r="DC19" s="925"/>
      <c r="DD19" s="925"/>
      <c r="DE19" s="925"/>
      <c r="DF19" s="925"/>
      <c r="DG19" s="925"/>
      <c r="DH19" s="925"/>
      <c r="DI19" s="925"/>
      <c r="DJ19" s="925"/>
      <c r="DK19" s="925"/>
      <c r="DL19" s="925"/>
      <c r="DM19" s="925"/>
      <c r="DN19" s="925"/>
      <c r="DO19" s="925"/>
      <c r="DP19" s="925"/>
      <c r="DQ19" s="924"/>
      <c r="DR19" s="925"/>
      <c r="DS19" s="925"/>
      <c r="DT19" s="925"/>
      <c r="DV19" s="925"/>
      <c r="DW19" s="925"/>
      <c r="DX19" s="925"/>
      <c r="DY19" s="925"/>
      <c r="DZ19" s="925"/>
      <c r="EA19" s="925"/>
      <c r="EB19" s="925"/>
      <c r="EC19" s="925"/>
      <c r="ED19" s="925"/>
      <c r="EE19" s="925"/>
      <c r="EF19" s="925"/>
      <c r="EG19" s="925"/>
      <c r="EH19" s="925"/>
      <c r="EI19" s="925"/>
      <c r="EJ19" s="925"/>
      <c r="EK19" s="925"/>
      <c r="EL19" s="925"/>
      <c r="EM19" s="925"/>
      <c r="EN19" s="925"/>
      <c r="EO19" s="925"/>
      <c r="EP19" s="925"/>
      <c r="EQ19" s="925"/>
      <c r="ER19" s="925"/>
      <c r="ES19" s="925"/>
      <c r="ET19" s="925"/>
      <c r="EV19" s="924"/>
      <c r="EW19" s="925"/>
      <c r="EX19" s="925"/>
      <c r="EY19" s="925"/>
    </row>
    <row r="20" spans="1:155" s="927" customFormat="1" ht="24" x14ac:dyDescent="0.25">
      <c r="A20" s="912" t="s">
        <v>359</v>
      </c>
      <c r="B20" s="913" t="s">
        <v>1382</v>
      </c>
      <c r="C20" s="914">
        <v>1</v>
      </c>
      <c r="D20" s="914">
        <v>22542</v>
      </c>
      <c r="E20" s="915">
        <v>1.0549999999999999</v>
      </c>
      <c r="F20" s="916">
        <f t="shared" si="0"/>
        <v>23782</v>
      </c>
      <c r="G20" s="915">
        <v>1.01</v>
      </c>
      <c r="H20" s="916">
        <f t="shared" si="1"/>
        <v>24020</v>
      </c>
      <c r="I20" s="917">
        <f t="shared" si="2"/>
        <v>24020</v>
      </c>
      <c r="J20" s="918">
        <f t="shared" si="3"/>
        <v>0</v>
      </c>
      <c r="K20" s="919"/>
      <c r="L20" s="917">
        <f t="shared" si="4"/>
        <v>0</v>
      </c>
      <c r="M20" s="918">
        <f t="shared" si="5"/>
        <v>0</v>
      </c>
      <c r="N20" s="919"/>
      <c r="O20" s="917">
        <f t="shared" si="6"/>
        <v>0</v>
      </c>
      <c r="P20" s="918">
        <f t="shared" si="7"/>
        <v>0.1</v>
      </c>
      <c r="Q20" s="988">
        <f>D20*C20/C20*0.1</f>
        <v>2254.1999999999998</v>
      </c>
      <c r="R20" s="917">
        <f t="shared" si="8"/>
        <v>2402</v>
      </c>
      <c r="S20" s="918">
        <f t="shared" si="9"/>
        <v>0</v>
      </c>
      <c r="T20" s="919"/>
      <c r="U20" s="917">
        <f t="shared" si="10"/>
        <v>0</v>
      </c>
      <c r="V20" s="918">
        <f t="shared" si="11"/>
        <v>0</v>
      </c>
      <c r="W20" s="919"/>
      <c r="X20" s="917">
        <f t="shared" si="12"/>
        <v>0</v>
      </c>
      <c r="Y20" s="918">
        <f t="shared" si="13"/>
        <v>0</v>
      </c>
      <c r="Z20" s="919"/>
      <c r="AA20" s="917">
        <f t="shared" si="14"/>
        <v>0</v>
      </c>
      <c r="AB20" s="918">
        <f t="shared" si="15"/>
        <v>0.2</v>
      </c>
      <c r="AC20" s="919">
        <v>4508.3999999999996</v>
      </c>
      <c r="AD20" s="917">
        <f t="shared" si="16"/>
        <v>4804</v>
      </c>
      <c r="AE20" s="918">
        <f t="shared" si="17"/>
        <v>0</v>
      </c>
      <c r="AF20" s="919"/>
      <c r="AG20" s="917">
        <f t="shared" si="18"/>
        <v>0</v>
      </c>
      <c r="AH20" s="918">
        <f t="shared" si="19"/>
        <v>0</v>
      </c>
      <c r="AI20" s="919"/>
      <c r="AJ20" s="917">
        <f t="shared" si="20"/>
        <v>0</v>
      </c>
      <c r="AK20" s="918">
        <f t="shared" si="21"/>
        <v>0</v>
      </c>
      <c r="AL20" s="919"/>
      <c r="AM20" s="917">
        <f t="shared" si="22"/>
        <v>0</v>
      </c>
      <c r="AN20" s="920">
        <v>19242</v>
      </c>
      <c r="AO20" s="917">
        <f t="shared" si="23"/>
        <v>0</v>
      </c>
      <c r="AP20" s="920"/>
      <c r="AQ20" s="916">
        <f t="shared" si="24"/>
        <v>0</v>
      </c>
      <c r="AR20" s="917">
        <f t="shared" si="25"/>
        <v>31226</v>
      </c>
      <c r="AS20" s="916">
        <v>12</v>
      </c>
      <c r="AT20" s="921">
        <f t="shared" si="26"/>
        <v>374712</v>
      </c>
      <c r="AU20" s="920"/>
      <c r="AV20" s="922">
        <f t="shared" si="27"/>
        <v>3747.12</v>
      </c>
      <c r="AW20" s="921">
        <f t="shared" si="28"/>
        <v>378459.12</v>
      </c>
      <c r="AX20" s="921">
        <f t="shared" si="29"/>
        <v>114294.65</v>
      </c>
      <c r="AY20" s="921">
        <f t="shared" si="30"/>
        <v>492753.77</v>
      </c>
      <c r="AZ20" s="923">
        <f t="shared" si="31"/>
        <v>378.5</v>
      </c>
      <c r="BA20" s="923">
        <f t="shared" si="32"/>
        <v>114.3</v>
      </c>
      <c r="BB20" s="923">
        <f t="shared" si="33"/>
        <v>492.8</v>
      </c>
      <c r="BC20" s="915">
        <v>0.95</v>
      </c>
      <c r="BD20" s="923">
        <f t="shared" si="34"/>
        <v>359.6</v>
      </c>
      <c r="BE20" s="923">
        <f t="shared" si="35"/>
        <v>108.6</v>
      </c>
      <c r="BF20" s="923">
        <f t="shared" si="36"/>
        <v>468.2</v>
      </c>
      <c r="BG20" s="924">
        <f>'[3]свод (2024)'!$B$116</f>
        <v>0.99758349999999996</v>
      </c>
      <c r="BH20" s="923">
        <f t="shared" si="37"/>
        <v>358.7</v>
      </c>
      <c r="BI20" s="923">
        <f t="shared" si="38"/>
        <v>108.3</v>
      </c>
      <c r="BJ20" s="923">
        <f t="shared" si="39"/>
        <v>467</v>
      </c>
      <c r="BK20" s="925">
        <f t="shared" si="40"/>
        <v>-19.8</v>
      </c>
      <c r="BL20" s="925">
        <f t="shared" si="40"/>
        <v>-6</v>
      </c>
      <c r="BM20" s="925">
        <f t="shared" si="41"/>
        <v>-25.8</v>
      </c>
      <c r="BN20" s="925">
        <f t="shared" si="42"/>
        <v>0</v>
      </c>
      <c r="BO20" s="925">
        <f t="shared" si="43"/>
        <v>0</v>
      </c>
      <c r="BP20" s="926"/>
      <c r="BQ20" s="925">
        <f t="shared" si="44"/>
        <v>358.7</v>
      </c>
      <c r="BR20" s="925">
        <f t="shared" si="44"/>
        <v>108.3</v>
      </c>
      <c r="BS20" s="925">
        <f t="shared" si="45"/>
        <v>467</v>
      </c>
      <c r="BU20" s="928"/>
      <c r="BV20" s="917"/>
      <c r="BW20" s="928"/>
      <c r="BX20" s="928"/>
      <c r="BY20" s="928"/>
      <c r="BZ20" s="917"/>
      <c r="CA20" s="928"/>
      <c r="CB20" s="917"/>
      <c r="CC20" s="928"/>
      <c r="CD20" s="928"/>
      <c r="CE20" s="928"/>
      <c r="CF20" s="929"/>
      <c r="CG20" s="928"/>
      <c r="CH20" s="928"/>
      <c r="CI20" s="928"/>
      <c r="CJ20" s="925"/>
      <c r="CK20" s="925"/>
      <c r="CL20" s="925"/>
      <c r="CM20" s="925"/>
      <c r="CN20" s="925"/>
      <c r="CO20" s="925"/>
      <c r="CP20" s="925"/>
      <c r="CQ20" s="925"/>
      <c r="CR20" s="925"/>
      <c r="CS20" s="917"/>
      <c r="CT20" s="928"/>
      <c r="CU20" s="928"/>
      <c r="CV20" s="928"/>
      <c r="CX20" s="925"/>
      <c r="CY20" s="925"/>
      <c r="CZ20" s="925"/>
      <c r="DB20" s="925"/>
      <c r="DC20" s="925"/>
      <c r="DD20" s="925"/>
      <c r="DE20" s="925"/>
      <c r="DF20" s="925"/>
      <c r="DG20" s="925"/>
      <c r="DH20" s="925"/>
      <c r="DI20" s="925"/>
      <c r="DJ20" s="925"/>
      <c r="DK20" s="925"/>
      <c r="DL20" s="925"/>
      <c r="DM20" s="925"/>
      <c r="DN20" s="925"/>
      <c r="DO20" s="925"/>
      <c r="DP20" s="925"/>
      <c r="DQ20" s="924"/>
      <c r="DR20" s="925"/>
      <c r="DS20" s="925"/>
      <c r="DT20" s="925"/>
      <c r="DV20" s="925"/>
      <c r="DW20" s="925"/>
      <c r="DX20" s="925"/>
      <c r="DY20" s="925"/>
      <c r="DZ20" s="925"/>
      <c r="EA20" s="925"/>
      <c r="EB20" s="925"/>
      <c r="EC20" s="925"/>
      <c r="ED20" s="925"/>
      <c r="EE20" s="925"/>
      <c r="EF20" s="925"/>
      <c r="EG20" s="925"/>
      <c r="EH20" s="925"/>
      <c r="EI20" s="925"/>
      <c r="EJ20" s="925"/>
      <c r="EK20" s="925"/>
      <c r="EL20" s="925"/>
      <c r="EM20" s="925"/>
      <c r="EN20" s="925"/>
      <c r="EO20" s="925"/>
      <c r="EP20" s="925"/>
      <c r="EQ20" s="925"/>
      <c r="ER20" s="925"/>
      <c r="ES20" s="925"/>
      <c r="ET20" s="925"/>
      <c r="EV20" s="924"/>
      <c r="EW20" s="925"/>
      <c r="EX20" s="925"/>
      <c r="EY20" s="925"/>
    </row>
    <row r="21" spans="1:155" s="927" customFormat="1" ht="15.75" x14ac:dyDescent="0.25">
      <c r="A21" s="912" t="s">
        <v>359</v>
      </c>
      <c r="B21" s="913" t="s">
        <v>1383</v>
      </c>
      <c r="C21" s="914">
        <v>1</v>
      </c>
      <c r="D21" s="914">
        <v>22542</v>
      </c>
      <c r="E21" s="915">
        <v>1.0549999999999999</v>
      </c>
      <c r="F21" s="916">
        <f t="shared" si="0"/>
        <v>23782</v>
      </c>
      <c r="G21" s="915">
        <v>1.01</v>
      </c>
      <c r="H21" s="916">
        <f t="shared" si="1"/>
        <v>24020</v>
      </c>
      <c r="I21" s="917">
        <f t="shared" si="2"/>
        <v>24020</v>
      </c>
      <c r="J21" s="918">
        <f t="shared" si="3"/>
        <v>0</v>
      </c>
      <c r="K21" s="919"/>
      <c r="L21" s="917">
        <f t="shared" si="4"/>
        <v>0</v>
      </c>
      <c r="M21" s="918">
        <f t="shared" si="5"/>
        <v>0</v>
      </c>
      <c r="N21" s="919"/>
      <c r="O21" s="917">
        <f t="shared" si="6"/>
        <v>0</v>
      </c>
      <c r="P21" s="918">
        <f t="shared" si="7"/>
        <v>0</v>
      </c>
      <c r="Q21" s="919"/>
      <c r="R21" s="917">
        <f t="shared" si="8"/>
        <v>0</v>
      </c>
      <c r="S21" s="918">
        <f t="shared" si="9"/>
        <v>0</v>
      </c>
      <c r="T21" s="919"/>
      <c r="U21" s="917">
        <f t="shared" si="10"/>
        <v>0</v>
      </c>
      <c r="V21" s="918">
        <f t="shared" si="11"/>
        <v>0</v>
      </c>
      <c r="W21" s="919"/>
      <c r="X21" s="917">
        <f t="shared" si="12"/>
        <v>0</v>
      </c>
      <c r="Y21" s="918">
        <f t="shared" si="13"/>
        <v>0</v>
      </c>
      <c r="Z21" s="919"/>
      <c r="AA21" s="917">
        <f t="shared" si="14"/>
        <v>0</v>
      </c>
      <c r="AB21" s="918">
        <f t="shared" si="15"/>
        <v>0.29997000000000001</v>
      </c>
      <c r="AC21" s="919">
        <v>6762</v>
      </c>
      <c r="AD21" s="917">
        <f t="shared" si="16"/>
        <v>7205.28</v>
      </c>
      <c r="AE21" s="918">
        <f t="shared" si="17"/>
        <v>0</v>
      </c>
      <c r="AF21" s="919"/>
      <c r="AG21" s="917">
        <f t="shared" si="18"/>
        <v>0</v>
      </c>
      <c r="AH21" s="918">
        <f t="shared" si="19"/>
        <v>0</v>
      </c>
      <c r="AI21" s="919"/>
      <c r="AJ21" s="917">
        <f t="shared" si="20"/>
        <v>0</v>
      </c>
      <c r="AK21" s="918">
        <f t="shared" si="21"/>
        <v>0</v>
      </c>
      <c r="AL21" s="919"/>
      <c r="AM21" s="917">
        <f t="shared" si="22"/>
        <v>0</v>
      </c>
      <c r="AN21" s="920">
        <v>19242</v>
      </c>
      <c r="AO21" s="917">
        <f t="shared" si="23"/>
        <v>0</v>
      </c>
      <c r="AP21" s="920"/>
      <c r="AQ21" s="916">
        <f t="shared" si="24"/>
        <v>0</v>
      </c>
      <c r="AR21" s="917">
        <f t="shared" si="25"/>
        <v>31225.279999999999</v>
      </c>
      <c r="AS21" s="916">
        <v>12</v>
      </c>
      <c r="AT21" s="921">
        <f t="shared" si="26"/>
        <v>374703.35999999999</v>
      </c>
      <c r="AU21" s="920"/>
      <c r="AV21" s="922">
        <f t="shared" si="27"/>
        <v>3747.03</v>
      </c>
      <c r="AW21" s="921">
        <f t="shared" si="28"/>
        <v>378450.39</v>
      </c>
      <c r="AX21" s="921">
        <f t="shared" si="29"/>
        <v>114292.02</v>
      </c>
      <c r="AY21" s="921">
        <f t="shared" si="30"/>
        <v>492742.41</v>
      </c>
      <c r="AZ21" s="923">
        <f t="shared" si="31"/>
        <v>378.5</v>
      </c>
      <c r="BA21" s="923">
        <f t="shared" si="32"/>
        <v>114.3</v>
      </c>
      <c r="BB21" s="923">
        <f t="shared" si="33"/>
        <v>492.8</v>
      </c>
      <c r="BC21" s="915">
        <v>0.95</v>
      </c>
      <c r="BD21" s="923">
        <f t="shared" si="34"/>
        <v>359.6</v>
      </c>
      <c r="BE21" s="923">
        <f t="shared" si="35"/>
        <v>108.6</v>
      </c>
      <c r="BF21" s="923">
        <f t="shared" si="36"/>
        <v>468.2</v>
      </c>
      <c r="BG21" s="924">
        <f>'[3]свод (2024)'!$B$116</f>
        <v>0.99758349999999996</v>
      </c>
      <c r="BH21" s="923">
        <f t="shared" si="37"/>
        <v>358.7</v>
      </c>
      <c r="BI21" s="923">
        <f t="shared" si="38"/>
        <v>108.3</v>
      </c>
      <c r="BJ21" s="923">
        <f t="shared" si="39"/>
        <v>467</v>
      </c>
      <c r="BK21" s="925">
        <f t="shared" si="40"/>
        <v>-19.8</v>
      </c>
      <c r="BL21" s="925">
        <f t="shared" si="40"/>
        <v>-6</v>
      </c>
      <c r="BM21" s="925">
        <f t="shared" si="41"/>
        <v>-25.8</v>
      </c>
      <c r="BN21" s="925">
        <f t="shared" si="42"/>
        <v>0</v>
      </c>
      <c r="BO21" s="925">
        <f t="shared" si="43"/>
        <v>0</v>
      </c>
      <c r="BP21" s="926"/>
      <c r="BQ21" s="925">
        <f t="shared" si="44"/>
        <v>358.7</v>
      </c>
      <c r="BR21" s="925">
        <f t="shared" si="44"/>
        <v>108.3</v>
      </c>
      <c r="BS21" s="925">
        <f t="shared" si="45"/>
        <v>467</v>
      </c>
      <c r="BU21" s="928"/>
      <c r="BV21" s="917"/>
      <c r="BW21" s="928"/>
      <c r="BX21" s="928"/>
      <c r="BY21" s="928"/>
      <c r="BZ21" s="917"/>
      <c r="CA21" s="928"/>
      <c r="CB21" s="917"/>
      <c r="CC21" s="928"/>
      <c r="CD21" s="928"/>
      <c r="CE21" s="928"/>
      <c r="CF21" s="929"/>
      <c r="CG21" s="928"/>
      <c r="CH21" s="928"/>
      <c r="CI21" s="928"/>
      <c r="CJ21" s="925"/>
      <c r="CK21" s="925"/>
      <c r="CL21" s="925"/>
      <c r="CM21" s="925"/>
      <c r="CN21" s="925"/>
      <c r="CO21" s="925"/>
      <c r="CP21" s="925"/>
      <c r="CQ21" s="925"/>
      <c r="CR21" s="925"/>
      <c r="CS21" s="917"/>
      <c r="CT21" s="928"/>
      <c r="CU21" s="928"/>
      <c r="CV21" s="928"/>
      <c r="CX21" s="925"/>
      <c r="CY21" s="925"/>
      <c r="CZ21" s="925"/>
      <c r="DB21" s="925"/>
      <c r="DC21" s="925"/>
      <c r="DD21" s="925"/>
      <c r="DE21" s="925"/>
      <c r="DF21" s="925"/>
      <c r="DG21" s="925"/>
      <c r="DH21" s="925"/>
      <c r="DI21" s="925"/>
      <c r="DJ21" s="925"/>
      <c r="DK21" s="925"/>
      <c r="DL21" s="925"/>
      <c r="DM21" s="925"/>
      <c r="DN21" s="925"/>
      <c r="DO21" s="925"/>
      <c r="DP21" s="925"/>
      <c r="DQ21" s="924"/>
      <c r="DR21" s="925"/>
      <c r="DS21" s="925"/>
      <c r="DT21" s="925"/>
      <c r="DV21" s="925"/>
      <c r="DW21" s="925"/>
      <c r="DX21" s="925"/>
      <c r="DY21" s="925"/>
      <c r="DZ21" s="925"/>
      <c r="EA21" s="925"/>
      <c r="EB21" s="925"/>
      <c r="EC21" s="925"/>
      <c r="ED21" s="925"/>
      <c r="EE21" s="925"/>
      <c r="EF21" s="925"/>
      <c r="EG21" s="925"/>
      <c r="EH21" s="925"/>
      <c r="EI21" s="925"/>
      <c r="EJ21" s="925"/>
      <c r="EK21" s="925"/>
      <c r="EL21" s="925"/>
      <c r="EM21" s="925"/>
      <c r="EN21" s="925"/>
      <c r="EO21" s="925"/>
      <c r="EP21" s="925"/>
      <c r="EQ21" s="925"/>
      <c r="ER21" s="925"/>
      <c r="ES21" s="925"/>
      <c r="ET21" s="925"/>
      <c r="EV21" s="924"/>
      <c r="EW21" s="925"/>
      <c r="EX21" s="925"/>
      <c r="EY21" s="925"/>
    </row>
    <row r="22" spans="1:155" s="927" customFormat="1" ht="24" x14ac:dyDescent="0.25">
      <c r="A22" s="912" t="s">
        <v>359</v>
      </c>
      <c r="B22" s="913" t="s">
        <v>1384</v>
      </c>
      <c r="C22" s="914">
        <v>1</v>
      </c>
      <c r="D22" s="914">
        <v>22542</v>
      </c>
      <c r="E22" s="915">
        <v>1.0549999999999999</v>
      </c>
      <c r="F22" s="916">
        <f t="shared" si="0"/>
        <v>23782</v>
      </c>
      <c r="G22" s="915">
        <v>1.01</v>
      </c>
      <c r="H22" s="916">
        <f t="shared" si="1"/>
        <v>24020</v>
      </c>
      <c r="I22" s="917">
        <f t="shared" si="2"/>
        <v>24020</v>
      </c>
      <c r="J22" s="918">
        <f t="shared" si="3"/>
        <v>0</v>
      </c>
      <c r="K22" s="919"/>
      <c r="L22" s="917">
        <f t="shared" si="4"/>
        <v>0</v>
      </c>
      <c r="M22" s="918">
        <f t="shared" si="5"/>
        <v>0</v>
      </c>
      <c r="N22" s="919"/>
      <c r="O22" s="917">
        <f t="shared" si="6"/>
        <v>0</v>
      </c>
      <c r="P22" s="918">
        <f t="shared" si="7"/>
        <v>0.1</v>
      </c>
      <c r="Q22" s="988">
        <f>D22*C22/C22*0.1</f>
        <v>2254.1999999999998</v>
      </c>
      <c r="R22" s="917">
        <f t="shared" si="8"/>
        <v>2402</v>
      </c>
      <c r="S22" s="918">
        <f t="shared" si="9"/>
        <v>0</v>
      </c>
      <c r="T22" s="919"/>
      <c r="U22" s="917">
        <f t="shared" si="10"/>
        <v>0</v>
      </c>
      <c r="V22" s="918">
        <f t="shared" si="11"/>
        <v>0</v>
      </c>
      <c r="W22" s="919"/>
      <c r="X22" s="917">
        <f t="shared" si="12"/>
        <v>0</v>
      </c>
      <c r="Y22" s="918">
        <f t="shared" si="13"/>
        <v>0</v>
      </c>
      <c r="Z22" s="919"/>
      <c r="AA22" s="917">
        <f t="shared" si="14"/>
        <v>0</v>
      </c>
      <c r="AB22" s="918">
        <f t="shared" si="15"/>
        <v>0.2</v>
      </c>
      <c r="AC22" s="919">
        <v>4508.3999999999996</v>
      </c>
      <c r="AD22" s="917">
        <f t="shared" si="16"/>
        <v>4804</v>
      </c>
      <c r="AE22" s="918">
        <f t="shared" si="17"/>
        <v>0</v>
      </c>
      <c r="AF22" s="919"/>
      <c r="AG22" s="917">
        <f t="shared" si="18"/>
        <v>0</v>
      </c>
      <c r="AH22" s="918">
        <f t="shared" si="19"/>
        <v>0</v>
      </c>
      <c r="AI22" s="919"/>
      <c r="AJ22" s="917">
        <f t="shared" si="20"/>
        <v>0</v>
      </c>
      <c r="AK22" s="918">
        <f t="shared" si="21"/>
        <v>0</v>
      </c>
      <c r="AL22" s="919"/>
      <c r="AM22" s="917">
        <f t="shared" si="22"/>
        <v>0</v>
      </c>
      <c r="AN22" s="920">
        <v>19242</v>
      </c>
      <c r="AO22" s="917">
        <f t="shared" si="23"/>
        <v>0</v>
      </c>
      <c r="AP22" s="920"/>
      <c r="AQ22" s="916">
        <f t="shared" si="24"/>
        <v>0</v>
      </c>
      <c r="AR22" s="917">
        <f t="shared" si="25"/>
        <v>31226</v>
      </c>
      <c r="AS22" s="916">
        <v>12</v>
      </c>
      <c r="AT22" s="921">
        <f t="shared" si="26"/>
        <v>374712</v>
      </c>
      <c r="AU22" s="920"/>
      <c r="AV22" s="922">
        <f t="shared" si="27"/>
        <v>3747.12</v>
      </c>
      <c r="AW22" s="921">
        <f t="shared" si="28"/>
        <v>378459.12</v>
      </c>
      <c r="AX22" s="921">
        <f t="shared" si="29"/>
        <v>114294.65</v>
      </c>
      <c r="AY22" s="921">
        <f t="shared" si="30"/>
        <v>492753.77</v>
      </c>
      <c r="AZ22" s="923">
        <f t="shared" si="31"/>
        <v>378.5</v>
      </c>
      <c r="BA22" s="923">
        <f t="shared" si="32"/>
        <v>114.3</v>
      </c>
      <c r="BB22" s="923">
        <f t="shared" si="33"/>
        <v>492.8</v>
      </c>
      <c r="BC22" s="915">
        <v>0.95</v>
      </c>
      <c r="BD22" s="923">
        <f t="shared" si="34"/>
        <v>359.6</v>
      </c>
      <c r="BE22" s="923">
        <f t="shared" si="35"/>
        <v>108.6</v>
      </c>
      <c r="BF22" s="923">
        <f t="shared" si="36"/>
        <v>468.2</v>
      </c>
      <c r="BG22" s="924">
        <f>'[3]свод (2024)'!$B$116</f>
        <v>0.99758349999999996</v>
      </c>
      <c r="BH22" s="923">
        <f t="shared" si="37"/>
        <v>358.7</v>
      </c>
      <c r="BI22" s="923">
        <f t="shared" si="38"/>
        <v>108.3</v>
      </c>
      <c r="BJ22" s="923">
        <f t="shared" si="39"/>
        <v>467</v>
      </c>
      <c r="BK22" s="925">
        <f t="shared" si="40"/>
        <v>-19.8</v>
      </c>
      <c r="BL22" s="925">
        <f t="shared" si="40"/>
        <v>-6</v>
      </c>
      <c r="BM22" s="925">
        <f t="shared" si="41"/>
        <v>-25.8</v>
      </c>
      <c r="BN22" s="925">
        <f t="shared" si="42"/>
        <v>0</v>
      </c>
      <c r="BO22" s="925">
        <f t="shared" si="43"/>
        <v>0</v>
      </c>
      <c r="BP22" s="926"/>
      <c r="BQ22" s="925">
        <f t="shared" si="44"/>
        <v>358.7</v>
      </c>
      <c r="BR22" s="925">
        <f t="shared" si="44"/>
        <v>108.3</v>
      </c>
      <c r="BS22" s="925">
        <f t="shared" si="45"/>
        <v>467</v>
      </c>
      <c r="BU22" s="928"/>
      <c r="BV22" s="917"/>
      <c r="BW22" s="928"/>
      <c r="BX22" s="928"/>
      <c r="BY22" s="928"/>
      <c r="BZ22" s="917"/>
      <c r="CA22" s="928"/>
      <c r="CB22" s="917"/>
      <c r="CC22" s="928"/>
      <c r="CD22" s="928"/>
      <c r="CE22" s="928"/>
      <c r="CF22" s="929"/>
      <c r="CG22" s="928"/>
      <c r="CH22" s="928"/>
      <c r="CI22" s="928"/>
      <c r="CJ22" s="925"/>
      <c r="CK22" s="925"/>
      <c r="CL22" s="925"/>
      <c r="CM22" s="925"/>
      <c r="CN22" s="925"/>
      <c r="CO22" s="925"/>
      <c r="CP22" s="925"/>
      <c r="CQ22" s="925"/>
      <c r="CR22" s="925"/>
      <c r="CS22" s="917"/>
      <c r="CT22" s="928"/>
      <c r="CU22" s="928"/>
      <c r="CV22" s="928"/>
      <c r="CX22" s="925"/>
      <c r="CY22" s="925"/>
      <c r="CZ22" s="925"/>
      <c r="DB22" s="925"/>
      <c r="DC22" s="925"/>
      <c r="DD22" s="925"/>
      <c r="DE22" s="925"/>
      <c r="DF22" s="925"/>
      <c r="DG22" s="925"/>
      <c r="DH22" s="925"/>
      <c r="DI22" s="925"/>
      <c r="DJ22" s="925"/>
      <c r="DK22" s="925"/>
      <c r="DL22" s="925"/>
      <c r="DM22" s="925"/>
      <c r="DN22" s="925"/>
      <c r="DO22" s="925"/>
      <c r="DP22" s="925"/>
      <c r="DQ22" s="924"/>
      <c r="DR22" s="925"/>
      <c r="DS22" s="925"/>
      <c r="DT22" s="925"/>
      <c r="DV22" s="925"/>
      <c r="DW22" s="925"/>
      <c r="DX22" s="925"/>
      <c r="DY22" s="925"/>
      <c r="DZ22" s="925"/>
      <c r="EA22" s="925"/>
      <c r="EB22" s="925"/>
      <c r="EC22" s="925"/>
      <c r="ED22" s="925"/>
      <c r="EE22" s="925"/>
      <c r="EF22" s="925"/>
      <c r="EG22" s="925"/>
      <c r="EH22" s="925"/>
      <c r="EI22" s="925"/>
      <c r="EJ22" s="925"/>
      <c r="EK22" s="925"/>
      <c r="EL22" s="925"/>
      <c r="EM22" s="925"/>
      <c r="EN22" s="925"/>
      <c r="EO22" s="925"/>
      <c r="EP22" s="925"/>
      <c r="EQ22" s="925"/>
      <c r="ER22" s="925"/>
      <c r="ES22" s="925"/>
      <c r="ET22" s="925"/>
      <c r="EV22" s="924"/>
      <c r="EW22" s="925"/>
      <c r="EX22" s="925"/>
      <c r="EY22" s="925"/>
    </row>
    <row r="23" spans="1:155" s="927" customFormat="1" ht="15.75" x14ac:dyDescent="0.25">
      <c r="A23" s="912" t="s">
        <v>359</v>
      </c>
      <c r="B23" s="913" t="s">
        <v>495</v>
      </c>
      <c r="C23" s="914">
        <v>2</v>
      </c>
      <c r="D23" s="914">
        <v>7388</v>
      </c>
      <c r="E23" s="915">
        <v>1.0549999999999999</v>
      </c>
      <c r="F23" s="916">
        <f t="shared" si="0"/>
        <v>7795</v>
      </c>
      <c r="G23" s="915">
        <v>1.01</v>
      </c>
      <c r="H23" s="916">
        <f t="shared" si="1"/>
        <v>7873</v>
      </c>
      <c r="I23" s="917">
        <f t="shared" si="2"/>
        <v>15746</v>
      </c>
      <c r="J23" s="918">
        <f t="shared" si="3"/>
        <v>0</v>
      </c>
      <c r="K23" s="919"/>
      <c r="L23" s="917">
        <f t="shared" si="4"/>
        <v>0</v>
      </c>
      <c r="M23" s="918">
        <f t="shared" si="5"/>
        <v>0</v>
      </c>
      <c r="N23" s="919"/>
      <c r="O23" s="917">
        <f t="shared" si="6"/>
        <v>0</v>
      </c>
      <c r="P23" s="918">
        <f t="shared" si="7"/>
        <v>0</v>
      </c>
      <c r="Q23" s="919"/>
      <c r="R23" s="917">
        <f t="shared" si="8"/>
        <v>0</v>
      </c>
      <c r="S23" s="918">
        <f t="shared" si="9"/>
        <v>0</v>
      </c>
      <c r="T23" s="919"/>
      <c r="U23" s="917">
        <f t="shared" si="10"/>
        <v>0</v>
      </c>
      <c r="V23" s="918">
        <f t="shared" si="11"/>
        <v>0</v>
      </c>
      <c r="W23" s="919"/>
      <c r="X23" s="917">
        <f t="shared" si="12"/>
        <v>0</v>
      </c>
      <c r="Y23" s="918">
        <f t="shared" si="13"/>
        <v>1.98</v>
      </c>
      <c r="Z23" s="919">
        <v>29256.48</v>
      </c>
      <c r="AA23" s="917">
        <f t="shared" si="14"/>
        <v>31177.08</v>
      </c>
      <c r="AB23" s="918">
        <f t="shared" si="15"/>
        <v>0.3</v>
      </c>
      <c r="AC23" s="919">
        <v>4432.8</v>
      </c>
      <c r="AD23" s="917">
        <f t="shared" si="16"/>
        <v>4723.8</v>
      </c>
      <c r="AE23" s="918">
        <f t="shared" si="17"/>
        <v>0</v>
      </c>
      <c r="AF23" s="919"/>
      <c r="AG23" s="917">
        <f t="shared" si="18"/>
        <v>0</v>
      </c>
      <c r="AH23" s="918">
        <f t="shared" si="19"/>
        <v>0</v>
      </c>
      <c r="AI23" s="919"/>
      <c r="AJ23" s="917">
        <f t="shared" si="20"/>
        <v>0</v>
      </c>
      <c r="AK23" s="918">
        <f t="shared" si="21"/>
        <v>0</v>
      </c>
      <c r="AL23" s="919"/>
      <c r="AM23" s="917">
        <f t="shared" si="22"/>
        <v>0</v>
      </c>
      <c r="AN23" s="920">
        <v>19242</v>
      </c>
      <c r="AO23" s="917">
        <f t="shared" si="23"/>
        <v>0</v>
      </c>
      <c r="AP23" s="920"/>
      <c r="AQ23" s="916">
        <f t="shared" si="24"/>
        <v>0</v>
      </c>
      <c r="AR23" s="917">
        <f t="shared" si="25"/>
        <v>51646.879999999997</v>
      </c>
      <c r="AS23" s="916">
        <v>12</v>
      </c>
      <c r="AT23" s="921">
        <f t="shared" si="26"/>
        <v>619762.56000000006</v>
      </c>
      <c r="AU23" s="920"/>
      <c r="AV23" s="922">
        <f t="shared" si="27"/>
        <v>6197.63</v>
      </c>
      <c r="AW23" s="921">
        <f t="shared" si="28"/>
        <v>625960.18999999994</v>
      </c>
      <c r="AX23" s="921">
        <f t="shared" si="29"/>
        <v>189039.98</v>
      </c>
      <c r="AY23" s="921">
        <f t="shared" si="30"/>
        <v>815000.17</v>
      </c>
      <c r="AZ23" s="923">
        <f t="shared" si="31"/>
        <v>626</v>
      </c>
      <c r="BA23" s="923">
        <f t="shared" si="32"/>
        <v>189.1</v>
      </c>
      <c r="BB23" s="923">
        <f t="shared" si="33"/>
        <v>815.1</v>
      </c>
      <c r="BC23" s="915">
        <v>0.95</v>
      </c>
      <c r="BD23" s="923">
        <f t="shared" si="34"/>
        <v>594.70000000000005</v>
      </c>
      <c r="BE23" s="923">
        <f t="shared" si="35"/>
        <v>179.6</v>
      </c>
      <c r="BF23" s="923">
        <f t="shared" si="36"/>
        <v>774.3</v>
      </c>
      <c r="BG23" s="924">
        <f>'[3]свод (2024)'!$B$116</f>
        <v>0.99758349999999996</v>
      </c>
      <c r="BH23" s="923">
        <f t="shared" si="37"/>
        <v>593.29999999999995</v>
      </c>
      <c r="BI23" s="923">
        <f t="shared" si="38"/>
        <v>179.2</v>
      </c>
      <c r="BJ23" s="923">
        <f t="shared" si="39"/>
        <v>772.5</v>
      </c>
      <c r="BK23" s="925">
        <f t="shared" si="40"/>
        <v>-32.700000000000003</v>
      </c>
      <c r="BL23" s="925">
        <f t="shared" si="40"/>
        <v>-9.9</v>
      </c>
      <c r="BM23" s="925">
        <f t="shared" si="41"/>
        <v>-42.6</v>
      </c>
      <c r="BN23" s="925">
        <f t="shared" si="42"/>
        <v>0</v>
      </c>
      <c r="BO23" s="925">
        <f t="shared" si="43"/>
        <v>0</v>
      </c>
      <c r="BP23" s="926"/>
      <c r="BQ23" s="925">
        <f t="shared" si="44"/>
        <v>593.29999999999995</v>
      </c>
      <c r="BR23" s="925">
        <f t="shared" si="44"/>
        <v>179.2</v>
      </c>
      <c r="BS23" s="925">
        <f t="shared" si="45"/>
        <v>772.5</v>
      </c>
      <c r="BU23" s="928"/>
      <c r="BV23" s="917"/>
      <c r="BW23" s="928"/>
      <c r="BX23" s="928"/>
      <c r="BY23" s="928"/>
      <c r="BZ23" s="917"/>
      <c r="CA23" s="928"/>
      <c r="CB23" s="917"/>
      <c r="CC23" s="928"/>
      <c r="CD23" s="928"/>
      <c r="CE23" s="928"/>
      <c r="CF23" s="929"/>
      <c r="CG23" s="928"/>
      <c r="CH23" s="928"/>
      <c r="CI23" s="928"/>
      <c r="CJ23" s="925"/>
      <c r="CK23" s="925"/>
      <c r="CL23" s="925"/>
      <c r="CM23" s="925"/>
      <c r="CN23" s="925"/>
      <c r="CO23" s="925"/>
      <c r="CP23" s="925"/>
      <c r="CQ23" s="925"/>
      <c r="CR23" s="925"/>
      <c r="CS23" s="917"/>
      <c r="CT23" s="928"/>
      <c r="CU23" s="928"/>
      <c r="CV23" s="928"/>
      <c r="CX23" s="925"/>
      <c r="CY23" s="925"/>
      <c r="CZ23" s="925"/>
      <c r="DB23" s="925"/>
      <c r="DC23" s="925"/>
      <c r="DD23" s="925"/>
      <c r="DE23" s="925"/>
      <c r="DF23" s="925"/>
      <c r="DG23" s="925"/>
      <c r="DH23" s="925"/>
      <c r="DI23" s="925"/>
      <c r="DJ23" s="925"/>
      <c r="DK23" s="925"/>
      <c r="DL23" s="925"/>
      <c r="DM23" s="925"/>
      <c r="DN23" s="925"/>
      <c r="DO23" s="925"/>
      <c r="DP23" s="925"/>
      <c r="DQ23" s="924"/>
      <c r="DR23" s="925"/>
      <c r="DS23" s="925"/>
      <c r="DT23" s="925"/>
      <c r="DV23" s="925"/>
      <c r="DW23" s="925"/>
      <c r="DX23" s="925"/>
      <c r="DY23" s="925"/>
      <c r="DZ23" s="925"/>
      <c r="EA23" s="925"/>
      <c r="EB23" s="925"/>
      <c r="EC23" s="925"/>
      <c r="ED23" s="925"/>
      <c r="EE23" s="925"/>
      <c r="EF23" s="925"/>
      <c r="EG23" s="925"/>
      <c r="EH23" s="925"/>
      <c r="EI23" s="925"/>
      <c r="EJ23" s="925"/>
      <c r="EK23" s="925"/>
      <c r="EL23" s="925"/>
      <c r="EM23" s="925"/>
      <c r="EN23" s="925"/>
      <c r="EO23" s="925"/>
      <c r="EP23" s="925"/>
      <c r="EQ23" s="925"/>
      <c r="ER23" s="925"/>
      <c r="ES23" s="925"/>
      <c r="ET23" s="925"/>
      <c r="EV23" s="924"/>
      <c r="EW23" s="925"/>
      <c r="EX23" s="925"/>
      <c r="EY23" s="925"/>
    </row>
    <row r="24" spans="1:155" s="927" customFormat="1" ht="15.75" x14ac:dyDescent="0.25">
      <c r="A24" s="912" t="s">
        <v>359</v>
      </c>
      <c r="B24" s="913" t="s">
        <v>1385</v>
      </c>
      <c r="C24" s="914">
        <v>1</v>
      </c>
      <c r="D24" s="914">
        <v>7755</v>
      </c>
      <c r="E24" s="915">
        <v>1.0549999999999999</v>
      </c>
      <c r="F24" s="916">
        <f t="shared" si="0"/>
        <v>8182</v>
      </c>
      <c r="G24" s="915">
        <v>1.01</v>
      </c>
      <c r="H24" s="916">
        <f t="shared" si="1"/>
        <v>8264</v>
      </c>
      <c r="I24" s="917">
        <f t="shared" si="2"/>
        <v>8264</v>
      </c>
      <c r="J24" s="918">
        <f t="shared" si="3"/>
        <v>0</v>
      </c>
      <c r="K24" s="919"/>
      <c r="L24" s="917">
        <f t="shared" si="4"/>
        <v>0</v>
      </c>
      <c r="M24" s="918">
        <f t="shared" si="5"/>
        <v>0</v>
      </c>
      <c r="N24" s="919"/>
      <c r="O24" s="917">
        <f t="shared" si="6"/>
        <v>0</v>
      </c>
      <c r="P24" s="918">
        <f t="shared" si="7"/>
        <v>0</v>
      </c>
      <c r="Q24" s="919"/>
      <c r="R24" s="917">
        <f t="shared" si="8"/>
        <v>0</v>
      </c>
      <c r="S24" s="918">
        <f t="shared" si="9"/>
        <v>0</v>
      </c>
      <c r="T24" s="919"/>
      <c r="U24" s="917">
        <f t="shared" si="10"/>
        <v>0</v>
      </c>
      <c r="V24" s="918">
        <f t="shared" si="11"/>
        <v>0</v>
      </c>
      <c r="W24" s="919"/>
      <c r="X24" s="917">
        <f t="shared" si="12"/>
        <v>0</v>
      </c>
      <c r="Y24" s="918">
        <f t="shared" si="13"/>
        <v>1.98</v>
      </c>
      <c r="Z24" s="919">
        <v>15354.9</v>
      </c>
      <c r="AA24" s="917">
        <f t="shared" si="14"/>
        <v>16362.72</v>
      </c>
      <c r="AB24" s="918">
        <f t="shared" si="15"/>
        <v>0.3</v>
      </c>
      <c r="AC24" s="919">
        <v>2326.5</v>
      </c>
      <c r="AD24" s="917">
        <f t="shared" si="16"/>
        <v>2479.1999999999998</v>
      </c>
      <c r="AE24" s="918">
        <f t="shared" si="17"/>
        <v>0</v>
      </c>
      <c r="AF24" s="919"/>
      <c r="AG24" s="917">
        <f t="shared" si="18"/>
        <v>0</v>
      </c>
      <c r="AH24" s="918">
        <f t="shared" si="19"/>
        <v>0</v>
      </c>
      <c r="AI24" s="919"/>
      <c r="AJ24" s="917">
        <f t="shared" si="20"/>
        <v>0</v>
      </c>
      <c r="AK24" s="918">
        <f t="shared" si="21"/>
        <v>0</v>
      </c>
      <c r="AL24" s="919"/>
      <c r="AM24" s="917">
        <f t="shared" si="22"/>
        <v>0</v>
      </c>
      <c r="AN24" s="920">
        <v>19242</v>
      </c>
      <c r="AO24" s="917">
        <f t="shared" si="23"/>
        <v>0</v>
      </c>
      <c r="AP24" s="920"/>
      <c r="AQ24" s="916">
        <f t="shared" si="24"/>
        <v>0</v>
      </c>
      <c r="AR24" s="917">
        <f t="shared" si="25"/>
        <v>27105.919999999998</v>
      </c>
      <c r="AS24" s="916">
        <v>12</v>
      </c>
      <c r="AT24" s="921">
        <f t="shared" si="26"/>
        <v>325271.03999999998</v>
      </c>
      <c r="AU24" s="920"/>
      <c r="AV24" s="922">
        <f t="shared" si="27"/>
        <v>3252.71</v>
      </c>
      <c r="AW24" s="921">
        <f t="shared" si="28"/>
        <v>328523.75</v>
      </c>
      <c r="AX24" s="921">
        <f t="shared" si="29"/>
        <v>99214.17</v>
      </c>
      <c r="AY24" s="921">
        <f t="shared" si="30"/>
        <v>427737.92</v>
      </c>
      <c r="AZ24" s="923">
        <f t="shared" si="31"/>
        <v>328.5</v>
      </c>
      <c r="BA24" s="923">
        <f t="shared" si="32"/>
        <v>99.2</v>
      </c>
      <c r="BB24" s="923">
        <f t="shared" si="33"/>
        <v>427.7</v>
      </c>
      <c r="BC24" s="915">
        <v>0.95</v>
      </c>
      <c r="BD24" s="923">
        <f t="shared" si="34"/>
        <v>312.10000000000002</v>
      </c>
      <c r="BE24" s="923">
        <f t="shared" si="35"/>
        <v>94.3</v>
      </c>
      <c r="BF24" s="923">
        <f t="shared" si="36"/>
        <v>406.4</v>
      </c>
      <c r="BG24" s="924">
        <f>'[3]свод (2024)'!$B$116</f>
        <v>0.99758349999999996</v>
      </c>
      <c r="BH24" s="923">
        <f t="shared" si="37"/>
        <v>311.3</v>
      </c>
      <c r="BI24" s="923">
        <f t="shared" si="38"/>
        <v>94</v>
      </c>
      <c r="BJ24" s="923">
        <f t="shared" si="39"/>
        <v>405.3</v>
      </c>
      <c r="BK24" s="925">
        <f t="shared" si="40"/>
        <v>-17.2</v>
      </c>
      <c r="BL24" s="925">
        <f t="shared" si="40"/>
        <v>-5.2</v>
      </c>
      <c r="BM24" s="925">
        <f t="shared" si="41"/>
        <v>-22.4</v>
      </c>
      <c r="BN24" s="925">
        <f t="shared" si="42"/>
        <v>0</v>
      </c>
      <c r="BO24" s="925">
        <f t="shared" si="43"/>
        <v>0</v>
      </c>
      <c r="BP24" s="926"/>
      <c r="BQ24" s="925">
        <f t="shared" si="44"/>
        <v>311.3</v>
      </c>
      <c r="BR24" s="925">
        <f t="shared" si="44"/>
        <v>94</v>
      </c>
      <c r="BS24" s="925">
        <f t="shared" si="45"/>
        <v>405.3</v>
      </c>
      <c r="BU24" s="928"/>
      <c r="BV24" s="917"/>
      <c r="BW24" s="928"/>
      <c r="BX24" s="928"/>
      <c r="BY24" s="928"/>
      <c r="BZ24" s="917"/>
      <c r="CA24" s="928"/>
      <c r="CB24" s="917"/>
      <c r="CC24" s="928"/>
      <c r="CD24" s="928"/>
      <c r="CE24" s="928"/>
      <c r="CF24" s="929"/>
      <c r="CG24" s="928"/>
      <c r="CH24" s="928"/>
      <c r="CI24" s="928"/>
      <c r="CJ24" s="925"/>
      <c r="CK24" s="925"/>
      <c r="CL24" s="925"/>
      <c r="CM24" s="925"/>
      <c r="CN24" s="925"/>
      <c r="CO24" s="925"/>
      <c r="CP24" s="925"/>
      <c r="CQ24" s="925"/>
      <c r="CR24" s="925"/>
      <c r="CS24" s="917"/>
      <c r="CT24" s="928"/>
      <c r="CU24" s="928"/>
      <c r="CV24" s="928"/>
      <c r="CX24" s="925"/>
      <c r="CY24" s="925"/>
      <c r="CZ24" s="925"/>
      <c r="DB24" s="925"/>
      <c r="DC24" s="925"/>
      <c r="DD24" s="925"/>
      <c r="DE24" s="925"/>
      <c r="DF24" s="925"/>
      <c r="DG24" s="925"/>
      <c r="DH24" s="925"/>
      <c r="DI24" s="925"/>
      <c r="DJ24" s="925"/>
      <c r="DK24" s="925"/>
      <c r="DL24" s="925"/>
      <c r="DM24" s="925"/>
      <c r="DN24" s="925"/>
      <c r="DO24" s="925"/>
      <c r="DP24" s="925"/>
      <c r="DQ24" s="924"/>
      <c r="DR24" s="925"/>
      <c r="DS24" s="925"/>
      <c r="DT24" s="925"/>
      <c r="DV24" s="925"/>
      <c r="DW24" s="925"/>
      <c r="DX24" s="925"/>
      <c r="DY24" s="925"/>
      <c r="DZ24" s="925"/>
      <c r="EA24" s="925"/>
      <c r="EB24" s="925"/>
      <c r="EC24" s="925"/>
      <c r="ED24" s="925"/>
      <c r="EE24" s="925"/>
      <c r="EF24" s="925"/>
      <c r="EG24" s="925"/>
      <c r="EH24" s="925"/>
      <c r="EI24" s="925"/>
      <c r="EJ24" s="925"/>
      <c r="EK24" s="925"/>
      <c r="EL24" s="925"/>
      <c r="EM24" s="925"/>
      <c r="EN24" s="925"/>
      <c r="EO24" s="925"/>
      <c r="EP24" s="925"/>
      <c r="EQ24" s="925"/>
      <c r="ER24" s="925"/>
      <c r="ES24" s="925"/>
      <c r="ET24" s="925"/>
      <c r="EV24" s="924"/>
      <c r="EW24" s="925"/>
      <c r="EX24" s="925"/>
      <c r="EY24" s="925"/>
    </row>
    <row r="25" spans="1:155" s="927" customFormat="1" ht="15.75" x14ac:dyDescent="0.25">
      <c r="A25" s="912" t="s">
        <v>359</v>
      </c>
      <c r="B25" s="913" t="s">
        <v>628</v>
      </c>
      <c r="C25" s="914">
        <v>0.5</v>
      </c>
      <c r="D25" s="914">
        <v>6707</v>
      </c>
      <c r="E25" s="915">
        <v>1.0549999999999999</v>
      </c>
      <c r="F25" s="916">
        <f t="shared" si="0"/>
        <v>7076</v>
      </c>
      <c r="G25" s="915">
        <v>1.01</v>
      </c>
      <c r="H25" s="916">
        <f t="shared" si="1"/>
        <v>7147</v>
      </c>
      <c r="I25" s="917">
        <f t="shared" si="2"/>
        <v>3573.5</v>
      </c>
      <c r="J25" s="918">
        <f t="shared" si="3"/>
        <v>0</v>
      </c>
      <c r="K25" s="919"/>
      <c r="L25" s="917">
        <f t="shared" si="4"/>
        <v>0</v>
      </c>
      <c r="M25" s="918">
        <f t="shared" si="5"/>
        <v>0</v>
      </c>
      <c r="N25" s="919"/>
      <c r="O25" s="917">
        <f t="shared" si="6"/>
        <v>0</v>
      </c>
      <c r="P25" s="918">
        <f t="shared" si="7"/>
        <v>0</v>
      </c>
      <c r="Q25" s="919"/>
      <c r="R25" s="917">
        <f t="shared" si="8"/>
        <v>0</v>
      </c>
      <c r="S25" s="918">
        <f t="shared" si="9"/>
        <v>0</v>
      </c>
      <c r="T25" s="919"/>
      <c r="U25" s="917">
        <f t="shared" si="10"/>
        <v>0</v>
      </c>
      <c r="V25" s="918">
        <f t="shared" si="11"/>
        <v>0</v>
      </c>
      <c r="W25" s="919"/>
      <c r="X25" s="917">
        <f t="shared" si="12"/>
        <v>0</v>
      </c>
      <c r="Y25" s="918">
        <f t="shared" si="13"/>
        <v>1.98</v>
      </c>
      <c r="Z25" s="919">
        <v>6639.93</v>
      </c>
      <c r="AA25" s="917">
        <f t="shared" si="14"/>
        <v>7075.53</v>
      </c>
      <c r="AB25" s="918">
        <f t="shared" si="15"/>
        <v>0.3</v>
      </c>
      <c r="AC25" s="919">
        <v>1006.05</v>
      </c>
      <c r="AD25" s="917">
        <f t="shared" si="16"/>
        <v>1072.05</v>
      </c>
      <c r="AE25" s="918">
        <f t="shared" si="17"/>
        <v>0</v>
      </c>
      <c r="AF25" s="919"/>
      <c r="AG25" s="917">
        <f t="shared" si="18"/>
        <v>0</v>
      </c>
      <c r="AH25" s="918">
        <f t="shared" si="19"/>
        <v>0</v>
      </c>
      <c r="AI25" s="919"/>
      <c r="AJ25" s="917">
        <f t="shared" si="20"/>
        <v>0</v>
      </c>
      <c r="AK25" s="918">
        <f t="shared" si="21"/>
        <v>0</v>
      </c>
      <c r="AL25" s="919"/>
      <c r="AM25" s="917">
        <f t="shared" si="22"/>
        <v>0</v>
      </c>
      <c r="AN25" s="920">
        <v>19242</v>
      </c>
      <c r="AO25" s="917">
        <f t="shared" si="23"/>
        <v>0</v>
      </c>
      <c r="AP25" s="920"/>
      <c r="AQ25" s="916">
        <f t="shared" si="24"/>
        <v>0</v>
      </c>
      <c r="AR25" s="917">
        <f t="shared" si="25"/>
        <v>11721.08</v>
      </c>
      <c r="AS25" s="916">
        <v>12</v>
      </c>
      <c r="AT25" s="921">
        <f t="shared" si="26"/>
        <v>140652.96</v>
      </c>
      <c r="AU25" s="920"/>
      <c r="AV25" s="922">
        <f t="shared" si="27"/>
        <v>1406.53</v>
      </c>
      <c r="AW25" s="921">
        <f t="shared" si="28"/>
        <v>142059.49</v>
      </c>
      <c r="AX25" s="921">
        <f t="shared" si="29"/>
        <v>42901.97</v>
      </c>
      <c r="AY25" s="921">
        <f t="shared" si="30"/>
        <v>184961.46</v>
      </c>
      <c r="AZ25" s="923">
        <f t="shared" si="31"/>
        <v>142.1</v>
      </c>
      <c r="BA25" s="923">
        <f t="shared" si="32"/>
        <v>42.9</v>
      </c>
      <c r="BB25" s="923">
        <f t="shared" si="33"/>
        <v>185</v>
      </c>
      <c r="BC25" s="915">
        <v>0.95</v>
      </c>
      <c r="BD25" s="923">
        <f t="shared" si="34"/>
        <v>135</v>
      </c>
      <c r="BE25" s="923">
        <f t="shared" si="35"/>
        <v>40.799999999999997</v>
      </c>
      <c r="BF25" s="923">
        <f t="shared" si="36"/>
        <v>175.8</v>
      </c>
      <c r="BG25" s="924">
        <f>'[3]свод (2024)'!$B$116</f>
        <v>0.99758349999999996</v>
      </c>
      <c r="BH25" s="923">
        <f t="shared" si="37"/>
        <v>134.69999999999999</v>
      </c>
      <c r="BI25" s="923">
        <f t="shared" si="38"/>
        <v>40.700000000000003</v>
      </c>
      <c r="BJ25" s="923">
        <f t="shared" si="39"/>
        <v>175.4</v>
      </c>
      <c r="BK25" s="925">
        <f t="shared" si="40"/>
        <v>-7.4</v>
      </c>
      <c r="BL25" s="925">
        <f t="shared" si="40"/>
        <v>-2.2000000000000002</v>
      </c>
      <c r="BM25" s="925">
        <f t="shared" si="41"/>
        <v>-9.6</v>
      </c>
      <c r="BN25" s="925">
        <f t="shared" si="42"/>
        <v>0</v>
      </c>
      <c r="BO25" s="925">
        <f t="shared" si="43"/>
        <v>0</v>
      </c>
      <c r="BP25" s="926"/>
      <c r="BQ25" s="925">
        <f t="shared" si="44"/>
        <v>134.69999999999999</v>
      </c>
      <c r="BR25" s="925">
        <f t="shared" si="44"/>
        <v>40.700000000000003</v>
      </c>
      <c r="BS25" s="925">
        <f t="shared" si="45"/>
        <v>175.4</v>
      </c>
      <c r="BU25" s="928"/>
      <c r="BV25" s="917"/>
      <c r="BW25" s="928"/>
      <c r="BX25" s="928"/>
      <c r="BY25" s="928"/>
      <c r="BZ25" s="917"/>
      <c r="CA25" s="928"/>
      <c r="CB25" s="917"/>
      <c r="CC25" s="928"/>
      <c r="CD25" s="928"/>
      <c r="CE25" s="928"/>
      <c r="CF25" s="929"/>
      <c r="CG25" s="928"/>
      <c r="CH25" s="928"/>
      <c r="CI25" s="928"/>
      <c r="CJ25" s="925"/>
      <c r="CK25" s="925"/>
      <c r="CL25" s="925"/>
      <c r="CM25" s="925"/>
      <c r="CN25" s="925"/>
      <c r="CO25" s="925"/>
      <c r="CP25" s="925"/>
      <c r="CQ25" s="925"/>
      <c r="CR25" s="925"/>
      <c r="CS25" s="917"/>
      <c r="CT25" s="928"/>
      <c r="CU25" s="928"/>
      <c r="CV25" s="928"/>
      <c r="CX25" s="925"/>
      <c r="CY25" s="925"/>
      <c r="CZ25" s="925"/>
      <c r="DB25" s="925"/>
      <c r="DC25" s="925"/>
      <c r="DD25" s="925"/>
      <c r="DE25" s="925"/>
      <c r="DF25" s="925"/>
      <c r="DG25" s="925"/>
      <c r="DH25" s="925"/>
      <c r="DI25" s="925"/>
      <c r="DJ25" s="925"/>
      <c r="DK25" s="925"/>
      <c r="DL25" s="925"/>
      <c r="DM25" s="925"/>
      <c r="DN25" s="925"/>
      <c r="DO25" s="925"/>
      <c r="DP25" s="925"/>
      <c r="DQ25" s="924"/>
      <c r="DR25" s="925"/>
      <c r="DS25" s="925"/>
      <c r="DT25" s="925"/>
      <c r="DV25" s="925"/>
      <c r="DW25" s="925"/>
      <c r="DX25" s="925"/>
      <c r="DY25" s="925"/>
      <c r="DZ25" s="925"/>
      <c r="EA25" s="925"/>
      <c r="EB25" s="925"/>
      <c r="EC25" s="925"/>
      <c r="ED25" s="925"/>
      <c r="EE25" s="925"/>
      <c r="EF25" s="925"/>
      <c r="EG25" s="925"/>
      <c r="EH25" s="925"/>
      <c r="EI25" s="925"/>
      <c r="EJ25" s="925"/>
      <c r="EK25" s="925"/>
      <c r="EL25" s="925"/>
      <c r="EM25" s="925"/>
      <c r="EN25" s="925"/>
      <c r="EO25" s="925"/>
      <c r="EP25" s="925"/>
      <c r="EQ25" s="925"/>
      <c r="ER25" s="925"/>
      <c r="ES25" s="925"/>
      <c r="ET25" s="925"/>
      <c r="EV25" s="924"/>
      <c r="EW25" s="925"/>
      <c r="EX25" s="925"/>
      <c r="EY25" s="925"/>
    </row>
    <row r="26" spans="1:155" s="927" customFormat="1" ht="15.75" x14ac:dyDescent="0.25">
      <c r="A26" s="912" t="s">
        <v>359</v>
      </c>
      <c r="B26" s="913" t="s">
        <v>629</v>
      </c>
      <c r="C26" s="914">
        <v>1</v>
      </c>
      <c r="D26" s="914">
        <v>13132</v>
      </c>
      <c r="E26" s="915">
        <v>1.0549999999999999</v>
      </c>
      <c r="F26" s="916">
        <f t="shared" si="0"/>
        <v>13855</v>
      </c>
      <c r="G26" s="915">
        <v>1.01</v>
      </c>
      <c r="H26" s="916">
        <f t="shared" si="1"/>
        <v>13994</v>
      </c>
      <c r="I26" s="917">
        <f t="shared" si="2"/>
        <v>13994</v>
      </c>
      <c r="J26" s="918">
        <f t="shared" si="3"/>
        <v>0.25</v>
      </c>
      <c r="K26" s="919">
        <v>3283</v>
      </c>
      <c r="L26" s="917">
        <f t="shared" si="4"/>
        <v>3498.5</v>
      </c>
      <c r="M26" s="918">
        <f t="shared" si="5"/>
        <v>0</v>
      </c>
      <c r="N26" s="919"/>
      <c r="O26" s="917">
        <f t="shared" si="6"/>
        <v>0</v>
      </c>
      <c r="P26" s="918">
        <f t="shared" si="7"/>
        <v>0</v>
      </c>
      <c r="Q26" s="919"/>
      <c r="R26" s="917">
        <f t="shared" si="8"/>
        <v>0</v>
      </c>
      <c r="S26" s="918">
        <f t="shared" si="9"/>
        <v>0</v>
      </c>
      <c r="T26" s="919"/>
      <c r="U26" s="917">
        <f t="shared" si="10"/>
        <v>0</v>
      </c>
      <c r="V26" s="918">
        <f t="shared" si="11"/>
        <v>0</v>
      </c>
      <c r="W26" s="919"/>
      <c r="X26" s="917">
        <f t="shared" si="12"/>
        <v>0</v>
      </c>
      <c r="Y26" s="918">
        <f t="shared" si="13"/>
        <v>0</v>
      </c>
      <c r="Z26" s="919"/>
      <c r="AA26" s="917">
        <f t="shared" si="14"/>
        <v>0</v>
      </c>
      <c r="AB26" s="918">
        <f t="shared" si="15"/>
        <v>0.2</v>
      </c>
      <c r="AC26" s="919">
        <v>2626.4</v>
      </c>
      <c r="AD26" s="917">
        <f t="shared" si="16"/>
        <v>2798.8</v>
      </c>
      <c r="AE26" s="918">
        <f t="shared" si="17"/>
        <v>0.1</v>
      </c>
      <c r="AF26" s="919">
        <v>1313.2</v>
      </c>
      <c r="AG26" s="917">
        <f t="shared" si="18"/>
        <v>1399.4</v>
      </c>
      <c r="AH26" s="918">
        <f t="shared" si="19"/>
        <v>0</v>
      </c>
      <c r="AI26" s="919"/>
      <c r="AJ26" s="917">
        <f t="shared" si="20"/>
        <v>0</v>
      </c>
      <c r="AK26" s="918">
        <f t="shared" si="21"/>
        <v>0</v>
      </c>
      <c r="AL26" s="919"/>
      <c r="AM26" s="917">
        <f t="shared" si="22"/>
        <v>0</v>
      </c>
      <c r="AN26" s="920">
        <v>19242</v>
      </c>
      <c r="AO26" s="917">
        <f t="shared" si="23"/>
        <v>0</v>
      </c>
      <c r="AP26" s="920"/>
      <c r="AQ26" s="916">
        <f t="shared" si="24"/>
        <v>0</v>
      </c>
      <c r="AR26" s="917">
        <f t="shared" si="25"/>
        <v>21690.7</v>
      </c>
      <c r="AS26" s="916">
        <v>12</v>
      </c>
      <c r="AT26" s="921">
        <f t="shared" si="26"/>
        <v>260288.4</v>
      </c>
      <c r="AU26" s="920"/>
      <c r="AV26" s="922">
        <f t="shared" si="27"/>
        <v>2602.88</v>
      </c>
      <c r="AW26" s="921">
        <f t="shared" si="28"/>
        <v>262891.28000000003</v>
      </c>
      <c r="AX26" s="921">
        <f t="shared" si="29"/>
        <v>79393.17</v>
      </c>
      <c r="AY26" s="921">
        <f t="shared" si="30"/>
        <v>342284.45</v>
      </c>
      <c r="AZ26" s="923">
        <f t="shared" si="31"/>
        <v>262.89999999999998</v>
      </c>
      <c r="BA26" s="923">
        <f t="shared" si="32"/>
        <v>79.400000000000006</v>
      </c>
      <c r="BB26" s="923">
        <f t="shared" si="33"/>
        <v>342.3</v>
      </c>
      <c r="BC26" s="915">
        <v>0.95</v>
      </c>
      <c r="BD26" s="923">
        <f t="shared" si="34"/>
        <v>249.8</v>
      </c>
      <c r="BE26" s="923">
        <f t="shared" si="35"/>
        <v>75.400000000000006</v>
      </c>
      <c r="BF26" s="923">
        <f t="shared" si="36"/>
        <v>325.2</v>
      </c>
      <c r="BG26" s="924">
        <f>'[3]свод (2024)'!$B$116</f>
        <v>0.99758349999999996</v>
      </c>
      <c r="BH26" s="923">
        <f t="shared" si="37"/>
        <v>249.2</v>
      </c>
      <c r="BI26" s="923">
        <f t="shared" si="38"/>
        <v>75.3</v>
      </c>
      <c r="BJ26" s="923">
        <f t="shared" si="39"/>
        <v>324.5</v>
      </c>
      <c r="BK26" s="925">
        <f t="shared" si="40"/>
        <v>-13.7</v>
      </c>
      <c r="BL26" s="925">
        <f t="shared" si="40"/>
        <v>-4.0999999999999996</v>
      </c>
      <c r="BM26" s="925">
        <f t="shared" si="41"/>
        <v>-17.8</v>
      </c>
      <c r="BN26" s="925">
        <f t="shared" si="42"/>
        <v>0</v>
      </c>
      <c r="BO26" s="925">
        <f t="shared" si="43"/>
        <v>0</v>
      </c>
      <c r="BP26" s="926"/>
      <c r="BQ26" s="925">
        <f t="shared" si="44"/>
        <v>249.2</v>
      </c>
      <c r="BR26" s="925">
        <f t="shared" si="44"/>
        <v>75.3</v>
      </c>
      <c r="BS26" s="925">
        <f t="shared" si="45"/>
        <v>324.5</v>
      </c>
      <c r="BU26" s="928">
        <f>C26</f>
        <v>1</v>
      </c>
      <c r="BV26" s="917"/>
      <c r="BW26" s="928"/>
      <c r="BX26" s="928">
        <f>AW26-X26</f>
        <v>262891.28000000003</v>
      </c>
      <c r="BY26" s="928"/>
      <c r="BZ26" s="917"/>
      <c r="CA26" s="928"/>
      <c r="CB26" s="917"/>
      <c r="CC26" s="928"/>
      <c r="CD26" s="928"/>
      <c r="CE26" s="928"/>
      <c r="CF26" s="929">
        <f>CC$48/BU$48*BU26</f>
        <v>96229.54</v>
      </c>
      <c r="CG26" s="928"/>
      <c r="CH26" s="928"/>
      <c r="CI26" s="928"/>
      <c r="CJ26" s="925"/>
      <c r="CK26" s="925"/>
      <c r="CL26" s="925"/>
      <c r="CM26" s="925"/>
      <c r="CN26" s="925"/>
      <c r="CO26" s="925"/>
      <c r="CP26" s="925"/>
      <c r="CQ26" s="925"/>
      <c r="CR26" s="925"/>
      <c r="CS26" s="917"/>
      <c r="CT26" s="928"/>
      <c r="CU26" s="928"/>
      <c r="CV26" s="928"/>
      <c r="CX26" s="925"/>
      <c r="CY26" s="925"/>
      <c r="CZ26" s="925"/>
      <c r="DB26" s="925"/>
      <c r="DC26" s="925"/>
      <c r="DD26" s="925"/>
      <c r="DE26" s="925"/>
      <c r="DF26" s="925"/>
      <c r="DG26" s="925"/>
      <c r="DH26" s="925"/>
      <c r="DI26" s="925"/>
      <c r="DJ26" s="925"/>
      <c r="DK26" s="925"/>
      <c r="DL26" s="925"/>
      <c r="DM26" s="925"/>
      <c r="DN26" s="925"/>
      <c r="DO26" s="925"/>
      <c r="DP26" s="925"/>
      <c r="DQ26" s="924"/>
      <c r="DR26" s="925"/>
      <c r="DS26" s="925"/>
      <c r="DT26" s="925"/>
      <c r="DV26" s="925"/>
      <c r="DW26" s="925"/>
      <c r="DX26" s="925"/>
      <c r="DY26" s="925"/>
      <c r="DZ26" s="925"/>
      <c r="EA26" s="925"/>
      <c r="EB26" s="925"/>
      <c r="EC26" s="925"/>
      <c r="ED26" s="925"/>
      <c r="EE26" s="925"/>
      <c r="EF26" s="925"/>
      <c r="EG26" s="925"/>
      <c r="EH26" s="925"/>
      <c r="EI26" s="925"/>
      <c r="EJ26" s="925"/>
      <c r="EK26" s="925"/>
      <c r="EL26" s="925"/>
      <c r="EM26" s="925"/>
      <c r="EN26" s="925"/>
      <c r="EO26" s="925"/>
      <c r="EP26" s="925"/>
      <c r="EQ26" s="925"/>
      <c r="ER26" s="925"/>
      <c r="ES26" s="925"/>
      <c r="ET26" s="925"/>
      <c r="EV26" s="924"/>
      <c r="EW26" s="925"/>
      <c r="EX26" s="925"/>
      <c r="EY26" s="925"/>
    </row>
    <row r="27" spans="1:155" s="927" customFormat="1" ht="15.75" x14ac:dyDescent="0.25">
      <c r="A27" s="912" t="s">
        <v>359</v>
      </c>
      <c r="B27" s="913" t="s">
        <v>38</v>
      </c>
      <c r="C27" s="914">
        <v>8</v>
      </c>
      <c r="D27" s="914">
        <v>13132</v>
      </c>
      <c r="E27" s="915">
        <v>1.0549999999999999</v>
      </c>
      <c r="F27" s="916">
        <f t="shared" si="0"/>
        <v>13855</v>
      </c>
      <c r="G27" s="915">
        <v>1.01</v>
      </c>
      <c r="H27" s="916">
        <f t="shared" si="1"/>
        <v>13994</v>
      </c>
      <c r="I27" s="917">
        <f t="shared" si="2"/>
        <v>111952</v>
      </c>
      <c r="J27" s="918">
        <f t="shared" si="3"/>
        <v>0.25</v>
      </c>
      <c r="K27" s="919">
        <v>26264</v>
      </c>
      <c r="L27" s="917">
        <f t="shared" si="4"/>
        <v>27988</v>
      </c>
      <c r="M27" s="918">
        <f t="shared" si="5"/>
        <v>0</v>
      </c>
      <c r="N27" s="919"/>
      <c r="O27" s="917">
        <f t="shared" si="6"/>
        <v>0</v>
      </c>
      <c r="P27" s="918">
        <f t="shared" si="7"/>
        <v>0</v>
      </c>
      <c r="Q27" s="919"/>
      <c r="R27" s="917">
        <f t="shared" si="8"/>
        <v>0</v>
      </c>
      <c r="S27" s="918">
        <f t="shared" si="9"/>
        <v>0</v>
      </c>
      <c r="T27" s="919"/>
      <c r="U27" s="917">
        <f t="shared" si="10"/>
        <v>0</v>
      </c>
      <c r="V27" s="918">
        <f t="shared" si="11"/>
        <v>0</v>
      </c>
      <c r="W27" s="919"/>
      <c r="X27" s="917">
        <f t="shared" si="12"/>
        <v>0</v>
      </c>
      <c r="Y27" s="918">
        <f t="shared" si="13"/>
        <v>0</v>
      </c>
      <c r="Z27" s="919"/>
      <c r="AA27" s="917">
        <f t="shared" si="14"/>
        <v>0</v>
      </c>
      <c r="AB27" s="918">
        <f t="shared" si="15"/>
        <v>0.2</v>
      </c>
      <c r="AC27" s="919">
        <v>21011.200000000001</v>
      </c>
      <c r="AD27" s="917">
        <f t="shared" si="16"/>
        <v>22390.400000000001</v>
      </c>
      <c r="AE27" s="918">
        <f t="shared" si="17"/>
        <v>0</v>
      </c>
      <c r="AF27" s="919"/>
      <c r="AG27" s="917">
        <f t="shared" si="18"/>
        <v>0</v>
      </c>
      <c r="AH27" s="918">
        <f t="shared" si="19"/>
        <v>0</v>
      </c>
      <c r="AI27" s="919"/>
      <c r="AJ27" s="917">
        <f t="shared" si="20"/>
        <v>0</v>
      </c>
      <c r="AK27" s="918">
        <f t="shared" si="21"/>
        <v>0</v>
      </c>
      <c r="AL27" s="919"/>
      <c r="AM27" s="917">
        <f t="shared" si="22"/>
        <v>0</v>
      </c>
      <c r="AN27" s="920">
        <v>19242</v>
      </c>
      <c r="AO27" s="917">
        <f t="shared" si="23"/>
        <v>0</v>
      </c>
      <c r="AP27" s="920"/>
      <c r="AQ27" s="916">
        <f t="shared" si="24"/>
        <v>0</v>
      </c>
      <c r="AR27" s="917">
        <f t="shared" si="25"/>
        <v>162330.4</v>
      </c>
      <c r="AS27" s="916">
        <v>12</v>
      </c>
      <c r="AT27" s="921">
        <f t="shared" si="26"/>
        <v>1947964.8</v>
      </c>
      <c r="AU27" s="920"/>
      <c r="AV27" s="922">
        <f t="shared" si="27"/>
        <v>19479.650000000001</v>
      </c>
      <c r="AW27" s="921">
        <f t="shared" si="28"/>
        <v>1967444.45</v>
      </c>
      <c r="AX27" s="921">
        <f t="shared" si="29"/>
        <v>594168.22</v>
      </c>
      <c r="AY27" s="921">
        <f t="shared" si="30"/>
        <v>2561612.67</v>
      </c>
      <c r="AZ27" s="923">
        <f t="shared" si="31"/>
        <v>1967.4</v>
      </c>
      <c r="BA27" s="923">
        <f t="shared" si="32"/>
        <v>594.20000000000005</v>
      </c>
      <c r="BB27" s="923">
        <f t="shared" si="33"/>
        <v>2561.6</v>
      </c>
      <c r="BC27" s="915">
        <v>0.95</v>
      </c>
      <c r="BD27" s="923">
        <f t="shared" si="34"/>
        <v>1869</v>
      </c>
      <c r="BE27" s="923">
        <f t="shared" si="35"/>
        <v>564.4</v>
      </c>
      <c r="BF27" s="923">
        <f t="shared" si="36"/>
        <v>2433.4</v>
      </c>
      <c r="BG27" s="924">
        <f>'[3]свод (2024)'!$B$116</f>
        <v>0.99758349999999996</v>
      </c>
      <c r="BH27" s="923">
        <f t="shared" si="37"/>
        <v>1864.5</v>
      </c>
      <c r="BI27" s="923">
        <f t="shared" si="38"/>
        <v>563.1</v>
      </c>
      <c r="BJ27" s="923">
        <f t="shared" si="39"/>
        <v>2427.6</v>
      </c>
      <c r="BK27" s="925">
        <f t="shared" si="40"/>
        <v>-102.9</v>
      </c>
      <c r="BL27" s="925">
        <f t="shared" si="40"/>
        <v>-31.1</v>
      </c>
      <c r="BM27" s="925">
        <f t="shared" si="41"/>
        <v>-134</v>
      </c>
      <c r="BN27" s="925">
        <f t="shared" si="42"/>
        <v>0</v>
      </c>
      <c r="BO27" s="925">
        <f t="shared" si="43"/>
        <v>0</v>
      </c>
      <c r="BP27" s="926"/>
      <c r="BQ27" s="925">
        <f t="shared" si="44"/>
        <v>1864.5</v>
      </c>
      <c r="BR27" s="925">
        <f t="shared" si="44"/>
        <v>563.1</v>
      </c>
      <c r="BS27" s="925">
        <f t="shared" si="45"/>
        <v>2427.6</v>
      </c>
      <c r="BU27" s="928">
        <f>C27</f>
        <v>8</v>
      </c>
      <c r="BV27" s="917"/>
      <c r="BW27" s="928"/>
      <c r="BX27" s="928">
        <f>AW27-X27</f>
        <v>1967444.45</v>
      </c>
      <c r="BY27" s="928"/>
      <c r="BZ27" s="917"/>
      <c r="CA27" s="928"/>
      <c r="CB27" s="917"/>
      <c r="CC27" s="928"/>
      <c r="CD27" s="928"/>
      <c r="CE27" s="928"/>
      <c r="CF27" s="929">
        <f t="shared" ref="CF27:CF43" si="46">CC$48/BU$48*BU27</f>
        <v>769836.28</v>
      </c>
      <c r="CG27" s="928"/>
      <c r="CH27" s="928"/>
      <c r="CI27" s="928"/>
      <c r="CJ27" s="925"/>
      <c r="CK27" s="925"/>
      <c r="CL27" s="925"/>
      <c r="CM27" s="925"/>
      <c r="CN27" s="925"/>
      <c r="CO27" s="925"/>
      <c r="CP27" s="925"/>
      <c r="CQ27" s="925"/>
      <c r="CR27" s="925"/>
      <c r="CS27" s="917"/>
      <c r="CT27" s="928"/>
      <c r="CU27" s="928"/>
      <c r="CV27" s="928"/>
      <c r="CX27" s="925"/>
      <c r="CY27" s="925"/>
      <c r="CZ27" s="925"/>
      <c r="DB27" s="925"/>
      <c r="DC27" s="925"/>
      <c r="DD27" s="925"/>
      <c r="DE27" s="925"/>
      <c r="DF27" s="925"/>
      <c r="DG27" s="925"/>
      <c r="DH27" s="925"/>
      <c r="DI27" s="925"/>
      <c r="DJ27" s="925"/>
      <c r="DK27" s="925"/>
      <c r="DL27" s="925"/>
      <c r="DM27" s="925"/>
      <c r="DN27" s="925"/>
      <c r="DO27" s="925"/>
      <c r="DP27" s="925"/>
      <c r="DQ27" s="924"/>
      <c r="DR27" s="925"/>
      <c r="DS27" s="925"/>
      <c r="DT27" s="925"/>
      <c r="DV27" s="925"/>
      <c r="DW27" s="925"/>
      <c r="DX27" s="925"/>
      <c r="DY27" s="925"/>
      <c r="DZ27" s="925"/>
      <c r="EA27" s="925"/>
      <c r="EB27" s="925"/>
      <c r="EC27" s="925"/>
      <c r="ED27" s="925"/>
      <c r="EE27" s="925"/>
      <c r="EF27" s="925"/>
      <c r="EG27" s="925"/>
      <c r="EH27" s="925"/>
      <c r="EI27" s="925"/>
      <c r="EJ27" s="925"/>
      <c r="EK27" s="925"/>
      <c r="EL27" s="925"/>
      <c r="EM27" s="925"/>
      <c r="EN27" s="925"/>
      <c r="EO27" s="925"/>
      <c r="EP27" s="925"/>
      <c r="EQ27" s="925"/>
      <c r="ER27" s="925"/>
      <c r="ES27" s="925"/>
      <c r="ET27" s="925"/>
      <c r="EV27" s="924"/>
      <c r="EW27" s="925"/>
      <c r="EX27" s="925"/>
      <c r="EY27" s="925"/>
    </row>
    <row r="28" spans="1:155" s="927" customFormat="1" ht="15.75" x14ac:dyDescent="0.25">
      <c r="A28" s="912" t="s">
        <v>359</v>
      </c>
      <c r="B28" s="913" t="s">
        <v>47</v>
      </c>
      <c r="C28" s="914">
        <v>2</v>
      </c>
      <c r="D28" s="914">
        <v>5767</v>
      </c>
      <c r="E28" s="915">
        <v>1.0549999999999999</v>
      </c>
      <c r="F28" s="916">
        <f t="shared" si="0"/>
        <v>6085</v>
      </c>
      <c r="G28" s="915">
        <v>1.01</v>
      </c>
      <c r="H28" s="916">
        <f t="shared" si="1"/>
        <v>6146</v>
      </c>
      <c r="I28" s="917">
        <f t="shared" si="2"/>
        <v>12292</v>
      </c>
      <c r="J28" s="918">
        <f t="shared" si="3"/>
        <v>0</v>
      </c>
      <c r="K28" s="919"/>
      <c r="L28" s="917">
        <f t="shared" si="4"/>
        <v>0</v>
      </c>
      <c r="M28" s="918">
        <f t="shared" si="5"/>
        <v>0</v>
      </c>
      <c r="N28" s="919"/>
      <c r="O28" s="917">
        <f t="shared" si="6"/>
        <v>0</v>
      </c>
      <c r="P28" s="918">
        <f t="shared" si="7"/>
        <v>0</v>
      </c>
      <c r="Q28" s="919"/>
      <c r="R28" s="917">
        <f t="shared" si="8"/>
        <v>0</v>
      </c>
      <c r="S28" s="918">
        <f t="shared" si="9"/>
        <v>0.42102000000000001</v>
      </c>
      <c r="T28" s="919">
        <v>4856</v>
      </c>
      <c r="U28" s="917">
        <f t="shared" si="10"/>
        <v>5175.18</v>
      </c>
      <c r="V28" s="918">
        <f t="shared" si="11"/>
        <v>0</v>
      </c>
      <c r="W28" s="919"/>
      <c r="X28" s="917">
        <f t="shared" si="12"/>
        <v>0</v>
      </c>
      <c r="Y28" s="918">
        <f t="shared" si="13"/>
        <v>0</v>
      </c>
      <c r="Z28" s="919"/>
      <c r="AA28" s="917">
        <f t="shared" si="14"/>
        <v>0</v>
      </c>
      <c r="AB28" s="918">
        <f t="shared" si="15"/>
        <v>0</v>
      </c>
      <c r="AC28" s="919"/>
      <c r="AD28" s="917">
        <f t="shared" si="16"/>
        <v>0</v>
      </c>
      <c r="AE28" s="918">
        <f t="shared" si="17"/>
        <v>0</v>
      </c>
      <c r="AF28" s="919"/>
      <c r="AG28" s="917">
        <f t="shared" si="18"/>
        <v>0</v>
      </c>
      <c r="AH28" s="918">
        <f t="shared" si="19"/>
        <v>0</v>
      </c>
      <c r="AI28" s="919"/>
      <c r="AJ28" s="917">
        <f t="shared" si="20"/>
        <v>0</v>
      </c>
      <c r="AK28" s="918">
        <f t="shared" si="21"/>
        <v>0</v>
      </c>
      <c r="AL28" s="919"/>
      <c r="AM28" s="917">
        <f t="shared" si="22"/>
        <v>0</v>
      </c>
      <c r="AN28" s="920">
        <v>19242</v>
      </c>
      <c r="AO28" s="917">
        <f t="shared" si="23"/>
        <v>21016.82</v>
      </c>
      <c r="AP28" s="920"/>
      <c r="AQ28" s="916">
        <f t="shared" si="24"/>
        <v>0</v>
      </c>
      <c r="AR28" s="917">
        <f t="shared" si="25"/>
        <v>38484</v>
      </c>
      <c r="AS28" s="916">
        <v>12</v>
      </c>
      <c r="AT28" s="921">
        <f t="shared" si="26"/>
        <v>461808</v>
      </c>
      <c r="AU28" s="920"/>
      <c r="AV28" s="922">
        <f t="shared" si="27"/>
        <v>4618.08</v>
      </c>
      <c r="AW28" s="921">
        <f t="shared" si="28"/>
        <v>466426.08</v>
      </c>
      <c r="AX28" s="921">
        <f t="shared" si="29"/>
        <v>140860.68</v>
      </c>
      <c r="AY28" s="921">
        <f t="shared" si="30"/>
        <v>607286.76</v>
      </c>
      <c r="AZ28" s="923">
        <f t="shared" si="31"/>
        <v>466.4</v>
      </c>
      <c r="BA28" s="923">
        <f t="shared" si="32"/>
        <v>140.9</v>
      </c>
      <c r="BB28" s="923">
        <f t="shared" si="33"/>
        <v>607.29999999999995</v>
      </c>
      <c r="BC28" s="915">
        <v>0.95</v>
      </c>
      <c r="BD28" s="923">
        <f t="shared" si="34"/>
        <v>443.1</v>
      </c>
      <c r="BE28" s="923">
        <f t="shared" si="35"/>
        <v>133.80000000000001</v>
      </c>
      <c r="BF28" s="923">
        <f t="shared" si="36"/>
        <v>576.9</v>
      </c>
      <c r="BG28" s="924">
        <f>'[3]свод (2024)'!$B$116</f>
        <v>0.99758349999999996</v>
      </c>
      <c r="BH28" s="923">
        <f t="shared" si="37"/>
        <v>442</v>
      </c>
      <c r="BI28" s="923">
        <f t="shared" si="38"/>
        <v>133.5</v>
      </c>
      <c r="BJ28" s="923">
        <f t="shared" si="39"/>
        <v>575.5</v>
      </c>
      <c r="BK28" s="925">
        <f t="shared" si="40"/>
        <v>-24.4</v>
      </c>
      <c r="BL28" s="925">
        <f t="shared" si="40"/>
        <v>-7.4</v>
      </c>
      <c r="BM28" s="925">
        <f t="shared" si="41"/>
        <v>-31.8</v>
      </c>
      <c r="BN28" s="925">
        <f t="shared" si="42"/>
        <v>0</v>
      </c>
      <c r="BO28" s="925">
        <f t="shared" si="43"/>
        <v>0</v>
      </c>
      <c r="BP28" s="926"/>
      <c r="BQ28" s="925">
        <f t="shared" si="44"/>
        <v>442</v>
      </c>
      <c r="BR28" s="925">
        <f t="shared" si="44"/>
        <v>133.5</v>
      </c>
      <c r="BS28" s="925">
        <f t="shared" si="45"/>
        <v>575.5</v>
      </c>
      <c r="BU28" s="928"/>
      <c r="BV28" s="917"/>
      <c r="BW28" s="928"/>
      <c r="BX28" s="928"/>
      <c r="BY28" s="928"/>
      <c r="BZ28" s="917"/>
      <c r="CA28" s="928"/>
      <c r="CB28" s="917"/>
      <c r="CC28" s="928"/>
      <c r="CD28" s="928"/>
      <c r="CE28" s="928"/>
      <c r="CF28" s="929">
        <f t="shared" si="46"/>
        <v>0</v>
      </c>
      <c r="CG28" s="928"/>
      <c r="CH28" s="928"/>
      <c r="CI28" s="928"/>
      <c r="CJ28" s="925"/>
      <c r="CK28" s="925"/>
      <c r="CL28" s="925"/>
      <c r="CM28" s="925"/>
      <c r="CN28" s="925"/>
      <c r="CO28" s="925"/>
      <c r="CP28" s="925"/>
      <c r="CQ28" s="925"/>
      <c r="CR28" s="925"/>
      <c r="CS28" s="917"/>
      <c r="CT28" s="928"/>
      <c r="CU28" s="928"/>
      <c r="CV28" s="928"/>
      <c r="CX28" s="925"/>
      <c r="CY28" s="925"/>
      <c r="CZ28" s="925"/>
      <c r="DB28" s="925"/>
      <c r="DC28" s="925"/>
      <c r="DD28" s="925"/>
      <c r="DE28" s="925"/>
      <c r="DF28" s="925"/>
      <c r="DG28" s="925"/>
      <c r="DH28" s="925"/>
      <c r="DI28" s="925"/>
      <c r="DJ28" s="925"/>
      <c r="DK28" s="925"/>
      <c r="DL28" s="925"/>
      <c r="DM28" s="925"/>
      <c r="DN28" s="925"/>
      <c r="DO28" s="925"/>
      <c r="DP28" s="925"/>
      <c r="DQ28" s="924"/>
      <c r="DR28" s="925"/>
      <c r="DS28" s="925"/>
      <c r="DT28" s="925"/>
      <c r="DV28" s="925"/>
      <c r="DW28" s="925"/>
      <c r="DX28" s="925"/>
      <c r="DY28" s="925"/>
      <c r="DZ28" s="925"/>
      <c r="EA28" s="925"/>
      <c r="EB28" s="925"/>
      <c r="EC28" s="925"/>
      <c r="ED28" s="925"/>
      <c r="EE28" s="925"/>
      <c r="EF28" s="925"/>
      <c r="EG28" s="925"/>
      <c r="EH28" s="925"/>
      <c r="EI28" s="925"/>
      <c r="EJ28" s="925"/>
      <c r="EK28" s="925"/>
      <c r="EL28" s="925"/>
      <c r="EM28" s="925"/>
      <c r="EN28" s="925"/>
      <c r="EO28" s="925"/>
      <c r="EP28" s="925"/>
      <c r="EQ28" s="925"/>
      <c r="ER28" s="925"/>
      <c r="ES28" s="925"/>
      <c r="ET28" s="925"/>
      <c r="EV28" s="924"/>
      <c r="EW28" s="925"/>
      <c r="EX28" s="925"/>
      <c r="EY28" s="925"/>
    </row>
    <row r="29" spans="1:155" s="927" customFormat="1" ht="15.75" x14ac:dyDescent="0.25">
      <c r="A29" s="912" t="s">
        <v>359</v>
      </c>
      <c r="B29" s="913" t="s">
        <v>36</v>
      </c>
      <c r="C29" s="914">
        <v>4</v>
      </c>
      <c r="D29" s="914">
        <v>13772</v>
      </c>
      <c r="E29" s="915">
        <v>1.0549999999999999</v>
      </c>
      <c r="F29" s="916">
        <f t="shared" si="0"/>
        <v>14530</v>
      </c>
      <c r="G29" s="915">
        <v>1.01</v>
      </c>
      <c r="H29" s="916">
        <f t="shared" si="1"/>
        <v>14676</v>
      </c>
      <c r="I29" s="917">
        <f t="shared" si="2"/>
        <v>58704</v>
      </c>
      <c r="J29" s="918">
        <f t="shared" si="3"/>
        <v>0.25</v>
      </c>
      <c r="K29" s="919">
        <v>13772</v>
      </c>
      <c r="L29" s="917">
        <f t="shared" si="4"/>
        <v>14676</v>
      </c>
      <c r="M29" s="918">
        <f t="shared" si="5"/>
        <v>0</v>
      </c>
      <c r="N29" s="919"/>
      <c r="O29" s="917">
        <f t="shared" si="6"/>
        <v>0</v>
      </c>
      <c r="P29" s="918">
        <f t="shared" si="7"/>
        <v>0</v>
      </c>
      <c r="Q29" s="919"/>
      <c r="R29" s="917">
        <f t="shared" si="8"/>
        <v>0</v>
      </c>
      <c r="S29" s="918">
        <f t="shared" si="9"/>
        <v>0</v>
      </c>
      <c r="T29" s="919"/>
      <c r="U29" s="917">
        <f t="shared" si="10"/>
        <v>0</v>
      </c>
      <c r="V29" s="918">
        <f t="shared" si="11"/>
        <v>0</v>
      </c>
      <c r="W29" s="919"/>
      <c r="X29" s="917">
        <f t="shared" si="12"/>
        <v>0</v>
      </c>
      <c r="Y29" s="918">
        <f t="shared" si="13"/>
        <v>0</v>
      </c>
      <c r="Z29" s="919"/>
      <c r="AA29" s="917">
        <f t="shared" si="14"/>
        <v>0</v>
      </c>
      <c r="AB29" s="918">
        <f t="shared" si="15"/>
        <v>0.2</v>
      </c>
      <c r="AC29" s="919">
        <v>11017.6</v>
      </c>
      <c r="AD29" s="917">
        <f t="shared" si="16"/>
        <v>11740.8</v>
      </c>
      <c r="AE29" s="918">
        <f t="shared" si="17"/>
        <v>0</v>
      </c>
      <c r="AF29" s="919"/>
      <c r="AG29" s="917">
        <f t="shared" si="18"/>
        <v>0</v>
      </c>
      <c r="AH29" s="918">
        <f t="shared" si="19"/>
        <v>0</v>
      </c>
      <c r="AI29" s="919"/>
      <c r="AJ29" s="917">
        <f t="shared" si="20"/>
        <v>0</v>
      </c>
      <c r="AK29" s="918">
        <f t="shared" si="21"/>
        <v>0</v>
      </c>
      <c r="AL29" s="919"/>
      <c r="AM29" s="917">
        <f t="shared" si="22"/>
        <v>0</v>
      </c>
      <c r="AN29" s="920">
        <v>19242</v>
      </c>
      <c r="AO29" s="917">
        <f t="shared" si="23"/>
        <v>0</v>
      </c>
      <c r="AP29" s="920"/>
      <c r="AQ29" s="916">
        <f t="shared" si="24"/>
        <v>0</v>
      </c>
      <c r="AR29" s="917">
        <f t="shared" si="25"/>
        <v>85120.8</v>
      </c>
      <c r="AS29" s="916">
        <v>12</v>
      </c>
      <c r="AT29" s="921">
        <f t="shared" si="26"/>
        <v>1021449.6</v>
      </c>
      <c r="AU29" s="920"/>
      <c r="AV29" s="922">
        <f t="shared" si="27"/>
        <v>10214.5</v>
      </c>
      <c r="AW29" s="921">
        <f t="shared" si="28"/>
        <v>1031664.1</v>
      </c>
      <c r="AX29" s="921">
        <f t="shared" si="29"/>
        <v>311562.56</v>
      </c>
      <c r="AY29" s="921">
        <f t="shared" si="30"/>
        <v>1343226.66</v>
      </c>
      <c r="AZ29" s="923">
        <f t="shared" si="31"/>
        <v>1031.7</v>
      </c>
      <c r="BA29" s="923">
        <f t="shared" si="32"/>
        <v>311.60000000000002</v>
      </c>
      <c r="BB29" s="923">
        <f t="shared" si="33"/>
        <v>1343.3</v>
      </c>
      <c r="BC29" s="915">
        <v>0.95</v>
      </c>
      <c r="BD29" s="923">
        <f t="shared" si="34"/>
        <v>980.1</v>
      </c>
      <c r="BE29" s="923">
        <f t="shared" si="35"/>
        <v>296</v>
      </c>
      <c r="BF29" s="923">
        <f t="shared" si="36"/>
        <v>1276.0999999999999</v>
      </c>
      <c r="BG29" s="924">
        <f>'[3]свод (2024)'!$B$116</f>
        <v>0.99758349999999996</v>
      </c>
      <c r="BH29" s="923">
        <f t="shared" si="37"/>
        <v>977.7</v>
      </c>
      <c r="BI29" s="923">
        <f t="shared" si="38"/>
        <v>295.3</v>
      </c>
      <c r="BJ29" s="923">
        <f t="shared" si="39"/>
        <v>1273</v>
      </c>
      <c r="BK29" s="925">
        <f t="shared" si="40"/>
        <v>-54</v>
      </c>
      <c r="BL29" s="925">
        <f t="shared" si="40"/>
        <v>-16.3</v>
      </c>
      <c r="BM29" s="925">
        <f t="shared" si="41"/>
        <v>-70.3</v>
      </c>
      <c r="BN29" s="925">
        <f t="shared" si="42"/>
        <v>0</v>
      </c>
      <c r="BO29" s="925">
        <f t="shared" si="43"/>
        <v>0</v>
      </c>
      <c r="BP29" s="926"/>
      <c r="BQ29" s="925">
        <f t="shared" si="44"/>
        <v>977.7</v>
      </c>
      <c r="BR29" s="925">
        <f t="shared" si="44"/>
        <v>295.3</v>
      </c>
      <c r="BS29" s="925">
        <f t="shared" si="45"/>
        <v>1273</v>
      </c>
      <c r="BU29" s="928">
        <f>C29</f>
        <v>4</v>
      </c>
      <c r="BV29" s="917"/>
      <c r="BW29" s="928"/>
      <c r="BX29" s="928">
        <f>AW29-X29</f>
        <v>1031664.1</v>
      </c>
      <c r="BY29" s="928"/>
      <c r="BZ29" s="917"/>
      <c r="CA29" s="928"/>
      <c r="CB29" s="917"/>
      <c r="CC29" s="928"/>
      <c r="CD29" s="928"/>
      <c r="CE29" s="928"/>
      <c r="CF29" s="929">
        <f t="shared" si="46"/>
        <v>384918.14</v>
      </c>
      <c r="CG29" s="928"/>
      <c r="CH29" s="928"/>
      <c r="CI29" s="928"/>
      <c r="CJ29" s="925"/>
      <c r="CK29" s="925"/>
      <c r="CL29" s="925"/>
      <c r="CM29" s="925"/>
      <c r="CN29" s="925"/>
      <c r="CO29" s="925"/>
      <c r="CP29" s="925"/>
      <c r="CQ29" s="925"/>
      <c r="CR29" s="925"/>
      <c r="CS29" s="917"/>
      <c r="CT29" s="928"/>
      <c r="CU29" s="928"/>
      <c r="CV29" s="928"/>
      <c r="CX29" s="925"/>
      <c r="CY29" s="925"/>
      <c r="CZ29" s="925"/>
      <c r="DB29" s="925"/>
      <c r="DC29" s="925"/>
      <c r="DD29" s="925"/>
      <c r="DE29" s="925"/>
      <c r="DF29" s="925"/>
      <c r="DG29" s="925"/>
      <c r="DH29" s="925"/>
      <c r="DI29" s="925"/>
      <c r="DJ29" s="925"/>
      <c r="DK29" s="925"/>
      <c r="DL29" s="925"/>
      <c r="DM29" s="925"/>
      <c r="DN29" s="925"/>
      <c r="DO29" s="925"/>
      <c r="DP29" s="925"/>
      <c r="DQ29" s="924"/>
      <c r="DR29" s="925"/>
      <c r="DS29" s="925"/>
      <c r="DT29" s="925"/>
      <c r="DV29" s="925"/>
      <c r="DW29" s="925"/>
      <c r="DX29" s="925"/>
      <c r="DY29" s="925"/>
      <c r="DZ29" s="925"/>
      <c r="EA29" s="925"/>
      <c r="EB29" s="925"/>
      <c r="EC29" s="925"/>
      <c r="ED29" s="925"/>
      <c r="EE29" s="925"/>
      <c r="EF29" s="925"/>
      <c r="EG29" s="925"/>
      <c r="EH29" s="925"/>
      <c r="EI29" s="925"/>
      <c r="EJ29" s="925"/>
      <c r="EK29" s="925"/>
      <c r="EL29" s="925"/>
      <c r="EM29" s="925"/>
      <c r="EN29" s="925"/>
      <c r="EO29" s="925"/>
      <c r="EP29" s="925"/>
      <c r="EQ29" s="925"/>
      <c r="ER29" s="925"/>
      <c r="ES29" s="925"/>
      <c r="ET29" s="925"/>
      <c r="EV29" s="924"/>
      <c r="EW29" s="925"/>
      <c r="EX29" s="925"/>
      <c r="EY29" s="925"/>
    </row>
    <row r="30" spans="1:155" s="927" customFormat="1" ht="15.75" x14ac:dyDescent="0.25">
      <c r="A30" s="912" t="s">
        <v>359</v>
      </c>
      <c r="B30" s="913" t="s">
        <v>704</v>
      </c>
      <c r="C30" s="914">
        <v>1</v>
      </c>
      <c r="D30" s="914">
        <v>5767</v>
      </c>
      <c r="E30" s="915">
        <v>1.0549999999999999</v>
      </c>
      <c r="F30" s="916">
        <f t="shared" si="0"/>
        <v>6085</v>
      </c>
      <c r="G30" s="915">
        <v>1.01</v>
      </c>
      <c r="H30" s="916">
        <f t="shared" si="1"/>
        <v>6146</v>
      </c>
      <c r="I30" s="917">
        <f t="shared" si="2"/>
        <v>6146</v>
      </c>
      <c r="J30" s="918">
        <f t="shared" si="3"/>
        <v>0</v>
      </c>
      <c r="K30" s="919"/>
      <c r="L30" s="917">
        <f t="shared" si="4"/>
        <v>0</v>
      </c>
      <c r="M30" s="918">
        <f t="shared" si="5"/>
        <v>0</v>
      </c>
      <c r="N30" s="919"/>
      <c r="O30" s="917">
        <f t="shared" si="6"/>
        <v>0</v>
      </c>
      <c r="P30" s="918">
        <f t="shared" si="7"/>
        <v>0</v>
      </c>
      <c r="Q30" s="919"/>
      <c r="R30" s="917">
        <f t="shared" si="8"/>
        <v>0</v>
      </c>
      <c r="S30" s="918">
        <f t="shared" si="9"/>
        <v>0.5</v>
      </c>
      <c r="T30" s="919">
        <v>2883.5</v>
      </c>
      <c r="U30" s="917">
        <f t="shared" si="10"/>
        <v>3073</v>
      </c>
      <c r="V30" s="918">
        <f t="shared" si="11"/>
        <v>0</v>
      </c>
      <c r="W30" s="919"/>
      <c r="X30" s="917">
        <f t="shared" si="12"/>
        <v>0</v>
      </c>
      <c r="Y30" s="918">
        <f t="shared" si="13"/>
        <v>0</v>
      </c>
      <c r="Z30" s="919"/>
      <c r="AA30" s="917">
        <f t="shared" si="14"/>
        <v>0</v>
      </c>
      <c r="AB30" s="918">
        <f t="shared" si="15"/>
        <v>0</v>
      </c>
      <c r="AC30" s="919"/>
      <c r="AD30" s="917">
        <f t="shared" si="16"/>
        <v>0</v>
      </c>
      <c r="AE30" s="918">
        <f t="shared" si="17"/>
        <v>0</v>
      </c>
      <c r="AF30" s="919"/>
      <c r="AG30" s="917">
        <f t="shared" si="18"/>
        <v>0</v>
      </c>
      <c r="AH30" s="918">
        <f t="shared" si="19"/>
        <v>0</v>
      </c>
      <c r="AI30" s="919"/>
      <c r="AJ30" s="917">
        <f t="shared" si="20"/>
        <v>0</v>
      </c>
      <c r="AK30" s="918">
        <f t="shared" si="21"/>
        <v>0</v>
      </c>
      <c r="AL30" s="919"/>
      <c r="AM30" s="917">
        <f t="shared" si="22"/>
        <v>0</v>
      </c>
      <c r="AN30" s="920">
        <v>19242</v>
      </c>
      <c r="AO30" s="917">
        <f t="shared" si="23"/>
        <v>10023</v>
      </c>
      <c r="AP30" s="920"/>
      <c r="AQ30" s="916">
        <f t="shared" si="24"/>
        <v>0</v>
      </c>
      <c r="AR30" s="917">
        <f t="shared" si="25"/>
        <v>19242</v>
      </c>
      <c r="AS30" s="916">
        <v>12</v>
      </c>
      <c r="AT30" s="921">
        <f t="shared" si="26"/>
        <v>230904</v>
      </c>
      <c r="AU30" s="920"/>
      <c r="AV30" s="922">
        <f t="shared" si="27"/>
        <v>2309.04</v>
      </c>
      <c r="AW30" s="921">
        <f t="shared" si="28"/>
        <v>233213.04</v>
      </c>
      <c r="AX30" s="921">
        <f t="shared" si="29"/>
        <v>70430.34</v>
      </c>
      <c r="AY30" s="921">
        <f t="shared" si="30"/>
        <v>303643.38</v>
      </c>
      <c r="AZ30" s="923">
        <f t="shared" si="31"/>
        <v>233.2</v>
      </c>
      <c r="BA30" s="923">
        <f t="shared" si="32"/>
        <v>70.400000000000006</v>
      </c>
      <c r="BB30" s="923">
        <f t="shared" si="33"/>
        <v>303.60000000000002</v>
      </c>
      <c r="BC30" s="915">
        <v>0.95</v>
      </c>
      <c r="BD30" s="923">
        <f t="shared" si="34"/>
        <v>221.5</v>
      </c>
      <c r="BE30" s="923">
        <f t="shared" si="35"/>
        <v>66.900000000000006</v>
      </c>
      <c r="BF30" s="923">
        <f t="shared" si="36"/>
        <v>288.39999999999998</v>
      </c>
      <c r="BG30" s="924">
        <f>'[3]свод (2024)'!$B$116</f>
        <v>0.99758349999999996</v>
      </c>
      <c r="BH30" s="923">
        <f t="shared" si="37"/>
        <v>221</v>
      </c>
      <c r="BI30" s="923">
        <f t="shared" si="38"/>
        <v>66.7</v>
      </c>
      <c r="BJ30" s="923">
        <f t="shared" si="39"/>
        <v>287.7</v>
      </c>
      <c r="BK30" s="925">
        <f t="shared" si="40"/>
        <v>-12.2</v>
      </c>
      <c r="BL30" s="925">
        <f t="shared" si="40"/>
        <v>-3.7</v>
      </c>
      <c r="BM30" s="925">
        <f t="shared" si="41"/>
        <v>-15.9</v>
      </c>
      <c r="BN30" s="925">
        <f t="shared" si="42"/>
        <v>0</v>
      </c>
      <c r="BO30" s="925">
        <f t="shared" si="43"/>
        <v>0</v>
      </c>
      <c r="BP30" s="926"/>
      <c r="BQ30" s="925">
        <f t="shared" si="44"/>
        <v>221</v>
      </c>
      <c r="BR30" s="925">
        <f t="shared" si="44"/>
        <v>66.7</v>
      </c>
      <c r="BS30" s="925">
        <f t="shared" si="45"/>
        <v>287.7</v>
      </c>
      <c r="BU30" s="928"/>
      <c r="BV30" s="917"/>
      <c r="BW30" s="928"/>
      <c r="BX30" s="928"/>
      <c r="BY30" s="928"/>
      <c r="BZ30" s="917"/>
      <c r="CA30" s="928"/>
      <c r="CB30" s="917"/>
      <c r="CC30" s="928"/>
      <c r="CD30" s="928"/>
      <c r="CE30" s="928"/>
      <c r="CF30" s="929"/>
      <c r="CG30" s="928"/>
      <c r="CH30" s="928"/>
      <c r="CI30" s="928"/>
      <c r="CJ30" s="925"/>
      <c r="CK30" s="925"/>
      <c r="CL30" s="925"/>
      <c r="CM30" s="925"/>
      <c r="CN30" s="925"/>
      <c r="CO30" s="925"/>
      <c r="CP30" s="925"/>
      <c r="CQ30" s="925"/>
      <c r="CR30" s="925"/>
      <c r="CS30" s="917"/>
      <c r="CT30" s="928"/>
      <c r="CU30" s="928"/>
      <c r="CV30" s="928"/>
      <c r="CX30" s="925"/>
      <c r="CY30" s="925"/>
      <c r="CZ30" s="925"/>
      <c r="DB30" s="925"/>
      <c r="DC30" s="925"/>
      <c r="DD30" s="925"/>
      <c r="DE30" s="925"/>
      <c r="DF30" s="925"/>
      <c r="DG30" s="925"/>
      <c r="DH30" s="925"/>
      <c r="DI30" s="925"/>
      <c r="DJ30" s="925"/>
      <c r="DK30" s="925"/>
      <c r="DL30" s="925"/>
      <c r="DM30" s="925"/>
      <c r="DN30" s="925"/>
      <c r="DO30" s="925"/>
      <c r="DP30" s="925"/>
      <c r="DQ30" s="924"/>
      <c r="DR30" s="925"/>
      <c r="DS30" s="925"/>
      <c r="DT30" s="925"/>
      <c r="DV30" s="925"/>
      <c r="DW30" s="925"/>
      <c r="DX30" s="925"/>
      <c r="DY30" s="925"/>
      <c r="DZ30" s="925"/>
      <c r="EA30" s="925"/>
      <c r="EB30" s="925"/>
      <c r="EC30" s="925"/>
      <c r="ED30" s="925"/>
      <c r="EE30" s="925"/>
      <c r="EF30" s="925"/>
      <c r="EG30" s="925"/>
      <c r="EH30" s="925"/>
      <c r="EI30" s="925"/>
      <c r="EJ30" s="925"/>
      <c r="EK30" s="925"/>
      <c r="EL30" s="925"/>
      <c r="EM30" s="925"/>
      <c r="EN30" s="925"/>
      <c r="EO30" s="925"/>
      <c r="EP30" s="925"/>
      <c r="EQ30" s="925"/>
      <c r="ER30" s="925"/>
      <c r="ES30" s="925"/>
      <c r="ET30" s="925"/>
      <c r="EV30" s="924"/>
      <c r="EW30" s="925"/>
      <c r="EX30" s="925"/>
      <c r="EY30" s="925"/>
    </row>
    <row r="31" spans="1:155" s="927" customFormat="1" ht="15.75" x14ac:dyDescent="0.25">
      <c r="A31" s="912" t="s">
        <v>359</v>
      </c>
      <c r="B31" s="913" t="s">
        <v>35</v>
      </c>
      <c r="C31" s="914">
        <v>63</v>
      </c>
      <c r="D31" s="914">
        <v>13132</v>
      </c>
      <c r="E31" s="915">
        <v>1.0549999999999999</v>
      </c>
      <c r="F31" s="916">
        <f t="shared" si="0"/>
        <v>13855</v>
      </c>
      <c r="G31" s="915">
        <v>1.01</v>
      </c>
      <c r="H31" s="916">
        <f t="shared" si="1"/>
        <v>13994</v>
      </c>
      <c r="I31" s="917">
        <f t="shared" si="2"/>
        <v>881622</v>
      </c>
      <c r="J31" s="918">
        <f t="shared" si="3"/>
        <v>0.25396999999999997</v>
      </c>
      <c r="K31" s="919">
        <v>210112</v>
      </c>
      <c r="L31" s="917">
        <f t="shared" si="4"/>
        <v>223905.54</v>
      </c>
      <c r="M31" s="918">
        <f t="shared" si="5"/>
        <v>0</v>
      </c>
      <c r="N31" s="919"/>
      <c r="O31" s="917">
        <f t="shared" si="6"/>
        <v>0</v>
      </c>
      <c r="P31" s="918">
        <f t="shared" si="7"/>
        <v>5.1399999999999996E-3</v>
      </c>
      <c r="Q31" s="995">
        <f>D31*C31*0.15/C31*(0.61+0.94+0.11+0.5)</f>
        <v>4254.7700000000004</v>
      </c>
      <c r="R31" s="917">
        <f t="shared" si="8"/>
        <v>4531.54</v>
      </c>
      <c r="S31" s="918">
        <f t="shared" si="9"/>
        <v>0</v>
      </c>
      <c r="T31" s="919"/>
      <c r="U31" s="917">
        <f t="shared" si="10"/>
        <v>0</v>
      </c>
      <c r="V31" s="918">
        <f t="shared" si="11"/>
        <v>0</v>
      </c>
      <c r="W31" s="919"/>
      <c r="X31" s="917">
        <f t="shared" si="12"/>
        <v>0</v>
      </c>
      <c r="Y31" s="918">
        <f t="shared" si="13"/>
        <v>0</v>
      </c>
      <c r="Z31" s="919"/>
      <c r="AA31" s="917">
        <f t="shared" si="14"/>
        <v>0</v>
      </c>
      <c r="AB31" s="918">
        <f t="shared" si="15"/>
        <v>0.20316999999999999</v>
      </c>
      <c r="AC31" s="919">
        <v>168089.60000000001</v>
      </c>
      <c r="AD31" s="917">
        <f t="shared" si="16"/>
        <v>179119.14</v>
      </c>
      <c r="AE31" s="918">
        <f t="shared" si="17"/>
        <v>6.0299999999999998E-3</v>
      </c>
      <c r="AF31" s="919">
        <v>4990.16</v>
      </c>
      <c r="AG31" s="917">
        <f t="shared" si="18"/>
        <v>5316.18</v>
      </c>
      <c r="AH31" s="918">
        <f t="shared" si="19"/>
        <v>0</v>
      </c>
      <c r="AI31" s="919"/>
      <c r="AJ31" s="917">
        <f t="shared" si="20"/>
        <v>0</v>
      </c>
      <c r="AK31" s="918">
        <f t="shared" si="21"/>
        <v>0</v>
      </c>
      <c r="AL31" s="919"/>
      <c r="AM31" s="917">
        <f t="shared" si="22"/>
        <v>0</v>
      </c>
      <c r="AN31" s="920">
        <v>19242</v>
      </c>
      <c r="AO31" s="917">
        <f t="shared" si="23"/>
        <v>0</v>
      </c>
      <c r="AP31" s="920"/>
      <c r="AQ31" s="916">
        <f t="shared" si="24"/>
        <v>0</v>
      </c>
      <c r="AR31" s="917">
        <f t="shared" si="25"/>
        <v>1294494.3999999999</v>
      </c>
      <c r="AS31" s="916">
        <v>12</v>
      </c>
      <c r="AT31" s="921">
        <f t="shared" si="26"/>
        <v>15533932.800000001</v>
      </c>
      <c r="AU31" s="920"/>
      <c r="AV31" s="922">
        <f t="shared" si="27"/>
        <v>155339.32999999999</v>
      </c>
      <c r="AW31" s="921">
        <f t="shared" si="28"/>
        <v>15689272.130000001</v>
      </c>
      <c r="AX31" s="921">
        <f t="shared" si="29"/>
        <v>4738160.18</v>
      </c>
      <c r="AY31" s="921">
        <f t="shared" si="30"/>
        <v>20427432.309999999</v>
      </c>
      <c r="AZ31" s="923">
        <f t="shared" si="31"/>
        <v>15689.3</v>
      </c>
      <c r="BA31" s="923">
        <f t="shared" si="32"/>
        <v>4738.2</v>
      </c>
      <c r="BB31" s="923">
        <f t="shared" si="33"/>
        <v>20427.5</v>
      </c>
      <c r="BC31" s="915">
        <v>0.95</v>
      </c>
      <c r="BD31" s="923">
        <f t="shared" si="34"/>
        <v>14904.8</v>
      </c>
      <c r="BE31" s="923">
        <f t="shared" si="35"/>
        <v>4501.2</v>
      </c>
      <c r="BF31" s="923">
        <f t="shared" si="36"/>
        <v>19406</v>
      </c>
      <c r="BG31" s="924">
        <f>'[3]свод (2024)'!$B$116</f>
        <v>0.99758349999999996</v>
      </c>
      <c r="BH31" s="923">
        <f>ROUND(BD31*BG31,1)</f>
        <v>14868.8</v>
      </c>
      <c r="BI31" s="923">
        <f t="shared" si="38"/>
        <v>4490.3999999999996</v>
      </c>
      <c r="BJ31" s="923">
        <f t="shared" si="39"/>
        <v>19359.2</v>
      </c>
      <c r="BK31" s="925">
        <f t="shared" si="40"/>
        <v>-820.5</v>
      </c>
      <c r="BL31" s="925">
        <f t="shared" si="40"/>
        <v>-247.8</v>
      </c>
      <c r="BM31" s="925">
        <f t="shared" si="41"/>
        <v>-1068.3</v>
      </c>
      <c r="BN31" s="925">
        <f t="shared" si="42"/>
        <v>0</v>
      </c>
      <c r="BO31" s="925">
        <f t="shared" si="43"/>
        <v>0</v>
      </c>
      <c r="BP31" s="926"/>
      <c r="BQ31" s="925">
        <f t="shared" si="44"/>
        <v>14868.8</v>
      </c>
      <c r="BR31" s="925">
        <f t="shared" si="44"/>
        <v>4490.3999999999996</v>
      </c>
      <c r="BS31" s="925">
        <f t="shared" si="45"/>
        <v>19359.2</v>
      </c>
      <c r="BU31" s="928">
        <f>C31</f>
        <v>63</v>
      </c>
      <c r="BV31" s="917"/>
      <c r="BW31" s="928"/>
      <c r="BX31" s="928">
        <f>AW31-X31</f>
        <v>15689272.130000001</v>
      </c>
      <c r="BY31" s="928"/>
      <c r="BZ31" s="917"/>
      <c r="CA31" s="928"/>
      <c r="CB31" s="917"/>
      <c r="CC31" s="928"/>
      <c r="CD31" s="928"/>
      <c r="CE31" s="928"/>
      <c r="CF31" s="929">
        <f t="shared" si="46"/>
        <v>6062460.71</v>
      </c>
      <c r="CG31" s="928"/>
      <c r="CH31" s="928"/>
      <c r="CI31" s="928"/>
      <c r="CJ31" s="925"/>
      <c r="CK31" s="925"/>
      <c r="CL31" s="925"/>
      <c r="CM31" s="925"/>
      <c r="CN31" s="925"/>
      <c r="CO31" s="925"/>
      <c r="CP31" s="925"/>
      <c r="CQ31" s="925"/>
      <c r="CR31" s="925"/>
      <c r="CS31" s="917"/>
      <c r="CT31" s="928"/>
      <c r="CU31" s="928"/>
      <c r="CV31" s="928"/>
      <c r="CX31" s="925"/>
      <c r="CY31" s="925"/>
      <c r="CZ31" s="925"/>
      <c r="DB31" s="925"/>
      <c r="DC31" s="925"/>
      <c r="DD31" s="925"/>
      <c r="DE31" s="925"/>
      <c r="DF31" s="925"/>
      <c r="DG31" s="925"/>
      <c r="DH31" s="925"/>
      <c r="DI31" s="925"/>
      <c r="DJ31" s="925"/>
      <c r="DK31" s="925"/>
      <c r="DL31" s="925"/>
      <c r="DM31" s="925"/>
      <c r="DN31" s="925"/>
      <c r="DO31" s="925"/>
      <c r="DP31" s="925"/>
      <c r="DQ31" s="924"/>
      <c r="DR31" s="925"/>
      <c r="DS31" s="925"/>
      <c r="DT31" s="925"/>
      <c r="DV31" s="925"/>
      <c r="DW31" s="925"/>
      <c r="DX31" s="925"/>
      <c r="DY31" s="925"/>
      <c r="DZ31" s="925"/>
      <c r="EA31" s="925"/>
      <c r="EB31" s="925"/>
      <c r="EC31" s="925"/>
      <c r="ED31" s="925"/>
      <c r="EE31" s="925"/>
      <c r="EF31" s="925"/>
      <c r="EG31" s="925"/>
      <c r="EH31" s="925"/>
      <c r="EI31" s="925"/>
      <c r="EJ31" s="925"/>
      <c r="EK31" s="925"/>
      <c r="EL31" s="925"/>
      <c r="EM31" s="925"/>
      <c r="EN31" s="925"/>
      <c r="EO31" s="925"/>
      <c r="EP31" s="925"/>
      <c r="EQ31" s="925"/>
      <c r="ER31" s="925"/>
      <c r="ES31" s="925"/>
      <c r="ET31" s="925"/>
      <c r="EV31" s="924"/>
      <c r="EW31" s="925"/>
      <c r="EX31" s="925"/>
      <c r="EY31" s="925"/>
    </row>
    <row r="32" spans="1:155" s="927" customFormat="1" ht="15.75" x14ac:dyDescent="0.25">
      <c r="A32" s="912" t="s">
        <v>359</v>
      </c>
      <c r="B32" s="913" t="s">
        <v>37</v>
      </c>
      <c r="C32" s="914">
        <v>6.19</v>
      </c>
      <c r="D32" s="914">
        <v>13132</v>
      </c>
      <c r="E32" s="915">
        <v>1.0549999999999999</v>
      </c>
      <c r="F32" s="916">
        <f t="shared" si="0"/>
        <v>13855</v>
      </c>
      <c r="G32" s="915">
        <v>1.01</v>
      </c>
      <c r="H32" s="916">
        <f t="shared" si="1"/>
        <v>13994</v>
      </c>
      <c r="I32" s="917">
        <f t="shared" si="2"/>
        <v>86622.86</v>
      </c>
      <c r="J32" s="918">
        <f t="shared" si="3"/>
        <v>0.20960999999999999</v>
      </c>
      <c r="K32" s="919">
        <v>17038.77</v>
      </c>
      <c r="L32" s="917">
        <f t="shared" si="4"/>
        <v>18157.02</v>
      </c>
      <c r="M32" s="918">
        <f t="shared" si="5"/>
        <v>0</v>
      </c>
      <c r="N32" s="919"/>
      <c r="O32" s="917">
        <f t="shared" si="6"/>
        <v>0</v>
      </c>
      <c r="P32" s="918">
        <f t="shared" si="7"/>
        <v>0</v>
      </c>
      <c r="Q32" s="919"/>
      <c r="R32" s="917">
        <f t="shared" si="8"/>
        <v>0</v>
      </c>
      <c r="S32" s="918">
        <f t="shared" si="9"/>
        <v>0</v>
      </c>
      <c r="T32" s="919"/>
      <c r="U32" s="917">
        <f t="shared" si="10"/>
        <v>0</v>
      </c>
      <c r="V32" s="918">
        <f t="shared" si="11"/>
        <v>0</v>
      </c>
      <c r="W32" s="919"/>
      <c r="X32" s="917">
        <f t="shared" si="12"/>
        <v>0</v>
      </c>
      <c r="Y32" s="918">
        <f t="shared" si="13"/>
        <v>0</v>
      </c>
      <c r="Z32" s="919"/>
      <c r="AA32" s="917">
        <f t="shared" si="14"/>
        <v>0</v>
      </c>
      <c r="AB32" s="918">
        <f t="shared" si="15"/>
        <v>0.16769000000000001</v>
      </c>
      <c r="AC32" s="919">
        <v>13631.02</v>
      </c>
      <c r="AD32" s="917">
        <f t="shared" si="16"/>
        <v>14525.79</v>
      </c>
      <c r="AE32" s="918">
        <f t="shared" si="17"/>
        <v>0</v>
      </c>
      <c r="AF32" s="919"/>
      <c r="AG32" s="917">
        <f t="shared" si="18"/>
        <v>0</v>
      </c>
      <c r="AH32" s="918">
        <f t="shared" si="19"/>
        <v>0</v>
      </c>
      <c r="AI32" s="919"/>
      <c r="AJ32" s="917">
        <f t="shared" si="20"/>
        <v>0</v>
      </c>
      <c r="AK32" s="918">
        <f t="shared" si="21"/>
        <v>0</v>
      </c>
      <c r="AL32" s="919"/>
      <c r="AM32" s="917">
        <f t="shared" si="22"/>
        <v>0</v>
      </c>
      <c r="AN32" s="920">
        <v>19242</v>
      </c>
      <c r="AO32" s="917">
        <f t="shared" si="23"/>
        <v>0</v>
      </c>
      <c r="AP32" s="920"/>
      <c r="AQ32" s="916">
        <f t="shared" si="24"/>
        <v>0</v>
      </c>
      <c r="AR32" s="917">
        <f t="shared" si="25"/>
        <v>119305.67</v>
      </c>
      <c r="AS32" s="916">
        <v>12</v>
      </c>
      <c r="AT32" s="921">
        <f t="shared" si="26"/>
        <v>1431668.04</v>
      </c>
      <c r="AU32" s="920"/>
      <c r="AV32" s="922">
        <f t="shared" si="27"/>
        <v>14316.68</v>
      </c>
      <c r="AW32" s="921">
        <f t="shared" si="28"/>
        <v>1445984.72</v>
      </c>
      <c r="AX32" s="921">
        <f t="shared" si="29"/>
        <v>436687.39</v>
      </c>
      <c r="AY32" s="921">
        <f t="shared" si="30"/>
        <v>1882672.11</v>
      </c>
      <c r="AZ32" s="923">
        <f t="shared" si="31"/>
        <v>1446</v>
      </c>
      <c r="BA32" s="923">
        <f t="shared" si="32"/>
        <v>436.7</v>
      </c>
      <c r="BB32" s="923">
        <f t="shared" si="33"/>
        <v>1882.7</v>
      </c>
      <c r="BC32" s="915">
        <v>0.95</v>
      </c>
      <c r="BD32" s="923">
        <f t="shared" si="34"/>
        <v>1373.7</v>
      </c>
      <c r="BE32" s="923">
        <f t="shared" si="35"/>
        <v>414.9</v>
      </c>
      <c r="BF32" s="923">
        <f t="shared" si="36"/>
        <v>1788.6</v>
      </c>
      <c r="BG32" s="924">
        <f>'[3]свод (2024)'!$B$116</f>
        <v>0.99758349999999996</v>
      </c>
      <c r="BH32" s="923">
        <f t="shared" si="37"/>
        <v>1370.4</v>
      </c>
      <c r="BI32" s="923">
        <f t="shared" si="38"/>
        <v>413.9</v>
      </c>
      <c r="BJ32" s="923">
        <f t="shared" si="39"/>
        <v>1784.3</v>
      </c>
      <c r="BK32" s="925">
        <f t="shared" si="40"/>
        <v>-75.599999999999994</v>
      </c>
      <c r="BL32" s="925">
        <f t="shared" si="40"/>
        <v>-22.8</v>
      </c>
      <c r="BM32" s="925">
        <f t="shared" si="41"/>
        <v>-98.4</v>
      </c>
      <c r="BN32" s="925">
        <f t="shared" si="42"/>
        <v>0</v>
      </c>
      <c r="BO32" s="925">
        <f t="shared" si="43"/>
        <v>0</v>
      </c>
      <c r="BP32" s="926"/>
      <c r="BQ32" s="925">
        <f t="shared" si="44"/>
        <v>1370.4</v>
      </c>
      <c r="BR32" s="925">
        <f t="shared" si="44"/>
        <v>413.9</v>
      </c>
      <c r="BS32" s="925">
        <f t="shared" si="45"/>
        <v>1784.3</v>
      </c>
      <c r="BU32" s="928">
        <f>C32</f>
        <v>6.19</v>
      </c>
      <c r="BV32" s="917"/>
      <c r="BW32" s="928"/>
      <c r="BX32" s="928">
        <f>AW32-X32</f>
        <v>1445984.72</v>
      </c>
      <c r="BY32" s="928"/>
      <c r="BZ32" s="917"/>
      <c r="CA32" s="928"/>
      <c r="CB32" s="917"/>
      <c r="CC32" s="928"/>
      <c r="CD32" s="928"/>
      <c r="CE32" s="928"/>
      <c r="CF32" s="929">
        <f t="shared" si="46"/>
        <v>595660.81999999995</v>
      </c>
      <c r="CG32" s="928"/>
      <c r="CH32" s="928"/>
      <c r="CI32" s="928"/>
      <c r="CJ32" s="925"/>
      <c r="CK32" s="925"/>
      <c r="CL32" s="925"/>
      <c r="CM32" s="925"/>
      <c r="CN32" s="925"/>
      <c r="CO32" s="925"/>
      <c r="CP32" s="925"/>
      <c r="CQ32" s="925"/>
      <c r="CR32" s="925"/>
      <c r="CS32" s="917"/>
      <c r="CT32" s="928"/>
      <c r="CU32" s="928"/>
      <c r="CV32" s="928"/>
      <c r="CX32" s="925"/>
      <c r="CY32" s="925"/>
      <c r="CZ32" s="925"/>
      <c r="DB32" s="925"/>
      <c r="DC32" s="925"/>
      <c r="DD32" s="925"/>
      <c r="DE32" s="925"/>
      <c r="DF32" s="925"/>
      <c r="DG32" s="925"/>
      <c r="DH32" s="925"/>
      <c r="DI32" s="925"/>
      <c r="DJ32" s="925"/>
      <c r="DK32" s="925"/>
      <c r="DL32" s="925"/>
      <c r="DM32" s="925"/>
      <c r="DN32" s="925"/>
      <c r="DO32" s="925"/>
      <c r="DP32" s="925"/>
      <c r="DQ32" s="924"/>
      <c r="DR32" s="925"/>
      <c r="DS32" s="925"/>
      <c r="DT32" s="925"/>
      <c r="DV32" s="925"/>
      <c r="DW32" s="925"/>
      <c r="DX32" s="925"/>
      <c r="DY32" s="925"/>
      <c r="DZ32" s="925"/>
      <c r="EA32" s="925"/>
      <c r="EB32" s="925"/>
      <c r="EC32" s="925"/>
      <c r="ED32" s="925"/>
      <c r="EE32" s="925"/>
      <c r="EF32" s="925"/>
      <c r="EG32" s="925"/>
      <c r="EH32" s="925"/>
      <c r="EI32" s="925"/>
      <c r="EJ32" s="925"/>
      <c r="EK32" s="925"/>
      <c r="EL32" s="925"/>
      <c r="EM32" s="925"/>
      <c r="EN32" s="925"/>
      <c r="EO32" s="925"/>
      <c r="EP32" s="925"/>
      <c r="EQ32" s="925"/>
      <c r="ER32" s="925"/>
      <c r="ES32" s="925"/>
      <c r="ET32" s="925"/>
      <c r="EV32" s="924"/>
      <c r="EW32" s="925"/>
      <c r="EX32" s="925"/>
      <c r="EY32" s="925"/>
    </row>
    <row r="33" spans="1:155" s="927" customFormat="1" ht="15.75" x14ac:dyDescent="0.25">
      <c r="A33" s="912" t="s">
        <v>359</v>
      </c>
      <c r="B33" s="913" t="s">
        <v>1386</v>
      </c>
      <c r="C33" s="914">
        <v>1</v>
      </c>
      <c r="D33" s="914">
        <v>13772</v>
      </c>
      <c r="E33" s="915">
        <v>1.0549999999999999</v>
      </c>
      <c r="F33" s="916">
        <f t="shared" si="0"/>
        <v>14530</v>
      </c>
      <c r="G33" s="915">
        <v>1.01</v>
      </c>
      <c r="H33" s="916">
        <f t="shared" si="1"/>
        <v>14676</v>
      </c>
      <c r="I33" s="917">
        <f t="shared" si="2"/>
        <v>14676</v>
      </c>
      <c r="J33" s="918">
        <f t="shared" si="3"/>
        <v>0.25</v>
      </c>
      <c r="K33" s="919">
        <v>3443</v>
      </c>
      <c r="L33" s="917">
        <f t="shared" si="4"/>
        <v>3669</v>
      </c>
      <c r="M33" s="918">
        <f t="shared" si="5"/>
        <v>0</v>
      </c>
      <c r="N33" s="919"/>
      <c r="O33" s="917">
        <f t="shared" si="6"/>
        <v>0</v>
      </c>
      <c r="P33" s="918">
        <f t="shared" si="7"/>
        <v>0</v>
      </c>
      <c r="Q33" s="919"/>
      <c r="R33" s="917">
        <f t="shared" si="8"/>
        <v>0</v>
      </c>
      <c r="S33" s="918">
        <f t="shared" si="9"/>
        <v>0</v>
      </c>
      <c r="T33" s="919"/>
      <c r="U33" s="917">
        <f t="shared" si="10"/>
        <v>0</v>
      </c>
      <c r="V33" s="918">
        <f t="shared" si="11"/>
        <v>0</v>
      </c>
      <c r="W33" s="919"/>
      <c r="X33" s="917">
        <f t="shared" si="12"/>
        <v>0</v>
      </c>
      <c r="Y33" s="918">
        <f t="shared" si="13"/>
        <v>0</v>
      </c>
      <c r="Z33" s="919"/>
      <c r="AA33" s="917">
        <f t="shared" si="14"/>
        <v>0</v>
      </c>
      <c r="AB33" s="918">
        <f t="shared" si="15"/>
        <v>0.2</v>
      </c>
      <c r="AC33" s="919">
        <v>2754.4</v>
      </c>
      <c r="AD33" s="917">
        <f t="shared" si="16"/>
        <v>2935.2</v>
      </c>
      <c r="AE33" s="918">
        <f t="shared" si="17"/>
        <v>0</v>
      </c>
      <c r="AF33" s="919"/>
      <c r="AG33" s="917">
        <f t="shared" si="18"/>
        <v>0</v>
      </c>
      <c r="AH33" s="918">
        <f t="shared" si="19"/>
        <v>0</v>
      </c>
      <c r="AI33" s="919"/>
      <c r="AJ33" s="917">
        <f t="shared" si="20"/>
        <v>0</v>
      </c>
      <c r="AK33" s="918">
        <f t="shared" si="21"/>
        <v>0</v>
      </c>
      <c r="AL33" s="919"/>
      <c r="AM33" s="917">
        <f t="shared" si="22"/>
        <v>0</v>
      </c>
      <c r="AN33" s="920">
        <v>19242</v>
      </c>
      <c r="AO33" s="917">
        <f t="shared" si="23"/>
        <v>0</v>
      </c>
      <c r="AP33" s="920"/>
      <c r="AQ33" s="916">
        <f t="shared" si="24"/>
        <v>0</v>
      </c>
      <c r="AR33" s="917">
        <f t="shared" si="25"/>
        <v>21280.2</v>
      </c>
      <c r="AS33" s="916">
        <v>12</v>
      </c>
      <c r="AT33" s="921">
        <f t="shared" si="26"/>
        <v>255362.4</v>
      </c>
      <c r="AU33" s="920"/>
      <c r="AV33" s="922">
        <f t="shared" si="27"/>
        <v>2553.62</v>
      </c>
      <c r="AW33" s="921">
        <f t="shared" si="28"/>
        <v>257916.02</v>
      </c>
      <c r="AX33" s="921">
        <f t="shared" si="29"/>
        <v>77890.64</v>
      </c>
      <c r="AY33" s="921">
        <f t="shared" si="30"/>
        <v>335806.66</v>
      </c>
      <c r="AZ33" s="923">
        <f t="shared" si="31"/>
        <v>257.89999999999998</v>
      </c>
      <c r="BA33" s="923">
        <f t="shared" si="32"/>
        <v>77.900000000000006</v>
      </c>
      <c r="BB33" s="923">
        <f t="shared" si="33"/>
        <v>335.8</v>
      </c>
      <c r="BC33" s="915">
        <v>0.95</v>
      </c>
      <c r="BD33" s="923">
        <f t="shared" si="34"/>
        <v>245</v>
      </c>
      <c r="BE33" s="923">
        <f t="shared" si="35"/>
        <v>74</v>
      </c>
      <c r="BF33" s="923">
        <f t="shared" si="36"/>
        <v>319</v>
      </c>
      <c r="BG33" s="924">
        <f>'[3]свод (2024)'!$B$116</f>
        <v>0.99758349999999996</v>
      </c>
      <c r="BH33" s="923">
        <f t="shared" si="37"/>
        <v>244.4</v>
      </c>
      <c r="BI33" s="923">
        <f t="shared" si="38"/>
        <v>73.8</v>
      </c>
      <c r="BJ33" s="923">
        <f t="shared" si="39"/>
        <v>318.2</v>
      </c>
      <c r="BK33" s="925">
        <f t="shared" si="40"/>
        <v>-13.5</v>
      </c>
      <c r="BL33" s="925">
        <f t="shared" si="40"/>
        <v>-4.0999999999999996</v>
      </c>
      <c r="BM33" s="925">
        <f t="shared" si="41"/>
        <v>-17.600000000000001</v>
      </c>
      <c r="BN33" s="925">
        <f t="shared" si="42"/>
        <v>0</v>
      </c>
      <c r="BO33" s="925">
        <f t="shared" si="43"/>
        <v>0</v>
      </c>
      <c r="BP33" s="926"/>
      <c r="BQ33" s="925">
        <f t="shared" si="44"/>
        <v>244.4</v>
      </c>
      <c r="BR33" s="925">
        <f t="shared" si="44"/>
        <v>73.8</v>
      </c>
      <c r="BS33" s="925">
        <f t="shared" si="45"/>
        <v>318.2</v>
      </c>
      <c r="BU33" s="928">
        <f>C33</f>
        <v>1</v>
      </c>
      <c r="BV33" s="917"/>
      <c r="BW33" s="928"/>
      <c r="BX33" s="928">
        <f>AW33-X33</f>
        <v>257916.02</v>
      </c>
      <c r="BY33" s="928"/>
      <c r="BZ33" s="917"/>
      <c r="CA33" s="928"/>
      <c r="CB33" s="917"/>
      <c r="CC33" s="928"/>
      <c r="CD33" s="928"/>
      <c r="CE33" s="928"/>
      <c r="CF33" s="929">
        <f t="shared" si="46"/>
        <v>96229.54</v>
      </c>
      <c r="CG33" s="928"/>
      <c r="CH33" s="928"/>
      <c r="CI33" s="928"/>
      <c r="CJ33" s="925"/>
      <c r="CK33" s="925"/>
      <c r="CL33" s="925"/>
      <c r="CM33" s="925"/>
      <c r="CN33" s="925"/>
      <c r="CO33" s="925"/>
      <c r="CP33" s="925"/>
      <c r="CQ33" s="925"/>
      <c r="CR33" s="925"/>
      <c r="CS33" s="917"/>
      <c r="CT33" s="928"/>
      <c r="CU33" s="928"/>
      <c r="CV33" s="928"/>
      <c r="CX33" s="925"/>
      <c r="CY33" s="925"/>
      <c r="CZ33" s="925"/>
      <c r="DB33" s="925"/>
      <c r="DC33" s="925"/>
      <c r="DD33" s="925"/>
      <c r="DE33" s="925"/>
      <c r="DF33" s="925"/>
      <c r="DG33" s="925"/>
      <c r="DH33" s="925"/>
      <c r="DI33" s="925"/>
      <c r="DJ33" s="925"/>
      <c r="DK33" s="925"/>
      <c r="DL33" s="925"/>
      <c r="DM33" s="925"/>
      <c r="DN33" s="925"/>
      <c r="DO33" s="925"/>
      <c r="DP33" s="925"/>
      <c r="DQ33" s="924"/>
      <c r="DR33" s="925"/>
      <c r="DS33" s="925"/>
      <c r="DT33" s="925"/>
      <c r="DV33" s="925"/>
      <c r="DW33" s="925"/>
      <c r="DX33" s="925"/>
      <c r="DY33" s="925"/>
      <c r="DZ33" s="925"/>
      <c r="EA33" s="925"/>
      <c r="EB33" s="925"/>
      <c r="EC33" s="925"/>
      <c r="ED33" s="925"/>
      <c r="EE33" s="925"/>
      <c r="EF33" s="925"/>
      <c r="EG33" s="925"/>
      <c r="EH33" s="925"/>
      <c r="EI33" s="925"/>
      <c r="EJ33" s="925"/>
      <c r="EK33" s="925"/>
      <c r="EL33" s="925"/>
      <c r="EM33" s="925"/>
      <c r="EN33" s="925"/>
      <c r="EO33" s="925"/>
      <c r="EP33" s="925"/>
      <c r="EQ33" s="925"/>
      <c r="ER33" s="925"/>
      <c r="ES33" s="925"/>
      <c r="ET33" s="925"/>
      <c r="EV33" s="924"/>
      <c r="EW33" s="925"/>
      <c r="EX33" s="925"/>
      <c r="EY33" s="925"/>
    </row>
    <row r="34" spans="1:155" s="927" customFormat="1" ht="24" x14ac:dyDescent="0.25">
      <c r="A34" s="912" t="s">
        <v>359</v>
      </c>
      <c r="B34" s="913" t="s">
        <v>494</v>
      </c>
      <c r="C34" s="914">
        <v>2.5</v>
      </c>
      <c r="D34" s="914">
        <v>4588</v>
      </c>
      <c r="E34" s="915">
        <v>1.0549999999999999</v>
      </c>
      <c r="F34" s="916">
        <f t="shared" si="0"/>
        <v>4841</v>
      </c>
      <c r="G34" s="915">
        <v>1.01</v>
      </c>
      <c r="H34" s="916">
        <f t="shared" si="1"/>
        <v>4890</v>
      </c>
      <c r="I34" s="917">
        <f t="shared" si="2"/>
        <v>12225</v>
      </c>
      <c r="J34" s="918">
        <f t="shared" si="3"/>
        <v>0</v>
      </c>
      <c r="K34" s="919"/>
      <c r="L34" s="917">
        <f t="shared" si="4"/>
        <v>0</v>
      </c>
      <c r="M34" s="918">
        <f t="shared" si="5"/>
        <v>0</v>
      </c>
      <c r="N34" s="919"/>
      <c r="O34" s="917">
        <f t="shared" si="6"/>
        <v>0</v>
      </c>
      <c r="P34" s="918">
        <f t="shared" si="7"/>
        <v>0</v>
      </c>
      <c r="Q34" s="919"/>
      <c r="R34" s="917">
        <f t="shared" si="8"/>
        <v>0</v>
      </c>
      <c r="S34" s="918">
        <f t="shared" si="9"/>
        <v>0.5</v>
      </c>
      <c r="T34" s="919">
        <v>5735</v>
      </c>
      <c r="U34" s="917">
        <f t="shared" si="10"/>
        <v>6112.5</v>
      </c>
      <c r="V34" s="918">
        <f t="shared" si="11"/>
        <v>0</v>
      </c>
      <c r="W34" s="919"/>
      <c r="X34" s="917">
        <f t="shared" si="12"/>
        <v>0</v>
      </c>
      <c r="Y34" s="918">
        <f t="shared" si="13"/>
        <v>0</v>
      </c>
      <c r="Z34" s="919"/>
      <c r="AA34" s="917">
        <f t="shared" si="14"/>
        <v>0</v>
      </c>
      <c r="AB34" s="918">
        <f t="shared" si="15"/>
        <v>0</v>
      </c>
      <c r="AC34" s="919"/>
      <c r="AD34" s="917">
        <f t="shared" si="16"/>
        <v>0</v>
      </c>
      <c r="AE34" s="918">
        <f t="shared" si="17"/>
        <v>0</v>
      </c>
      <c r="AF34" s="919"/>
      <c r="AG34" s="917">
        <f t="shared" si="18"/>
        <v>0</v>
      </c>
      <c r="AH34" s="918">
        <f t="shared" si="19"/>
        <v>0</v>
      </c>
      <c r="AI34" s="919"/>
      <c r="AJ34" s="917">
        <f t="shared" si="20"/>
        <v>0</v>
      </c>
      <c r="AK34" s="918">
        <f t="shared" si="21"/>
        <v>0</v>
      </c>
      <c r="AL34" s="919"/>
      <c r="AM34" s="917">
        <f t="shared" si="22"/>
        <v>0</v>
      </c>
      <c r="AN34" s="920">
        <v>19242</v>
      </c>
      <c r="AO34" s="917">
        <f t="shared" si="23"/>
        <v>29767.5</v>
      </c>
      <c r="AP34" s="920"/>
      <c r="AQ34" s="916">
        <f t="shared" si="24"/>
        <v>0</v>
      </c>
      <c r="AR34" s="917">
        <f t="shared" si="25"/>
        <v>48105</v>
      </c>
      <c r="AS34" s="916">
        <v>12</v>
      </c>
      <c r="AT34" s="921">
        <f t="shared" si="26"/>
        <v>577260</v>
      </c>
      <c r="AU34" s="920"/>
      <c r="AV34" s="922">
        <f t="shared" si="27"/>
        <v>5772.6</v>
      </c>
      <c r="AW34" s="921">
        <f t="shared" si="28"/>
        <v>583032.6</v>
      </c>
      <c r="AX34" s="921">
        <f t="shared" si="29"/>
        <v>176075.85</v>
      </c>
      <c r="AY34" s="921">
        <f t="shared" si="30"/>
        <v>759108.45</v>
      </c>
      <c r="AZ34" s="923">
        <f t="shared" si="31"/>
        <v>583</v>
      </c>
      <c r="BA34" s="923">
        <f t="shared" si="32"/>
        <v>176.1</v>
      </c>
      <c r="BB34" s="923">
        <f t="shared" si="33"/>
        <v>759.1</v>
      </c>
      <c r="BC34" s="915">
        <v>0.95</v>
      </c>
      <c r="BD34" s="923">
        <f t="shared" si="34"/>
        <v>553.9</v>
      </c>
      <c r="BE34" s="923">
        <f t="shared" si="35"/>
        <v>167.3</v>
      </c>
      <c r="BF34" s="923">
        <f t="shared" si="36"/>
        <v>721.2</v>
      </c>
      <c r="BG34" s="924">
        <f>'[3]свод (2024)'!$B$116</f>
        <v>0.99758349999999996</v>
      </c>
      <c r="BH34" s="923">
        <f t="shared" si="37"/>
        <v>552.6</v>
      </c>
      <c r="BI34" s="923">
        <f t="shared" si="38"/>
        <v>166.9</v>
      </c>
      <c r="BJ34" s="923">
        <f t="shared" si="39"/>
        <v>719.5</v>
      </c>
      <c r="BK34" s="925">
        <f t="shared" si="40"/>
        <v>-30.4</v>
      </c>
      <c r="BL34" s="925">
        <f t="shared" si="40"/>
        <v>-9.1999999999999993</v>
      </c>
      <c r="BM34" s="925">
        <f t="shared" si="41"/>
        <v>-39.6</v>
      </c>
      <c r="BN34" s="925">
        <f t="shared" si="42"/>
        <v>0</v>
      </c>
      <c r="BO34" s="925">
        <f t="shared" si="43"/>
        <v>0</v>
      </c>
      <c r="BP34" s="926"/>
      <c r="BQ34" s="925">
        <f t="shared" si="44"/>
        <v>552.6</v>
      </c>
      <c r="BR34" s="925">
        <f t="shared" si="44"/>
        <v>166.9</v>
      </c>
      <c r="BS34" s="925">
        <f t="shared" si="45"/>
        <v>719.5</v>
      </c>
      <c r="BU34" s="928"/>
      <c r="BV34" s="917"/>
      <c r="BW34" s="928"/>
      <c r="BX34" s="928"/>
      <c r="BY34" s="928"/>
      <c r="BZ34" s="917"/>
      <c r="CA34" s="928"/>
      <c r="CB34" s="917"/>
      <c r="CC34" s="928"/>
      <c r="CD34" s="928"/>
      <c r="CE34" s="928"/>
      <c r="CF34" s="929"/>
      <c r="CG34" s="928"/>
      <c r="CH34" s="928"/>
      <c r="CI34" s="928"/>
      <c r="CJ34" s="925"/>
      <c r="CK34" s="925"/>
      <c r="CL34" s="925"/>
      <c r="CM34" s="925"/>
      <c r="CN34" s="925"/>
      <c r="CO34" s="925"/>
      <c r="CP34" s="925"/>
      <c r="CQ34" s="925"/>
      <c r="CR34" s="925"/>
      <c r="CS34" s="917"/>
      <c r="CT34" s="928"/>
      <c r="CU34" s="928"/>
      <c r="CV34" s="928"/>
      <c r="CX34" s="925"/>
      <c r="CY34" s="925"/>
      <c r="CZ34" s="925"/>
      <c r="DB34" s="925"/>
      <c r="DC34" s="925"/>
      <c r="DD34" s="925"/>
      <c r="DE34" s="925"/>
      <c r="DF34" s="925"/>
      <c r="DG34" s="925"/>
      <c r="DH34" s="925"/>
      <c r="DI34" s="925"/>
      <c r="DJ34" s="925"/>
      <c r="DK34" s="925"/>
      <c r="DL34" s="925"/>
      <c r="DM34" s="925"/>
      <c r="DN34" s="925"/>
      <c r="DO34" s="925"/>
      <c r="DP34" s="925"/>
      <c r="DQ34" s="924"/>
      <c r="DR34" s="925"/>
      <c r="DS34" s="925"/>
      <c r="DT34" s="925"/>
      <c r="DV34" s="925"/>
      <c r="DW34" s="925"/>
      <c r="DX34" s="925"/>
      <c r="DY34" s="925"/>
      <c r="DZ34" s="925"/>
      <c r="EA34" s="925"/>
      <c r="EB34" s="925"/>
      <c r="EC34" s="925"/>
      <c r="ED34" s="925"/>
      <c r="EE34" s="925"/>
      <c r="EF34" s="925"/>
      <c r="EG34" s="925"/>
      <c r="EH34" s="925"/>
      <c r="EI34" s="925"/>
      <c r="EJ34" s="925"/>
      <c r="EK34" s="925"/>
      <c r="EL34" s="925"/>
      <c r="EM34" s="925"/>
      <c r="EN34" s="925"/>
      <c r="EO34" s="925"/>
      <c r="EP34" s="925"/>
      <c r="EQ34" s="925"/>
      <c r="ER34" s="925"/>
      <c r="ES34" s="925"/>
      <c r="ET34" s="925"/>
      <c r="EV34" s="924"/>
      <c r="EW34" s="925"/>
      <c r="EX34" s="925"/>
      <c r="EY34" s="925"/>
    </row>
    <row r="35" spans="1:155" s="927" customFormat="1" ht="15.75" x14ac:dyDescent="0.25">
      <c r="A35" s="912" t="s">
        <v>359</v>
      </c>
      <c r="B35" s="913" t="s">
        <v>1387</v>
      </c>
      <c r="C35" s="914">
        <v>1</v>
      </c>
      <c r="D35" s="914">
        <v>4856</v>
      </c>
      <c r="E35" s="915">
        <v>1.0549999999999999</v>
      </c>
      <c r="F35" s="916">
        <f t="shared" si="0"/>
        <v>5124</v>
      </c>
      <c r="G35" s="915">
        <v>1.01</v>
      </c>
      <c r="H35" s="916">
        <f t="shared" si="1"/>
        <v>5176</v>
      </c>
      <c r="I35" s="917">
        <f t="shared" si="2"/>
        <v>5176</v>
      </c>
      <c r="J35" s="918">
        <f t="shared" si="3"/>
        <v>0</v>
      </c>
      <c r="K35" s="919"/>
      <c r="L35" s="917">
        <f t="shared" si="4"/>
        <v>0</v>
      </c>
      <c r="M35" s="918">
        <f t="shared" si="5"/>
        <v>0</v>
      </c>
      <c r="N35" s="919"/>
      <c r="O35" s="917">
        <f t="shared" si="6"/>
        <v>0</v>
      </c>
      <c r="P35" s="918">
        <f t="shared" si="7"/>
        <v>0</v>
      </c>
      <c r="Q35" s="919"/>
      <c r="R35" s="917">
        <f t="shared" si="8"/>
        <v>0</v>
      </c>
      <c r="S35" s="918">
        <f t="shared" si="9"/>
        <v>0</v>
      </c>
      <c r="T35" s="919"/>
      <c r="U35" s="917">
        <f t="shared" si="10"/>
        <v>0</v>
      </c>
      <c r="V35" s="918">
        <f t="shared" si="11"/>
        <v>0</v>
      </c>
      <c r="W35" s="919"/>
      <c r="X35" s="917">
        <f t="shared" si="12"/>
        <v>0</v>
      </c>
      <c r="Y35" s="918">
        <f t="shared" si="13"/>
        <v>0</v>
      </c>
      <c r="Z35" s="919"/>
      <c r="AA35" s="917">
        <f t="shared" si="14"/>
        <v>0</v>
      </c>
      <c r="AB35" s="918">
        <f t="shared" si="15"/>
        <v>0</v>
      </c>
      <c r="AC35" s="919"/>
      <c r="AD35" s="917">
        <f t="shared" si="16"/>
        <v>0</v>
      </c>
      <c r="AE35" s="918">
        <f t="shared" si="17"/>
        <v>0</v>
      </c>
      <c r="AF35" s="919"/>
      <c r="AG35" s="917">
        <f t="shared" si="18"/>
        <v>0</v>
      </c>
      <c r="AH35" s="918">
        <f t="shared" si="19"/>
        <v>0</v>
      </c>
      <c r="AI35" s="919"/>
      <c r="AJ35" s="917">
        <f t="shared" si="20"/>
        <v>0</v>
      </c>
      <c r="AK35" s="918">
        <f t="shared" si="21"/>
        <v>0</v>
      </c>
      <c r="AL35" s="919"/>
      <c r="AM35" s="917">
        <f t="shared" si="22"/>
        <v>0</v>
      </c>
      <c r="AN35" s="920">
        <v>19242</v>
      </c>
      <c r="AO35" s="917">
        <f t="shared" si="23"/>
        <v>14066</v>
      </c>
      <c r="AP35" s="920"/>
      <c r="AQ35" s="916">
        <f t="shared" si="24"/>
        <v>0</v>
      </c>
      <c r="AR35" s="917">
        <f t="shared" si="25"/>
        <v>19242</v>
      </c>
      <c r="AS35" s="916">
        <v>12</v>
      </c>
      <c r="AT35" s="921">
        <f t="shared" si="26"/>
        <v>230904</v>
      </c>
      <c r="AU35" s="920"/>
      <c r="AV35" s="922">
        <f t="shared" si="27"/>
        <v>2309.04</v>
      </c>
      <c r="AW35" s="921">
        <f t="shared" si="28"/>
        <v>233213.04</v>
      </c>
      <c r="AX35" s="921">
        <f t="shared" si="29"/>
        <v>70430.34</v>
      </c>
      <c r="AY35" s="921">
        <f t="shared" si="30"/>
        <v>303643.38</v>
      </c>
      <c r="AZ35" s="923">
        <f t="shared" si="31"/>
        <v>233.2</v>
      </c>
      <c r="BA35" s="923">
        <f t="shared" si="32"/>
        <v>70.400000000000006</v>
      </c>
      <c r="BB35" s="923">
        <f t="shared" si="33"/>
        <v>303.60000000000002</v>
      </c>
      <c r="BC35" s="915">
        <v>0.95</v>
      </c>
      <c r="BD35" s="923">
        <f t="shared" si="34"/>
        <v>221.5</v>
      </c>
      <c r="BE35" s="923">
        <f t="shared" si="35"/>
        <v>66.900000000000006</v>
      </c>
      <c r="BF35" s="923">
        <f t="shared" si="36"/>
        <v>288.39999999999998</v>
      </c>
      <c r="BG35" s="924">
        <f>'[3]свод (2024)'!$B$116</f>
        <v>0.99758349999999996</v>
      </c>
      <c r="BH35" s="923">
        <f t="shared" si="37"/>
        <v>221</v>
      </c>
      <c r="BI35" s="923">
        <f t="shared" si="38"/>
        <v>66.7</v>
      </c>
      <c r="BJ35" s="923">
        <f t="shared" si="39"/>
        <v>287.7</v>
      </c>
      <c r="BK35" s="925">
        <f t="shared" si="40"/>
        <v>-12.2</v>
      </c>
      <c r="BL35" s="925">
        <f t="shared" si="40"/>
        <v>-3.7</v>
      </c>
      <c r="BM35" s="925">
        <f t="shared" si="41"/>
        <v>-15.9</v>
      </c>
      <c r="BN35" s="925">
        <f t="shared" si="42"/>
        <v>0</v>
      </c>
      <c r="BO35" s="925">
        <f t="shared" si="43"/>
        <v>0</v>
      </c>
      <c r="BP35" s="926"/>
      <c r="BQ35" s="925">
        <f t="shared" si="44"/>
        <v>221</v>
      </c>
      <c r="BR35" s="925">
        <f t="shared" si="44"/>
        <v>66.7</v>
      </c>
      <c r="BS35" s="925">
        <f t="shared" si="45"/>
        <v>287.7</v>
      </c>
      <c r="BU35" s="928"/>
      <c r="BV35" s="917"/>
      <c r="BW35" s="928"/>
      <c r="BX35" s="928"/>
      <c r="BY35" s="928"/>
      <c r="BZ35" s="917"/>
      <c r="CA35" s="928"/>
      <c r="CB35" s="917"/>
      <c r="CC35" s="928"/>
      <c r="CD35" s="928"/>
      <c r="CE35" s="928"/>
      <c r="CF35" s="929"/>
      <c r="CG35" s="928"/>
      <c r="CH35" s="928"/>
      <c r="CI35" s="928"/>
      <c r="CJ35" s="925"/>
      <c r="CK35" s="925"/>
      <c r="CL35" s="925"/>
      <c r="CM35" s="925"/>
      <c r="CN35" s="925"/>
      <c r="CO35" s="925"/>
      <c r="CP35" s="925"/>
      <c r="CQ35" s="925"/>
      <c r="CR35" s="925"/>
      <c r="CS35" s="917"/>
      <c r="CT35" s="928"/>
      <c r="CU35" s="928"/>
      <c r="CV35" s="928"/>
      <c r="CX35" s="925"/>
      <c r="CY35" s="925"/>
      <c r="CZ35" s="925"/>
      <c r="DB35" s="925"/>
      <c r="DC35" s="925"/>
      <c r="DD35" s="925"/>
      <c r="DE35" s="925"/>
      <c r="DF35" s="925"/>
      <c r="DG35" s="925"/>
      <c r="DH35" s="925"/>
      <c r="DI35" s="925"/>
      <c r="DJ35" s="925"/>
      <c r="DK35" s="925"/>
      <c r="DL35" s="925"/>
      <c r="DM35" s="925"/>
      <c r="DN35" s="925"/>
      <c r="DO35" s="925"/>
      <c r="DP35" s="925"/>
      <c r="DQ35" s="924"/>
      <c r="DR35" s="925"/>
      <c r="DS35" s="925"/>
      <c r="DT35" s="925"/>
      <c r="DV35" s="925"/>
      <c r="DW35" s="925"/>
      <c r="DX35" s="925"/>
      <c r="DY35" s="925"/>
      <c r="DZ35" s="925"/>
      <c r="EA35" s="925"/>
      <c r="EB35" s="925"/>
      <c r="EC35" s="925"/>
      <c r="ED35" s="925"/>
      <c r="EE35" s="925"/>
      <c r="EF35" s="925"/>
      <c r="EG35" s="925"/>
      <c r="EH35" s="925"/>
      <c r="EI35" s="925"/>
      <c r="EJ35" s="925"/>
      <c r="EK35" s="925"/>
      <c r="EL35" s="925"/>
      <c r="EM35" s="925"/>
      <c r="EN35" s="925"/>
      <c r="EO35" s="925"/>
      <c r="EP35" s="925"/>
      <c r="EQ35" s="925"/>
      <c r="ER35" s="925"/>
      <c r="ES35" s="925"/>
      <c r="ET35" s="925"/>
      <c r="EV35" s="924"/>
      <c r="EW35" s="925"/>
      <c r="EX35" s="925"/>
      <c r="EY35" s="925"/>
    </row>
    <row r="36" spans="1:155" s="927" customFormat="1" ht="15.75" x14ac:dyDescent="0.25">
      <c r="A36" s="912" t="s">
        <v>359</v>
      </c>
      <c r="B36" s="913" t="s">
        <v>703</v>
      </c>
      <c r="C36" s="914">
        <v>1</v>
      </c>
      <c r="D36" s="914">
        <v>10481</v>
      </c>
      <c r="E36" s="915">
        <v>1.0549999999999999</v>
      </c>
      <c r="F36" s="916">
        <f t="shared" si="0"/>
        <v>11058</v>
      </c>
      <c r="G36" s="915">
        <v>1.01</v>
      </c>
      <c r="H36" s="916">
        <f t="shared" si="1"/>
        <v>11169</v>
      </c>
      <c r="I36" s="917">
        <f t="shared" si="2"/>
        <v>11169</v>
      </c>
      <c r="J36" s="918">
        <f t="shared" si="3"/>
        <v>0</v>
      </c>
      <c r="K36" s="919"/>
      <c r="L36" s="917">
        <f t="shared" si="4"/>
        <v>0</v>
      </c>
      <c r="M36" s="918">
        <f t="shared" si="5"/>
        <v>0</v>
      </c>
      <c r="N36" s="919"/>
      <c r="O36" s="917">
        <f t="shared" si="6"/>
        <v>0</v>
      </c>
      <c r="P36" s="918">
        <f t="shared" si="7"/>
        <v>0</v>
      </c>
      <c r="Q36" s="919"/>
      <c r="R36" s="917">
        <f t="shared" si="8"/>
        <v>0</v>
      </c>
      <c r="S36" s="918">
        <f t="shared" si="9"/>
        <v>0</v>
      </c>
      <c r="T36" s="919"/>
      <c r="U36" s="917">
        <f t="shared" si="10"/>
        <v>0</v>
      </c>
      <c r="V36" s="918">
        <f t="shared" si="11"/>
        <v>0</v>
      </c>
      <c r="W36" s="919"/>
      <c r="X36" s="917">
        <f t="shared" si="12"/>
        <v>0</v>
      </c>
      <c r="Y36" s="918">
        <f t="shared" si="13"/>
        <v>1.98</v>
      </c>
      <c r="Z36" s="919">
        <v>20752.38</v>
      </c>
      <c r="AA36" s="917">
        <f t="shared" si="14"/>
        <v>22114.62</v>
      </c>
      <c r="AB36" s="918">
        <f t="shared" si="15"/>
        <v>0.3</v>
      </c>
      <c r="AC36" s="919">
        <v>3144.3</v>
      </c>
      <c r="AD36" s="917">
        <f t="shared" si="16"/>
        <v>3350.7</v>
      </c>
      <c r="AE36" s="918">
        <f t="shared" si="17"/>
        <v>0</v>
      </c>
      <c r="AF36" s="919"/>
      <c r="AG36" s="917">
        <f t="shared" si="18"/>
        <v>0</v>
      </c>
      <c r="AH36" s="918">
        <f t="shared" si="19"/>
        <v>0</v>
      </c>
      <c r="AI36" s="919"/>
      <c r="AJ36" s="917">
        <f t="shared" si="20"/>
        <v>0</v>
      </c>
      <c r="AK36" s="918">
        <f t="shared" si="21"/>
        <v>0</v>
      </c>
      <c r="AL36" s="919"/>
      <c r="AM36" s="917">
        <f t="shared" si="22"/>
        <v>0</v>
      </c>
      <c r="AN36" s="920">
        <v>19242</v>
      </c>
      <c r="AO36" s="917">
        <f t="shared" si="23"/>
        <v>0</v>
      </c>
      <c r="AP36" s="920"/>
      <c r="AQ36" s="916">
        <f t="shared" si="24"/>
        <v>0</v>
      </c>
      <c r="AR36" s="917">
        <f t="shared" si="25"/>
        <v>36634.32</v>
      </c>
      <c r="AS36" s="916">
        <v>12</v>
      </c>
      <c r="AT36" s="921">
        <f t="shared" si="26"/>
        <v>439611.84</v>
      </c>
      <c r="AU36" s="920"/>
      <c r="AV36" s="922">
        <f t="shared" si="27"/>
        <v>4396.12</v>
      </c>
      <c r="AW36" s="921">
        <f t="shared" si="28"/>
        <v>444007.96</v>
      </c>
      <c r="AX36" s="921">
        <f t="shared" si="29"/>
        <v>134090.4</v>
      </c>
      <c r="AY36" s="921">
        <f t="shared" si="30"/>
        <v>578098.36</v>
      </c>
      <c r="AZ36" s="923">
        <f t="shared" si="31"/>
        <v>444</v>
      </c>
      <c r="BA36" s="923">
        <f t="shared" si="32"/>
        <v>134.1</v>
      </c>
      <c r="BB36" s="923">
        <f t="shared" si="33"/>
        <v>578.1</v>
      </c>
      <c r="BC36" s="915">
        <v>0.95</v>
      </c>
      <c r="BD36" s="923">
        <f t="shared" si="34"/>
        <v>421.8</v>
      </c>
      <c r="BE36" s="923">
        <f t="shared" si="35"/>
        <v>127.4</v>
      </c>
      <c r="BF36" s="923">
        <f t="shared" si="36"/>
        <v>549.20000000000005</v>
      </c>
      <c r="BG36" s="924">
        <f>'[3]свод (2024)'!$B$116</f>
        <v>0.99758349999999996</v>
      </c>
      <c r="BH36" s="923">
        <f t="shared" si="37"/>
        <v>420.8</v>
      </c>
      <c r="BI36" s="923">
        <f t="shared" si="38"/>
        <v>127.1</v>
      </c>
      <c r="BJ36" s="923">
        <f t="shared" si="39"/>
        <v>547.9</v>
      </c>
      <c r="BK36" s="925">
        <f t="shared" si="40"/>
        <v>-23.2</v>
      </c>
      <c r="BL36" s="925">
        <f t="shared" si="40"/>
        <v>-7</v>
      </c>
      <c r="BM36" s="925">
        <f t="shared" si="41"/>
        <v>-30.2</v>
      </c>
      <c r="BN36" s="925">
        <f t="shared" si="42"/>
        <v>0</v>
      </c>
      <c r="BO36" s="925">
        <f t="shared" si="43"/>
        <v>0</v>
      </c>
      <c r="BP36" s="926"/>
      <c r="BQ36" s="925">
        <f t="shared" si="44"/>
        <v>420.8</v>
      </c>
      <c r="BR36" s="925">
        <f t="shared" si="44"/>
        <v>127.1</v>
      </c>
      <c r="BS36" s="925">
        <f t="shared" si="45"/>
        <v>547.9</v>
      </c>
      <c r="BU36" s="928"/>
      <c r="BV36" s="917"/>
      <c r="BW36" s="928"/>
      <c r="BX36" s="928"/>
      <c r="BY36" s="928"/>
      <c r="BZ36" s="917"/>
      <c r="CA36" s="928"/>
      <c r="CB36" s="917"/>
      <c r="CC36" s="928"/>
      <c r="CD36" s="928"/>
      <c r="CE36" s="928"/>
      <c r="CF36" s="929"/>
      <c r="CG36" s="928"/>
      <c r="CH36" s="928"/>
      <c r="CI36" s="928"/>
      <c r="CJ36" s="925"/>
      <c r="CK36" s="925"/>
      <c r="CL36" s="925"/>
      <c r="CM36" s="925"/>
      <c r="CN36" s="925"/>
      <c r="CO36" s="925"/>
      <c r="CP36" s="925"/>
      <c r="CQ36" s="925"/>
      <c r="CR36" s="925"/>
      <c r="CS36" s="917"/>
      <c r="CT36" s="928"/>
      <c r="CU36" s="928"/>
      <c r="CV36" s="928"/>
      <c r="CX36" s="925"/>
      <c r="CY36" s="925"/>
      <c r="CZ36" s="925"/>
      <c r="DB36" s="925"/>
      <c r="DC36" s="925"/>
      <c r="DD36" s="925"/>
      <c r="DE36" s="925"/>
      <c r="DF36" s="925"/>
      <c r="DG36" s="925"/>
      <c r="DH36" s="925"/>
      <c r="DI36" s="925"/>
      <c r="DJ36" s="925"/>
      <c r="DK36" s="925"/>
      <c r="DL36" s="925"/>
      <c r="DM36" s="925"/>
      <c r="DN36" s="925"/>
      <c r="DO36" s="925"/>
      <c r="DP36" s="925"/>
      <c r="DQ36" s="924"/>
      <c r="DR36" s="925"/>
      <c r="DS36" s="925"/>
      <c r="DT36" s="925"/>
      <c r="DV36" s="925"/>
      <c r="DW36" s="925"/>
      <c r="DX36" s="925"/>
      <c r="DY36" s="925"/>
      <c r="DZ36" s="925"/>
      <c r="EA36" s="925"/>
      <c r="EB36" s="925"/>
      <c r="EC36" s="925"/>
      <c r="ED36" s="925"/>
      <c r="EE36" s="925"/>
      <c r="EF36" s="925"/>
      <c r="EG36" s="925"/>
      <c r="EH36" s="925"/>
      <c r="EI36" s="925"/>
      <c r="EJ36" s="925"/>
      <c r="EK36" s="925"/>
      <c r="EL36" s="925"/>
      <c r="EM36" s="925"/>
      <c r="EN36" s="925"/>
      <c r="EO36" s="925"/>
      <c r="EP36" s="925"/>
      <c r="EQ36" s="925"/>
      <c r="ER36" s="925"/>
      <c r="ES36" s="925"/>
      <c r="ET36" s="925"/>
      <c r="EV36" s="924"/>
      <c r="EW36" s="925"/>
      <c r="EX36" s="925"/>
      <c r="EY36" s="925"/>
    </row>
    <row r="37" spans="1:155" s="927" customFormat="1" ht="15.75" x14ac:dyDescent="0.25">
      <c r="A37" s="912" t="s">
        <v>359</v>
      </c>
      <c r="B37" s="913" t="s">
        <v>41</v>
      </c>
      <c r="C37" s="914">
        <v>1</v>
      </c>
      <c r="D37" s="914">
        <v>7912</v>
      </c>
      <c r="E37" s="915">
        <v>1.0549999999999999</v>
      </c>
      <c r="F37" s="916">
        <f t="shared" si="0"/>
        <v>8348</v>
      </c>
      <c r="G37" s="915">
        <v>1.01</v>
      </c>
      <c r="H37" s="916">
        <f t="shared" si="1"/>
        <v>8432</v>
      </c>
      <c r="I37" s="917">
        <f t="shared" si="2"/>
        <v>8432</v>
      </c>
      <c r="J37" s="918">
        <f t="shared" si="3"/>
        <v>0</v>
      </c>
      <c r="K37" s="919"/>
      <c r="L37" s="917">
        <f t="shared" si="4"/>
        <v>0</v>
      </c>
      <c r="M37" s="918">
        <f t="shared" si="5"/>
        <v>0</v>
      </c>
      <c r="N37" s="919"/>
      <c r="O37" s="917">
        <f t="shared" si="6"/>
        <v>0</v>
      </c>
      <c r="P37" s="918">
        <f t="shared" si="7"/>
        <v>0</v>
      </c>
      <c r="Q37" s="919"/>
      <c r="R37" s="917">
        <f t="shared" si="8"/>
        <v>0</v>
      </c>
      <c r="S37" s="918">
        <f t="shared" si="9"/>
        <v>0.18</v>
      </c>
      <c r="T37" s="919">
        <v>1424.16</v>
      </c>
      <c r="U37" s="917">
        <f t="shared" si="10"/>
        <v>1517.76</v>
      </c>
      <c r="V37" s="918">
        <f t="shared" si="11"/>
        <v>0</v>
      </c>
      <c r="W37" s="919"/>
      <c r="X37" s="917">
        <f t="shared" si="12"/>
        <v>0</v>
      </c>
      <c r="Y37" s="918">
        <f t="shared" si="13"/>
        <v>0</v>
      </c>
      <c r="Z37" s="919"/>
      <c r="AA37" s="917">
        <f t="shared" si="14"/>
        <v>0</v>
      </c>
      <c r="AB37" s="918">
        <f t="shared" si="15"/>
        <v>0.1</v>
      </c>
      <c r="AC37" s="919">
        <v>791.2</v>
      </c>
      <c r="AD37" s="917">
        <f t="shared" si="16"/>
        <v>843.2</v>
      </c>
      <c r="AE37" s="918">
        <f t="shared" si="17"/>
        <v>0</v>
      </c>
      <c r="AF37" s="919"/>
      <c r="AG37" s="917">
        <f t="shared" si="18"/>
        <v>0</v>
      </c>
      <c r="AH37" s="918">
        <f t="shared" si="19"/>
        <v>0</v>
      </c>
      <c r="AI37" s="919"/>
      <c r="AJ37" s="917">
        <f t="shared" si="20"/>
        <v>0</v>
      </c>
      <c r="AK37" s="918">
        <f t="shared" si="21"/>
        <v>0</v>
      </c>
      <c r="AL37" s="919"/>
      <c r="AM37" s="917">
        <f t="shared" si="22"/>
        <v>0</v>
      </c>
      <c r="AN37" s="920">
        <v>19242</v>
      </c>
      <c r="AO37" s="917">
        <f t="shared" si="23"/>
        <v>8449.0400000000009</v>
      </c>
      <c r="AP37" s="920"/>
      <c r="AQ37" s="916">
        <f t="shared" si="24"/>
        <v>0</v>
      </c>
      <c r="AR37" s="917">
        <f t="shared" si="25"/>
        <v>19242</v>
      </c>
      <c r="AS37" s="916">
        <v>12</v>
      </c>
      <c r="AT37" s="921">
        <f t="shared" si="26"/>
        <v>230904</v>
      </c>
      <c r="AU37" s="920"/>
      <c r="AV37" s="922">
        <f t="shared" si="27"/>
        <v>2309.04</v>
      </c>
      <c r="AW37" s="921">
        <f t="shared" si="28"/>
        <v>233213.04</v>
      </c>
      <c r="AX37" s="921">
        <f t="shared" si="29"/>
        <v>70430.34</v>
      </c>
      <c r="AY37" s="921">
        <f t="shared" si="30"/>
        <v>303643.38</v>
      </c>
      <c r="AZ37" s="923">
        <f t="shared" si="31"/>
        <v>233.2</v>
      </c>
      <c r="BA37" s="923">
        <f t="shared" si="32"/>
        <v>70.400000000000006</v>
      </c>
      <c r="BB37" s="923">
        <f t="shared" si="33"/>
        <v>303.60000000000002</v>
      </c>
      <c r="BC37" s="915">
        <v>0.95</v>
      </c>
      <c r="BD37" s="923">
        <f t="shared" si="34"/>
        <v>221.5</v>
      </c>
      <c r="BE37" s="923">
        <f t="shared" si="35"/>
        <v>66.900000000000006</v>
      </c>
      <c r="BF37" s="923">
        <f t="shared" si="36"/>
        <v>288.39999999999998</v>
      </c>
      <c r="BG37" s="924">
        <f>'[3]свод (2024)'!$B$116</f>
        <v>0.99758349999999996</v>
      </c>
      <c r="BH37" s="923">
        <f t="shared" si="37"/>
        <v>221</v>
      </c>
      <c r="BI37" s="923">
        <f t="shared" si="38"/>
        <v>66.7</v>
      </c>
      <c r="BJ37" s="923">
        <f t="shared" si="39"/>
        <v>287.7</v>
      </c>
      <c r="BK37" s="925">
        <f t="shared" si="40"/>
        <v>-12.2</v>
      </c>
      <c r="BL37" s="925">
        <f t="shared" si="40"/>
        <v>-3.7</v>
      </c>
      <c r="BM37" s="925">
        <f t="shared" si="41"/>
        <v>-15.9</v>
      </c>
      <c r="BN37" s="925">
        <f t="shared" si="42"/>
        <v>0</v>
      </c>
      <c r="BO37" s="925">
        <f t="shared" si="43"/>
        <v>0</v>
      </c>
      <c r="BP37" s="926"/>
      <c r="BQ37" s="925">
        <f t="shared" si="44"/>
        <v>221</v>
      </c>
      <c r="BR37" s="925">
        <f t="shared" si="44"/>
        <v>66.7</v>
      </c>
      <c r="BS37" s="925">
        <f t="shared" si="45"/>
        <v>287.7</v>
      </c>
      <c r="BU37" s="928"/>
      <c r="BV37" s="917"/>
      <c r="BW37" s="928"/>
      <c r="BX37" s="928"/>
      <c r="BY37" s="928"/>
      <c r="BZ37" s="917"/>
      <c r="CA37" s="928"/>
      <c r="CB37" s="917"/>
      <c r="CC37" s="928"/>
      <c r="CD37" s="928"/>
      <c r="CE37" s="928"/>
      <c r="CF37" s="929"/>
      <c r="CG37" s="928"/>
      <c r="CH37" s="928"/>
      <c r="CI37" s="928"/>
      <c r="CJ37" s="925"/>
      <c r="CK37" s="925"/>
      <c r="CL37" s="925"/>
      <c r="CM37" s="925"/>
      <c r="CN37" s="925"/>
      <c r="CO37" s="925"/>
      <c r="CP37" s="925"/>
      <c r="CQ37" s="925"/>
      <c r="CR37" s="925"/>
      <c r="CS37" s="917"/>
      <c r="CT37" s="928"/>
      <c r="CU37" s="928"/>
      <c r="CV37" s="928"/>
      <c r="CX37" s="925"/>
      <c r="CY37" s="925"/>
      <c r="CZ37" s="925"/>
      <c r="DB37" s="925"/>
      <c r="DC37" s="925"/>
      <c r="DD37" s="925"/>
      <c r="DE37" s="925"/>
      <c r="DF37" s="925"/>
      <c r="DG37" s="925"/>
      <c r="DH37" s="925"/>
      <c r="DI37" s="925"/>
      <c r="DJ37" s="925"/>
      <c r="DK37" s="925"/>
      <c r="DL37" s="925"/>
      <c r="DM37" s="925"/>
      <c r="DN37" s="925"/>
      <c r="DO37" s="925"/>
      <c r="DP37" s="925"/>
      <c r="DQ37" s="924"/>
      <c r="DR37" s="925"/>
      <c r="DS37" s="925"/>
      <c r="DT37" s="925"/>
      <c r="DV37" s="925"/>
      <c r="DW37" s="925"/>
      <c r="DX37" s="925"/>
      <c r="DY37" s="925"/>
      <c r="DZ37" s="925"/>
      <c r="EA37" s="925"/>
      <c r="EB37" s="925"/>
      <c r="EC37" s="925"/>
      <c r="ED37" s="925"/>
      <c r="EE37" s="925"/>
      <c r="EF37" s="925"/>
      <c r="EG37" s="925"/>
      <c r="EH37" s="925"/>
      <c r="EI37" s="925"/>
      <c r="EJ37" s="925"/>
      <c r="EK37" s="925"/>
      <c r="EL37" s="925"/>
      <c r="EM37" s="925"/>
      <c r="EN37" s="925"/>
      <c r="EO37" s="925"/>
      <c r="EP37" s="925"/>
      <c r="EQ37" s="925"/>
      <c r="ER37" s="925"/>
      <c r="ES37" s="925"/>
      <c r="ET37" s="925"/>
      <c r="EV37" s="924"/>
      <c r="EW37" s="925"/>
      <c r="EX37" s="925"/>
      <c r="EY37" s="925"/>
    </row>
    <row r="38" spans="1:155" s="927" customFormat="1" ht="15.75" x14ac:dyDescent="0.25">
      <c r="A38" s="912" t="s">
        <v>359</v>
      </c>
      <c r="B38" s="913" t="s">
        <v>44</v>
      </c>
      <c r="C38" s="914">
        <v>3.5</v>
      </c>
      <c r="D38" s="914">
        <v>4588</v>
      </c>
      <c r="E38" s="915">
        <v>1.0549999999999999</v>
      </c>
      <c r="F38" s="916">
        <f t="shared" si="0"/>
        <v>4841</v>
      </c>
      <c r="G38" s="915">
        <v>1.01</v>
      </c>
      <c r="H38" s="916">
        <f t="shared" si="1"/>
        <v>4890</v>
      </c>
      <c r="I38" s="917">
        <f t="shared" si="2"/>
        <v>17115</v>
      </c>
      <c r="J38" s="918">
        <f t="shared" si="3"/>
        <v>0</v>
      </c>
      <c r="K38" s="919"/>
      <c r="L38" s="917">
        <f t="shared" si="4"/>
        <v>0</v>
      </c>
      <c r="M38" s="918">
        <f t="shared" si="5"/>
        <v>0</v>
      </c>
      <c r="N38" s="919"/>
      <c r="O38" s="917">
        <f t="shared" si="6"/>
        <v>0</v>
      </c>
      <c r="P38" s="918">
        <f t="shared" si="7"/>
        <v>0</v>
      </c>
      <c r="Q38" s="919"/>
      <c r="R38" s="917">
        <f t="shared" si="8"/>
        <v>0</v>
      </c>
      <c r="S38" s="918">
        <f t="shared" si="9"/>
        <v>0.5</v>
      </c>
      <c r="T38" s="919">
        <v>8029</v>
      </c>
      <c r="U38" s="917">
        <f t="shared" si="10"/>
        <v>8557.5</v>
      </c>
      <c r="V38" s="918">
        <f t="shared" si="11"/>
        <v>0</v>
      </c>
      <c r="W38" s="919"/>
      <c r="X38" s="917">
        <f t="shared" si="12"/>
        <v>0</v>
      </c>
      <c r="Y38" s="918">
        <f t="shared" si="13"/>
        <v>0</v>
      </c>
      <c r="Z38" s="919"/>
      <c r="AA38" s="917">
        <f t="shared" si="14"/>
        <v>0</v>
      </c>
      <c r="AB38" s="918">
        <f t="shared" si="15"/>
        <v>0</v>
      </c>
      <c r="AC38" s="919"/>
      <c r="AD38" s="917">
        <f t="shared" si="16"/>
        <v>0</v>
      </c>
      <c r="AE38" s="918">
        <f t="shared" si="17"/>
        <v>0</v>
      </c>
      <c r="AF38" s="919"/>
      <c r="AG38" s="917">
        <f t="shared" si="18"/>
        <v>0</v>
      </c>
      <c r="AH38" s="918">
        <f t="shared" si="19"/>
        <v>0</v>
      </c>
      <c r="AI38" s="919"/>
      <c r="AJ38" s="917">
        <f t="shared" si="20"/>
        <v>0</v>
      </c>
      <c r="AK38" s="918">
        <f t="shared" si="21"/>
        <v>0</v>
      </c>
      <c r="AL38" s="919"/>
      <c r="AM38" s="917">
        <f t="shared" si="22"/>
        <v>0</v>
      </c>
      <c r="AN38" s="920">
        <v>19242</v>
      </c>
      <c r="AO38" s="917">
        <f t="shared" si="23"/>
        <v>41674.5</v>
      </c>
      <c r="AP38" s="920"/>
      <c r="AQ38" s="916">
        <f t="shared" si="24"/>
        <v>0</v>
      </c>
      <c r="AR38" s="917">
        <f t="shared" si="25"/>
        <v>67347</v>
      </c>
      <c r="AS38" s="916">
        <v>12</v>
      </c>
      <c r="AT38" s="921">
        <f t="shared" si="26"/>
        <v>808164</v>
      </c>
      <c r="AU38" s="920"/>
      <c r="AV38" s="922">
        <f t="shared" si="27"/>
        <v>8081.64</v>
      </c>
      <c r="AW38" s="921">
        <f t="shared" si="28"/>
        <v>816245.64</v>
      </c>
      <c r="AX38" s="921">
        <f t="shared" si="29"/>
        <v>246506.18</v>
      </c>
      <c r="AY38" s="921">
        <f t="shared" si="30"/>
        <v>1062751.82</v>
      </c>
      <c r="AZ38" s="923">
        <f t="shared" si="31"/>
        <v>816.2</v>
      </c>
      <c r="BA38" s="923">
        <f t="shared" si="32"/>
        <v>246.5</v>
      </c>
      <c r="BB38" s="923">
        <f t="shared" si="33"/>
        <v>1062.7</v>
      </c>
      <c r="BC38" s="915">
        <v>0.95</v>
      </c>
      <c r="BD38" s="923">
        <f t="shared" si="34"/>
        <v>775.4</v>
      </c>
      <c r="BE38" s="923">
        <f t="shared" si="35"/>
        <v>234.2</v>
      </c>
      <c r="BF38" s="923">
        <f t="shared" si="36"/>
        <v>1009.6</v>
      </c>
      <c r="BG38" s="924">
        <f>'[3]свод (2024)'!$B$116</f>
        <v>0.99758349999999996</v>
      </c>
      <c r="BH38" s="923">
        <f t="shared" si="37"/>
        <v>773.5</v>
      </c>
      <c r="BI38" s="923">
        <f t="shared" si="38"/>
        <v>233.6</v>
      </c>
      <c r="BJ38" s="923">
        <f t="shared" si="39"/>
        <v>1007.1</v>
      </c>
      <c r="BK38" s="925">
        <f t="shared" si="40"/>
        <v>-42.7</v>
      </c>
      <c r="BL38" s="925">
        <f t="shared" si="40"/>
        <v>-12.9</v>
      </c>
      <c r="BM38" s="925">
        <f t="shared" si="41"/>
        <v>-55.6</v>
      </c>
      <c r="BN38" s="925">
        <f t="shared" si="42"/>
        <v>0</v>
      </c>
      <c r="BO38" s="925">
        <f t="shared" si="43"/>
        <v>0</v>
      </c>
      <c r="BP38" s="926"/>
      <c r="BQ38" s="925">
        <f t="shared" si="44"/>
        <v>773.5</v>
      </c>
      <c r="BR38" s="925">
        <f t="shared" si="44"/>
        <v>233.6</v>
      </c>
      <c r="BS38" s="925">
        <f t="shared" si="45"/>
        <v>1007.1</v>
      </c>
      <c r="BU38" s="928"/>
      <c r="BV38" s="917"/>
      <c r="BW38" s="928"/>
      <c r="BX38" s="928"/>
      <c r="BY38" s="928"/>
      <c r="BZ38" s="917"/>
      <c r="CA38" s="928"/>
      <c r="CB38" s="917"/>
      <c r="CC38" s="928"/>
      <c r="CD38" s="928"/>
      <c r="CE38" s="928"/>
      <c r="CF38" s="929"/>
      <c r="CG38" s="928"/>
      <c r="CH38" s="928"/>
      <c r="CI38" s="928"/>
      <c r="CJ38" s="925"/>
      <c r="CK38" s="925"/>
      <c r="CL38" s="925"/>
      <c r="CM38" s="925"/>
      <c r="CN38" s="925"/>
      <c r="CO38" s="925"/>
      <c r="CP38" s="925"/>
      <c r="CQ38" s="925"/>
      <c r="CR38" s="925"/>
      <c r="CS38" s="917"/>
      <c r="CT38" s="928"/>
      <c r="CU38" s="928"/>
      <c r="CV38" s="928"/>
      <c r="CX38" s="925"/>
      <c r="CY38" s="925"/>
      <c r="CZ38" s="925"/>
      <c r="DB38" s="925"/>
      <c r="DC38" s="925"/>
      <c r="DD38" s="925"/>
      <c r="DE38" s="925"/>
      <c r="DF38" s="925"/>
      <c r="DG38" s="925"/>
      <c r="DH38" s="925"/>
      <c r="DI38" s="925"/>
      <c r="DJ38" s="925"/>
      <c r="DK38" s="925"/>
      <c r="DL38" s="925"/>
      <c r="DM38" s="925"/>
      <c r="DN38" s="925"/>
      <c r="DO38" s="925"/>
      <c r="DP38" s="925"/>
      <c r="DQ38" s="924"/>
      <c r="DR38" s="925"/>
      <c r="DS38" s="925"/>
      <c r="DT38" s="925"/>
      <c r="DV38" s="925"/>
      <c r="DW38" s="925"/>
      <c r="DX38" s="925"/>
      <c r="DY38" s="925"/>
      <c r="DZ38" s="925"/>
      <c r="EA38" s="925"/>
      <c r="EB38" s="925"/>
      <c r="EC38" s="925"/>
      <c r="ED38" s="925"/>
      <c r="EE38" s="925"/>
      <c r="EF38" s="925"/>
      <c r="EG38" s="925"/>
      <c r="EH38" s="925"/>
      <c r="EI38" s="925"/>
      <c r="EJ38" s="925"/>
      <c r="EK38" s="925"/>
      <c r="EL38" s="925"/>
      <c r="EM38" s="925"/>
      <c r="EN38" s="925"/>
      <c r="EO38" s="925"/>
      <c r="EP38" s="925"/>
      <c r="EQ38" s="925"/>
      <c r="ER38" s="925"/>
      <c r="ES38" s="925"/>
      <c r="ET38" s="925"/>
      <c r="EV38" s="924"/>
      <c r="EW38" s="925"/>
      <c r="EX38" s="925"/>
      <c r="EY38" s="925"/>
    </row>
    <row r="39" spans="1:155" s="927" customFormat="1" ht="15.75" x14ac:dyDescent="0.25">
      <c r="A39" s="912" t="s">
        <v>359</v>
      </c>
      <c r="B39" s="913" t="s">
        <v>34</v>
      </c>
      <c r="C39" s="914">
        <v>1</v>
      </c>
      <c r="D39" s="914">
        <v>13132</v>
      </c>
      <c r="E39" s="915">
        <v>1.0549999999999999</v>
      </c>
      <c r="F39" s="916">
        <f t="shared" si="0"/>
        <v>13855</v>
      </c>
      <c r="G39" s="915">
        <v>1.01</v>
      </c>
      <c r="H39" s="916">
        <f t="shared" si="1"/>
        <v>13994</v>
      </c>
      <c r="I39" s="917">
        <f t="shared" si="2"/>
        <v>13994</v>
      </c>
      <c r="J39" s="918">
        <f t="shared" si="3"/>
        <v>0.25</v>
      </c>
      <c r="K39" s="919">
        <v>3283</v>
      </c>
      <c r="L39" s="917">
        <f t="shared" si="4"/>
        <v>3498.5</v>
      </c>
      <c r="M39" s="918">
        <f t="shared" si="5"/>
        <v>0</v>
      </c>
      <c r="N39" s="919"/>
      <c r="O39" s="917">
        <f t="shared" si="6"/>
        <v>0</v>
      </c>
      <c r="P39" s="918">
        <f t="shared" si="7"/>
        <v>0</v>
      </c>
      <c r="Q39" s="919"/>
      <c r="R39" s="917">
        <f t="shared" si="8"/>
        <v>0</v>
      </c>
      <c r="S39" s="918">
        <f t="shared" si="9"/>
        <v>0</v>
      </c>
      <c r="T39" s="919"/>
      <c r="U39" s="917">
        <f t="shared" si="10"/>
        <v>0</v>
      </c>
      <c r="V39" s="918">
        <f t="shared" si="11"/>
        <v>0</v>
      </c>
      <c r="W39" s="919"/>
      <c r="X39" s="917">
        <f t="shared" si="12"/>
        <v>0</v>
      </c>
      <c r="Y39" s="918">
        <f t="shared" si="13"/>
        <v>0</v>
      </c>
      <c r="Z39" s="919"/>
      <c r="AA39" s="917">
        <f t="shared" si="14"/>
        <v>0</v>
      </c>
      <c r="AB39" s="918">
        <f t="shared" si="15"/>
        <v>0.2</v>
      </c>
      <c r="AC39" s="919">
        <v>2626.4</v>
      </c>
      <c r="AD39" s="917">
        <f t="shared" si="16"/>
        <v>2798.8</v>
      </c>
      <c r="AE39" s="918">
        <f t="shared" si="17"/>
        <v>0</v>
      </c>
      <c r="AF39" s="919"/>
      <c r="AG39" s="917">
        <f t="shared" si="18"/>
        <v>0</v>
      </c>
      <c r="AH39" s="918">
        <f t="shared" si="19"/>
        <v>0</v>
      </c>
      <c r="AI39" s="919"/>
      <c r="AJ39" s="917">
        <f t="shared" si="20"/>
        <v>0</v>
      </c>
      <c r="AK39" s="918">
        <f t="shared" si="21"/>
        <v>0</v>
      </c>
      <c r="AL39" s="919"/>
      <c r="AM39" s="917">
        <f t="shared" si="22"/>
        <v>0</v>
      </c>
      <c r="AN39" s="920">
        <v>19242</v>
      </c>
      <c r="AO39" s="917">
        <f t="shared" si="23"/>
        <v>0</v>
      </c>
      <c r="AP39" s="920"/>
      <c r="AQ39" s="916">
        <f t="shared" si="24"/>
        <v>0</v>
      </c>
      <c r="AR39" s="917">
        <f t="shared" si="25"/>
        <v>20291.3</v>
      </c>
      <c r="AS39" s="916">
        <v>12</v>
      </c>
      <c r="AT39" s="921">
        <f t="shared" si="26"/>
        <v>243495.6</v>
      </c>
      <c r="AU39" s="920"/>
      <c r="AV39" s="922">
        <f t="shared" si="27"/>
        <v>2434.96</v>
      </c>
      <c r="AW39" s="921">
        <f t="shared" si="28"/>
        <v>245930.56</v>
      </c>
      <c r="AX39" s="921">
        <f t="shared" si="29"/>
        <v>74271.03</v>
      </c>
      <c r="AY39" s="921">
        <f t="shared" si="30"/>
        <v>320201.59000000003</v>
      </c>
      <c r="AZ39" s="923">
        <f t="shared" si="31"/>
        <v>245.9</v>
      </c>
      <c r="BA39" s="923">
        <f t="shared" si="32"/>
        <v>74.3</v>
      </c>
      <c r="BB39" s="923">
        <f t="shared" si="33"/>
        <v>320.2</v>
      </c>
      <c r="BC39" s="915">
        <v>0.95</v>
      </c>
      <c r="BD39" s="923">
        <f t="shared" si="34"/>
        <v>233.6</v>
      </c>
      <c r="BE39" s="923">
        <f t="shared" si="35"/>
        <v>70.5</v>
      </c>
      <c r="BF39" s="923">
        <f t="shared" si="36"/>
        <v>304.10000000000002</v>
      </c>
      <c r="BG39" s="924">
        <f>'[3]свод (2024)'!$B$116</f>
        <v>0.99758349999999996</v>
      </c>
      <c r="BH39" s="923">
        <f t="shared" si="37"/>
        <v>233</v>
      </c>
      <c r="BI39" s="923">
        <f t="shared" si="38"/>
        <v>70.400000000000006</v>
      </c>
      <c r="BJ39" s="923">
        <f t="shared" si="39"/>
        <v>303.39999999999998</v>
      </c>
      <c r="BK39" s="925">
        <f t="shared" si="40"/>
        <v>-12.9</v>
      </c>
      <c r="BL39" s="925">
        <f t="shared" si="40"/>
        <v>-3.9</v>
      </c>
      <c r="BM39" s="925">
        <f t="shared" si="41"/>
        <v>-16.8</v>
      </c>
      <c r="BN39" s="925">
        <f t="shared" si="42"/>
        <v>0</v>
      </c>
      <c r="BO39" s="925">
        <f t="shared" si="43"/>
        <v>0</v>
      </c>
      <c r="BP39" s="926"/>
      <c r="BQ39" s="925">
        <f t="shared" si="44"/>
        <v>233</v>
      </c>
      <c r="BR39" s="925">
        <f t="shared" si="44"/>
        <v>70.400000000000006</v>
      </c>
      <c r="BS39" s="925">
        <f t="shared" si="45"/>
        <v>303.39999999999998</v>
      </c>
      <c r="BU39" s="928">
        <f>C39</f>
        <v>1</v>
      </c>
      <c r="BV39" s="917"/>
      <c r="BW39" s="928"/>
      <c r="BX39" s="928">
        <f>AW39-X39</f>
        <v>245930.56</v>
      </c>
      <c r="BY39" s="928"/>
      <c r="BZ39" s="917"/>
      <c r="CA39" s="928"/>
      <c r="CB39" s="917"/>
      <c r="CC39" s="928"/>
      <c r="CD39" s="928"/>
      <c r="CE39" s="928"/>
      <c r="CF39" s="929">
        <f t="shared" si="46"/>
        <v>96229.54</v>
      </c>
      <c r="CG39" s="928"/>
      <c r="CH39" s="928"/>
      <c r="CI39" s="928"/>
      <c r="CJ39" s="925"/>
      <c r="CK39" s="925"/>
      <c r="CL39" s="925"/>
      <c r="CM39" s="925"/>
      <c r="CN39" s="925"/>
      <c r="CO39" s="925"/>
      <c r="CP39" s="925"/>
      <c r="CQ39" s="925"/>
      <c r="CR39" s="925"/>
      <c r="CS39" s="917"/>
      <c r="CT39" s="928"/>
      <c r="CU39" s="928"/>
      <c r="CV39" s="928"/>
      <c r="CX39" s="925"/>
      <c r="CY39" s="925"/>
      <c r="CZ39" s="925"/>
      <c r="DB39" s="925"/>
      <c r="DC39" s="925"/>
      <c r="DD39" s="925"/>
      <c r="DE39" s="925"/>
      <c r="DF39" s="925"/>
      <c r="DG39" s="925"/>
      <c r="DH39" s="925"/>
      <c r="DI39" s="925"/>
      <c r="DJ39" s="925"/>
      <c r="DK39" s="925"/>
      <c r="DL39" s="925"/>
      <c r="DM39" s="925"/>
      <c r="DN39" s="925"/>
      <c r="DO39" s="925"/>
      <c r="DP39" s="925"/>
      <c r="DQ39" s="924"/>
      <c r="DR39" s="925"/>
      <c r="DS39" s="925"/>
      <c r="DT39" s="925"/>
      <c r="DV39" s="925"/>
      <c r="DW39" s="925"/>
      <c r="DX39" s="925"/>
      <c r="DY39" s="925"/>
      <c r="DZ39" s="925"/>
      <c r="EA39" s="925"/>
      <c r="EB39" s="925"/>
      <c r="EC39" s="925"/>
      <c r="ED39" s="925"/>
      <c r="EE39" s="925"/>
      <c r="EF39" s="925"/>
      <c r="EG39" s="925"/>
      <c r="EH39" s="925"/>
      <c r="EI39" s="925"/>
      <c r="EJ39" s="925"/>
      <c r="EK39" s="925"/>
      <c r="EL39" s="925"/>
      <c r="EM39" s="925"/>
      <c r="EN39" s="925"/>
      <c r="EO39" s="925"/>
      <c r="EP39" s="925"/>
      <c r="EQ39" s="925"/>
      <c r="ER39" s="925"/>
      <c r="ES39" s="925"/>
      <c r="ET39" s="925"/>
      <c r="EV39" s="924"/>
      <c r="EW39" s="925"/>
      <c r="EX39" s="925"/>
      <c r="EY39" s="925"/>
    </row>
    <row r="40" spans="1:155" s="927" customFormat="1" ht="15.75" x14ac:dyDescent="0.25">
      <c r="A40" s="912" t="s">
        <v>359</v>
      </c>
      <c r="B40" s="913" t="s">
        <v>399</v>
      </c>
      <c r="C40" s="914">
        <v>0.5</v>
      </c>
      <c r="D40" s="914">
        <v>6707</v>
      </c>
      <c r="E40" s="915">
        <v>1.0549999999999999</v>
      </c>
      <c r="F40" s="916">
        <f t="shared" si="0"/>
        <v>7076</v>
      </c>
      <c r="G40" s="915">
        <v>1.01</v>
      </c>
      <c r="H40" s="916">
        <f t="shared" si="1"/>
        <v>7147</v>
      </c>
      <c r="I40" s="917">
        <f t="shared" si="2"/>
        <v>3573.5</v>
      </c>
      <c r="J40" s="918">
        <f t="shared" si="3"/>
        <v>0</v>
      </c>
      <c r="K40" s="919"/>
      <c r="L40" s="917">
        <f t="shared" si="4"/>
        <v>0</v>
      </c>
      <c r="M40" s="918">
        <f t="shared" si="5"/>
        <v>0</v>
      </c>
      <c r="N40" s="919"/>
      <c r="O40" s="917">
        <f t="shared" si="6"/>
        <v>0</v>
      </c>
      <c r="P40" s="918">
        <f t="shared" si="7"/>
        <v>0</v>
      </c>
      <c r="Q40" s="919"/>
      <c r="R40" s="917">
        <f t="shared" si="8"/>
        <v>0</v>
      </c>
      <c r="S40" s="918">
        <f t="shared" si="9"/>
        <v>0</v>
      </c>
      <c r="T40" s="919"/>
      <c r="U40" s="917">
        <f t="shared" si="10"/>
        <v>0</v>
      </c>
      <c r="V40" s="918">
        <f t="shared" si="11"/>
        <v>0</v>
      </c>
      <c r="W40" s="919"/>
      <c r="X40" s="917">
        <f t="shared" si="12"/>
        <v>0</v>
      </c>
      <c r="Y40" s="918">
        <f t="shared" si="13"/>
        <v>1.98</v>
      </c>
      <c r="Z40" s="919">
        <v>6639.93</v>
      </c>
      <c r="AA40" s="917">
        <f t="shared" si="14"/>
        <v>7075.53</v>
      </c>
      <c r="AB40" s="918">
        <f t="shared" si="15"/>
        <v>0.3</v>
      </c>
      <c r="AC40" s="919">
        <v>1006.05</v>
      </c>
      <c r="AD40" s="917">
        <f t="shared" si="16"/>
        <v>1072.05</v>
      </c>
      <c r="AE40" s="918">
        <f t="shared" si="17"/>
        <v>0</v>
      </c>
      <c r="AF40" s="919"/>
      <c r="AG40" s="917">
        <f t="shared" si="18"/>
        <v>0</v>
      </c>
      <c r="AH40" s="918">
        <f t="shared" si="19"/>
        <v>0</v>
      </c>
      <c r="AI40" s="919"/>
      <c r="AJ40" s="917">
        <f t="shared" si="20"/>
        <v>0</v>
      </c>
      <c r="AK40" s="918">
        <f t="shared" si="21"/>
        <v>0</v>
      </c>
      <c r="AL40" s="919"/>
      <c r="AM40" s="917">
        <f t="shared" si="22"/>
        <v>0</v>
      </c>
      <c r="AN40" s="920">
        <v>19242</v>
      </c>
      <c r="AO40" s="917">
        <f t="shared" si="23"/>
        <v>0</v>
      </c>
      <c r="AP40" s="920"/>
      <c r="AQ40" s="916">
        <f t="shared" si="24"/>
        <v>0</v>
      </c>
      <c r="AR40" s="917">
        <f t="shared" si="25"/>
        <v>11721.08</v>
      </c>
      <c r="AS40" s="916">
        <v>12</v>
      </c>
      <c r="AT40" s="921">
        <f t="shared" si="26"/>
        <v>140652.96</v>
      </c>
      <c r="AU40" s="920"/>
      <c r="AV40" s="922">
        <f t="shared" si="27"/>
        <v>1406.53</v>
      </c>
      <c r="AW40" s="921">
        <f t="shared" si="28"/>
        <v>142059.49</v>
      </c>
      <c r="AX40" s="921">
        <f t="shared" si="29"/>
        <v>42901.97</v>
      </c>
      <c r="AY40" s="921">
        <f t="shared" si="30"/>
        <v>184961.46</v>
      </c>
      <c r="AZ40" s="923">
        <f t="shared" si="31"/>
        <v>142.1</v>
      </c>
      <c r="BA40" s="923">
        <f t="shared" si="32"/>
        <v>42.9</v>
      </c>
      <c r="BB40" s="923">
        <f t="shared" si="33"/>
        <v>185</v>
      </c>
      <c r="BC40" s="915">
        <v>0.95</v>
      </c>
      <c r="BD40" s="923">
        <f t="shared" si="34"/>
        <v>135</v>
      </c>
      <c r="BE40" s="923">
        <f t="shared" si="35"/>
        <v>40.799999999999997</v>
      </c>
      <c r="BF40" s="923">
        <f t="shared" si="36"/>
        <v>175.8</v>
      </c>
      <c r="BG40" s="924">
        <f>'[3]свод (2024)'!$B$116</f>
        <v>0.99758349999999996</v>
      </c>
      <c r="BH40" s="923">
        <f t="shared" si="37"/>
        <v>134.69999999999999</v>
      </c>
      <c r="BI40" s="923">
        <f t="shared" si="38"/>
        <v>40.700000000000003</v>
      </c>
      <c r="BJ40" s="923">
        <f t="shared" si="39"/>
        <v>175.4</v>
      </c>
      <c r="BK40" s="925">
        <f t="shared" si="40"/>
        <v>-7.4</v>
      </c>
      <c r="BL40" s="925">
        <f t="shared" si="40"/>
        <v>-2.2000000000000002</v>
      </c>
      <c r="BM40" s="925">
        <f t="shared" si="41"/>
        <v>-9.6</v>
      </c>
      <c r="BN40" s="925">
        <f t="shared" si="42"/>
        <v>0</v>
      </c>
      <c r="BO40" s="925">
        <f t="shared" si="43"/>
        <v>0</v>
      </c>
      <c r="BP40" s="926"/>
      <c r="BQ40" s="925">
        <f t="shared" si="44"/>
        <v>134.69999999999999</v>
      </c>
      <c r="BR40" s="925">
        <f t="shared" si="44"/>
        <v>40.700000000000003</v>
      </c>
      <c r="BS40" s="925">
        <f t="shared" si="45"/>
        <v>175.4</v>
      </c>
      <c r="BU40" s="928"/>
      <c r="BV40" s="917"/>
      <c r="BW40" s="928"/>
      <c r="BX40" s="928"/>
      <c r="BY40" s="928"/>
      <c r="BZ40" s="917"/>
      <c r="CA40" s="928"/>
      <c r="CB40" s="917"/>
      <c r="CC40" s="928"/>
      <c r="CD40" s="928"/>
      <c r="CE40" s="928"/>
      <c r="CF40" s="929"/>
      <c r="CG40" s="928"/>
      <c r="CH40" s="928"/>
      <c r="CI40" s="928"/>
      <c r="CJ40" s="925"/>
      <c r="CK40" s="925"/>
      <c r="CL40" s="925"/>
      <c r="CM40" s="925"/>
      <c r="CN40" s="925"/>
      <c r="CO40" s="925"/>
      <c r="CP40" s="925"/>
      <c r="CQ40" s="925"/>
      <c r="CR40" s="925"/>
      <c r="CS40" s="917"/>
      <c r="CT40" s="928"/>
      <c r="CU40" s="928"/>
      <c r="CV40" s="928"/>
      <c r="CX40" s="925"/>
      <c r="CY40" s="925"/>
      <c r="CZ40" s="925"/>
      <c r="DB40" s="925"/>
      <c r="DC40" s="925"/>
      <c r="DD40" s="925"/>
      <c r="DE40" s="925"/>
      <c r="DF40" s="925"/>
      <c r="DG40" s="925"/>
      <c r="DH40" s="925"/>
      <c r="DI40" s="925"/>
      <c r="DJ40" s="925"/>
      <c r="DK40" s="925"/>
      <c r="DL40" s="925"/>
      <c r="DM40" s="925"/>
      <c r="DN40" s="925"/>
      <c r="DO40" s="925"/>
      <c r="DP40" s="925"/>
      <c r="DQ40" s="924"/>
      <c r="DR40" s="925"/>
      <c r="DS40" s="925"/>
      <c r="DT40" s="925"/>
      <c r="DV40" s="925"/>
      <c r="DW40" s="925"/>
      <c r="DX40" s="925"/>
      <c r="DY40" s="925"/>
      <c r="DZ40" s="925"/>
      <c r="EA40" s="925"/>
      <c r="EB40" s="925"/>
      <c r="EC40" s="925"/>
      <c r="ED40" s="925"/>
      <c r="EE40" s="925"/>
      <c r="EF40" s="925"/>
      <c r="EG40" s="925"/>
      <c r="EH40" s="925"/>
      <c r="EI40" s="925"/>
      <c r="EJ40" s="925"/>
      <c r="EK40" s="925"/>
      <c r="EL40" s="925"/>
      <c r="EM40" s="925"/>
      <c r="EN40" s="925"/>
      <c r="EO40" s="925"/>
      <c r="EP40" s="925"/>
      <c r="EQ40" s="925"/>
      <c r="ER40" s="925"/>
      <c r="ES40" s="925"/>
      <c r="ET40" s="925"/>
      <c r="EV40" s="924"/>
      <c r="EW40" s="925"/>
      <c r="EX40" s="925"/>
      <c r="EY40" s="925"/>
    </row>
    <row r="41" spans="1:155" s="927" customFormat="1" ht="15.75" x14ac:dyDescent="0.25">
      <c r="A41" s="912" t="s">
        <v>359</v>
      </c>
      <c r="B41" s="913" t="s">
        <v>1388</v>
      </c>
      <c r="C41" s="914">
        <v>0.5</v>
      </c>
      <c r="D41" s="914">
        <v>6707</v>
      </c>
      <c r="E41" s="915">
        <v>1.0549999999999999</v>
      </c>
      <c r="F41" s="916">
        <f t="shared" si="0"/>
        <v>7076</v>
      </c>
      <c r="G41" s="915">
        <v>1.01</v>
      </c>
      <c r="H41" s="916">
        <f t="shared" si="1"/>
        <v>7147</v>
      </c>
      <c r="I41" s="917">
        <f t="shared" si="2"/>
        <v>3573.5</v>
      </c>
      <c r="J41" s="918">
        <f t="shared" si="3"/>
        <v>0</v>
      </c>
      <c r="K41" s="919"/>
      <c r="L41" s="917">
        <f t="shared" si="4"/>
        <v>0</v>
      </c>
      <c r="M41" s="918">
        <f t="shared" si="5"/>
        <v>0</v>
      </c>
      <c r="N41" s="919"/>
      <c r="O41" s="917">
        <f t="shared" si="6"/>
        <v>0</v>
      </c>
      <c r="P41" s="918">
        <f t="shared" si="7"/>
        <v>0</v>
      </c>
      <c r="Q41" s="919"/>
      <c r="R41" s="917">
        <f t="shared" si="8"/>
        <v>0</v>
      </c>
      <c r="S41" s="918">
        <f t="shared" si="9"/>
        <v>0</v>
      </c>
      <c r="T41" s="919"/>
      <c r="U41" s="917">
        <f t="shared" si="10"/>
        <v>0</v>
      </c>
      <c r="V41" s="918">
        <f t="shared" si="11"/>
        <v>0</v>
      </c>
      <c r="W41" s="919"/>
      <c r="X41" s="917">
        <f t="shared" si="12"/>
        <v>0</v>
      </c>
      <c r="Y41" s="918">
        <f t="shared" si="13"/>
        <v>1.98</v>
      </c>
      <c r="Z41" s="919">
        <v>6639.93</v>
      </c>
      <c r="AA41" s="917">
        <f t="shared" si="14"/>
        <v>7075.53</v>
      </c>
      <c r="AB41" s="918">
        <f t="shared" si="15"/>
        <v>0.3</v>
      </c>
      <c r="AC41" s="919">
        <v>1006.05</v>
      </c>
      <c r="AD41" s="917">
        <f t="shared" si="16"/>
        <v>1072.05</v>
      </c>
      <c r="AE41" s="918">
        <f t="shared" si="17"/>
        <v>0</v>
      </c>
      <c r="AF41" s="919"/>
      <c r="AG41" s="917">
        <f t="shared" si="18"/>
        <v>0</v>
      </c>
      <c r="AH41" s="918">
        <f t="shared" si="19"/>
        <v>0</v>
      </c>
      <c r="AI41" s="919"/>
      <c r="AJ41" s="917">
        <f t="shared" si="20"/>
        <v>0</v>
      </c>
      <c r="AK41" s="918">
        <f t="shared" si="21"/>
        <v>0</v>
      </c>
      <c r="AL41" s="919"/>
      <c r="AM41" s="917">
        <f t="shared" si="22"/>
        <v>0</v>
      </c>
      <c r="AN41" s="920">
        <v>19242</v>
      </c>
      <c r="AO41" s="917">
        <f t="shared" si="23"/>
        <v>0</v>
      </c>
      <c r="AP41" s="920"/>
      <c r="AQ41" s="916">
        <f t="shared" si="24"/>
        <v>0</v>
      </c>
      <c r="AR41" s="917">
        <f t="shared" si="25"/>
        <v>11721.08</v>
      </c>
      <c r="AS41" s="916">
        <v>12</v>
      </c>
      <c r="AT41" s="921">
        <f t="shared" si="26"/>
        <v>140652.96</v>
      </c>
      <c r="AU41" s="920"/>
      <c r="AV41" s="922">
        <f t="shared" si="27"/>
        <v>1406.53</v>
      </c>
      <c r="AW41" s="921">
        <f t="shared" si="28"/>
        <v>142059.49</v>
      </c>
      <c r="AX41" s="921">
        <f t="shared" si="29"/>
        <v>42901.97</v>
      </c>
      <c r="AY41" s="921">
        <f t="shared" si="30"/>
        <v>184961.46</v>
      </c>
      <c r="AZ41" s="923">
        <f t="shared" si="31"/>
        <v>142.1</v>
      </c>
      <c r="BA41" s="923">
        <f t="shared" si="32"/>
        <v>42.9</v>
      </c>
      <c r="BB41" s="923">
        <f t="shared" si="33"/>
        <v>185</v>
      </c>
      <c r="BC41" s="915">
        <v>0.95</v>
      </c>
      <c r="BD41" s="923">
        <f t="shared" si="34"/>
        <v>135</v>
      </c>
      <c r="BE41" s="923">
        <f t="shared" si="35"/>
        <v>40.799999999999997</v>
      </c>
      <c r="BF41" s="923">
        <f t="shared" si="36"/>
        <v>175.8</v>
      </c>
      <c r="BG41" s="924">
        <f>'[3]свод (2024)'!$B$116</f>
        <v>0.99758349999999996</v>
      </c>
      <c r="BH41" s="923">
        <f t="shared" si="37"/>
        <v>134.69999999999999</v>
      </c>
      <c r="BI41" s="923">
        <f t="shared" si="38"/>
        <v>40.700000000000003</v>
      </c>
      <c r="BJ41" s="923">
        <f t="shared" si="39"/>
        <v>175.4</v>
      </c>
      <c r="BK41" s="925">
        <f t="shared" si="40"/>
        <v>-7.4</v>
      </c>
      <c r="BL41" s="925">
        <f t="shared" si="40"/>
        <v>-2.2000000000000002</v>
      </c>
      <c r="BM41" s="925">
        <f t="shared" si="41"/>
        <v>-9.6</v>
      </c>
      <c r="BN41" s="925">
        <f t="shared" si="42"/>
        <v>0</v>
      </c>
      <c r="BO41" s="925">
        <f t="shared" si="43"/>
        <v>0</v>
      </c>
      <c r="BP41" s="926"/>
      <c r="BQ41" s="925">
        <f t="shared" si="44"/>
        <v>134.69999999999999</v>
      </c>
      <c r="BR41" s="925">
        <f t="shared" si="44"/>
        <v>40.700000000000003</v>
      </c>
      <c r="BS41" s="925">
        <f t="shared" si="45"/>
        <v>175.4</v>
      </c>
      <c r="BU41" s="928"/>
      <c r="BV41" s="917"/>
      <c r="BW41" s="928"/>
      <c r="BX41" s="928"/>
      <c r="BY41" s="928"/>
      <c r="BZ41" s="917"/>
      <c r="CA41" s="928"/>
      <c r="CB41" s="917"/>
      <c r="CC41" s="928"/>
      <c r="CD41" s="928"/>
      <c r="CE41" s="928"/>
      <c r="CF41" s="929"/>
      <c r="CG41" s="928"/>
      <c r="CH41" s="928"/>
      <c r="CI41" s="928"/>
      <c r="CJ41" s="925"/>
      <c r="CK41" s="925"/>
      <c r="CL41" s="925"/>
      <c r="CM41" s="925"/>
      <c r="CN41" s="925"/>
      <c r="CO41" s="925"/>
      <c r="CP41" s="925"/>
      <c r="CQ41" s="925"/>
      <c r="CR41" s="925"/>
      <c r="CS41" s="917"/>
      <c r="CT41" s="928"/>
      <c r="CU41" s="928"/>
      <c r="CV41" s="928"/>
      <c r="CX41" s="925"/>
      <c r="CY41" s="925"/>
      <c r="CZ41" s="925"/>
      <c r="DB41" s="925"/>
      <c r="DC41" s="925"/>
      <c r="DD41" s="925"/>
      <c r="DE41" s="925"/>
      <c r="DF41" s="925"/>
      <c r="DG41" s="925"/>
      <c r="DH41" s="925"/>
      <c r="DI41" s="925"/>
      <c r="DJ41" s="925"/>
      <c r="DK41" s="925"/>
      <c r="DL41" s="925"/>
      <c r="DM41" s="925"/>
      <c r="DN41" s="925"/>
      <c r="DO41" s="925"/>
      <c r="DP41" s="925"/>
      <c r="DQ41" s="924"/>
      <c r="DR41" s="925"/>
      <c r="DS41" s="925"/>
      <c r="DT41" s="925"/>
      <c r="DV41" s="925"/>
      <c r="DW41" s="925"/>
      <c r="DX41" s="925"/>
      <c r="DY41" s="925"/>
      <c r="DZ41" s="925"/>
      <c r="EA41" s="925"/>
      <c r="EB41" s="925"/>
      <c r="EC41" s="925"/>
      <c r="ED41" s="925"/>
      <c r="EE41" s="925"/>
      <c r="EF41" s="925"/>
      <c r="EG41" s="925"/>
      <c r="EH41" s="925"/>
      <c r="EI41" s="925"/>
      <c r="EJ41" s="925"/>
      <c r="EK41" s="925"/>
      <c r="EL41" s="925"/>
      <c r="EM41" s="925"/>
      <c r="EN41" s="925"/>
      <c r="EO41" s="925"/>
      <c r="EP41" s="925"/>
      <c r="EQ41" s="925"/>
      <c r="ER41" s="925"/>
      <c r="ES41" s="925"/>
      <c r="ET41" s="925"/>
      <c r="EV41" s="924"/>
      <c r="EW41" s="925"/>
      <c r="EX41" s="925"/>
      <c r="EY41" s="925"/>
    </row>
    <row r="42" spans="1:155" s="927" customFormat="1" ht="15.75" x14ac:dyDescent="0.25">
      <c r="A42" s="912" t="s">
        <v>359</v>
      </c>
      <c r="B42" s="913" t="s">
        <v>1389</v>
      </c>
      <c r="C42" s="914">
        <v>6</v>
      </c>
      <c r="D42" s="914">
        <v>4336</v>
      </c>
      <c r="E42" s="915">
        <v>1.0549999999999999</v>
      </c>
      <c r="F42" s="916">
        <f t="shared" si="0"/>
        <v>4575</v>
      </c>
      <c r="G42" s="915">
        <v>1.01</v>
      </c>
      <c r="H42" s="916">
        <f t="shared" si="1"/>
        <v>4621</v>
      </c>
      <c r="I42" s="917">
        <f t="shared" si="2"/>
        <v>27726</v>
      </c>
      <c r="J42" s="918">
        <f t="shared" si="3"/>
        <v>0</v>
      </c>
      <c r="K42" s="919"/>
      <c r="L42" s="917">
        <f t="shared" si="4"/>
        <v>0</v>
      </c>
      <c r="M42" s="918">
        <f t="shared" si="5"/>
        <v>0</v>
      </c>
      <c r="N42" s="919"/>
      <c r="O42" s="917">
        <f t="shared" si="6"/>
        <v>0</v>
      </c>
      <c r="P42" s="918">
        <f t="shared" si="7"/>
        <v>0</v>
      </c>
      <c r="Q42" s="919"/>
      <c r="R42" s="917">
        <f t="shared" si="8"/>
        <v>0</v>
      </c>
      <c r="S42" s="918">
        <f t="shared" si="9"/>
        <v>0.41666999999999998</v>
      </c>
      <c r="T42" s="919">
        <v>10840</v>
      </c>
      <c r="U42" s="917">
        <f t="shared" si="10"/>
        <v>11552.59</v>
      </c>
      <c r="V42" s="918">
        <f t="shared" si="11"/>
        <v>0</v>
      </c>
      <c r="W42" s="919"/>
      <c r="X42" s="917">
        <f t="shared" si="12"/>
        <v>0</v>
      </c>
      <c r="Y42" s="918">
        <f t="shared" si="13"/>
        <v>0</v>
      </c>
      <c r="Z42" s="919"/>
      <c r="AA42" s="917">
        <f t="shared" si="14"/>
        <v>0</v>
      </c>
      <c r="AB42" s="918">
        <f t="shared" si="15"/>
        <v>0</v>
      </c>
      <c r="AC42" s="919"/>
      <c r="AD42" s="917">
        <f t="shared" si="16"/>
        <v>0</v>
      </c>
      <c r="AE42" s="918">
        <f t="shared" si="17"/>
        <v>0</v>
      </c>
      <c r="AF42" s="919"/>
      <c r="AG42" s="917">
        <f t="shared" si="18"/>
        <v>0</v>
      </c>
      <c r="AH42" s="918">
        <f t="shared" si="19"/>
        <v>0</v>
      </c>
      <c r="AI42" s="919"/>
      <c r="AJ42" s="917">
        <f t="shared" si="20"/>
        <v>0</v>
      </c>
      <c r="AK42" s="918">
        <f t="shared" si="21"/>
        <v>0</v>
      </c>
      <c r="AL42" s="919"/>
      <c r="AM42" s="917">
        <f t="shared" si="22"/>
        <v>0</v>
      </c>
      <c r="AN42" s="920">
        <v>19242</v>
      </c>
      <c r="AO42" s="917">
        <f t="shared" si="23"/>
        <v>76173.41</v>
      </c>
      <c r="AP42" s="920">
        <v>1060.29</v>
      </c>
      <c r="AQ42" s="916">
        <f t="shared" si="24"/>
        <v>6361.74</v>
      </c>
      <c r="AR42" s="917">
        <f t="shared" si="25"/>
        <v>121813.74</v>
      </c>
      <c r="AS42" s="916">
        <v>12</v>
      </c>
      <c r="AT42" s="921">
        <f t="shared" si="26"/>
        <v>1461764.88</v>
      </c>
      <c r="AU42" s="920">
        <f>AT42*0.085</f>
        <v>124250.01</v>
      </c>
      <c r="AV42" s="922">
        <f t="shared" si="27"/>
        <v>14617.65</v>
      </c>
      <c r="AW42" s="921">
        <f t="shared" si="28"/>
        <v>1600632.54</v>
      </c>
      <c r="AX42" s="921">
        <f t="shared" si="29"/>
        <v>483391.03</v>
      </c>
      <c r="AY42" s="921">
        <f t="shared" si="30"/>
        <v>2084023.57</v>
      </c>
      <c r="AZ42" s="923">
        <f t="shared" si="31"/>
        <v>1600.6</v>
      </c>
      <c r="BA42" s="923">
        <f t="shared" si="32"/>
        <v>483.4</v>
      </c>
      <c r="BB42" s="923">
        <f t="shared" si="33"/>
        <v>2084</v>
      </c>
      <c r="BC42" s="915">
        <v>0.95</v>
      </c>
      <c r="BD42" s="923">
        <f t="shared" si="34"/>
        <v>1520.6</v>
      </c>
      <c r="BE42" s="923">
        <f t="shared" si="35"/>
        <v>459.2</v>
      </c>
      <c r="BF42" s="923">
        <f t="shared" si="36"/>
        <v>1979.8</v>
      </c>
      <c r="BG42" s="924">
        <f>'[3]свод (2024)'!$B$116</f>
        <v>0.99758349999999996</v>
      </c>
      <c r="BH42" s="923">
        <f>ROUND(BD42*BG42,1)</f>
        <v>1516.9</v>
      </c>
      <c r="BI42" s="923">
        <f t="shared" si="38"/>
        <v>458.1</v>
      </c>
      <c r="BJ42" s="923">
        <f t="shared" si="39"/>
        <v>1975</v>
      </c>
      <c r="BK42" s="925">
        <f t="shared" si="40"/>
        <v>-83.7</v>
      </c>
      <c r="BL42" s="925">
        <f t="shared" si="40"/>
        <v>-25.3</v>
      </c>
      <c r="BM42" s="925">
        <f t="shared" si="41"/>
        <v>-109</v>
      </c>
      <c r="BN42" s="925">
        <f t="shared" si="42"/>
        <v>0</v>
      </c>
      <c r="BO42" s="925">
        <f t="shared" si="43"/>
        <v>0</v>
      </c>
      <c r="BP42" s="926"/>
      <c r="BQ42" s="925">
        <f t="shared" si="44"/>
        <v>1516.9</v>
      </c>
      <c r="BR42" s="925">
        <f t="shared" si="44"/>
        <v>458.1</v>
      </c>
      <c r="BS42" s="925">
        <f t="shared" si="45"/>
        <v>1975</v>
      </c>
      <c r="BU42" s="928"/>
      <c r="BV42" s="917"/>
      <c r="BW42" s="928"/>
      <c r="BX42" s="928"/>
      <c r="BY42" s="928"/>
      <c r="BZ42" s="917"/>
      <c r="CA42" s="928"/>
      <c r="CB42" s="917"/>
      <c r="CC42" s="928"/>
      <c r="CD42" s="928"/>
      <c r="CE42" s="928"/>
      <c r="CF42" s="929"/>
      <c r="CG42" s="928"/>
      <c r="CH42" s="928"/>
      <c r="CI42" s="928"/>
      <c r="CJ42" s="925"/>
      <c r="CK42" s="925"/>
      <c r="CL42" s="925"/>
      <c r="CM42" s="925"/>
      <c r="CN42" s="925"/>
      <c r="CO42" s="925"/>
      <c r="CP42" s="925"/>
      <c r="CQ42" s="925"/>
      <c r="CR42" s="925"/>
      <c r="CS42" s="917"/>
      <c r="CT42" s="928"/>
      <c r="CU42" s="928"/>
      <c r="CV42" s="928"/>
      <c r="CX42" s="925"/>
      <c r="CY42" s="925"/>
      <c r="CZ42" s="925"/>
      <c r="DB42" s="925"/>
      <c r="DC42" s="925"/>
      <c r="DD42" s="925"/>
      <c r="DE42" s="925"/>
      <c r="DF42" s="925"/>
      <c r="DG42" s="925"/>
      <c r="DH42" s="925"/>
      <c r="DI42" s="925"/>
      <c r="DJ42" s="925"/>
      <c r="DK42" s="925"/>
      <c r="DL42" s="925"/>
      <c r="DM42" s="925"/>
      <c r="DN42" s="925"/>
      <c r="DO42" s="925"/>
      <c r="DP42" s="925"/>
      <c r="DQ42" s="924"/>
      <c r="DR42" s="925"/>
      <c r="DS42" s="925"/>
      <c r="DT42" s="925"/>
      <c r="DV42" s="925"/>
      <c r="DW42" s="925"/>
      <c r="DX42" s="925"/>
      <c r="DY42" s="925"/>
      <c r="DZ42" s="925"/>
      <c r="EA42" s="925"/>
      <c r="EB42" s="925"/>
      <c r="EC42" s="925"/>
      <c r="ED42" s="925"/>
      <c r="EE42" s="925"/>
      <c r="EF42" s="925"/>
      <c r="EG42" s="925"/>
      <c r="EH42" s="925"/>
      <c r="EI42" s="925"/>
      <c r="EJ42" s="925"/>
      <c r="EK42" s="925"/>
      <c r="EL42" s="925"/>
      <c r="EM42" s="925"/>
      <c r="EN42" s="925"/>
      <c r="EO42" s="925"/>
      <c r="EP42" s="925"/>
      <c r="EQ42" s="925"/>
      <c r="ER42" s="925"/>
      <c r="ES42" s="925"/>
      <c r="ET42" s="925"/>
      <c r="EV42" s="924"/>
      <c r="EW42" s="925"/>
      <c r="EX42" s="925"/>
      <c r="EY42" s="925"/>
    </row>
    <row r="43" spans="1:155" s="927" customFormat="1" ht="15.75" x14ac:dyDescent="0.25">
      <c r="A43" s="912" t="s">
        <v>359</v>
      </c>
      <c r="B43" s="913" t="s">
        <v>493</v>
      </c>
      <c r="C43" s="914">
        <v>8.82</v>
      </c>
      <c r="D43" s="914">
        <v>13132</v>
      </c>
      <c r="E43" s="915">
        <v>1.0549999999999999</v>
      </c>
      <c r="F43" s="916">
        <f t="shared" si="0"/>
        <v>13855</v>
      </c>
      <c r="G43" s="915">
        <v>1.01</v>
      </c>
      <c r="H43" s="916">
        <f t="shared" si="1"/>
        <v>13994</v>
      </c>
      <c r="I43" s="917">
        <f t="shared" si="2"/>
        <v>123427.08</v>
      </c>
      <c r="J43" s="918">
        <f t="shared" si="3"/>
        <v>0.25</v>
      </c>
      <c r="K43" s="919">
        <v>28956.06</v>
      </c>
      <c r="L43" s="917">
        <f t="shared" si="4"/>
        <v>30856.77</v>
      </c>
      <c r="M43" s="918">
        <f t="shared" si="5"/>
        <v>0</v>
      </c>
      <c r="N43" s="919"/>
      <c r="O43" s="917">
        <f t="shared" si="6"/>
        <v>0</v>
      </c>
      <c r="P43" s="918">
        <f t="shared" si="7"/>
        <v>0</v>
      </c>
      <c r="Q43" s="919"/>
      <c r="R43" s="917">
        <f t="shared" si="8"/>
        <v>0</v>
      </c>
      <c r="S43" s="918">
        <f t="shared" si="9"/>
        <v>0</v>
      </c>
      <c r="T43" s="919"/>
      <c r="U43" s="917">
        <f t="shared" si="10"/>
        <v>0</v>
      </c>
      <c r="V43" s="918">
        <f t="shared" si="11"/>
        <v>0</v>
      </c>
      <c r="W43" s="919"/>
      <c r="X43" s="917">
        <f t="shared" si="12"/>
        <v>0</v>
      </c>
      <c r="Y43" s="918">
        <f t="shared" si="13"/>
        <v>0</v>
      </c>
      <c r="Z43" s="919"/>
      <c r="AA43" s="917">
        <f t="shared" si="14"/>
        <v>0</v>
      </c>
      <c r="AB43" s="918">
        <f t="shared" si="15"/>
        <v>0.2</v>
      </c>
      <c r="AC43" s="919">
        <v>23164.85</v>
      </c>
      <c r="AD43" s="917">
        <f t="shared" si="16"/>
        <v>24685.42</v>
      </c>
      <c r="AE43" s="918">
        <f t="shared" si="17"/>
        <v>0</v>
      </c>
      <c r="AF43" s="919"/>
      <c r="AG43" s="917">
        <f t="shared" si="18"/>
        <v>0</v>
      </c>
      <c r="AH43" s="918">
        <f t="shared" si="19"/>
        <v>0</v>
      </c>
      <c r="AI43" s="919"/>
      <c r="AJ43" s="917">
        <f t="shared" si="20"/>
        <v>0</v>
      </c>
      <c r="AK43" s="918">
        <f t="shared" si="21"/>
        <v>0</v>
      </c>
      <c r="AL43" s="919"/>
      <c r="AM43" s="917">
        <f t="shared" si="22"/>
        <v>0</v>
      </c>
      <c r="AN43" s="920">
        <v>19242</v>
      </c>
      <c r="AO43" s="917">
        <f t="shared" si="23"/>
        <v>0</v>
      </c>
      <c r="AP43" s="920"/>
      <c r="AQ43" s="916">
        <f t="shared" si="24"/>
        <v>0</v>
      </c>
      <c r="AR43" s="917">
        <f t="shared" si="25"/>
        <v>178969.27</v>
      </c>
      <c r="AS43" s="916">
        <v>12</v>
      </c>
      <c r="AT43" s="921">
        <f t="shared" si="26"/>
        <v>2147631.2400000002</v>
      </c>
      <c r="AU43" s="920"/>
      <c r="AV43" s="922">
        <f t="shared" si="27"/>
        <v>21476.31</v>
      </c>
      <c r="AW43" s="921">
        <f t="shared" si="28"/>
        <v>2169107.5499999998</v>
      </c>
      <c r="AX43" s="921">
        <f t="shared" si="29"/>
        <v>655070.48</v>
      </c>
      <c r="AY43" s="921">
        <f t="shared" si="30"/>
        <v>2824178.03</v>
      </c>
      <c r="AZ43" s="923">
        <f t="shared" si="31"/>
        <v>2169.1</v>
      </c>
      <c r="BA43" s="923">
        <f t="shared" si="32"/>
        <v>655.1</v>
      </c>
      <c r="BB43" s="923">
        <f t="shared" si="33"/>
        <v>2824.2</v>
      </c>
      <c r="BC43" s="915">
        <v>0.95</v>
      </c>
      <c r="BD43" s="923">
        <f t="shared" si="34"/>
        <v>2060.6</v>
      </c>
      <c r="BE43" s="923">
        <f t="shared" si="35"/>
        <v>622.29999999999995</v>
      </c>
      <c r="BF43" s="923">
        <f t="shared" si="36"/>
        <v>2682.9</v>
      </c>
      <c r="BG43" s="924">
        <f>'[3]свод (2024)'!$B$116</f>
        <v>0.99758349999999996</v>
      </c>
      <c r="BH43" s="923">
        <f t="shared" si="37"/>
        <v>2055.6</v>
      </c>
      <c r="BI43" s="923">
        <f t="shared" si="38"/>
        <v>620.79999999999995</v>
      </c>
      <c r="BJ43" s="923">
        <f t="shared" si="39"/>
        <v>2676.4</v>
      </c>
      <c r="BK43" s="925">
        <f t="shared" si="40"/>
        <v>-113.5</v>
      </c>
      <c r="BL43" s="925">
        <f t="shared" si="40"/>
        <v>-34.299999999999997</v>
      </c>
      <c r="BM43" s="925">
        <f t="shared" si="41"/>
        <v>-147.80000000000001</v>
      </c>
      <c r="BN43" s="925">
        <f t="shared" si="42"/>
        <v>0</v>
      </c>
      <c r="BO43" s="925">
        <f t="shared" si="43"/>
        <v>0</v>
      </c>
      <c r="BP43" s="926"/>
      <c r="BQ43" s="925">
        <f t="shared" si="44"/>
        <v>2055.6</v>
      </c>
      <c r="BR43" s="925">
        <f t="shared" si="44"/>
        <v>620.79999999999995</v>
      </c>
      <c r="BS43" s="925">
        <f t="shared" si="45"/>
        <v>2676.4</v>
      </c>
      <c r="BU43" s="928">
        <f>C43</f>
        <v>8.82</v>
      </c>
      <c r="BV43" s="917"/>
      <c r="BW43" s="928"/>
      <c r="BX43" s="928">
        <f>AW43-X43</f>
        <v>2169107.5499999998</v>
      </c>
      <c r="BY43" s="928"/>
      <c r="BZ43" s="917"/>
      <c r="CA43" s="928"/>
      <c r="CB43" s="917"/>
      <c r="CC43" s="928"/>
      <c r="CD43" s="928"/>
      <c r="CE43" s="928"/>
      <c r="CF43" s="929">
        <f t="shared" si="46"/>
        <v>848744.5</v>
      </c>
      <c r="CG43" s="928"/>
      <c r="CH43" s="928"/>
      <c r="CI43" s="928"/>
      <c r="CJ43" s="925"/>
      <c r="CK43" s="925"/>
      <c r="CL43" s="925"/>
      <c r="CM43" s="925"/>
      <c r="CN43" s="925"/>
      <c r="CO43" s="925"/>
      <c r="CP43" s="925"/>
      <c r="CQ43" s="925"/>
      <c r="CR43" s="925"/>
      <c r="CS43" s="917"/>
      <c r="CT43" s="928"/>
      <c r="CU43" s="928"/>
      <c r="CV43" s="928"/>
      <c r="CX43" s="925"/>
      <c r="CY43" s="925"/>
      <c r="CZ43" s="925"/>
      <c r="DB43" s="925"/>
      <c r="DC43" s="925"/>
      <c r="DD43" s="925"/>
      <c r="DE43" s="925"/>
      <c r="DF43" s="925"/>
      <c r="DG43" s="925"/>
      <c r="DH43" s="925"/>
      <c r="DI43" s="925"/>
      <c r="DJ43" s="925"/>
      <c r="DK43" s="925"/>
      <c r="DL43" s="925"/>
      <c r="DM43" s="925"/>
      <c r="DN43" s="925"/>
      <c r="DO43" s="925"/>
      <c r="DP43" s="925"/>
      <c r="DQ43" s="924"/>
      <c r="DR43" s="925"/>
      <c r="DS43" s="925"/>
      <c r="DT43" s="925"/>
      <c r="DV43" s="925"/>
      <c r="DW43" s="925"/>
      <c r="DX43" s="925"/>
      <c r="DY43" s="925"/>
      <c r="DZ43" s="925"/>
      <c r="EA43" s="925"/>
      <c r="EB43" s="925"/>
      <c r="EC43" s="925"/>
      <c r="ED43" s="925"/>
      <c r="EE43" s="925"/>
      <c r="EF43" s="925"/>
      <c r="EG43" s="925"/>
      <c r="EH43" s="925"/>
      <c r="EI43" s="925"/>
      <c r="EJ43" s="925"/>
      <c r="EK43" s="925"/>
      <c r="EL43" s="925"/>
      <c r="EM43" s="925"/>
      <c r="EN43" s="925"/>
      <c r="EO43" s="925"/>
      <c r="EP43" s="925"/>
      <c r="EQ43" s="925"/>
      <c r="ER43" s="925"/>
      <c r="ES43" s="925"/>
      <c r="ET43" s="925"/>
      <c r="EV43" s="924"/>
      <c r="EW43" s="925"/>
      <c r="EX43" s="925"/>
      <c r="EY43" s="925"/>
    </row>
    <row r="44" spans="1:155" s="927" customFormat="1" ht="15.75" x14ac:dyDescent="0.25">
      <c r="A44" s="912" t="s">
        <v>359</v>
      </c>
      <c r="B44" s="913" t="s">
        <v>1390</v>
      </c>
      <c r="C44" s="914">
        <v>15</v>
      </c>
      <c r="D44" s="914">
        <v>4336</v>
      </c>
      <c r="E44" s="915">
        <v>1.0549999999999999</v>
      </c>
      <c r="F44" s="916">
        <f t="shared" si="0"/>
        <v>4575</v>
      </c>
      <c r="G44" s="915">
        <v>1.01</v>
      </c>
      <c r="H44" s="916">
        <f t="shared" si="1"/>
        <v>4621</v>
      </c>
      <c r="I44" s="917">
        <f t="shared" si="2"/>
        <v>69315</v>
      </c>
      <c r="J44" s="918">
        <f t="shared" si="3"/>
        <v>0</v>
      </c>
      <c r="K44" s="919"/>
      <c r="L44" s="917">
        <f t="shared" si="4"/>
        <v>0</v>
      </c>
      <c r="M44" s="918">
        <f t="shared" si="5"/>
        <v>0</v>
      </c>
      <c r="N44" s="919"/>
      <c r="O44" s="917">
        <f t="shared" si="6"/>
        <v>0</v>
      </c>
      <c r="P44" s="918">
        <f t="shared" si="7"/>
        <v>0</v>
      </c>
      <c r="Q44" s="919"/>
      <c r="R44" s="917">
        <f t="shared" si="8"/>
        <v>0</v>
      </c>
      <c r="S44" s="918">
        <f t="shared" si="9"/>
        <v>5.1670000000000001E-2</v>
      </c>
      <c r="T44" s="919">
        <v>3360.4</v>
      </c>
      <c r="U44" s="917">
        <f t="shared" si="10"/>
        <v>3581.51</v>
      </c>
      <c r="V44" s="918">
        <f t="shared" si="11"/>
        <v>0</v>
      </c>
      <c r="W44" s="919"/>
      <c r="X44" s="917">
        <f t="shared" si="12"/>
        <v>0</v>
      </c>
      <c r="Y44" s="918">
        <f t="shared" si="13"/>
        <v>0</v>
      </c>
      <c r="Z44" s="919"/>
      <c r="AA44" s="917">
        <f t="shared" si="14"/>
        <v>0</v>
      </c>
      <c r="AB44" s="918">
        <f t="shared" si="15"/>
        <v>0</v>
      </c>
      <c r="AC44" s="919"/>
      <c r="AD44" s="917">
        <f t="shared" si="16"/>
        <v>0</v>
      </c>
      <c r="AE44" s="918">
        <f t="shared" si="17"/>
        <v>0</v>
      </c>
      <c r="AF44" s="919"/>
      <c r="AG44" s="917">
        <f t="shared" si="18"/>
        <v>0</v>
      </c>
      <c r="AH44" s="918">
        <f t="shared" si="19"/>
        <v>0</v>
      </c>
      <c r="AI44" s="919"/>
      <c r="AJ44" s="917">
        <f t="shared" si="20"/>
        <v>0</v>
      </c>
      <c r="AK44" s="918">
        <f t="shared" si="21"/>
        <v>0</v>
      </c>
      <c r="AL44" s="919"/>
      <c r="AM44" s="917">
        <f t="shared" si="22"/>
        <v>0</v>
      </c>
      <c r="AN44" s="920">
        <v>19242</v>
      </c>
      <c r="AO44" s="917">
        <f t="shared" si="23"/>
        <v>215733.49</v>
      </c>
      <c r="AP44" s="920"/>
      <c r="AQ44" s="916">
        <f t="shared" si="24"/>
        <v>0</v>
      </c>
      <c r="AR44" s="917">
        <f t="shared" si="25"/>
        <v>288630</v>
      </c>
      <c r="AS44" s="916">
        <v>12</v>
      </c>
      <c r="AT44" s="921">
        <f t="shared" si="26"/>
        <v>3463560</v>
      </c>
      <c r="AU44" s="920">
        <f>AT44*0.085</f>
        <v>294402.59999999998</v>
      </c>
      <c r="AV44" s="922">
        <f t="shared" si="27"/>
        <v>34635.599999999999</v>
      </c>
      <c r="AW44" s="921">
        <f t="shared" si="28"/>
        <v>3792598.2</v>
      </c>
      <c r="AX44" s="921">
        <f t="shared" si="29"/>
        <v>1145364.6599999999</v>
      </c>
      <c r="AY44" s="921">
        <f t="shared" si="30"/>
        <v>4937962.8600000003</v>
      </c>
      <c r="AZ44" s="923">
        <f t="shared" si="31"/>
        <v>3792.6</v>
      </c>
      <c r="BA44" s="923">
        <f t="shared" si="32"/>
        <v>1145.4000000000001</v>
      </c>
      <c r="BB44" s="923">
        <f t="shared" si="33"/>
        <v>4938</v>
      </c>
      <c r="BC44" s="915">
        <v>0.95</v>
      </c>
      <c r="BD44" s="923">
        <f t="shared" si="34"/>
        <v>3603</v>
      </c>
      <c r="BE44" s="923">
        <f t="shared" si="35"/>
        <v>1088.0999999999999</v>
      </c>
      <c r="BF44" s="923">
        <f t="shared" si="36"/>
        <v>4691.1000000000004</v>
      </c>
      <c r="BG44" s="924">
        <f>'[3]свод (2024)'!$B$116</f>
        <v>0.99758349999999996</v>
      </c>
      <c r="BH44" s="930">
        <f>ROUND(BD44*BG44,1)-44.7</f>
        <v>3549.6</v>
      </c>
      <c r="BI44" s="923">
        <f t="shared" si="38"/>
        <v>1072</v>
      </c>
      <c r="BJ44" s="923">
        <f t="shared" si="39"/>
        <v>4621.6000000000004</v>
      </c>
      <c r="BK44" s="925">
        <f t="shared" si="40"/>
        <v>-243</v>
      </c>
      <c r="BL44" s="925">
        <f t="shared" si="40"/>
        <v>-73.400000000000006</v>
      </c>
      <c r="BM44" s="925">
        <f t="shared" si="41"/>
        <v>-316.39999999999998</v>
      </c>
      <c r="BN44" s="925">
        <f t="shared" si="42"/>
        <v>0</v>
      </c>
      <c r="BO44" s="925">
        <f t="shared" si="43"/>
        <v>0</v>
      </c>
      <c r="BP44" s="926"/>
      <c r="BQ44" s="925">
        <f t="shared" si="44"/>
        <v>3549.6</v>
      </c>
      <c r="BR44" s="925">
        <f t="shared" si="44"/>
        <v>1072</v>
      </c>
      <c r="BS44" s="925">
        <f t="shared" si="45"/>
        <v>4621.6000000000004</v>
      </c>
      <c r="BU44" s="928"/>
      <c r="BV44" s="917"/>
      <c r="BW44" s="928"/>
      <c r="BX44" s="928"/>
      <c r="BY44" s="928"/>
      <c r="BZ44" s="917"/>
      <c r="CA44" s="928"/>
      <c r="CB44" s="917"/>
      <c r="CC44" s="928"/>
      <c r="CD44" s="928"/>
      <c r="CE44" s="928"/>
      <c r="CF44" s="929"/>
      <c r="CG44" s="928"/>
      <c r="CH44" s="928"/>
      <c r="CI44" s="928"/>
      <c r="CJ44" s="925"/>
      <c r="CK44" s="925"/>
      <c r="CL44" s="925"/>
      <c r="CM44" s="925"/>
      <c r="CN44" s="925"/>
      <c r="CO44" s="925"/>
      <c r="CP44" s="925"/>
      <c r="CQ44" s="925"/>
      <c r="CR44" s="925"/>
      <c r="CS44" s="917"/>
      <c r="CT44" s="928"/>
      <c r="CU44" s="928"/>
      <c r="CV44" s="928"/>
      <c r="CX44" s="925"/>
      <c r="CY44" s="925"/>
      <c r="CZ44" s="925"/>
      <c r="DB44" s="925"/>
      <c r="DC44" s="925"/>
      <c r="DD44" s="925"/>
      <c r="DE44" s="925"/>
      <c r="DF44" s="925"/>
      <c r="DG44" s="925"/>
      <c r="DH44" s="925"/>
      <c r="DI44" s="925"/>
      <c r="DJ44" s="925"/>
      <c r="DK44" s="925"/>
      <c r="DL44" s="925"/>
      <c r="DM44" s="925"/>
      <c r="DN44" s="925"/>
      <c r="DO44" s="925"/>
      <c r="DP44" s="925"/>
      <c r="DQ44" s="924"/>
      <c r="DR44" s="925"/>
      <c r="DS44" s="925"/>
      <c r="DT44" s="925"/>
      <c r="DV44" s="925"/>
      <c r="DW44" s="925"/>
      <c r="DX44" s="925"/>
      <c r="DY44" s="925"/>
      <c r="DZ44" s="925"/>
      <c r="EA44" s="925"/>
      <c r="EB44" s="925"/>
      <c r="EC44" s="925"/>
      <c r="ED44" s="925"/>
      <c r="EE44" s="925"/>
      <c r="EF44" s="925"/>
      <c r="EG44" s="925"/>
      <c r="EH44" s="925"/>
      <c r="EI44" s="925"/>
      <c r="EJ44" s="925"/>
      <c r="EK44" s="925"/>
      <c r="EL44" s="925"/>
      <c r="EM44" s="925"/>
      <c r="EN44" s="925"/>
      <c r="EO44" s="925"/>
      <c r="EP44" s="925"/>
      <c r="EQ44" s="925"/>
      <c r="ER44" s="925"/>
      <c r="ES44" s="925"/>
      <c r="ET44" s="925"/>
      <c r="EV44" s="924"/>
      <c r="EW44" s="925"/>
      <c r="EX44" s="925"/>
      <c r="EY44" s="925"/>
    </row>
    <row r="45" spans="1:155" s="927" customFormat="1" ht="15.75" x14ac:dyDescent="0.25">
      <c r="A45" s="912" t="s">
        <v>359</v>
      </c>
      <c r="B45" s="913" t="s">
        <v>398</v>
      </c>
      <c r="C45" s="914">
        <v>1</v>
      </c>
      <c r="D45" s="914">
        <v>6097</v>
      </c>
      <c r="E45" s="915">
        <v>1.0549999999999999</v>
      </c>
      <c r="F45" s="916">
        <f t="shared" si="0"/>
        <v>6433</v>
      </c>
      <c r="G45" s="915">
        <v>1.01</v>
      </c>
      <c r="H45" s="916">
        <f t="shared" si="1"/>
        <v>6498</v>
      </c>
      <c r="I45" s="917">
        <f t="shared" si="2"/>
        <v>6498</v>
      </c>
      <c r="J45" s="918">
        <f t="shared" si="3"/>
        <v>0</v>
      </c>
      <c r="K45" s="919"/>
      <c r="L45" s="917">
        <f t="shared" si="4"/>
        <v>0</v>
      </c>
      <c r="M45" s="918">
        <f t="shared" si="5"/>
        <v>0</v>
      </c>
      <c r="N45" s="919"/>
      <c r="O45" s="917">
        <f t="shared" si="6"/>
        <v>0</v>
      </c>
      <c r="P45" s="918">
        <f t="shared" si="7"/>
        <v>0</v>
      </c>
      <c r="Q45" s="919"/>
      <c r="R45" s="917">
        <f t="shared" si="8"/>
        <v>0</v>
      </c>
      <c r="S45" s="918">
        <f t="shared" si="9"/>
        <v>0</v>
      </c>
      <c r="T45" s="919"/>
      <c r="U45" s="917">
        <f t="shared" si="10"/>
        <v>0</v>
      </c>
      <c r="V45" s="918">
        <f t="shared" si="11"/>
        <v>0</v>
      </c>
      <c r="W45" s="919"/>
      <c r="X45" s="917">
        <f t="shared" si="12"/>
        <v>0</v>
      </c>
      <c r="Y45" s="918">
        <f t="shared" si="13"/>
        <v>1.98</v>
      </c>
      <c r="Z45" s="919">
        <v>12072.06</v>
      </c>
      <c r="AA45" s="917">
        <f t="shared" si="14"/>
        <v>12866.04</v>
      </c>
      <c r="AB45" s="918">
        <f t="shared" si="15"/>
        <v>0.3</v>
      </c>
      <c r="AC45" s="919">
        <v>1829.1</v>
      </c>
      <c r="AD45" s="917">
        <f t="shared" si="16"/>
        <v>1949.4</v>
      </c>
      <c r="AE45" s="918">
        <f t="shared" si="17"/>
        <v>0</v>
      </c>
      <c r="AF45" s="919"/>
      <c r="AG45" s="917">
        <f t="shared" si="18"/>
        <v>0</v>
      </c>
      <c r="AH45" s="918">
        <f t="shared" si="19"/>
        <v>0</v>
      </c>
      <c r="AI45" s="919"/>
      <c r="AJ45" s="917">
        <f t="shared" si="20"/>
        <v>0</v>
      </c>
      <c r="AK45" s="918">
        <f t="shared" si="21"/>
        <v>0</v>
      </c>
      <c r="AL45" s="919"/>
      <c r="AM45" s="917">
        <f t="shared" si="22"/>
        <v>0</v>
      </c>
      <c r="AN45" s="920">
        <v>19242</v>
      </c>
      <c r="AO45" s="917">
        <f t="shared" si="23"/>
        <v>0</v>
      </c>
      <c r="AP45" s="920"/>
      <c r="AQ45" s="916">
        <f t="shared" si="24"/>
        <v>0</v>
      </c>
      <c r="AR45" s="917">
        <f t="shared" si="25"/>
        <v>21313.439999999999</v>
      </c>
      <c r="AS45" s="916">
        <v>12</v>
      </c>
      <c r="AT45" s="921">
        <f t="shared" si="26"/>
        <v>255761.28</v>
      </c>
      <c r="AU45" s="920"/>
      <c r="AV45" s="922">
        <f t="shared" si="27"/>
        <v>2557.61</v>
      </c>
      <c r="AW45" s="921">
        <f t="shared" si="28"/>
        <v>258318.89</v>
      </c>
      <c r="AX45" s="921">
        <f t="shared" si="29"/>
        <v>78012.3</v>
      </c>
      <c r="AY45" s="921">
        <f t="shared" si="30"/>
        <v>336331.19</v>
      </c>
      <c r="AZ45" s="923">
        <f t="shared" si="31"/>
        <v>258.3</v>
      </c>
      <c r="BA45" s="923">
        <f t="shared" si="32"/>
        <v>78</v>
      </c>
      <c r="BB45" s="923">
        <f t="shared" si="33"/>
        <v>336.3</v>
      </c>
      <c r="BC45" s="915">
        <v>0.95</v>
      </c>
      <c r="BD45" s="923">
        <f t="shared" si="34"/>
        <v>245.4</v>
      </c>
      <c r="BE45" s="923">
        <f t="shared" si="35"/>
        <v>74.099999999999994</v>
      </c>
      <c r="BF45" s="923">
        <f t="shared" si="36"/>
        <v>319.5</v>
      </c>
      <c r="BG45" s="924">
        <f>'[3]свод (2024)'!$B$116</f>
        <v>0.99758349999999996</v>
      </c>
      <c r="BH45" s="923">
        <f t="shared" si="37"/>
        <v>244.8</v>
      </c>
      <c r="BI45" s="923">
        <f t="shared" si="38"/>
        <v>73.900000000000006</v>
      </c>
      <c r="BJ45" s="923">
        <f t="shared" si="39"/>
        <v>318.7</v>
      </c>
      <c r="BK45" s="925">
        <f t="shared" si="40"/>
        <v>-13.5</v>
      </c>
      <c r="BL45" s="925">
        <f t="shared" si="40"/>
        <v>-4.0999999999999996</v>
      </c>
      <c r="BM45" s="925">
        <f t="shared" si="41"/>
        <v>-17.600000000000001</v>
      </c>
      <c r="BN45" s="925">
        <f t="shared" si="42"/>
        <v>0</v>
      </c>
      <c r="BO45" s="925">
        <f t="shared" si="43"/>
        <v>0</v>
      </c>
      <c r="BP45" s="926"/>
      <c r="BQ45" s="925">
        <f t="shared" si="44"/>
        <v>244.8</v>
      </c>
      <c r="BR45" s="925">
        <f t="shared" si="44"/>
        <v>73.900000000000006</v>
      </c>
      <c r="BS45" s="925">
        <f t="shared" si="45"/>
        <v>318.7</v>
      </c>
      <c r="BU45" s="928"/>
      <c r="BV45" s="917"/>
      <c r="BW45" s="928"/>
      <c r="BX45" s="928"/>
      <c r="BY45" s="928"/>
      <c r="BZ45" s="917"/>
      <c r="CA45" s="928"/>
      <c r="CB45" s="917"/>
      <c r="CC45" s="928"/>
      <c r="CD45" s="928"/>
      <c r="CE45" s="928"/>
      <c r="CF45" s="929"/>
      <c r="CG45" s="928"/>
      <c r="CH45" s="928"/>
      <c r="CI45" s="928"/>
      <c r="CJ45" s="925"/>
      <c r="CK45" s="925"/>
      <c r="CL45" s="925"/>
      <c r="CM45" s="925"/>
      <c r="CN45" s="925"/>
      <c r="CO45" s="925"/>
      <c r="CP45" s="925"/>
      <c r="CQ45" s="925"/>
      <c r="CR45" s="925"/>
      <c r="CS45" s="917"/>
      <c r="CT45" s="928"/>
      <c r="CU45" s="928"/>
      <c r="CV45" s="928"/>
      <c r="CX45" s="925"/>
      <c r="CY45" s="925"/>
      <c r="CZ45" s="925"/>
      <c r="DB45" s="925"/>
      <c r="DC45" s="925"/>
      <c r="DD45" s="925"/>
      <c r="DE45" s="925"/>
      <c r="DF45" s="925"/>
      <c r="DG45" s="925"/>
      <c r="DH45" s="925"/>
      <c r="DI45" s="925"/>
      <c r="DJ45" s="925"/>
      <c r="DK45" s="925"/>
      <c r="DL45" s="925"/>
      <c r="DM45" s="925"/>
      <c r="DN45" s="925"/>
      <c r="DO45" s="925"/>
      <c r="DP45" s="925"/>
      <c r="DQ45" s="924"/>
      <c r="DR45" s="925"/>
      <c r="DS45" s="925"/>
      <c r="DT45" s="925"/>
      <c r="DV45" s="925"/>
      <c r="DW45" s="925"/>
      <c r="DX45" s="925"/>
      <c r="DY45" s="925"/>
      <c r="DZ45" s="925"/>
      <c r="EA45" s="925"/>
      <c r="EB45" s="925"/>
      <c r="EC45" s="925"/>
      <c r="ED45" s="925"/>
      <c r="EE45" s="925"/>
      <c r="EF45" s="925"/>
      <c r="EG45" s="925"/>
      <c r="EH45" s="925"/>
      <c r="EI45" s="925"/>
      <c r="EJ45" s="925"/>
      <c r="EK45" s="925"/>
      <c r="EL45" s="925"/>
      <c r="EM45" s="925"/>
      <c r="EN45" s="925"/>
      <c r="EO45" s="925"/>
      <c r="EP45" s="925"/>
      <c r="EQ45" s="925"/>
      <c r="ER45" s="925"/>
      <c r="ES45" s="925"/>
      <c r="ET45" s="925"/>
      <c r="EV45" s="924"/>
      <c r="EW45" s="925"/>
      <c r="EX45" s="925"/>
      <c r="EY45" s="925"/>
    </row>
    <row r="46" spans="1:155" s="927" customFormat="1" ht="15.75" x14ac:dyDescent="0.25">
      <c r="A46" s="912" t="s">
        <v>359</v>
      </c>
      <c r="B46" s="913" t="s">
        <v>1391</v>
      </c>
      <c r="C46" s="914">
        <v>0.5</v>
      </c>
      <c r="D46" s="914">
        <v>7755</v>
      </c>
      <c r="E46" s="915">
        <v>1.0549999999999999</v>
      </c>
      <c r="F46" s="916">
        <f t="shared" si="0"/>
        <v>8182</v>
      </c>
      <c r="G46" s="915">
        <v>1.01</v>
      </c>
      <c r="H46" s="916">
        <f t="shared" si="1"/>
        <v>8264</v>
      </c>
      <c r="I46" s="917">
        <f t="shared" si="2"/>
        <v>4132</v>
      </c>
      <c r="J46" s="918">
        <f t="shared" si="3"/>
        <v>0</v>
      </c>
      <c r="K46" s="919"/>
      <c r="L46" s="917">
        <f t="shared" si="4"/>
        <v>0</v>
      </c>
      <c r="M46" s="918">
        <f t="shared" si="5"/>
        <v>0</v>
      </c>
      <c r="N46" s="919"/>
      <c r="O46" s="917">
        <f t="shared" si="6"/>
        <v>0</v>
      </c>
      <c r="P46" s="918">
        <f t="shared" si="7"/>
        <v>0</v>
      </c>
      <c r="Q46" s="919"/>
      <c r="R46" s="917">
        <f t="shared" si="8"/>
        <v>0</v>
      </c>
      <c r="S46" s="918">
        <f t="shared" si="9"/>
        <v>0.46</v>
      </c>
      <c r="T46" s="919">
        <v>1783.65</v>
      </c>
      <c r="U46" s="917">
        <f t="shared" si="10"/>
        <v>1900.72</v>
      </c>
      <c r="V46" s="918">
        <f t="shared" si="11"/>
        <v>0</v>
      </c>
      <c r="W46" s="919"/>
      <c r="X46" s="917">
        <f t="shared" si="12"/>
        <v>0</v>
      </c>
      <c r="Y46" s="918">
        <f t="shared" si="13"/>
        <v>3.96</v>
      </c>
      <c r="Z46" s="919">
        <v>15354.9</v>
      </c>
      <c r="AA46" s="917">
        <f t="shared" si="14"/>
        <v>16362.72</v>
      </c>
      <c r="AB46" s="918">
        <f t="shared" si="15"/>
        <v>0.6</v>
      </c>
      <c r="AC46" s="919">
        <v>2326.5</v>
      </c>
      <c r="AD46" s="917">
        <f t="shared" si="16"/>
        <v>2479.1999999999998</v>
      </c>
      <c r="AE46" s="918">
        <f t="shared" si="17"/>
        <v>0</v>
      </c>
      <c r="AF46" s="919"/>
      <c r="AG46" s="917">
        <f t="shared" si="18"/>
        <v>0</v>
      </c>
      <c r="AH46" s="918">
        <f t="shared" si="19"/>
        <v>0</v>
      </c>
      <c r="AI46" s="919"/>
      <c r="AJ46" s="917">
        <f t="shared" si="20"/>
        <v>0</v>
      </c>
      <c r="AK46" s="918">
        <f t="shared" si="21"/>
        <v>0</v>
      </c>
      <c r="AL46" s="919"/>
      <c r="AM46" s="917">
        <f t="shared" si="22"/>
        <v>0</v>
      </c>
      <c r="AN46" s="920">
        <v>19242</v>
      </c>
      <c r="AO46" s="917">
        <f t="shared" si="23"/>
        <v>0</v>
      </c>
      <c r="AP46" s="920"/>
      <c r="AQ46" s="916">
        <f t="shared" si="24"/>
        <v>0</v>
      </c>
      <c r="AR46" s="917">
        <f t="shared" si="25"/>
        <v>24874.639999999999</v>
      </c>
      <c r="AS46" s="916">
        <v>12</v>
      </c>
      <c r="AT46" s="921">
        <f t="shared" si="26"/>
        <v>298495.68</v>
      </c>
      <c r="AU46" s="920"/>
      <c r="AV46" s="922">
        <f t="shared" si="27"/>
        <v>2984.96</v>
      </c>
      <c r="AW46" s="921">
        <f t="shared" si="28"/>
        <v>301480.64</v>
      </c>
      <c r="AX46" s="921">
        <f t="shared" si="29"/>
        <v>91047.15</v>
      </c>
      <c r="AY46" s="921">
        <f t="shared" si="30"/>
        <v>392527.79</v>
      </c>
      <c r="AZ46" s="923">
        <f t="shared" si="31"/>
        <v>301.5</v>
      </c>
      <c r="BA46" s="923">
        <f t="shared" si="32"/>
        <v>91.1</v>
      </c>
      <c r="BB46" s="923">
        <f t="shared" si="33"/>
        <v>392.6</v>
      </c>
      <c r="BC46" s="915">
        <v>0.95</v>
      </c>
      <c r="BD46" s="923">
        <f t="shared" si="34"/>
        <v>286.39999999999998</v>
      </c>
      <c r="BE46" s="923">
        <f t="shared" si="35"/>
        <v>86.5</v>
      </c>
      <c r="BF46" s="923">
        <f t="shared" si="36"/>
        <v>372.9</v>
      </c>
      <c r="BG46" s="924">
        <f>'[3]свод (2024)'!$B$116</f>
        <v>0.99758349999999996</v>
      </c>
      <c r="BH46" s="923">
        <f t="shared" si="37"/>
        <v>285.7</v>
      </c>
      <c r="BI46" s="923">
        <f t="shared" si="38"/>
        <v>86.3</v>
      </c>
      <c r="BJ46" s="923">
        <f t="shared" si="39"/>
        <v>372</v>
      </c>
      <c r="BK46" s="925">
        <f t="shared" si="40"/>
        <v>-15.8</v>
      </c>
      <c r="BL46" s="925">
        <f t="shared" si="40"/>
        <v>-4.8</v>
      </c>
      <c r="BM46" s="925">
        <f t="shared" si="41"/>
        <v>-20.6</v>
      </c>
      <c r="BN46" s="925">
        <f t="shared" si="42"/>
        <v>0</v>
      </c>
      <c r="BO46" s="925">
        <f t="shared" si="43"/>
        <v>0</v>
      </c>
      <c r="BP46" s="926"/>
      <c r="BQ46" s="925">
        <f t="shared" si="44"/>
        <v>285.7</v>
      </c>
      <c r="BR46" s="925">
        <f t="shared" si="44"/>
        <v>86.3</v>
      </c>
      <c r="BS46" s="925">
        <f t="shared" si="45"/>
        <v>372</v>
      </c>
      <c r="BU46" s="928"/>
      <c r="BV46" s="917"/>
      <c r="BW46" s="928"/>
      <c r="BX46" s="928"/>
      <c r="BY46" s="928"/>
      <c r="BZ46" s="917"/>
      <c r="CA46" s="928"/>
      <c r="CB46" s="917"/>
      <c r="CC46" s="928"/>
      <c r="CD46" s="928"/>
      <c r="CE46" s="928"/>
      <c r="CF46" s="929"/>
      <c r="CG46" s="928"/>
      <c r="CH46" s="928"/>
      <c r="CI46" s="928"/>
      <c r="CJ46" s="925"/>
      <c r="CK46" s="925"/>
      <c r="CL46" s="925"/>
      <c r="CM46" s="925"/>
      <c r="CN46" s="925"/>
      <c r="CO46" s="925"/>
      <c r="CP46" s="925"/>
      <c r="CQ46" s="925"/>
      <c r="CR46" s="925"/>
      <c r="CS46" s="917"/>
      <c r="CT46" s="928"/>
      <c r="CU46" s="928"/>
      <c r="CV46" s="928"/>
      <c r="CX46" s="925"/>
      <c r="CY46" s="925"/>
      <c r="CZ46" s="925"/>
      <c r="DB46" s="925"/>
      <c r="DC46" s="925"/>
      <c r="DD46" s="925"/>
      <c r="DE46" s="925"/>
      <c r="DF46" s="925"/>
      <c r="DG46" s="925"/>
      <c r="DH46" s="925"/>
      <c r="DI46" s="925"/>
      <c r="DJ46" s="925"/>
      <c r="DK46" s="925"/>
      <c r="DL46" s="925"/>
      <c r="DM46" s="925"/>
      <c r="DN46" s="925"/>
      <c r="DO46" s="925"/>
      <c r="DP46" s="925"/>
      <c r="DQ46" s="924"/>
      <c r="DR46" s="925"/>
      <c r="DS46" s="925"/>
      <c r="DT46" s="925"/>
      <c r="DV46" s="925"/>
      <c r="DW46" s="925"/>
      <c r="DX46" s="925"/>
      <c r="DY46" s="925"/>
      <c r="DZ46" s="925"/>
      <c r="EA46" s="925"/>
      <c r="EB46" s="925"/>
      <c r="EC46" s="925"/>
      <c r="ED46" s="925"/>
      <c r="EE46" s="925"/>
      <c r="EF46" s="925"/>
      <c r="EG46" s="925"/>
      <c r="EH46" s="925"/>
      <c r="EI46" s="925"/>
      <c r="EJ46" s="925"/>
      <c r="EK46" s="925"/>
      <c r="EL46" s="925"/>
      <c r="EM46" s="925"/>
      <c r="EN46" s="925"/>
      <c r="EO46" s="925"/>
      <c r="EP46" s="925"/>
      <c r="EQ46" s="925"/>
      <c r="ER46" s="925"/>
      <c r="ES46" s="925"/>
      <c r="ET46" s="925"/>
      <c r="EV46" s="924"/>
      <c r="EW46" s="925"/>
      <c r="EX46" s="925"/>
      <c r="EY46" s="925"/>
    </row>
    <row r="47" spans="1:155" s="927" customFormat="1" ht="24" x14ac:dyDescent="0.25">
      <c r="A47" s="912" t="s">
        <v>359</v>
      </c>
      <c r="B47" s="913" t="s">
        <v>45</v>
      </c>
      <c r="C47" s="914">
        <v>2</v>
      </c>
      <c r="D47" s="914">
        <v>5767</v>
      </c>
      <c r="E47" s="915">
        <v>1.0549999999999999</v>
      </c>
      <c r="F47" s="916">
        <f t="shared" si="0"/>
        <v>6085</v>
      </c>
      <c r="G47" s="915">
        <v>1.01</v>
      </c>
      <c r="H47" s="916">
        <f t="shared" si="1"/>
        <v>6146</v>
      </c>
      <c r="I47" s="917">
        <f t="shared" si="2"/>
        <v>12292</v>
      </c>
      <c r="J47" s="918">
        <f t="shared" si="3"/>
        <v>0</v>
      </c>
      <c r="K47" s="919"/>
      <c r="L47" s="917">
        <f t="shared" si="4"/>
        <v>0</v>
      </c>
      <c r="M47" s="918">
        <f t="shared" si="5"/>
        <v>0</v>
      </c>
      <c r="N47" s="919"/>
      <c r="O47" s="917">
        <f t="shared" si="6"/>
        <v>0</v>
      </c>
      <c r="P47" s="918">
        <f t="shared" si="7"/>
        <v>0</v>
      </c>
      <c r="Q47" s="919"/>
      <c r="R47" s="917">
        <f t="shared" si="8"/>
        <v>0</v>
      </c>
      <c r="S47" s="918">
        <f t="shared" si="9"/>
        <v>0.5</v>
      </c>
      <c r="T47" s="919">
        <v>5767</v>
      </c>
      <c r="U47" s="917">
        <f t="shared" si="10"/>
        <v>6146</v>
      </c>
      <c r="V47" s="918">
        <f t="shared" si="11"/>
        <v>0</v>
      </c>
      <c r="W47" s="919"/>
      <c r="X47" s="917">
        <f t="shared" si="12"/>
        <v>0</v>
      </c>
      <c r="Y47" s="918">
        <f t="shared" si="13"/>
        <v>0</v>
      </c>
      <c r="Z47" s="919"/>
      <c r="AA47" s="917">
        <f t="shared" si="14"/>
        <v>0</v>
      </c>
      <c r="AB47" s="918">
        <f t="shared" si="15"/>
        <v>0</v>
      </c>
      <c r="AC47" s="919"/>
      <c r="AD47" s="917">
        <f t="shared" si="16"/>
        <v>0</v>
      </c>
      <c r="AE47" s="918">
        <f t="shared" si="17"/>
        <v>0</v>
      </c>
      <c r="AF47" s="919"/>
      <c r="AG47" s="917">
        <f t="shared" si="18"/>
        <v>0</v>
      </c>
      <c r="AH47" s="918">
        <f t="shared" si="19"/>
        <v>0</v>
      </c>
      <c r="AI47" s="919"/>
      <c r="AJ47" s="917">
        <f t="shared" si="20"/>
        <v>0</v>
      </c>
      <c r="AK47" s="918">
        <f t="shared" si="21"/>
        <v>0</v>
      </c>
      <c r="AL47" s="919"/>
      <c r="AM47" s="917">
        <f t="shared" si="22"/>
        <v>0</v>
      </c>
      <c r="AN47" s="920">
        <v>19242</v>
      </c>
      <c r="AO47" s="917">
        <f t="shared" si="23"/>
        <v>20046</v>
      </c>
      <c r="AP47" s="920"/>
      <c r="AQ47" s="916">
        <f t="shared" si="24"/>
        <v>0</v>
      </c>
      <c r="AR47" s="917">
        <f t="shared" si="25"/>
        <v>38484</v>
      </c>
      <c r="AS47" s="916">
        <v>12</v>
      </c>
      <c r="AT47" s="921">
        <f t="shared" si="26"/>
        <v>461808</v>
      </c>
      <c r="AU47" s="920"/>
      <c r="AV47" s="922">
        <f t="shared" si="27"/>
        <v>4618.08</v>
      </c>
      <c r="AW47" s="921">
        <f t="shared" si="28"/>
        <v>466426.08</v>
      </c>
      <c r="AX47" s="921">
        <f t="shared" si="29"/>
        <v>140860.68</v>
      </c>
      <c r="AY47" s="921">
        <f t="shared" si="30"/>
        <v>607286.76</v>
      </c>
      <c r="AZ47" s="923">
        <f t="shared" si="31"/>
        <v>466.4</v>
      </c>
      <c r="BA47" s="923">
        <f t="shared" si="32"/>
        <v>140.9</v>
      </c>
      <c r="BB47" s="923">
        <f t="shared" si="33"/>
        <v>607.29999999999995</v>
      </c>
      <c r="BC47" s="915">
        <v>0.95</v>
      </c>
      <c r="BD47" s="923">
        <f t="shared" si="34"/>
        <v>443.1</v>
      </c>
      <c r="BE47" s="923">
        <f t="shared" si="35"/>
        <v>133.80000000000001</v>
      </c>
      <c r="BF47" s="923">
        <f t="shared" si="36"/>
        <v>576.9</v>
      </c>
      <c r="BG47" s="924">
        <f>'[3]свод (2024)'!$B$116</f>
        <v>0.99758349999999996</v>
      </c>
      <c r="BH47" s="923">
        <f t="shared" si="37"/>
        <v>442</v>
      </c>
      <c r="BI47" s="923">
        <f t="shared" si="38"/>
        <v>133.5</v>
      </c>
      <c r="BJ47" s="923">
        <f t="shared" si="39"/>
        <v>575.5</v>
      </c>
      <c r="BK47" s="925">
        <f t="shared" si="40"/>
        <v>-24.4</v>
      </c>
      <c r="BL47" s="925">
        <f t="shared" si="40"/>
        <v>-7.4</v>
      </c>
      <c r="BM47" s="925">
        <f t="shared" si="41"/>
        <v>-31.8</v>
      </c>
      <c r="BN47" s="925">
        <f t="shared" si="42"/>
        <v>0</v>
      </c>
      <c r="BO47" s="925">
        <f t="shared" si="43"/>
        <v>0</v>
      </c>
      <c r="BP47" s="926"/>
      <c r="BQ47" s="925">
        <f t="shared" si="44"/>
        <v>442</v>
      </c>
      <c r="BR47" s="925">
        <f t="shared" si="44"/>
        <v>133.5</v>
      </c>
      <c r="BS47" s="925">
        <f t="shared" si="45"/>
        <v>575.5</v>
      </c>
      <c r="BU47" s="928"/>
      <c r="BV47" s="917"/>
      <c r="BW47" s="928"/>
      <c r="BX47" s="928"/>
      <c r="BY47" s="928"/>
      <c r="BZ47" s="917"/>
      <c r="CA47" s="928"/>
      <c r="CB47" s="917"/>
      <c r="CC47" s="928"/>
      <c r="CD47" s="928"/>
      <c r="CE47" s="928"/>
      <c r="CF47" s="929"/>
      <c r="CG47" s="928"/>
      <c r="CH47" s="928"/>
      <c r="CI47" s="928"/>
      <c r="CJ47" s="925"/>
      <c r="CK47" s="925"/>
      <c r="CL47" s="925"/>
      <c r="CM47" s="925"/>
      <c r="CN47" s="925"/>
      <c r="CO47" s="925"/>
      <c r="CP47" s="925"/>
      <c r="CQ47" s="925"/>
      <c r="CR47" s="925"/>
      <c r="CS47" s="917"/>
      <c r="CT47" s="928"/>
      <c r="CU47" s="928"/>
      <c r="CV47" s="928"/>
      <c r="CX47" s="925"/>
      <c r="CY47" s="925"/>
      <c r="CZ47" s="925"/>
      <c r="DB47" s="925"/>
      <c r="DC47" s="925"/>
      <c r="DD47" s="925"/>
      <c r="DE47" s="925"/>
      <c r="DF47" s="925"/>
      <c r="DG47" s="925"/>
      <c r="DH47" s="925"/>
      <c r="DI47" s="925"/>
      <c r="DJ47" s="925"/>
      <c r="DK47" s="925"/>
      <c r="DL47" s="925"/>
      <c r="DM47" s="925"/>
      <c r="DN47" s="925"/>
      <c r="DO47" s="925"/>
      <c r="DP47" s="925"/>
      <c r="DQ47" s="924"/>
      <c r="DR47" s="925"/>
      <c r="DS47" s="925"/>
      <c r="DT47" s="925"/>
      <c r="DV47" s="925"/>
      <c r="DW47" s="925"/>
      <c r="DX47" s="925"/>
      <c r="DY47" s="925"/>
      <c r="DZ47" s="925"/>
      <c r="EA47" s="925"/>
      <c r="EB47" s="925"/>
      <c r="EC47" s="925"/>
      <c r="ED47" s="925"/>
      <c r="EE47" s="925"/>
      <c r="EF47" s="925"/>
      <c r="EG47" s="925"/>
      <c r="EH47" s="925"/>
      <c r="EI47" s="925"/>
      <c r="EJ47" s="925"/>
      <c r="EK47" s="925"/>
      <c r="EL47" s="925"/>
      <c r="EM47" s="925"/>
      <c r="EN47" s="925"/>
      <c r="EO47" s="925"/>
      <c r="EP47" s="925"/>
      <c r="EQ47" s="925"/>
      <c r="ER47" s="925"/>
      <c r="ES47" s="925"/>
      <c r="ET47" s="925"/>
      <c r="EV47" s="924"/>
      <c r="EW47" s="925"/>
      <c r="EX47" s="925"/>
      <c r="EY47" s="925"/>
    </row>
    <row r="48" spans="1:155" s="927" customFormat="1" ht="15.75" x14ac:dyDescent="0.25">
      <c r="A48" s="931" t="s">
        <v>359</v>
      </c>
      <c r="B48" s="932"/>
      <c r="C48" s="933">
        <f>SUM(C12:C47)</f>
        <v>149.76</v>
      </c>
      <c r="D48" s="933">
        <f t="shared" ref="D48:BO48" si="47">SUM(D12:D47)</f>
        <v>369963</v>
      </c>
      <c r="E48" s="934">
        <f t="shared" si="47"/>
        <v>37.979999999999997</v>
      </c>
      <c r="F48" s="935">
        <f t="shared" si="47"/>
        <v>390331</v>
      </c>
      <c r="G48" s="934">
        <f t="shared" si="47"/>
        <v>36.36</v>
      </c>
      <c r="H48" s="935">
        <f t="shared" si="47"/>
        <v>394248</v>
      </c>
      <c r="I48" s="936">
        <f t="shared" si="47"/>
        <v>1750858.19</v>
      </c>
      <c r="J48" s="937">
        <f t="shared" si="47"/>
        <v>1.9635800000000001</v>
      </c>
      <c r="K48" s="938">
        <f t="shared" si="47"/>
        <v>306151.83</v>
      </c>
      <c r="L48" s="936">
        <f t="shared" si="47"/>
        <v>326249.33</v>
      </c>
      <c r="M48" s="937">
        <f t="shared" si="47"/>
        <v>0</v>
      </c>
      <c r="N48" s="938">
        <f t="shared" si="47"/>
        <v>0</v>
      </c>
      <c r="O48" s="936">
        <f t="shared" si="47"/>
        <v>0</v>
      </c>
      <c r="P48" s="937">
        <f t="shared" si="47"/>
        <v>0.33013999999999999</v>
      </c>
      <c r="Q48" s="938">
        <f t="shared" si="47"/>
        <v>12614.57</v>
      </c>
      <c r="R48" s="936">
        <f t="shared" si="47"/>
        <v>13439.64</v>
      </c>
      <c r="S48" s="937">
        <f t="shared" si="47"/>
        <v>4.7382499999999999</v>
      </c>
      <c r="T48" s="938">
        <f t="shared" si="47"/>
        <v>55049.95</v>
      </c>
      <c r="U48" s="936">
        <f t="shared" si="47"/>
        <v>58669.56</v>
      </c>
      <c r="V48" s="937">
        <f t="shared" si="47"/>
        <v>0</v>
      </c>
      <c r="W48" s="938">
        <f t="shared" si="47"/>
        <v>0</v>
      </c>
      <c r="X48" s="936">
        <f t="shared" si="47"/>
        <v>0</v>
      </c>
      <c r="Y48" s="937">
        <f t="shared" si="47"/>
        <v>23.7</v>
      </c>
      <c r="Z48" s="938">
        <f t="shared" si="47"/>
        <v>165987.76999999999</v>
      </c>
      <c r="AA48" s="936">
        <f t="shared" si="47"/>
        <v>176886.14</v>
      </c>
      <c r="AB48" s="937">
        <f t="shared" si="47"/>
        <v>6.4708300000000003</v>
      </c>
      <c r="AC48" s="938">
        <f t="shared" si="47"/>
        <v>303696.21999999997</v>
      </c>
      <c r="AD48" s="936">
        <f t="shared" si="47"/>
        <v>323625.93</v>
      </c>
      <c r="AE48" s="937">
        <f t="shared" si="47"/>
        <v>0.10603</v>
      </c>
      <c r="AF48" s="938">
        <f t="shared" si="47"/>
        <v>6303.36</v>
      </c>
      <c r="AG48" s="936">
        <f t="shared" si="47"/>
        <v>6715.58</v>
      </c>
      <c r="AH48" s="937">
        <f t="shared" si="47"/>
        <v>0</v>
      </c>
      <c r="AI48" s="938">
        <f t="shared" si="47"/>
        <v>0</v>
      </c>
      <c r="AJ48" s="936">
        <f t="shared" si="47"/>
        <v>0</v>
      </c>
      <c r="AK48" s="937">
        <f t="shared" si="47"/>
        <v>0</v>
      </c>
      <c r="AL48" s="938">
        <f t="shared" si="47"/>
        <v>0</v>
      </c>
      <c r="AM48" s="936">
        <f t="shared" si="47"/>
        <v>0</v>
      </c>
      <c r="AN48" s="933">
        <f t="shared" si="47"/>
        <v>692712</v>
      </c>
      <c r="AO48" s="936">
        <f t="shared" si="47"/>
        <v>482939.02</v>
      </c>
      <c r="AP48" s="933">
        <f t="shared" si="47"/>
        <v>1060.29</v>
      </c>
      <c r="AQ48" s="935">
        <f t="shared" si="47"/>
        <v>6361.74</v>
      </c>
      <c r="AR48" s="936">
        <f t="shared" si="47"/>
        <v>3145745.13</v>
      </c>
      <c r="AS48" s="935">
        <f t="shared" si="47"/>
        <v>432</v>
      </c>
      <c r="AT48" s="939">
        <f t="shared" si="47"/>
        <v>37748941.560000002</v>
      </c>
      <c r="AU48" s="933">
        <f t="shared" si="47"/>
        <v>462813</v>
      </c>
      <c r="AV48" s="940">
        <f t="shared" si="47"/>
        <v>377489.42</v>
      </c>
      <c r="AW48" s="939">
        <f t="shared" si="47"/>
        <v>38589243.979999997</v>
      </c>
      <c r="AX48" s="939">
        <f t="shared" si="47"/>
        <v>11653951.710000001</v>
      </c>
      <c r="AY48" s="939">
        <f t="shared" si="47"/>
        <v>50243195.689999998</v>
      </c>
      <c r="AZ48" s="941">
        <f t="shared" si="47"/>
        <v>38589.1</v>
      </c>
      <c r="BA48" s="941">
        <f t="shared" si="47"/>
        <v>11654.2</v>
      </c>
      <c r="BB48" s="941">
        <f t="shared" si="47"/>
        <v>50243.3</v>
      </c>
      <c r="BC48" s="934">
        <f t="shared" si="47"/>
        <v>34.200000000000003</v>
      </c>
      <c r="BD48" s="941">
        <f t="shared" si="47"/>
        <v>36659.800000000003</v>
      </c>
      <c r="BE48" s="941">
        <f t="shared" si="47"/>
        <v>11071.3</v>
      </c>
      <c r="BF48" s="941">
        <f t="shared" si="47"/>
        <v>47731.1</v>
      </c>
      <c r="BG48" s="942">
        <f>'[3]свод (2024)'!$B$116</f>
        <v>0.99758349999999996</v>
      </c>
      <c r="BH48" s="941">
        <f t="shared" si="47"/>
        <v>36526.400000000001</v>
      </c>
      <c r="BI48" s="941">
        <f t="shared" si="47"/>
        <v>11031</v>
      </c>
      <c r="BJ48" s="941">
        <f t="shared" si="47"/>
        <v>47557.4</v>
      </c>
      <c r="BK48" s="943">
        <f t="shared" si="47"/>
        <v>-2062.6999999999998</v>
      </c>
      <c r="BL48" s="943">
        <f t="shared" si="47"/>
        <v>-623.20000000000005</v>
      </c>
      <c r="BM48" s="943">
        <f t="shared" si="47"/>
        <v>-2685.9</v>
      </c>
      <c r="BN48" s="943">
        <f t="shared" si="47"/>
        <v>0</v>
      </c>
      <c r="BO48" s="943">
        <f t="shared" si="47"/>
        <v>0</v>
      </c>
      <c r="BP48" s="944">
        <f t="shared" ref="BP48:BS48" si="48">SUM(BP12:BP47)</f>
        <v>0</v>
      </c>
      <c r="BQ48" s="943">
        <f t="shared" si="48"/>
        <v>36526.400000000001</v>
      </c>
      <c r="BR48" s="943">
        <f t="shared" si="48"/>
        <v>11031</v>
      </c>
      <c r="BS48" s="943">
        <f t="shared" si="48"/>
        <v>47557.4</v>
      </c>
      <c r="BU48" s="945">
        <f>SUM(BU12:BU47)</f>
        <v>93.01</v>
      </c>
      <c r="BV48" s="946">
        <v>8.4</v>
      </c>
      <c r="BW48" s="947">
        <f t="shared" ref="BW48" si="49">BU48-BV48</f>
        <v>84.61</v>
      </c>
      <c r="BX48" s="945">
        <f>SUM(BX12:BX47)</f>
        <v>23070210.809999999</v>
      </c>
      <c r="BY48" s="947">
        <f>BX48/BU48*BW48</f>
        <v>20986673.870000001</v>
      </c>
      <c r="BZ48" s="946">
        <v>59.8</v>
      </c>
      <c r="CA48" s="947">
        <f t="shared" ref="CA48" si="50">BY48/BZ48/12</f>
        <v>29245.64</v>
      </c>
      <c r="CB48" s="946">
        <v>41718.199999999997</v>
      </c>
      <c r="CC48" s="947">
        <f t="shared" ref="CC48" si="51">(CB48-CA48)*BZ48*12</f>
        <v>8950309.0600000005</v>
      </c>
      <c r="CD48" s="947">
        <f t="shared" ref="CD48:CD79" si="52">CC48*0.302</f>
        <v>2702993.34</v>
      </c>
      <c r="CE48" s="947">
        <f t="shared" ref="CE48" si="53">CC48+CD48</f>
        <v>11653302.4</v>
      </c>
      <c r="CF48" s="948">
        <f>SUM(CF12:CF47)</f>
        <v>8950309.0700000003</v>
      </c>
      <c r="CG48" s="949">
        <f>ROUND(CC48/1000,1)</f>
        <v>8950.2999999999993</v>
      </c>
      <c r="CH48" s="949">
        <f>ROUND(CD48/1000,1)</f>
        <v>2703</v>
      </c>
      <c r="CI48" s="950">
        <f>CG48+CH48</f>
        <v>11653.3</v>
      </c>
      <c r="CJ48" s="951">
        <f>BQ48+CG48</f>
        <v>45476.7</v>
      </c>
      <c r="CK48" s="951">
        <f>BR48+CH48</f>
        <v>13734</v>
      </c>
      <c r="CL48" s="952">
        <f>CJ48+CK48</f>
        <v>59210.7</v>
      </c>
      <c r="CM48" s="951">
        <f>395.5/6*12</f>
        <v>791</v>
      </c>
      <c r="CN48" s="951">
        <f>CM48*0.302</f>
        <v>238.9</v>
      </c>
      <c r="CO48" s="952">
        <f>CM48+CN48</f>
        <v>1029.9000000000001</v>
      </c>
      <c r="CP48" s="951">
        <f>ROUND(CJ48-CM48,1)</f>
        <v>44685.7</v>
      </c>
      <c r="CQ48" s="951">
        <f>ROUND(CK48-CN48,1)</f>
        <v>13495.1</v>
      </c>
      <c r="CR48" s="952">
        <f>CP48+CQ48</f>
        <v>58180.800000000003</v>
      </c>
      <c r="CS48" s="946">
        <v>38663.800000000003</v>
      </c>
      <c r="CT48" s="953">
        <f>(CB48-CS48)*BZ48*12/1000</f>
        <v>2191.8000000000002</v>
      </c>
      <c r="CU48" s="953">
        <f>CT48*0.302</f>
        <v>661.9</v>
      </c>
      <c r="CV48" s="953">
        <f>CT48+CU48</f>
        <v>2853.7</v>
      </c>
      <c r="CX48" s="951">
        <f>(BY48+CC48)/1000-CM48</f>
        <v>29146</v>
      </c>
      <c r="CY48" s="951">
        <f>CX48*0.302</f>
        <v>8802.1</v>
      </c>
      <c r="CZ48" s="952">
        <f>CX48+CY48</f>
        <v>37948.1</v>
      </c>
      <c r="DB48" s="954"/>
      <c r="DC48" s="954"/>
      <c r="DD48" s="921"/>
      <c r="DE48" s="954"/>
      <c r="DF48" s="954"/>
      <c r="DG48" s="921"/>
      <c r="DH48" s="954"/>
      <c r="DI48" s="954"/>
      <c r="DJ48" s="921"/>
      <c r="DK48" s="954"/>
      <c r="DL48" s="954"/>
      <c r="DM48" s="921"/>
      <c r="DN48" s="954"/>
      <c r="DO48" s="954"/>
      <c r="DP48" s="921"/>
      <c r="DQ48" s="942">
        <f>$DQ$239</f>
        <v>0.978556019</v>
      </c>
      <c r="DR48" s="951">
        <f>ROUND(CP48*DQ48,1)</f>
        <v>43727.5</v>
      </c>
      <c r="DS48" s="951">
        <f>ROUND(CQ48*DQ48,1)</f>
        <v>13205.7</v>
      </c>
      <c r="DT48" s="952">
        <f>DR48+DS48</f>
        <v>56933.2</v>
      </c>
      <c r="DV48" s="921"/>
      <c r="DW48" s="921"/>
      <c r="DX48" s="921"/>
      <c r="DY48" s="921"/>
      <c r="DZ48" s="921"/>
      <c r="EA48" s="921"/>
      <c r="EB48" s="921"/>
      <c r="EC48" s="921"/>
      <c r="ED48" s="921"/>
      <c r="EE48" s="921"/>
      <c r="EF48" s="921"/>
      <c r="EG48" s="921"/>
      <c r="EH48" s="921"/>
      <c r="EI48" s="921"/>
      <c r="EJ48" s="921"/>
      <c r="EK48" s="921"/>
      <c r="EL48" s="921"/>
      <c r="EM48" s="921"/>
      <c r="EN48" s="921"/>
      <c r="EO48" s="921"/>
      <c r="EP48" s="921"/>
      <c r="EQ48" s="954"/>
      <c r="ER48" s="954"/>
      <c r="ES48" s="954"/>
      <c r="ET48" s="954"/>
      <c r="EV48" s="942">
        <f>EV239</f>
        <v>0.980787768</v>
      </c>
      <c r="EW48" s="951">
        <f>ROUND(CP48*EV48,1)</f>
        <v>43827.199999999997</v>
      </c>
      <c r="EX48" s="951">
        <f>ROUND(CQ48*EV48,1)</f>
        <v>13235.8</v>
      </c>
      <c r="EY48" s="952">
        <f>EW48+EX48</f>
        <v>57063</v>
      </c>
    </row>
    <row r="49" spans="1:155" s="927" customFormat="1" ht="15.75" x14ac:dyDescent="0.25">
      <c r="A49" s="931"/>
      <c r="B49" s="932" t="s">
        <v>406</v>
      </c>
      <c r="C49" s="981">
        <f>C31+C43</f>
        <v>71.819999999999993</v>
      </c>
      <c r="D49" s="938"/>
      <c r="E49" s="983"/>
      <c r="F49" s="936"/>
      <c r="G49" s="983"/>
      <c r="H49" s="984">
        <f>H31+H43</f>
        <v>27988</v>
      </c>
      <c r="I49" s="984">
        <f>I31+I43</f>
        <v>1005049.08</v>
      </c>
      <c r="J49" s="937"/>
      <c r="K49" s="938"/>
      <c r="L49" s="984">
        <f>L31+L43</f>
        <v>254762.31</v>
      </c>
      <c r="M49" s="937"/>
      <c r="N49" s="938"/>
      <c r="O49" s="984">
        <f>O31+O43</f>
        <v>0</v>
      </c>
      <c r="P49" s="937"/>
      <c r="Q49" s="938"/>
      <c r="R49" s="984">
        <f>R31+R43</f>
        <v>4531.54</v>
      </c>
      <c r="S49" s="937"/>
      <c r="T49" s="938"/>
      <c r="U49" s="984">
        <f>U31+U43</f>
        <v>0</v>
      </c>
      <c r="V49" s="937"/>
      <c r="W49" s="938"/>
      <c r="X49" s="984">
        <f>X31+X43</f>
        <v>0</v>
      </c>
      <c r="Y49" s="937"/>
      <c r="Z49" s="938"/>
      <c r="AA49" s="984">
        <f>AA31+AA43</f>
        <v>0</v>
      </c>
      <c r="AB49" s="937"/>
      <c r="AC49" s="938"/>
      <c r="AD49" s="984">
        <f>AD31+AD43</f>
        <v>203804.56</v>
      </c>
      <c r="AE49" s="937"/>
      <c r="AF49" s="938"/>
      <c r="AG49" s="984">
        <f>AG31+AG43</f>
        <v>5316.18</v>
      </c>
      <c r="AH49" s="937"/>
      <c r="AI49" s="938"/>
      <c r="AJ49" s="984">
        <f>AJ31+AJ43</f>
        <v>0</v>
      </c>
      <c r="AK49" s="937"/>
      <c r="AL49" s="938"/>
      <c r="AM49" s="984">
        <f>AM31+AM43</f>
        <v>0</v>
      </c>
      <c r="AN49" s="938"/>
      <c r="AO49" s="984">
        <f>AO31+AO43</f>
        <v>0</v>
      </c>
      <c r="AP49" s="938"/>
      <c r="AQ49" s="984">
        <f>AQ31+AQ43</f>
        <v>0</v>
      </c>
      <c r="AR49" s="984">
        <f>AR31+AR43</f>
        <v>1473463.67</v>
      </c>
      <c r="AS49" s="936"/>
      <c r="AT49" s="984">
        <f t="shared" ref="AT49:AW49" si="54">AT31+AT43</f>
        <v>17681564.039999999</v>
      </c>
      <c r="AU49" s="984">
        <f t="shared" si="54"/>
        <v>0</v>
      </c>
      <c r="AV49" s="984">
        <f t="shared" si="54"/>
        <v>176815.64</v>
      </c>
      <c r="AW49" s="984">
        <f t="shared" si="54"/>
        <v>17858379.68</v>
      </c>
      <c r="AX49" s="939"/>
      <c r="AY49" s="939"/>
      <c r="AZ49" s="941"/>
      <c r="BA49" s="941"/>
      <c r="BB49" s="941"/>
      <c r="BC49" s="934"/>
      <c r="BD49" s="941"/>
      <c r="BE49" s="941"/>
      <c r="BF49" s="941"/>
      <c r="BG49" s="942"/>
      <c r="BH49" s="941"/>
      <c r="BI49" s="941"/>
      <c r="BJ49" s="941"/>
      <c r="BK49" s="943"/>
      <c r="BL49" s="943"/>
      <c r="BM49" s="943"/>
      <c r="BN49" s="943"/>
      <c r="BO49" s="943"/>
      <c r="BP49" s="944"/>
      <c r="BQ49" s="943"/>
      <c r="BR49" s="943"/>
      <c r="BS49" s="943"/>
      <c r="BU49" s="945"/>
      <c r="BV49" s="946"/>
      <c r="BW49" s="947"/>
      <c r="BX49" s="945"/>
      <c r="BY49" s="947"/>
      <c r="BZ49" s="946"/>
      <c r="CA49" s="947"/>
      <c r="CB49" s="946"/>
      <c r="CC49" s="947"/>
      <c r="CD49" s="947"/>
      <c r="CE49" s="947"/>
      <c r="CF49" s="948"/>
      <c r="CG49" s="949"/>
      <c r="CH49" s="949"/>
      <c r="CI49" s="950"/>
      <c r="CJ49" s="951"/>
      <c r="CK49" s="951"/>
      <c r="CL49" s="952"/>
      <c r="CM49" s="951"/>
      <c r="CN49" s="951"/>
      <c r="CO49" s="952"/>
      <c r="CP49" s="951"/>
      <c r="CQ49" s="951"/>
      <c r="CR49" s="952"/>
      <c r="CS49" s="946"/>
      <c r="CT49" s="953"/>
      <c r="CU49" s="953"/>
      <c r="CV49" s="953"/>
      <c r="CX49" s="951"/>
      <c r="CY49" s="951"/>
      <c r="CZ49" s="952"/>
      <c r="DB49" s="954"/>
      <c r="DC49" s="954"/>
      <c r="DD49" s="921"/>
      <c r="DE49" s="954"/>
      <c r="DF49" s="954"/>
      <c r="DG49" s="921"/>
      <c r="DH49" s="954"/>
      <c r="DI49" s="954"/>
      <c r="DJ49" s="921"/>
      <c r="DK49" s="954"/>
      <c r="DL49" s="954"/>
      <c r="DM49" s="921"/>
      <c r="DN49" s="954"/>
      <c r="DO49" s="954"/>
      <c r="DP49" s="921"/>
      <c r="DQ49" s="942"/>
      <c r="DR49" s="951"/>
      <c r="DS49" s="951"/>
      <c r="DT49" s="952"/>
      <c r="DV49" s="921"/>
      <c r="DW49" s="921"/>
      <c r="DX49" s="921"/>
      <c r="DY49" s="921"/>
      <c r="DZ49" s="921"/>
      <c r="EA49" s="921"/>
      <c r="EB49" s="921"/>
      <c r="EC49" s="921"/>
      <c r="ED49" s="921"/>
      <c r="EE49" s="921"/>
      <c r="EF49" s="921"/>
      <c r="EG49" s="921"/>
      <c r="EH49" s="921"/>
      <c r="EI49" s="921"/>
      <c r="EJ49" s="921"/>
      <c r="EK49" s="921"/>
      <c r="EL49" s="921"/>
      <c r="EM49" s="921"/>
      <c r="EN49" s="921"/>
      <c r="EO49" s="921"/>
      <c r="EP49" s="921"/>
      <c r="EQ49" s="954"/>
      <c r="ER49" s="954"/>
      <c r="ES49" s="954"/>
      <c r="ET49" s="954"/>
      <c r="EV49" s="942"/>
      <c r="EW49" s="951"/>
      <c r="EX49" s="951"/>
      <c r="EY49" s="952"/>
    </row>
    <row r="50" spans="1:155" s="927" customFormat="1" ht="15.75" x14ac:dyDescent="0.25">
      <c r="A50" s="931"/>
      <c r="B50" s="932" t="s">
        <v>403</v>
      </c>
      <c r="C50" s="981">
        <f>C26+C27+C29+C32+C33+C39</f>
        <v>21.19</v>
      </c>
      <c r="D50" s="938"/>
      <c r="E50" s="983"/>
      <c r="F50" s="936"/>
      <c r="G50" s="983"/>
      <c r="H50" s="984">
        <f>H26+H27+H29+H32+H33+H39</f>
        <v>85328</v>
      </c>
      <c r="I50" s="984">
        <f>I26+I27+I29+I32+I33+I39</f>
        <v>299942.86</v>
      </c>
      <c r="J50" s="937"/>
      <c r="K50" s="938"/>
      <c r="L50" s="984">
        <f>L26+L27+L29+L32+L33+L39</f>
        <v>71487.02</v>
      </c>
      <c r="M50" s="937"/>
      <c r="N50" s="938"/>
      <c r="O50" s="984">
        <f>O26+O27+O29+O32+O33+O39</f>
        <v>0</v>
      </c>
      <c r="P50" s="937"/>
      <c r="Q50" s="938"/>
      <c r="R50" s="984">
        <f>R26+R27+R29+R32+R33+R39</f>
        <v>0</v>
      </c>
      <c r="S50" s="937"/>
      <c r="T50" s="938"/>
      <c r="U50" s="984">
        <f>U26+U27+U29+U32+U33+U39</f>
        <v>0</v>
      </c>
      <c r="V50" s="937"/>
      <c r="W50" s="938"/>
      <c r="X50" s="984">
        <f>X26+X27+X29+X32+X33+X39</f>
        <v>0</v>
      </c>
      <c r="Y50" s="937"/>
      <c r="Z50" s="938"/>
      <c r="AA50" s="984">
        <f>AA26+AA27+AA29+AA32+AA33+AA39</f>
        <v>0</v>
      </c>
      <c r="AB50" s="937"/>
      <c r="AC50" s="938"/>
      <c r="AD50" s="984">
        <f>AD26+AD27+AD29+AD32+AD33+AD39</f>
        <v>57189.79</v>
      </c>
      <c r="AE50" s="937"/>
      <c r="AF50" s="938"/>
      <c r="AG50" s="984">
        <f>AG26+AG27+AG29+AG32+AG33+AG39</f>
        <v>1399.4</v>
      </c>
      <c r="AH50" s="937"/>
      <c r="AI50" s="938"/>
      <c r="AJ50" s="984">
        <f>AJ26+AJ27+AJ29+AJ32+AJ33+AJ39</f>
        <v>0</v>
      </c>
      <c r="AK50" s="937"/>
      <c r="AL50" s="938"/>
      <c r="AM50" s="984">
        <f>AM26+AM27+AM29+AM32+AM33+AM39</f>
        <v>0</v>
      </c>
      <c r="AN50" s="938"/>
      <c r="AO50" s="984">
        <f>AO26+AO27+AO29+AO32+AO33+AO39</f>
        <v>0</v>
      </c>
      <c r="AP50" s="938"/>
      <c r="AQ50" s="984">
        <f>AQ26+AQ27+AQ29+AQ32+AQ33+AQ39</f>
        <v>0</v>
      </c>
      <c r="AR50" s="984">
        <f>AR26+AR27+AR29+AR32+AR33+AR39</f>
        <v>430019.07</v>
      </c>
      <c r="AS50" s="936"/>
      <c r="AT50" s="984">
        <f t="shared" ref="AT50:AW50" si="55">AT26+AT27+AT29+AT32+AT33+AT39</f>
        <v>5160228.84</v>
      </c>
      <c r="AU50" s="984">
        <f t="shared" si="55"/>
        <v>0</v>
      </c>
      <c r="AV50" s="984">
        <f t="shared" si="55"/>
        <v>51602.29</v>
      </c>
      <c r="AW50" s="984">
        <f t="shared" si="55"/>
        <v>5211831.13</v>
      </c>
      <c r="AX50" s="939"/>
      <c r="AY50" s="939"/>
      <c r="AZ50" s="941"/>
      <c r="BA50" s="941"/>
      <c r="BB50" s="941"/>
      <c r="BC50" s="934"/>
      <c r="BD50" s="941"/>
      <c r="BE50" s="941"/>
      <c r="BF50" s="941"/>
      <c r="BG50" s="942"/>
      <c r="BH50" s="941"/>
      <c r="BI50" s="941"/>
      <c r="BJ50" s="941"/>
      <c r="BK50" s="943"/>
      <c r="BL50" s="943"/>
      <c r="BM50" s="943"/>
      <c r="BN50" s="943"/>
      <c r="BO50" s="943"/>
      <c r="BP50" s="944"/>
      <c r="BQ50" s="943"/>
      <c r="BR50" s="943"/>
      <c r="BS50" s="943"/>
      <c r="BU50" s="945"/>
      <c r="BV50" s="946"/>
      <c r="BW50" s="947"/>
      <c r="BX50" s="945"/>
      <c r="BY50" s="947"/>
      <c r="BZ50" s="946"/>
      <c r="CA50" s="947"/>
      <c r="CB50" s="946"/>
      <c r="CC50" s="947"/>
      <c r="CD50" s="947"/>
      <c r="CE50" s="947"/>
      <c r="CF50" s="948"/>
      <c r="CG50" s="949"/>
      <c r="CH50" s="949"/>
      <c r="CI50" s="950"/>
      <c r="CJ50" s="951"/>
      <c r="CK50" s="951"/>
      <c r="CL50" s="952"/>
      <c r="CM50" s="951"/>
      <c r="CN50" s="951"/>
      <c r="CO50" s="952"/>
      <c r="CP50" s="951"/>
      <c r="CQ50" s="951"/>
      <c r="CR50" s="952"/>
      <c r="CS50" s="946"/>
      <c r="CT50" s="953"/>
      <c r="CU50" s="953"/>
      <c r="CV50" s="953"/>
      <c r="CX50" s="951"/>
      <c r="CY50" s="951"/>
      <c r="CZ50" s="952"/>
      <c r="DB50" s="954"/>
      <c r="DC50" s="954"/>
      <c r="DD50" s="921"/>
      <c r="DE50" s="954"/>
      <c r="DF50" s="954"/>
      <c r="DG50" s="921"/>
      <c r="DH50" s="954"/>
      <c r="DI50" s="954"/>
      <c r="DJ50" s="921"/>
      <c r="DK50" s="954"/>
      <c r="DL50" s="954"/>
      <c r="DM50" s="921"/>
      <c r="DN50" s="954"/>
      <c r="DO50" s="954"/>
      <c r="DP50" s="921"/>
      <c r="DQ50" s="942"/>
      <c r="DR50" s="951"/>
      <c r="DS50" s="951"/>
      <c r="DT50" s="952"/>
      <c r="DV50" s="921"/>
      <c r="DW50" s="921"/>
      <c r="DX50" s="921"/>
      <c r="DY50" s="921"/>
      <c r="DZ50" s="921"/>
      <c r="EA50" s="921"/>
      <c r="EB50" s="921"/>
      <c r="EC50" s="921"/>
      <c r="ED50" s="921"/>
      <c r="EE50" s="921"/>
      <c r="EF50" s="921"/>
      <c r="EG50" s="921"/>
      <c r="EH50" s="921"/>
      <c r="EI50" s="921"/>
      <c r="EJ50" s="921"/>
      <c r="EK50" s="921"/>
      <c r="EL50" s="921"/>
      <c r="EM50" s="921"/>
      <c r="EN50" s="921"/>
      <c r="EO50" s="921"/>
      <c r="EP50" s="921"/>
      <c r="EQ50" s="954"/>
      <c r="ER50" s="954"/>
      <c r="ES50" s="954"/>
      <c r="ET50" s="954"/>
      <c r="EV50" s="942"/>
      <c r="EW50" s="951"/>
      <c r="EX50" s="951"/>
      <c r="EY50" s="952"/>
    </row>
    <row r="51" spans="1:155" s="927" customFormat="1" ht="15.75" x14ac:dyDescent="0.25">
      <c r="A51" s="931"/>
      <c r="B51" s="932" t="s">
        <v>404</v>
      </c>
      <c r="C51" s="981">
        <f>C12+C13+C15+C14+C16+C17+C18+C19+C20+C21+C22+C23+C24+C25+C28+C30+C35+C36+C37+C40+C41+C44+C45+C46</f>
        <v>42.75</v>
      </c>
      <c r="D51" s="938"/>
      <c r="E51" s="983"/>
      <c r="F51" s="936"/>
      <c r="G51" s="983"/>
      <c r="H51" s="984">
        <f>H12+H13+H15+H14+H16+H17+H18+H19+H20+H21+H22+H23+H24+H25+H28+H30+H35+H36+H37+H40+H41+H44+H45+H46</f>
        <v>260385</v>
      </c>
      <c r="I51" s="984">
        <f>I12+I13+I15+I14+I16+I17+I18+I19+I20+I21+I22+I23+I24+I25+I28+I30+I35+I36+I37+I40+I41+I44+I45+I46</f>
        <v>376508.25</v>
      </c>
      <c r="J51" s="937"/>
      <c r="K51" s="938"/>
      <c r="L51" s="984">
        <f>L12+L13+L15+L14+L16+L17+L18+L19+L20+L21+L22+L23+L24+L25+L28+L30+L35+L36+L37+L40+L41+L44+L45+L46</f>
        <v>0</v>
      </c>
      <c r="M51" s="937"/>
      <c r="N51" s="938"/>
      <c r="O51" s="984">
        <f>O12+O13+O15+O14+O16+O17+O18+O19+O20+O21+O22+O23+O24+O25+O28+O30+O35+O36+O37+O40+O41+O44+O45+O46</f>
        <v>0</v>
      </c>
      <c r="P51" s="937"/>
      <c r="Q51" s="938"/>
      <c r="R51" s="984">
        <f>R12+R13+R15+R14+R16+R17+R18+R19+R20+R21+R22+R23+R24+R25+R28+R30+R35+R36+R37+R40+R41+R44+R45+R46</f>
        <v>8908.1</v>
      </c>
      <c r="S51" s="937"/>
      <c r="T51" s="938"/>
      <c r="U51" s="984">
        <f>U12+U13+U15+U14+U16+U17+U18+U19+U20+U21+U22+U23+U24+U25+U28+U30+U35+U36+U37+U40+U41+U44+U45+U46</f>
        <v>26300.97</v>
      </c>
      <c r="V51" s="937"/>
      <c r="W51" s="938"/>
      <c r="X51" s="984">
        <f>X12+X13+X15+X14+X16+X17+X18+X19+X20+X21+X22+X23+X24+X25+X28+X30+X35+X36+X37+X40+X41+X44+X45+X46</f>
        <v>0</v>
      </c>
      <c r="Y51" s="937"/>
      <c r="Z51" s="938"/>
      <c r="AA51" s="984">
        <f>AA12+AA13+AA15+AA14+AA16+AA17+AA18+AA19+AA20+AA21+AA22+AA23+AA24+AA25+AA28+AA30+AA35+AA36+AA37+AA40+AA41+AA44+AA45+AA46</f>
        <v>176886.14</v>
      </c>
      <c r="AB51" s="937"/>
      <c r="AC51" s="938"/>
      <c r="AD51" s="984">
        <f>AD12+AD13+AD15+AD14+AD16+AD17+AD18+AD19+AD20+AD21+AD22+AD23+AD24+AD25+AD28+AD30+AD35+AD36+AD37+AD40+AD41+AD44+AD45+AD46</f>
        <v>62631.58</v>
      </c>
      <c r="AE51" s="937"/>
      <c r="AF51" s="938"/>
      <c r="AG51" s="984">
        <f>AG12+AG13+AG15+AG14+AG16+AG17+AG18+AG19+AG20+AG21+AG22+AG23+AG24+AG25+AG28+AG30+AG35+AG36+AG37+AG40+AG41+AG44+AG45+AG46</f>
        <v>0</v>
      </c>
      <c r="AH51" s="937"/>
      <c r="AI51" s="938"/>
      <c r="AJ51" s="984">
        <f>AJ12+AJ13+AJ15+AJ14+AJ16+AJ17+AJ18+AJ19+AJ20+AJ21+AJ22+AJ23+AJ24+AJ25+AJ28+AJ30+AJ35+AJ36+AJ37+AJ40+AJ41+AJ44+AJ45+AJ46</f>
        <v>0</v>
      </c>
      <c r="AK51" s="937"/>
      <c r="AL51" s="938"/>
      <c r="AM51" s="984">
        <f>AM12+AM13+AM15+AM14+AM16+AM17+AM18+AM19+AM20+AM21+AM22+AM23+AM24+AM25+AM28+AM30+AM35+AM36+AM37+AM40+AM41+AM44+AM45+AM46</f>
        <v>0</v>
      </c>
      <c r="AN51" s="938"/>
      <c r="AO51" s="984">
        <f>AO12+AO13+AO15+AO14+AO16+AO17+AO18+AO19+AO20+AO21+AO22+AO23+AO24+AO25+AO28+AO30+AO35+AO36+AO37+AO40+AO41+AO44+AO45+AO46</f>
        <v>315277.61</v>
      </c>
      <c r="AP51" s="938"/>
      <c r="AQ51" s="984">
        <f>AQ12+AQ13+AQ15+AQ14+AQ16+AQ17+AQ18+AQ19+AQ20+AQ21+AQ22+AQ23+AQ24+AQ25+AQ28+AQ30+AQ35+AQ36+AQ37+AQ40+AQ41+AQ44+AQ45+AQ46</f>
        <v>0</v>
      </c>
      <c r="AR51" s="984">
        <f>AR12+AR13+AR15+AR14+AR16+AR17+AR18+AR19+AR20+AR21+AR22+AR23+AR24+AR25+AR28+AR30+AR35+AR36+AR37+AR40+AR41+AR44+AR45+AR46</f>
        <v>966512.65</v>
      </c>
      <c r="AS51" s="936"/>
      <c r="AT51" s="984">
        <f t="shared" ref="AT51:AW51" si="56">AT12+AT13+AT15+AT14+AT16+AT17+AT18+AT19+AT20+AT21+AT22+AT23+AT24+AT25+AT28+AT30+AT35+AT36+AT37+AT40+AT41+AT44+AT45+AT46</f>
        <v>11598151.800000001</v>
      </c>
      <c r="AU51" s="984">
        <f t="shared" si="56"/>
        <v>338562.99</v>
      </c>
      <c r="AV51" s="984">
        <f t="shared" si="56"/>
        <v>115981.52</v>
      </c>
      <c r="AW51" s="984">
        <f t="shared" si="56"/>
        <v>12052696.310000001</v>
      </c>
      <c r="AX51" s="939"/>
      <c r="AY51" s="939"/>
      <c r="AZ51" s="941"/>
      <c r="BA51" s="941"/>
      <c r="BB51" s="941"/>
      <c r="BC51" s="934"/>
      <c r="BD51" s="941"/>
      <c r="BE51" s="941"/>
      <c r="BF51" s="941"/>
      <c r="BG51" s="942"/>
      <c r="BH51" s="941"/>
      <c r="BI51" s="941"/>
      <c r="BJ51" s="941"/>
      <c r="BK51" s="943"/>
      <c r="BL51" s="943"/>
      <c r="BM51" s="943"/>
      <c r="BN51" s="943"/>
      <c r="BO51" s="943"/>
      <c r="BP51" s="944"/>
      <c r="BQ51" s="943"/>
      <c r="BR51" s="943"/>
      <c r="BS51" s="943"/>
      <c r="BU51" s="945"/>
      <c r="BV51" s="946"/>
      <c r="BW51" s="947"/>
      <c r="BX51" s="945"/>
      <c r="BY51" s="947"/>
      <c r="BZ51" s="946"/>
      <c r="CA51" s="947"/>
      <c r="CB51" s="946"/>
      <c r="CC51" s="947"/>
      <c r="CD51" s="947"/>
      <c r="CE51" s="947"/>
      <c r="CF51" s="948"/>
      <c r="CG51" s="949"/>
      <c r="CH51" s="949"/>
      <c r="CI51" s="950"/>
      <c r="CJ51" s="951"/>
      <c r="CK51" s="951"/>
      <c r="CL51" s="952"/>
      <c r="CM51" s="951"/>
      <c r="CN51" s="951"/>
      <c r="CO51" s="952"/>
      <c r="CP51" s="951"/>
      <c r="CQ51" s="951"/>
      <c r="CR51" s="952"/>
      <c r="CS51" s="946"/>
      <c r="CT51" s="953"/>
      <c r="CU51" s="953"/>
      <c r="CV51" s="953"/>
      <c r="CX51" s="951"/>
      <c r="CY51" s="951"/>
      <c r="CZ51" s="952"/>
      <c r="DB51" s="954"/>
      <c r="DC51" s="954"/>
      <c r="DD51" s="921"/>
      <c r="DE51" s="954"/>
      <c r="DF51" s="954"/>
      <c r="DG51" s="921"/>
      <c r="DH51" s="954"/>
      <c r="DI51" s="954"/>
      <c r="DJ51" s="921"/>
      <c r="DK51" s="954"/>
      <c r="DL51" s="954"/>
      <c r="DM51" s="921"/>
      <c r="DN51" s="954"/>
      <c r="DO51" s="954"/>
      <c r="DP51" s="921"/>
      <c r="DQ51" s="942"/>
      <c r="DR51" s="951"/>
      <c r="DS51" s="951"/>
      <c r="DT51" s="952"/>
      <c r="DV51" s="921"/>
      <c r="DW51" s="921"/>
      <c r="DX51" s="921"/>
      <c r="DY51" s="921"/>
      <c r="DZ51" s="921"/>
      <c r="EA51" s="921"/>
      <c r="EB51" s="921"/>
      <c r="EC51" s="921"/>
      <c r="ED51" s="921"/>
      <c r="EE51" s="921"/>
      <c r="EF51" s="921"/>
      <c r="EG51" s="921"/>
      <c r="EH51" s="921"/>
      <c r="EI51" s="921"/>
      <c r="EJ51" s="921"/>
      <c r="EK51" s="921"/>
      <c r="EL51" s="921"/>
      <c r="EM51" s="921"/>
      <c r="EN51" s="921"/>
      <c r="EO51" s="921"/>
      <c r="EP51" s="921"/>
      <c r="EQ51" s="954"/>
      <c r="ER51" s="954"/>
      <c r="ES51" s="954"/>
      <c r="ET51" s="954"/>
      <c r="EV51" s="942"/>
      <c r="EW51" s="951"/>
      <c r="EX51" s="951"/>
      <c r="EY51" s="952"/>
    </row>
    <row r="52" spans="1:155" s="927" customFormat="1" ht="15.75" x14ac:dyDescent="0.25">
      <c r="A52" s="931"/>
      <c r="B52" s="932" t="s">
        <v>405</v>
      </c>
      <c r="C52" s="981">
        <f>C34+C38+C42+C47</f>
        <v>14</v>
      </c>
      <c r="D52" s="938"/>
      <c r="E52" s="983"/>
      <c r="F52" s="936"/>
      <c r="G52" s="983"/>
      <c r="H52" s="984">
        <f>H34+H38+H42+H47</f>
        <v>20547</v>
      </c>
      <c r="I52" s="984">
        <f>I34+I38+I42+I47</f>
        <v>69358</v>
      </c>
      <c r="J52" s="937"/>
      <c r="K52" s="938"/>
      <c r="L52" s="984">
        <f>L34+L38+L42+L47</f>
        <v>0</v>
      </c>
      <c r="M52" s="937"/>
      <c r="N52" s="938"/>
      <c r="O52" s="984">
        <f>O34+O38+O42+O47</f>
        <v>0</v>
      </c>
      <c r="P52" s="937"/>
      <c r="Q52" s="938"/>
      <c r="R52" s="984">
        <f>R34+R38+R42+R47</f>
        <v>0</v>
      </c>
      <c r="S52" s="937"/>
      <c r="T52" s="938"/>
      <c r="U52" s="984">
        <f>U34+U38+U42+U47</f>
        <v>32368.59</v>
      </c>
      <c r="V52" s="937"/>
      <c r="W52" s="938"/>
      <c r="X52" s="984">
        <f>X34+X38+X42+X47</f>
        <v>0</v>
      </c>
      <c r="Y52" s="937"/>
      <c r="Z52" s="938"/>
      <c r="AA52" s="984">
        <f>AA34+AA38+AA42+AA47</f>
        <v>0</v>
      </c>
      <c r="AB52" s="937"/>
      <c r="AC52" s="938"/>
      <c r="AD52" s="984">
        <f>AD34+AD38+AD42+AD47</f>
        <v>0</v>
      </c>
      <c r="AE52" s="937"/>
      <c r="AF52" s="938"/>
      <c r="AG52" s="984">
        <f>AG34+AG38+AG42+AG47</f>
        <v>0</v>
      </c>
      <c r="AH52" s="937"/>
      <c r="AI52" s="938"/>
      <c r="AJ52" s="984">
        <f>AJ34+AJ38+AJ42+AJ47</f>
        <v>0</v>
      </c>
      <c r="AK52" s="937"/>
      <c r="AL52" s="938"/>
      <c r="AM52" s="984">
        <f>AM34+AM38+AM42+AM47</f>
        <v>0</v>
      </c>
      <c r="AN52" s="938"/>
      <c r="AO52" s="984">
        <f>AO34+AO38+AO42+AO47</f>
        <v>167661.41</v>
      </c>
      <c r="AP52" s="938"/>
      <c r="AQ52" s="984">
        <f>AQ34+AQ38+AQ42+AQ47</f>
        <v>6361.74</v>
      </c>
      <c r="AR52" s="984">
        <f>AR34+AR38+AR42+AR47</f>
        <v>275749.74</v>
      </c>
      <c r="AS52" s="936"/>
      <c r="AT52" s="984">
        <f t="shared" ref="AT52:AW52" si="57">AT34+AT38+AT42+AT47</f>
        <v>3308996.88</v>
      </c>
      <c r="AU52" s="984">
        <f t="shared" si="57"/>
        <v>124250.01</v>
      </c>
      <c r="AV52" s="984">
        <f t="shared" si="57"/>
        <v>33089.97</v>
      </c>
      <c r="AW52" s="984">
        <f t="shared" si="57"/>
        <v>3466336.86</v>
      </c>
      <c r="AX52" s="939"/>
      <c r="AY52" s="939"/>
      <c r="AZ52" s="941"/>
      <c r="BA52" s="941"/>
      <c r="BB52" s="941"/>
      <c r="BC52" s="934"/>
      <c r="BD52" s="941"/>
      <c r="BE52" s="941"/>
      <c r="BF52" s="941"/>
      <c r="BG52" s="942"/>
      <c r="BH52" s="941"/>
      <c r="BI52" s="941"/>
      <c r="BJ52" s="941"/>
      <c r="BK52" s="943"/>
      <c r="BL52" s="943"/>
      <c r="BM52" s="943"/>
      <c r="BN52" s="943"/>
      <c r="BO52" s="943"/>
      <c r="BP52" s="944"/>
      <c r="BQ52" s="943"/>
      <c r="BR52" s="943"/>
      <c r="BS52" s="943"/>
      <c r="BU52" s="945"/>
      <c r="BV52" s="946"/>
      <c r="BW52" s="947"/>
      <c r="BX52" s="945"/>
      <c r="BY52" s="947"/>
      <c r="BZ52" s="946"/>
      <c r="CA52" s="947"/>
      <c r="CB52" s="946"/>
      <c r="CC52" s="947"/>
      <c r="CD52" s="947"/>
      <c r="CE52" s="947"/>
      <c r="CF52" s="948"/>
      <c r="CG52" s="949"/>
      <c r="CH52" s="949"/>
      <c r="CI52" s="950"/>
      <c r="CJ52" s="951"/>
      <c r="CK52" s="951"/>
      <c r="CL52" s="952"/>
      <c r="CM52" s="951"/>
      <c r="CN52" s="951"/>
      <c r="CO52" s="952"/>
      <c r="CP52" s="951"/>
      <c r="CQ52" s="951"/>
      <c r="CR52" s="952"/>
      <c r="CS52" s="946"/>
      <c r="CT52" s="953"/>
      <c r="CU52" s="953"/>
      <c r="CV52" s="953"/>
      <c r="CX52" s="951"/>
      <c r="CY52" s="951"/>
      <c r="CZ52" s="952"/>
      <c r="DB52" s="954"/>
      <c r="DC52" s="954"/>
      <c r="DD52" s="921"/>
      <c r="DE52" s="954"/>
      <c r="DF52" s="954"/>
      <c r="DG52" s="921"/>
      <c r="DH52" s="954"/>
      <c r="DI52" s="954"/>
      <c r="DJ52" s="921"/>
      <c r="DK52" s="954"/>
      <c r="DL52" s="954"/>
      <c r="DM52" s="921"/>
      <c r="DN52" s="954"/>
      <c r="DO52" s="954"/>
      <c r="DP52" s="921"/>
      <c r="DQ52" s="942"/>
      <c r="DR52" s="951"/>
      <c r="DS52" s="951"/>
      <c r="DT52" s="952"/>
      <c r="DV52" s="921"/>
      <c r="DW52" s="921"/>
      <c r="DX52" s="921"/>
      <c r="DY52" s="921"/>
      <c r="DZ52" s="921"/>
      <c r="EA52" s="921"/>
      <c r="EB52" s="921"/>
      <c r="EC52" s="921"/>
      <c r="ED52" s="921"/>
      <c r="EE52" s="921"/>
      <c r="EF52" s="921"/>
      <c r="EG52" s="921"/>
      <c r="EH52" s="921"/>
      <c r="EI52" s="921"/>
      <c r="EJ52" s="921"/>
      <c r="EK52" s="921"/>
      <c r="EL52" s="921"/>
      <c r="EM52" s="921"/>
      <c r="EN52" s="921"/>
      <c r="EO52" s="921"/>
      <c r="EP52" s="921"/>
      <c r="EQ52" s="954"/>
      <c r="ER52" s="954"/>
      <c r="ES52" s="954"/>
      <c r="ET52" s="954"/>
      <c r="EV52" s="942"/>
      <c r="EW52" s="951"/>
      <c r="EX52" s="951"/>
      <c r="EY52" s="952"/>
    </row>
    <row r="53" spans="1:155" s="927" customFormat="1" ht="15.75" x14ac:dyDescent="0.25">
      <c r="A53" s="931"/>
      <c r="B53" s="932"/>
      <c r="C53" s="982">
        <f>C48-C49-C50-C51-C52</f>
        <v>0</v>
      </c>
      <c r="D53" s="938"/>
      <c r="E53" s="983"/>
      <c r="F53" s="936"/>
      <c r="G53" s="983"/>
      <c r="H53" s="985">
        <f>H48-H49-H50-H51-H52</f>
        <v>0</v>
      </c>
      <c r="I53" s="985">
        <f>I48-I49-I50-I51-I52</f>
        <v>0</v>
      </c>
      <c r="J53" s="937"/>
      <c r="K53" s="938"/>
      <c r="L53" s="985">
        <f>L48-L49-L50-L51-L52</f>
        <v>0</v>
      </c>
      <c r="M53" s="937"/>
      <c r="N53" s="938"/>
      <c r="O53" s="985">
        <f>O48-O49-O50-O51-O52</f>
        <v>0</v>
      </c>
      <c r="P53" s="937"/>
      <c r="Q53" s="938"/>
      <c r="R53" s="985">
        <f>R48-R49-R50-R51-R52</f>
        <v>0</v>
      </c>
      <c r="S53" s="937"/>
      <c r="T53" s="938"/>
      <c r="U53" s="985">
        <f>U48-U49-U50-U51-U52</f>
        <v>0</v>
      </c>
      <c r="V53" s="937"/>
      <c r="W53" s="938"/>
      <c r="X53" s="985">
        <f>X48-X49-X50-X51-X52</f>
        <v>0</v>
      </c>
      <c r="Y53" s="937"/>
      <c r="Z53" s="938"/>
      <c r="AA53" s="985">
        <f>AA48-AA49-AA50-AA51-AA52</f>
        <v>0</v>
      </c>
      <c r="AB53" s="937"/>
      <c r="AC53" s="938"/>
      <c r="AD53" s="985">
        <f>AD48-AD49-AD50-AD51-AD52</f>
        <v>0</v>
      </c>
      <c r="AE53" s="937"/>
      <c r="AF53" s="938"/>
      <c r="AG53" s="985">
        <f>AG48-AG49-AG50-AG51-AG52</f>
        <v>0</v>
      </c>
      <c r="AH53" s="937"/>
      <c r="AI53" s="938"/>
      <c r="AJ53" s="985">
        <f>AJ48-AJ49-AJ50-AJ51-AJ52</f>
        <v>0</v>
      </c>
      <c r="AK53" s="937"/>
      <c r="AL53" s="938"/>
      <c r="AM53" s="985">
        <f>AM48-AM49-AM50-AM51-AM52</f>
        <v>0</v>
      </c>
      <c r="AN53" s="938"/>
      <c r="AO53" s="985">
        <f>AO48-AO49-AO50-AO51-AO52</f>
        <v>0</v>
      </c>
      <c r="AP53" s="938"/>
      <c r="AQ53" s="985">
        <f>AQ48-AQ49-AQ50-AQ51-AQ52</f>
        <v>0</v>
      </c>
      <c r="AR53" s="985">
        <f>AR48-AR49-AR50-AR51-AR52</f>
        <v>0</v>
      </c>
      <c r="AS53" s="936"/>
      <c r="AT53" s="985">
        <f t="shared" ref="AT53:AW53" si="58">AT48-AT49-AT50-AT51-AT52</f>
        <v>0</v>
      </c>
      <c r="AU53" s="985">
        <f t="shared" si="58"/>
        <v>0</v>
      </c>
      <c r="AV53" s="985">
        <f t="shared" si="58"/>
        <v>0</v>
      </c>
      <c r="AW53" s="985">
        <f t="shared" si="58"/>
        <v>0</v>
      </c>
      <c r="AX53" s="939"/>
      <c r="AY53" s="939"/>
      <c r="AZ53" s="941"/>
      <c r="BA53" s="941"/>
      <c r="BB53" s="941"/>
      <c r="BC53" s="934"/>
      <c r="BD53" s="941"/>
      <c r="BE53" s="941"/>
      <c r="BF53" s="941"/>
      <c r="BG53" s="942"/>
      <c r="BH53" s="941"/>
      <c r="BI53" s="941"/>
      <c r="BJ53" s="941"/>
      <c r="BK53" s="943"/>
      <c r="BL53" s="943"/>
      <c r="BM53" s="943"/>
      <c r="BN53" s="943"/>
      <c r="BO53" s="943"/>
      <c r="BP53" s="944"/>
      <c r="BQ53" s="943"/>
      <c r="BR53" s="943"/>
      <c r="BS53" s="943"/>
      <c r="BU53" s="945"/>
      <c r="BV53" s="946"/>
      <c r="BW53" s="947"/>
      <c r="BX53" s="945"/>
      <c r="BY53" s="947"/>
      <c r="BZ53" s="946"/>
      <c r="CA53" s="947"/>
      <c r="CB53" s="946"/>
      <c r="CC53" s="947"/>
      <c r="CD53" s="947"/>
      <c r="CE53" s="947"/>
      <c r="CF53" s="948"/>
      <c r="CG53" s="949"/>
      <c r="CH53" s="949"/>
      <c r="CI53" s="950"/>
      <c r="CJ53" s="951"/>
      <c r="CK53" s="951"/>
      <c r="CL53" s="952"/>
      <c r="CM53" s="951"/>
      <c r="CN53" s="951"/>
      <c r="CO53" s="952"/>
      <c r="CP53" s="951"/>
      <c r="CQ53" s="951"/>
      <c r="CR53" s="952"/>
      <c r="CS53" s="946"/>
      <c r="CT53" s="953"/>
      <c r="CU53" s="953"/>
      <c r="CV53" s="953"/>
      <c r="CX53" s="951"/>
      <c r="CY53" s="951"/>
      <c r="CZ53" s="952"/>
      <c r="DB53" s="954"/>
      <c r="DC53" s="954"/>
      <c r="DD53" s="921"/>
      <c r="DE53" s="954"/>
      <c r="DF53" s="954"/>
      <c r="DG53" s="921"/>
      <c r="DH53" s="954"/>
      <c r="DI53" s="954"/>
      <c r="DJ53" s="921"/>
      <c r="DK53" s="954"/>
      <c r="DL53" s="954"/>
      <c r="DM53" s="921"/>
      <c r="DN53" s="954"/>
      <c r="DO53" s="954"/>
      <c r="DP53" s="921"/>
      <c r="DQ53" s="942"/>
      <c r="DR53" s="951"/>
      <c r="DS53" s="951"/>
      <c r="DT53" s="952"/>
      <c r="DV53" s="921"/>
      <c r="DW53" s="921"/>
      <c r="DX53" s="921"/>
      <c r="DY53" s="921"/>
      <c r="DZ53" s="921"/>
      <c r="EA53" s="921"/>
      <c r="EB53" s="921"/>
      <c r="EC53" s="921"/>
      <c r="ED53" s="921"/>
      <c r="EE53" s="921"/>
      <c r="EF53" s="921"/>
      <c r="EG53" s="921"/>
      <c r="EH53" s="921"/>
      <c r="EI53" s="921"/>
      <c r="EJ53" s="921"/>
      <c r="EK53" s="921"/>
      <c r="EL53" s="921"/>
      <c r="EM53" s="921"/>
      <c r="EN53" s="921"/>
      <c r="EO53" s="921"/>
      <c r="EP53" s="921"/>
      <c r="EQ53" s="954"/>
      <c r="ER53" s="954"/>
      <c r="ES53" s="954"/>
      <c r="ET53" s="954"/>
      <c r="EV53" s="942"/>
      <c r="EW53" s="951"/>
      <c r="EX53" s="951"/>
      <c r="EY53" s="952"/>
    </row>
    <row r="54" spans="1:155" s="927" customFormat="1" ht="15.75" x14ac:dyDescent="0.25">
      <c r="A54" s="931"/>
      <c r="B54" s="932" t="s">
        <v>806</v>
      </c>
      <c r="C54" s="933"/>
      <c r="D54" s="933"/>
      <c r="E54" s="934"/>
      <c r="F54" s="935"/>
      <c r="G54" s="934"/>
      <c r="H54" s="935"/>
      <c r="I54" s="936"/>
      <c r="J54" s="937"/>
      <c r="K54" s="938"/>
      <c r="L54" s="936"/>
      <c r="M54" s="937"/>
      <c r="N54" s="938"/>
      <c r="O54" s="936"/>
      <c r="P54" s="937"/>
      <c r="Q54" s="938"/>
      <c r="R54" s="936"/>
      <c r="S54" s="937"/>
      <c r="T54" s="938"/>
      <c r="U54" s="936"/>
      <c r="V54" s="937"/>
      <c r="W54" s="938"/>
      <c r="X54" s="936"/>
      <c r="Y54" s="937"/>
      <c r="Z54" s="938"/>
      <c r="AA54" s="936"/>
      <c r="AB54" s="937"/>
      <c r="AC54" s="938"/>
      <c r="AD54" s="936"/>
      <c r="AE54" s="937"/>
      <c r="AF54" s="938"/>
      <c r="AG54" s="936"/>
      <c r="AH54" s="937"/>
      <c r="AI54" s="938"/>
      <c r="AJ54" s="936"/>
      <c r="AK54" s="937"/>
      <c r="AL54" s="938"/>
      <c r="AM54" s="936"/>
      <c r="AN54" s="933"/>
      <c r="AO54" s="936"/>
      <c r="AP54" s="933"/>
      <c r="AQ54" s="935"/>
      <c r="AR54" s="936"/>
      <c r="AS54" s="935"/>
      <c r="AT54" s="939"/>
      <c r="AU54" s="933"/>
      <c r="AV54" s="940"/>
      <c r="AW54" s="389">
        <f>AW48/12-AO48</f>
        <v>2732831.31</v>
      </c>
      <c r="AX54" s="939"/>
      <c r="AY54" s="939"/>
      <c r="AZ54" s="941"/>
      <c r="BA54" s="941"/>
      <c r="BB54" s="941"/>
      <c r="BC54" s="934"/>
      <c r="BD54" s="941"/>
      <c r="BE54" s="941"/>
      <c r="BF54" s="941"/>
      <c r="BG54" s="942"/>
      <c r="BH54" s="941"/>
      <c r="BI54" s="941"/>
      <c r="BJ54" s="941"/>
      <c r="BK54" s="943"/>
      <c r="BL54" s="943"/>
      <c r="BM54" s="943"/>
      <c r="BN54" s="943"/>
      <c r="BO54" s="943"/>
      <c r="BP54" s="944"/>
      <c r="BQ54" s="943"/>
      <c r="BR54" s="943"/>
      <c r="BS54" s="943"/>
      <c r="BU54" s="945"/>
      <c r="BV54" s="946"/>
      <c r="BW54" s="947"/>
      <c r="BX54" s="945"/>
      <c r="BY54" s="947"/>
      <c r="BZ54" s="946"/>
      <c r="CA54" s="947"/>
      <c r="CB54" s="946"/>
      <c r="CC54" s="947"/>
      <c r="CD54" s="947"/>
      <c r="CE54" s="947"/>
      <c r="CF54" s="948"/>
      <c r="CG54" s="949"/>
      <c r="CH54" s="949"/>
      <c r="CI54" s="950"/>
      <c r="CJ54" s="951"/>
      <c r="CK54" s="951"/>
      <c r="CL54" s="952"/>
      <c r="CM54" s="951"/>
      <c r="CN54" s="951"/>
      <c r="CO54" s="952"/>
      <c r="CP54" s="951"/>
      <c r="CQ54" s="951"/>
      <c r="CR54" s="952"/>
      <c r="CS54" s="946"/>
      <c r="CT54" s="953"/>
      <c r="CU54" s="953"/>
      <c r="CV54" s="953"/>
      <c r="CX54" s="951"/>
      <c r="CY54" s="951"/>
      <c r="CZ54" s="952"/>
      <c r="DB54" s="954"/>
      <c r="DC54" s="954"/>
      <c r="DD54" s="921"/>
      <c r="DE54" s="954"/>
      <c r="DF54" s="954"/>
      <c r="DG54" s="921"/>
      <c r="DH54" s="954"/>
      <c r="DI54" s="954"/>
      <c r="DJ54" s="921"/>
      <c r="DK54" s="954"/>
      <c r="DL54" s="954"/>
      <c r="DM54" s="921"/>
      <c r="DN54" s="954"/>
      <c r="DO54" s="954"/>
      <c r="DP54" s="921"/>
      <c r="DQ54" s="942"/>
      <c r="DR54" s="951"/>
      <c r="DS54" s="951"/>
      <c r="DT54" s="952"/>
      <c r="DV54" s="921"/>
      <c r="DW54" s="921"/>
      <c r="DX54" s="921"/>
      <c r="DY54" s="921"/>
      <c r="DZ54" s="921"/>
      <c r="EA54" s="921"/>
      <c r="EB54" s="921"/>
      <c r="EC54" s="921"/>
      <c r="ED54" s="921"/>
      <c r="EE54" s="921"/>
      <c r="EF54" s="921"/>
      <c r="EG54" s="921"/>
      <c r="EH54" s="921"/>
      <c r="EI54" s="921"/>
      <c r="EJ54" s="921"/>
      <c r="EK54" s="921"/>
      <c r="EL54" s="921"/>
      <c r="EM54" s="921"/>
      <c r="EN54" s="921"/>
      <c r="EO54" s="921"/>
      <c r="EP54" s="921"/>
      <c r="EQ54" s="954"/>
      <c r="ER54" s="954"/>
      <c r="ES54" s="954"/>
      <c r="ET54" s="954"/>
      <c r="EV54" s="942"/>
      <c r="EW54" s="951"/>
      <c r="EX54" s="951"/>
      <c r="EY54" s="952"/>
    </row>
    <row r="55" spans="1:155" s="927" customFormat="1" ht="15.75" x14ac:dyDescent="0.25">
      <c r="A55" s="931"/>
      <c r="B55" s="932" t="s">
        <v>406</v>
      </c>
      <c r="C55" s="933"/>
      <c r="D55" s="933"/>
      <c r="E55" s="934"/>
      <c r="F55" s="935"/>
      <c r="G55" s="934"/>
      <c r="H55" s="935"/>
      <c r="I55" s="936"/>
      <c r="J55" s="937"/>
      <c r="K55" s="938"/>
      <c r="L55" s="936"/>
      <c r="M55" s="937"/>
      <c r="N55" s="938"/>
      <c r="O55" s="936"/>
      <c r="P55" s="937"/>
      <c r="Q55" s="938"/>
      <c r="R55" s="936"/>
      <c r="S55" s="937"/>
      <c r="T55" s="938"/>
      <c r="U55" s="936"/>
      <c r="V55" s="937"/>
      <c r="W55" s="938"/>
      <c r="X55" s="936"/>
      <c r="Y55" s="937"/>
      <c r="Z55" s="938"/>
      <c r="AA55" s="936"/>
      <c r="AB55" s="937"/>
      <c r="AC55" s="938"/>
      <c r="AD55" s="936"/>
      <c r="AE55" s="937"/>
      <c r="AF55" s="938"/>
      <c r="AG55" s="936"/>
      <c r="AH55" s="937"/>
      <c r="AI55" s="938"/>
      <c r="AJ55" s="936"/>
      <c r="AK55" s="937"/>
      <c r="AL55" s="938"/>
      <c r="AM55" s="936"/>
      <c r="AN55" s="933"/>
      <c r="AO55" s="936"/>
      <c r="AP55" s="933"/>
      <c r="AQ55" s="935"/>
      <c r="AR55" s="936"/>
      <c r="AS55" s="935"/>
      <c r="AT55" s="939"/>
      <c r="AU55" s="933"/>
      <c r="AV55" s="940"/>
      <c r="AW55" s="389">
        <f>AW49/12-AO49</f>
        <v>1488198.31</v>
      </c>
      <c r="AX55" s="939"/>
      <c r="AY55" s="939"/>
      <c r="AZ55" s="941"/>
      <c r="BA55" s="941"/>
      <c r="BB55" s="941"/>
      <c r="BC55" s="934"/>
      <c r="BD55" s="941"/>
      <c r="BE55" s="941"/>
      <c r="BF55" s="941"/>
      <c r="BG55" s="942"/>
      <c r="BH55" s="941"/>
      <c r="BI55" s="941"/>
      <c r="BJ55" s="941"/>
      <c r="BK55" s="943"/>
      <c r="BL55" s="943"/>
      <c r="BM55" s="943"/>
      <c r="BN55" s="943"/>
      <c r="BO55" s="943"/>
      <c r="BP55" s="944"/>
      <c r="BQ55" s="943"/>
      <c r="BR55" s="943"/>
      <c r="BS55" s="943"/>
      <c r="BU55" s="945"/>
      <c r="BV55" s="946"/>
      <c r="BW55" s="947"/>
      <c r="BX55" s="945"/>
      <c r="BY55" s="947"/>
      <c r="BZ55" s="946"/>
      <c r="CA55" s="947"/>
      <c r="CB55" s="946"/>
      <c r="CC55" s="947"/>
      <c r="CD55" s="947"/>
      <c r="CE55" s="947"/>
      <c r="CF55" s="948"/>
      <c r="CG55" s="949"/>
      <c r="CH55" s="949"/>
      <c r="CI55" s="950"/>
      <c r="CJ55" s="951"/>
      <c r="CK55" s="951"/>
      <c r="CL55" s="952"/>
      <c r="CM55" s="951"/>
      <c r="CN55" s="951"/>
      <c r="CO55" s="952"/>
      <c r="CP55" s="951"/>
      <c r="CQ55" s="951"/>
      <c r="CR55" s="952"/>
      <c r="CS55" s="946"/>
      <c r="CT55" s="953"/>
      <c r="CU55" s="953"/>
      <c r="CV55" s="953"/>
      <c r="CX55" s="951"/>
      <c r="CY55" s="951"/>
      <c r="CZ55" s="952"/>
      <c r="DB55" s="954"/>
      <c r="DC55" s="954"/>
      <c r="DD55" s="921"/>
      <c r="DE55" s="954"/>
      <c r="DF55" s="954"/>
      <c r="DG55" s="921"/>
      <c r="DH55" s="954"/>
      <c r="DI55" s="954"/>
      <c r="DJ55" s="921"/>
      <c r="DK55" s="954"/>
      <c r="DL55" s="954"/>
      <c r="DM55" s="921"/>
      <c r="DN55" s="954"/>
      <c r="DO55" s="954"/>
      <c r="DP55" s="921"/>
      <c r="DQ55" s="942"/>
      <c r="DR55" s="951"/>
      <c r="DS55" s="951"/>
      <c r="DT55" s="952"/>
      <c r="DV55" s="921"/>
      <c r="DW55" s="921"/>
      <c r="DX55" s="921"/>
      <c r="DY55" s="921"/>
      <c r="DZ55" s="921"/>
      <c r="EA55" s="921"/>
      <c r="EB55" s="921"/>
      <c r="EC55" s="921"/>
      <c r="ED55" s="921"/>
      <c r="EE55" s="921"/>
      <c r="EF55" s="921"/>
      <c r="EG55" s="921"/>
      <c r="EH55" s="921"/>
      <c r="EI55" s="921"/>
      <c r="EJ55" s="921"/>
      <c r="EK55" s="921"/>
      <c r="EL55" s="921"/>
      <c r="EM55" s="921"/>
      <c r="EN55" s="921"/>
      <c r="EO55" s="921"/>
      <c r="EP55" s="921"/>
      <c r="EQ55" s="954"/>
      <c r="ER55" s="954"/>
      <c r="ES55" s="954"/>
      <c r="ET55" s="954"/>
      <c r="EV55" s="942"/>
      <c r="EW55" s="951"/>
      <c r="EX55" s="951"/>
      <c r="EY55" s="952"/>
    </row>
    <row r="56" spans="1:155" s="927" customFormat="1" ht="15.75" x14ac:dyDescent="0.25">
      <c r="A56" s="931"/>
      <c r="B56" s="932" t="s">
        <v>403</v>
      </c>
      <c r="C56" s="933"/>
      <c r="D56" s="933"/>
      <c r="E56" s="934"/>
      <c r="F56" s="935"/>
      <c r="G56" s="934"/>
      <c r="H56" s="935"/>
      <c r="I56" s="936"/>
      <c r="J56" s="937"/>
      <c r="K56" s="938"/>
      <c r="L56" s="936"/>
      <c r="M56" s="937"/>
      <c r="N56" s="938"/>
      <c r="O56" s="936"/>
      <c r="P56" s="937"/>
      <c r="Q56" s="938"/>
      <c r="R56" s="936"/>
      <c r="S56" s="937"/>
      <c r="T56" s="938"/>
      <c r="U56" s="936"/>
      <c r="V56" s="937"/>
      <c r="W56" s="938"/>
      <c r="X56" s="936"/>
      <c r="Y56" s="937"/>
      <c r="Z56" s="938"/>
      <c r="AA56" s="936"/>
      <c r="AB56" s="937"/>
      <c r="AC56" s="938"/>
      <c r="AD56" s="936"/>
      <c r="AE56" s="937"/>
      <c r="AF56" s="938"/>
      <c r="AG56" s="936"/>
      <c r="AH56" s="937"/>
      <c r="AI56" s="938"/>
      <c r="AJ56" s="936"/>
      <c r="AK56" s="937"/>
      <c r="AL56" s="938"/>
      <c r="AM56" s="936"/>
      <c r="AN56" s="933"/>
      <c r="AO56" s="936"/>
      <c r="AP56" s="933"/>
      <c r="AQ56" s="935"/>
      <c r="AR56" s="936"/>
      <c r="AS56" s="935"/>
      <c r="AT56" s="939"/>
      <c r="AU56" s="933"/>
      <c r="AV56" s="940"/>
      <c r="AW56" s="389">
        <f>AW50/12-AO50</f>
        <v>434319.26</v>
      </c>
      <c r="AX56" s="939"/>
      <c r="AY56" s="939"/>
      <c r="AZ56" s="941"/>
      <c r="BA56" s="941"/>
      <c r="BB56" s="941"/>
      <c r="BC56" s="934"/>
      <c r="BD56" s="941"/>
      <c r="BE56" s="941"/>
      <c r="BF56" s="941"/>
      <c r="BG56" s="942"/>
      <c r="BH56" s="941"/>
      <c r="BI56" s="941"/>
      <c r="BJ56" s="941"/>
      <c r="BK56" s="943"/>
      <c r="BL56" s="943"/>
      <c r="BM56" s="943"/>
      <c r="BN56" s="943"/>
      <c r="BO56" s="943"/>
      <c r="BP56" s="944"/>
      <c r="BQ56" s="943"/>
      <c r="BR56" s="943"/>
      <c r="BS56" s="943"/>
      <c r="BU56" s="945"/>
      <c r="BV56" s="946"/>
      <c r="BW56" s="947"/>
      <c r="BX56" s="945"/>
      <c r="BY56" s="947"/>
      <c r="BZ56" s="946"/>
      <c r="CA56" s="947"/>
      <c r="CB56" s="946"/>
      <c r="CC56" s="947"/>
      <c r="CD56" s="947"/>
      <c r="CE56" s="947"/>
      <c r="CF56" s="948"/>
      <c r="CG56" s="949"/>
      <c r="CH56" s="949"/>
      <c r="CI56" s="950"/>
      <c r="CJ56" s="951"/>
      <c r="CK56" s="951"/>
      <c r="CL56" s="952"/>
      <c r="CM56" s="951"/>
      <c r="CN56" s="951"/>
      <c r="CO56" s="952"/>
      <c r="CP56" s="951"/>
      <c r="CQ56" s="951"/>
      <c r="CR56" s="952"/>
      <c r="CS56" s="946"/>
      <c r="CT56" s="953"/>
      <c r="CU56" s="953"/>
      <c r="CV56" s="953"/>
      <c r="CX56" s="951"/>
      <c r="CY56" s="951"/>
      <c r="CZ56" s="952"/>
      <c r="DB56" s="954"/>
      <c r="DC56" s="954"/>
      <c r="DD56" s="921"/>
      <c r="DE56" s="954"/>
      <c r="DF56" s="954"/>
      <c r="DG56" s="921"/>
      <c r="DH56" s="954"/>
      <c r="DI56" s="954"/>
      <c r="DJ56" s="921"/>
      <c r="DK56" s="954"/>
      <c r="DL56" s="954"/>
      <c r="DM56" s="921"/>
      <c r="DN56" s="954"/>
      <c r="DO56" s="954"/>
      <c r="DP56" s="921"/>
      <c r="DQ56" s="942"/>
      <c r="DR56" s="951"/>
      <c r="DS56" s="951"/>
      <c r="DT56" s="952"/>
      <c r="DV56" s="921"/>
      <c r="DW56" s="921"/>
      <c r="DX56" s="921"/>
      <c r="DY56" s="921"/>
      <c r="DZ56" s="921"/>
      <c r="EA56" s="921"/>
      <c r="EB56" s="921"/>
      <c r="EC56" s="921"/>
      <c r="ED56" s="921"/>
      <c r="EE56" s="921"/>
      <c r="EF56" s="921"/>
      <c r="EG56" s="921"/>
      <c r="EH56" s="921"/>
      <c r="EI56" s="921"/>
      <c r="EJ56" s="921"/>
      <c r="EK56" s="921"/>
      <c r="EL56" s="921"/>
      <c r="EM56" s="921"/>
      <c r="EN56" s="921"/>
      <c r="EO56" s="921"/>
      <c r="EP56" s="921"/>
      <c r="EQ56" s="954"/>
      <c r="ER56" s="954"/>
      <c r="ES56" s="954"/>
      <c r="ET56" s="954"/>
      <c r="EV56" s="942"/>
      <c r="EW56" s="951"/>
      <c r="EX56" s="951"/>
      <c r="EY56" s="952"/>
    </row>
    <row r="57" spans="1:155" s="927" customFormat="1" ht="15.75" x14ac:dyDescent="0.25">
      <c r="A57" s="931"/>
      <c r="B57" s="932" t="s">
        <v>404</v>
      </c>
      <c r="C57" s="933"/>
      <c r="D57" s="933"/>
      <c r="E57" s="934"/>
      <c r="F57" s="935"/>
      <c r="G57" s="934"/>
      <c r="H57" s="935"/>
      <c r="I57" s="936"/>
      <c r="J57" s="937"/>
      <c r="K57" s="938"/>
      <c r="L57" s="936"/>
      <c r="M57" s="937"/>
      <c r="N57" s="938"/>
      <c r="O57" s="936"/>
      <c r="P57" s="937"/>
      <c r="Q57" s="938"/>
      <c r="R57" s="936"/>
      <c r="S57" s="937"/>
      <c r="T57" s="938"/>
      <c r="U57" s="936"/>
      <c r="V57" s="937"/>
      <c r="W57" s="938"/>
      <c r="X57" s="936"/>
      <c r="Y57" s="937"/>
      <c r="Z57" s="938"/>
      <c r="AA57" s="936"/>
      <c r="AB57" s="937"/>
      <c r="AC57" s="938"/>
      <c r="AD57" s="936"/>
      <c r="AE57" s="937"/>
      <c r="AF57" s="938"/>
      <c r="AG57" s="936"/>
      <c r="AH57" s="937"/>
      <c r="AI57" s="938"/>
      <c r="AJ57" s="936"/>
      <c r="AK57" s="937"/>
      <c r="AL57" s="938"/>
      <c r="AM57" s="936"/>
      <c r="AN57" s="933"/>
      <c r="AO57" s="936"/>
      <c r="AP57" s="933"/>
      <c r="AQ57" s="935"/>
      <c r="AR57" s="936"/>
      <c r="AS57" s="935"/>
      <c r="AT57" s="939"/>
      <c r="AU57" s="933"/>
      <c r="AV57" s="940"/>
      <c r="AW57" s="389">
        <f>AW51/12-AO51</f>
        <v>689113.75</v>
      </c>
      <c r="AX57" s="939"/>
      <c r="AY57" s="939"/>
      <c r="AZ57" s="941"/>
      <c r="BA57" s="941"/>
      <c r="BB57" s="941"/>
      <c r="BC57" s="934"/>
      <c r="BD57" s="941"/>
      <c r="BE57" s="941"/>
      <c r="BF57" s="941"/>
      <c r="BG57" s="942"/>
      <c r="BH57" s="941"/>
      <c r="BI57" s="941"/>
      <c r="BJ57" s="941"/>
      <c r="BK57" s="943"/>
      <c r="BL57" s="943"/>
      <c r="BM57" s="943"/>
      <c r="BN57" s="943"/>
      <c r="BO57" s="943"/>
      <c r="BP57" s="944"/>
      <c r="BQ57" s="943"/>
      <c r="BR57" s="943"/>
      <c r="BS57" s="943"/>
      <c r="BU57" s="945"/>
      <c r="BV57" s="946"/>
      <c r="BW57" s="947"/>
      <c r="BX57" s="945"/>
      <c r="BY57" s="947"/>
      <c r="BZ57" s="946"/>
      <c r="CA57" s="947"/>
      <c r="CB57" s="946"/>
      <c r="CC57" s="947"/>
      <c r="CD57" s="947"/>
      <c r="CE57" s="947"/>
      <c r="CF57" s="948"/>
      <c r="CG57" s="949"/>
      <c r="CH57" s="949"/>
      <c r="CI57" s="950"/>
      <c r="CJ57" s="951"/>
      <c r="CK57" s="951"/>
      <c r="CL57" s="952"/>
      <c r="CM57" s="951"/>
      <c r="CN57" s="951"/>
      <c r="CO57" s="952"/>
      <c r="CP57" s="951"/>
      <c r="CQ57" s="951"/>
      <c r="CR57" s="952"/>
      <c r="CS57" s="946"/>
      <c r="CT57" s="953"/>
      <c r="CU57" s="953"/>
      <c r="CV57" s="953"/>
      <c r="CX57" s="951"/>
      <c r="CY57" s="951"/>
      <c r="CZ57" s="952"/>
      <c r="DB57" s="954"/>
      <c r="DC57" s="954"/>
      <c r="DD57" s="921"/>
      <c r="DE57" s="954"/>
      <c r="DF57" s="954"/>
      <c r="DG57" s="921"/>
      <c r="DH57" s="954"/>
      <c r="DI57" s="954"/>
      <c r="DJ57" s="921"/>
      <c r="DK57" s="954"/>
      <c r="DL57" s="954"/>
      <c r="DM57" s="921"/>
      <c r="DN57" s="954"/>
      <c r="DO57" s="954"/>
      <c r="DP57" s="921"/>
      <c r="DQ57" s="942"/>
      <c r="DR57" s="951"/>
      <c r="DS57" s="951"/>
      <c r="DT57" s="952"/>
      <c r="DV57" s="921"/>
      <c r="DW57" s="921"/>
      <c r="DX57" s="921"/>
      <c r="DY57" s="921"/>
      <c r="DZ57" s="921"/>
      <c r="EA57" s="921"/>
      <c r="EB57" s="921"/>
      <c r="EC57" s="921"/>
      <c r="ED57" s="921"/>
      <c r="EE57" s="921"/>
      <c r="EF57" s="921"/>
      <c r="EG57" s="921"/>
      <c r="EH57" s="921"/>
      <c r="EI57" s="921"/>
      <c r="EJ57" s="921"/>
      <c r="EK57" s="921"/>
      <c r="EL57" s="921"/>
      <c r="EM57" s="921"/>
      <c r="EN57" s="921"/>
      <c r="EO57" s="921"/>
      <c r="EP57" s="921"/>
      <c r="EQ57" s="954"/>
      <c r="ER57" s="954"/>
      <c r="ES57" s="954"/>
      <c r="ET57" s="954"/>
      <c r="EV57" s="942"/>
      <c r="EW57" s="951"/>
      <c r="EX57" s="951"/>
      <c r="EY57" s="952"/>
    </row>
    <row r="58" spans="1:155" s="927" customFormat="1" ht="15.75" x14ac:dyDescent="0.25">
      <c r="A58" s="931"/>
      <c r="B58" s="932" t="s">
        <v>405</v>
      </c>
      <c r="C58" s="933"/>
      <c r="D58" s="933"/>
      <c r="E58" s="934"/>
      <c r="F58" s="935"/>
      <c r="G58" s="934"/>
      <c r="H58" s="935"/>
      <c r="I58" s="936"/>
      <c r="J58" s="937"/>
      <c r="K58" s="938"/>
      <c r="L58" s="936"/>
      <c r="M58" s="937"/>
      <c r="N58" s="938"/>
      <c r="O58" s="936"/>
      <c r="P58" s="937"/>
      <c r="Q58" s="938"/>
      <c r="R58" s="936"/>
      <c r="S58" s="937"/>
      <c r="T58" s="938"/>
      <c r="U58" s="936"/>
      <c r="V58" s="937"/>
      <c r="W58" s="938"/>
      <c r="X58" s="936"/>
      <c r="Y58" s="937"/>
      <c r="Z58" s="938"/>
      <c r="AA58" s="936"/>
      <c r="AB58" s="937"/>
      <c r="AC58" s="938"/>
      <c r="AD58" s="936"/>
      <c r="AE58" s="937"/>
      <c r="AF58" s="938"/>
      <c r="AG58" s="936"/>
      <c r="AH58" s="937"/>
      <c r="AI58" s="938"/>
      <c r="AJ58" s="936"/>
      <c r="AK58" s="937"/>
      <c r="AL58" s="938"/>
      <c r="AM58" s="936"/>
      <c r="AN58" s="933"/>
      <c r="AO58" s="936"/>
      <c r="AP58" s="933"/>
      <c r="AQ58" s="935"/>
      <c r="AR58" s="936"/>
      <c r="AS58" s="935"/>
      <c r="AT58" s="939"/>
      <c r="AU58" s="933"/>
      <c r="AV58" s="940"/>
      <c r="AW58" s="389">
        <f>AW52/12-AO52</f>
        <v>121200</v>
      </c>
      <c r="AX58" s="939"/>
      <c r="AY58" s="939"/>
      <c r="AZ58" s="941"/>
      <c r="BA58" s="941"/>
      <c r="BB58" s="941"/>
      <c r="BC58" s="934"/>
      <c r="BD58" s="941"/>
      <c r="BE58" s="941"/>
      <c r="BF58" s="941"/>
      <c r="BG58" s="942"/>
      <c r="BH58" s="941"/>
      <c r="BI58" s="941"/>
      <c r="BJ58" s="941"/>
      <c r="BK58" s="943"/>
      <c r="BL58" s="943"/>
      <c r="BM58" s="943"/>
      <c r="BN58" s="943"/>
      <c r="BO58" s="943"/>
      <c r="BP58" s="944"/>
      <c r="BQ58" s="943"/>
      <c r="BR58" s="943"/>
      <c r="BS58" s="943"/>
      <c r="BU58" s="945"/>
      <c r="BV58" s="946"/>
      <c r="BW58" s="947"/>
      <c r="BX58" s="945"/>
      <c r="BY58" s="947"/>
      <c r="BZ58" s="946"/>
      <c r="CA58" s="947"/>
      <c r="CB58" s="946"/>
      <c r="CC58" s="947"/>
      <c r="CD58" s="947"/>
      <c r="CE58" s="947"/>
      <c r="CF58" s="948"/>
      <c r="CG58" s="949"/>
      <c r="CH58" s="949"/>
      <c r="CI58" s="950"/>
      <c r="CJ58" s="951"/>
      <c r="CK58" s="951"/>
      <c r="CL58" s="952"/>
      <c r="CM58" s="951"/>
      <c r="CN58" s="951"/>
      <c r="CO58" s="952"/>
      <c r="CP58" s="951"/>
      <c r="CQ58" s="951"/>
      <c r="CR58" s="952"/>
      <c r="CS58" s="946"/>
      <c r="CT58" s="953"/>
      <c r="CU58" s="953"/>
      <c r="CV58" s="953"/>
      <c r="CX58" s="951"/>
      <c r="CY58" s="951"/>
      <c r="CZ58" s="952"/>
      <c r="DB58" s="954"/>
      <c r="DC58" s="954"/>
      <c r="DD58" s="921"/>
      <c r="DE58" s="954"/>
      <c r="DF58" s="954"/>
      <c r="DG58" s="921"/>
      <c r="DH58" s="954"/>
      <c r="DI58" s="954"/>
      <c r="DJ58" s="921"/>
      <c r="DK58" s="954"/>
      <c r="DL58" s="954"/>
      <c r="DM58" s="921"/>
      <c r="DN58" s="954"/>
      <c r="DO58" s="954"/>
      <c r="DP58" s="921"/>
      <c r="DQ58" s="942"/>
      <c r="DR58" s="951"/>
      <c r="DS58" s="951"/>
      <c r="DT58" s="952"/>
      <c r="DV58" s="921"/>
      <c r="DW58" s="921"/>
      <c r="DX58" s="921"/>
      <c r="DY58" s="921"/>
      <c r="DZ58" s="921"/>
      <c r="EA58" s="921"/>
      <c r="EB58" s="921"/>
      <c r="EC58" s="921"/>
      <c r="ED58" s="921"/>
      <c r="EE58" s="921"/>
      <c r="EF58" s="921"/>
      <c r="EG58" s="921"/>
      <c r="EH58" s="921"/>
      <c r="EI58" s="921"/>
      <c r="EJ58" s="921"/>
      <c r="EK58" s="921"/>
      <c r="EL58" s="921"/>
      <c r="EM58" s="921"/>
      <c r="EN58" s="921"/>
      <c r="EO58" s="921"/>
      <c r="EP58" s="921"/>
      <c r="EQ58" s="954"/>
      <c r="ER58" s="954"/>
      <c r="ES58" s="954"/>
      <c r="ET58" s="954"/>
      <c r="EV58" s="942"/>
      <c r="EW58" s="951"/>
      <c r="EX58" s="951"/>
      <c r="EY58" s="952"/>
    </row>
    <row r="59" spans="1:155" s="927" customFormat="1" ht="15.75" x14ac:dyDescent="0.25">
      <c r="A59" s="931"/>
      <c r="B59" s="932" t="s">
        <v>499</v>
      </c>
      <c r="C59" s="933"/>
      <c r="D59" s="933"/>
      <c r="E59" s="934"/>
      <c r="F59" s="935"/>
      <c r="G59" s="934"/>
      <c r="H59" s="935"/>
      <c r="I59" s="936"/>
      <c r="J59" s="937"/>
      <c r="K59" s="938"/>
      <c r="L59" s="936"/>
      <c r="M59" s="937"/>
      <c r="N59" s="938"/>
      <c r="O59" s="936"/>
      <c r="P59" s="937"/>
      <c r="Q59" s="938"/>
      <c r="R59" s="936"/>
      <c r="S59" s="937"/>
      <c r="T59" s="938"/>
      <c r="U59" s="936"/>
      <c r="V59" s="937"/>
      <c r="W59" s="938"/>
      <c r="X59" s="936"/>
      <c r="Y59" s="937"/>
      <c r="Z59" s="938"/>
      <c r="AA59" s="936"/>
      <c r="AB59" s="937"/>
      <c r="AC59" s="938"/>
      <c r="AD59" s="936"/>
      <c r="AE59" s="937"/>
      <c r="AF59" s="938"/>
      <c r="AG59" s="936"/>
      <c r="AH59" s="937"/>
      <c r="AI59" s="938"/>
      <c r="AJ59" s="936"/>
      <c r="AK59" s="937"/>
      <c r="AL59" s="938"/>
      <c r="AM59" s="936"/>
      <c r="AN59" s="933"/>
      <c r="AO59" s="936"/>
      <c r="AP59" s="933"/>
      <c r="AQ59" s="935"/>
      <c r="AR59" s="936"/>
      <c r="AS59" s="935"/>
      <c r="AT59" s="939"/>
      <c r="AU59" s="933"/>
      <c r="AV59" s="940"/>
      <c r="AW59" s="986"/>
      <c r="AX59" s="939"/>
      <c r="AY59" s="939"/>
      <c r="AZ59" s="941"/>
      <c r="BA59" s="941"/>
      <c r="BB59" s="941"/>
      <c r="BC59" s="934"/>
      <c r="BD59" s="941"/>
      <c r="BE59" s="941"/>
      <c r="BF59" s="941"/>
      <c r="BG59" s="942"/>
      <c r="BH59" s="941"/>
      <c r="BI59" s="941"/>
      <c r="BJ59" s="941"/>
      <c r="BK59" s="943"/>
      <c r="BL59" s="943"/>
      <c r="BM59" s="943"/>
      <c r="BN59" s="943"/>
      <c r="BO59" s="943"/>
      <c r="BP59" s="944"/>
      <c r="BQ59" s="943"/>
      <c r="BR59" s="943"/>
      <c r="BS59" s="943"/>
      <c r="BU59" s="945"/>
      <c r="BV59" s="946"/>
      <c r="BW59" s="947"/>
      <c r="BX59" s="945"/>
      <c r="BY59" s="947"/>
      <c r="BZ59" s="946"/>
      <c r="CA59" s="947"/>
      <c r="CB59" s="946"/>
      <c r="CC59" s="947"/>
      <c r="CD59" s="947"/>
      <c r="CE59" s="947"/>
      <c r="CF59" s="948"/>
      <c r="CG59" s="949"/>
      <c r="CH59" s="949"/>
      <c r="CI59" s="950"/>
      <c r="CJ59" s="951"/>
      <c r="CK59" s="951"/>
      <c r="CL59" s="952"/>
      <c r="CM59" s="951"/>
      <c r="CN59" s="951"/>
      <c r="CO59" s="952"/>
      <c r="CP59" s="951"/>
      <c r="CQ59" s="951"/>
      <c r="CR59" s="952"/>
      <c r="CS59" s="946"/>
      <c r="CT59" s="953"/>
      <c r="CU59" s="953"/>
      <c r="CV59" s="953"/>
      <c r="CX59" s="951"/>
      <c r="CY59" s="951"/>
      <c r="CZ59" s="952"/>
      <c r="DB59" s="954"/>
      <c r="DC59" s="954"/>
      <c r="DD59" s="921"/>
      <c r="DE59" s="954"/>
      <c r="DF59" s="954"/>
      <c r="DG59" s="921"/>
      <c r="DH59" s="954"/>
      <c r="DI59" s="954"/>
      <c r="DJ59" s="921"/>
      <c r="DK59" s="954"/>
      <c r="DL59" s="954"/>
      <c r="DM59" s="921"/>
      <c r="DN59" s="954"/>
      <c r="DO59" s="954"/>
      <c r="DP59" s="921"/>
      <c r="DQ59" s="942"/>
      <c r="DR59" s="951"/>
      <c r="DS59" s="951"/>
      <c r="DT59" s="952"/>
      <c r="DV59" s="921"/>
      <c r="DW59" s="921"/>
      <c r="DX59" s="921"/>
      <c r="DY59" s="921"/>
      <c r="DZ59" s="921"/>
      <c r="EA59" s="921"/>
      <c r="EB59" s="921"/>
      <c r="EC59" s="921"/>
      <c r="ED59" s="921"/>
      <c r="EE59" s="921"/>
      <c r="EF59" s="921"/>
      <c r="EG59" s="921"/>
      <c r="EH59" s="921"/>
      <c r="EI59" s="921"/>
      <c r="EJ59" s="921"/>
      <c r="EK59" s="921"/>
      <c r="EL59" s="921"/>
      <c r="EM59" s="921"/>
      <c r="EN59" s="921"/>
      <c r="EO59" s="921"/>
      <c r="EP59" s="921"/>
      <c r="EQ59" s="954"/>
      <c r="ER59" s="954"/>
      <c r="ES59" s="954"/>
      <c r="ET59" s="954"/>
      <c r="EV59" s="942"/>
      <c r="EW59" s="951"/>
      <c r="EX59" s="951"/>
      <c r="EY59" s="952"/>
    </row>
    <row r="60" spans="1:155" s="927" customFormat="1" ht="15.75" x14ac:dyDescent="0.25">
      <c r="A60" s="931"/>
      <c r="B60" s="932" t="s">
        <v>406</v>
      </c>
      <c r="C60" s="933"/>
      <c r="D60" s="933"/>
      <c r="E60" s="934"/>
      <c r="F60" s="935"/>
      <c r="G60" s="934"/>
      <c r="H60" s="935"/>
      <c r="I60" s="936"/>
      <c r="J60" s="937"/>
      <c r="K60" s="938"/>
      <c r="L60" s="936"/>
      <c r="M60" s="937"/>
      <c r="N60" s="938"/>
      <c r="O60" s="936"/>
      <c r="P60" s="937"/>
      <c r="Q60" s="938"/>
      <c r="R60" s="936"/>
      <c r="S60" s="937"/>
      <c r="T60" s="938"/>
      <c r="U60" s="936"/>
      <c r="V60" s="937"/>
      <c r="W60" s="938"/>
      <c r="X60" s="936"/>
      <c r="Y60" s="937"/>
      <c r="Z60" s="938"/>
      <c r="AA60" s="936"/>
      <c r="AB60" s="937"/>
      <c r="AC60" s="938"/>
      <c r="AD60" s="936"/>
      <c r="AE60" s="937"/>
      <c r="AF60" s="938"/>
      <c r="AG60" s="936"/>
      <c r="AH60" s="937"/>
      <c r="AI60" s="938"/>
      <c r="AJ60" s="936"/>
      <c r="AK60" s="937"/>
      <c r="AL60" s="938"/>
      <c r="AM60" s="936"/>
      <c r="AN60" s="933"/>
      <c r="AO60" s="936"/>
      <c r="AP60" s="933"/>
      <c r="AQ60" s="935"/>
      <c r="AR60" s="936"/>
      <c r="AS60" s="935"/>
      <c r="AT60" s="939"/>
      <c r="AU60" s="933"/>
      <c r="AV60" s="940"/>
      <c r="AW60" s="336">
        <f>AW55/I49</f>
        <v>1.48072</v>
      </c>
      <c r="AX60" s="939"/>
      <c r="AY60" s="939"/>
      <c r="AZ60" s="941"/>
      <c r="BA60" s="941"/>
      <c r="BB60" s="941"/>
      <c r="BC60" s="934"/>
      <c r="BD60" s="941"/>
      <c r="BE60" s="941"/>
      <c r="BF60" s="941"/>
      <c r="BG60" s="942"/>
      <c r="BH60" s="941"/>
      <c r="BI60" s="941"/>
      <c r="BJ60" s="941"/>
      <c r="BK60" s="943"/>
      <c r="BL60" s="943"/>
      <c r="BM60" s="943"/>
      <c r="BN60" s="943"/>
      <c r="BO60" s="943"/>
      <c r="BP60" s="944"/>
      <c r="BQ60" s="943"/>
      <c r="BR60" s="943"/>
      <c r="BS60" s="943"/>
      <c r="BU60" s="945"/>
      <c r="BV60" s="946"/>
      <c r="BW60" s="947"/>
      <c r="BX60" s="945"/>
      <c r="BY60" s="947"/>
      <c r="BZ60" s="946"/>
      <c r="CA60" s="947"/>
      <c r="CB60" s="946"/>
      <c r="CC60" s="947"/>
      <c r="CD60" s="947"/>
      <c r="CE60" s="947"/>
      <c r="CF60" s="948"/>
      <c r="CG60" s="949"/>
      <c r="CH60" s="949"/>
      <c r="CI60" s="950"/>
      <c r="CJ60" s="951"/>
      <c r="CK60" s="951"/>
      <c r="CL60" s="952"/>
      <c r="CM60" s="951"/>
      <c r="CN60" s="951"/>
      <c r="CO60" s="952"/>
      <c r="CP60" s="951"/>
      <c r="CQ60" s="951"/>
      <c r="CR60" s="952"/>
      <c r="CS60" s="946"/>
      <c r="CT60" s="953"/>
      <c r="CU60" s="953"/>
      <c r="CV60" s="953"/>
      <c r="CX60" s="951"/>
      <c r="CY60" s="951"/>
      <c r="CZ60" s="952"/>
      <c r="DB60" s="954"/>
      <c r="DC60" s="954"/>
      <c r="DD60" s="921"/>
      <c r="DE60" s="954"/>
      <c r="DF60" s="954"/>
      <c r="DG60" s="921"/>
      <c r="DH60" s="954"/>
      <c r="DI60" s="954"/>
      <c r="DJ60" s="921"/>
      <c r="DK60" s="954"/>
      <c r="DL60" s="954"/>
      <c r="DM60" s="921"/>
      <c r="DN60" s="954"/>
      <c r="DO60" s="954"/>
      <c r="DP60" s="921"/>
      <c r="DQ60" s="942"/>
      <c r="DR60" s="951"/>
      <c r="DS60" s="951"/>
      <c r="DT60" s="952"/>
      <c r="DV60" s="921"/>
      <c r="DW60" s="921"/>
      <c r="DX60" s="921"/>
      <c r="DY60" s="921"/>
      <c r="DZ60" s="921"/>
      <c r="EA60" s="921"/>
      <c r="EB60" s="921"/>
      <c r="EC60" s="921"/>
      <c r="ED60" s="921"/>
      <c r="EE60" s="921"/>
      <c r="EF60" s="921"/>
      <c r="EG60" s="921"/>
      <c r="EH60" s="921"/>
      <c r="EI60" s="921"/>
      <c r="EJ60" s="921"/>
      <c r="EK60" s="921"/>
      <c r="EL60" s="921"/>
      <c r="EM60" s="921"/>
      <c r="EN60" s="921"/>
      <c r="EO60" s="921"/>
      <c r="EP60" s="921"/>
      <c r="EQ60" s="954"/>
      <c r="ER60" s="954"/>
      <c r="ES60" s="954"/>
      <c r="ET60" s="954"/>
      <c r="EV60" s="942"/>
      <c r="EW60" s="951"/>
      <c r="EX60" s="951"/>
      <c r="EY60" s="952"/>
    </row>
    <row r="61" spans="1:155" s="927" customFormat="1" ht="15.75" x14ac:dyDescent="0.25">
      <c r="A61" s="931"/>
      <c r="B61" s="932" t="s">
        <v>498</v>
      </c>
      <c r="C61" s="933"/>
      <c r="D61" s="933"/>
      <c r="E61" s="934"/>
      <c r="F61" s="935"/>
      <c r="G61" s="934"/>
      <c r="H61" s="935"/>
      <c r="I61" s="936"/>
      <c r="J61" s="937"/>
      <c r="K61" s="938"/>
      <c r="L61" s="936"/>
      <c r="M61" s="937"/>
      <c r="N61" s="938"/>
      <c r="O61" s="936"/>
      <c r="P61" s="937"/>
      <c r="Q61" s="938"/>
      <c r="R61" s="936"/>
      <c r="S61" s="937"/>
      <c r="T61" s="938"/>
      <c r="U61" s="936"/>
      <c r="V61" s="937"/>
      <c r="W61" s="938"/>
      <c r="X61" s="936"/>
      <c r="Y61" s="937"/>
      <c r="Z61" s="938"/>
      <c r="AA61" s="936"/>
      <c r="AB61" s="937"/>
      <c r="AC61" s="938"/>
      <c r="AD61" s="936"/>
      <c r="AE61" s="937"/>
      <c r="AF61" s="938"/>
      <c r="AG61" s="936"/>
      <c r="AH61" s="937"/>
      <c r="AI61" s="938"/>
      <c r="AJ61" s="936"/>
      <c r="AK61" s="937"/>
      <c r="AL61" s="938"/>
      <c r="AM61" s="936"/>
      <c r="AN61" s="933"/>
      <c r="AO61" s="936"/>
      <c r="AP61" s="933"/>
      <c r="AQ61" s="935"/>
      <c r="AR61" s="936"/>
      <c r="AS61" s="935"/>
      <c r="AT61" s="939"/>
      <c r="AU61" s="933"/>
      <c r="AV61" s="940"/>
      <c r="AW61" s="986"/>
      <c r="AX61" s="939"/>
      <c r="AY61" s="939"/>
      <c r="AZ61" s="941"/>
      <c r="BA61" s="941"/>
      <c r="BB61" s="941"/>
      <c r="BC61" s="934"/>
      <c r="BD61" s="941"/>
      <c r="BE61" s="941"/>
      <c r="BF61" s="941"/>
      <c r="BG61" s="942"/>
      <c r="BH61" s="941"/>
      <c r="BI61" s="941"/>
      <c r="BJ61" s="941"/>
      <c r="BK61" s="943"/>
      <c r="BL61" s="943"/>
      <c r="BM61" s="943"/>
      <c r="BN61" s="943"/>
      <c r="BO61" s="943"/>
      <c r="BP61" s="944"/>
      <c r="BQ61" s="943"/>
      <c r="BR61" s="943"/>
      <c r="BS61" s="943"/>
      <c r="BU61" s="945"/>
      <c r="BV61" s="946"/>
      <c r="BW61" s="947"/>
      <c r="BX61" s="945"/>
      <c r="BY61" s="947"/>
      <c r="BZ61" s="946"/>
      <c r="CA61" s="947"/>
      <c r="CB61" s="946"/>
      <c r="CC61" s="947"/>
      <c r="CD61" s="947"/>
      <c r="CE61" s="947"/>
      <c r="CF61" s="948"/>
      <c r="CG61" s="949"/>
      <c r="CH61" s="949"/>
      <c r="CI61" s="950"/>
      <c r="CJ61" s="951"/>
      <c r="CK61" s="951"/>
      <c r="CL61" s="952"/>
      <c r="CM61" s="951"/>
      <c r="CN61" s="951"/>
      <c r="CO61" s="952"/>
      <c r="CP61" s="951"/>
      <c r="CQ61" s="951"/>
      <c r="CR61" s="952"/>
      <c r="CS61" s="946"/>
      <c r="CT61" s="953"/>
      <c r="CU61" s="953"/>
      <c r="CV61" s="953"/>
      <c r="CX61" s="951"/>
      <c r="CY61" s="951"/>
      <c r="CZ61" s="952"/>
      <c r="DB61" s="954"/>
      <c r="DC61" s="954"/>
      <c r="DD61" s="921"/>
      <c r="DE61" s="954"/>
      <c r="DF61" s="954"/>
      <c r="DG61" s="921"/>
      <c r="DH61" s="954"/>
      <c r="DI61" s="954"/>
      <c r="DJ61" s="921"/>
      <c r="DK61" s="954"/>
      <c r="DL61" s="954"/>
      <c r="DM61" s="921"/>
      <c r="DN61" s="954"/>
      <c r="DO61" s="954"/>
      <c r="DP61" s="921"/>
      <c r="DQ61" s="942"/>
      <c r="DR61" s="951"/>
      <c r="DS61" s="951"/>
      <c r="DT61" s="952"/>
      <c r="DV61" s="921"/>
      <c r="DW61" s="921"/>
      <c r="DX61" s="921"/>
      <c r="DY61" s="921"/>
      <c r="DZ61" s="921"/>
      <c r="EA61" s="921"/>
      <c r="EB61" s="921"/>
      <c r="EC61" s="921"/>
      <c r="ED61" s="921"/>
      <c r="EE61" s="921"/>
      <c r="EF61" s="921"/>
      <c r="EG61" s="921"/>
      <c r="EH61" s="921"/>
      <c r="EI61" s="921"/>
      <c r="EJ61" s="921"/>
      <c r="EK61" s="921"/>
      <c r="EL61" s="921"/>
      <c r="EM61" s="921"/>
      <c r="EN61" s="921"/>
      <c r="EO61" s="921"/>
      <c r="EP61" s="921"/>
      <c r="EQ61" s="954"/>
      <c r="ER61" s="954"/>
      <c r="ES61" s="954"/>
      <c r="ET61" s="954"/>
      <c r="EV61" s="942"/>
      <c r="EW61" s="951"/>
      <c r="EX61" s="951"/>
      <c r="EY61" s="952"/>
    </row>
    <row r="62" spans="1:155" s="927" customFormat="1" ht="15.75" x14ac:dyDescent="0.25">
      <c r="A62" s="931"/>
      <c r="B62" s="932" t="s">
        <v>403</v>
      </c>
      <c r="C62" s="933"/>
      <c r="D62" s="933"/>
      <c r="E62" s="934"/>
      <c r="F62" s="935"/>
      <c r="G62" s="934"/>
      <c r="H62" s="935"/>
      <c r="I62" s="936"/>
      <c r="J62" s="937"/>
      <c r="K62" s="938"/>
      <c r="L62" s="936"/>
      <c r="M62" s="937"/>
      <c r="N62" s="938"/>
      <c r="O62" s="936"/>
      <c r="P62" s="937"/>
      <c r="Q62" s="938"/>
      <c r="R62" s="936"/>
      <c r="S62" s="937"/>
      <c r="T62" s="938"/>
      <c r="U62" s="936"/>
      <c r="V62" s="937"/>
      <c r="W62" s="938"/>
      <c r="X62" s="936"/>
      <c r="Y62" s="937"/>
      <c r="Z62" s="938"/>
      <c r="AA62" s="936"/>
      <c r="AB62" s="937"/>
      <c r="AC62" s="938"/>
      <c r="AD62" s="936"/>
      <c r="AE62" s="937"/>
      <c r="AF62" s="938"/>
      <c r="AG62" s="936"/>
      <c r="AH62" s="937"/>
      <c r="AI62" s="938"/>
      <c r="AJ62" s="936"/>
      <c r="AK62" s="937"/>
      <c r="AL62" s="938"/>
      <c r="AM62" s="936"/>
      <c r="AN62" s="933"/>
      <c r="AO62" s="936"/>
      <c r="AP62" s="933"/>
      <c r="AQ62" s="935"/>
      <c r="AR62" s="936"/>
      <c r="AS62" s="935"/>
      <c r="AT62" s="939"/>
      <c r="AU62" s="933"/>
      <c r="AV62" s="940"/>
      <c r="AW62" s="337">
        <f>AW56/AW55</f>
        <v>0.29183999999999999</v>
      </c>
      <c r="AX62" s="939"/>
      <c r="AY62" s="939"/>
      <c r="AZ62" s="941"/>
      <c r="BA62" s="941"/>
      <c r="BB62" s="941"/>
      <c r="BC62" s="934"/>
      <c r="BD62" s="941"/>
      <c r="BE62" s="941"/>
      <c r="BF62" s="941"/>
      <c r="BG62" s="942"/>
      <c r="BH62" s="941"/>
      <c r="BI62" s="941"/>
      <c r="BJ62" s="941"/>
      <c r="BK62" s="943"/>
      <c r="BL62" s="943"/>
      <c r="BM62" s="943"/>
      <c r="BN62" s="943"/>
      <c r="BO62" s="943"/>
      <c r="BP62" s="944"/>
      <c r="BQ62" s="943"/>
      <c r="BR62" s="943"/>
      <c r="BS62" s="943"/>
      <c r="BU62" s="945"/>
      <c r="BV62" s="946"/>
      <c r="BW62" s="947"/>
      <c r="BX62" s="945"/>
      <c r="BY62" s="947"/>
      <c r="BZ62" s="946"/>
      <c r="CA62" s="947"/>
      <c r="CB62" s="946"/>
      <c r="CC62" s="947"/>
      <c r="CD62" s="947"/>
      <c r="CE62" s="947"/>
      <c r="CF62" s="948"/>
      <c r="CG62" s="949"/>
      <c r="CH62" s="949"/>
      <c r="CI62" s="950"/>
      <c r="CJ62" s="951"/>
      <c r="CK62" s="951"/>
      <c r="CL62" s="952"/>
      <c r="CM62" s="951"/>
      <c r="CN62" s="951"/>
      <c r="CO62" s="952"/>
      <c r="CP62" s="951"/>
      <c r="CQ62" s="951"/>
      <c r="CR62" s="952"/>
      <c r="CS62" s="946"/>
      <c r="CT62" s="953"/>
      <c r="CU62" s="953"/>
      <c r="CV62" s="953"/>
      <c r="CX62" s="951"/>
      <c r="CY62" s="951"/>
      <c r="CZ62" s="952"/>
      <c r="DB62" s="954"/>
      <c r="DC62" s="954"/>
      <c r="DD62" s="921"/>
      <c r="DE62" s="954"/>
      <c r="DF62" s="954"/>
      <c r="DG62" s="921"/>
      <c r="DH62" s="954"/>
      <c r="DI62" s="954"/>
      <c r="DJ62" s="921"/>
      <c r="DK62" s="954"/>
      <c r="DL62" s="954"/>
      <c r="DM62" s="921"/>
      <c r="DN62" s="954"/>
      <c r="DO62" s="954"/>
      <c r="DP62" s="921"/>
      <c r="DQ62" s="942"/>
      <c r="DR62" s="951"/>
      <c r="DS62" s="951"/>
      <c r="DT62" s="952"/>
      <c r="DV62" s="921"/>
      <c r="DW62" s="921"/>
      <c r="DX62" s="921"/>
      <c r="DY62" s="921"/>
      <c r="DZ62" s="921"/>
      <c r="EA62" s="921"/>
      <c r="EB62" s="921"/>
      <c r="EC62" s="921"/>
      <c r="ED62" s="921"/>
      <c r="EE62" s="921"/>
      <c r="EF62" s="921"/>
      <c r="EG62" s="921"/>
      <c r="EH62" s="921"/>
      <c r="EI62" s="921"/>
      <c r="EJ62" s="921"/>
      <c r="EK62" s="921"/>
      <c r="EL62" s="921"/>
      <c r="EM62" s="921"/>
      <c r="EN62" s="921"/>
      <c r="EO62" s="921"/>
      <c r="EP62" s="921"/>
      <c r="EQ62" s="954"/>
      <c r="ER62" s="954"/>
      <c r="ES62" s="954"/>
      <c r="ET62" s="954"/>
      <c r="EV62" s="942"/>
      <c r="EW62" s="951"/>
      <c r="EX62" s="951"/>
      <c r="EY62" s="952"/>
    </row>
    <row r="63" spans="1:155" s="927" customFormat="1" ht="15.75" x14ac:dyDescent="0.25">
      <c r="A63" s="931"/>
      <c r="B63" s="932" t="s">
        <v>404</v>
      </c>
      <c r="C63" s="933"/>
      <c r="D63" s="933"/>
      <c r="E63" s="934"/>
      <c r="F63" s="935"/>
      <c r="G63" s="934"/>
      <c r="H63" s="935"/>
      <c r="I63" s="936"/>
      <c r="J63" s="937"/>
      <c r="K63" s="938"/>
      <c r="L63" s="936"/>
      <c r="M63" s="937"/>
      <c r="N63" s="938"/>
      <c r="O63" s="936"/>
      <c r="P63" s="937"/>
      <c r="Q63" s="938"/>
      <c r="R63" s="936"/>
      <c r="S63" s="937"/>
      <c r="T63" s="938"/>
      <c r="U63" s="936"/>
      <c r="V63" s="937"/>
      <c r="W63" s="938"/>
      <c r="X63" s="936"/>
      <c r="Y63" s="937"/>
      <c r="Z63" s="938"/>
      <c r="AA63" s="936"/>
      <c r="AB63" s="937"/>
      <c r="AC63" s="938"/>
      <c r="AD63" s="936"/>
      <c r="AE63" s="937"/>
      <c r="AF63" s="938"/>
      <c r="AG63" s="936"/>
      <c r="AH63" s="937"/>
      <c r="AI63" s="938"/>
      <c r="AJ63" s="936"/>
      <c r="AK63" s="937"/>
      <c r="AL63" s="938"/>
      <c r="AM63" s="936"/>
      <c r="AN63" s="933"/>
      <c r="AO63" s="936"/>
      <c r="AP63" s="933"/>
      <c r="AQ63" s="935"/>
      <c r="AR63" s="936"/>
      <c r="AS63" s="935"/>
      <c r="AT63" s="939"/>
      <c r="AU63" s="933"/>
      <c r="AV63" s="940"/>
      <c r="AW63" s="338">
        <f>AW57/AW55</f>
        <v>0.46305000000000002</v>
      </c>
      <c r="AX63" s="939"/>
      <c r="AY63" s="939"/>
      <c r="AZ63" s="941"/>
      <c r="BA63" s="941"/>
      <c r="BB63" s="941"/>
      <c r="BC63" s="934"/>
      <c r="BD63" s="941"/>
      <c r="BE63" s="941"/>
      <c r="BF63" s="941"/>
      <c r="BG63" s="942"/>
      <c r="BH63" s="941"/>
      <c r="BI63" s="941"/>
      <c r="BJ63" s="941"/>
      <c r="BK63" s="943"/>
      <c r="BL63" s="943"/>
      <c r="BM63" s="943"/>
      <c r="BN63" s="943"/>
      <c r="BO63" s="943"/>
      <c r="BP63" s="944"/>
      <c r="BQ63" s="943"/>
      <c r="BR63" s="943"/>
      <c r="BS63" s="943"/>
      <c r="BU63" s="945"/>
      <c r="BV63" s="946"/>
      <c r="BW63" s="947"/>
      <c r="BX63" s="945"/>
      <c r="BY63" s="947"/>
      <c r="BZ63" s="946"/>
      <c r="CA63" s="947"/>
      <c r="CB63" s="946"/>
      <c r="CC63" s="947"/>
      <c r="CD63" s="947"/>
      <c r="CE63" s="947"/>
      <c r="CF63" s="948"/>
      <c r="CG63" s="949"/>
      <c r="CH63" s="949"/>
      <c r="CI63" s="950"/>
      <c r="CJ63" s="951"/>
      <c r="CK63" s="951"/>
      <c r="CL63" s="952"/>
      <c r="CM63" s="951"/>
      <c r="CN63" s="951"/>
      <c r="CO63" s="952"/>
      <c r="CP63" s="951"/>
      <c r="CQ63" s="951"/>
      <c r="CR63" s="952"/>
      <c r="CS63" s="946"/>
      <c r="CT63" s="953"/>
      <c r="CU63" s="953"/>
      <c r="CV63" s="953"/>
      <c r="CX63" s="951"/>
      <c r="CY63" s="951"/>
      <c r="CZ63" s="952"/>
      <c r="DB63" s="954"/>
      <c r="DC63" s="954"/>
      <c r="DD63" s="921"/>
      <c r="DE63" s="954"/>
      <c r="DF63" s="954"/>
      <c r="DG63" s="921"/>
      <c r="DH63" s="954"/>
      <c r="DI63" s="954"/>
      <c r="DJ63" s="921"/>
      <c r="DK63" s="954"/>
      <c r="DL63" s="954"/>
      <c r="DM63" s="921"/>
      <c r="DN63" s="954"/>
      <c r="DO63" s="954"/>
      <c r="DP63" s="921"/>
      <c r="DQ63" s="942"/>
      <c r="DR63" s="951"/>
      <c r="DS63" s="951"/>
      <c r="DT63" s="952"/>
      <c r="DV63" s="921"/>
      <c r="DW63" s="921"/>
      <c r="DX63" s="921"/>
      <c r="DY63" s="921"/>
      <c r="DZ63" s="921"/>
      <c r="EA63" s="921"/>
      <c r="EB63" s="921"/>
      <c r="EC63" s="921"/>
      <c r="ED63" s="921"/>
      <c r="EE63" s="921"/>
      <c r="EF63" s="921"/>
      <c r="EG63" s="921"/>
      <c r="EH63" s="921"/>
      <c r="EI63" s="921"/>
      <c r="EJ63" s="921"/>
      <c r="EK63" s="921"/>
      <c r="EL63" s="921"/>
      <c r="EM63" s="921"/>
      <c r="EN63" s="921"/>
      <c r="EO63" s="921"/>
      <c r="EP63" s="921"/>
      <c r="EQ63" s="954"/>
      <c r="ER63" s="954"/>
      <c r="ES63" s="954"/>
      <c r="ET63" s="954"/>
      <c r="EV63" s="942"/>
      <c r="EW63" s="951"/>
      <c r="EX63" s="951"/>
      <c r="EY63" s="952"/>
    </row>
    <row r="64" spans="1:155" s="927" customFormat="1" ht="15.75" x14ac:dyDescent="0.25">
      <c r="A64" s="931"/>
      <c r="B64" s="932" t="s">
        <v>405</v>
      </c>
      <c r="C64" s="933"/>
      <c r="D64" s="933"/>
      <c r="E64" s="934"/>
      <c r="F64" s="935"/>
      <c r="G64" s="934"/>
      <c r="H64" s="935"/>
      <c r="I64" s="936"/>
      <c r="J64" s="937"/>
      <c r="K64" s="938"/>
      <c r="L64" s="936"/>
      <c r="M64" s="937"/>
      <c r="N64" s="938"/>
      <c r="O64" s="936"/>
      <c r="P64" s="937"/>
      <c r="Q64" s="938"/>
      <c r="R64" s="936"/>
      <c r="S64" s="937"/>
      <c r="T64" s="938"/>
      <c r="U64" s="936"/>
      <c r="V64" s="937"/>
      <c r="W64" s="938"/>
      <c r="X64" s="936"/>
      <c r="Y64" s="937"/>
      <c r="Z64" s="938"/>
      <c r="AA64" s="936"/>
      <c r="AB64" s="937"/>
      <c r="AC64" s="938"/>
      <c r="AD64" s="936"/>
      <c r="AE64" s="937"/>
      <c r="AF64" s="938"/>
      <c r="AG64" s="936"/>
      <c r="AH64" s="937"/>
      <c r="AI64" s="938"/>
      <c r="AJ64" s="936"/>
      <c r="AK64" s="937"/>
      <c r="AL64" s="938"/>
      <c r="AM64" s="936"/>
      <c r="AN64" s="933"/>
      <c r="AO64" s="936"/>
      <c r="AP64" s="933"/>
      <c r="AQ64" s="935"/>
      <c r="AR64" s="936"/>
      <c r="AS64" s="935"/>
      <c r="AT64" s="939"/>
      <c r="AU64" s="933"/>
      <c r="AV64" s="940"/>
      <c r="AW64" s="339">
        <f>AW58/AW55</f>
        <v>8.1439999999999999E-2</v>
      </c>
      <c r="AX64" s="939"/>
      <c r="AY64" s="939"/>
      <c r="AZ64" s="941"/>
      <c r="BA64" s="941"/>
      <c r="BB64" s="941"/>
      <c r="BC64" s="934"/>
      <c r="BD64" s="941"/>
      <c r="BE64" s="941"/>
      <c r="BF64" s="941"/>
      <c r="BG64" s="942"/>
      <c r="BH64" s="941"/>
      <c r="BI64" s="941"/>
      <c r="BJ64" s="941"/>
      <c r="BK64" s="943"/>
      <c r="BL64" s="943"/>
      <c r="BM64" s="943"/>
      <c r="BN64" s="943"/>
      <c r="BO64" s="943"/>
      <c r="BP64" s="944"/>
      <c r="BQ64" s="943"/>
      <c r="BR64" s="943"/>
      <c r="BS64" s="943"/>
      <c r="BU64" s="945"/>
      <c r="BV64" s="946"/>
      <c r="BW64" s="947"/>
      <c r="BX64" s="945"/>
      <c r="BY64" s="947"/>
      <c r="BZ64" s="946"/>
      <c r="CA64" s="947"/>
      <c r="CB64" s="946"/>
      <c r="CC64" s="947"/>
      <c r="CD64" s="947"/>
      <c r="CE64" s="947"/>
      <c r="CF64" s="948"/>
      <c r="CG64" s="949"/>
      <c r="CH64" s="949"/>
      <c r="CI64" s="950"/>
      <c r="CJ64" s="951"/>
      <c r="CK64" s="951"/>
      <c r="CL64" s="952"/>
      <c r="CM64" s="951"/>
      <c r="CN64" s="951"/>
      <c r="CO64" s="952"/>
      <c r="CP64" s="951"/>
      <c r="CQ64" s="951"/>
      <c r="CR64" s="952"/>
      <c r="CS64" s="946"/>
      <c r="CT64" s="953"/>
      <c r="CU64" s="953"/>
      <c r="CV64" s="953"/>
      <c r="CX64" s="951"/>
      <c r="CY64" s="951"/>
      <c r="CZ64" s="952"/>
      <c r="DB64" s="954"/>
      <c r="DC64" s="954"/>
      <c r="DD64" s="921"/>
      <c r="DE64" s="954"/>
      <c r="DF64" s="954"/>
      <c r="DG64" s="921"/>
      <c r="DH64" s="954"/>
      <c r="DI64" s="954"/>
      <c r="DJ64" s="921"/>
      <c r="DK64" s="954"/>
      <c r="DL64" s="954"/>
      <c r="DM64" s="921"/>
      <c r="DN64" s="954"/>
      <c r="DO64" s="954"/>
      <c r="DP64" s="921"/>
      <c r="DQ64" s="942"/>
      <c r="DR64" s="951"/>
      <c r="DS64" s="951"/>
      <c r="DT64" s="952"/>
      <c r="DV64" s="921"/>
      <c r="DW64" s="921"/>
      <c r="DX64" s="921"/>
      <c r="DY64" s="921"/>
      <c r="DZ64" s="921"/>
      <c r="EA64" s="921"/>
      <c r="EB64" s="921"/>
      <c r="EC64" s="921"/>
      <c r="ED64" s="921"/>
      <c r="EE64" s="921"/>
      <c r="EF64" s="921"/>
      <c r="EG64" s="921"/>
      <c r="EH64" s="921"/>
      <c r="EI64" s="921"/>
      <c r="EJ64" s="921"/>
      <c r="EK64" s="921"/>
      <c r="EL64" s="921"/>
      <c r="EM64" s="921"/>
      <c r="EN64" s="921"/>
      <c r="EO64" s="921"/>
      <c r="EP64" s="921"/>
      <c r="EQ64" s="954"/>
      <c r="ER64" s="954"/>
      <c r="ES64" s="954"/>
      <c r="ET64" s="954"/>
      <c r="EV64" s="942"/>
      <c r="EW64" s="951"/>
      <c r="EX64" s="951"/>
      <c r="EY64" s="952"/>
    </row>
    <row r="65" spans="1:155" s="927" customFormat="1" ht="15.75" x14ac:dyDescent="0.25">
      <c r="A65" s="931"/>
      <c r="B65" s="932" t="s">
        <v>807</v>
      </c>
      <c r="C65" s="933"/>
      <c r="D65" s="933"/>
      <c r="E65" s="934"/>
      <c r="F65" s="935"/>
      <c r="G65" s="934"/>
      <c r="H65" s="935"/>
      <c r="I65" s="936"/>
      <c r="J65" s="937"/>
      <c r="K65" s="938"/>
      <c r="L65" s="936"/>
      <c r="M65" s="937"/>
      <c r="N65" s="938"/>
      <c r="O65" s="936"/>
      <c r="P65" s="937"/>
      <c r="Q65" s="938"/>
      <c r="R65" s="936"/>
      <c r="S65" s="937"/>
      <c r="T65" s="938"/>
      <c r="U65" s="936"/>
      <c r="V65" s="937"/>
      <c r="W65" s="938"/>
      <c r="X65" s="936"/>
      <c r="Y65" s="937"/>
      <c r="Z65" s="938"/>
      <c r="AA65" s="936"/>
      <c r="AB65" s="937"/>
      <c r="AC65" s="938"/>
      <c r="AD65" s="936"/>
      <c r="AE65" s="937"/>
      <c r="AF65" s="938"/>
      <c r="AG65" s="936"/>
      <c r="AH65" s="937"/>
      <c r="AI65" s="938"/>
      <c r="AJ65" s="936"/>
      <c r="AK65" s="937"/>
      <c r="AL65" s="938"/>
      <c r="AM65" s="936"/>
      <c r="AN65" s="933"/>
      <c r="AO65" s="936"/>
      <c r="AP65" s="933"/>
      <c r="AQ65" s="935"/>
      <c r="AR65" s="936"/>
      <c r="AS65" s="935"/>
      <c r="AT65" s="939"/>
      <c r="AU65" s="933"/>
      <c r="AV65" s="940"/>
      <c r="AW65" s="335">
        <f>(AW48/12)/AW54</f>
        <v>1.17672</v>
      </c>
      <c r="AX65" s="939"/>
      <c r="AY65" s="939"/>
      <c r="AZ65" s="941"/>
      <c r="BA65" s="941"/>
      <c r="BB65" s="941"/>
      <c r="BC65" s="934"/>
      <c r="BD65" s="941"/>
      <c r="BE65" s="941"/>
      <c r="BF65" s="941"/>
      <c r="BG65" s="942"/>
      <c r="BH65" s="941"/>
      <c r="BI65" s="941"/>
      <c r="BJ65" s="941"/>
      <c r="BK65" s="943"/>
      <c r="BL65" s="943"/>
      <c r="BM65" s="943"/>
      <c r="BN65" s="943"/>
      <c r="BO65" s="943"/>
      <c r="BP65" s="944"/>
      <c r="BQ65" s="943"/>
      <c r="BR65" s="943"/>
      <c r="BS65" s="943"/>
      <c r="BU65" s="945"/>
      <c r="BV65" s="946"/>
      <c r="BW65" s="947"/>
      <c r="BX65" s="945"/>
      <c r="BY65" s="947"/>
      <c r="BZ65" s="946"/>
      <c r="CA65" s="947"/>
      <c r="CB65" s="946"/>
      <c r="CC65" s="947"/>
      <c r="CD65" s="947"/>
      <c r="CE65" s="947"/>
      <c r="CF65" s="948"/>
      <c r="CG65" s="949"/>
      <c r="CH65" s="949"/>
      <c r="CI65" s="950"/>
      <c r="CJ65" s="951"/>
      <c r="CK65" s="951"/>
      <c r="CL65" s="952"/>
      <c r="CM65" s="951"/>
      <c r="CN65" s="951"/>
      <c r="CO65" s="952"/>
      <c r="CP65" s="951"/>
      <c r="CQ65" s="951"/>
      <c r="CR65" s="952"/>
      <c r="CS65" s="946"/>
      <c r="CT65" s="953"/>
      <c r="CU65" s="953"/>
      <c r="CV65" s="953"/>
      <c r="CX65" s="951"/>
      <c r="CY65" s="951"/>
      <c r="CZ65" s="952"/>
      <c r="DB65" s="954"/>
      <c r="DC65" s="954"/>
      <c r="DD65" s="921"/>
      <c r="DE65" s="954"/>
      <c r="DF65" s="954"/>
      <c r="DG65" s="921"/>
      <c r="DH65" s="954"/>
      <c r="DI65" s="954"/>
      <c r="DJ65" s="921"/>
      <c r="DK65" s="954"/>
      <c r="DL65" s="954"/>
      <c r="DM65" s="921"/>
      <c r="DN65" s="954"/>
      <c r="DO65" s="954"/>
      <c r="DP65" s="921"/>
      <c r="DQ65" s="942"/>
      <c r="DR65" s="951"/>
      <c r="DS65" s="951"/>
      <c r="DT65" s="952"/>
      <c r="DV65" s="921"/>
      <c r="DW65" s="921"/>
      <c r="DX65" s="921"/>
      <c r="DY65" s="921"/>
      <c r="DZ65" s="921"/>
      <c r="EA65" s="921"/>
      <c r="EB65" s="921"/>
      <c r="EC65" s="921"/>
      <c r="ED65" s="921"/>
      <c r="EE65" s="921"/>
      <c r="EF65" s="921"/>
      <c r="EG65" s="921"/>
      <c r="EH65" s="921"/>
      <c r="EI65" s="921"/>
      <c r="EJ65" s="921"/>
      <c r="EK65" s="921"/>
      <c r="EL65" s="921"/>
      <c r="EM65" s="921"/>
      <c r="EN65" s="921"/>
      <c r="EO65" s="921"/>
      <c r="EP65" s="921"/>
      <c r="EQ65" s="954"/>
      <c r="ER65" s="954"/>
      <c r="ES65" s="954"/>
      <c r="ET65" s="954"/>
      <c r="EV65" s="942"/>
      <c r="EW65" s="951"/>
      <c r="EX65" s="951"/>
      <c r="EY65" s="952"/>
    </row>
    <row r="66" spans="1:155" s="927" customFormat="1" ht="15.75" x14ac:dyDescent="0.25">
      <c r="A66" s="931"/>
      <c r="B66" s="932"/>
      <c r="C66" s="933"/>
      <c r="D66" s="933"/>
      <c r="E66" s="934"/>
      <c r="F66" s="935"/>
      <c r="G66" s="934"/>
      <c r="H66" s="935"/>
      <c r="I66" s="936"/>
      <c r="J66" s="937"/>
      <c r="K66" s="938"/>
      <c r="L66" s="936"/>
      <c r="M66" s="937"/>
      <c r="N66" s="938"/>
      <c r="O66" s="936"/>
      <c r="P66" s="937"/>
      <c r="Q66" s="938"/>
      <c r="R66" s="936"/>
      <c r="S66" s="937"/>
      <c r="T66" s="938"/>
      <c r="U66" s="936"/>
      <c r="V66" s="937"/>
      <c r="W66" s="938"/>
      <c r="X66" s="936"/>
      <c r="Y66" s="937"/>
      <c r="Z66" s="938"/>
      <c r="AA66" s="936"/>
      <c r="AB66" s="937"/>
      <c r="AC66" s="938"/>
      <c r="AD66" s="936"/>
      <c r="AE66" s="937"/>
      <c r="AF66" s="938"/>
      <c r="AG66" s="936"/>
      <c r="AH66" s="937"/>
      <c r="AI66" s="938"/>
      <c r="AJ66" s="936"/>
      <c r="AK66" s="937"/>
      <c r="AL66" s="938"/>
      <c r="AM66" s="936"/>
      <c r="AN66" s="933"/>
      <c r="AO66" s="936"/>
      <c r="AP66" s="933"/>
      <c r="AQ66" s="935"/>
      <c r="AR66" s="936"/>
      <c r="AS66" s="935"/>
      <c r="AT66" s="939"/>
      <c r="AU66" s="933"/>
      <c r="AV66" s="940"/>
      <c r="AW66" s="939"/>
      <c r="AX66" s="939"/>
      <c r="AY66" s="939"/>
      <c r="AZ66" s="941"/>
      <c r="BA66" s="941"/>
      <c r="BB66" s="941"/>
      <c r="BC66" s="934"/>
      <c r="BD66" s="941"/>
      <c r="BE66" s="941"/>
      <c r="BF66" s="941"/>
      <c r="BG66" s="942"/>
      <c r="BH66" s="941"/>
      <c r="BI66" s="941"/>
      <c r="BJ66" s="941"/>
      <c r="BK66" s="943"/>
      <c r="BL66" s="943"/>
      <c r="BM66" s="943"/>
      <c r="BN66" s="943"/>
      <c r="BO66" s="943"/>
      <c r="BP66" s="944"/>
      <c r="BQ66" s="943"/>
      <c r="BR66" s="943"/>
      <c r="BS66" s="943"/>
      <c r="BU66" s="945"/>
      <c r="BV66" s="946"/>
      <c r="BW66" s="947"/>
      <c r="BX66" s="945"/>
      <c r="BY66" s="947"/>
      <c r="BZ66" s="946"/>
      <c r="CA66" s="947"/>
      <c r="CB66" s="946"/>
      <c r="CC66" s="947"/>
      <c r="CD66" s="947"/>
      <c r="CE66" s="947"/>
      <c r="CF66" s="948"/>
      <c r="CG66" s="949"/>
      <c r="CH66" s="949"/>
      <c r="CI66" s="950"/>
      <c r="CJ66" s="951"/>
      <c r="CK66" s="951"/>
      <c r="CL66" s="952"/>
      <c r="CM66" s="951"/>
      <c r="CN66" s="951"/>
      <c r="CO66" s="952"/>
      <c r="CP66" s="951"/>
      <c r="CQ66" s="951"/>
      <c r="CR66" s="952"/>
      <c r="CS66" s="946"/>
      <c r="CT66" s="953"/>
      <c r="CU66" s="953"/>
      <c r="CV66" s="953"/>
      <c r="CX66" s="951"/>
      <c r="CY66" s="951"/>
      <c r="CZ66" s="952"/>
      <c r="DB66" s="954"/>
      <c r="DC66" s="954"/>
      <c r="DD66" s="921"/>
      <c r="DE66" s="954"/>
      <c r="DF66" s="954"/>
      <c r="DG66" s="921"/>
      <c r="DH66" s="954"/>
      <c r="DI66" s="954"/>
      <c r="DJ66" s="921"/>
      <c r="DK66" s="954"/>
      <c r="DL66" s="954"/>
      <c r="DM66" s="921"/>
      <c r="DN66" s="954"/>
      <c r="DO66" s="954"/>
      <c r="DP66" s="921"/>
      <c r="DQ66" s="942"/>
      <c r="DR66" s="951"/>
      <c r="DS66" s="951"/>
      <c r="DT66" s="952"/>
      <c r="DV66" s="921"/>
      <c r="DW66" s="921"/>
      <c r="DX66" s="921"/>
      <c r="DY66" s="921"/>
      <c r="DZ66" s="921"/>
      <c r="EA66" s="921"/>
      <c r="EB66" s="921"/>
      <c r="EC66" s="921"/>
      <c r="ED66" s="921"/>
      <c r="EE66" s="921"/>
      <c r="EF66" s="921"/>
      <c r="EG66" s="921"/>
      <c r="EH66" s="921"/>
      <c r="EI66" s="921"/>
      <c r="EJ66" s="921"/>
      <c r="EK66" s="921"/>
      <c r="EL66" s="921"/>
      <c r="EM66" s="921"/>
      <c r="EN66" s="921"/>
      <c r="EO66" s="921"/>
      <c r="EP66" s="921"/>
      <c r="EQ66" s="954"/>
      <c r="ER66" s="954"/>
      <c r="ES66" s="954"/>
      <c r="ET66" s="954"/>
      <c r="EV66" s="942"/>
      <c r="EW66" s="951"/>
      <c r="EX66" s="951"/>
      <c r="EY66" s="952"/>
    </row>
    <row r="67" spans="1:155" s="927" customFormat="1" ht="20.100000000000001" customHeight="1" x14ac:dyDescent="0.25">
      <c r="A67" s="912" t="s">
        <v>286</v>
      </c>
      <c r="B67" s="913" t="s">
        <v>701</v>
      </c>
      <c r="C67" s="914">
        <v>0.75</v>
      </c>
      <c r="D67" s="914">
        <v>7755</v>
      </c>
      <c r="E67" s="915">
        <v>1.0549999999999999</v>
      </c>
      <c r="F67" s="916">
        <f t="shared" si="0"/>
        <v>8182</v>
      </c>
      <c r="G67" s="915">
        <v>1.01</v>
      </c>
      <c r="H67" s="916">
        <f t="shared" si="1"/>
        <v>8264</v>
      </c>
      <c r="I67" s="917">
        <f t="shared" si="2"/>
        <v>6198</v>
      </c>
      <c r="J67" s="918">
        <f t="shared" si="3"/>
        <v>0</v>
      </c>
      <c r="K67" s="919"/>
      <c r="L67" s="917">
        <f t="shared" si="4"/>
        <v>0</v>
      </c>
      <c r="M67" s="918">
        <f t="shared" si="5"/>
        <v>0</v>
      </c>
      <c r="N67" s="919"/>
      <c r="O67" s="917">
        <f t="shared" si="6"/>
        <v>0</v>
      </c>
      <c r="P67" s="918">
        <f t="shared" si="7"/>
        <v>0</v>
      </c>
      <c r="Q67" s="919"/>
      <c r="R67" s="917">
        <f t="shared" si="8"/>
        <v>0</v>
      </c>
      <c r="S67" s="918">
        <f t="shared" si="9"/>
        <v>0</v>
      </c>
      <c r="T67" s="919"/>
      <c r="U67" s="917">
        <f t="shared" si="10"/>
        <v>0</v>
      </c>
      <c r="V67" s="918">
        <f t="shared" si="11"/>
        <v>0</v>
      </c>
      <c r="W67" s="919"/>
      <c r="X67" s="917">
        <f t="shared" si="12"/>
        <v>0</v>
      </c>
      <c r="Y67" s="918">
        <f t="shared" si="13"/>
        <v>1.99</v>
      </c>
      <c r="Z67" s="919">
        <v>11574.34</v>
      </c>
      <c r="AA67" s="917">
        <f t="shared" si="14"/>
        <v>12334.02</v>
      </c>
      <c r="AB67" s="918">
        <f t="shared" si="15"/>
        <v>0.1</v>
      </c>
      <c r="AC67" s="919">
        <v>581.63</v>
      </c>
      <c r="AD67" s="917">
        <f t="shared" si="16"/>
        <v>619.79999999999995</v>
      </c>
      <c r="AE67" s="918">
        <f t="shared" si="17"/>
        <v>0</v>
      </c>
      <c r="AF67" s="919"/>
      <c r="AG67" s="917">
        <f t="shared" si="18"/>
        <v>0</v>
      </c>
      <c r="AH67" s="918">
        <f t="shared" si="19"/>
        <v>0</v>
      </c>
      <c r="AI67" s="919"/>
      <c r="AJ67" s="917">
        <f t="shared" si="20"/>
        <v>0</v>
      </c>
      <c r="AK67" s="918">
        <f t="shared" si="21"/>
        <v>0</v>
      </c>
      <c r="AL67" s="919"/>
      <c r="AM67" s="917">
        <f t="shared" si="22"/>
        <v>0</v>
      </c>
      <c r="AN67" s="920">
        <v>19242</v>
      </c>
      <c r="AO67" s="917">
        <f t="shared" si="23"/>
        <v>0</v>
      </c>
      <c r="AP67" s="920"/>
      <c r="AQ67" s="916">
        <f t="shared" si="24"/>
        <v>0</v>
      </c>
      <c r="AR67" s="917">
        <f t="shared" si="25"/>
        <v>19151.82</v>
      </c>
      <c r="AS67" s="916">
        <v>12</v>
      </c>
      <c r="AT67" s="921">
        <f t="shared" si="26"/>
        <v>229821.84</v>
      </c>
      <c r="AU67" s="920"/>
      <c r="AV67" s="922">
        <f t="shared" si="27"/>
        <v>2298.2199999999998</v>
      </c>
      <c r="AW67" s="921">
        <f t="shared" si="28"/>
        <v>232120.06</v>
      </c>
      <c r="AX67" s="921">
        <f t="shared" si="29"/>
        <v>70100.259999999995</v>
      </c>
      <c r="AY67" s="921">
        <f t="shared" si="30"/>
        <v>302220.32</v>
      </c>
      <c r="AZ67" s="923">
        <f t="shared" si="31"/>
        <v>232.1</v>
      </c>
      <c r="BA67" s="923">
        <f t="shared" si="32"/>
        <v>70.099999999999994</v>
      </c>
      <c r="BB67" s="923">
        <f t="shared" si="33"/>
        <v>302.2</v>
      </c>
      <c r="BC67" s="915">
        <v>0.95</v>
      </c>
      <c r="BD67" s="923">
        <f t="shared" si="34"/>
        <v>220.5</v>
      </c>
      <c r="BE67" s="923">
        <f t="shared" si="35"/>
        <v>66.599999999999994</v>
      </c>
      <c r="BF67" s="923">
        <f t="shared" si="36"/>
        <v>287.10000000000002</v>
      </c>
      <c r="BG67" s="924">
        <f>'[3]свод (2024)'!$B$116</f>
        <v>0.99758349999999996</v>
      </c>
      <c r="BH67" s="923">
        <f t="shared" si="37"/>
        <v>220</v>
      </c>
      <c r="BI67" s="923">
        <f t="shared" si="38"/>
        <v>66.400000000000006</v>
      </c>
      <c r="BJ67" s="923">
        <f t="shared" si="39"/>
        <v>286.39999999999998</v>
      </c>
      <c r="BK67" s="925">
        <f t="shared" si="40"/>
        <v>-12.1</v>
      </c>
      <c r="BL67" s="925">
        <f t="shared" si="40"/>
        <v>-3.7</v>
      </c>
      <c r="BM67" s="925">
        <f t="shared" si="41"/>
        <v>-15.8</v>
      </c>
      <c r="BN67" s="925">
        <f t="shared" si="42"/>
        <v>0</v>
      </c>
      <c r="BO67" s="925">
        <f t="shared" si="43"/>
        <v>0</v>
      </c>
      <c r="BP67" s="926"/>
      <c r="BQ67" s="925">
        <f t="shared" si="44"/>
        <v>220</v>
      </c>
      <c r="BR67" s="925">
        <f t="shared" si="44"/>
        <v>66.400000000000006</v>
      </c>
      <c r="BS67" s="925">
        <f t="shared" si="45"/>
        <v>286.39999999999998</v>
      </c>
      <c r="BU67" s="928"/>
      <c r="BV67" s="917"/>
      <c r="BW67" s="928"/>
      <c r="BX67" s="928"/>
      <c r="BY67" s="928"/>
      <c r="BZ67" s="917"/>
      <c r="CA67" s="928"/>
      <c r="CB67" s="917"/>
      <c r="CC67" s="928"/>
      <c r="CD67" s="928"/>
      <c r="CE67" s="928"/>
      <c r="CF67" s="929"/>
      <c r="CG67" s="928"/>
      <c r="CH67" s="928"/>
      <c r="CI67" s="928"/>
      <c r="CJ67" s="925"/>
      <c r="CK67" s="925"/>
      <c r="CL67" s="925"/>
      <c r="CM67" s="925"/>
      <c r="CN67" s="925"/>
      <c r="CO67" s="925"/>
      <c r="CP67" s="925"/>
      <c r="CQ67" s="925"/>
      <c r="CR67" s="925"/>
      <c r="CS67" s="917"/>
      <c r="CT67" s="928"/>
      <c r="CU67" s="928"/>
      <c r="CV67" s="928"/>
      <c r="CX67" s="925"/>
      <c r="CY67" s="925"/>
      <c r="CZ67" s="925"/>
      <c r="DB67" s="925"/>
      <c r="DC67" s="925"/>
      <c r="DD67" s="925"/>
      <c r="DE67" s="925"/>
      <c r="DF67" s="925"/>
      <c r="DG67" s="925"/>
      <c r="DH67" s="925"/>
      <c r="DI67" s="925"/>
      <c r="DJ67" s="925"/>
      <c r="DK67" s="925"/>
      <c r="DL67" s="925"/>
      <c r="DM67" s="925"/>
      <c r="DN67" s="925"/>
      <c r="DO67" s="925"/>
      <c r="DP67" s="925"/>
      <c r="DQ67" s="924"/>
      <c r="DR67" s="925"/>
      <c r="DS67" s="925"/>
      <c r="DT67" s="925"/>
      <c r="DV67" s="925"/>
      <c r="DW67" s="925"/>
      <c r="DX67" s="925"/>
      <c r="DY67" s="925"/>
      <c r="DZ67" s="925"/>
      <c r="EA67" s="925"/>
      <c r="EB67" s="925"/>
      <c r="EC67" s="925"/>
      <c r="ED67" s="925"/>
      <c r="EE67" s="925"/>
      <c r="EF67" s="925"/>
      <c r="EG67" s="925"/>
      <c r="EH67" s="925"/>
      <c r="EI67" s="925"/>
      <c r="EJ67" s="925"/>
      <c r="EK67" s="925"/>
      <c r="EL67" s="925"/>
      <c r="EM67" s="925"/>
      <c r="EN67" s="925"/>
      <c r="EO67" s="925"/>
      <c r="EP67" s="925"/>
      <c r="EQ67" s="925"/>
      <c r="ER67" s="925"/>
      <c r="ES67" s="925"/>
      <c r="ET67" s="925"/>
      <c r="EV67" s="924"/>
      <c r="EW67" s="925"/>
      <c r="EX67" s="925"/>
      <c r="EY67" s="925"/>
    </row>
    <row r="68" spans="1:155" s="927" customFormat="1" ht="20.100000000000001" customHeight="1" x14ac:dyDescent="0.25">
      <c r="A68" s="912" t="s">
        <v>286</v>
      </c>
      <c r="B68" s="913" t="s">
        <v>32</v>
      </c>
      <c r="C68" s="914">
        <v>1</v>
      </c>
      <c r="D68" s="914">
        <v>22544</v>
      </c>
      <c r="E68" s="915">
        <v>1.0549999999999999</v>
      </c>
      <c r="F68" s="916">
        <f t="shared" si="0"/>
        <v>23784</v>
      </c>
      <c r="G68" s="915">
        <v>1.01</v>
      </c>
      <c r="H68" s="916">
        <f t="shared" si="1"/>
        <v>24022</v>
      </c>
      <c r="I68" s="917">
        <f t="shared" si="2"/>
        <v>24022</v>
      </c>
      <c r="J68" s="918">
        <f t="shared" si="3"/>
        <v>0</v>
      </c>
      <c r="K68" s="919"/>
      <c r="L68" s="917">
        <f t="shared" si="4"/>
        <v>0</v>
      </c>
      <c r="M68" s="918">
        <f t="shared" si="5"/>
        <v>0</v>
      </c>
      <c r="N68" s="919"/>
      <c r="O68" s="917">
        <f t="shared" si="6"/>
        <v>0</v>
      </c>
      <c r="P68" s="918">
        <f t="shared" si="7"/>
        <v>0</v>
      </c>
      <c r="Q68" s="919"/>
      <c r="R68" s="917">
        <f t="shared" si="8"/>
        <v>0</v>
      </c>
      <c r="S68" s="918">
        <f t="shared" si="9"/>
        <v>0</v>
      </c>
      <c r="T68" s="919"/>
      <c r="U68" s="917">
        <f t="shared" si="10"/>
        <v>0</v>
      </c>
      <c r="V68" s="918">
        <f t="shared" si="11"/>
        <v>0</v>
      </c>
      <c r="W68" s="919"/>
      <c r="X68" s="917">
        <f t="shared" si="12"/>
        <v>0</v>
      </c>
      <c r="Y68" s="918">
        <f t="shared" si="13"/>
        <v>0.28000000000000003</v>
      </c>
      <c r="Z68" s="919">
        <v>6312.32</v>
      </c>
      <c r="AA68" s="917">
        <f t="shared" si="14"/>
        <v>6726.16</v>
      </c>
      <c r="AB68" s="918">
        <f t="shared" si="15"/>
        <v>0.1</v>
      </c>
      <c r="AC68" s="919">
        <v>2254.4</v>
      </c>
      <c r="AD68" s="917">
        <f t="shared" si="16"/>
        <v>2402.1999999999998</v>
      </c>
      <c r="AE68" s="918">
        <f t="shared" si="17"/>
        <v>0</v>
      </c>
      <c r="AF68" s="919"/>
      <c r="AG68" s="917">
        <f t="shared" si="18"/>
        <v>0</v>
      </c>
      <c r="AH68" s="918">
        <f t="shared" si="19"/>
        <v>0</v>
      </c>
      <c r="AI68" s="919"/>
      <c r="AJ68" s="917">
        <f t="shared" si="20"/>
        <v>0</v>
      </c>
      <c r="AK68" s="918">
        <f t="shared" si="21"/>
        <v>0</v>
      </c>
      <c r="AL68" s="919"/>
      <c r="AM68" s="917">
        <f t="shared" si="22"/>
        <v>0</v>
      </c>
      <c r="AN68" s="920">
        <v>19242</v>
      </c>
      <c r="AO68" s="917">
        <f t="shared" si="23"/>
        <v>0</v>
      </c>
      <c r="AP68" s="920"/>
      <c r="AQ68" s="916">
        <f t="shared" si="24"/>
        <v>0</v>
      </c>
      <c r="AR68" s="917">
        <f t="shared" si="25"/>
        <v>33150.36</v>
      </c>
      <c r="AS68" s="916">
        <v>12</v>
      </c>
      <c r="AT68" s="921">
        <f t="shared" si="26"/>
        <v>397804.32</v>
      </c>
      <c r="AU68" s="920"/>
      <c r="AV68" s="922">
        <f t="shared" si="27"/>
        <v>3978.04</v>
      </c>
      <c r="AW68" s="921">
        <f t="shared" si="28"/>
        <v>401782.36</v>
      </c>
      <c r="AX68" s="921">
        <f t="shared" si="29"/>
        <v>121338.27</v>
      </c>
      <c r="AY68" s="921">
        <f t="shared" si="30"/>
        <v>523120.63</v>
      </c>
      <c r="AZ68" s="923">
        <f t="shared" si="31"/>
        <v>401.8</v>
      </c>
      <c r="BA68" s="923">
        <f t="shared" si="32"/>
        <v>121.3</v>
      </c>
      <c r="BB68" s="923">
        <f t="shared" si="33"/>
        <v>523.1</v>
      </c>
      <c r="BC68" s="915">
        <v>0.95</v>
      </c>
      <c r="BD68" s="923">
        <f t="shared" si="34"/>
        <v>381.7</v>
      </c>
      <c r="BE68" s="923">
        <f t="shared" si="35"/>
        <v>115.3</v>
      </c>
      <c r="BF68" s="923">
        <f t="shared" si="36"/>
        <v>497</v>
      </c>
      <c r="BG68" s="924">
        <f>'[3]свод (2024)'!$B$116</f>
        <v>0.99758349999999996</v>
      </c>
      <c r="BH68" s="923">
        <f t="shared" si="37"/>
        <v>380.8</v>
      </c>
      <c r="BI68" s="923">
        <f t="shared" si="38"/>
        <v>115</v>
      </c>
      <c r="BJ68" s="923">
        <f t="shared" si="39"/>
        <v>495.8</v>
      </c>
      <c r="BK68" s="925">
        <f t="shared" si="40"/>
        <v>-21</v>
      </c>
      <c r="BL68" s="925">
        <f t="shared" si="40"/>
        <v>-6.3</v>
      </c>
      <c r="BM68" s="925">
        <f t="shared" si="41"/>
        <v>-27.3</v>
      </c>
      <c r="BN68" s="925">
        <f t="shared" si="42"/>
        <v>0</v>
      </c>
      <c r="BO68" s="925">
        <f t="shared" si="43"/>
        <v>0</v>
      </c>
      <c r="BP68" s="926"/>
      <c r="BQ68" s="925">
        <f t="shared" si="44"/>
        <v>380.8</v>
      </c>
      <c r="BR68" s="925">
        <f t="shared" si="44"/>
        <v>115</v>
      </c>
      <c r="BS68" s="925">
        <f t="shared" si="45"/>
        <v>495.8</v>
      </c>
      <c r="BU68" s="928"/>
      <c r="BV68" s="917"/>
      <c r="BW68" s="928"/>
      <c r="BX68" s="928"/>
      <c r="BY68" s="928"/>
      <c r="BZ68" s="917"/>
      <c r="CA68" s="928"/>
      <c r="CB68" s="917"/>
      <c r="CC68" s="928"/>
      <c r="CD68" s="928"/>
      <c r="CE68" s="928"/>
      <c r="CF68" s="929"/>
      <c r="CG68" s="928"/>
      <c r="CH68" s="928"/>
      <c r="CI68" s="928"/>
      <c r="CJ68" s="925"/>
      <c r="CK68" s="925"/>
      <c r="CL68" s="925"/>
      <c r="CM68" s="925"/>
      <c r="CN68" s="925"/>
      <c r="CO68" s="925"/>
      <c r="CP68" s="925"/>
      <c r="CQ68" s="925"/>
      <c r="CR68" s="925"/>
      <c r="CS68" s="917"/>
      <c r="CT68" s="928"/>
      <c r="CU68" s="928"/>
      <c r="CV68" s="928"/>
      <c r="CX68" s="925"/>
      <c r="CY68" s="925"/>
      <c r="CZ68" s="925"/>
      <c r="DB68" s="925"/>
      <c r="DC68" s="925"/>
      <c r="DD68" s="925"/>
      <c r="DE68" s="925"/>
      <c r="DF68" s="925"/>
      <c r="DG68" s="925"/>
      <c r="DH68" s="925"/>
      <c r="DI68" s="925"/>
      <c r="DJ68" s="925"/>
      <c r="DK68" s="925"/>
      <c r="DL68" s="925"/>
      <c r="DM68" s="925"/>
      <c r="DN68" s="925"/>
      <c r="DO68" s="925"/>
      <c r="DP68" s="925"/>
      <c r="DQ68" s="924"/>
      <c r="DR68" s="925"/>
      <c r="DS68" s="925"/>
      <c r="DT68" s="925"/>
      <c r="DV68" s="925"/>
      <c r="DW68" s="925"/>
      <c r="DX68" s="925"/>
      <c r="DY68" s="925"/>
      <c r="DZ68" s="925"/>
      <c r="EA68" s="925"/>
      <c r="EB68" s="925"/>
      <c r="EC68" s="925"/>
      <c r="ED68" s="925"/>
      <c r="EE68" s="925"/>
      <c r="EF68" s="925"/>
      <c r="EG68" s="925"/>
      <c r="EH68" s="925"/>
      <c r="EI68" s="925"/>
      <c r="EJ68" s="925"/>
      <c r="EK68" s="925"/>
      <c r="EL68" s="925"/>
      <c r="EM68" s="925"/>
      <c r="EN68" s="925"/>
      <c r="EO68" s="925"/>
      <c r="EP68" s="925"/>
      <c r="EQ68" s="925"/>
      <c r="ER68" s="925"/>
      <c r="ES68" s="925"/>
      <c r="ET68" s="925"/>
      <c r="EV68" s="924"/>
      <c r="EW68" s="925"/>
      <c r="EX68" s="925"/>
      <c r="EY68" s="925"/>
    </row>
    <row r="69" spans="1:155" s="927" customFormat="1" ht="20.100000000000001" customHeight="1" x14ac:dyDescent="0.25">
      <c r="A69" s="912" t="s">
        <v>286</v>
      </c>
      <c r="B69" s="913" t="s">
        <v>1380</v>
      </c>
      <c r="C69" s="914">
        <v>1</v>
      </c>
      <c r="D69" s="914">
        <v>25048</v>
      </c>
      <c r="E69" s="915">
        <v>1.0549999999999999</v>
      </c>
      <c r="F69" s="916">
        <f t="shared" si="0"/>
        <v>26426</v>
      </c>
      <c r="G69" s="915">
        <v>1.01</v>
      </c>
      <c r="H69" s="916">
        <f t="shared" si="1"/>
        <v>26691</v>
      </c>
      <c r="I69" s="917">
        <f t="shared" si="2"/>
        <v>26691</v>
      </c>
      <c r="J69" s="918">
        <f t="shared" si="3"/>
        <v>0</v>
      </c>
      <c r="K69" s="919"/>
      <c r="L69" s="917">
        <f t="shared" si="4"/>
        <v>0</v>
      </c>
      <c r="M69" s="918">
        <f t="shared" si="5"/>
        <v>0</v>
      </c>
      <c r="N69" s="919"/>
      <c r="O69" s="917">
        <f t="shared" si="6"/>
        <v>0</v>
      </c>
      <c r="P69" s="918">
        <f t="shared" si="7"/>
        <v>0</v>
      </c>
      <c r="Q69" s="919"/>
      <c r="R69" s="917">
        <f t="shared" si="8"/>
        <v>0</v>
      </c>
      <c r="S69" s="918">
        <f t="shared" si="9"/>
        <v>0</v>
      </c>
      <c r="T69" s="919"/>
      <c r="U69" s="917">
        <f t="shared" si="10"/>
        <v>0</v>
      </c>
      <c r="V69" s="918">
        <f t="shared" si="11"/>
        <v>0</v>
      </c>
      <c r="W69" s="919"/>
      <c r="X69" s="917">
        <f t="shared" si="12"/>
        <v>0</v>
      </c>
      <c r="Y69" s="918">
        <f t="shared" si="13"/>
        <v>0.28499999999999998</v>
      </c>
      <c r="Z69" s="919">
        <v>7138.68</v>
      </c>
      <c r="AA69" s="917">
        <f t="shared" si="14"/>
        <v>7606.94</v>
      </c>
      <c r="AB69" s="918">
        <f t="shared" si="15"/>
        <v>0.15</v>
      </c>
      <c r="AC69" s="919">
        <v>3757.2</v>
      </c>
      <c r="AD69" s="917">
        <f t="shared" si="16"/>
        <v>4003.65</v>
      </c>
      <c r="AE69" s="918">
        <f t="shared" si="17"/>
        <v>0</v>
      </c>
      <c r="AF69" s="919"/>
      <c r="AG69" s="917">
        <f t="shared" si="18"/>
        <v>0</v>
      </c>
      <c r="AH69" s="918">
        <f t="shared" si="19"/>
        <v>0</v>
      </c>
      <c r="AI69" s="919"/>
      <c r="AJ69" s="917">
        <f t="shared" si="20"/>
        <v>0</v>
      </c>
      <c r="AK69" s="918">
        <f t="shared" si="21"/>
        <v>0</v>
      </c>
      <c r="AL69" s="919"/>
      <c r="AM69" s="917">
        <f t="shared" si="22"/>
        <v>0</v>
      </c>
      <c r="AN69" s="920">
        <v>19242</v>
      </c>
      <c r="AO69" s="917">
        <f t="shared" si="23"/>
        <v>0</v>
      </c>
      <c r="AP69" s="920"/>
      <c r="AQ69" s="916">
        <f t="shared" si="24"/>
        <v>0</v>
      </c>
      <c r="AR69" s="917">
        <f t="shared" si="25"/>
        <v>38301.589999999997</v>
      </c>
      <c r="AS69" s="916">
        <v>12</v>
      </c>
      <c r="AT69" s="921">
        <f t="shared" si="26"/>
        <v>459619.08</v>
      </c>
      <c r="AU69" s="920"/>
      <c r="AV69" s="922">
        <f t="shared" si="27"/>
        <v>4596.1899999999996</v>
      </c>
      <c r="AW69" s="921">
        <f t="shared" si="28"/>
        <v>464215.27</v>
      </c>
      <c r="AX69" s="921">
        <f t="shared" si="29"/>
        <v>140193.01</v>
      </c>
      <c r="AY69" s="921">
        <f t="shared" si="30"/>
        <v>604408.28</v>
      </c>
      <c r="AZ69" s="923">
        <f t="shared" si="31"/>
        <v>464.2</v>
      </c>
      <c r="BA69" s="923">
        <f t="shared" si="32"/>
        <v>140.19999999999999</v>
      </c>
      <c r="BB69" s="923">
        <f t="shared" si="33"/>
        <v>604.4</v>
      </c>
      <c r="BC69" s="915">
        <v>0.95</v>
      </c>
      <c r="BD69" s="923">
        <f t="shared" si="34"/>
        <v>441</v>
      </c>
      <c r="BE69" s="923">
        <f t="shared" si="35"/>
        <v>133.19999999999999</v>
      </c>
      <c r="BF69" s="923">
        <f t="shared" si="36"/>
        <v>574.20000000000005</v>
      </c>
      <c r="BG69" s="924">
        <f>'[3]свод (2024)'!$B$116</f>
        <v>0.99758349999999996</v>
      </c>
      <c r="BH69" s="923">
        <f t="shared" si="37"/>
        <v>439.9</v>
      </c>
      <c r="BI69" s="923">
        <f t="shared" si="38"/>
        <v>132.80000000000001</v>
      </c>
      <c r="BJ69" s="923">
        <f t="shared" si="39"/>
        <v>572.70000000000005</v>
      </c>
      <c r="BK69" s="925">
        <f t="shared" si="40"/>
        <v>-24.3</v>
      </c>
      <c r="BL69" s="925">
        <f t="shared" si="40"/>
        <v>-7.4</v>
      </c>
      <c r="BM69" s="925">
        <f t="shared" si="41"/>
        <v>-31.7</v>
      </c>
      <c r="BN69" s="925">
        <f t="shared" si="42"/>
        <v>0</v>
      </c>
      <c r="BO69" s="925">
        <f t="shared" si="43"/>
        <v>0</v>
      </c>
      <c r="BP69" s="926"/>
      <c r="BQ69" s="925">
        <f t="shared" si="44"/>
        <v>439.9</v>
      </c>
      <c r="BR69" s="925">
        <f t="shared" si="44"/>
        <v>132.80000000000001</v>
      </c>
      <c r="BS69" s="925">
        <f t="shared" si="45"/>
        <v>572.70000000000005</v>
      </c>
      <c r="BU69" s="928"/>
      <c r="BV69" s="917"/>
      <c r="BW69" s="928"/>
      <c r="BX69" s="928"/>
      <c r="BY69" s="928"/>
      <c r="BZ69" s="917"/>
      <c r="CA69" s="928"/>
      <c r="CB69" s="917"/>
      <c r="CC69" s="928"/>
      <c r="CD69" s="928"/>
      <c r="CE69" s="928"/>
      <c r="CF69" s="929"/>
      <c r="CG69" s="928"/>
      <c r="CH69" s="928"/>
      <c r="CI69" s="928"/>
      <c r="CJ69" s="925"/>
      <c r="CK69" s="925"/>
      <c r="CL69" s="925"/>
      <c r="CM69" s="925"/>
      <c r="CN69" s="925"/>
      <c r="CO69" s="925"/>
      <c r="CP69" s="925"/>
      <c r="CQ69" s="925"/>
      <c r="CR69" s="925"/>
      <c r="CS69" s="917"/>
      <c r="CT69" s="928"/>
      <c r="CU69" s="928"/>
      <c r="CV69" s="928"/>
      <c r="CX69" s="925"/>
      <c r="CY69" s="925"/>
      <c r="CZ69" s="925"/>
      <c r="DB69" s="925"/>
      <c r="DC69" s="925"/>
      <c r="DD69" s="925"/>
      <c r="DE69" s="925"/>
      <c r="DF69" s="925"/>
      <c r="DG69" s="925"/>
      <c r="DH69" s="925"/>
      <c r="DI69" s="925"/>
      <c r="DJ69" s="925"/>
      <c r="DK69" s="925"/>
      <c r="DL69" s="925"/>
      <c r="DM69" s="925"/>
      <c r="DN69" s="925"/>
      <c r="DO69" s="925"/>
      <c r="DP69" s="925"/>
      <c r="DQ69" s="924"/>
      <c r="DR69" s="925"/>
      <c r="DS69" s="925"/>
      <c r="DT69" s="925"/>
      <c r="DV69" s="925"/>
      <c r="DW69" s="925"/>
      <c r="DX69" s="925"/>
      <c r="DY69" s="925"/>
      <c r="DZ69" s="925"/>
      <c r="EA69" s="925"/>
      <c r="EB69" s="925"/>
      <c r="EC69" s="925"/>
      <c r="ED69" s="925"/>
      <c r="EE69" s="925"/>
      <c r="EF69" s="925"/>
      <c r="EG69" s="925"/>
      <c r="EH69" s="925"/>
      <c r="EI69" s="925"/>
      <c r="EJ69" s="925"/>
      <c r="EK69" s="925"/>
      <c r="EL69" s="925"/>
      <c r="EM69" s="925"/>
      <c r="EN69" s="925"/>
      <c r="EO69" s="925"/>
      <c r="EP69" s="925"/>
      <c r="EQ69" s="925"/>
      <c r="ER69" s="925"/>
      <c r="ES69" s="925"/>
      <c r="ET69" s="925"/>
      <c r="EV69" s="924"/>
      <c r="EW69" s="925"/>
      <c r="EX69" s="925"/>
      <c r="EY69" s="925"/>
    </row>
    <row r="70" spans="1:155" s="927" customFormat="1" ht="20.100000000000001" customHeight="1" x14ac:dyDescent="0.25">
      <c r="A70" s="912" t="s">
        <v>286</v>
      </c>
      <c r="B70" s="913" t="s">
        <v>39</v>
      </c>
      <c r="C70" s="914">
        <v>1</v>
      </c>
      <c r="D70" s="914">
        <v>6097</v>
      </c>
      <c r="E70" s="915">
        <v>1.0549999999999999</v>
      </c>
      <c r="F70" s="916">
        <f t="shared" si="0"/>
        <v>6433</v>
      </c>
      <c r="G70" s="915">
        <v>1.01</v>
      </c>
      <c r="H70" s="916">
        <f t="shared" si="1"/>
        <v>6498</v>
      </c>
      <c r="I70" s="917">
        <f t="shared" si="2"/>
        <v>6498</v>
      </c>
      <c r="J70" s="918">
        <f t="shared" si="3"/>
        <v>0</v>
      </c>
      <c r="K70" s="919"/>
      <c r="L70" s="917">
        <f t="shared" si="4"/>
        <v>0</v>
      </c>
      <c r="M70" s="918">
        <f t="shared" si="5"/>
        <v>0</v>
      </c>
      <c r="N70" s="919"/>
      <c r="O70" s="917">
        <f t="shared" si="6"/>
        <v>0</v>
      </c>
      <c r="P70" s="918">
        <f t="shared" si="7"/>
        <v>0</v>
      </c>
      <c r="Q70" s="919"/>
      <c r="R70" s="917">
        <f t="shared" si="8"/>
        <v>0</v>
      </c>
      <c r="S70" s="918">
        <f t="shared" si="9"/>
        <v>0</v>
      </c>
      <c r="T70" s="919"/>
      <c r="U70" s="917">
        <f t="shared" si="10"/>
        <v>0</v>
      </c>
      <c r="V70" s="918">
        <f t="shared" si="11"/>
        <v>0</v>
      </c>
      <c r="W70" s="919"/>
      <c r="X70" s="917">
        <f t="shared" si="12"/>
        <v>0</v>
      </c>
      <c r="Y70" s="918">
        <f t="shared" si="13"/>
        <v>1.99</v>
      </c>
      <c r="Z70" s="919">
        <v>12133.03</v>
      </c>
      <c r="AA70" s="917">
        <f t="shared" si="14"/>
        <v>12931.02</v>
      </c>
      <c r="AB70" s="918">
        <f t="shared" si="15"/>
        <v>0.1</v>
      </c>
      <c r="AC70" s="919">
        <v>609.70000000000005</v>
      </c>
      <c r="AD70" s="917">
        <f t="shared" si="16"/>
        <v>649.79999999999995</v>
      </c>
      <c r="AE70" s="918">
        <f t="shared" si="17"/>
        <v>0</v>
      </c>
      <c r="AF70" s="919"/>
      <c r="AG70" s="917">
        <f t="shared" si="18"/>
        <v>0</v>
      </c>
      <c r="AH70" s="918">
        <f t="shared" si="19"/>
        <v>0</v>
      </c>
      <c r="AI70" s="919"/>
      <c r="AJ70" s="917">
        <f t="shared" si="20"/>
        <v>0</v>
      </c>
      <c r="AK70" s="918">
        <f t="shared" si="21"/>
        <v>0</v>
      </c>
      <c r="AL70" s="919"/>
      <c r="AM70" s="917">
        <f t="shared" si="22"/>
        <v>0</v>
      </c>
      <c r="AN70" s="920">
        <v>19242</v>
      </c>
      <c r="AO70" s="917">
        <f t="shared" si="23"/>
        <v>0</v>
      </c>
      <c r="AP70" s="920"/>
      <c r="AQ70" s="916">
        <f t="shared" si="24"/>
        <v>0</v>
      </c>
      <c r="AR70" s="917">
        <f t="shared" si="25"/>
        <v>20078.82</v>
      </c>
      <c r="AS70" s="916">
        <v>12</v>
      </c>
      <c r="AT70" s="921">
        <f t="shared" si="26"/>
        <v>240945.84</v>
      </c>
      <c r="AU70" s="920"/>
      <c r="AV70" s="922">
        <f t="shared" si="27"/>
        <v>2409.46</v>
      </c>
      <c r="AW70" s="921">
        <f t="shared" si="28"/>
        <v>243355.3</v>
      </c>
      <c r="AX70" s="921">
        <f t="shared" si="29"/>
        <v>73493.3</v>
      </c>
      <c r="AY70" s="921">
        <f t="shared" si="30"/>
        <v>316848.59999999998</v>
      </c>
      <c r="AZ70" s="923">
        <f t="shared" si="31"/>
        <v>243.4</v>
      </c>
      <c r="BA70" s="923">
        <f t="shared" si="32"/>
        <v>73.5</v>
      </c>
      <c r="BB70" s="923">
        <f t="shared" si="33"/>
        <v>316.89999999999998</v>
      </c>
      <c r="BC70" s="915">
        <v>0.95</v>
      </c>
      <c r="BD70" s="923">
        <f t="shared" si="34"/>
        <v>231.2</v>
      </c>
      <c r="BE70" s="923">
        <f t="shared" si="35"/>
        <v>69.8</v>
      </c>
      <c r="BF70" s="923">
        <f t="shared" si="36"/>
        <v>301</v>
      </c>
      <c r="BG70" s="924">
        <f>'[3]свод (2024)'!$B$116</f>
        <v>0.99758349999999996</v>
      </c>
      <c r="BH70" s="923">
        <f t="shared" si="37"/>
        <v>230.6</v>
      </c>
      <c r="BI70" s="923">
        <f t="shared" si="38"/>
        <v>69.599999999999994</v>
      </c>
      <c r="BJ70" s="923">
        <f t="shared" si="39"/>
        <v>300.2</v>
      </c>
      <c r="BK70" s="925">
        <f t="shared" si="40"/>
        <v>-12.8</v>
      </c>
      <c r="BL70" s="925">
        <f t="shared" si="40"/>
        <v>-3.9</v>
      </c>
      <c r="BM70" s="925">
        <f t="shared" si="41"/>
        <v>-16.7</v>
      </c>
      <c r="BN70" s="925">
        <f t="shared" si="42"/>
        <v>0</v>
      </c>
      <c r="BO70" s="925">
        <f t="shared" si="43"/>
        <v>0</v>
      </c>
      <c r="BP70" s="926"/>
      <c r="BQ70" s="925">
        <f t="shared" si="44"/>
        <v>230.6</v>
      </c>
      <c r="BR70" s="925">
        <f t="shared" si="44"/>
        <v>69.599999999999994</v>
      </c>
      <c r="BS70" s="925">
        <f t="shared" si="45"/>
        <v>300.2</v>
      </c>
      <c r="BU70" s="928"/>
      <c r="BV70" s="917"/>
      <c r="BW70" s="928"/>
      <c r="BX70" s="928"/>
      <c r="BY70" s="928"/>
      <c r="BZ70" s="917"/>
      <c r="CA70" s="928"/>
      <c r="CB70" s="917"/>
      <c r="CC70" s="928"/>
      <c r="CD70" s="928"/>
      <c r="CE70" s="928"/>
      <c r="CF70" s="929"/>
      <c r="CG70" s="928"/>
      <c r="CH70" s="928"/>
      <c r="CI70" s="928"/>
      <c r="CJ70" s="925"/>
      <c r="CK70" s="925"/>
      <c r="CL70" s="925"/>
      <c r="CM70" s="925"/>
      <c r="CN70" s="925"/>
      <c r="CO70" s="925"/>
      <c r="CP70" s="925"/>
      <c r="CQ70" s="925"/>
      <c r="CR70" s="925"/>
      <c r="CS70" s="917"/>
      <c r="CT70" s="928"/>
      <c r="CU70" s="928"/>
      <c r="CV70" s="928"/>
      <c r="CX70" s="925"/>
      <c r="CY70" s="925"/>
      <c r="CZ70" s="925"/>
      <c r="DB70" s="925"/>
      <c r="DC70" s="925"/>
      <c r="DD70" s="925"/>
      <c r="DE70" s="925"/>
      <c r="DF70" s="925"/>
      <c r="DG70" s="925"/>
      <c r="DH70" s="925"/>
      <c r="DI70" s="925"/>
      <c r="DJ70" s="925"/>
      <c r="DK70" s="925"/>
      <c r="DL70" s="925"/>
      <c r="DM70" s="925"/>
      <c r="DN70" s="925"/>
      <c r="DO70" s="925"/>
      <c r="DP70" s="925"/>
      <c r="DQ70" s="924"/>
      <c r="DR70" s="925"/>
      <c r="DS70" s="925"/>
      <c r="DT70" s="925"/>
      <c r="DV70" s="925"/>
      <c r="DW70" s="925"/>
      <c r="DX70" s="925"/>
      <c r="DY70" s="925"/>
      <c r="DZ70" s="925"/>
      <c r="EA70" s="925"/>
      <c r="EB70" s="925"/>
      <c r="EC70" s="925"/>
      <c r="ED70" s="925"/>
      <c r="EE70" s="925"/>
      <c r="EF70" s="925"/>
      <c r="EG70" s="925"/>
      <c r="EH70" s="925"/>
      <c r="EI70" s="925"/>
      <c r="EJ70" s="925"/>
      <c r="EK70" s="925"/>
      <c r="EL70" s="925"/>
      <c r="EM70" s="925"/>
      <c r="EN70" s="925"/>
      <c r="EO70" s="925"/>
      <c r="EP70" s="925"/>
      <c r="EQ70" s="925"/>
      <c r="ER70" s="925"/>
      <c r="ES70" s="925"/>
      <c r="ET70" s="925"/>
      <c r="EV70" s="924"/>
      <c r="EW70" s="925"/>
      <c r="EX70" s="925"/>
      <c r="EY70" s="925"/>
    </row>
    <row r="71" spans="1:155" s="927" customFormat="1" ht="31.5" x14ac:dyDescent="0.25">
      <c r="A71" s="912" t="s">
        <v>286</v>
      </c>
      <c r="B71" s="913" t="s">
        <v>30</v>
      </c>
      <c r="C71" s="914">
        <v>1</v>
      </c>
      <c r="D71" s="914">
        <v>22544</v>
      </c>
      <c r="E71" s="915">
        <v>1.0549999999999999</v>
      </c>
      <c r="F71" s="916">
        <f t="shared" si="0"/>
        <v>23784</v>
      </c>
      <c r="G71" s="915">
        <v>1.01</v>
      </c>
      <c r="H71" s="916">
        <f t="shared" si="1"/>
        <v>24022</v>
      </c>
      <c r="I71" s="917">
        <f t="shared" si="2"/>
        <v>24022</v>
      </c>
      <c r="J71" s="918">
        <f t="shared" si="3"/>
        <v>0</v>
      </c>
      <c r="K71" s="919"/>
      <c r="L71" s="917">
        <f t="shared" si="4"/>
        <v>0</v>
      </c>
      <c r="M71" s="918">
        <f t="shared" si="5"/>
        <v>0</v>
      </c>
      <c r="N71" s="919"/>
      <c r="O71" s="917">
        <f t="shared" si="6"/>
        <v>0</v>
      </c>
      <c r="P71" s="918">
        <f t="shared" si="7"/>
        <v>0</v>
      </c>
      <c r="Q71" s="988"/>
      <c r="R71" s="917">
        <f t="shared" si="8"/>
        <v>0</v>
      </c>
      <c r="S71" s="918">
        <f t="shared" si="9"/>
        <v>0</v>
      </c>
      <c r="T71" s="919"/>
      <c r="U71" s="917">
        <f t="shared" si="10"/>
        <v>0</v>
      </c>
      <c r="V71" s="918">
        <f t="shared" si="11"/>
        <v>0</v>
      </c>
      <c r="W71" s="919"/>
      <c r="X71" s="917">
        <f t="shared" si="12"/>
        <v>0</v>
      </c>
      <c r="Y71" s="918">
        <f t="shared" si="13"/>
        <v>0.28000000000000003</v>
      </c>
      <c r="Z71" s="919">
        <v>6312.32</v>
      </c>
      <c r="AA71" s="917">
        <f t="shared" si="14"/>
        <v>6726.16</v>
      </c>
      <c r="AB71" s="918">
        <f t="shared" si="15"/>
        <v>0.1</v>
      </c>
      <c r="AC71" s="919">
        <v>2254.4</v>
      </c>
      <c r="AD71" s="917">
        <f t="shared" si="16"/>
        <v>2402.1999999999998</v>
      </c>
      <c r="AE71" s="918">
        <f t="shared" si="17"/>
        <v>0</v>
      </c>
      <c r="AF71" s="919"/>
      <c r="AG71" s="917">
        <f t="shared" si="18"/>
        <v>0</v>
      </c>
      <c r="AH71" s="918">
        <f t="shared" si="19"/>
        <v>0</v>
      </c>
      <c r="AI71" s="919"/>
      <c r="AJ71" s="917">
        <f t="shared" si="20"/>
        <v>0</v>
      </c>
      <c r="AK71" s="918">
        <f t="shared" si="21"/>
        <v>0</v>
      </c>
      <c r="AL71" s="919"/>
      <c r="AM71" s="917">
        <f t="shared" si="22"/>
        <v>0</v>
      </c>
      <c r="AN71" s="920">
        <v>19242</v>
      </c>
      <c r="AO71" s="917">
        <f t="shared" si="23"/>
        <v>0</v>
      </c>
      <c r="AP71" s="920"/>
      <c r="AQ71" s="916">
        <f t="shared" si="24"/>
        <v>0</v>
      </c>
      <c r="AR71" s="917">
        <f t="shared" si="25"/>
        <v>33150.36</v>
      </c>
      <c r="AS71" s="916">
        <v>12</v>
      </c>
      <c r="AT71" s="921">
        <f t="shared" si="26"/>
        <v>397804.32</v>
      </c>
      <c r="AU71" s="920"/>
      <c r="AV71" s="922">
        <f t="shared" si="27"/>
        <v>3978.04</v>
      </c>
      <c r="AW71" s="921">
        <f t="shared" si="28"/>
        <v>401782.36</v>
      </c>
      <c r="AX71" s="921">
        <f t="shared" si="29"/>
        <v>121338.27</v>
      </c>
      <c r="AY71" s="921">
        <f t="shared" si="30"/>
        <v>523120.63</v>
      </c>
      <c r="AZ71" s="923">
        <f t="shared" si="31"/>
        <v>401.8</v>
      </c>
      <c r="BA71" s="923">
        <f t="shared" si="32"/>
        <v>121.3</v>
      </c>
      <c r="BB71" s="923">
        <f t="shared" si="33"/>
        <v>523.1</v>
      </c>
      <c r="BC71" s="915">
        <v>0.95</v>
      </c>
      <c r="BD71" s="923">
        <f t="shared" si="34"/>
        <v>381.7</v>
      </c>
      <c r="BE71" s="923">
        <f t="shared" si="35"/>
        <v>115.3</v>
      </c>
      <c r="BF71" s="923">
        <f t="shared" si="36"/>
        <v>497</v>
      </c>
      <c r="BG71" s="924">
        <f>'[3]свод (2024)'!$B$116</f>
        <v>0.99758349999999996</v>
      </c>
      <c r="BH71" s="923">
        <f t="shared" si="37"/>
        <v>380.8</v>
      </c>
      <c r="BI71" s="923">
        <f t="shared" si="38"/>
        <v>115</v>
      </c>
      <c r="BJ71" s="923">
        <f t="shared" si="39"/>
        <v>495.8</v>
      </c>
      <c r="BK71" s="925">
        <f t="shared" si="40"/>
        <v>-21</v>
      </c>
      <c r="BL71" s="925">
        <f t="shared" si="40"/>
        <v>-6.3</v>
      </c>
      <c r="BM71" s="925">
        <f t="shared" si="41"/>
        <v>-27.3</v>
      </c>
      <c r="BN71" s="925">
        <f t="shared" si="42"/>
        <v>0</v>
      </c>
      <c r="BO71" s="925">
        <f t="shared" si="43"/>
        <v>0</v>
      </c>
      <c r="BP71" s="926"/>
      <c r="BQ71" s="925">
        <f t="shared" si="44"/>
        <v>380.8</v>
      </c>
      <c r="BR71" s="925">
        <f t="shared" si="44"/>
        <v>115</v>
      </c>
      <c r="BS71" s="925">
        <f t="shared" si="45"/>
        <v>495.8</v>
      </c>
      <c r="BU71" s="928"/>
      <c r="BV71" s="917"/>
      <c r="BW71" s="928"/>
      <c r="BX71" s="928"/>
      <c r="BY71" s="928"/>
      <c r="BZ71" s="917"/>
      <c r="CA71" s="928"/>
      <c r="CB71" s="917"/>
      <c r="CC71" s="928"/>
      <c r="CD71" s="928"/>
      <c r="CE71" s="928"/>
      <c r="CF71" s="929"/>
      <c r="CG71" s="928"/>
      <c r="CH71" s="928"/>
      <c r="CI71" s="928"/>
      <c r="CJ71" s="925"/>
      <c r="CK71" s="925"/>
      <c r="CL71" s="925"/>
      <c r="CM71" s="925"/>
      <c r="CN71" s="925"/>
      <c r="CO71" s="925"/>
      <c r="CP71" s="925"/>
      <c r="CQ71" s="925"/>
      <c r="CR71" s="925"/>
      <c r="CS71" s="917"/>
      <c r="CT71" s="928"/>
      <c r="CU71" s="928"/>
      <c r="CV71" s="928"/>
      <c r="CX71" s="925"/>
      <c r="CY71" s="925"/>
      <c r="CZ71" s="925"/>
      <c r="DB71" s="925"/>
      <c r="DC71" s="925"/>
      <c r="DD71" s="925"/>
      <c r="DE71" s="925"/>
      <c r="DF71" s="925"/>
      <c r="DG71" s="925"/>
      <c r="DH71" s="925"/>
      <c r="DI71" s="925"/>
      <c r="DJ71" s="925"/>
      <c r="DK71" s="925"/>
      <c r="DL71" s="925"/>
      <c r="DM71" s="925"/>
      <c r="DN71" s="925"/>
      <c r="DO71" s="925"/>
      <c r="DP71" s="925"/>
      <c r="DQ71" s="924"/>
      <c r="DR71" s="925"/>
      <c r="DS71" s="925"/>
      <c r="DT71" s="925"/>
      <c r="DV71" s="925"/>
      <c r="DW71" s="925"/>
      <c r="DX71" s="925"/>
      <c r="DY71" s="925"/>
      <c r="DZ71" s="925"/>
      <c r="EA71" s="925"/>
      <c r="EB71" s="925"/>
      <c r="EC71" s="925"/>
      <c r="ED71" s="925"/>
      <c r="EE71" s="925"/>
      <c r="EF71" s="925"/>
      <c r="EG71" s="925"/>
      <c r="EH71" s="925"/>
      <c r="EI71" s="925"/>
      <c r="EJ71" s="925"/>
      <c r="EK71" s="925"/>
      <c r="EL71" s="925"/>
      <c r="EM71" s="925"/>
      <c r="EN71" s="925"/>
      <c r="EO71" s="925"/>
      <c r="EP71" s="925"/>
      <c r="EQ71" s="925"/>
      <c r="ER71" s="925"/>
      <c r="ES71" s="925"/>
      <c r="ET71" s="925"/>
      <c r="EV71" s="924"/>
      <c r="EW71" s="925"/>
      <c r="EX71" s="925"/>
      <c r="EY71" s="925"/>
    </row>
    <row r="72" spans="1:155" s="927" customFormat="1" ht="20.100000000000001" customHeight="1" x14ac:dyDescent="0.25">
      <c r="A72" s="912" t="s">
        <v>286</v>
      </c>
      <c r="B72" s="913" t="s">
        <v>628</v>
      </c>
      <c r="C72" s="914">
        <v>0.25</v>
      </c>
      <c r="D72" s="914">
        <v>5805</v>
      </c>
      <c r="E72" s="915">
        <v>1.0549999999999999</v>
      </c>
      <c r="F72" s="916">
        <f t="shared" si="0"/>
        <v>6125</v>
      </c>
      <c r="G72" s="915">
        <v>1.01</v>
      </c>
      <c r="H72" s="916">
        <f t="shared" si="1"/>
        <v>6187</v>
      </c>
      <c r="I72" s="917">
        <f t="shared" si="2"/>
        <v>1546.75</v>
      </c>
      <c r="J72" s="918">
        <f t="shared" si="3"/>
        <v>0</v>
      </c>
      <c r="K72" s="919"/>
      <c r="L72" s="917">
        <f t="shared" si="4"/>
        <v>0</v>
      </c>
      <c r="M72" s="918">
        <f t="shared" si="5"/>
        <v>0</v>
      </c>
      <c r="N72" s="919"/>
      <c r="O72" s="917">
        <f t="shared" si="6"/>
        <v>0</v>
      </c>
      <c r="P72" s="918">
        <f t="shared" si="7"/>
        <v>0</v>
      </c>
      <c r="Q72" s="919"/>
      <c r="R72" s="917">
        <f t="shared" si="8"/>
        <v>0</v>
      </c>
      <c r="S72" s="918">
        <f t="shared" si="9"/>
        <v>0</v>
      </c>
      <c r="T72" s="919"/>
      <c r="U72" s="917">
        <f t="shared" si="10"/>
        <v>0</v>
      </c>
      <c r="V72" s="918">
        <f t="shared" si="11"/>
        <v>0</v>
      </c>
      <c r="W72" s="919"/>
      <c r="X72" s="917">
        <f t="shared" si="12"/>
        <v>0</v>
      </c>
      <c r="Y72" s="918">
        <f t="shared" si="13"/>
        <v>1.99</v>
      </c>
      <c r="Z72" s="919">
        <v>2887.99</v>
      </c>
      <c r="AA72" s="917">
        <f t="shared" si="14"/>
        <v>3078.03</v>
      </c>
      <c r="AB72" s="918">
        <f t="shared" si="15"/>
        <v>0.1</v>
      </c>
      <c r="AC72" s="919">
        <v>145.13</v>
      </c>
      <c r="AD72" s="917">
        <f t="shared" si="16"/>
        <v>154.68</v>
      </c>
      <c r="AE72" s="918">
        <f t="shared" si="17"/>
        <v>0</v>
      </c>
      <c r="AF72" s="919"/>
      <c r="AG72" s="917">
        <f t="shared" si="18"/>
        <v>0</v>
      </c>
      <c r="AH72" s="918">
        <f t="shared" si="19"/>
        <v>0</v>
      </c>
      <c r="AI72" s="919"/>
      <c r="AJ72" s="917">
        <f t="shared" si="20"/>
        <v>0</v>
      </c>
      <c r="AK72" s="918">
        <f t="shared" si="21"/>
        <v>0</v>
      </c>
      <c r="AL72" s="919"/>
      <c r="AM72" s="917">
        <f t="shared" si="22"/>
        <v>0</v>
      </c>
      <c r="AN72" s="920">
        <v>19242</v>
      </c>
      <c r="AO72" s="917">
        <f t="shared" si="23"/>
        <v>31.04</v>
      </c>
      <c r="AP72" s="920"/>
      <c r="AQ72" s="916">
        <f t="shared" si="24"/>
        <v>0</v>
      </c>
      <c r="AR72" s="917">
        <f t="shared" si="25"/>
        <v>4810.5</v>
      </c>
      <c r="AS72" s="916">
        <v>12</v>
      </c>
      <c r="AT72" s="921">
        <f t="shared" si="26"/>
        <v>57726</v>
      </c>
      <c r="AU72" s="920"/>
      <c r="AV72" s="922">
        <f t="shared" si="27"/>
        <v>577.26</v>
      </c>
      <c r="AW72" s="921">
        <f t="shared" si="28"/>
        <v>58303.26</v>
      </c>
      <c r="AX72" s="921">
        <f t="shared" si="29"/>
        <v>17607.580000000002</v>
      </c>
      <c r="AY72" s="921">
        <f t="shared" si="30"/>
        <v>75910.84</v>
      </c>
      <c r="AZ72" s="923">
        <f t="shared" si="31"/>
        <v>58.3</v>
      </c>
      <c r="BA72" s="923">
        <f t="shared" si="32"/>
        <v>17.600000000000001</v>
      </c>
      <c r="BB72" s="923">
        <f t="shared" si="33"/>
        <v>75.900000000000006</v>
      </c>
      <c r="BC72" s="915">
        <v>0.95</v>
      </c>
      <c r="BD72" s="923">
        <f t="shared" si="34"/>
        <v>55.4</v>
      </c>
      <c r="BE72" s="923">
        <f t="shared" si="35"/>
        <v>16.7</v>
      </c>
      <c r="BF72" s="923">
        <f t="shared" si="36"/>
        <v>72.099999999999994</v>
      </c>
      <c r="BG72" s="924">
        <f>'[3]свод (2024)'!$B$116</f>
        <v>0.99758349999999996</v>
      </c>
      <c r="BH72" s="923">
        <f t="shared" si="37"/>
        <v>55.3</v>
      </c>
      <c r="BI72" s="923">
        <f t="shared" si="38"/>
        <v>16.7</v>
      </c>
      <c r="BJ72" s="923">
        <f t="shared" si="39"/>
        <v>72</v>
      </c>
      <c r="BK72" s="925">
        <f t="shared" si="40"/>
        <v>-3</v>
      </c>
      <c r="BL72" s="925">
        <f t="shared" si="40"/>
        <v>-0.9</v>
      </c>
      <c r="BM72" s="925">
        <f t="shared" si="41"/>
        <v>-3.9</v>
      </c>
      <c r="BN72" s="925">
        <f t="shared" si="42"/>
        <v>0</v>
      </c>
      <c r="BO72" s="925">
        <f t="shared" si="43"/>
        <v>0</v>
      </c>
      <c r="BP72" s="926"/>
      <c r="BQ72" s="925">
        <f t="shared" si="44"/>
        <v>55.3</v>
      </c>
      <c r="BR72" s="925">
        <f t="shared" si="44"/>
        <v>16.7</v>
      </c>
      <c r="BS72" s="925">
        <f t="shared" si="45"/>
        <v>72</v>
      </c>
      <c r="BU72" s="928"/>
      <c r="BV72" s="917"/>
      <c r="BW72" s="928"/>
      <c r="BX72" s="928"/>
      <c r="BY72" s="928"/>
      <c r="BZ72" s="917"/>
      <c r="CA72" s="928"/>
      <c r="CB72" s="917"/>
      <c r="CC72" s="928"/>
      <c r="CD72" s="928"/>
      <c r="CE72" s="928"/>
      <c r="CF72" s="929"/>
      <c r="CG72" s="928"/>
      <c r="CH72" s="928"/>
      <c r="CI72" s="928"/>
      <c r="CJ72" s="925"/>
      <c r="CK72" s="925"/>
      <c r="CL72" s="925"/>
      <c r="CM72" s="925"/>
      <c r="CN72" s="925"/>
      <c r="CO72" s="925"/>
      <c r="CP72" s="925"/>
      <c r="CQ72" s="925"/>
      <c r="CR72" s="925"/>
      <c r="CS72" s="917"/>
      <c r="CT72" s="928"/>
      <c r="CU72" s="928"/>
      <c r="CV72" s="928"/>
      <c r="CX72" s="925"/>
      <c r="CY72" s="925"/>
      <c r="CZ72" s="925"/>
      <c r="DB72" s="925"/>
      <c r="DC72" s="925"/>
      <c r="DD72" s="925"/>
      <c r="DE72" s="925"/>
      <c r="DF72" s="925"/>
      <c r="DG72" s="925"/>
      <c r="DH72" s="925"/>
      <c r="DI72" s="925"/>
      <c r="DJ72" s="925"/>
      <c r="DK72" s="925"/>
      <c r="DL72" s="925"/>
      <c r="DM72" s="925"/>
      <c r="DN72" s="925"/>
      <c r="DO72" s="925"/>
      <c r="DP72" s="925"/>
      <c r="DQ72" s="924"/>
      <c r="DR72" s="925"/>
      <c r="DS72" s="925"/>
      <c r="DT72" s="925"/>
      <c r="DV72" s="925"/>
      <c r="DW72" s="925"/>
      <c r="DX72" s="925"/>
      <c r="DY72" s="925"/>
      <c r="DZ72" s="925"/>
      <c r="EA72" s="925"/>
      <c r="EB72" s="925"/>
      <c r="EC72" s="925"/>
      <c r="ED72" s="925"/>
      <c r="EE72" s="925"/>
      <c r="EF72" s="925"/>
      <c r="EG72" s="925"/>
      <c r="EH72" s="925"/>
      <c r="EI72" s="925"/>
      <c r="EJ72" s="925"/>
      <c r="EK72" s="925"/>
      <c r="EL72" s="925"/>
      <c r="EM72" s="925"/>
      <c r="EN72" s="925"/>
      <c r="EO72" s="925"/>
      <c r="EP72" s="925"/>
      <c r="EQ72" s="925"/>
      <c r="ER72" s="925"/>
      <c r="ES72" s="925"/>
      <c r="ET72" s="925"/>
      <c r="EV72" s="924"/>
      <c r="EW72" s="925"/>
      <c r="EX72" s="925"/>
      <c r="EY72" s="925"/>
    </row>
    <row r="73" spans="1:155" s="927" customFormat="1" ht="20.100000000000001" customHeight="1" x14ac:dyDescent="0.25">
      <c r="A73" s="912" t="s">
        <v>286</v>
      </c>
      <c r="B73" s="913" t="s">
        <v>36</v>
      </c>
      <c r="C73" s="914">
        <v>1</v>
      </c>
      <c r="D73" s="914">
        <v>13772</v>
      </c>
      <c r="E73" s="915">
        <v>1.0549999999999999</v>
      </c>
      <c r="F73" s="916">
        <f t="shared" si="0"/>
        <v>14530</v>
      </c>
      <c r="G73" s="915">
        <v>1.01</v>
      </c>
      <c r="H73" s="916">
        <f t="shared" si="1"/>
        <v>14676</v>
      </c>
      <c r="I73" s="917">
        <f t="shared" si="2"/>
        <v>14676</v>
      </c>
      <c r="J73" s="918">
        <f t="shared" si="3"/>
        <v>0.25</v>
      </c>
      <c r="K73" s="919">
        <v>3443</v>
      </c>
      <c r="L73" s="917">
        <f t="shared" si="4"/>
        <v>3669</v>
      </c>
      <c r="M73" s="918">
        <f t="shared" si="5"/>
        <v>0</v>
      </c>
      <c r="N73" s="919"/>
      <c r="O73" s="917">
        <f t="shared" si="6"/>
        <v>0</v>
      </c>
      <c r="P73" s="918">
        <f t="shared" si="7"/>
        <v>0</v>
      </c>
      <c r="Q73" s="919"/>
      <c r="R73" s="917">
        <f t="shared" si="8"/>
        <v>0</v>
      </c>
      <c r="S73" s="918">
        <f t="shared" si="9"/>
        <v>0</v>
      </c>
      <c r="T73" s="919"/>
      <c r="U73" s="917">
        <f t="shared" si="10"/>
        <v>0</v>
      </c>
      <c r="V73" s="918">
        <f t="shared" si="11"/>
        <v>0</v>
      </c>
      <c r="W73" s="919"/>
      <c r="X73" s="917">
        <f t="shared" si="12"/>
        <v>0</v>
      </c>
      <c r="Y73" s="918">
        <f t="shared" si="13"/>
        <v>0</v>
      </c>
      <c r="Z73" s="919"/>
      <c r="AA73" s="917">
        <f t="shared" si="14"/>
        <v>0</v>
      </c>
      <c r="AB73" s="918">
        <f t="shared" si="15"/>
        <v>0.2</v>
      </c>
      <c r="AC73" s="919">
        <v>2754.4</v>
      </c>
      <c r="AD73" s="917">
        <f t="shared" si="16"/>
        <v>2935.2</v>
      </c>
      <c r="AE73" s="918">
        <f t="shared" si="17"/>
        <v>0</v>
      </c>
      <c r="AF73" s="919"/>
      <c r="AG73" s="917">
        <f t="shared" si="18"/>
        <v>0</v>
      </c>
      <c r="AH73" s="918">
        <f t="shared" si="19"/>
        <v>0</v>
      </c>
      <c r="AI73" s="919"/>
      <c r="AJ73" s="917">
        <f t="shared" si="20"/>
        <v>0</v>
      </c>
      <c r="AK73" s="918">
        <f t="shared" si="21"/>
        <v>0</v>
      </c>
      <c r="AL73" s="919"/>
      <c r="AM73" s="917">
        <f t="shared" si="22"/>
        <v>0</v>
      </c>
      <c r="AN73" s="920">
        <v>19242</v>
      </c>
      <c r="AO73" s="917">
        <f t="shared" si="23"/>
        <v>0</v>
      </c>
      <c r="AP73" s="920"/>
      <c r="AQ73" s="916">
        <f t="shared" si="24"/>
        <v>0</v>
      </c>
      <c r="AR73" s="917">
        <f t="shared" si="25"/>
        <v>21280.2</v>
      </c>
      <c r="AS73" s="916">
        <v>12</v>
      </c>
      <c r="AT73" s="921">
        <f t="shared" si="26"/>
        <v>255362.4</v>
      </c>
      <c r="AU73" s="920"/>
      <c r="AV73" s="922">
        <f t="shared" si="27"/>
        <v>2553.62</v>
      </c>
      <c r="AW73" s="921">
        <f t="shared" si="28"/>
        <v>257916.02</v>
      </c>
      <c r="AX73" s="921">
        <f t="shared" si="29"/>
        <v>77890.64</v>
      </c>
      <c r="AY73" s="921">
        <f t="shared" si="30"/>
        <v>335806.66</v>
      </c>
      <c r="AZ73" s="923">
        <f t="shared" si="31"/>
        <v>257.89999999999998</v>
      </c>
      <c r="BA73" s="923">
        <f t="shared" si="32"/>
        <v>77.900000000000006</v>
      </c>
      <c r="BB73" s="923">
        <f t="shared" si="33"/>
        <v>335.8</v>
      </c>
      <c r="BC73" s="915">
        <v>0.95</v>
      </c>
      <c r="BD73" s="923">
        <f t="shared" si="34"/>
        <v>245</v>
      </c>
      <c r="BE73" s="923">
        <f t="shared" si="35"/>
        <v>74</v>
      </c>
      <c r="BF73" s="923">
        <f t="shared" si="36"/>
        <v>319</v>
      </c>
      <c r="BG73" s="924">
        <f>'[3]свод (2024)'!$B$116</f>
        <v>0.99758349999999996</v>
      </c>
      <c r="BH73" s="923">
        <f t="shared" si="37"/>
        <v>244.4</v>
      </c>
      <c r="BI73" s="923">
        <f t="shared" si="38"/>
        <v>73.8</v>
      </c>
      <c r="BJ73" s="923">
        <f t="shared" si="39"/>
        <v>318.2</v>
      </c>
      <c r="BK73" s="925">
        <f t="shared" si="40"/>
        <v>-13.5</v>
      </c>
      <c r="BL73" s="925">
        <f t="shared" si="40"/>
        <v>-4.0999999999999996</v>
      </c>
      <c r="BM73" s="925">
        <f t="shared" si="41"/>
        <v>-17.600000000000001</v>
      </c>
      <c r="BN73" s="925">
        <f t="shared" si="42"/>
        <v>0</v>
      </c>
      <c r="BO73" s="925">
        <f t="shared" si="43"/>
        <v>0</v>
      </c>
      <c r="BP73" s="926"/>
      <c r="BQ73" s="925">
        <f t="shared" si="44"/>
        <v>244.4</v>
      </c>
      <c r="BR73" s="925">
        <f t="shared" si="44"/>
        <v>73.8</v>
      </c>
      <c r="BS73" s="925">
        <f t="shared" si="45"/>
        <v>318.2</v>
      </c>
      <c r="BU73" s="928">
        <f>C73</f>
        <v>1</v>
      </c>
      <c r="BV73" s="917"/>
      <c r="BW73" s="928"/>
      <c r="BX73" s="928">
        <f>AW73-X73</f>
        <v>257916.02</v>
      </c>
      <c r="BY73" s="928"/>
      <c r="BZ73" s="917"/>
      <c r="CA73" s="928"/>
      <c r="CB73" s="917"/>
      <c r="CC73" s="928"/>
      <c r="CD73" s="928"/>
      <c r="CE73" s="928"/>
      <c r="CF73" s="929">
        <f>CC$79/BU$79*BU73</f>
        <v>37004.699999999997</v>
      </c>
      <c r="CG73" s="928"/>
      <c r="CH73" s="928"/>
      <c r="CI73" s="928"/>
      <c r="CJ73" s="925"/>
      <c r="CK73" s="925"/>
      <c r="CL73" s="925"/>
      <c r="CM73" s="925"/>
      <c r="CN73" s="925"/>
      <c r="CO73" s="925"/>
      <c r="CP73" s="925"/>
      <c r="CQ73" s="925"/>
      <c r="CR73" s="925"/>
      <c r="CS73" s="917"/>
      <c r="CT73" s="928"/>
      <c r="CU73" s="928"/>
      <c r="CV73" s="928"/>
      <c r="CX73" s="925"/>
      <c r="CY73" s="925"/>
      <c r="CZ73" s="925"/>
      <c r="DB73" s="925"/>
      <c r="DC73" s="925"/>
      <c r="DD73" s="925"/>
      <c r="DE73" s="925"/>
      <c r="DF73" s="925"/>
      <c r="DG73" s="925"/>
      <c r="DH73" s="925"/>
      <c r="DI73" s="925"/>
      <c r="DJ73" s="925"/>
      <c r="DK73" s="925"/>
      <c r="DL73" s="925"/>
      <c r="DM73" s="925"/>
      <c r="DN73" s="925"/>
      <c r="DO73" s="925"/>
      <c r="DP73" s="925"/>
      <c r="DQ73" s="924"/>
      <c r="DR73" s="925"/>
      <c r="DS73" s="925"/>
      <c r="DT73" s="925"/>
      <c r="DV73" s="925"/>
      <c r="DW73" s="925"/>
      <c r="DX73" s="925"/>
      <c r="DY73" s="925"/>
      <c r="DZ73" s="925"/>
      <c r="EA73" s="925"/>
      <c r="EB73" s="925"/>
      <c r="EC73" s="925"/>
      <c r="ED73" s="925"/>
      <c r="EE73" s="925"/>
      <c r="EF73" s="925"/>
      <c r="EG73" s="925"/>
      <c r="EH73" s="925"/>
      <c r="EI73" s="925"/>
      <c r="EJ73" s="925"/>
      <c r="EK73" s="925"/>
      <c r="EL73" s="925"/>
      <c r="EM73" s="925"/>
      <c r="EN73" s="925"/>
      <c r="EO73" s="925"/>
      <c r="EP73" s="925"/>
      <c r="EQ73" s="925"/>
      <c r="ER73" s="925"/>
      <c r="ES73" s="925"/>
      <c r="ET73" s="925"/>
      <c r="EV73" s="924"/>
      <c r="EW73" s="925"/>
      <c r="EX73" s="925"/>
      <c r="EY73" s="925"/>
    </row>
    <row r="74" spans="1:155" s="927" customFormat="1" ht="20.100000000000001" customHeight="1" x14ac:dyDescent="0.25">
      <c r="A74" s="912" t="s">
        <v>286</v>
      </c>
      <c r="B74" s="913" t="s">
        <v>35</v>
      </c>
      <c r="C74" s="914">
        <v>9.5</v>
      </c>
      <c r="D74" s="914">
        <v>13132</v>
      </c>
      <c r="E74" s="915">
        <v>1.0549999999999999</v>
      </c>
      <c r="F74" s="916">
        <f t="shared" si="0"/>
        <v>13855</v>
      </c>
      <c r="G74" s="915">
        <v>1.01</v>
      </c>
      <c r="H74" s="916">
        <f t="shared" si="1"/>
        <v>13994</v>
      </c>
      <c r="I74" s="917">
        <f t="shared" si="2"/>
        <v>132943</v>
      </c>
      <c r="J74" s="918">
        <f t="shared" si="3"/>
        <v>0.16841999999999999</v>
      </c>
      <c r="K74" s="919">
        <v>21011.19</v>
      </c>
      <c r="L74" s="917">
        <f t="shared" si="4"/>
        <v>22390.26</v>
      </c>
      <c r="M74" s="918">
        <f t="shared" si="5"/>
        <v>0</v>
      </c>
      <c r="N74" s="919"/>
      <c r="O74" s="917">
        <f t="shared" si="6"/>
        <v>0</v>
      </c>
      <c r="P74" s="918">
        <f t="shared" si="7"/>
        <v>0</v>
      </c>
      <c r="Q74" s="919"/>
      <c r="R74" s="917">
        <f t="shared" si="8"/>
        <v>0</v>
      </c>
      <c r="S74" s="918">
        <f t="shared" si="9"/>
        <v>0</v>
      </c>
      <c r="T74" s="919"/>
      <c r="U74" s="917">
        <f t="shared" si="10"/>
        <v>0</v>
      </c>
      <c r="V74" s="918">
        <f t="shared" si="11"/>
        <v>0</v>
      </c>
      <c r="W74" s="919"/>
      <c r="X74" s="917">
        <f t="shared" si="12"/>
        <v>0</v>
      </c>
      <c r="Y74" s="918">
        <f t="shared" si="13"/>
        <v>0</v>
      </c>
      <c r="Z74" s="919"/>
      <c r="AA74" s="917">
        <f t="shared" si="14"/>
        <v>0</v>
      </c>
      <c r="AB74" s="918">
        <f t="shared" si="15"/>
        <v>0.12836</v>
      </c>
      <c r="AC74" s="919">
        <v>16013.73</v>
      </c>
      <c r="AD74" s="917">
        <f t="shared" si="16"/>
        <v>17064.560000000001</v>
      </c>
      <c r="AE74" s="918">
        <f t="shared" si="17"/>
        <v>1.14E-2</v>
      </c>
      <c r="AF74" s="919">
        <v>1422.63</v>
      </c>
      <c r="AG74" s="917">
        <f t="shared" si="18"/>
        <v>1515.55</v>
      </c>
      <c r="AH74" s="918">
        <f t="shared" si="19"/>
        <v>0</v>
      </c>
      <c r="AI74" s="919"/>
      <c r="AJ74" s="917">
        <f t="shared" si="20"/>
        <v>0</v>
      </c>
      <c r="AK74" s="918">
        <f t="shared" si="21"/>
        <v>0</v>
      </c>
      <c r="AL74" s="919"/>
      <c r="AM74" s="917">
        <f t="shared" si="22"/>
        <v>0</v>
      </c>
      <c r="AN74" s="920">
        <v>19242</v>
      </c>
      <c r="AO74" s="917">
        <f t="shared" si="23"/>
        <v>8885.6299999999992</v>
      </c>
      <c r="AP74" s="920"/>
      <c r="AQ74" s="916">
        <f t="shared" si="24"/>
        <v>0</v>
      </c>
      <c r="AR74" s="917">
        <f t="shared" si="25"/>
        <v>182799</v>
      </c>
      <c r="AS74" s="916">
        <v>12</v>
      </c>
      <c r="AT74" s="921">
        <f t="shared" si="26"/>
        <v>2193588</v>
      </c>
      <c r="AU74" s="920"/>
      <c r="AV74" s="922">
        <f t="shared" si="27"/>
        <v>21935.88</v>
      </c>
      <c r="AW74" s="921">
        <f t="shared" si="28"/>
        <v>2215523.88</v>
      </c>
      <c r="AX74" s="921">
        <f t="shared" si="29"/>
        <v>669088.21</v>
      </c>
      <c r="AY74" s="921">
        <f t="shared" si="30"/>
        <v>2884612.09</v>
      </c>
      <c r="AZ74" s="923">
        <f t="shared" si="31"/>
        <v>2215.5</v>
      </c>
      <c r="BA74" s="923">
        <f t="shared" si="32"/>
        <v>669.1</v>
      </c>
      <c r="BB74" s="923">
        <f t="shared" si="33"/>
        <v>2884.6</v>
      </c>
      <c r="BC74" s="915">
        <v>0.95</v>
      </c>
      <c r="BD74" s="923">
        <f t="shared" si="34"/>
        <v>2104.6999999999998</v>
      </c>
      <c r="BE74" s="923">
        <f t="shared" si="35"/>
        <v>635.6</v>
      </c>
      <c r="BF74" s="923">
        <f t="shared" si="36"/>
        <v>2740.3</v>
      </c>
      <c r="BG74" s="924">
        <f>'[3]свод (2024)'!$B$116</f>
        <v>0.99758349999999996</v>
      </c>
      <c r="BH74" s="923">
        <f t="shared" si="37"/>
        <v>2099.6</v>
      </c>
      <c r="BI74" s="923">
        <f t="shared" si="38"/>
        <v>634.1</v>
      </c>
      <c r="BJ74" s="923">
        <f t="shared" si="39"/>
        <v>2733.7</v>
      </c>
      <c r="BK74" s="925">
        <f t="shared" si="40"/>
        <v>-115.9</v>
      </c>
      <c r="BL74" s="925">
        <f t="shared" si="40"/>
        <v>-35</v>
      </c>
      <c r="BM74" s="925">
        <f t="shared" si="41"/>
        <v>-150.9</v>
      </c>
      <c r="BN74" s="925">
        <f t="shared" si="42"/>
        <v>0</v>
      </c>
      <c r="BO74" s="925">
        <f t="shared" si="43"/>
        <v>0</v>
      </c>
      <c r="BP74" s="926"/>
      <c r="BQ74" s="925">
        <f t="shared" si="44"/>
        <v>2099.6</v>
      </c>
      <c r="BR74" s="925">
        <f t="shared" si="44"/>
        <v>634.1</v>
      </c>
      <c r="BS74" s="925">
        <f t="shared" si="45"/>
        <v>2733.7</v>
      </c>
      <c r="BU74" s="928">
        <f>C74</f>
        <v>9.5</v>
      </c>
      <c r="BV74" s="917"/>
      <c r="BW74" s="928"/>
      <c r="BX74" s="928">
        <f>AW74-X74</f>
        <v>2215523.88</v>
      </c>
      <c r="BY74" s="928"/>
      <c r="BZ74" s="917"/>
      <c r="CA74" s="928"/>
      <c r="CB74" s="917"/>
      <c r="CC74" s="928"/>
      <c r="CD74" s="928"/>
      <c r="CE74" s="928"/>
      <c r="CF74" s="929">
        <f t="shared" ref="CF74:CF75" si="59">CC$79/BU$79*BU74</f>
        <v>351544.67</v>
      </c>
      <c r="CG74" s="928"/>
      <c r="CH74" s="928"/>
      <c r="CI74" s="928"/>
      <c r="CJ74" s="925"/>
      <c r="CK74" s="925"/>
      <c r="CL74" s="925"/>
      <c r="CM74" s="925"/>
      <c r="CN74" s="925"/>
      <c r="CO74" s="925"/>
      <c r="CP74" s="925"/>
      <c r="CQ74" s="925"/>
      <c r="CR74" s="925"/>
      <c r="CS74" s="917"/>
      <c r="CT74" s="928"/>
      <c r="CU74" s="928"/>
      <c r="CV74" s="928"/>
      <c r="CX74" s="925"/>
      <c r="CY74" s="925"/>
      <c r="CZ74" s="925"/>
      <c r="DB74" s="925"/>
      <c r="DC74" s="925"/>
      <c r="DD74" s="925"/>
      <c r="DE74" s="925"/>
      <c r="DF74" s="925"/>
      <c r="DG74" s="925"/>
      <c r="DH74" s="925"/>
      <c r="DI74" s="925"/>
      <c r="DJ74" s="925"/>
      <c r="DK74" s="925"/>
      <c r="DL74" s="925"/>
      <c r="DM74" s="925"/>
      <c r="DN74" s="925"/>
      <c r="DO74" s="925"/>
      <c r="DP74" s="925"/>
      <c r="DQ74" s="924"/>
      <c r="DR74" s="925"/>
      <c r="DS74" s="925"/>
      <c r="DT74" s="925"/>
      <c r="DV74" s="925"/>
      <c r="DW74" s="925"/>
      <c r="DX74" s="925"/>
      <c r="DY74" s="925"/>
      <c r="DZ74" s="925"/>
      <c r="EA74" s="925"/>
      <c r="EB74" s="925"/>
      <c r="EC74" s="925"/>
      <c r="ED74" s="925"/>
      <c r="EE74" s="925"/>
      <c r="EF74" s="925"/>
      <c r="EG74" s="925"/>
      <c r="EH74" s="925"/>
      <c r="EI74" s="925"/>
      <c r="EJ74" s="925"/>
      <c r="EK74" s="925"/>
      <c r="EL74" s="925"/>
      <c r="EM74" s="925"/>
      <c r="EN74" s="925"/>
      <c r="EO74" s="925"/>
      <c r="EP74" s="925"/>
      <c r="EQ74" s="925"/>
      <c r="ER74" s="925"/>
      <c r="ES74" s="925"/>
      <c r="ET74" s="925"/>
      <c r="EV74" s="924"/>
      <c r="EW74" s="925"/>
      <c r="EX74" s="925"/>
      <c r="EY74" s="925"/>
    </row>
    <row r="75" spans="1:155" s="927" customFormat="1" ht="20.100000000000001" customHeight="1" x14ac:dyDescent="0.25">
      <c r="A75" s="912" t="s">
        <v>286</v>
      </c>
      <c r="B75" s="913" t="s">
        <v>37</v>
      </c>
      <c r="C75" s="914">
        <v>1</v>
      </c>
      <c r="D75" s="914">
        <v>13132</v>
      </c>
      <c r="E75" s="915">
        <v>1.0549999999999999</v>
      </c>
      <c r="F75" s="916">
        <f t="shared" si="0"/>
        <v>13855</v>
      </c>
      <c r="G75" s="915">
        <v>1.01</v>
      </c>
      <c r="H75" s="916">
        <f t="shared" si="1"/>
        <v>13994</v>
      </c>
      <c r="I75" s="917">
        <f t="shared" si="2"/>
        <v>13994</v>
      </c>
      <c r="J75" s="918">
        <f t="shared" si="3"/>
        <v>0.17499999999999999</v>
      </c>
      <c r="K75" s="919">
        <v>2298.1</v>
      </c>
      <c r="L75" s="917">
        <f t="shared" si="4"/>
        <v>2448.9499999999998</v>
      </c>
      <c r="M75" s="918">
        <f t="shared" si="5"/>
        <v>0</v>
      </c>
      <c r="N75" s="919"/>
      <c r="O75" s="917">
        <f t="shared" si="6"/>
        <v>0</v>
      </c>
      <c r="P75" s="918">
        <f t="shared" si="7"/>
        <v>0</v>
      </c>
      <c r="Q75" s="919"/>
      <c r="R75" s="917">
        <f t="shared" si="8"/>
        <v>0</v>
      </c>
      <c r="S75" s="918">
        <f t="shared" si="9"/>
        <v>0</v>
      </c>
      <c r="T75" s="919"/>
      <c r="U75" s="917">
        <f t="shared" si="10"/>
        <v>0</v>
      </c>
      <c r="V75" s="918">
        <f t="shared" si="11"/>
        <v>0</v>
      </c>
      <c r="W75" s="919"/>
      <c r="X75" s="917">
        <f t="shared" si="12"/>
        <v>0</v>
      </c>
      <c r="Y75" s="918">
        <f t="shared" si="13"/>
        <v>0</v>
      </c>
      <c r="Z75" s="919"/>
      <c r="AA75" s="917">
        <f t="shared" si="14"/>
        <v>0</v>
      </c>
      <c r="AB75" s="918">
        <f t="shared" si="15"/>
        <v>0</v>
      </c>
      <c r="AC75" s="919"/>
      <c r="AD75" s="917">
        <f t="shared" si="16"/>
        <v>0</v>
      </c>
      <c r="AE75" s="918">
        <f t="shared" si="17"/>
        <v>0</v>
      </c>
      <c r="AF75" s="919"/>
      <c r="AG75" s="917">
        <f t="shared" si="18"/>
        <v>0</v>
      </c>
      <c r="AH75" s="918">
        <f t="shared" si="19"/>
        <v>0</v>
      </c>
      <c r="AI75" s="919"/>
      <c r="AJ75" s="917">
        <f t="shared" si="20"/>
        <v>0</v>
      </c>
      <c r="AK75" s="918">
        <f t="shared" si="21"/>
        <v>0</v>
      </c>
      <c r="AL75" s="919"/>
      <c r="AM75" s="917">
        <f t="shared" si="22"/>
        <v>0</v>
      </c>
      <c r="AN75" s="920">
        <v>19242</v>
      </c>
      <c r="AO75" s="917">
        <f t="shared" si="23"/>
        <v>2799.05</v>
      </c>
      <c r="AP75" s="920"/>
      <c r="AQ75" s="916">
        <f t="shared" si="24"/>
        <v>0</v>
      </c>
      <c r="AR75" s="917">
        <f t="shared" si="25"/>
        <v>19242</v>
      </c>
      <c r="AS75" s="916">
        <v>12</v>
      </c>
      <c r="AT75" s="921">
        <f t="shared" si="26"/>
        <v>230904</v>
      </c>
      <c r="AU75" s="920"/>
      <c r="AV75" s="922">
        <f t="shared" si="27"/>
        <v>2309.04</v>
      </c>
      <c r="AW75" s="921">
        <f t="shared" si="28"/>
        <v>233213.04</v>
      </c>
      <c r="AX75" s="921">
        <f t="shared" si="29"/>
        <v>70430.34</v>
      </c>
      <c r="AY75" s="921">
        <f t="shared" si="30"/>
        <v>303643.38</v>
      </c>
      <c r="AZ75" s="923">
        <f t="shared" si="31"/>
        <v>233.2</v>
      </c>
      <c r="BA75" s="923">
        <f t="shared" si="32"/>
        <v>70.400000000000006</v>
      </c>
      <c r="BB75" s="923">
        <f t="shared" si="33"/>
        <v>303.60000000000002</v>
      </c>
      <c r="BC75" s="915">
        <v>0.95</v>
      </c>
      <c r="BD75" s="923">
        <f t="shared" si="34"/>
        <v>221.5</v>
      </c>
      <c r="BE75" s="923">
        <f t="shared" si="35"/>
        <v>66.900000000000006</v>
      </c>
      <c r="BF75" s="923">
        <f t="shared" si="36"/>
        <v>288.39999999999998</v>
      </c>
      <c r="BG75" s="924">
        <f>'[3]свод (2024)'!$B$116</f>
        <v>0.99758349999999996</v>
      </c>
      <c r="BH75" s="923">
        <f t="shared" si="37"/>
        <v>221</v>
      </c>
      <c r="BI75" s="923">
        <f t="shared" si="38"/>
        <v>66.7</v>
      </c>
      <c r="BJ75" s="923">
        <f t="shared" si="39"/>
        <v>287.7</v>
      </c>
      <c r="BK75" s="925">
        <f t="shared" si="40"/>
        <v>-12.2</v>
      </c>
      <c r="BL75" s="925">
        <f t="shared" si="40"/>
        <v>-3.7</v>
      </c>
      <c r="BM75" s="925">
        <f t="shared" si="41"/>
        <v>-15.9</v>
      </c>
      <c r="BN75" s="925">
        <f t="shared" si="42"/>
        <v>0</v>
      </c>
      <c r="BO75" s="925">
        <f t="shared" si="43"/>
        <v>0</v>
      </c>
      <c r="BP75" s="926"/>
      <c r="BQ75" s="925">
        <f t="shared" si="44"/>
        <v>221</v>
      </c>
      <c r="BR75" s="925">
        <f t="shared" si="44"/>
        <v>66.7</v>
      </c>
      <c r="BS75" s="925">
        <f t="shared" si="45"/>
        <v>287.7</v>
      </c>
      <c r="BU75" s="928">
        <f>C75</f>
        <v>1</v>
      </c>
      <c r="BV75" s="917"/>
      <c r="BW75" s="928"/>
      <c r="BX75" s="928">
        <f>AW75-X75</f>
        <v>233213.04</v>
      </c>
      <c r="BY75" s="928"/>
      <c r="BZ75" s="917"/>
      <c r="CA75" s="928"/>
      <c r="CB75" s="917"/>
      <c r="CC75" s="928"/>
      <c r="CD75" s="928"/>
      <c r="CE75" s="928"/>
      <c r="CF75" s="929">
        <f t="shared" si="59"/>
        <v>37004.699999999997</v>
      </c>
      <c r="CG75" s="928"/>
      <c r="CH75" s="928"/>
      <c r="CI75" s="928"/>
      <c r="CJ75" s="925"/>
      <c r="CK75" s="925"/>
      <c r="CL75" s="925"/>
      <c r="CM75" s="925"/>
      <c r="CN75" s="925"/>
      <c r="CO75" s="925"/>
      <c r="CP75" s="925"/>
      <c r="CQ75" s="925"/>
      <c r="CR75" s="925"/>
      <c r="CS75" s="917"/>
      <c r="CT75" s="928"/>
      <c r="CU75" s="928"/>
      <c r="CV75" s="928"/>
      <c r="CX75" s="925"/>
      <c r="CY75" s="925"/>
      <c r="CZ75" s="925"/>
      <c r="DB75" s="925"/>
      <c r="DC75" s="925"/>
      <c r="DD75" s="925"/>
      <c r="DE75" s="925"/>
      <c r="DF75" s="925"/>
      <c r="DG75" s="925"/>
      <c r="DH75" s="925"/>
      <c r="DI75" s="925"/>
      <c r="DJ75" s="925"/>
      <c r="DK75" s="925"/>
      <c r="DL75" s="925"/>
      <c r="DM75" s="925"/>
      <c r="DN75" s="925"/>
      <c r="DO75" s="925"/>
      <c r="DP75" s="925"/>
      <c r="DQ75" s="924"/>
      <c r="DR75" s="925"/>
      <c r="DS75" s="925"/>
      <c r="DT75" s="925"/>
      <c r="DV75" s="925"/>
      <c r="DW75" s="925"/>
      <c r="DX75" s="925"/>
      <c r="DY75" s="925"/>
      <c r="DZ75" s="925"/>
      <c r="EA75" s="925"/>
      <c r="EB75" s="925"/>
      <c r="EC75" s="925"/>
      <c r="ED75" s="925"/>
      <c r="EE75" s="925"/>
      <c r="EF75" s="925"/>
      <c r="EG75" s="925"/>
      <c r="EH75" s="925"/>
      <c r="EI75" s="925"/>
      <c r="EJ75" s="925"/>
      <c r="EK75" s="925"/>
      <c r="EL75" s="925"/>
      <c r="EM75" s="925"/>
      <c r="EN75" s="925"/>
      <c r="EO75" s="925"/>
      <c r="EP75" s="925"/>
      <c r="EQ75" s="925"/>
      <c r="ER75" s="925"/>
      <c r="ES75" s="925"/>
      <c r="ET75" s="925"/>
      <c r="EV75" s="924"/>
      <c r="EW75" s="925"/>
      <c r="EX75" s="925"/>
      <c r="EY75" s="925"/>
    </row>
    <row r="76" spans="1:155" s="927" customFormat="1" ht="20.100000000000001" customHeight="1" x14ac:dyDescent="0.25">
      <c r="A76" s="912" t="s">
        <v>286</v>
      </c>
      <c r="B76" s="913" t="s">
        <v>41</v>
      </c>
      <c r="C76" s="914">
        <v>1</v>
      </c>
      <c r="D76" s="914">
        <v>7912</v>
      </c>
      <c r="E76" s="915">
        <v>1.0549999999999999</v>
      </c>
      <c r="F76" s="916">
        <f t="shared" si="0"/>
        <v>8348</v>
      </c>
      <c r="G76" s="915">
        <v>1.01</v>
      </c>
      <c r="H76" s="916">
        <f t="shared" si="1"/>
        <v>8432</v>
      </c>
      <c r="I76" s="917">
        <f t="shared" si="2"/>
        <v>8432</v>
      </c>
      <c r="J76" s="918">
        <f t="shared" si="3"/>
        <v>0</v>
      </c>
      <c r="K76" s="919"/>
      <c r="L76" s="917">
        <f t="shared" si="4"/>
        <v>0</v>
      </c>
      <c r="M76" s="918">
        <f t="shared" si="5"/>
        <v>0</v>
      </c>
      <c r="N76" s="919"/>
      <c r="O76" s="917">
        <f t="shared" si="6"/>
        <v>0</v>
      </c>
      <c r="P76" s="918">
        <f t="shared" si="7"/>
        <v>0</v>
      </c>
      <c r="Q76" s="919"/>
      <c r="R76" s="917">
        <f t="shared" si="8"/>
        <v>0</v>
      </c>
      <c r="S76" s="918">
        <f t="shared" si="9"/>
        <v>0</v>
      </c>
      <c r="T76" s="919"/>
      <c r="U76" s="917">
        <f t="shared" si="10"/>
        <v>0</v>
      </c>
      <c r="V76" s="918">
        <f t="shared" si="11"/>
        <v>0</v>
      </c>
      <c r="W76" s="919"/>
      <c r="X76" s="917">
        <f t="shared" si="12"/>
        <v>0</v>
      </c>
      <c r="Y76" s="918">
        <f t="shared" si="13"/>
        <v>0</v>
      </c>
      <c r="Z76" s="919"/>
      <c r="AA76" s="917">
        <f t="shared" si="14"/>
        <v>0</v>
      </c>
      <c r="AB76" s="918">
        <f t="shared" si="15"/>
        <v>0.125</v>
      </c>
      <c r="AC76" s="919">
        <v>989</v>
      </c>
      <c r="AD76" s="917">
        <f t="shared" si="16"/>
        <v>1054</v>
      </c>
      <c r="AE76" s="918">
        <f t="shared" si="17"/>
        <v>0</v>
      </c>
      <c r="AF76" s="919"/>
      <c r="AG76" s="917">
        <f t="shared" si="18"/>
        <v>0</v>
      </c>
      <c r="AH76" s="918">
        <f t="shared" si="19"/>
        <v>0</v>
      </c>
      <c r="AI76" s="919"/>
      <c r="AJ76" s="917">
        <f t="shared" si="20"/>
        <v>0</v>
      </c>
      <c r="AK76" s="918">
        <f t="shared" si="21"/>
        <v>0</v>
      </c>
      <c r="AL76" s="919"/>
      <c r="AM76" s="917">
        <f t="shared" si="22"/>
        <v>0</v>
      </c>
      <c r="AN76" s="920">
        <v>19242</v>
      </c>
      <c r="AO76" s="917">
        <f t="shared" si="23"/>
        <v>9756</v>
      </c>
      <c r="AP76" s="920"/>
      <c r="AQ76" s="916">
        <f t="shared" si="24"/>
        <v>0</v>
      </c>
      <c r="AR76" s="917">
        <f t="shared" si="25"/>
        <v>19242</v>
      </c>
      <c r="AS76" s="916">
        <v>12</v>
      </c>
      <c r="AT76" s="921">
        <f t="shared" si="26"/>
        <v>230904</v>
      </c>
      <c r="AU76" s="920"/>
      <c r="AV76" s="922">
        <f t="shared" si="27"/>
        <v>2309.04</v>
      </c>
      <c r="AW76" s="921">
        <f t="shared" si="28"/>
        <v>233213.04</v>
      </c>
      <c r="AX76" s="921">
        <f t="shared" si="29"/>
        <v>70430.34</v>
      </c>
      <c r="AY76" s="921">
        <f t="shared" si="30"/>
        <v>303643.38</v>
      </c>
      <c r="AZ76" s="923">
        <f t="shared" si="31"/>
        <v>233.2</v>
      </c>
      <c r="BA76" s="923">
        <f t="shared" si="32"/>
        <v>70.400000000000006</v>
      </c>
      <c r="BB76" s="923">
        <f t="shared" si="33"/>
        <v>303.60000000000002</v>
      </c>
      <c r="BC76" s="915">
        <v>0.95</v>
      </c>
      <c r="BD76" s="923">
        <f t="shared" si="34"/>
        <v>221.5</v>
      </c>
      <c r="BE76" s="923">
        <f t="shared" si="35"/>
        <v>66.900000000000006</v>
      </c>
      <c r="BF76" s="923">
        <f t="shared" si="36"/>
        <v>288.39999999999998</v>
      </c>
      <c r="BG76" s="924">
        <f>'[3]свод (2024)'!$B$116</f>
        <v>0.99758349999999996</v>
      </c>
      <c r="BH76" s="923">
        <f t="shared" si="37"/>
        <v>221</v>
      </c>
      <c r="BI76" s="923">
        <f t="shared" si="38"/>
        <v>66.7</v>
      </c>
      <c r="BJ76" s="923">
        <f t="shared" si="39"/>
        <v>287.7</v>
      </c>
      <c r="BK76" s="925">
        <f t="shared" si="40"/>
        <v>-12.2</v>
      </c>
      <c r="BL76" s="925">
        <f t="shared" si="40"/>
        <v>-3.7</v>
      </c>
      <c r="BM76" s="925">
        <f t="shared" si="41"/>
        <v>-15.9</v>
      </c>
      <c r="BN76" s="925">
        <f t="shared" si="42"/>
        <v>0</v>
      </c>
      <c r="BO76" s="925">
        <f t="shared" si="43"/>
        <v>0</v>
      </c>
      <c r="BP76" s="926"/>
      <c r="BQ76" s="925">
        <f t="shared" si="44"/>
        <v>221</v>
      </c>
      <c r="BR76" s="925">
        <f t="shared" si="44"/>
        <v>66.7</v>
      </c>
      <c r="BS76" s="925">
        <f t="shared" si="45"/>
        <v>287.7</v>
      </c>
      <c r="BU76" s="928"/>
      <c r="BV76" s="917"/>
      <c r="BW76" s="928"/>
      <c r="BX76" s="928"/>
      <c r="BY76" s="928"/>
      <c r="BZ76" s="917"/>
      <c r="CA76" s="928"/>
      <c r="CB76" s="917"/>
      <c r="CC76" s="928"/>
      <c r="CD76" s="928"/>
      <c r="CE76" s="928"/>
      <c r="CF76" s="929"/>
      <c r="CG76" s="928"/>
      <c r="CH76" s="928"/>
      <c r="CI76" s="928"/>
      <c r="CJ76" s="925"/>
      <c r="CK76" s="925"/>
      <c r="CL76" s="925"/>
      <c r="CM76" s="925"/>
      <c r="CN76" s="925"/>
      <c r="CO76" s="925"/>
      <c r="CP76" s="925"/>
      <c r="CQ76" s="925"/>
      <c r="CR76" s="925"/>
      <c r="CS76" s="917"/>
      <c r="CT76" s="928"/>
      <c r="CU76" s="928"/>
      <c r="CV76" s="928"/>
      <c r="CX76" s="925"/>
      <c r="CY76" s="925"/>
      <c r="CZ76" s="925"/>
      <c r="DB76" s="925"/>
      <c r="DC76" s="925"/>
      <c r="DD76" s="925"/>
      <c r="DE76" s="925"/>
      <c r="DF76" s="925"/>
      <c r="DG76" s="925"/>
      <c r="DH76" s="925"/>
      <c r="DI76" s="925"/>
      <c r="DJ76" s="925"/>
      <c r="DK76" s="925"/>
      <c r="DL76" s="925"/>
      <c r="DM76" s="925"/>
      <c r="DN76" s="925"/>
      <c r="DO76" s="925"/>
      <c r="DP76" s="925"/>
      <c r="DQ76" s="924"/>
      <c r="DR76" s="925"/>
      <c r="DS76" s="925"/>
      <c r="DT76" s="925"/>
      <c r="DV76" s="925"/>
      <c r="DW76" s="925"/>
      <c r="DX76" s="925"/>
      <c r="DY76" s="925"/>
      <c r="DZ76" s="925"/>
      <c r="EA76" s="925"/>
      <c r="EB76" s="925"/>
      <c r="EC76" s="925"/>
      <c r="ED76" s="925"/>
      <c r="EE76" s="925"/>
      <c r="EF76" s="925"/>
      <c r="EG76" s="925"/>
      <c r="EH76" s="925"/>
      <c r="EI76" s="925"/>
      <c r="EJ76" s="925"/>
      <c r="EK76" s="925"/>
      <c r="EL76" s="925"/>
      <c r="EM76" s="925"/>
      <c r="EN76" s="925"/>
      <c r="EO76" s="925"/>
      <c r="EP76" s="925"/>
      <c r="EQ76" s="925"/>
      <c r="ER76" s="925"/>
      <c r="ES76" s="925"/>
      <c r="ET76" s="925"/>
      <c r="EV76" s="924"/>
      <c r="EW76" s="925"/>
      <c r="EX76" s="925"/>
      <c r="EY76" s="925"/>
    </row>
    <row r="77" spans="1:155" s="927" customFormat="1" ht="20.100000000000001" customHeight="1" x14ac:dyDescent="0.25">
      <c r="A77" s="912" t="s">
        <v>286</v>
      </c>
      <c r="B77" s="913" t="s">
        <v>399</v>
      </c>
      <c r="C77" s="914">
        <v>0.25</v>
      </c>
      <c r="D77" s="914">
        <v>6707</v>
      </c>
      <c r="E77" s="915">
        <v>1.0549999999999999</v>
      </c>
      <c r="F77" s="916">
        <f t="shared" si="0"/>
        <v>7076</v>
      </c>
      <c r="G77" s="915">
        <v>1.01</v>
      </c>
      <c r="H77" s="916">
        <f t="shared" si="1"/>
        <v>7147</v>
      </c>
      <c r="I77" s="917">
        <f t="shared" si="2"/>
        <v>1786.75</v>
      </c>
      <c r="J77" s="918">
        <f t="shared" si="3"/>
        <v>0</v>
      </c>
      <c r="K77" s="919"/>
      <c r="L77" s="917">
        <f t="shared" si="4"/>
        <v>0</v>
      </c>
      <c r="M77" s="918">
        <f t="shared" si="5"/>
        <v>0</v>
      </c>
      <c r="N77" s="919"/>
      <c r="O77" s="917">
        <f t="shared" si="6"/>
        <v>0</v>
      </c>
      <c r="P77" s="918">
        <f t="shared" si="7"/>
        <v>0</v>
      </c>
      <c r="Q77" s="919"/>
      <c r="R77" s="917">
        <f t="shared" si="8"/>
        <v>0</v>
      </c>
      <c r="S77" s="918">
        <f t="shared" si="9"/>
        <v>0</v>
      </c>
      <c r="T77" s="919"/>
      <c r="U77" s="917">
        <f t="shared" si="10"/>
        <v>0</v>
      </c>
      <c r="V77" s="918">
        <f t="shared" si="11"/>
        <v>0</v>
      </c>
      <c r="W77" s="919"/>
      <c r="X77" s="917">
        <f t="shared" si="12"/>
        <v>0</v>
      </c>
      <c r="Y77" s="918">
        <f t="shared" si="13"/>
        <v>1.99</v>
      </c>
      <c r="Z77" s="919">
        <v>3336.73</v>
      </c>
      <c r="AA77" s="917">
        <f t="shared" si="14"/>
        <v>3555.63</v>
      </c>
      <c r="AB77" s="918">
        <f t="shared" si="15"/>
        <v>0.15</v>
      </c>
      <c r="AC77" s="919">
        <v>251.51</v>
      </c>
      <c r="AD77" s="917">
        <f t="shared" si="16"/>
        <v>268.01</v>
      </c>
      <c r="AE77" s="918">
        <f t="shared" si="17"/>
        <v>0</v>
      </c>
      <c r="AF77" s="919"/>
      <c r="AG77" s="917">
        <f t="shared" si="18"/>
        <v>0</v>
      </c>
      <c r="AH77" s="918">
        <f t="shared" si="19"/>
        <v>0</v>
      </c>
      <c r="AI77" s="919"/>
      <c r="AJ77" s="917">
        <f t="shared" si="20"/>
        <v>0</v>
      </c>
      <c r="AK77" s="918">
        <f t="shared" si="21"/>
        <v>0</v>
      </c>
      <c r="AL77" s="919"/>
      <c r="AM77" s="917">
        <f t="shared" si="22"/>
        <v>0</v>
      </c>
      <c r="AN77" s="920">
        <v>19242</v>
      </c>
      <c r="AO77" s="917">
        <f t="shared" si="23"/>
        <v>0</v>
      </c>
      <c r="AP77" s="920"/>
      <c r="AQ77" s="916">
        <f t="shared" si="24"/>
        <v>0</v>
      </c>
      <c r="AR77" s="917">
        <f t="shared" si="25"/>
        <v>5610.39</v>
      </c>
      <c r="AS77" s="916">
        <v>12</v>
      </c>
      <c r="AT77" s="921">
        <f t="shared" si="26"/>
        <v>67324.679999999993</v>
      </c>
      <c r="AU77" s="920"/>
      <c r="AV77" s="922">
        <f t="shared" si="27"/>
        <v>673.25</v>
      </c>
      <c r="AW77" s="921">
        <f t="shared" si="28"/>
        <v>67997.929999999993</v>
      </c>
      <c r="AX77" s="921">
        <f t="shared" si="29"/>
        <v>20535.37</v>
      </c>
      <c r="AY77" s="921">
        <f t="shared" si="30"/>
        <v>88533.3</v>
      </c>
      <c r="AZ77" s="923">
        <f t="shared" si="31"/>
        <v>68</v>
      </c>
      <c r="BA77" s="923">
        <f t="shared" si="32"/>
        <v>20.5</v>
      </c>
      <c r="BB77" s="923">
        <f t="shared" si="33"/>
        <v>88.5</v>
      </c>
      <c r="BC77" s="915">
        <v>0.95</v>
      </c>
      <c r="BD77" s="923">
        <f t="shared" si="34"/>
        <v>64.599999999999994</v>
      </c>
      <c r="BE77" s="923">
        <f t="shared" si="35"/>
        <v>19.5</v>
      </c>
      <c r="BF77" s="923">
        <f t="shared" si="36"/>
        <v>84.1</v>
      </c>
      <c r="BG77" s="924">
        <f>'[3]свод (2024)'!$B$116</f>
        <v>0.99758349999999996</v>
      </c>
      <c r="BH77" s="923">
        <f t="shared" si="37"/>
        <v>64.400000000000006</v>
      </c>
      <c r="BI77" s="923">
        <f t="shared" si="38"/>
        <v>19.399999999999999</v>
      </c>
      <c r="BJ77" s="923">
        <f t="shared" si="39"/>
        <v>83.8</v>
      </c>
      <c r="BK77" s="925">
        <f t="shared" si="40"/>
        <v>-3.6</v>
      </c>
      <c r="BL77" s="925">
        <f t="shared" si="40"/>
        <v>-1.1000000000000001</v>
      </c>
      <c r="BM77" s="925">
        <f t="shared" si="41"/>
        <v>-4.7</v>
      </c>
      <c r="BN77" s="925">
        <f t="shared" si="42"/>
        <v>0</v>
      </c>
      <c r="BO77" s="925">
        <f t="shared" si="43"/>
        <v>0</v>
      </c>
      <c r="BP77" s="926"/>
      <c r="BQ77" s="925">
        <f t="shared" si="44"/>
        <v>64.400000000000006</v>
      </c>
      <c r="BR77" s="925">
        <f t="shared" si="44"/>
        <v>19.399999999999999</v>
      </c>
      <c r="BS77" s="925">
        <f t="shared" si="45"/>
        <v>83.8</v>
      </c>
      <c r="BU77" s="928"/>
      <c r="BV77" s="917"/>
      <c r="BW77" s="928"/>
      <c r="BX77" s="928"/>
      <c r="BY77" s="928"/>
      <c r="BZ77" s="917"/>
      <c r="CA77" s="928"/>
      <c r="CB77" s="917"/>
      <c r="CC77" s="928"/>
      <c r="CD77" s="928"/>
      <c r="CE77" s="928"/>
      <c r="CF77" s="929"/>
      <c r="CG77" s="928"/>
      <c r="CH77" s="928"/>
      <c r="CI77" s="928"/>
      <c r="CJ77" s="925"/>
      <c r="CK77" s="925"/>
      <c r="CL77" s="925"/>
      <c r="CM77" s="925"/>
      <c r="CN77" s="925"/>
      <c r="CO77" s="925"/>
      <c r="CP77" s="925"/>
      <c r="CQ77" s="925"/>
      <c r="CR77" s="925"/>
      <c r="CS77" s="917"/>
      <c r="CT77" s="928"/>
      <c r="CU77" s="928"/>
      <c r="CV77" s="928"/>
      <c r="CX77" s="925"/>
      <c r="CY77" s="925"/>
      <c r="CZ77" s="925"/>
      <c r="DB77" s="925"/>
      <c r="DC77" s="925"/>
      <c r="DD77" s="925"/>
      <c r="DE77" s="925"/>
      <c r="DF77" s="925"/>
      <c r="DG77" s="925"/>
      <c r="DH77" s="925"/>
      <c r="DI77" s="925"/>
      <c r="DJ77" s="925"/>
      <c r="DK77" s="925"/>
      <c r="DL77" s="925"/>
      <c r="DM77" s="925"/>
      <c r="DN77" s="925"/>
      <c r="DO77" s="925"/>
      <c r="DP77" s="925"/>
      <c r="DQ77" s="924"/>
      <c r="DR77" s="925"/>
      <c r="DS77" s="925"/>
      <c r="DT77" s="925"/>
      <c r="DV77" s="925"/>
      <c r="DW77" s="925"/>
      <c r="DX77" s="925"/>
      <c r="DY77" s="925"/>
      <c r="DZ77" s="925"/>
      <c r="EA77" s="925"/>
      <c r="EB77" s="925"/>
      <c r="EC77" s="925"/>
      <c r="ED77" s="925"/>
      <c r="EE77" s="925"/>
      <c r="EF77" s="925"/>
      <c r="EG77" s="925"/>
      <c r="EH77" s="925"/>
      <c r="EI77" s="925"/>
      <c r="EJ77" s="925"/>
      <c r="EK77" s="925"/>
      <c r="EL77" s="925"/>
      <c r="EM77" s="925"/>
      <c r="EN77" s="925"/>
      <c r="EO77" s="925"/>
      <c r="EP77" s="925"/>
      <c r="EQ77" s="925"/>
      <c r="ER77" s="925"/>
      <c r="ES77" s="925"/>
      <c r="ET77" s="925"/>
      <c r="EV77" s="924"/>
      <c r="EW77" s="925"/>
      <c r="EX77" s="925"/>
      <c r="EY77" s="925"/>
    </row>
    <row r="78" spans="1:155" s="927" customFormat="1" ht="20.100000000000001" customHeight="1" x14ac:dyDescent="0.25">
      <c r="A78" s="912" t="s">
        <v>286</v>
      </c>
      <c r="B78" s="913" t="s">
        <v>1390</v>
      </c>
      <c r="C78" s="914">
        <v>1</v>
      </c>
      <c r="D78" s="914">
        <v>4336</v>
      </c>
      <c r="E78" s="915">
        <v>1.0549999999999999</v>
      </c>
      <c r="F78" s="916">
        <f t="shared" si="0"/>
        <v>4575</v>
      </c>
      <c r="G78" s="915">
        <v>1.01</v>
      </c>
      <c r="H78" s="916">
        <f t="shared" si="1"/>
        <v>4621</v>
      </c>
      <c r="I78" s="917">
        <f t="shared" si="2"/>
        <v>4621</v>
      </c>
      <c r="J78" s="918">
        <f t="shared" si="3"/>
        <v>0</v>
      </c>
      <c r="K78" s="919"/>
      <c r="L78" s="917">
        <f t="shared" si="4"/>
        <v>0</v>
      </c>
      <c r="M78" s="918">
        <f t="shared" si="5"/>
        <v>0</v>
      </c>
      <c r="N78" s="919"/>
      <c r="O78" s="917">
        <f t="shared" si="6"/>
        <v>0</v>
      </c>
      <c r="P78" s="918">
        <f t="shared" si="7"/>
        <v>0</v>
      </c>
      <c r="Q78" s="919"/>
      <c r="R78" s="917">
        <f t="shared" si="8"/>
        <v>0</v>
      </c>
      <c r="S78" s="918">
        <f t="shared" si="9"/>
        <v>0</v>
      </c>
      <c r="T78" s="919"/>
      <c r="U78" s="917">
        <f t="shared" si="10"/>
        <v>0</v>
      </c>
      <c r="V78" s="918">
        <f t="shared" si="11"/>
        <v>0</v>
      </c>
      <c r="W78" s="919"/>
      <c r="X78" s="917">
        <f t="shared" si="12"/>
        <v>0</v>
      </c>
      <c r="Y78" s="918">
        <f t="shared" si="13"/>
        <v>0</v>
      </c>
      <c r="Z78" s="919"/>
      <c r="AA78" s="917">
        <f t="shared" si="14"/>
        <v>0</v>
      </c>
      <c r="AB78" s="918">
        <f t="shared" si="15"/>
        <v>0</v>
      </c>
      <c r="AC78" s="919"/>
      <c r="AD78" s="917">
        <f t="shared" si="16"/>
        <v>0</v>
      </c>
      <c r="AE78" s="918">
        <f t="shared" si="17"/>
        <v>0</v>
      </c>
      <c r="AF78" s="919"/>
      <c r="AG78" s="917">
        <f t="shared" si="18"/>
        <v>0</v>
      </c>
      <c r="AH78" s="918">
        <f t="shared" si="19"/>
        <v>0</v>
      </c>
      <c r="AI78" s="919"/>
      <c r="AJ78" s="917">
        <f t="shared" si="20"/>
        <v>0</v>
      </c>
      <c r="AK78" s="918">
        <f t="shared" si="21"/>
        <v>0</v>
      </c>
      <c r="AL78" s="919"/>
      <c r="AM78" s="917">
        <f t="shared" si="22"/>
        <v>0</v>
      </c>
      <c r="AN78" s="920">
        <v>19242</v>
      </c>
      <c r="AO78" s="917">
        <f t="shared" si="23"/>
        <v>14621</v>
      </c>
      <c r="AP78" s="920"/>
      <c r="AQ78" s="916">
        <f t="shared" si="24"/>
        <v>0</v>
      </c>
      <c r="AR78" s="917">
        <f t="shared" si="25"/>
        <v>19242</v>
      </c>
      <c r="AS78" s="916">
        <v>12</v>
      </c>
      <c r="AT78" s="921">
        <f t="shared" si="26"/>
        <v>230904</v>
      </c>
      <c r="AU78" s="920">
        <f>AT78*0.085</f>
        <v>19626.84</v>
      </c>
      <c r="AV78" s="922">
        <f t="shared" si="27"/>
        <v>2309.04</v>
      </c>
      <c r="AW78" s="921">
        <f t="shared" si="28"/>
        <v>252839.88</v>
      </c>
      <c r="AX78" s="921">
        <f t="shared" si="29"/>
        <v>76357.64</v>
      </c>
      <c r="AY78" s="921">
        <f t="shared" si="30"/>
        <v>329197.52</v>
      </c>
      <c r="AZ78" s="923">
        <f t="shared" si="31"/>
        <v>252.8</v>
      </c>
      <c r="BA78" s="923">
        <f t="shared" si="32"/>
        <v>76.3</v>
      </c>
      <c r="BB78" s="923">
        <f t="shared" si="33"/>
        <v>329.1</v>
      </c>
      <c r="BC78" s="915">
        <v>0.95</v>
      </c>
      <c r="BD78" s="923">
        <f t="shared" si="34"/>
        <v>240.2</v>
      </c>
      <c r="BE78" s="923">
        <f t="shared" si="35"/>
        <v>72.5</v>
      </c>
      <c r="BF78" s="923">
        <f t="shared" si="36"/>
        <v>312.7</v>
      </c>
      <c r="BG78" s="924">
        <f>'[3]свод (2024)'!$B$116</f>
        <v>0.99758349999999996</v>
      </c>
      <c r="BH78" s="923">
        <f t="shared" si="37"/>
        <v>239.6</v>
      </c>
      <c r="BI78" s="923">
        <f t="shared" si="38"/>
        <v>72.400000000000006</v>
      </c>
      <c r="BJ78" s="923">
        <f t="shared" si="39"/>
        <v>312</v>
      </c>
      <c r="BK78" s="925">
        <f t="shared" si="40"/>
        <v>-13.2</v>
      </c>
      <c r="BL78" s="925">
        <f t="shared" si="40"/>
        <v>-3.9</v>
      </c>
      <c r="BM78" s="925">
        <f t="shared" si="41"/>
        <v>-17.100000000000001</v>
      </c>
      <c r="BN78" s="925">
        <f t="shared" si="42"/>
        <v>0</v>
      </c>
      <c r="BO78" s="925">
        <f t="shared" si="43"/>
        <v>0</v>
      </c>
      <c r="BP78" s="926"/>
      <c r="BQ78" s="925">
        <f t="shared" si="44"/>
        <v>239.6</v>
      </c>
      <c r="BR78" s="925">
        <f t="shared" si="44"/>
        <v>72.400000000000006</v>
      </c>
      <c r="BS78" s="925">
        <f t="shared" si="45"/>
        <v>312</v>
      </c>
      <c r="BU78" s="928"/>
      <c r="BV78" s="917"/>
      <c r="BW78" s="928"/>
      <c r="BX78" s="928"/>
      <c r="BY78" s="928"/>
      <c r="BZ78" s="917"/>
      <c r="CA78" s="928"/>
      <c r="CB78" s="917"/>
      <c r="CC78" s="928"/>
      <c r="CD78" s="928"/>
      <c r="CE78" s="928"/>
      <c r="CF78" s="929"/>
      <c r="CG78" s="928"/>
      <c r="CH78" s="928"/>
      <c r="CI78" s="928"/>
      <c r="CJ78" s="925"/>
      <c r="CK78" s="925"/>
      <c r="CL78" s="925"/>
      <c r="CM78" s="925"/>
      <c r="CN78" s="925"/>
      <c r="CO78" s="925"/>
      <c r="CP78" s="925"/>
      <c r="CQ78" s="925"/>
      <c r="CR78" s="925"/>
      <c r="CS78" s="917"/>
      <c r="CT78" s="928"/>
      <c r="CU78" s="928"/>
      <c r="CV78" s="928"/>
      <c r="CX78" s="925"/>
      <c r="CY78" s="925"/>
      <c r="CZ78" s="925"/>
      <c r="DB78" s="925"/>
      <c r="DC78" s="925"/>
      <c r="DD78" s="925"/>
      <c r="DE78" s="925"/>
      <c r="DF78" s="925"/>
      <c r="DG78" s="925"/>
      <c r="DH78" s="925"/>
      <c r="DI78" s="925"/>
      <c r="DJ78" s="925"/>
      <c r="DK78" s="925"/>
      <c r="DL78" s="925"/>
      <c r="DM78" s="925"/>
      <c r="DN78" s="925"/>
      <c r="DO78" s="925"/>
      <c r="DP78" s="925"/>
      <c r="DQ78" s="924"/>
      <c r="DR78" s="925"/>
      <c r="DS78" s="925"/>
      <c r="DT78" s="925"/>
      <c r="DV78" s="925"/>
      <c r="DW78" s="925"/>
      <c r="DX78" s="925"/>
      <c r="DY78" s="925"/>
      <c r="DZ78" s="925"/>
      <c r="EA78" s="925"/>
      <c r="EB78" s="925"/>
      <c r="EC78" s="925"/>
      <c r="ED78" s="925"/>
      <c r="EE78" s="925"/>
      <c r="EF78" s="925"/>
      <c r="EG78" s="925"/>
      <c r="EH78" s="925"/>
      <c r="EI78" s="925"/>
      <c r="EJ78" s="925"/>
      <c r="EK78" s="925"/>
      <c r="EL78" s="925"/>
      <c r="EM78" s="925"/>
      <c r="EN78" s="925"/>
      <c r="EO78" s="925"/>
      <c r="EP78" s="925"/>
      <c r="EQ78" s="925"/>
      <c r="ER78" s="925"/>
      <c r="ES78" s="925"/>
      <c r="ET78" s="925"/>
      <c r="EV78" s="924"/>
      <c r="EW78" s="925"/>
      <c r="EX78" s="925"/>
      <c r="EY78" s="925"/>
    </row>
    <row r="79" spans="1:155" s="927" customFormat="1" ht="20.100000000000001" customHeight="1" x14ac:dyDescent="0.25">
      <c r="A79" s="931" t="s">
        <v>286</v>
      </c>
      <c r="B79" s="932"/>
      <c r="C79" s="933">
        <f>SUM(C67:C78)</f>
        <v>18.75</v>
      </c>
      <c r="D79" s="933">
        <f t="shared" ref="D79:BO79" si="60">SUM(D67:D78)</f>
        <v>148784</v>
      </c>
      <c r="E79" s="934">
        <f t="shared" si="60"/>
        <v>12.66</v>
      </c>
      <c r="F79" s="935">
        <f t="shared" si="60"/>
        <v>156973</v>
      </c>
      <c r="G79" s="934">
        <f t="shared" si="60"/>
        <v>12.12</v>
      </c>
      <c r="H79" s="935">
        <f t="shared" si="60"/>
        <v>158548</v>
      </c>
      <c r="I79" s="936">
        <f t="shared" si="60"/>
        <v>265430.5</v>
      </c>
      <c r="J79" s="937">
        <f t="shared" si="60"/>
        <v>0.59341999999999995</v>
      </c>
      <c r="K79" s="938">
        <f t="shared" si="60"/>
        <v>26752.29</v>
      </c>
      <c r="L79" s="936">
        <f t="shared" si="60"/>
        <v>28508.21</v>
      </c>
      <c r="M79" s="937">
        <f t="shared" si="60"/>
        <v>0</v>
      </c>
      <c r="N79" s="938">
        <f t="shared" si="60"/>
        <v>0</v>
      </c>
      <c r="O79" s="936">
        <f t="shared" si="60"/>
        <v>0</v>
      </c>
      <c r="P79" s="937">
        <f t="shared" si="60"/>
        <v>0</v>
      </c>
      <c r="Q79" s="938">
        <f t="shared" si="60"/>
        <v>0</v>
      </c>
      <c r="R79" s="936">
        <f t="shared" si="60"/>
        <v>0</v>
      </c>
      <c r="S79" s="937">
        <f t="shared" si="60"/>
        <v>0</v>
      </c>
      <c r="T79" s="938">
        <f t="shared" si="60"/>
        <v>0</v>
      </c>
      <c r="U79" s="936">
        <f t="shared" si="60"/>
        <v>0</v>
      </c>
      <c r="V79" s="937">
        <f t="shared" si="60"/>
        <v>0</v>
      </c>
      <c r="W79" s="938">
        <f t="shared" si="60"/>
        <v>0</v>
      </c>
      <c r="X79" s="936">
        <f t="shared" si="60"/>
        <v>0</v>
      </c>
      <c r="Y79" s="937">
        <f t="shared" si="60"/>
        <v>8.8049999999999997</v>
      </c>
      <c r="Z79" s="938">
        <f t="shared" si="60"/>
        <v>49695.41</v>
      </c>
      <c r="AA79" s="936">
        <f t="shared" si="60"/>
        <v>52957.96</v>
      </c>
      <c r="AB79" s="937">
        <f t="shared" si="60"/>
        <v>1.25336</v>
      </c>
      <c r="AC79" s="938">
        <f t="shared" si="60"/>
        <v>29611.1</v>
      </c>
      <c r="AD79" s="936">
        <f t="shared" si="60"/>
        <v>31554.1</v>
      </c>
      <c r="AE79" s="937">
        <f t="shared" si="60"/>
        <v>1.14E-2</v>
      </c>
      <c r="AF79" s="938">
        <f t="shared" si="60"/>
        <v>1422.63</v>
      </c>
      <c r="AG79" s="936">
        <f t="shared" si="60"/>
        <v>1515.55</v>
      </c>
      <c r="AH79" s="937">
        <f t="shared" si="60"/>
        <v>0</v>
      </c>
      <c r="AI79" s="938">
        <f t="shared" si="60"/>
        <v>0</v>
      </c>
      <c r="AJ79" s="936">
        <f t="shared" si="60"/>
        <v>0</v>
      </c>
      <c r="AK79" s="937">
        <f t="shared" si="60"/>
        <v>0</v>
      </c>
      <c r="AL79" s="938">
        <f t="shared" si="60"/>
        <v>0</v>
      </c>
      <c r="AM79" s="936">
        <f t="shared" si="60"/>
        <v>0</v>
      </c>
      <c r="AN79" s="933">
        <f t="shared" si="60"/>
        <v>230904</v>
      </c>
      <c r="AO79" s="936">
        <f t="shared" si="60"/>
        <v>36092.720000000001</v>
      </c>
      <c r="AP79" s="933">
        <f t="shared" si="60"/>
        <v>0</v>
      </c>
      <c r="AQ79" s="935">
        <f t="shared" si="60"/>
        <v>0</v>
      </c>
      <c r="AR79" s="936">
        <f t="shared" si="60"/>
        <v>416059.04</v>
      </c>
      <c r="AS79" s="935">
        <f t="shared" si="60"/>
        <v>144</v>
      </c>
      <c r="AT79" s="939">
        <f t="shared" si="60"/>
        <v>4992708.4800000004</v>
      </c>
      <c r="AU79" s="933">
        <f t="shared" si="60"/>
        <v>19626.84</v>
      </c>
      <c r="AV79" s="940">
        <f t="shared" si="60"/>
        <v>49927.08</v>
      </c>
      <c r="AW79" s="939">
        <f t="shared" si="60"/>
        <v>5062262.4000000004</v>
      </c>
      <c r="AX79" s="939">
        <f t="shared" si="60"/>
        <v>1528803.23</v>
      </c>
      <c r="AY79" s="939">
        <f t="shared" si="60"/>
        <v>6591065.6299999999</v>
      </c>
      <c r="AZ79" s="941">
        <f t="shared" si="60"/>
        <v>5062.2</v>
      </c>
      <c r="BA79" s="941">
        <f t="shared" si="60"/>
        <v>1528.6</v>
      </c>
      <c r="BB79" s="941">
        <f t="shared" si="60"/>
        <v>6590.8</v>
      </c>
      <c r="BC79" s="934">
        <f t="shared" si="60"/>
        <v>11.4</v>
      </c>
      <c r="BD79" s="941">
        <f t="shared" si="60"/>
        <v>4809</v>
      </c>
      <c r="BE79" s="941">
        <f t="shared" si="60"/>
        <v>1452.3</v>
      </c>
      <c r="BF79" s="941">
        <f t="shared" si="60"/>
        <v>6261.3</v>
      </c>
      <c r="BG79" s="942">
        <f>'[3]свод (2024)'!$B$116</f>
        <v>0.99758349999999996</v>
      </c>
      <c r="BH79" s="941">
        <f t="shared" si="60"/>
        <v>4797.3999999999996</v>
      </c>
      <c r="BI79" s="941">
        <f t="shared" si="60"/>
        <v>1448.6</v>
      </c>
      <c r="BJ79" s="941">
        <f t="shared" si="60"/>
        <v>6246</v>
      </c>
      <c r="BK79" s="943">
        <f t="shared" si="60"/>
        <v>-264.8</v>
      </c>
      <c r="BL79" s="943">
        <f t="shared" si="60"/>
        <v>-80</v>
      </c>
      <c r="BM79" s="943">
        <f t="shared" si="60"/>
        <v>-344.8</v>
      </c>
      <c r="BN79" s="943">
        <f t="shared" si="60"/>
        <v>0</v>
      </c>
      <c r="BO79" s="943">
        <f t="shared" si="60"/>
        <v>0</v>
      </c>
      <c r="BP79" s="944">
        <f t="shared" ref="BP79:BS79" si="61">SUM(BP67:BP78)</f>
        <v>0</v>
      </c>
      <c r="BQ79" s="943">
        <f t="shared" si="61"/>
        <v>4797.3999999999996</v>
      </c>
      <c r="BR79" s="943">
        <f t="shared" si="61"/>
        <v>1448.6</v>
      </c>
      <c r="BS79" s="943">
        <f t="shared" si="61"/>
        <v>6246</v>
      </c>
      <c r="BU79" s="945">
        <f>SUM(BU67:BU78)</f>
        <v>11.5</v>
      </c>
      <c r="BV79" s="946">
        <v>4.8</v>
      </c>
      <c r="BW79" s="947">
        <f t="shared" ref="BW79" si="62">BU79-BV79</f>
        <v>6.7</v>
      </c>
      <c r="BX79" s="945">
        <f>SUM(BX67:BX78)</f>
        <v>2706652.94</v>
      </c>
      <c r="BY79" s="947">
        <f>BX79/BU79*BW79</f>
        <v>1576919.54</v>
      </c>
      <c r="BZ79" s="946">
        <v>4</v>
      </c>
      <c r="CA79" s="947">
        <f t="shared" ref="CA79" si="63">BY79/BZ79/12</f>
        <v>32852.49</v>
      </c>
      <c r="CB79" s="946">
        <v>41718.199999999997</v>
      </c>
      <c r="CC79" s="947">
        <f t="shared" ref="CC79" si="64">(CB79-CA79)*BZ79*12</f>
        <v>425554.08</v>
      </c>
      <c r="CD79" s="947">
        <f t="shared" si="52"/>
        <v>128517.33</v>
      </c>
      <c r="CE79" s="947">
        <f t="shared" ref="CE79" si="65">CC79+CD79</f>
        <v>554071.41</v>
      </c>
      <c r="CF79" s="948">
        <f>SUM(CF67:CF78)</f>
        <v>425554.07</v>
      </c>
      <c r="CG79" s="949">
        <f>ROUND(CC79/1000,1)</f>
        <v>425.6</v>
      </c>
      <c r="CH79" s="949">
        <f>ROUND(CD79/1000,1)</f>
        <v>128.5</v>
      </c>
      <c r="CI79" s="950">
        <f>CG79+CH79</f>
        <v>554.1</v>
      </c>
      <c r="CJ79" s="951">
        <f>BQ79+CG79</f>
        <v>5223</v>
      </c>
      <c r="CK79" s="951">
        <f>BR79+CH79</f>
        <v>1577.1</v>
      </c>
      <c r="CL79" s="952">
        <f>CJ79+CK79</f>
        <v>6800.1</v>
      </c>
      <c r="CM79" s="951">
        <f>0/6*12</f>
        <v>0</v>
      </c>
      <c r="CN79" s="951">
        <f>CM79*0.302</f>
        <v>0</v>
      </c>
      <c r="CO79" s="952">
        <f>CM79+CN79</f>
        <v>0</v>
      </c>
      <c r="CP79" s="951">
        <f>ROUND(CJ79-CM79,1)</f>
        <v>5223</v>
      </c>
      <c r="CQ79" s="951">
        <f>ROUND(CK79-CN79,1)</f>
        <v>1577.1</v>
      </c>
      <c r="CR79" s="952">
        <f>CP79+CQ79</f>
        <v>6800.1</v>
      </c>
      <c r="CS79" s="946">
        <v>38663.800000000003</v>
      </c>
      <c r="CT79" s="953">
        <f>(CB79-CS79)*BZ79*12/1000</f>
        <v>146.6</v>
      </c>
      <c r="CU79" s="953">
        <f>CT79*0.302</f>
        <v>44.3</v>
      </c>
      <c r="CV79" s="953">
        <f>CT79+CU79</f>
        <v>190.9</v>
      </c>
      <c r="CX79" s="951">
        <f>(BY79+CC79)/1000-CM79</f>
        <v>2002.5</v>
      </c>
      <c r="CY79" s="951">
        <f>CX79*0.302</f>
        <v>604.79999999999995</v>
      </c>
      <c r="CZ79" s="952">
        <f>CX79+CY79</f>
        <v>2607.3000000000002</v>
      </c>
      <c r="DB79" s="954"/>
      <c r="DC79" s="954"/>
      <c r="DD79" s="921"/>
      <c r="DE79" s="954"/>
      <c r="DF79" s="954"/>
      <c r="DG79" s="921"/>
      <c r="DH79" s="954"/>
      <c r="DI79" s="954"/>
      <c r="DJ79" s="921"/>
      <c r="DK79" s="954"/>
      <c r="DL79" s="954"/>
      <c r="DM79" s="921"/>
      <c r="DN79" s="954"/>
      <c r="DO79" s="954"/>
      <c r="DP79" s="921"/>
      <c r="DQ79" s="942">
        <f>$DQ$239</f>
        <v>0.978556019</v>
      </c>
      <c r="DR79" s="951">
        <f>ROUND(CP79*DQ79,1)</f>
        <v>5111</v>
      </c>
      <c r="DS79" s="951">
        <f>ROUND(CQ79*DQ79,1)</f>
        <v>1543.3</v>
      </c>
      <c r="DT79" s="952">
        <f>DR79+DS79</f>
        <v>6654.3</v>
      </c>
      <c r="DV79" s="921"/>
      <c r="DW79" s="921"/>
      <c r="DX79" s="921"/>
      <c r="DY79" s="921"/>
      <c r="DZ79" s="921"/>
      <c r="EA79" s="921"/>
      <c r="EB79" s="921"/>
      <c r="EC79" s="921"/>
      <c r="ED79" s="921"/>
      <c r="EE79" s="921"/>
      <c r="EF79" s="921"/>
      <c r="EG79" s="921"/>
      <c r="EH79" s="921"/>
      <c r="EI79" s="921"/>
      <c r="EJ79" s="921"/>
      <c r="EK79" s="921"/>
      <c r="EL79" s="921"/>
      <c r="EM79" s="921"/>
      <c r="EN79" s="921"/>
      <c r="EO79" s="921"/>
      <c r="EP79" s="921"/>
      <c r="EQ79" s="954"/>
      <c r="ER79" s="954"/>
      <c r="ES79" s="954"/>
      <c r="ET79" s="954"/>
      <c r="EV79" s="942">
        <f>EV239</f>
        <v>0.980787768</v>
      </c>
      <c r="EW79" s="951">
        <f>ROUND(CP79*EV79,1)</f>
        <v>5122.7</v>
      </c>
      <c r="EX79" s="951">
        <f>ROUND(CQ79*EV79,1)</f>
        <v>1546.8</v>
      </c>
      <c r="EY79" s="952">
        <f>EW79+EX79</f>
        <v>6669.5</v>
      </c>
    </row>
    <row r="80" spans="1:155" s="927" customFormat="1" ht="15.75" x14ac:dyDescent="0.25">
      <c r="A80" s="931"/>
      <c r="B80" s="932" t="s">
        <v>406</v>
      </c>
      <c r="C80" s="981">
        <f>C74</f>
        <v>9.5</v>
      </c>
      <c r="D80" s="938"/>
      <c r="E80" s="983"/>
      <c r="F80" s="936"/>
      <c r="G80" s="983"/>
      <c r="H80" s="984">
        <f t="shared" ref="H80:I80" si="66">H74</f>
        <v>13994</v>
      </c>
      <c r="I80" s="984">
        <f t="shared" si="66"/>
        <v>132943</v>
      </c>
      <c r="J80" s="937"/>
      <c r="K80" s="938"/>
      <c r="L80" s="984">
        <f>L74</f>
        <v>22390.26</v>
      </c>
      <c r="M80" s="937"/>
      <c r="N80" s="938"/>
      <c r="O80" s="984">
        <f>O74</f>
        <v>0</v>
      </c>
      <c r="P80" s="937"/>
      <c r="Q80" s="938"/>
      <c r="R80" s="984">
        <f>R74</f>
        <v>0</v>
      </c>
      <c r="S80" s="937"/>
      <c r="T80" s="938"/>
      <c r="U80" s="984">
        <f>U74</f>
        <v>0</v>
      </c>
      <c r="V80" s="937"/>
      <c r="W80" s="938"/>
      <c r="X80" s="984">
        <f>X74</f>
        <v>0</v>
      </c>
      <c r="Y80" s="937"/>
      <c r="Z80" s="938"/>
      <c r="AA80" s="984">
        <f>AA74</f>
        <v>0</v>
      </c>
      <c r="AB80" s="937"/>
      <c r="AC80" s="938"/>
      <c r="AD80" s="984">
        <f>AD74</f>
        <v>17064.560000000001</v>
      </c>
      <c r="AE80" s="937"/>
      <c r="AF80" s="938"/>
      <c r="AG80" s="984">
        <f>AG74</f>
        <v>1515.55</v>
      </c>
      <c r="AH80" s="937"/>
      <c r="AI80" s="938"/>
      <c r="AJ80" s="984">
        <f>AJ74</f>
        <v>0</v>
      </c>
      <c r="AK80" s="937"/>
      <c r="AL80" s="938"/>
      <c r="AM80" s="984">
        <f>AM74</f>
        <v>0</v>
      </c>
      <c r="AN80" s="938"/>
      <c r="AO80" s="984">
        <f>AO74</f>
        <v>8885.6299999999992</v>
      </c>
      <c r="AP80" s="938"/>
      <c r="AQ80" s="984">
        <f t="shared" ref="AQ80:AR80" si="67">AQ74</f>
        <v>0</v>
      </c>
      <c r="AR80" s="984">
        <f t="shared" si="67"/>
        <v>182799</v>
      </c>
      <c r="AS80" s="936"/>
      <c r="AT80" s="984">
        <f t="shared" ref="AT80:AW80" si="68">AT74</f>
        <v>2193588</v>
      </c>
      <c r="AU80" s="984">
        <f t="shared" si="68"/>
        <v>0</v>
      </c>
      <c r="AV80" s="984">
        <f t="shared" si="68"/>
        <v>21935.88</v>
      </c>
      <c r="AW80" s="984">
        <f t="shared" si="68"/>
        <v>2215523.88</v>
      </c>
      <c r="AX80" s="939"/>
      <c r="AY80" s="939"/>
      <c r="AZ80" s="941"/>
      <c r="BA80" s="941"/>
      <c r="BB80" s="941"/>
      <c r="BC80" s="934"/>
      <c r="BD80" s="941"/>
      <c r="BE80" s="941"/>
      <c r="BF80" s="941"/>
      <c r="BG80" s="942"/>
      <c r="BH80" s="941"/>
      <c r="BI80" s="941"/>
      <c r="BJ80" s="941"/>
      <c r="BK80" s="943"/>
      <c r="BL80" s="943"/>
      <c r="BM80" s="943"/>
      <c r="BN80" s="943"/>
      <c r="BO80" s="943"/>
      <c r="BP80" s="944"/>
      <c r="BQ80" s="943"/>
      <c r="BR80" s="943"/>
      <c r="BS80" s="943"/>
      <c r="BU80" s="945"/>
      <c r="BV80" s="946"/>
      <c r="BW80" s="947"/>
      <c r="BX80" s="945"/>
      <c r="BY80" s="947"/>
      <c r="BZ80" s="946"/>
      <c r="CA80" s="947"/>
      <c r="CB80" s="946"/>
      <c r="CC80" s="947"/>
      <c r="CD80" s="947"/>
      <c r="CE80" s="947"/>
      <c r="CF80" s="948"/>
      <c r="CG80" s="949"/>
      <c r="CH80" s="949"/>
      <c r="CI80" s="950"/>
      <c r="CJ80" s="951"/>
      <c r="CK80" s="951"/>
      <c r="CL80" s="952"/>
      <c r="CM80" s="951"/>
      <c r="CN80" s="951"/>
      <c r="CO80" s="952"/>
      <c r="CP80" s="951"/>
      <c r="CQ80" s="951"/>
      <c r="CR80" s="952"/>
      <c r="CS80" s="946"/>
      <c r="CT80" s="953"/>
      <c r="CU80" s="953"/>
      <c r="CV80" s="953"/>
      <c r="CX80" s="951"/>
      <c r="CY80" s="951"/>
      <c r="CZ80" s="952"/>
      <c r="DB80" s="954"/>
      <c r="DC80" s="954"/>
      <c r="DD80" s="921"/>
      <c r="DE80" s="954"/>
      <c r="DF80" s="954"/>
      <c r="DG80" s="921"/>
      <c r="DH80" s="954"/>
      <c r="DI80" s="954"/>
      <c r="DJ80" s="921"/>
      <c r="DK80" s="954"/>
      <c r="DL80" s="954"/>
      <c r="DM80" s="921"/>
      <c r="DN80" s="954"/>
      <c r="DO80" s="954"/>
      <c r="DP80" s="921"/>
      <c r="DQ80" s="942"/>
      <c r="DR80" s="951"/>
      <c r="DS80" s="951"/>
      <c r="DT80" s="952"/>
      <c r="DV80" s="921"/>
      <c r="DW80" s="921"/>
      <c r="DX80" s="921"/>
      <c r="DY80" s="921"/>
      <c r="DZ80" s="921"/>
      <c r="EA80" s="921"/>
      <c r="EB80" s="921"/>
      <c r="EC80" s="921"/>
      <c r="ED80" s="921"/>
      <c r="EE80" s="921"/>
      <c r="EF80" s="921"/>
      <c r="EG80" s="921"/>
      <c r="EH80" s="921"/>
      <c r="EI80" s="921"/>
      <c r="EJ80" s="921"/>
      <c r="EK80" s="921"/>
      <c r="EL80" s="921"/>
      <c r="EM80" s="921"/>
      <c r="EN80" s="921"/>
      <c r="EO80" s="921"/>
      <c r="EP80" s="921"/>
      <c r="EQ80" s="954"/>
      <c r="ER80" s="954"/>
      <c r="ES80" s="954"/>
      <c r="ET80" s="954"/>
      <c r="EV80" s="942"/>
      <c r="EW80" s="951"/>
      <c r="EX80" s="951"/>
      <c r="EY80" s="952"/>
    </row>
    <row r="81" spans="1:155" s="927" customFormat="1" ht="15.75" x14ac:dyDescent="0.25">
      <c r="A81" s="931"/>
      <c r="B81" s="932" t="s">
        <v>403</v>
      </c>
      <c r="C81" s="981">
        <f>C73+C75</f>
        <v>2</v>
      </c>
      <c r="D81" s="938"/>
      <c r="E81" s="983"/>
      <c r="F81" s="936"/>
      <c r="G81" s="983"/>
      <c r="H81" s="984">
        <f t="shared" ref="H81:I81" si="69">H73+H75</f>
        <v>28670</v>
      </c>
      <c r="I81" s="984">
        <f t="shared" si="69"/>
        <v>28670</v>
      </c>
      <c r="J81" s="937"/>
      <c r="K81" s="938"/>
      <c r="L81" s="984">
        <f>L73+L75</f>
        <v>6117.95</v>
      </c>
      <c r="M81" s="937"/>
      <c r="N81" s="938"/>
      <c r="O81" s="984">
        <f>O73+O75</f>
        <v>0</v>
      </c>
      <c r="P81" s="937"/>
      <c r="Q81" s="938"/>
      <c r="R81" s="984">
        <f>R73+R75</f>
        <v>0</v>
      </c>
      <c r="S81" s="937"/>
      <c r="T81" s="938"/>
      <c r="U81" s="984">
        <f>U73+U75</f>
        <v>0</v>
      </c>
      <c r="V81" s="937"/>
      <c r="W81" s="938"/>
      <c r="X81" s="984">
        <f>X73+X75</f>
        <v>0</v>
      </c>
      <c r="Y81" s="937"/>
      <c r="Z81" s="938"/>
      <c r="AA81" s="984">
        <f>AA73+AA75</f>
        <v>0</v>
      </c>
      <c r="AB81" s="937"/>
      <c r="AC81" s="938"/>
      <c r="AD81" s="984">
        <f>AD73+AD75</f>
        <v>2935.2</v>
      </c>
      <c r="AE81" s="937"/>
      <c r="AF81" s="938"/>
      <c r="AG81" s="984">
        <f>AG73+AG75</f>
        <v>0</v>
      </c>
      <c r="AH81" s="937"/>
      <c r="AI81" s="938"/>
      <c r="AJ81" s="984">
        <f>AJ73+AJ75</f>
        <v>0</v>
      </c>
      <c r="AK81" s="937"/>
      <c r="AL81" s="938"/>
      <c r="AM81" s="984">
        <f>AM73+AM75</f>
        <v>0</v>
      </c>
      <c r="AN81" s="938"/>
      <c r="AO81" s="984">
        <f>AO73+AO75</f>
        <v>2799.05</v>
      </c>
      <c r="AP81" s="938"/>
      <c r="AQ81" s="984">
        <f t="shared" ref="AQ81:AR81" si="70">AQ73+AQ75</f>
        <v>0</v>
      </c>
      <c r="AR81" s="984">
        <f t="shared" si="70"/>
        <v>40522.199999999997</v>
      </c>
      <c r="AS81" s="936"/>
      <c r="AT81" s="984">
        <f t="shared" ref="AT81:AW81" si="71">AT73+AT75</f>
        <v>486266.4</v>
      </c>
      <c r="AU81" s="984">
        <f t="shared" si="71"/>
        <v>0</v>
      </c>
      <c r="AV81" s="984">
        <f t="shared" si="71"/>
        <v>4862.66</v>
      </c>
      <c r="AW81" s="984">
        <f t="shared" si="71"/>
        <v>491129.06</v>
      </c>
      <c r="AX81" s="939"/>
      <c r="AY81" s="939"/>
      <c r="AZ81" s="941"/>
      <c r="BA81" s="941"/>
      <c r="BB81" s="941"/>
      <c r="BC81" s="934"/>
      <c r="BD81" s="941"/>
      <c r="BE81" s="941"/>
      <c r="BF81" s="941"/>
      <c r="BG81" s="942"/>
      <c r="BH81" s="941"/>
      <c r="BI81" s="941"/>
      <c r="BJ81" s="941"/>
      <c r="BK81" s="943"/>
      <c r="BL81" s="943"/>
      <c r="BM81" s="943"/>
      <c r="BN81" s="943"/>
      <c r="BO81" s="943"/>
      <c r="BP81" s="944"/>
      <c r="BQ81" s="943"/>
      <c r="BR81" s="943"/>
      <c r="BS81" s="943"/>
      <c r="BU81" s="945"/>
      <c r="BV81" s="946"/>
      <c r="BW81" s="947"/>
      <c r="BX81" s="945"/>
      <c r="BY81" s="947"/>
      <c r="BZ81" s="946"/>
      <c r="CA81" s="947"/>
      <c r="CB81" s="946"/>
      <c r="CC81" s="947"/>
      <c r="CD81" s="947"/>
      <c r="CE81" s="947"/>
      <c r="CF81" s="948"/>
      <c r="CG81" s="949"/>
      <c r="CH81" s="949"/>
      <c r="CI81" s="950"/>
      <c r="CJ81" s="951"/>
      <c r="CK81" s="951"/>
      <c r="CL81" s="952"/>
      <c r="CM81" s="951"/>
      <c r="CN81" s="951"/>
      <c r="CO81" s="952"/>
      <c r="CP81" s="951"/>
      <c r="CQ81" s="951"/>
      <c r="CR81" s="952"/>
      <c r="CS81" s="946"/>
      <c r="CT81" s="953"/>
      <c r="CU81" s="953"/>
      <c r="CV81" s="953"/>
      <c r="CX81" s="951"/>
      <c r="CY81" s="951"/>
      <c r="CZ81" s="952"/>
      <c r="DB81" s="954"/>
      <c r="DC81" s="954"/>
      <c r="DD81" s="921"/>
      <c r="DE81" s="954"/>
      <c r="DF81" s="954"/>
      <c r="DG81" s="921"/>
      <c r="DH81" s="954"/>
      <c r="DI81" s="954"/>
      <c r="DJ81" s="921"/>
      <c r="DK81" s="954"/>
      <c r="DL81" s="954"/>
      <c r="DM81" s="921"/>
      <c r="DN81" s="954"/>
      <c r="DO81" s="954"/>
      <c r="DP81" s="921"/>
      <c r="DQ81" s="942"/>
      <c r="DR81" s="951"/>
      <c r="DS81" s="951"/>
      <c r="DT81" s="952"/>
      <c r="DV81" s="921"/>
      <c r="DW81" s="921"/>
      <c r="DX81" s="921"/>
      <c r="DY81" s="921"/>
      <c r="DZ81" s="921"/>
      <c r="EA81" s="921"/>
      <c r="EB81" s="921"/>
      <c r="EC81" s="921"/>
      <c r="ED81" s="921"/>
      <c r="EE81" s="921"/>
      <c r="EF81" s="921"/>
      <c r="EG81" s="921"/>
      <c r="EH81" s="921"/>
      <c r="EI81" s="921"/>
      <c r="EJ81" s="921"/>
      <c r="EK81" s="921"/>
      <c r="EL81" s="921"/>
      <c r="EM81" s="921"/>
      <c r="EN81" s="921"/>
      <c r="EO81" s="921"/>
      <c r="EP81" s="921"/>
      <c r="EQ81" s="954"/>
      <c r="ER81" s="954"/>
      <c r="ES81" s="954"/>
      <c r="ET81" s="954"/>
      <c r="EV81" s="942"/>
      <c r="EW81" s="951"/>
      <c r="EX81" s="951"/>
      <c r="EY81" s="952"/>
    </row>
    <row r="82" spans="1:155" s="927" customFormat="1" ht="15.75" x14ac:dyDescent="0.25">
      <c r="A82" s="931"/>
      <c r="B82" s="932" t="s">
        <v>404</v>
      </c>
      <c r="C82" s="981">
        <f>C67+C68+C69+C70+C71+C72+C76+C77+C78</f>
        <v>7.25</v>
      </c>
      <c r="D82" s="938"/>
      <c r="E82" s="983"/>
      <c r="F82" s="936"/>
      <c r="G82" s="983"/>
      <c r="H82" s="984">
        <f t="shared" ref="H82:I82" si="72">H67+H68+H69+H70+H71+H72+H76+H77+H78</f>
        <v>115884</v>
      </c>
      <c r="I82" s="984">
        <f t="shared" si="72"/>
        <v>103817.5</v>
      </c>
      <c r="J82" s="937"/>
      <c r="K82" s="938"/>
      <c r="L82" s="984">
        <f>L67+L68+L69+L70+L71+L72+L76+L77+L78</f>
        <v>0</v>
      </c>
      <c r="M82" s="937"/>
      <c r="N82" s="938"/>
      <c r="O82" s="984">
        <f>O67+O68+O69+O70+O71+O72+O76+O77+O78</f>
        <v>0</v>
      </c>
      <c r="P82" s="937"/>
      <c r="Q82" s="938"/>
      <c r="R82" s="984">
        <f>R67+R68+R69+R70+R71+R72+R76+R77+R78</f>
        <v>0</v>
      </c>
      <c r="S82" s="937"/>
      <c r="T82" s="938"/>
      <c r="U82" s="984">
        <f>U67+U68+U69+U70+U71+U72+U76+U77+U78</f>
        <v>0</v>
      </c>
      <c r="V82" s="937"/>
      <c r="W82" s="938"/>
      <c r="X82" s="984">
        <f>X67+X68+X69+X70+X71+X72+X76+X77+X78</f>
        <v>0</v>
      </c>
      <c r="Y82" s="937"/>
      <c r="Z82" s="938"/>
      <c r="AA82" s="984">
        <f>AA67+AA68+AA69+AA70+AA71+AA72+AA76+AA77+AA78</f>
        <v>52957.96</v>
      </c>
      <c r="AB82" s="937"/>
      <c r="AC82" s="938"/>
      <c r="AD82" s="984">
        <f>AD67+AD68+AD69+AD70+AD71+AD72+AD76+AD77+AD78</f>
        <v>11554.34</v>
      </c>
      <c r="AE82" s="937"/>
      <c r="AF82" s="938"/>
      <c r="AG82" s="984">
        <f>AG67+AG68+AG69+AG70+AG71+AG72+AG76+AG77+AG78</f>
        <v>0</v>
      </c>
      <c r="AH82" s="937"/>
      <c r="AI82" s="938"/>
      <c r="AJ82" s="984">
        <f>AJ67+AJ68+AJ69+AJ70+AJ71+AJ72+AJ76+AJ77+AJ78</f>
        <v>0</v>
      </c>
      <c r="AK82" s="937"/>
      <c r="AL82" s="938"/>
      <c r="AM82" s="984">
        <f>AM67+AM68+AM69+AM70+AM71+AM72+AM76+AM77+AM78</f>
        <v>0</v>
      </c>
      <c r="AN82" s="938"/>
      <c r="AO82" s="984">
        <f>AO67+AO68+AO69+AO70+AO71+AO72+AO76+AO77+AO78</f>
        <v>24408.04</v>
      </c>
      <c r="AP82" s="938"/>
      <c r="AQ82" s="984">
        <f t="shared" ref="AQ82:AR82" si="73">AQ67+AQ68+AQ69+AQ70+AQ71+AQ72+AQ76+AQ77+AQ78</f>
        <v>0</v>
      </c>
      <c r="AR82" s="984">
        <f t="shared" si="73"/>
        <v>192737.84</v>
      </c>
      <c r="AS82" s="936"/>
      <c r="AT82" s="984">
        <f t="shared" ref="AT82:AW82" si="74">AT67+AT68+AT69+AT70+AT71+AT72+AT76+AT77+AT78</f>
        <v>2312854.08</v>
      </c>
      <c r="AU82" s="984">
        <f t="shared" si="74"/>
        <v>19626.84</v>
      </c>
      <c r="AV82" s="984">
        <f t="shared" si="74"/>
        <v>23128.54</v>
      </c>
      <c r="AW82" s="984">
        <f t="shared" si="74"/>
        <v>2355609.46</v>
      </c>
      <c r="AX82" s="939"/>
      <c r="AY82" s="939"/>
      <c r="AZ82" s="941"/>
      <c r="BA82" s="941"/>
      <c r="BB82" s="941"/>
      <c r="BC82" s="934"/>
      <c r="BD82" s="941"/>
      <c r="BE82" s="941"/>
      <c r="BF82" s="941"/>
      <c r="BG82" s="942"/>
      <c r="BH82" s="941"/>
      <c r="BI82" s="941"/>
      <c r="BJ82" s="941"/>
      <c r="BK82" s="943"/>
      <c r="BL82" s="943"/>
      <c r="BM82" s="943"/>
      <c r="BN82" s="943"/>
      <c r="BO82" s="943"/>
      <c r="BP82" s="944"/>
      <c r="BQ82" s="943"/>
      <c r="BR82" s="943"/>
      <c r="BS82" s="943"/>
      <c r="BU82" s="945"/>
      <c r="BV82" s="946"/>
      <c r="BW82" s="947"/>
      <c r="BX82" s="945"/>
      <c r="BY82" s="947"/>
      <c r="BZ82" s="946"/>
      <c r="CA82" s="947"/>
      <c r="CB82" s="946"/>
      <c r="CC82" s="947"/>
      <c r="CD82" s="947"/>
      <c r="CE82" s="947"/>
      <c r="CF82" s="948"/>
      <c r="CG82" s="949"/>
      <c r="CH82" s="949"/>
      <c r="CI82" s="950"/>
      <c r="CJ82" s="951"/>
      <c r="CK82" s="951"/>
      <c r="CL82" s="952"/>
      <c r="CM82" s="951"/>
      <c r="CN82" s="951"/>
      <c r="CO82" s="952"/>
      <c r="CP82" s="951"/>
      <c r="CQ82" s="951"/>
      <c r="CR82" s="952"/>
      <c r="CS82" s="946"/>
      <c r="CT82" s="953"/>
      <c r="CU82" s="953"/>
      <c r="CV82" s="953"/>
      <c r="CX82" s="951"/>
      <c r="CY82" s="951"/>
      <c r="CZ82" s="952"/>
      <c r="DB82" s="954"/>
      <c r="DC82" s="954"/>
      <c r="DD82" s="921"/>
      <c r="DE82" s="954"/>
      <c r="DF82" s="954"/>
      <c r="DG82" s="921"/>
      <c r="DH82" s="954"/>
      <c r="DI82" s="954"/>
      <c r="DJ82" s="921"/>
      <c r="DK82" s="954"/>
      <c r="DL82" s="954"/>
      <c r="DM82" s="921"/>
      <c r="DN82" s="954"/>
      <c r="DO82" s="954"/>
      <c r="DP82" s="921"/>
      <c r="DQ82" s="942"/>
      <c r="DR82" s="951"/>
      <c r="DS82" s="951"/>
      <c r="DT82" s="952"/>
      <c r="DV82" s="921"/>
      <c r="DW82" s="921"/>
      <c r="DX82" s="921"/>
      <c r="DY82" s="921"/>
      <c r="DZ82" s="921"/>
      <c r="EA82" s="921"/>
      <c r="EB82" s="921"/>
      <c r="EC82" s="921"/>
      <c r="ED82" s="921"/>
      <c r="EE82" s="921"/>
      <c r="EF82" s="921"/>
      <c r="EG82" s="921"/>
      <c r="EH82" s="921"/>
      <c r="EI82" s="921"/>
      <c r="EJ82" s="921"/>
      <c r="EK82" s="921"/>
      <c r="EL82" s="921"/>
      <c r="EM82" s="921"/>
      <c r="EN82" s="921"/>
      <c r="EO82" s="921"/>
      <c r="EP82" s="921"/>
      <c r="EQ82" s="954"/>
      <c r="ER82" s="954"/>
      <c r="ES82" s="954"/>
      <c r="ET82" s="954"/>
      <c r="EV82" s="942"/>
      <c r="EW82" s="951"/>
      <c r="EX82" s="951"/>
      <c r="EY82" s="952"/>
    </row>
    <row r="83" spans="1:155" s="927" customFormat="1" ht="15.75" x14ac:dyDescent="0.25">
      <c r="A83" s="931"/>
      <c r="B83" s="932" t="s">
        <v>405</v>
      </c>
      <c r="C83" s="933">
        <v>0</v>
      </c>
      <c r="D83" s="938"/>
      <c r="E83" s="983"/>
      <c r="F83" s="936"/>
      <c r="G83" s="983"/>
      <c r="H83" s="938">
        <v>0</v>
      </c>
      <c r="I83" s="938">
        <v>0</v>
      </c>
      <c r="J83" s="937"/>
      <c r="K83" s="938"/>
      <c r="L83" s="938">
        <v>0</v>
      </c>
      <c r="M83" s="937"/>
      <c r="N83" s="938"/>
      <c r="O83" s="938">
        <v>0</v>
      </c>
      <c r="P83" s="937"/>
      <c r="Q83" s="938"/>
      <c r="R83" s="938">
        <v>0</v>
      </c>
      <c r="S83" s="937"/>
      <c r="T83" s="938"/>
      <c r="U83" s="938">
        <v>0</v>
      </c>
      <c r="V83" s="937"/>
      <c r="W83" s="938"/>
      <c r="X83" s="938">
        <v>0</v>
      </c>
      <c r="Y83" s="937"/>
      <c r="Z83" s="938"/>
      <c r="AA83" s="938">
        <v>0</v>
      </c>
      <c r="AB83" s="937"/>
      <c r="AC83" s="938"/>
      <c r="AD83" s="938">
        <v>0</v>
      </c>
      <c r="AE83" s="937"/>
      <c r="AF83" s="938"/>
      <c r="AG83" s="938">
        <v>0</v>
      </c>
      <c r="AH83" s="937"/>
      <c r="AI83" s="938"/>
      <c r="AJ83" s="938">
        <v>0</v>
      </c>
      <c r="AK83" s="937"/>
      <c r="AL83" s="938"/>
      <c r="AM83" s="938">
        <v>0</v>
      </c>
      <c r="AN83" s="938"/>
      <c r="AO83" s="938">
        <v>0</v>
      </c>
      <c r="AP83" s="938"/>
      <c r="AQ83" s="938">
        <v>0</v>
      </c>
      <c r="AR83" s="938">
        <v>0</v>
      </c>
      <c r="AS83" s="936"/>
      <c r="AT83" s="938">
        <v>0</v>
      </c>
      <c r="AU83" s="938">
        <v>0</v>
      </c>
      <c r="AV83" s="938">
        <v>0</v>
      </c>
      <c r="AW83" s="938">
        <v>0</v>
      </c>
      <c r="AX83" s="939"/>
      <c r="AY83" s="939"/>
      <c r="AZ83" s="941"/>
      <c r="BA83" s="941"/>
      <c r="BB83" s="941"/>
      <c r="BC83" s="934"/>
      <c r="BD83" s="941"/>
      <c r="BE83" s="941"/>
      <c r="BF83" s="941"/>
      <c r="BG83" s="942"/>
      <c r="BH83" s="941"/>
      <c r="BI83" s="941"/>
      <c r="BJ83" s="941"/>
      <c r="BK83" s="943"/>
      <c r="BL83" s="943"/>
      <c r="BM83" s="943"/>
      <c r="BN83" s="943"/>
      <c r="BO83" s="943"/>
      <c r="BP83" s="944"/>
      <c r="BQ83" s="943"/>
      <c r="BR83" s="943"/>
      <c r="BS83" s="943"/>
      <c r="BU83" s="945"/>
      <c r="BV83" s="946"/>
      <c r="BW83" s="947"/>
      <c r="BX83" s="945"/>
      <c r="BY83" s="947"/>
      <c r="BZ83" s="946"/>
      <c r="CA83" s="947"/>
      <c r="CB83" s="946"/>
      <c r="CC83" s="947"/>
      <c r="CD83" s="947"/>
      <c r="CE83" s="947"/>
      <c r="CF83" s="948"/>
      <c r="CG83" s="949"/>
      <c r="CH83" s="949"/>
      <c r="CI83" s="950"/>
      <c r="CJ83" s="951"/>
      <c r="CK83" s="951"/>
      <c r="CL83" s="952"/>
      <c r="CM83" s="951"/>
      <c r="CN83" s="951"/>
      <c r="CO83" s="952"/>
      <c r="CP83" s="951"/>
      <c r="CQ83" s="951"/>
      <c r="CR83" s="952"/>
      <c r="CS83" s="946"/>
      <c r="CT83" s="953"/>
      <c r="CU83" s="953"/>
      <c r="CV83" s="953"/>
      <c r="CX83" s="951"/>
      <c r="CY83" s="951"/>
      <c r="CZ83" s="952"/>
      <c r="DB83" s="954"/>
      <c r="DC83" s="954"/>
      <c r="DD83" s="921"/>
      <c r="DE83" s="954"/>
      <c r="DF83" s="954"/>
      <c r="DG83" s="921"/>
      <c r="DH83" s="954"/>
      <c r="DI83" s="954"/>
      <c r="DJ83" s="921"/>
      <c r="DK83" s="954"/>
      <c r="DL83" s="954"/>
      <c r="DM83" s="921"/>
      <c r="DN83" s="954"/>
      <c r="DO83" s="954"/>
      <c r="DP83" s="921"/>
      <c r="DQ83" s="942"/>
      <c r="DR83" s="951"/>
      <c r="DS83" s="951"/>
      <c r="DT83" s="952"/>
      <c r="DV83" s="921"/>
      <c r="DW83" s="921"/>
      <c r="DX83" s="921"/>
      <c r="DY83" s="921"/>
      <c r="DZ83" s="921"/>
      <c r="EA83" s="921"/>
      <c r="EB83" s="921"/>
      <c r="EC83" s="921"/>
      <c r="ED83" s="921"/>
      <c r="EE83" s="921"/>
      <c r="EF83" s="921"/>
      <c r="EG83" s="921"/>
      <c r="EH83" s="921"/>
      <c r="EI83" s="921"/>
      <c r="EJ83" s="921"/>
      <c r="EK83" s="921"/>
      <c r="EL83" s="921"/>
      <c r="EM83" s="921"/>
      <c r="EN83" s="921"/>
      <c r="EO83" s="921"/>
      <c r="EP83" s="921"/>
      <c r="EQ83" s="954"/>
      <c r="ER83" s="954"/>
      <c r="ES83" s="954"/>
      <c r="ET83" s="954"/>
      <c r="EV83" s="942"/>
      <c r="EW83" s="951"/>
      <c r="EX83" s="951"/>
      <c r="EY83" s="952"/>
    </row>
    <row r="84" spans="1:155" s="927" customFormat="1" ht="15.75" x14ac:dyDescent="0.25">
      <c r="A84" s="931"/>
      <c r="B84" s="932"/>
      <c r="C84" s="982">
        <f>C79-C80-C81-C82-C83</f>
        <v>0</v>
      </c>
      <c r="D84" s="938"/>
      <c r="E84" s="983"/>
      <c r="F84" s="936"/>
      <c r="G84" s="983"/>
      <c r="H84" s="985">
        <f>H79-H80-H81-H82-H83</f>
        <v>0</v>
      </c>
      <c r="I84" s="985">
        <f>I79-I80-I81-I82-I83</f>
        <v>0</v>
      </c>
      <c r="J84" s="937"/>
      <c r="K84" s="938"/>
      <c r="L84" s="985">
        <f>L79-L80-L81-L82-L83</f>
        <v>0</v>
      </c>
      <c r="M84" s="937"/>
      <c r="N84" s="938"/>
      <c r="O84" s="985">
        <f>O79-O80-O81-O82-O83</f>
        <v>0</v>
      </c>
      <c r="P84" s="937"/>
      <c r="Q84" s="938"/>
      <c r="R84" s="985">
        <f>R79-R80-R81-R82-R83</f>
        <v>0</v>
      </c>
      <c r="S84" s="937"/>
      <c r="T84" s="938"/>
      <c r="U84" s="985">
        <f>U79-U80-U81-U82-U83</f>
        <v>0</v>
      </c>
      <c r="V84" s="937"/>
      <c r="W84" s="938"/>
      <c r="X84" s="985">
        <f>X79-X80-X81-X82-X83</f>
        <v>0</v>
      </c>
      <c r="Y84" s="937"/>
      <c r="Z84" s="938"/>
      <c r="AA84" s="985">
        <f>AA79-AA80-AA81-AA82-AA83</f>
        <v>0</v>
      </c>
      <c r="AB84" s="937"/>
      <c r="AC84" s="938"/>
      <c r="AD84" s="985">
        <f>AD79-AD80-AD81-AD82-AD83</f>
        <v>0</v>
      </c>
      <c r="AE84" s="937"/>
      <c r="AF84" s="938"/>
      <c r="AG84" s="985">
        <f>AG79-AG80-AG81-AG82-AG83</f>
        <v>0</v>
      </c>
      <c r="AH84" s="937"/>
      <c r="AI84" s="938"/>
      <c r="AJ84" s="985">
        <f>AJ79-AJ80-AJ81-AJ82-AJ83</f>
        <v>0</v>
      </c>
      <c r="AK84" s="937"/>
      <c r="AL84" s="938"/>
      <c r="AM84" s="985">
        <f>AM79-AM80-AM81-AM82-AM83</f>
        <v>0</v>
      </c>
      <c r="AN84" s="938"/>
      <c r="AO84" s="985">
        <f>AO79-AO80-AO81-AO82-AO83</f>
        <v>0</v>
      </c>
      <c r="AP84" s="938"/>
      <c r="AQ84" s="985">
        <f>AQ79-AQ80-AQ81-AQ82-AQ83</f>
        <v>0</v>
      </c>
      <c r="AR84" s="985">
        <f>AR79-AR80-AR81-AR82-AR83</f>
        <v>0</v>
      </c>
      <c r="AS84" s="936"/>
      <c r="AT84" s="985">
        <f t="shared" ref="AT84:AW84" si="75">AT79-AT80-AT81-AT82-AT83</f>
        <v>0</v>
      </c>
      <c r="AU84" s="985">
        <f t="shared" si="75"/>
        <v>0</v>
      </c>
      <c r="AV84" s="985">
        <f t="shared" si="75"/>
        <v>0</v>
      </c>
      <c r="AW84" s="985">
        <f t="shared" si="75"/>
        <v>0</v>
      </c>
      <c r="AX84" s="939"/>
      <c r="AY84" s="939"/>
      <c r="AZ84" s="941"/>
      <c r="BA84" s="941"/>
      <c r="BB84" s="941"/>
      <c r="BC84" s="934"/>
      <c r="BD84" s="941"/>
      <c r="BE84" s="941"/>
      <c r="BF84" s="941"/>
      <c r="BG84" s="942"/>
      <c r="BH84" s="941"/>
      <c r="BI84" s="941"/>
      <c r="BJ84" s="941"/>
      <c r="BK84" s="943"/>
      <c r="BL84" s="943"/>
      <c r="BM84" s="943"/>
      <c r="BN84" s="943"/>
      <c r="BO84" s="943"/>
      <c r="BP84" s="944"/>
      <c r="BQ84" s="943"/>
      <c r="BR84" s="943"/>
      <c r="BS84" s="943"/>
      <c r="BU84" s="945"/>
      <c r="BV84" s="946"/>
      <c r="BW84" s="947"/>
      <c r="BX84" s="945"/>
      <c r="BY84" s="947"/>
      <c r="BZ84" s="946"/>
      <c r="CA84" s="947"/>
      <c r="CB84" s="946"/>
      <c r="CC84" s="947"/>
      <c r="CD84" s="947"/>
      <c r="CE84" s="947"/>
      <c r="CF84" s="948"/>
      <c r="CG84" s="949"/>
      <c r="CH84" s="949"/>
      <c r="CI84" s="950"/>
      <c r="CJ84" s="951"/>
      <c r="CK84" s="951"/>
      <c r="CL84" s="952"/>
      <c r="CM84" s="951"/>
      <c r="CN84" s="951"/>
      <c r="CO84" s="952"/>
      <c r="CP84" s="951"/>
      <c r="CQ84" s="951"/>
      <c r="CR84" s="952"/>
      <c r="CS84" s="946"/>
      <c r="CT84" s="953"/>
      <c r="CU84" s="953"/>
      <c r="CV84" s="953"/>
      <c r="CX84" s="951"/>
      <c r="CY84" s="951"/>
      <c r="CZ84" s="952"/>
      <c r="DB84" s="954"/>
      <c r="DC84" s="954"/>
      <c r="DD84" s="921"/>
      <c r="DE84" s="954"/>
      <c r="DF84" s="954"/>
      <c r="DG84" s="921"/>
      <c r="DH84" s="954"/>
      <c r="DI84" s="954"/>
      <c r="DJ84" s="921"/>
      <c r="DK84" s="954"/>
      <c r="DL84" s="954"/>
      <c r="DM84" s="921"/>
      <c r="DN84" s="954"/>
      <c r="DO84" s="954"/>
      <c r="DP84" s="921"/>
      <c r="DQ84" s="942"/>
      <c r="DR84" s="951"/>
      <c r="DS84" s="951"/>
      <c r="DT84" s="952"/>
      <c r="DV84" s="921"/>
      <c r="DW84" s="921"/>
      <c r="DX84" s="921"/>
      <c r="DY84" s="921"/>
      <c r="DZ84" s="921"/>
      <c r="EA84" s="921"/>
      <c r="EB84" s="921"/>
      <c r="EC84" s="921"/>
      <c r="ED84" s="921"/>
      <c r="EE84" s="921"/>
      <c r="EF84" s="921"/>
      <c r="EG84" s="921"/>
      <c r="EH84" s="921"/>
      <c r="EI84" s="921"/>
      <c r="EJ84" s="921"/>
      <c r="EK84" s="921"/>
      <c r="EL84" s="921"/>
      <c r="EM84" s="921"/>
      <c r="EN84" s="921"/>
      <c r="EO84" s="921"/>
      <c r="EP84" s="921"/>
      <c r="EQ84" s="954"/>
      <c r="ER84" s="954"/>
      <c r="ES84" s="954"/>
      <c r="ET84" s="954"/>
      <c r="EV84" s="942"/>
      <c r="EW84" s="951"/>
      <c r="EX84" s="951"/>
      <c r="EY84" s="952"/>
    </row>
    <row r="85" spans="1:155" s="927" customFormat="1" ht="15.75" x14ac:dyDescent="0.25">
      <c r="A85" s="931"/>
      <c r="B85" s="932" t="s">
        <v>806</v>
      </c>
      <c r="C85" s="933"/>
      <c r="D85" s="933"/>
      <c r="E85" s="934"/>
      <c r="F85" s="935"/>
      <c r="G85" s="934"/>
      <c r="H85" s="935"/>
      <c r="I85" s="936"/>
      <c r="J85" s="937"/>
      <c r="K85" s="938"/>
      <c r="L85" s="936"/>
      <c r="M85" s="937"/>
      <c r="N85" s="938"/>
      <c r="O85" s="936"/>
      <c r="P85" s="937"/>
      <c r="Q85" s="938"/>
      <c r="R85" s="936"/>
      <c r="S85" s="937"/>
      <c r="T85" s="938"/>
      <c r="U85" s="936"/>
      <c r="V85" s="937"/>
      <c r="W85" s="938"/>
      <c r="X85" s="936"/>
      <c r="Y85" s="937"/>
      <c r="Z85" s="938"/>
      <c r="AA85" s="936"/>
      <c r="AB85" s="937"/>
      <c r="AC85" s="938"/>
      <c r="AD85" s="936"/>
      <c r="AE85" s="937"/>
      <c r="AF85" s="938"/>
      <c r="AG85" s="936"/>
      <c r="AH85" s="937"/>
      <c r="AI85" s="938"/>
      <c r="AJ85" s="936"/>
      <c r="AK85" s="937"/>
      <c r="AL85" s="938"/>
      <c r="AM85" s="936"/>
      <c r="AN85" s="933"/>
      <c r="AO85" s="936"/>
      <c r="AP85" s="933"/>
      <c r="AQ85" s="935"/>
      <c r="AR85" s="936"/>
      <c r="AS85" s="935"/>
      <c r="AT85" s="939"/>
      <c r="AU85" s="933"/>
      <c r="AV85" s="940"/>
      <c r="AW85" s="389">
        <f>AW79/12-AO79</f>
        <v>385762.48</v>
      </c>
      <c r="AX85" s="939"/>
      <c r="AY85" s="939"/>
      <c r="AZ85" s="941"/>
      <c r="BA85" s="941"/>
      <c r="BB85" s="941"/>
      <c r="BC85" s="934"/>
      <c r="BD85" s="941"/>
      <c r="BE85" s="941"/>
      <c r="BF85" s="941"/>
      <c r="BG85" s="942"/>
      <c r="BH85" s="941"/>
      <c r="BI85" s="941"/>
      <c r="BJ85" s="941"/>
      <c r="BK85" s="943"/>
      <c r="BL85" s="943"/>
      <c r="BM85" s="943"/>
      <c r="BN85" s="943"/>
      <c r="BO85" s="943"/>
      <c r="BP85" s="944"/>
      <c r="BQ85" s="943"/>
      <c r="BR85" s="943"/>
      <c r="BS85" s="943"/>
      <c r="BU85" s="945"/>
      <c r="BV85" s="946"/>
      <c r="BW85" s="947"/>
      <c r="BX85" s="945"/>
      <c r="BY85" s="947"/>
      <c r="BZ85" s="946"/>
      <c r="CA85" s="947"/>
      <c r="CB85" s="946"/>
      <c r="CC85" s="947"/>
      <c r="CD85" s="947"/>
      <c r="CE85" s="947"/>
      <c r="CF85" s="948"/>
      <c r="CG85" s="949"/>
      <c r="CH85" s="949"/>
      <c r="CI85" s="950"/>
      <c r="CJ85" s="951"/>
      <c r="CK85" s="951"/>
      <c r="CL85" s="952"/>
      <c r="CM85" s="951"/>
      <c r="CN85" s="951"/>
      <c r="CO85" s="952"/>
      <c r="CP85" s="951"/>
      <c r="CQ85" s="951"/>
      <c r="CR85" s="952"/>
      <c r="CS85" s="946"/>
      <c r="CT85" s="953"/>
      <c r="CU85" s="953"/>
      <c r="CV85" s="953"/>
      <c r="CX85" s="951"/>
      <c r="CY85" s="951"/>
      <c r="CZ85" s="952"/>
      <c r="DB85" s="954"/>
      <c r="DC85" s="954"/>
      <c r="DD85" s="921"/>
      <c r="DE85" s="954"/>
      <c r="DF85" s="954"/>
      <c r="DG85" s="921"/>
      <c r="DH85" s="954"/>
      <c r="DI85" s="954"/>
      <c r="DJ85" s="921"/>
      <c r="DK85" s="954"/>
      <c r="DL85" s="954"/>
      <c r="DM85" s="921"/>
      <c r="DN85" s="954"/>
      <c r="DO85" s="954"/>
      <c r="DP85" s="921"/>
      <c r="DQ85" s="942"/>
      <c r="DR85" s="951"/>
      <c r="DS85" s="951"/>
      <c r="DT85" s="952"/>
      <c r="DV85" s="921"/>
      <c r="DW85" s="921"/>
      <c r="DX85" s="921"/>
      <c r="DY85" s="921"/>
      <c r="DZ85" s="921"/>
      <c r="EA85" s="921"/>
      <c r="EB85" s="921"/>
      <c r="EC85" s="921"/>
      <c r="ED85" s="921"/>
      <c r="EE85" s="921"/>
      <c r="EF85" s="921"/>
      <c r="EG85" s="921"/>
      <c r="EH85" s="921"/>
      <c r="EI85" s="921"/>
      <c r="EJ85" s="921"/>
      <c r="EK85" s="921"/>
      <c r="EL85" s="921"/>
      <c r="EM85" s="921"/>
      <c r="EN85" s="921"/>
      <c r="EO85" s="921"/>
      <c r="EP85" s="921"/>
      <c r="EQ85" s="954"/>
      <c r="ER85" s="954"/>
      <c r="ES85" s="954"/>
      <c r="ET85" s="954"/>
      <c r="EV85" s="942"/>
      <c r="EW85" s="951"/>
      <c r="EX85" s="951"/>
      <c r="EY85" s="952"/>
    </row>
    <row r="86" spans="1:155" s="927" customFormat="1" ht="15.75" x14ac:dyDescent="0.25">
      <c r="A86" s="931"/>
      <c r="B86" s="932" t="s">
        <v>406</v>
      </c>
      <c r="C86" s="933"/>
      <c r="D86" s="933"/>
      <c r="E86" s="934"/>
      <c r="F86" s="935"/>
      <c r="G86" s="934"/>
      <c r="H86" s="935"/>
      <c r="I86" s="936"/>
      <c r="J86" s="937"/>
      <c r="K86" s="938"/>
      <c r="L86" s="936"/>
      <c r="M86" s="937"/>
      <c r="N86" s="938"/>
      <c r="O86" s="936"/>
      <c r="P86" s="937"/>
      <c r="Q86" s="938"/>
      <c r="R86" s="936"/>
      <c r="S86" s="937"/>
      <c r="T86" s="938"/>
      <c r="U86" s="936"/>
      <c r="V86" s="937"/>
      <c r="W86" s="938"/>
      <c r="X86" s="936"/>
      <c r="Y86" s="937"/>
      <c r="Z86" s="938"/>
      <c r="AA86" s="936"/>
      <c r="AB86" s="937"/>
      <c r="AC86" s="938"/>
      <c r="AD86" s="936"/>
      <c r="AE86" s="937"/>
      <c r="AF86" s="938"/>
      <c r="AG86" s="936"/>
      <c r="AH86" s="937"/>
      <c r="AI86" s="938"/>
      <c r="AJ86" s="936"/>
      <c r="AK86" s="937"/>
      <c r="AL86" s="938"/>
      <c r="AM86" s="936"/>
      <c r="AN86" s="933"/>
      <c r="AO86" s="936"/>
      <c r="AP86" s="933"/>
      <c r="AQ86" s="935"/>
      <c r="AR86" s="936"/>
      <c r="AS86" s="935"/>
      <c r="AT86" s="939"/>
      <c r="AU86" s="933"/>
      <c r="AV86" s="940"/>
      <c r="AW86" s="389">
        <f>AW80/12-AO80</f>
        <v>175741.36</v>
      </c>
      <c r="AX86" s="939"/>
      <c r="AY86" s="939"/>
      <c r="AZ86" s="941"/>
      <c r="BA86" s="941"/>
      <c r="BB86" s="941"/>
      <c r="BC86" s="934"/>
      <c r="BD86" s="941"/>
      <c r="BE86" s="941"/>
      <c r="BF86" s="941"/>
      <c r="BG86" s="942"/>
      <c r="BH86" s="941"/>
      <c r="BI86" s="941"/>
      <c r="BJ86" s="941"/>
      <c r="BK86" s="943"/>
      <c r="BL86" s="943"/>
      <c r="BM86" s="943"/>
      <c r="BN86" s="943"/>
      <c r="BO86" s="943"/>
      <c r="BP86" s="944"/>
      <c r="BQ86" s="943"/>
      <c r="BR86" s="943"/>
      <c r="BS86" s="943"/>
      <c r="BU86" s="945"/>
      <c r="BV86" s="946"/>
      <c r="BW86" s="947"/>
      <c r="BX86" s="945"/>
      <c r="BY86" s="947"/>
      <c r="BZ86" s="946"/>
      <c r="CA86" s="947"/>
      <c r="CB86" s="946"/>
      <c r="CC86" s="947"/>
      <c r="CD86" s="947"/>
      <c r="CE86" s="947"/>
      <c r="CF86" s="948"/>
      <c r="CG86" s="949"/>
      <c r="CH86" s="949"/>
      <c r="CI86" s="950"/>
      <c r="CJ86" s="951"/>
      <c r="CK86" s="951"/>
      <c r="CL86" s="952"/>
      <c r="CM86" s="951"/>
      <c r="CN86" s="951"/>
      <c r="CO86" s="952"/>
      <c r="CP86" s="951"/>
      <c r="CQ86" s="951"/>
      <c r="CR86" s="952"/>
      <c r="CS86" s="946"/>
      <c r="CT86" s="953"/>
      <c r="CU86" s="953"/>
      <c r="CV86" s="953"/>
      <c r="CX86" s="951"/>
      <c r="CY86" s="951"/>
      <c r="CZ86" s="952"/>
      <c r="DB86" s="954"/>
      <c r="DC86" s="954"/>
      <c r="DD86" s="921"/>
      <c r="DE86" s="954"/>
      <c r="DF86" s="954"/>
      <c r="DG86" s="921"/>
      <c r="DH86" s="954"/>
      <c r="DI86" s="954"/>
      <c r="DJ86" s="921"/>
      <c r="DK86" s="954"/>
      <c r="DL86" s="954"/>
      <c r="DM86" s="921"/>
      <c r="DN86" s="954"/>
      <c r="DO86" s="954"/>
      <c r="DP86" s="921"/>
      <c r="DQ86" s="942"/>
      <c r="DR86" s="951"/>
      <c r="DS86" s="951"/>
      <c r="DT86" s="952"/>
      <c r="DV86" s="921"/>
      <c r="DW86" s="921"/>
      <c r="DX86" s="921"/>
      <c r="DY86" s="921"/>
      <c r="DZ86" s="921"/>
      <c r="EA86" s="921"/>
      <c r="EB86" s="921"/>
      <c r="EC86" s="921"/>
      <c r="ED86" s="921"/>
      <c r="EE86" s="921"/>
      <c r="EF86" s="921"/>
      <c r="EG86" s="921"/>
      <c r="EH86" s="921"/>
      <c r="EI86" s="921"/>
      <c r="EJ86" s="921"/>
      <c r="EK86" s="921"/>
      <c r="EL86" s="921"/>
      <c r="EM86" s="921"/>
      <c r="EN86" s="921"/>
      <c r="EO86" s="921"/>
      <c r="EP86" s="921"/>
      <c r="EQ86" s="954"/>
      <c r="ER86" s="954"/>
      <c r="ES86" s="954"/>
      <c r="ET86" s="954"/>
      <c r="EV86" s="942"/>
      <c r="EW86" s="951"/>
      <c r="EX86" s="951"/>
      <c r="EY86" s="952"/>
    </row>
    <row r="87" spans="1:155" s="927" customFormat="1" ht="15.75" x14ac:dyDescent="0.25">
      <c r="A87" s="931"/>
      <c r="B87" s="932" t="s">
        <v>403</v>
      </c>
      <c r="C87" s="933"/>
      <c r="D87" s="933"/>
      <c r="E87" s="934"/>
      <c r="F87" s="935"/>
      <c r="G87" s="934"/>
      <c r="H87" s="935"/>
      <c r="I87" s="936"/>
      <c r="J87" s="937"/>
      <c r="K87" s="938"/>
      <c r="L87" s="936"/>
      <c r="M87" s="937"/>
      <c r="N87" s="938"/>
      <c r="O87" s="936"/>
      <c r="P87" s="937"/>
      <c r="Q87" s="938"/>
      <c r="R87" s="936"/>
      <c r="S87" s="937"/>
      <c r="T87" s="938"/>
      <c r="U87" s="936"/>
      <c r="V87" s="937"/>
      <c r="W87" s="938"/>
      <c r="X87" s="936"/>
      <c r="Y87" s="937"/>
      <c r="Z87" s="938"/>
      <c r="AA87" s="936"/>
      <c r="AB87" s="937"/>
      <c r="AC87" s="938"/>
      <c r="AD87" s="936"/>
      <c r="AE87" s="937"/>
      <c r="AF87" s="938"/>
      <c r="AG87" s="936"/>
      <c r="AH87" s="937"/>
      <c r="AI87" s="938"/>
      <c r="AJ87" s="936"/>
      <c r="AK87" s="937"/>
      <c r="AL87" s="938"/>
      <c r="AM87" s="936"/>
      <c r="AN87" s="933"/>
      <c r="AO87" s="936"/>
      <c r="AP87" s="933"/>
      <c r="AQ87" s="935"/>
      <c r="AR87" s="936"/>
      <c r="AS87" s="935"/>
      <c r="AT87" s="939"/>
      <c r="AU87" s="933"/>
      <c r="AV87" s="940"/>
      <c r="AW87" s="389">
        <f>AW81/12-AO81</f>
        <v>38128.370000000003</v>
      </c>
      <c r="AX87" s="939"/>
      <c r="AY87" s="939"/>
      <c r="AZ87" s="941"/>
      <c r="BA87" s="941"/>
      <c r="BB87" s="941"/>
      <c r="BC87" s="934"/>
      <c r="BD87" s="941"/>
      <c r="BE87" s="941"/>
      <c r="BF87" s="941"/>
      <c r="BG87" s="942"/>
      <c r="BH87" s="941"/>
      <c r="BI87" s="941"/>
      <c r="BJ87" s="941"/>
      <c r="BK87" s="943"/>
      <c r="BL87" s="943"/>
      <c r="BM87" s="943"/>
      <c r="BN87" s="943"/>
      <c r="BO87" s="943"/>
      <c r="BP87" s="944"/>
      <c r="BQ87" s="943"/>
      <c r="BR87" s="943"/>
      <c r="BS87" s="943"/>
      <c r="BU87" s="945"/>
      <c r="BV87" s="946"/>
      <c r="BW87" s="947"/>
      <c r="BX87" s="945"/>
      <c r="BY87" s="947"/>
      <c r="BZ87" s="946"/>
      <c r="CA87" s="947"/>
      <c r="CB87" s="946"/>
      <c r="CC87" s="947"/>
      <c r="CD87" s="947"/>
      <c r="CE87" s="947"/>
      <c r="CF87" s="948"/>
      <c r="CG87" s="949"/>
      <c r="CH87" s="949"/>
      <c r="CI87" s="950"/>
      <c r="CJ87" s="951"/>
      <c r="CK87" s="951"/>
      <c r="CL87" s="952"/>
      <c r="CM87" s="951"/>
      <c r="CN87" s="951"/>
      <c r="CO87" s="952"/>
      <c r="CP87" s="951"/>
      <c r="CQ87" s="951"/>
      <c r="CR87" s="952"/>
      <c r="CS87" s="946"/>
      <c r="CT87" s="953"/>
      <c r="CU87" s="953"/>
      <c r="CV87" s="953"/>
      <c r="CX87" s="951"/>
      <c r="CY87" s="951"/>
      <c r="CZ87" s="952"/>
      <c r="DB87" s="954"/>
      <c r="DC87" s="954"/>
      <c r="DD87" s="921"/>
      <c r="DE87" s="954"/>
      <c r="DF87" s="954"/>
      <c r="DG87" s="921"/>
      <c r="DH87" s="954"/>
      <c r="DI87" s="954"/>
      <c r="DJ87" s="921"/>
      <c r="DK87" s="954"/>
      <c r="DL87" s="954"/>
      <c r="DM87" s="921"/>
      <c r="DN87" s="954"/>
      <c r="DO87" s="954"/>
      <c r="DP87" s="921"/>
      <c r="DQ87" s="942"/>
      <c r="DR87" s="951"/>
      <c r="DS87" s="951"/>
      <c r="DT87" s="952"/>
      <c r="DV87" s="921"/>
      <c r="DW87" s="921"/>
      <c r="DX87" s="921"/>
      <c r="DY87" s="921"/>
      <c r="DZ87" s="921"/>
      <c r="EA87" s="921"/>
      <c r="EB87" s="921"/>
      <c r="EC87" s="921"/>
      <c r="ED87" s="921"/>
      <c r="EE87" s="921"/>
      <c r="EF87" s="921"/>
      <c r="EG87" s="921"/>
      <c r="EH87" s="921"/>
      <c r="EI87" s="921"/>
      <c r="EJ87" s="921"/>
      <c r="EK87" s="921"/>
      <c r="EL87" s="921"/>
      <c r="EM87" s="921"/>
      <c r="EN87" s="921"/>
      <c r="EO87" s="921"/>
      <c r="EP87" s="921"/>
      <c r="EQ87" s="954"/>
      <c r="ER87" s="954"/>
      <c r="ES87" s="954"/>
      <c r="ET87" s="954"/>
      <c r="EV87" s="942"/>
      <c r="EW87" s="951"/>
      <c r="EX87" s="951"/>
      <c r="EY87" s="952"/>
    </row>
    <row r="88" spans="1:155" s="927" customFormat="1" ht="15.75" x14ac:dyDescent="0.25">
      <c r="A88" s="931"/>
      <c r="B88" s="932" t="s">
        <v>404</v>
      </c>
      <c r="C88" s="933"/>
      <c r="D88" s="933"/>
      <c r="E88" s="934"/>
      <c r="F88" s="935"/>
      <c r="G88" s="934"/>
      <c r="H88" s="935"/>
      <c r="I88" s="936"/>
      <c r="J88" s="937"/>
      <c r="K88" s="938"/>
      <c r="L88" s="936"/>
      <c r="M88" s="937"/>
      <c r="N88" s="938"/>
      <c r="O88" s="936"/>
      <c r="P88" s="937"/>
      <c r="Q88" s="938"/>
      <c r="R88" s="936"/>
      <c r="S88" s="937"/>
      <c r="T88" s="938"/>
      <c r="U88" s="936"/>
      <c r="V88" s="937"/>
      <c r="W88" s="938"/>
      <c r="X88" s="936"/>
      <c r="Y88" s="937"/>
      <c r="Z88" s="938"/>
      <c r="AA88" s="936"/>
      <c r="AB88" s="937"/>
      <c r="AC88" s="938"/>
      <c r="AD88" s="936"/>
      <c r="AE88" s="937"/>
      <c r="AF88" s="938"/>
      <c r="AG88" s="936"/>
      <c r="AH88" s="937"/>
      <c r="AI88" s="938"/>
      <c r="AJ88" s="936"/>
      <c r="AK88" s="937"/>
      <c r="AL88" s="938"/>
      <c r="AM88" s="936"/>
      <c r="AN88" s="933"/>
      <c r="AO88" s="936"/>
      <c r="AP88" s="933"/>
      <c r="AQ88" s="935"/>
      <c r="AR88" s="936"/>
      <c r="AS88" s="935"/>
      <c r="AT88" s="939"/>
      <c r="AU88" s="933"/>
      <c r="AV88" s="940"/>
      <c r="AW88" s="389">
        <f>AW82/12-AO82</f>
        <v>171892.75</v>
      </c>
      <c r="AX88" s="939"/>
      <c r="AY88" s="939"/>
      <c r="AZ88" s="941"/>
      <c r="BA88" s="941"/>
      <c r="BB88" s="941"/>
      <c r="BC88" s="934"/>
      <c r="BD88" s="941"/>
      <c r="BE88" s="941"/>
      <c r="BF88" s="941"/>
      <c r="BG88" s="942"/>
      <c r="BH88" s="941"/>
      <c r="BI88" s="941"/>
      <c r="BJ88" s="941"/>
      <c r="BK88" s="943"/>
      <c r="BL88" s="943"/>
      <c r="BM88" s="943"/>
      <c r="BN88" s="943"/>
      <c r="BO88" s="943"/>
      <c r="BP88" s="944"/>
      <c r="BQ88" s="943"/>
      <c r="BR88" s="943"/>
      <c r="BS88" s="943"/>
      <c r="BU88" s="945"/>
      <c r="BV88" s="946"/>
      <c r="BW88" s="947"/>
      <c r="BX88" s="945"/>
      <c r="BY88" s="947"/>
      <c r="BZ88" s="946"/>
      <c r="CA88" s="947"/>
      <c r="CB88" s="946"/>
      <c r="CC88" s="947"/>
      <c r="CD88" s="947"/>
      <c r="CE88" s="947"/>
      <c r="CF88" s="948"/>
      <c r="CG88" s="949"/>
      <c r="CH88" s="949"/>
      <c r="CI88" s="950"/>
      <c r="CJ88" s="951"/>
      <c r="CK88" s="951"/>
      <c r="CL88" s="952"/>
      <c r="CM88" s="951"/>
      <c r="CN88" s="951"/>
      <c r="CO88" s="952"/>
      <c r="CP88" s="951"/>
      <c r="CQ88" s="951"/>
      <c r="CR88" s="952"/>
      <c r="CS88" s="946"/>
      <c r="CT88" s="953"/>
      <c r="CU88" s="953"/>
      <c r="CV88" s="953"/>
      <c r="CX88" s="951"/>
      <c r="CY88" s="951"/>
      <c r="CZ88" s="952"/>
      <c r="DB88" s="954"/>
      <c r="DC88" s="954"/>
      <c r="DD88" s="921"/>
      <c r="DE88" s="954"/>
      <c r="DF88" s="954"/>
      <c r="DG88" s="921"/>
      <c r="DH88" s="954"/>
      <c r="DI88" s="954"/>
      <c r="DJ88" s="921"/>
      <c r="DK88" s="954"/>
      <c r="DL88" s="954"/>
      <c r="DM88" s="921"/>
      <c r="DN88" s="954"/>
      <c r="DO88" s="954"/>
      <c r="DP88" s="921"/>
      <c r="DQ88" s="942"/>
      <c r="DR88" s="951"/>
      <c r="DS88" s="951"/>
      <c r="DT88" s="952"/>
      <c r="DV88" s="921"/>
      <c r="DW88" s="921"/>
      <c r="DX88" s="921"/>
      <c r="DY88" s="921"/>
      <c r="DZ88" s="921"/>
      <c r="EA88" s="921"/>
      <c r="EB88" s="921"/>
      <c r="EC88" s="921"/>
      <c r="ED88" s="921"/>
      <c r="EE88" s="921"/>
      <c r="EF88" s="921"/>
      <c r="EG88" s="921"/>
      <c r="EH88" s="921"/>
      <c r="EI88" s="921"/>
      <c r="EJ88" s="921"/>
      <c r="EK88" s="921"/>
      <c r="EL88" s="921"/>
      <c r="EM88" s="921"/>
      <c r="EN88" s="921"/>
      <c r="EO88" s="921"/>
      <c r="EP88" s="921"/>
      <c r="EQ88" s="954"/>
      <c r="ER88" s="954"/>
      <c r="ES88" s="954"/>
      <c r="ET88" s="954"/>
      <c r="EV88" s="942"/>
      <c r="EW88" s="951"/>
      <c r="EX88" s="951"/>
      <c r="EY88" s="952"/>
    </row>
    <row r="89" spans="1:155" s="927" customFormat="1" ht="15.75" x14ac:dyDescent="0.25">
      <c r="A89" s="931"/>
      <c r="B89" s="932" t="s">
        <v>405</v>
      </c>
      <c r="C89" s="933"/>
      <c r="D89" s="933"/>
      <c r="E89" s="934"/>
      <c r="F89" s="935"/>
      <c r="G89" s="934"/>
      <c r="H89" s="935"/>
      <c r="I89" s="936"/>
      <c r="J89" s="937"/>
      <c r="K89" s="938"/>
      <c r="L89" s="936"/>
      <c r="M89" s="937"/>
      <c r="N89" s="938"/>
      <c r="O89" s="936"/>
      <c r="P89" s="937"/>
      <c r="Q89" s="938"/>
      <c r="R89" s="936"/>
      <c r="S89" s="937"/>
      <c r="T89" s="938"/>
      <c r="U89" s="936"/>
      <c r="V89" s="937"/>
      <c r="W89" s="938"/>
      <c r="X89" s="936"/>
      <c r="Y89" s="937"/>
      <c r="Z89" s="938"/>
      <c r="AA89" s="936"/>
      <c r="AB89" s="937"/>
      <c r="AC89" s="938"/>
      <c r="AD89" s="936"/>
      <c r="AE89" s="937"/>
      <c r="AF89" s="938"/>
      <c r="AG89" s="936"/>
      <c r="AH89" s="937"/>
      <c r="AI89" s="938"/>
      <c r="AJ89" s="936"/>
      <c r="AK89" s="937"/>
      <c r="AL89" s="938"/>
      <c r="AM89" s="936"/>
      <c r="AN89" s="933"/>
      <c r="AO89" s="936"/>
      <c r="AP89" s="933"/>
      <c r="AQ89" s="935"/>
      <c r="AR89" s="936"/>
      <c r="AS89" s="935"/>
      <c r="AT89" s="939"/>
      <c r="AU89" s="933"/>
      <c r="AV89" s="940"/>
      <c r="AW89" s="389">
        <f>AW83/12-AO83</f>
        <v>0</v>
      </c>
      <c r="AX89" s="939"/>
      <c r="AY89" s="939"/>
      <c r="AZ89" s="941"/>
      <c r="BA89" s="941"/>
      <c r="BB89" s="941"/>
      <c r="BC89" s="934"/>
      <c r="BD89" s="941"/>
      <c r="BE89" s="941"/>
      <c r="BF89" s="941"/>
      <c r="BG89" s="942"/>
      <c r="BH89" s="941"/>
      <c r="BI89" s="941"/>
      <c r="BJ89" s="941"/>
      <c r="BK89" s="943"/>
      <c r="BL89" s="943"/>
      <c r="BM89" s="943"/>
      <c r="BN89" s="943"/>
      <c r="BO89" s="943"/>
      <c r="BP89" s="944"/>
      <c r="BQ89" s="943"/>
      <c r="BR89" s="943"/>
      <c r="BS89" s="943"/>
      <c r="BU89" s="945"/>
      <c r="BV89" s="946"/>
      <c r="BW89" s="947"/>
      <c r="BX89" s="945"/>
      <c r="BY89" s="947"/>
      <c r="BZ89" s="946"/>
      <c r="CA89" s="947"/>
      <c r="CB89" s="946"/>
      <c r="CC89" s="947"/>
      <c r="CD89" s="947"/>
      <c r="CE89" s="947"/>
      <c r="CF89" s="948"/>
      <c r="CG89" s="949"/>
      <c r="CH89" s="949"/>
      <c r="CI89" s="950"/>
      <c r="CJ89" s="951"/>
      <c r="CK89" s="951"/>
      <c r="CL89" s="952"/>
      <c r="CM89" s="951"/>
      <c r="CN89" s="951"/>
      <c r="CO89" s="952"/>
      <c r="CP89" s="951"/>
      <c r="CQ89" s="951"/>
      <c r="CR89" s="952"/>
      <c r="CS89" s="946"/>
      <c r="CT89" s="953"/>
      <c r="CU89" s="953"/>
      <c r="CV89" s="953"/>
      <c r="CX89" s="951"/>
      <c r="CY89" s="951"/>
      <c r="CZ89" s="952"/>
      <c r="DB89" s="954"/>
      <c r="DC89" s="954"/>
      <c r="DD89" s="921"/>
      <c r="DE89" s="954"/>
      <c r="DF89" s="954"/>
      <c r="DG89" s="921"/>
      <c r="DH89" s="954"/>
      <c r="DI89" s="954"/>
      <c r="DJ89" s="921"/>
      <c r="DK89" s="954"/>
      <c r="DL89" s="954"/>
      <c r="DM89" s="921"/>
      <c r="DN89" s="954"/>
      <c r="DO89" s="954"/>
      <c r="DP89" s="921"/>
      <c r="DQ89" s="942"/>
      <c r="DR89" s="951"/>
      <c r="DS89" s="951"/>
      <c r="DT89" s="952"/>
      <c r="DV89" s="921"/>
      <c r="DW89" s="921"/>
      <c r="DX89" s="921"/>
      <c r="DY89" s="921"/>
      <c r="DZ89" s="921"/>
      <c r="EA89" s="921"/>
      <c r="EB89" s="921"/>
      <c r="EC89" s="921"/>
      <c r="ED89" s="921"/>
      <c r="EE89" s="921"/>
      <c r="EF89" s="921"/>
      <c r="EG89" s="921"/>
      <c r="EH89" s="921"/>
      <c r="EI89" s="921"/>
      <c r="EJ89" s="921"/>
      <c r="EK89" s="921"/>
      <c r="EL89" s="921"/>
      <c r="EM89" s="921"/>
      <c r="EN89" s="921"/>
      <c r="EO89" s="921"/>
      <c r="EP89" s="921"/>
      <c r="EQ89" s="954"/>
      <c r="ER89" s="954"/>
      <c r="ES89" s="954"/>
      <c r="ET89" s="954"/>
      <c r="EV89" s="942"/>
      <c r="EW89" s="951"/>
      <c r="EX89" s="951"/>
      <c r="EY89" s="952"/>
    </row>
    <row r="90" spans="1:155" s="927" customFormat="1" ht="15.75" x14ac:dyDescent="0.25">
      <c r="A90" s="931"/>
      <c r="B90" s="932" t="s">
        <v>499</v>
      </c>
      <c r="C90" s="933"/>
      <c r="D90" s="933"/>
      <c r="E90" s="934"/>
      <c r="F90" s="935"/>
      <c r="G90" s="934"/>
      <c r="H90" s="935"/>
      <c r="I90" s="936"/>
      <c r="J90" s="937"/>
      <c r="K90" s="938"/>
      <c r="L90" s="936"/>
      <c r="M90" s="937"/>
      <c r="N90" s="938"/>
      <c r="O90" s="936"/>
      <c r="P90" s="937"/>
      <c r="Q90" s="938"/>
      <c r="R90" s="936"/>
      <c r="S90" s="937"/>
      <c r="T90" s="938"/>
      <c r="U90" s="936"/>
      <c r="V90" s="937"/>
      <c r="W90" s="938"/>
      <c r="X90" s="936"/>
      <c r="Y90" s="937"/>
      <c r="Z90" s="938"/>
      <c r="AA90" s="936"/>
      <c r="AB90" s="937"/>
      <c r="AC90" s="938"/>
      <c r="AD90" s="936"/>
      <c r="AE90" s="937"/>
      <c r="AF90" s="938"/>
      <c r="AG90" s="936"/>
      <c r="AH90" s="937"/>
      <c r="AI90" s="938"/>
      <c r="AJ90" s="936"/>
      <c r="AK90" s="937"/>
      <c r="AL90" s="938"/>
      <c r="AM90" s="936"/>
      <c r="AN90" s="933"/>
      <c r="AO90" s="936"/>
      <c r="AP90" s="933"/>
      <c r="AQ90" s="935"/>
      <c r="AR90" s="936"/>
      <c r="AS90" s="935"/>
      <c r="AT90" s="939"/>
      <c r="AU90" s="933"/>
      <c r="AV90" s="940"/>
      <c r="AW90" s="986"/>
      <c r="AX90" s="939"/>
      <c r="AY90" s="939"/>
      <c r="AZ90" s="941"/>
      <c r="BA90" s="941"/>
      <c r="BB90" s="941"/>
      <c r="BC90" s="934"/>
      <c r="BD90" s="941"/>
      <c r="BE90" s="941"/>
      <c r="BF90" s="941"/>
      <c r="BG90" s="942"/>
      <c r="BH90" s="941"/>
      <c r="BI90" s="941"/>
      <c r="BJ90" s="941"/>
      <c r="BK90" s="943"/>
      <c r="BL90" s="943"/>
      <c r="BM90" s="943"/>
      <c r="BN90" s="943"/>
      <c r="BO90" s="943"/>
      <c r="BP90" s="944"/>
      <c r="BQ90" s="943"/>
      <c r="BR90" s="943"/>
      <c r="BS90" s="943"/>
      <c r="BU90" s="945"/>
      <c r="BV90" s="946"/>
      <c r="BW90" s="947"/>
      <c r="BX90" s="945"/>
      <c r="BY90" s="947"/>
      <c r="BZ90" s="946"/>
      <c r="CA90" s="947"/>
      <c r="CB90" s="946"/>
      <c r="CC90" s="947"/>
      <c r="CD90" s="947"/>
      <c r="CE90" s="947"/>
      <c r="CF90" s="948"/>
      <c r="CG90" s="949"/>
      <c r="CH90" s="949"/>
      <c r="CI90" s="950"/>
      <c r="CJ90" s="951"/>
      <c r="CK90" s="951"/>
      <c r="CL90" s="952"/>
      <c r="CM90" s="951"/>
      <c r="CN90" s="951"/>
      <c r="CO90" s="952"/>
      <c r="CP90" s="951"/>
      <c r="CQ90" s="951"/>
      <c r="CR90" s="952"/>
      <c r="CS90" s="946"/>
      <c r="CT90" s="953"/>
      <c r="CU90" s="953"/>
      <c r="CV90" s="953"/>
      <c r="CX90" s="951"/>
      <c r="CY90" s="951"/>
      <c r="CZ90" s="952"/>
      <c r="DB90" s="954"/>
      <c r="DC90" s="954"/>
      <c r="DD90" s="921"/>
      <c r="DE90" s="954"/>
      <c r="DF90" s="954"/>
      <c r="DG90" s="921"/>
      <c r="DH90" s="954"/>
      <c r="DI90" s="954"/>
      <c r="DJ90" s="921"/>
      <c r="DK90" s="954"/>
      <c r="DL90" s="954"/>
      <c r="DM90" s="921"/>
      <c r="DN90" s="954"/>
      <c r="DO90" s="954"/>
      <c r="DP90" s="921"/>
      <c r="DQ90" s="942"/>
      <c r="DR90" s="951"/>
      <c r="DS90" s="951"/>
      <c r="DT90" s="952"/>
      <c r="DV90" s="921"/>
      <c r="DW90" s="921"/>
      <c r="DX90" s="921"/>
      <c r="DY90" s="921"/>
      <c r="DZ90" s="921"/>
      <c r="EA90" s="921"/>
      <c r="EB90" s="921"/>
      <c r="EC90" s="921"/>
      <c r="ED90" s="921"/>
      <c r="EE90" s="921"/>
      <c r="EF90" s="921"/>
      <c r="EG90" s="921"/>
      <c r="EH90" s="921"/>
      <c r="EI90" s="921"/>
      <c r="EJ90" s="921"/>
      <c r="EK90" s="921"/>
      <c r="EL90" s="921"/>
      <c r="EM90" s="921"/>
      <c r="EN90" s="921"/>
      <c r="EO90" s="921"/>
      <c r="EP90" s="921"/>
      <c r="EQ90" s="954"/>
      <c r="ER90" s="954"/>
      <c r="ES90" s="954"/>
      <c r="ET90" s="954"/>
      <c r="EV90" s="942"/>
      <c r="EW90" s="951"/>
      <c r="EX90" s="951"/>
      <c r="EY90" s="952"/>
    </row>
    <row r="91" spans="1:155" s="927" customFormat="1" ht="15.75" x14ac:dyDescent="0.25">
      <c r="A91" s="931"/>
      <c r="B91" s="932" t="s">
        <v>406</v>
      </c>
      <c r="C91" s="933"/>
      <c r="D91" s="933"/>
      <c r="E91" s="934"/>
      <c r="F91" s="935"/>
      <c r="G91" s="934"/>
      <c r="H91" s="935"/>
      <c r="I91" s="936"/>
      <c r="J91" s="937"/>
      <c r="K91" s="938"/>
      <c r="L91" s="936"/>
      <c r="M91" s="937"/>
      <c r="N91" s="938"/>
      <c r="O91" s="936"/>
      <c r="P91" s="937"/>
      <c r="Q91" s="938"/>
      <c r="R91" s="936"/>
      <c r="S91" s="937"/>
      <c r="T91" s="938"/>
      <c r="U91" s="936"/>
      <c r="V91" s="937"/>
      <c r="W91" s="938"/>
      <c r="X91" s="936"/>
      <c r="Y91" s="937"/>
      <c r="Z91" s="938"/>
      <c r="AA91" s="936"/>
      <c r="AB91" s="937"/>
      <c r="AC91" s="938"/>
      <c r="AD91" s="936"/>
      <c r="AE91" s="937"/>
      <c r="AF91" s="938"/>
      <c r="AG91" s="936"/>
      <c r="AH91" s="937"/>
      <c r="AI91" s="938"/>
      <c r="AJ91" s="936"/>
      <c r="AK91" s="937"/>
      <c r="AL91" s="938"/>
      <c r="AM91" s="936"/>
      <c r="AN91" s="933"/>
      <c r="AO91" s="936"/>
      <c r="AP91" s="933"/>
      <c r="AQ91" s="935"/>
      <c r="AR91" s="936"/>
      <c r="AS91" s="935"/>
      <c r="AT91" s="939"/>
      <c r="AU91" s="933"/>
      <c r="AV91" s="940"/>
      <c r="AW91" s="336">
        <f>AW86/I80</f>
        <v>1.32193</v>
      </c>
      <c r="AX91" s="939"/>
      <c r="AY91" s="939"/>
      <c r="AZ91" s="941"/>
      <c r="BA91" s="941"/>
      <c r="BB91" s="941"/>
      <c r="BC91" s="934"/>
      <c r="BD91" s="941"/>
      <c r="BE91" s="941"/>
      <c r="BF91" s="941"/>
      <c r="BG91" s="942"/>
      <c r="BH91" s="941"/>
      <c r="BI91" s="941"/>
      <c r="BJ91" s="941"/>
      <c r="BK91" s="943"/>
      <c r="BL91" s="943"/>
      <c r="BM91" s="943"/>
      <c r="BN91" s="943"/>
      <c r="BO91" s="943"/>
      <c r="BP91" s="944"/>
      <c r="BQ91" s="943"/>
      <c r="BR91" s="943"/>
      <c r="BS91" s="943"/>
      <c r="BU91" s="945"/>
      <c r="BV91" s="946"/>
      <c r="BW91" s="947"/>
      <c r="BX91" s="945"/>
      <c r="BY91" s="947"/>
      <c r="BZ91" s="946"/>
      <c r="CA91" s="947"/>
      <c r="CB91" s="946"/>
      <c r="CC91" s="947"/>
      <c r="CD91" s="947"/>
      <c r="CE91" s="947"/>
      <c r="CF91" s="948"/>
      <c r="CG91" s="949"/>
      <c r="CH91" s="949"/>
      <c r="CI91" s="950"/>
      <c r="CJ91" s="951"/>
      <c r="CK91" s="951"/>
      <c r="CL91" s="952"/>
      <c r="CM91" s="951"/>
      <c r="CN91" s="951"/>
      <c r="CO91" s="952"/>
      <c r="CP91" s="951"/>
      <c r="CQ91" s="951"/>
      <c r="CR91" s="952"/>
      <c r="CS91" s="946"/>
      <c r="CT91" s="953"/>
      <c r="CU91" s="953"/>
      <c r="CV91" s="953"/>
      <c r="CX91" s="951"/>
      <c r="CY91" s="951"/>
      <c r="CZ91" s="952"/>
      <c r="DB91" s="954"/>
      <c r="DC91" s="954"/>
      <c r="DD91" s="921"/>
      <c r="DE91" s="954"/>
      <c r="DF91" s="954"/>
      <c r="DG91" s="921"/>
      <c r="DH91" s="954"/>
      <c r="DI91" s="954"/>
      <c r="DJ91" s="921"/>
      <c r="DK91" s="954"/>
      <c r="DL91" s="954"/>
      <c r="DM91" s="921"/>
      <c r="DN91" s="954"/>
      <c r="DO91" s="954"/>
      <c r="DP91" s="921"/>
      <c r="DQ91" s="942"/>
      <c r="DR91" s="951"/>
      <c r="DS91" s="951"/>
      <c r="DT91" s="952"/>
      <c r="DV91" s="921"/>
      <c r="DW91" s="921"/>
      <c r="DX91" s="921"/>
      <c r="DY91" s="921"/>
      <c r="DZ91" s="921"/>
      <c r="EA91" s="921"/>
      <c r="EB91" s="921"/>
      <c r="EC91" s="921"/>
      <c r="ED91" s="921"/>
      <c r="EE91" s="921"/>
      <c r="EF91" s="921"/>
      <c r="EG91" s="921"/>
      <c r="EH91" s="921"/>
      <c r="EI91" s="921"/>
      <c r="EJ91" s="921"/>
      <c r="EK91" s="921"/>
      <c r="EL91" s="921"/>
      <c r="EM91" s="921"/>
      <c r="EN91" s="921"/>
      <c r="EO91" s="921"/>
      <c r="EP91" s="921"/>
      <c r="EQ91" s="954"/>
      <c r="ER91" s="954"/>
      <c r="ES91" s="954"/>
      <c r="ET91" s="954"/>
      <c r="EV91" s="942"/>
      <c r="EW91" s="951"/>
      <c r="EX91" s="951"/>
      <c r="EY91" s="952"/>
    </row>
    <row r="92" spans="1:155" s="927" customFormat="1" ht="15.75" x14ac:dyDescent="0.25">
      <c r="A92" s="931"/>
      <c r="B92" s="932" t="s">
        <v>498</v>
      </c>
      <c r="C92" s="933"/>
      <c r="D92" s="933"/>
      <c r="E92" s="934"/>
      <c r="F92" s="935"/>
      <c r="G92" s="934"/>
      <c r="H92" s="935"/>
      <c r="I92" s="936"/>
      <c r="J92" s="937"/>
      <c r="K92" s="938"/>
      <c r="L92" s="936"/>
      <c r="M92" s="937"/>
      <c r="N92" s="938"/>
      <c r="O92" s="936"/>
      <c r="P92" s="937"/>
      <c r="Q92" s="938"/>
      <c r="R92" s="936"/>
      <c r="S92" s="937"/>
      <c r="T92" s="938"/>
      <c r="U92" s="936"/>
      <c r="V92" s="937"/>
      <c r="W92" s="938"/>
      <c r="X92" s="936"/>
      <c r="Y92" s="937"/>
      <c r="Z92" s="938"/>
      <c r="AA92" s="936"/>
      <c r="AB92" s="937"/>
      <c r="AC92" s="938"/>
      <c r="AD92" s="936"/>
      <c r="AE92" s="937"/>
      <c r="AF92" s="938"/>
      <c r="AG92" s="936"/>
      <c r="AH92" s="937"/>
      <c r="AI92" s="938"/>
      <c r="AJ92" s="936"/>
      <c r="AK92" s="937"/>
      <c r="AL92" s="938"/>
      <c r="AM92" s="936"/>
      <c r="AN92" s="933"/>
      <c r="AO92" s="936"/>
      <c r="AP92" s="933"/>
      <c r="AQ92" s="935"/>
      <c r="AR92" s="936"/>
      <c r="AS92" s="935"/>
      <c r="AT92" s="939"/>
      <c r="AU92" s="933"/>
      <c r="AV92" s="940"/>
      <c r="AW92" s="986"/>
      <c r="AX92" s="939"/>
      <c r="AY92" s="939"/>
      <c r="AZ92" s="941"/>
      <c r="BA92" s="941"/>
      <c r="BB92" s="941"/>
      <c r="BC92" s="934"/>
      <c r="BD92" s="941"/>
      <c r="BE92" s="941"/>
      <c r="BF92" s="941"/>
      <c r="BG92" s="942"/>
      <c r="BH92" s="941"/>
      <c r="BI92" s="941"/>
      <c r="BJ92" s="941"/>
      <c r="BK92" s="943"/>
      <c r="BL92" s="943"/>
      <c r="BM92" s="943"/>
      <c r="BN92" s="943"/>
      <c r="BO92" s="943"/>
      <c r="BP92" s="944"/>
      <c r="BQ92" s="943"/>
      <c r="BR92" s="943"/>
      <c r="BS92" s="943"/>
      <c r="BU92" s="945"/>
      <c r="BV92" s="946"/>
      <c r="BW92" s="947"/>
      <c r="BX92" s="945"/>
      <c r="BY92" s="947"/>
      <c r="BZ92" s="946"/>
      <c r="CA92" s="947"/>
      <c r="CB92" s="946"/>
      <c r="CC92" s="947"/>
      <c r="CD92" s="947"/>
      <c r="CE92" s="947"/>
      <c r="CF92" s="948"/>
      <c r="CG92" s="949"/>
      <c r="CH92" s="949"/>
      <c r="CI92" s="950"/>
      <c r="CJ92" s="951"/>
      <c r="CK92" s="951"/>
      <c r="CL92" s="952"/>
      <c r="CM92" s="951"/>
      <c r="CN92" s="951"/>
      <c r="CO92" s="952"/>
      <c r="CP92" s="951"/>
      <c r="CQ92" s="951"/>
      <c r="CR92" s="952"/>
      <c r="CS92" s="946"/>
      <c r="CT92" s="953"/>
      <c r="CU92" s="953"/>
      <c r="CV92" s="953"/>
      <c r="CX92" s="951"/>
      <c r="CY92" s="951"/>
      <c r="CZ92" s="952"/>
      <c r="DB92" s="954"/>
      <c r="DC92" s="954"/>
      <c r="DD92" s="921"/>
      <c r="DE92" s="954"/>
      <c r="DF92" s="954"/>
      <c r="DG92" s="921"/>
      <c r="DH92" s="954"/>
      <c r="DI92" s="954"/>
      <c r="DJ92" s="921"/>
      <c r="DK92" s="954"/>
      <c r="DL92" s="954"/>
      <c r="DM92" s="921"/>
      <c r="DN92" s="954"/>
      <c r="DO92" s="954"/>
      <c r="DP92" s="921"/>
      <c r="DQ92" s="942"/>
      <c r="DR92" s="951"/>
      <c r="DS92" s="951"/>
      <c r="DT92" s="952"/>
      <c r="DV92" s="921"/>
      <c r="DW92" s="921"/>
      <c r="DX92" s="921"/>
      <c r="DY92" s="921"/>
      <c r="DZ92" s="921"/>
      <c r="EA92" s="921"/>
      <c r="EB92" s="921"/>
      <c r="EC92" s="921"/>
      <c r="ED92" s="921"/>
      <c r="EE92" s="921"/>
      <c r="EF92" s="921"/>
      <c r="EG92" s="921"/>
      <c r="EH92" s="921"/>
      <c r="EI92" s="921"/>
      <c r="EJ92" s="921"/>
      <c r="EK92" s="921"/>
      <c r="EL92" s="921"/>
      <c r="EM92" s="921"/>
      <c r="EN92" s="921"/>
      <c r="EO92" s="921"/>
      <c r="EP92" s="921"/>
      <c r="EQ92" s="954"/>
      <c r="ER92" s="954"/>
      <c r="ES92" s="954"/>
      <c r="ET92" s="954"/>
      <c r="EV92" s="942"/>
      <c r="EW92" s="951"/>
      <c r="EX92" s="951"/>
      <c r="EY92" s="952"/>
    </row>
    <row r="93" spans="1:155" s="927" customFormat="1" ht="15.75" x14ac:dyDescent="0.25">
      <c r="A93" s="931"/>
      <c r="B93" s="932" t="s">
        <v>403</v>
      </c>
      <c r="C93" s="933"/>
      <c r="D93" s="933"/>
      <c r="E93" s="934"/>
      <c r="F93" s="935"/>
      <c r="G93" s="934"/>
      <c r="H93" s="935"/>
      <c r="I93" s="936"/>
      <c r="J93" s="937"/>
      <c r="K93" s="938"/>
      <c r="L93" s="936"/>
      <c r="M93" s="937"/>
      <c r="N93" s="938"/>
      <c r="O93" s="936"/>
      <c r="P93" s="937"/>
      <c r="Q93" s="938"/>
      <c r="R93" s="936"/>
      <c r="S93" s="937"/>
      <c r="T93" s="938"/>
      <c r="U93" s="936"/>
      <c r="V93" s="937"/>
      <c r="W93" s="938"/>
      <c r="X93" s="936"/>
      <c r="Y93" s="937"/>
      <c r="Z93" s="938"/>
      <c r="AA93" s="936"/>
      <c r="AB93" s="937"/>
      <c r="AC93" s="938"/>
      <c r="AD93" s="936"/>
      <c r="AE93" s="937"/>
      <c r="AF93" s="938"/>
      <c r="AG93" s="936"/>
      <c r="AH93" s="937"/>
      <c r="AI93" s="938"/>
      <c r="AJ93" s="936"/>
      <c r="AK93" s="937"/>
      <c r="AL93" s="938"/>
      <c r="AM93" s="936"/>
      <c r="AN93" s="933"/>
      <c r="AO93" s="936"/>
      <c r="AP93" s="933"/>
      <c r="AQ93" s="935"/>
      <c r="AR93" s="936"/>
      <c r="AS93" s="935"/>
      <c r="AT93" s="939"/>
      <c r="AU93" s="933"/>
      <c r="AV93" s="940"/>
      <c r="AW93" s="337">
        <f>AW87/AW86</f>
        <v>0.21695999999999999</v>
      </c>
      <c r="AX93" s="939"/>
      <c r="AY93" s="939"/>
      <c r="AZ93" s="941"/>
      <c r="BA93" s="941"/>
      <c r="BB93" s="941"/>
      <c r="BC93" s="934"/>
      <c r="BD93" s="941"/>
      <c r="BE93" s="941"/>
      <c r="BF93" s="941"/>
      <c r="BG93" s="942"/>
      <c r="BH93" s="941"/>
      <c r="BI93" s="941"/>
      <c r="BJ93" s="941"/>
      <c r="BK93" s="943"/>
      <c r="BL93" s="943"/>
      <c r="BM93" s="943"/>
      <c r="BN93" s="943"/>
      <c r="BO93" s="943"/>
      <c r="BP93" s="944"/>
      <c r="BQ93" s="943"/>
      <c r="BR93" s="943"/>
      <c r="BS93" s="943"/>
      <c r="BU93" s="945"/>
      <c r="BV93" s="946"/>
      <c r="BW93" s="947"/>
      <c r="BX93" s="945"/>
      <c r="BY93" s="947"/>
      <c r="BZ93" s="946"/>
      <c r="CA93" s="947"/>
      <c r="CB93" s="946"/>
      <c r="CC93" s="947"/>
      <c r="CD93" s="947"/>
      <c r="CE93" s="947"/>
      <c r="CF93" s="948"/>
      <c r="CG93" s="949"/>
      <c r="CH93" s="949"/>
      <c r="CI93" s="950"/>
      <c r="CJ93" s="951"/>
      <c r="CK93" s="951"/>
      <c r="CL93" s="952"/>
      <c r="CM93" s="951"/>
      <c r="CN93" s="951"/>
      <c r="CO93" s="952"/>
      <c r="CP93" s="951"/>
      <c r="CQ93" s="951"/>
      <c r="CR93" s="952"/>
      <c r="CS93" s="946"/>
      <c r="CT93" s="953"/>
      <c r="CU93" s="953"/>
      <c r="CV93" s="953"/>
      <c r="CX93" s="951"/>
      <c r="CY93" s="951"/>
      <c r="CZ93" s="952"/>
      <c r="DB93" s="954"/>
      <c r="DC93" s="954"/>
      <c r="DD93" s="921"/>
      <c r="DE93" s="954"/>
      <c r="DF93" s="954"/>
      <c r="DG93" s="921"/>
      <c r="DH93" s="954"/>
      <c r="DI93" s="954"/>
      <c r="DJ93" s="921"/>
      <c r="DK93" s="954"/>
      <c r="DL93" s="954"/>
      <c r="DM93" s="921"/>
      <c r="DN93" s="954"/>
      <c r="DO93" s="954"/>
      <c r="DP93" s="921"/>
      <c r="DQ93" s="942"/>
      <c r="DR93" s="951"/>
      <c r="DS93" s="951"/>
      <c r="DT93" s="952"/>
      <c r="DV93" s="921"/>
      <c r="DW93" s="921"/>
      <c r="DX93" s="921"/>
      <c r="DY93" s="921"/>
      <c r="DZ93" s="921"/>
      <c r="EA93" s="921"/>
      <c r="EB93" s="921"/>
      <c r="EC93" s="921"/>
      <c r="ED93" s="921"/>
      <c r="EE93" s="921"/>
      <c r="EF93" s="921"/>
      <c r="EG93" s="921"/>
      <c r="EH93" s="921"/>
      <c r="EI93" s="921"/>
      <c r="EJ93" s="921"/>
      <c r="EK93" s="921"/>
      <c r="EL93" s="921"/>
      <c r="EM93" s="921"/>
      <c r="EN93" s="921"/>
      <c r="EO93" s="921"/>
      <c r="EP93" s="921"/>
      <c r="EQ93" s="954"/>
      <c r="ER93" s="954"/>
      <c r="ES93" s="954"/>
      <c r="ET93" s="954"/>
      <c r="EV93" s="942"/>
      <c r="EW93" s="951"/>
      <c r="EX93" s="951"/>
      <c r="EY93" s="952"/>
    </row>
    <row r="94" spans="1:155" s="927" customFormat="1" ht="15.75" x14ac:dyDescent="0.25">
      <c r="A94" s="931"/>
      <c r="B94" s="932" t="s">
        <v>404</v>
      </c>
      <c r="C94" s="933"/>
      <c r="D94" s="933"/>
      <c r="E94" s="934"/>
      <c r="F94" s="935"/>
      <c r="G94" s="934"/>
      <c r="H94" s="935"/>
      <c r="I94" s="936"/>
      <c r="J94" s="937"/>
      <c r="K94" s="938"/>
      <c r="L94" s="936"/>
      <c r="M94" s="937"/>
      <c r="N94" s="938"/>
      <c r="O94" s="936"/>
      <c r="P94" s="937"/>
      <c r="Q94" s="938"/>
      <c r="R94" s="936"/>
      <c r="S94" s="937"/>
      <c r="T94" s="938"/>
      <c r="U94" s="936"/>
      <c r="V94" s="937"/>
      <c r="W94" s="938"/>
      <c r="X94" s="936"/>
      <c r="Y94" s="937"/>
      <c r="Z94" s="938"/>
      <c r="AA94" s="936"/>
      <c r="AB94" s="937"/>
      <c r="AC94" s="938"/>
      <c r="AD94" s="936"/>
      <c r="AE94" s="937"/>
      <c r="AF94" s="938"/>
      <c r="AG94" s="936"/>
      <c r="AH94" s="937"/>
      <c r="AI94" s="938"/>
      <c r="AJ94" s="936"/>
      <c r="AK94" s="937"/>
      <c r="AL94" s="938"/>
      <c r="AM94" s="936"/>
      <c r="AN94" s="933"/>
      <c r="AO94" s="936"/>
      <c r="AP94" s="933"/>
      <c r="AQ94" s="935"/>
      <c r="AR94" s="936"/>
      <c r="AS94" s="935"/>
      <c r="AT94" s="939"/>
      <c r="AU94" s="933"/>
      <c r="AV94" s="940"/>
      <c r="AW94" s="338">
        <f>AW88/AW86</f>
        <v>0.97809999999999997</v>
      </c>
      <c r="AX94" s="939"/>
      <c r="AY94" s="939"/>
      <c r="AZ94" s="941"/>
      <c r="BA94" s="941"/>
      <c r="BB94" s="941"/>
      <c r="BC94" s="934"/>
      <c r="BD94" s="941"/>
      <c r="BE94" s="941"/>
      <c r="BF94" s="941"/>
      <c r="BG94" s="942"/>
      <c r="BH94" s="941"/>
      <c r="BI94" s="941"/>
      <c r="BJ94" s="941"/>
      <c r="BK94" s="943"/>
      <c r="BL94" s="943"/>
      <c r="BM94" s="943"/>
      <c r="BN94" s="943"/>
      <c r="BO94" s="943"/>
      <c r="BP94" s="944"/>
      <c r="BQ94" s="943"/>
      <c r="BR94" s="943"/>
      <c r="BS94" s="943"/>
      <c r="BU94" s="945"/>
      <c r="BV94" s="946"/>
      <c r="BW94" s="947"/>
      <c r="BX94" s="945"/>
      <c r="BY94" s="947"/>
      <c r="BZ94" s="946"/>
      <c r="CA94" s="947"/>
      <c r="CB94" s="946"/>
      <c r="CC94" s="947"/>
      <c r="CD94" s="947"/>
      <c r="CE94" s="947"/>
      <c r="CF94" s="948"/>
      <c r="CG94" s="949"/>
      <c r="CH94" s="949"/>
      <c r="CI94" s="950"/>
      <c r="CJ94" s="951"/>
      <c r="CK94" s="951"/>
      <c r="CL94" s="952"/>
      <c r="CM94" s="951"/>
      <c r="CN94" s="951"/>
      <c r="CO94" s="952"/>
      <c r="CP94" s="951"/>
      <c r="CQ94" s="951"/>
      <c r="CR94" s="952"/>
      <c r="CS94" s="946"/>
      <c r="CT94" s="953"/>
      <c r="CU94" s="953"/>
      <c r="CV94" s="953"/>
      <c r="CX94" s="951"/>
      <c r="CY94" s="951"/>
      <c r="CZ94" s="952"/>
      <c r="DB94" s="954"/>
      <c r="DC94" s="954"/>
      <c r="DD94" s="921"/>
      <c r="DE94" s="954"/>
      <c r="DF94" s="954"/>
      <c r="DG94" s="921"/>
      <c r="DH94" s="954"/>
      <c r="DI94" s="954"/>
      <c r="DJ94" s="921"/>
      <c r="DK94" s="954"/>
      <c r="DL94" s="954"/>
      <c r="DM94" s="921"/>
      <c r="DN94" s="954"/>
      <c r="DO94" s="954"/>
      <c r="DP94" s="921"/>
      <c r="DQ94" s="942"/>
      <c r="DR94" s="951"/>
      <c r="DS94" s="951"/>
      <c r="DT94" s="952"/>
      <c r="DV94" s="921"/>
      <c r="DW94" s="921"/>
      <c r="DX94" s="921"/>
      <c r="DY94" s="921"/>
      <c r="DZ94" s="921"/>
      <c r="EA94" s="921"/>
      <c r="EB94" s="921"/>
      <c r="EC94" s="921"/>
      <c r="ED94" s="921"/>
      <c r="EE94" s="921"/>
      <c r="EF94" s="921"/>
      <c r="EG94" s="921"/>
      <c r="EH94" s="921"/>
      <c r="EI94" s="921"/>
      <c r="EJ94" s="921"/>
      <c r="EK94" s="921"/>
      <c r="EL94" s="921"/>
      <c r="EM94" s="921"/>
      <c r="EN94" s="921"/>
      <c r="EO94" s="921"/>
      <c r="EP94" s="921"/>
      <c r="EQ94" s="954"/>
      <c r="ER94" s="954"/>
      <c r="ES94" s="954"/>
      <c r="ET94" s="954"/>
      <c r="EV94" s="942"/>
      <c r="EW94" s="951"/>
      <c r="EX94" s="951"/>
      <c r="EY94" s="952"/>
    </row>
    <row r="95" spans="1:155" s="927" customFormat="1" ht="15.75" x14ac:dyDescent="0.25">
      <c r="A95" s="931"/>
      <c r="B95" s="932" t="s">
        <v>405</v>
      </c>
      <c r="C95" s="933"/>
      <c r="D95" s="933"/>
      <c r="E95" s="934"/>
      <c r="F95" s="935"/>
      <c r="G95" s="934"/>
      <c r="H95" s="935"/>
      <c r="I95" s="936"/>
      <c r="J95" s="937"/>
      <c r="K95" s="938"/>
      <c r="L95" s="936"/>
      <c r="M95" s="937"/>
      <c r="N95" s="938"/>
      <c r="O95" s="936"/>
      <c r="P95" s="937"/>
      <c r="Q95" s="938"/>
      <c r="R95" s="936"/>
      <c r="S95" s="937"/>
      <c r="T95" s="938"/>
      <c r="U95" s="936"/>
      <c r="V95" s="937"/>
      <c r="W95" s="938"/>
      <c r="X95" s="936"/>
      <c r="Y95" s="937"/>
      <c r="Z95" s="938"/>
      <c r="AA95" s="936"/>
      <c r="AB95" s="937"/>
      <c r="AC95" s="938"/>
      <c r="AD95" s="936"/>
      <c r="AE95" s="937"/>
      <c r="AF95" s="938"/>
      <c r="AG95" s="936"/>
      <c r="AH95" s="937"/>
      <c r="AI95" s="938"/>
      <c r="AJ95" s="936"/>
      <c r="AK95" s="937"/>
      <c r="AL95" s="938"/>
      <c r="AM95" s="936"/>
      <c r="AN95" s="933"/>
      <c r="AO95" s="936"/>
      <c r="AP95" s="933"/>
      <c r="AQ95" s="935"/>
      <c r="AR95" s="936"/>
      <c r="AS95" s="935"/>
      <c r="AT95" s="939"/>
      <c r="AU95" s="933"/>
      <c r="AV95" s="940"/>
      <c r="AW95" s="339">
        <f>AW89/AW86</f>
        <v>0</v>
      </c>
      <c r="AX95" s="939"/>
      <c r="AY95" s="939"/>
      <c r="AZ95" s="941"/>
      <c r="BA95" s="941"/>
      <c r="BB95" s="941"/>
      <c r="BC95" s="934"/>
      <c r="BD95" s="941"/>
      <c r="BE95" s="941"/>
      <c r="BF95" s="941"/>
      <c r="BG95" s="942"/>
      <c r="BH95" s="941"/>
      <c r="BI95" s="941"/>
      <c r="BJ95" s="941"/>
      <c r="BK95" s="943"/>
      <c r="BL95" s="943"/>
      <c r="BM95" s="943"/>
      <c r="BN95" s="943"/>
      <c r="BO95" s="943"/>
      <c r="BP95" s="944"/>
      <c r="BQ95" s="943"/>
      <c r="BR95" s="943"/>
      <c r="BS95" s="943"/>
      <c r="BU95" s="945"/>
      <c r="BV95" s="946"/>
      <c r="BW95" s="947"/>
      <c r="BX95" s="945"/>
      <c r="BY95" s="947"/>
      <c r="BZ95" s="946"/>
      <c r="CA95" s="947"/>
      <c r="CB95" s="946"/>
      <c r="CC95" s="947"/>
      <c r="CD95" s="947"/>
      <c r="CE95" s="947"/>
      <c r="CF95" s="948"/>
      <c r="CG95" s="949"/>
      <c r="CH95" s="949"/>
      <c r="CI95" s="950"/>
      <c r="CJ95" s="951"/>
      <c r="CK95" s="951"/>
      <c r="CL95" s="952"/>
      <c r="CM95" s="951"/>
      <c r="CN95" s="951"/>
      <c r="CO95" s="952"/>
      <c r="CP95" s="951"/>
      <c r="CQ95" s="951"/>
      <c r="CR95" s="952"/>
      <c r="CS95" s="946"/>
      <c r="CT95" s="953"/>
      <c r="CU95" s="953"/>
      <c r="CV95" s="953"/>
      <c r="CX95" s="951"/>
      <c r="CY95" s="951"/>
      <c r="CZ95" s="952"/>
      <c r="DB95" s="954"/>
      <c r="DC95" s="954"/>
      <c r="DD95" s="921"/>
      <c r="DE95" s="954"/>
      <c r="DF95" s="954"/>
      <c r="DG95" s="921"/>
      <c r="DH95" s="954"/>
      <c r="DI95" s="954"/>
      <c r="DJ95" s="921"/>
      <c r="DK95" s="954"/>
      <c r="DL95" s="954"/>
      <c r="DM95" s="921"/>
      <c r="DN95" s="954"/>
      <c r="DO95" s="954"/>
      <c r="DP95" s="921"/>
      <c r="DQ95" s="942"/>
      <c r="DR95" s="951"/>
      <c r="DS95" s="951"/>
      <c r="DT95" s="952"/>
      <c r="DV95" s="921"/>
      <c r="DW95" s="921"/>
      <c r="DX95" s="921"/>
      <c r="DY95" s="921"/>
      <c r="DZ95" s="921"/>
      <c r="EA95" s="921"/>
      <c r="EB95" s="921"/>
      <c r="EC95" s="921"/>
      <c r="ED95" s="921"/>
      <c r="EE95" s="921"/>
      <c r="EF95" s="921"/>
      <c r="EG95" s="921"/>
      <c r="EH95" s="921"/>
      <c r="EI95" s="921"/>
      <c r="EJ95" s="921"/>
      <c r="EK95" s="921"/>
      <c r="EL95" s="921"/>
      <c r="EM95" s="921"/>
      <c r="EN95" s="921"/>
      <c r="EO95" s="921"/>
      <c r="EP95" s="921"/>
      <c r="EQ95" s="954"/>
      <c r="ER95" s="954"/>
      <c r="ES95" s="954"/>
      <c r="ET95" s="954"/>
      <c r="EV95" s="942"/>
      <c r="EW95" s="951"/>
      <c r="EX95" s="951"/>
      <c r="EY95" s="952"/>
    </row>
    <row r="96" spans="1:155" s="927" customFormat="1" ht="15.75" x14ac:dyDescent="0.25">
      <c r="A96" s="931"/>
      <c r="B96" s="932" t="s">
        <v>807</v>
      </c>
      <c r="C96" s="933"/>
      <c r="D96" s="933"/>
      <c r="E96" s="934"/>
      <c r="F96" s="935"/>
      <c r="G96" s="934"/>
      <c r="H96" s="935"/>
      <c r="I96" s="936"/>
      <c r="J96" s="937"/>
      <c r="K96" s="938"/>
      <c r="L96" s="936"/>
      <c r="M96" s="937"/>
      <c r="N96" s="938"/>
      <c r="O96" s="936"/>
      <c r="P96" s="937"/>
      <c r="Q96" s="938"/>
      <c r="R96" s="936"/>
      <c r="S96" s="937"/>
      <c r="T96" s="938"/>
      <c r="U96" s="936"/>
      <c r="V96" s="937"/>
      <c r="W96" s="938"/>
      <c r="X96" s="936"/>
      <c r="Y96" s="937"/>
      <c r="Z96" s="938"/>
      <c r="AA96" s="936"/>
      <c r="AB96" s="937"/>
      <c r="AC96" s="938"/>
      <c r="AD96" s="936"/>
      <c r="AE96" s="937"/>
      <c r="AF96" s="938"/>
      <c r="AG96" s="936"/>
      <c r="AH96" s="937"/>
      <c r="AI96" s="938"/>
      <c r="AJ96" s="936"/>
      <c r="AK96" s="937"/>
      <c r="AL96" s="938"/>
      <c r="AM96" s="936"/>
      <c r="AN96" s="933"/>
      <c r="AO96" s="936"/>
      <c r="AP96" s="933"/>
      <c r="AQ96" s="935"/>
      <c r="AR96" s="936"/>
      <c r="AS96" s="935"/>
      <c r="AT96" s="939"/>
      <c r="AU96" s="933"/>
      <c r="AV96" s="940"/>
      <c r="AW96" s="335">
        <f>(AW79/12)/AW85</f>
        <v>1.0935600000000001</v>
      </c>
      <c r="AX96" s="939"/>
      <c r="AY96" s="939"/>
      <c r="AZ96" s="941"/>
      <c r="BA96" s="941"/>
      <c r="BB96" s="941"/>
      <c r="BC96" s="934"/>
      <c r="BD96" s="941"/>
      <c r="BE96" s="941"/>
      <c r="BF96" s="941"/>
      <c r="BG96" s="942"/>
      <c r="BH96" s="941"/>
      <c r="BI96" s="941"/>
      <c r="BJ96" s="941"/>
      <c r="BK96" s="943"/>
      <c r="BL96" s="943"/>
      <c r="BM96" s="943"/>
      <c r="BN96" s="943"/>
      <c r="BO96" s="943"/>
      <c r="BP96" s="944"/>
      <c r="BQ96" s="943"/>
      <c r="BR96" s="943"/>
      <c r="BS96" s="943"/>
      <c r="BU96" s="945"/>
      <c r="BV96" s="946"/>
      <c r="BW96" s="947"/>
      <c r="BX96" s="945"/>
      <c r="BY96" s="947"/>
      <c r="BZ96" s="946"/>
      <c r="CA96" s="947"/>
      <c r="CB96" s="946"/>
      <c r="CC96" s="947"/>
      <c r="CD96" s="947"/>
      <c r="CE96" s="947"/>
      <c r="CF96" s="948"/>
      <c r="CG96" s="949"/>
      <c r="CH96" s="949"/>
      <c r="CI96" s="950"/>
      <c r="CJ96" s="951"/>
      <c r="CK96" s="951"/>
      <c r="CL96" s="952"/>
      <c r="CM96" s="951"/>
      <c r="CN96" s="951"/>
      <c r="CO96" s="952"/>
      <c r="CP96" s="951"/>
      <c r="CQ96" s="951"/>
      <c r="CR96" s="952"/>
      <c r="CS96" s="946"/>
      <c r="CT96" s="953"/>
      <c r="CU96" s="953"/>
      <c r="CV96" s="953"/>
      <c r="CX96" s="951"/>
      <c r="CY96" s="951"/>
      <c r="CZ96" s="952"/>
      <c r="DB96" s="954"/>
      <c r="DC96" s="954"/>
      <c r="DD96" s="921"/>
      <c r="DE96" s="954"/>
      <c r="DF96" s="954"/>
      <c r="DG96" s="921"/>
      <c r="DH96" s="954"/>
      <c r="DI96" s="954"/>
      <c r="DJ96" s="921"/>
      <c r="DK96" s="954"/>
      <c r="DL96" s="954"/>
      <c r="DM96" s="921"/>
      <c r="DN96" s="954"/>
      <c r="DO96" s="954"/>
      <c r="DP96" s="921"/>
      <c r="DQ96" s="942"/>
      <c r="DR96" s="951"/>
      <c r="DS96" s="951"/>
      <c r="DT96" s="952"/>
      <c r="DV96" s="921"/>
      <c r="DW96" s="921"/>
      <c r="DX96" s="921"/>
      <c r="DY96" s="921"/>
      <c r="DZ96" s="921"/>
      <c r="EA96" s="921"/>
      <c r="EB96" s="921"/>
      <c r="EC96" s="921"/>
      <c r="ED96" s="921"/>
      <c r="EE96" s="921"/>
      <c r="EF96" s="921"/>
      <c r="EG96" s="921"/>
      <c r="EH96" s="921"/>
      <c r="EI96" s="921"/>
      <c r="EJ96" s="921"/>
      <c r="EK96" s="921"/>
      <c r="EL96" s="921"/>
      <c r="EM96" s="921"/>
      <c r="EN96" s="921"/>
      <c r="EO96" s="921"/>
      <c r="EP96" s="921"/>
      <c r="EQ96" s="954"/>
      <c r="ER96" s="954"/>
      <c r="ES96" s="954"/>
      <c r="ET96" s="954"/>
      <c r="EV96" s="942"/>
      <c r="EW96" s="951"/>
      <c r="EX96" s="951"/>
      <c r="EY96" s="952"/>
    </row>
    <row r="97" spans="1:155" s="927" customFormat="1" ht="15.75" x14ac:dyDescent="0.25">
      <c r="A97" s="931"/>
      <c r="B97" s="932"/>
      <c r="C97" s="933"/>
      <c r="D97" s="933"/>
      <c r="E97" s="934"/>
      <c r="F97" s="935"/>
      <c r="G97" s="934"/>
      <c r="H97" s="935"/>
      <c r="I97" s="936"/>
      <c r="J97" s="937"/>
      <c r="K97" s="938"/>
      <c r="L97" s="936"/>
      <c r="M97" s="937"/>
      <c r="N97" s="938"/>
      <c r="O97" s="936"/>
      <c r="P97" s="937"/>
      <c r="Q97" s="938"/>
      <c r="R97" s="936"/>
      <c r="S97" s="937"/>
      <c r="T97" s="938"/>
      <c r="U97" s="936"/>
      <c r="V97" s="937"/>
      <c r="W97" s="938"/>
      <c r="X97" s="936"/>
      <c r="Y97" s="937"/>
      <c r="Z97" s="938"/>
      <c r="AA97" s="936"/>
      <c r="AB97" s="937"/>
      <c r="AC97" s="938"/>
      <c r="AD97" s="936"/>
      <c r="AE97" s="937"/>
      <c r="AF97" s="938"/>
      <c r="AG97" s="936"/>
      <c r="AH97" s="937"/>
      <c r="AI97" s="938"/>
      <c r="AJ97" s="936"/>
      <c r="AK97" s="937"/>
      <c r="AL97" s="938"/>
      <c r="AM97" s="936"/>
      <c r="AN97" s="933"/>
      <c r="AO97" s="936"/>
      <c r="AP97" s="933"/>
      <c r="AQ97" s="935"/>
      <c r="AR97" s="936"/>
      <c r="AS97" s="935"/>
      <c r="AT97" s="939"/>
      <c r="AU97" s="933"/>
      <c r="AV97" s="940"/>
      <c r="AW97" s="939"/>
      <c r="AX97" s="939"/>
      <c r="AY97" s="939"/>
      <c r="AZ97" s="941"/>
      <c r="BA97" s="941"/>
      <c r="BB97" s="941"/>
      <c r="BC97" s="934"/>
      <c r="BD97" s="941"/>
      <c r="BE97" s="941"/>
      <c r="BF97" s="941"/>
      <c r="BG97" s="942"/>
      <c r="BH97" s="941"/>
      <c r="BI97" s="941"/>
      <c r="BJ97" s="941"/>
      <c r="BK97" s="943"/>
      <c r="BL97" s="943"/>
      <c r="BM97" s="943"/>
      <c r="BN97" s="943"/>
      <c r="BO97" s="943"/>
      <c r="BP97" s="944"/>
      <c r="BQ97" s="943"/>
      <c r="BR97" s="943"/>
      <c r="BS97" s="943"/>
      <c r="BU97" s="945"/>
      <c r="BV97" s="946"/>
      <c r="BW97" s="947"/>
      <c r="BX97" s="945"/>
      <c r="BY97" s="947"/>
      <c r="BZ97" s="946"/>
      <c r="CA97" s="947"/>
      <c r="CB97" s="946"/>
      <c r="CC97" s="947"/>
      <c r="CD97" s="947"/>
      <c r="CE97" s="947"/>
      <c r="CF97" s="948"/>
      <c r="CG97" s="949"/>
      <c r="CH97" s="949"/>
      <c r="CI97" s="950"/>
      <c r="CJ97" s="951"/>
      <c r="CK97" s="951"/>
      <c r="CL97" s="952"/>
      <c r="CM97" s="951"/>
      <c r="CN97" s="951"/>
      <c r="CO97" s="952"/>
      <c r="CP97" s="951"/>
      <c r="CQ97" s="951"/>
      <c r="CR97" s="952"/>
      <c r="CS97" s="946"/>
      <c r="CT97" s="953"/>
      <c r="CU97" s="953"/>
      <c r="CV97" s="953"/>
      <c r="CX97" s="951"/>
      <c r="CY97" s="951"/>
      <c r="CZ97" s="952"/>
      <c r="DB97" s="954"/>
      <c r="DC97" s="954"/>
      <c r="DD97" s="921"/>
      <c r="DE97" s="954"/>
      <c r="DF97" s="954"/>
      <c r="DG97" s="921"/>
      <c r="DH97" s="954"/>
      <c r="DI97" s="954"/>
      <c r="DJ97" s="921"/>
      <c r="DK97" s="954"/>
      <c r="DL97" s="954"/>
      <c r="DM97" s="921"/>
      <c r="DN97" s="954"/>
      <c r="DO97" s="954"/>
      <c r="DP97" s="921"/>
      <c r="DQ97" s="942"/>
      <c r="DR97" s="951"/>
      <c r="DS97" s="951"/>
      <c r="DT97" s="952"/>
      <c r="DV97" s="921"/>
      <c r="DW97" s="921"/>
      <c r="DX97" s="921"/>
      <c r="DY97" s="921"/>
      <c r="DZ97" s="921"/>
      <c r="EA97" s="921"/>
      <c r="EB97" s="921"/>
      <c r="EC97" s="921"/>
      <c r="ED97" s="921"/>
      <c r="EE97" s="921"/>
      <c r="EF97" s="921"/>
      <c r="EG97" s="921"/>
      <c r="EH97" s="921"/>
      <c r="EI97" s="921"/>
      <c r="EJ97" s="921"/>
      <c r="EK97" s="921"/>
      <c r="EL97" s="921"/>
      <c r="EM97" s="921"/>
      <c r="EN97" s="921"/>
      <c r="EO97" s="921"/>
      <c r="EP97" s="921"/>
      <c r="EQ97" s="954"/>
      <c r="ER97" s="954"/>
      <c r="ES97" s="954"/>
      <c r="ET97" s="954"/>
      <c r="EV97" s="942"/>
      <c r="EW97" s="951"/>
      <c r="EX97" s="951"/>
      <c r="EY97" s="952"/>
    </row>
    <row r="98" spans="1:155" s="927" customFormat="1" ht="15.75" x14ac:dyDescent="0.25">
      <c r="A98" s="912" t="s">
        <v>61</v>
      </c>
      <c r="B98" s="913" t="s">
        <v>701</v>
      </c>
      <c r="C98" s="914">
        <v>1</v>
      </c>
      <c r="D98" s="914">
        <v>7755</v>
      </c>
      <c r="E98" s="915">
        <v>1.0549999999999999</v>
      </c>
      <c r="F98" s="916">
        <f t="shared" si="0"/>
        <v>8182</v>
      </c>
      <c r="G98" s="915">
        <v>1.01</v>
      </c>
      <c r="H98" s="916">
        <f t="shared" si="1"/>
        <v>8264</v>
      </c>
      <c r="I98" s="917">
        <f t="shared" si="2"/>
        <v>8264</v>
      </c>
      <c r="J98" s="918">
        <f t="shared" si="3"/>
        <v>0</v>
      </c>
      <c r="K98" s="919"/>
      <c r="L98" s="917">
        <f t="shared" si="4"/>
        <v>0</v>
      </c>
      <c r="M98" s="918">
        <f t="shared" si="5"/>
        <v>0.04</v>
      </c>
      <c r="N98" s="919">
        <v>310.2</v>
      </c>
      <c r="O98" s="917">
        <f t="shared" si="6"/>
        <v>330.56</v>
      </c>
      <c r="P98" s="918">
        <f t="shared" si="7"/>
        <v>0</v>
      </c>
      <c r="Q98" s="919"/>
      <c r="R98" s="917">
        <f t="shared" si="8"/>
        <v>0</v>
      </c>
      <c r="S98" s="918">
        <f t="shared" si="9"/>
        <v>0</v>
      </c>
      <c r="T98" s="919"/>
      <c r="U98" s="917">
        <f t="shared" si="10"/>
        <v>0</v>
      </c>
      <c r="V98" s="918">
        <f t="shared" si="11"/>
        <v>0</v>
      </c>
      <c r="W98" s="919"/>
      <c r="X98" s="917">
        <f t="shared" si="12"/>
        <v>0</v>
      </c>
      <c r="Y98" s="918">
        <f t="shared" si="13"/>
        <v>1.99</v>
      </c>
      <c r="Z98" s="919">
        <v>15432.45</v>
      </c>
      <c r="AA98" s="917">
        <f t="shared" si="14"/>
        <v>16445.36</v>
      </c>
      <c r="AB98" s="918">
        <f t="shared" si="15"/>
        <v>0.2</v>
      </c>
      <c r="AC98" s="919">
        <v>1551</v>
      </c>
      <c r="AD98" s="917">
        <f t="shared" si="16"/>
        <v>1652.8</v>
      </c>
      <c r="AE98" s="918">
        <f t="shared" si="17"/>
        <v>0</v>
      </c>
      <c r="AF98" s="919"/>
      <c r="AG98" s="917">
        <f t="shared" si="18"/>
        <v>0</v>
      </c>
      <c r="AH98" s="918">
        <f t="shared" si="19"/>
        <v>0</v>
      </c>
      <c r="AI98" s="919"/>
      <c r="AJ98" s="917">
        <f t="shared" si="20"/>
        <v>0</v>
      </c>
      <c r="AK98" s="918">
        <f t="shared" si="21"/>
        <v>0</v>
      </c>
      <c r="AL98" s="919"/>
      <c r="AM98" s="917">
        <f t="shared" si="22"/>
        <v>0</v>
      </c>
      <c r="AN98" s="920">
        <v>19242</v>
      </c>
      <c r="AO98" s="917">
        <f t="shared" si="23"/>
        <v>0</v>
      </c>
      <c r="AP98" s="920"/>
      <c r="AQ98" s="916">
        <f t="shared" si="24"/>
        <v>0</v>
      </c>
      <c r="AR98" s="917">
        <f t="shared" si="25"/>
        <v>26692.720000000001</v>
      </c>
      <c r="AS98" s="916">
        <v>12</v>
      </c>
      <c r="AT98" s="921">
        <f t="shared" si="26"/>
        <v>320312.64</v>
      </c>
      <c r="AU98" s="920"/>
      <c r="AV98" s="922">
        <f t="shared" si="27"/>
        <v>3203.13</v>
      </c>
      <c r="AW98" s="921">
        <f t="shared" si="28"/>
        <v>323515.77</v>
      </c>
      <c r="AX98" s="921">
        <f t="shared" si="29"/>
        <v>97701.759999999995</v>
      </c>
      <c r="AY98" s="921">
        <f t="shared" si="30"/>
        <v>421217.53</v>
      </c>
      <c r="AZ98" s="923">
        <f t="shared" si="31"/>
        <v>323.5</v>
      </c>
      <c r="BA98" s="923">
        <f t="shared" si="32"/>
        <v>97.7</v>
      </c>
      <c r="BB98" s="923">
        <f t="shared" si="33"/>
        <v>421.2</v>
      </c>
      <c r="BC98" s="915">
        <v>0.95</v>
      </c>
      <c r="BD98" s="923">
        <f t="shared" si="34"/>
        <v>307.3</v>
      </c>
      <c r="BE98" s="923">
        <f t="shared" si="35"/>
        <v>92.8</v>
      </c>
      <c r="BF98" s="923">
        <f t="shared" si="36"/>
        <v>400.1</v>
      </c>
      <c r="BG98" s="924">
        <f>'[3]свод (2024)'!$B$116</f>
        <v>0.99758349999999996</v>
      </c>
      <c r="BH98" s="923">
        <f t="shared" si="37"/>
        <v>306.60000000000002</v>
      </c>
      <c r="BI98" s="923">
        <f t="shared" si="38"/>
        <v>92.6</v>
      </c>
      <c r="BJ98" s="923">
        <f t="shared" si="39"/>
        <v>399.2</v>
      </c>
      <c r="BK98" s="925">
        <f t="shared" si="40"/>
        <v>-16.899999999999999</v>
      </c>
      <c r="BL98" s="925">
        <f t="shared" si="40"/>
        <v>-5.0999999999999996</v>
      </c>
      <c r="BM98" s="925">
        <f t="shared" si="41"/>
        <v>-22</v>
      </c>
      <c r="BN98" s="925">
        <f t="shared" si="42"/>
        <v>0</v>
      </c>
      <c r="BO98" s="925">
        <f t="shared" si="43"/>
        <v>0</v>
      </c>
      <c r="BP98" s="926"/>
      <c r="BQ98" s="925">
        <f t="shared" si="44"/>
        <v>306.60000000000002</v>
      </c>
      <c r="BR98" s="925">
        <f t="shared" si="44"/>
        <v>92.6</v>
      </c>
      <c r="BS98" s="925">
        <f t="shared" si="45"/>
        <v>399.2</v>
      </c>
      <c r="BU98" s="928"/>
      <c r="BV98" s="917"/>
      <c r="BW98" s="928"/>
      <c r="BX98" s="928"/>
      <c r="BY98" s="928"/>
      <c r="BZ98" s="917"/>
      <c r="CA98" s="928"/>
      <c r="CB98" s="917"/>
      <c r="CC98" s="928"/>
      <c r="CD98" s="928"/>
      <c r="CE98" s="928"/>
      <c r="CF98" s="929"/>
      <c r="CG98" s="928"/>
      <c r="CH98" s="928"/>
      <c r="CI98" s="928"/>
      <c r="CJ98" s="925"/>
      <c r="CK98" s="925"/>
      <c r="CL98" s="925"/>
      <c r="CM98" s="925"/>
      <c r="CN98" s="925"/>
      <c r="CO98" s="925"/>
      <c r="CP98" s="925"/>
      <c r="CQ98" s="925"/>
      <c r="CR98" s="925"/>
      <c r="CS98" s="917"/>
      <c r="CT98" s="928"/>
      <c r="CU98" s="928"/>
      <c r="CV98" s="928"/>
      <c r="CX98" s="925"/>
      <c r="CY98" s="925"/>
      <c r="CZ98" s="925"/>
      <c r="DB98" s="925"/>
      <c r="DC98" s="925"/>
      <c r="DD98" s="925"/>
      <c r="DE98" s="925"/>
      <c r="DF98" s="925"/>
      <c r="DG98" s="925"/>
      <c r="DH98" s="925"/>
      <c r="DI98" s="925"/>
      <c r="DJ98" s="925"/>
      <c r="DK98" s="925"/>
      <c r="DL98" s="925"/>
      <c r="DM98" s="925"/>
      <c r="DN98" s="925"/>
      <c r="DO98" s="925"/>
      <c r="DP98" s="925"/>
      <c r="DQ98" s="924"/>
      <c r="DR98" s="925"/>
      <c r="DS98" s="925"/>
      <c r="DT98" s="925"/>
      <c r="DV98" s="925"/>
      <c r="DW98" s="925"/>
      <c r="DX98" s="925"/>
      <c r="DY98" s="925"/>
      <c r="DZ98" s="925"/>
      <c r="EA98" s="925"/>
      <c r="EB98" s="925"/>
      <c r="EC98" s="925"/>
      <c r="ED98" s="925"/>
      <c r="EE98" s="925"/>
      <c r="EF98" s="925"/>
      <c r="EG98" s="925"/>
      <c r="EH98" s="925"/>
      <c r="EI98" s="925"/>
      <c r="EJ98" s="925"/>
      <c r="EK98" s="925"/>
      <c r="EL98" s="925"/>
      <c r="EM98" s="925"/>
      <c r="EN98" s="925"/>
      <c r="EO98" s="925"/>
      <c r="EP98" s="925"/>
      <c r="EQ98" s="925"/>
      <c r="ER98" s="925"/>
      <c r="ES98" s="925"/>
      <c r="ET98" s="925"/>
      <c r="EV98" s="924"/>
      <c r="EW98" s="925"/>
      <c r="EX98" s="925"/>
      <c r="EY98" s="925"/>
    </row>
    <row r="99" spans="1:155" s="927" customFormat="1" ht="15.75" x14ac:dyDescent="0.25">
      <c r="A99" s="912" t="s">
        <v>61</v>
      </c>
      <c r="B99" s="913" t="s">
        <v>1392</v>
      </c>
      <c r="C99" s="914">
        <v>2</v>
      </c>
      <c r="D99" s="914">
        <v>4336</v>
      </c>
      <c r="E99" s="915">
        <v>1.0549999999999999</v>
      </c>
      <c r="F99" s="916">
        <f t="shared" si="0"/>
        <v>4575</v>
      </c>
      <c r="G99" s="915">
        <v>1.01</v>
      </c>
      <c r="H99" s="916">
        <f t="shared" si="1"/>
        <v>4621</v>
      </c>
      <c r="I99" s="917">
        <f t="shared" si="2"/>
        <v>9242</v>
      </c>
      <c r="J99" s="918">
        <f t="shared" si="3"/>
        <v>0</v>
      </c>
      <c r="K99" s="919"/>
      <c r="L99" s="917">
        <f t="shared" si="4"/>
        <v>0</v>
      </c>
      <c r="M99" s="918">
        <f t="shared" si="5"/>
        <v>0</v>
      </c>
      <c r="N99" s="919"/>
      <c r="O99" s="917">
        <f t="shared" si="6"/>
        <v>0</v>
      </c>
      <c r="P99" s="918">
        <f t="shared" si="7"/>
        <v>0</v>
      </c>
      <c r="Q99" s="919"/>
      <c r="R99" s="917">
        <f t="shared" si="8"/>
        <v>0</v>
      </c>
      <c r="S99" s="918">
        <f t="shared" si="9"/>
        <v>0</v>
      </c>
      <c r="T99" s="919"/>
      <c r="U99" s="917">
        <f t="shared" si="10"/>
        <v>0</v>
      </c>
      <c r="V99" s="918">
        <f t="shared" si="11"/>
        <v>0</v>
      </c>
      <c r="W99" s="919"/>
      <c r="X99" s="917">
        <f t="shared" si="12"/>
        <v>0</v>
      </c>
      <c r="Y99" s="918">
        <f t="shared" si="13"/>
        <v>0</v>
      </c>
      <c r="Z99" s="919"/>
      <c r="AA99" s="917">
        <f t="shared" si="14"/>
        <v>0</v>
      </c>
      <c r="AB99" s="918">
        <f t="shared" si="15"/>
        <v>0</v>
      </c>
      <c r="AC99" s="919"/>
      <c r="AD99" s="917">
        <f t="shared" si="16"/>
        <v>0</v>
      </c>
      <c r="AE99" s="918">
        <f t="shared" si="17"/>
        <v>0</v>
      </c>
      <c r="AF99" s="919"/>
      <c r="AG99" s="917">
        <f t="shared" si="18"/>
        <v>0</v>
      </c>
      <c r="AH99" s="918">
        <f t="shared" si="19"/>
        <v>0</v>
      </c>
      <c r="AI99" s="919"/>
      <c r="AJ99" s="917">
        <f t="shared" si="20"/>
        <v>0</v>
      </c>
      <c r="AK99" s="918">
        <f t="shared" si="21"/>
        <v>0</v>
      </c>
      <c r="AL99" s="919"/>
      <c r="AM99" s="917">
        <f t="shared" si="22"/>
        <v>0</v>
      </c>
      <c r="AN99" s="920">
        <v>19242</v>
      </c>
      <c r="AO99" s="917">
        <f t="shared" si="23"/>
        <v>29242</v>
      </c>
      <c r="AP99" s="920"/>
      <c r="AQ99" s="916">
        <f t="shared" si="24"/>
        <v>0</v>
      </c>
      <c r="AR99" s="917">
        <f t="shared" si="25"/>
        <v>38484</v>
      </c>
      <c r="AS99" s="916">
        <v>12</v>
      </c>
      <c r="AT99" s="921">
        <f t="shared" si="26"/>
        <v>461808</v>
      </c>
      <c r="AU99" s="920">
        <f t="shared" ref="AU99:AU100" si="76">AT99*0.085</f>
        <v>39253.68</v>
      </c>
      <c r="AV99" s="922">
        <f t="shared" si="27"/>
        <v>4618.08</v>
      </c>
      <c r="AW99" s="921">
        <f t="shared" si="28"/>
        <v>505679.76</v>
      </c>
      <c r="AX99" s="921">
        <f t="shared" si="29"/>
        <v>152715.29</v>
      </c>
      <c r="AY99" s="921">
        <f t="shared" si="30"/>
        <v>658395.05000000005</v>
      </c>
      <c r="AZ99" s="923">
        <f t="shared" si="31"/>
        <v>505.7</v>
      </c>
      <c r="BA99" s="923">
        <f t="shared" si="32"/>
        <v>152.69999999999999</v>
      </c>
      <c r="BB99" s="923">
        <f t="shared" si="33"/>
        <v>658.4</v>
      </c>
      <c r="BC99" s="915">
        <v>0.95</v>
      </c>
      <c r="BD99" s="923">
        <f t="shared" si="34"/>
        <v>480.4</v>
      </c>
      <c r="BE99" s="923">
        <f t="shared" si="35"/>
        <v>145.1</v>
      </c>
      <c r="BF99" s="923">
        <f t="shared" si="36"/>
        <v>625.5</v>
      </c>
      <c r="BG99" s="924">
        <f>'[3]свод (2024)'!$B$116</f>
        <v>0.99758349999999996</v>
      </c>
      <c r="BH99" s="923">
        <f t="shared" si="37"/>
        <v>479.2</v>
      </c>
      <c r="BI99" s="923">
        <f t="shared" si="38"/>
        <v>144.69999999999999</v>
      </c>
      <c r="BJ99" s="923">
        <f t="shared" si="39"/>
        <v>623.9</v>
      </c>
      <c r="BK99" s="925">
        <f t="shared" si="40"/>
        <v>-26.5</v>
      </c>
      <c r="BL99" s="925">
        <f t="shared" si="40"/>
        <v>-8</v>
      </c>
      <c r="BM99" s="925">
        <f t="shared" si="41"/>
        <v>-34.5</v>
      </c>
      <c r="BN99" s="925">
        <f t="shared" si="42"/>
        <v>0</v>
      </c>
      <c r="BO99" s="925">
        <f t="shared" si="43"/>
        <v>0</v>
      </c>
      <c r="BP99" s="926"/>
      <c r="BQ99" s="925">
        <f t="shared" si="44"/>
        <v>479.2</v>
      </c>
      <c r="BR99" s="925">
        <f t="shared" si="44"/>
        <v>144.69999999999999</v>
      </c>
      <c r="BS99" s="925">
        <f t="shared" si="45"/>
        <v>623.9</v>
      </c>
      <c r="BU99" s="928"/>
      <c r="BV99" s="917"/>
      <c r="BW99" s="928"/>
      <c r="BX99" s="928"/>
      <c r="BY99" s="928"/>
      <c r="BZ99" s="917"/>
      <c r="CA99" s="928"/>
      <c r="CB99" s="917"/>
      <c r="CC99" s="928"/>
      <c r="CD99" s="928"/>
      <c r="CE99" s="928"/>
      <c r="CF99" s="929"/>
      <c r="CG99" s="928"/>
      <c r="CH99" s="928"/>
      <c r="CI99" s="928"/>
      <c r="CJ99" s="925"/>
      <c r="CK99" s="925"/>
      <c r="CL99" s="925"/>
      <c r="CM99" s="925"/>
      <c r="CN99" s="925"/>
      <c r="CO99" s="925"/>
      <c r="CP99" s="925"/>
      <c r="CQ99" s="925"/>
      <c r="CR99" s="925"/>
      <c r="CS99" s="917"/>
      <c r="CT99" s="928"/>
      <c r="CU99" s="928"/>
      <c r="CV99" s="928"/>
      <c r="CX99" s="925"/>
      <c r="CY99" s="925"/>
      <c r="CZ99" s="925"/>
      <c r="DB99" s="925"/>
      <c r="DC99" s="925"/>
      <c r="DD99" s="925"/>
      <c r="DE99" s="925"/>
      <c r="DF99" s="925"/>
      <c r="DG99" s="925"/>
      <c r="DH99" s="925"/>
      <c r="DI99" s="925"/>
      <c r="DJ99" s="925"/>
      <c r="DK99" s="925"/>
      <c r="DL99" s="925"/>
      <c r="DM99" s="925"/>
      <c r="DN99" s="925"/>
      <c r="DO99" s="925"/>
      <c r="DP99" s="925"/>
      <c r="DQ99" s="924"/>
      <c r="DR99" s="925"/>
      <c r="DS99" s="925"/>
      <c r="DT99" s="925"/>
      <c r="DV99" s="925"/>
      <c r="DW99" s="925"/>
      <c r="DX99" s="925"/>
      <c r="DY99" s="925"/>
      <c r="DZ99" s="925"/>
      <c r="EA99" s="925"/>
      <c r="EB99" s="925"/>
      <c r="EC99" s="925"/>
      <c r="ED99" s="925"/>
      <c r="EE99" s="925"/>
      <c r="EF99" s="925"/>
      <c r="EG99" s="925"/>
      <c r="EH99" s="925"/>
      <c r="EI99" s="925"/>
      <c r="EJ99" s="925"/>
      <c r="EK99" s="925"/>
      <c r="EL99" s="925"/>
      <c r="EM99" s="925"/>
      <c r="EN99" s="925"/>
      <c r="EO99" s="925"/>
      <c r="EP99" s="925"/>
      <c r="EQ99" s="925"/>
      <c r="ER99" s="925"/>
      <c r="ES99" s="925"/>
      <c r="ET99" s="925"/>
      <c r="EV99" s="924"/>
      <c r="EW99" s="925"/>
      <c r="EX99" s="925"/>
      <c r="EY99" s="925"/>
    </row>
    <row r="100" spans="1:155" s="927" customFormat="1" ht="15.75" x14ac:dyDescent="0.25">
      <c r="A100" s="912" t="s">
        <v>61</v>
      </c>
      <c r="B100" s="913" t="s">
        <v>42</v>
      </c>
      <c r="C100" s="914">
        <v>0.5</v>
      </c>
      <c r="D100" s="914">
        <v>6707</v>
      </c>
      <c r="E100" s="915">
        <v>1.0549999999999999</v>
      </c>
      <c r="F100" s="916">
        <f t="shared" si="0"/>
        <v>7076</v>
      </c>
      <c r="G100" s="915">
        <v>1.01</v>
      </c>
      <c r="H100" s="916">
        <f t="shared" si="1"/>
        <v>7147</v>
      </c>
      <c r="I100" s="917">
        <f t="shared" si="2"/>
        <v>3573.5</v>
      </c>
      <c r="J100" s="918">
        <f t="shared" si="3"/>
        <v>0</v>
      </c>
      <c r="K100" s="919"/>
      <c r="L100" s="917">
        <f t="shared" si="4"/>
        <v>0</v>
      </c>
      <c r="M100" s="918">
        <f t="shared" si="5"/>
        <v>0</v>
      </c>
      <c r="N100" s="919"/>
      <c r="O100" s="917">
        <f t="shared" si="6"/>
        <v>0</v>
      </c>
      <c r="P100" s="918">
        <f t="shared" si="7"/>
        <v>0</v>
      </c>
      <c r="Q100" s="919"/>
      <c r="R100" s="917">
        <f t="shared" si="8"/>
        <v>0</v>
      </c>
      <c r="S100" s="918">
        <f t="shared" si="9"/>
        <v>0</v>
      </c>
      <c r="T100" s="919"/>
      <c r="U100" s="917">
        <f t="shared" si="10"/>
        <v>0</v>
      </c>
      <c r="V100" s="918">
        <f t="shared" si="11"/>
        <v>0</v>
      </c>
      <c r="W100" s="919"/>
      <c r="X100" s="917">
        <f t="shared" si="12"/>
        <v>0</v>
      </c>
      <c r="Y100" s="918">
        <f t="shared" si="13"/>
        <v>0</v>
      </c>
      <c r="Z100" s="919"/>
      <c r="AA100" s="917">
        <f t="shared" si="14"/>
        <v>0</v>
      </c>
      <c r="AB100" s="918">
        <f t="shared" si="15"/>
        <v>0.15</v>
      </c>
      <c r="AC100" s="919">
        <v>503.03</v>
      </c>
      <c r="AD100" s="917">
        <f t="shared" si="16"/>
        <v>536.03</v>
      </c>
      <c r="AE100" s="918">
        <f t="shared" si="17"/>
        <v>0</v>
      </c>
      <c r="AF100" s="919"/>
      <c r="AG100" s="917">
        <f t="shared" si="18"/>
        <v>0</v>
      </c>
      <c r="AH100" s="918">
        <f t="shared" si="19"/>
        <v>0</v>
      </c>
      <c r="AI100" s="919"/>
      <c r="AJ100" s="917">
        <f t="shared" si="20"/>
        <v>0</v>
      </c>
      <c r="AK100" s="918">
        <f t="shared" si="21"/>
        <v>0</v>
      </c>
      <c r="AL100" s="919"/>
      <c r="AM100" s="917">
        <f t="shared" si="22"/>
        <v>0</v>
      </c>
      <c r="AN100" s="920">
        <v>19242</v>
      </c>
      <c r="AO100" s="917">
        <f t="shared" si="23"/>
        <v>5511.47</v>
      </c>
      <c r="AP100" s="920"/>
      <c r="AQ100" s="916">
        <f t="shared" si="24"/>
        <v>0</v>
      </c>
      <c r="AR100" s="917">
        <f t="shared" si="25"/>
        <v>9621</v>
      </c>
      <c r="AS100" s="916">
        <v>12</v>
      </c>
      <c r="AT100" s="921">
        <f t="shared" si="26"/>
        <v>115452</v>
      </c>
      <c r="AU100" s="920">
        <f t="shared" si="76"/>
        <v>9813.42</v>
      </c>
      <c r="AV100" s="922">
        <f t="shared" si="27"/>
        <v>1154.52</v>
      </c>
      <c r="AW100" s="921">
        <f t="shared" si="28"/>
        <v>126419.94</v>
      </c>
      <c r="AX100" s="921">
        <f t="shared" si="29"/>
        <v>38178.82</v>
      </c>
      <c r="AY100" s="921">
        <f t="shared" si="30"/>
        <v>164598.76</v>
      </c>
      <c r="AZ100" s="923">
        <f t="shared" si="31"/>
        <v>126.4</v>
      </c>
      <c r="BA100" s="923">
        <f t="shared" si="32"/>
        <v>38.200000000000003</v>
      </c>
      <c r="BB100" s="923">
        <f t="shared" si="33"/>
        <v>164.6</v>
      </c>
      <c r="BC100" s="915">
        <v>0.95</v>
      </c>
      <c r="BD100" s="923">
        <f t="shared" si="34"/>
        <v>120.1</v>
      </c>
      <c r="BE100" s="923">
        <f t="shared" si="35"/>
        <v>36.299999999999997</v>
      </c>
      <c r="BF100" s="923">
        <f t="shared" si="36"/>
        <v>156.4</v>
      </c>
      <c r="BG100" s="924">
        <f>'[3]свод (2024)'!$B$116</f>
        <v>0.99758349999999996</v>
      </c>
      <c r="BH100" s="923">
        <f t="shared" si="37"/>
        <v>119.8</v>
      </c>
      <c r="BI100" s="923">
        <f t="shared" si="38"/>
        <v>36.200000000000003</v>
      </c>
      <c r="BJ100" s="923">
        <f t="shared" si="39"/>
        <v>156</v>
      </c>
      <c r="BK100" s="925">
        <f t="shared" si="40"/>
        <v>-6.6</v>
      </c>
      <c r="BL100" s="925">
        <f t="shared" si="40"/>
        <v>-2</v>
      </c>
      <c r="BM100" s="925">
        <f t="shared" si="41"/>
        <v>-8.6</v>
      </c>
      <c r="BN100" s="925">
        <f t="shared" si="42"/>
        <v>0</v>
      </c>
      <c r="BO100" s="925">
        <f t="shared" si="43"/>
        <v>0</v>
      </c>
      <c r="BP100" s="926"/>
      <c r="BQ100" s="925">
        <f t="shared" si="44"/>
        <v>119.8</v>
      </c>
      <c r="BR100" s="925">
        <f t="shared" si="44"/>
        <v>36.200000000000003</v>
      </c>
      <c r="BS100" s="925">
        <f t="shared" si="45"/>
        <v>156</v>
      </c>
      <c r="BU100" s="928"/>
      <c r="BV100" s="917"/>
      <c r="BW100" s="928"/>
      <c r="BX100" s="928"/>
      <c r="BY100" s="928"/>
      <c r="BZ100" s="917"/>
      <c r="CA100" s="928"/>
      <c r="CB100" s="917"/>
      <c r="CC100" s="928"/>
      <c r="CD100" s="928"/>
      <c r="CE100" s="928"/>
      <c r="CF100" s="929"/>
      <c r="CG100" s="928"/>
      <c r="CH100" s="928"/>
      <c r="CI100" s="928"/>
      <c r="CJ100" s="925"/>
      <c r="CK100" s="925"/>
      <c r="CL100" s="925"/>
      <c r="CM100" s="925"/>
      <c r="CN100" s="925"/>
      <c r="CO100" s="925"/>
      <c r="CP100" s="925"/>
      <c r="CQ100" s="925"/>
      <c r="CR100" s="925"/>
      <c r="CS100" s="917"/>
      <c r="CT100" s="928"/>
      <c r="CU100" s="928"/>
      <c r="CV100" s="928"/>
      <c r="CX100" s="925"/>
      <c r="CY100" s="925"/>
      <c r="CZ100" s="925"/>
      <c r="DB100" s="925"/>
      <c r="DC100" s="925"/>
      <c r="DD100" s="925"/>
      <c r="DE100" s="925"/>
      <c r="DF100" s="925"/>
      <c r="DG100" s="925"/>
      <c r="DH100" s="925"/>
      <c r="DI100" s="925"/>
      <c r="DJ100" s="925"/>
      <c r="DK100" s="925"/>
      <c r="DL100" s="925"/>
      <c r="DM100" s="925"/>
      <c r="DN100" s="925"/>
      <c r="DO100" s="925"/>
      <c r="DP100" s="925"/>
      <c r="DQ100" s="924"/>
      <c r="DR100" s="925"/>
      <c r="DS100" s="925"/>
      <c r="DT100" s="925"/>
      <c r="DV100" s="925"/>
      <c r="DW100" s="925"/>
      <c r="DX100" s="925"/>
      <c r="DY100" s="925"/>
      <c r="DZ100" s="925"/>
      <c r="EA100" s="925"/>
      <c r="EB100" s="925"/>
      <c r="EC100" s="925"/>
      <c r="ED100" s="925"/>
      <c r="EE100" s="925"/>
      <c r="EF100" s="925"/>
      <c r="EG100" s="925"/>
      <c r="EH100" s="925"/>
      <c r="EI100" s="925"/>
      <c r="EJ100" s="925"/>
      <c r="EK100" s="925"/>
      <c r="EL100" s="925"/>
      <c r="EM100" s="925"/>
      <c r="EN100" s="925"/>
      <c r="EO100" s="925"/>
      <c r="EP100" s="925"/>
      <c r="EQ100" s="925"/>
      <c r="ER100" s="925"/>
      <c r="ES100" s="925"/>
      <c r="ET100" s="925"/>
      <c r="EV100" s="924"/>
      <c r="EW100" s="925"/>
      <c r="EX100" s="925"/>
      <c r="EY100" s="925"/>
    </row>
    <row r="101" spans="1:155" s="927" customFormat="1" ht="15.75" x14ac:dyDescent="0.25">
      <c r="A101" s="912" t="s">
        <v>61</v>
      </c>
      <c r="B101" s="913" t="s">
        <v>1393</v>
      </c>
      <c r="C101" s="914">
        <v>1</v>
      </c>
      <c r="D101" s="914">
        <v>4336</v>
      </c>
      <c r="E101" s="915">
        <v>1.0549999999999999</v>
      </c>
      <c r="F101" s="916">
        <f t="shared" si="0"/>
        <v>4575</v>
      </c>
      <c r="G101" s="915">
        <v>1.01</v>
      </c>
      <c r="H101" s="916">
        <f t="shared" si="1"/>
        <v>4621</v>
      </c>
      <c r="I101" s="917">
        <f t="shared" si="2"/>
        <v>4621</v>
      </c>
      <c r="J101" s="918">
        <f t="shared" si="3"/>
        <v>0</v>
      </c>
      <c r="K101" s="919"/>
      <c r="L101" s="917">
        <f t="shared" si="4"/>
        <v>0</v>
      </c>
      <c r="M101" s="918">
        <f t="shared" si="5"/>
        <v>0</v>
      </c>
      <c r="N101" s="919"/>
      <c r="O101" s="917">
        <f t="shared" si="6"/>
        <v>0</v>
      </c>
      <c r="P101" s="918">
        <f t="shared" si="7"/>
        <v>0</v>
      </c>
      <c r="Q101" s="919"/>
      <c r="R101" s="917">
        <f t="shared" si="8"/>
        <v>0</v>
      </c>
      <c r="S101" s="918">
        <f t="shared" si="9"/>
        <v>0</v>
      </c>
      <c r="T101" s="919"/>
      <c r="U101" s="917">
        <f t="shared" si="10"/>
        <v>0</v>
      </c>
      <c r="V101" s="918">
        <f t="shared" si="11"/>
        <v>0</v>
      </c>
      <c r="W101" s="919"/>
      <c r="X101" s="917">
        <f t="shared" si="12"/>
        <v>0</v>
      </c>
      <c r="Y101" s="918">
        <f t="shared" si="13"/>
        <v>0</v>
      </c>
      <c r="Z101" s="919"/>
      <c r="AA101" s="917">
        <f t="shared" si="14"/>
        <v>0</v>
      </c>
      <c r="AB101" s="918">
        <f t="shared" si="15"/>
        <v>0</v>
      </c>
      <c r="AC101" s="919"/>
      <c r="AD101" s="917">
        <f t="shared" si="16"/>
        <v>0</v>
      </c>
      <c r="AE101" s="918">
        <f t="shared" si="17"/>
        <v>0</v>
      </c>
      <c r="AF101" s="919"/>
      <c r="AG101" s="917">
        <f t="shared" si="18"/>
        <v>0</v>
      </c>
      <c r="AH101" s="918">
        <f t="shared" si="19"/>
        <v>0</v>
      </c>
      <c r="AI101" s="919"/>
      <c r="AJ101" s="917">
        <f t="shared" si="20"/>
        <v>0</v>
      </c>
      <c r="AK101" s="918">
        <f t="shared" si="21"/>
        <v>0</v>
      </c>
      <c r="AL101" s="919"/>
      <c r="AM101" s="917">
        <f t="shared" si="22"/>
        <v>0</v>
      </c>
      <c r="AN101" s="920">
        <v>19242</v>
      </c>
      <c r="AO101" s="917">
        <f t="shared" si="23"/>
        <v>14621</v>
      </c>
      <c r="AP101" s="920"/>
      <c r="AQ101" s="916">
        <f t="shared" si="24"/>
        <v>0</v>
      </c>
      <c r="AR101" s="917">
        <f t="shared" si="25"/>
        <v>19242</v>
      </c>
      <c r="AS101" s="916">
        <v>12</v>
      </c>
      <c r="AT101" s="921">
        <f t="shared" si="26"/>
        <v>230904</v>
      </c>
      <c r="AU101" s="920"/>
      <c r="AV101" s="922">
        <f t="shared" si="27"/>
        <v>2309.04</v>
      </c>
      <c r="AW101" s="921">
        <f t="shared" si="28"/>
        <v>233213.04</v>
      </c>
      <c r="AX101" s="921">
        <f t="shared" si="29"/>
        <v>70430.34</v>
      </c>
      <c r="AY101" s="921">
        <f t="shared" si="30"/>
        <v>303643.38</v>
      </c>
      <c r="AZ101" s="923">
        <f t="shared" si="31"/>
        <v>233.2</v>
      </c>
      <c r="BA101" s="923">
        <f t="shared" si="32"/>
        <v>70.400000000000006</v>
      </c>
      <c r="BB101" s="923">
        <f t="shared" si="33"/>
        <v>303.60000000000002</v>
      </c>
      <c r="BC101" s="915">
        <v>0.95</v>
      </c>
      <c r="BD101" s="923">
        <f t="shared" si="34"/>
        <v>221.5</v>
      </c>
      <c r="BE101" s="923">
        <f t="shared" si="35"/>
        <v>66.900000000000006</v>
      </c>
      <c r="BF101" s="923">
        <f t="shared" si="36"/>
        <v>288.39999999999998</v>
      </c>
      <c r="BG101" s="924">
        <f>'[3]свод (2024)'!$B$116</f>
        <v>0.99758349999999996</v>
      </c>
      <c r="BH101" s="923">
        <f t="shared" si="37"/>
        <v>221</v>
      </c>
      <c r="BI101" s="923">
        <f t="shared" si="38"/>
        <v>66.7</v>
      </c>
      <c r="BJ101" s="923">
        <f t="shared" si="39"/>
        <v>287.7</v>
      </c>
      <c r="BK101" s="925">
        <f t="shared" si="40"/>
        <v>-12.2</v>
      </c>
      <c r="BL101" s="925">
        <f t="shared" si="40"/>
        <v>-3.7</v>
      </c>
      <c r="BM101" s="925">
        <f t="shared" si="41"/>
        <v>-15.9</v>
      </c>
      <c r="BN101" s="925">
        <f t="shared" si="42"/>
        <v>0</v>
      </c>
      <c r="BO101" s="925">
        <f t="shared" si="43"/>
        <v>0</v>
      </c>
      <c r="BP101" s="926"/>
      <c r="BQ101" s="925">
        <f t="shared" si="44"/>
        <v>221</v>
      </c>
      <c r="BR101" s="925">
        <f t="shared" si="44"/>
        <v>66.7</v>
      </c>
      <c r="BS101" s="925">
        <f t="shared" si="45"/>
        <v>287.7</v>
      </c>
      <c r="BU101" s="928"/>
      <c r="BV101" s="917"/>
      <c r="BW101" s="928"/>
      <c r="BX101" s="928"/>
      <c r="BY101" s="928"/>
      <c r="BZ101" s="917"/>
      <c r="CA101" s="928"/>
      <c r="CB101" s="917"/>
      <c r="CC101" s="928"/>
      <c r="CD101" s="928"/>
      <c r="CE101" s="928"/>
      <c r="CF101" s="929"/>
      <c r="CG101" s="928"/>
      <c r="CH101" s="928"/>
      <c r="CI101" s="928"/>
      <c r="CJ101" s="925"/>
      <c r="CK101" s="925"/>
      <c r="CL101" s="925"/>
      <c r="CM101" s="925"/>
      <c r="CN101" s="925"/>
      <c r="CO101" s="925"/>
      <c r="CP101" s="925"/>
      <c r="CQ101" s="925"/>
      <c r="CR101" s="925"/>
      <c r="CS101" s="917"/>
      <c r="CT101" s="928"/>
      <c r="CU101" s="928"/>
      <c r="CV101" s="928"/>
      <c r="CX101" s="925"/>
      <c r="CY101" s="925"/>
      <c r="CZ101" s="925"/>
      <c r="DB101" s="925"/>
      <c r="DC101" s="925"/>
      <c r="DD101" s="925"/>
      <c r="DE101" s="925"/>
      <c r="DF101" s="925"/>
      <c r="DG101" s="925"/>
      <c r="DH101" s="925"/>
      <c r="DI101" s="925"/>
      <c r="DJ101" s="925"/>
      <c r="DK101" s="925"/>
      <c r="DL101" s="925"/>
      <c r="DM101" s="925"/>
      <c r="DN101" s="925"/>
      <c r="DO101" s="925"/>
      <c r="DP101" s="925"/>
      <c r="DQ101" s="924"/>
      <c r="DR101" s="925"/>
      <c r="DS101" s="925"/>
      <c r="DT101" s="925"/>
      <c r="DV101" s="925"/>
      <c r="DW101" s="925"/>
      <c r="DX101" s="925"/>
      <c r="DY101" s="925"/>
      <c r="DZ101" s="925"/>
      <c r="EA101" s="925"/>
      <c r="EB101" s="925"/>
      <c r="EC101" s="925"/>
      <c r="ED101" s="925"/>
      <c r="EE101" s="925"/>
      <c r="EF101" s="925"/>
      <c r="EG101" s="925"/>
      <c r="EH101" s="925"/>
      <c r="EI101" s="925"/>
      <c r="EJ101" s="925"/>
      <c r="EK101" s="925"/>
      <c r="EL101" s="925"/>
      <c r="EM101" s="925"/>
      <c r="EN101" s="925"/>
      <c r="EO101" s="925"/>
      <c r="EP101" s="925"/>
      <c r="EQ101" s="925"/>
      <c r="ER101" s="925"/>
      <c r="ES101" s="925"/>
      <c r="ET101" s="925"/>
      <c r="EV101" s="924"/>
      <c r="EW101" s="925"/>
      <c r="EX101" s="925"/>
      <c r="EY101" s="925"/>
    </row>
    <row r="102" spans="1:155" s="927" customFormat="1" ht="15.75" x14ac:dyDescent="0.25">
      <c r="A102" s="912" t="s">
        <v>61</v>
      </c>
      <c r="B102" s="913" t="s">
        <v>32</v>
      </c>
      <c r="C102" s="914">
        <v>1</v>
      </c>
      <c r="D102" s="914">
        <v>22544</v>
      </c>
      <c r="E102" s="915">
        <v>1.0549999999999999</v>
      </c>
      <c r="F102" s="916">
        <f t="shared" si="0"/>
        <v>23784</v>
      </c>
      <c r="G102" s="915">
        <v>1.01</v>
      </c>
      <c r="H102" s="916">
        <f t="shared" si="1"/>
        <v>24022</v>
      </c>
      <c r="I102" s="917">
        <f t="shared" si="2"/>
        <v>24022</v>
      </c>
      <c r="J102" s="918">
        <f t="shared" si="3"/>
        <v>0</v>
      </c>
      <c r="K102" s="919"/>
      <c r="L102" s="917">
        <f t="shared" si="4"/>
        <v>0</v>
      </c>
      <c r="M102" s="918">
        <f t="shared" si="5"/>
        <v>0.04</v>
      </c>
      <c r="N102" s="919">
        <v>901.76</v>
      </c>
      <c r="O102" s="917">
        <f t="shared" si="6"/>
        <v>960.88</v>
      </c>
      <c r="P102" s="918">
        <f t="shared" si="7"/>
        <v>0</v>
      </c>
      <c r="Q102" s="919"/>
      <c r="R102" s="917">
        <f t="shared" si="8"/>
        <v>0</v>
      </c>
      <c r="S102" s="918">
        <f t="shared" si="9"/>
        <v>0</v>
      </c>
      <c r="T102" s="919"/>
      <c r="U102" s="917">
        <f t="shared" si="10"/>
        <v>0</v>
      </c>
      <c r="V102" s="918">
        <f t="shared" si="11"/>
        <v>0</v>
      </c>
      <c r="W102" s="919"/>
      <c r="X102" s="917">
        <f t="shared" si="12"/>
        <v>0</v>
      </c>
      <c r="Y102" s="918">
        <f t="shared" si="13"/>
        <v>0.35</v>
      </c>
      <c r="Z102" s="919">
        <v>7890.4</v>
      </c>
      <c r="AA102" s="917">
        <f t="shared" si="14"/>
        <v>8407.7000000000007</v>
      </c>
      <c r="AB102" s="918">
        <f t="shared" si="15"/>
        <v>0.2</v>
      </c>
      <c r="AC102" s="919">
        <v>4508.8</v>
      </c>
      <c r="AD102" s="917">
        <f t="shared" si="16"/>
        <v>4804.3999999999996</v>
      </c>
      <c r="AE102" s="918">
        <f t="shared" si="17"/>
        <v>0</v>
      </c>
      <c r="AF102" s="919"/>
      <c r="AG102" s="917">
        <f t="shared" si="18"/>
        <v>0</v>
      </c>
      <c r="AH102" s="918">
        <f t="shared" si="19"/>
        <v>0</v>
      </c>
      <c r="AI102" s="919"/>
      <c r="AJ102" s="917">
        <f t="shared" si="20"/>
        <v>0</v>
      </c>
      <c r="AK102" s="918">
        <f t="shared" si="21"/>
        <v>0</v>
      </c>
      <c r="AL102" s="919"/>
      <c r="AM102" s="917">
        <f t="shared" si="22"/>
        <v>0</v>
      </c>
      <c r="AN102" s="920">
        <v>19242</v>
      </c>
      <c r="AO102" s="917">
        <f t="shared" si="23"/>
        <v>0</v>
      </c>
      <c r="AP102" s="920"/>
      <c r="AQ102" s="916">
        <f t="shared" si="24"/>
        <v>0</v>
      </c>
      <c r="AR102" s="917">
        <f t="shared" si="25"/>
        <v>38194.980000000003</v>
      </c>
      <c r="AS102" s="916">
        <v>12</v>
      </c>
      <c r="AT102" s="921">
        <f t="shared" si="26"/>
        <v>458339.76</v>
      </c>
      <c r="AU102" s="920"/>
      <c r="AV102" s="922">
        <f t="shared" si="27"/>
        <v>4583.3999999999996</v>
      </c>
      <c r="AW102" s="921">
        <f t="shared" si="28"/>
        <v>462923.16</v>
      </c>
      <c r="AX102" s="921">
        <f t="shared" si="29"/>
        <v>139802.79</v>
      </c>
      <c r="AY102" s="921">
        <f t="shared" si="30"/>
        <v>602725.94999999995</v>
      </c>
      <c r="AZ102" s="923">
        <f t="shared" si="31"/>
        <v>462.9</v>
      </c>
      <c r="BA102" s="923">
        <f t="shared" si="32"/>
        <v>139.80000000000001</v>
      </c>
      <c r="BB102" s="923">
        <f t="shared" si="33"/>
        <v>602.70000000000005</v>
      </c>
      <c r="BC102" s="915">
        <v>0.95</v>
      </c>
      <c r="BD102" s="923">
        <f t="shared" si="34"/>
        <v>439.8</v>
      </c>
      <c r="BE102" s="923">
        <f t="shared" si="35"/>
        <v>132.80000000000001</v>
      </c>
      <c r="BF102" s="923">
        <f t="shared" si="36"/>
        <v>572.6</v>
      </c>
      <c r="BG102" s="924">
        <f>'[3]свод (2024)'!$B$116</f>
        <v>0.99758349999999996</v>
      </c>
      <c r="BH102" s="923">
        <f t="shared" si="37"/>
        <v>438.7</v>
      </c>
      <c r="BI102" s="923">
        <f t="shared" si="38"/>
        <v>132.5</v>
      </c>
      <c r="BJ102" s="923">
        <f t="shared" si="39"/>
        <v>571.20000000000005</v>
      </c>
      <c r="BK102" s="925">
        <f t="shared" si="40"/>
        <v>-24.2</v>
      </c>
      <c r="BL102" s="925">
        <f t="shared" si="40"/>
        <v>-7.3</v>
      </c>
      <c r="BM102" s="925">
        <f t="shared" si="41"/>
        <v>-31.5</v>
      </c>
      <c r="BN102" s="925">
        <f t="shared" si="42"/>
        <v>0</v>
      </c>
      <c r="BO102" s="925">
        <f t="shared" si="43"/>
        <v>0</v>
      </c>
      <c r="BP102" s="926"/>
      <c r="BQ102" s="925">
        <f t="shared" si="44"/>
        <v>438.7</v>
      </c>
      <c r="BR102" s="925">
        <f t="shared" si="44"/>
        <v>132.5</v>
      </c>
      <c r="BS102" s="925">
        <f t="shared" si="45"/>
        <v>571.20000000000005</v>
      </c>
      <c r="BU102" s="928"/>
      <c r="BV102" s="917"/>
      <c r="BW102" s="928"/>
      <c r="BX102" s="928"/>
      <c r="BY102" s="928"/>
      <c r="BZ102" s="917"/>
      <c r="CA102" s="928"/>
      <c r="CB102" s="917"/>
      <c r="CC102" s="928"/>
      <c r="CD102" s="928"/>
      <c r="CE102" s="928"/>
      <c r="CF102" s="929"/>
      <c r="CG102" s="928"/>
      <c r="CH102" s="928"/>
      <c r="CI102" s="928"/>
      <c r="CJ102" s="925"/>
      <c r="CK102" s="925"/>
      <c r="CL102" s="925"/>
      <c r="CM102" s="925"/>
      <c r="CN102" s="925"/>
      <c r="CO102" s="925"/>
      <c r="CP102" s="925"/>
      <c r="CQ102" s="925"/>
      <c r="CR102" s="925"/>
      <c r="CS102" s="917"/>
      <c r="CT102" s="928"/>
      <c r="CU102" s="928"/>
      <c r="CV102" s="928"/>
      <c r="CX102" s="925"/>
      <c r="CY102" s="925"/>
      <c r="CZ102" s="925"/>
      <c r="DB102" s="925"/>
      <c r="DC102" s="925"/>
      <c r="DD102" s="925"/>
      <c r="DE102" s="925"/>
      <c r="DF102" s="925"/>
      <c r="DG102" s="925"/>
      <c r="DH102" s="925"/>
      <c r="DI102" s="925"/>
      <c r="DJ102" s="925"/>
      <c r="DK102" s="925"/>
      <c r="DL102" s="925"/>
      <c r="DM102" s="925"/>
      <c r="DN102" s="925"/>
      <c r="DO102" s="925"/>
      <c r="DP102" s="925"/>
      <c r="DQ102" s="924"/>
      <c r="DR102" s="925"/>
      <c r="DS102" s="925"/>
      <c r="DT102" s="925"/>
      <c r="DV102" s="925"/>
      <c r="DW102" s="925"/>
      <c r="DX102" s="925"/>
      <c r="DY102" s="925"/>
      <c r="DZ102" s="925"/>
      <c r="EA102" s="925"/>
      <c r="EB102" s="925"/>
      <c r="EC102" s="925"/>
      <c r="ED102" s="925"/>
      <c r="EE102" s="925"/>
      <c r="EF102" s="925"/>
      <c r="EG102" s="925"/>
      <c r="EH102" s="925"/>
      <c r="EI102" s="925"/>
      <c r="EJ102" s="925"/>
      <c r="EK102" s="925"/>
      <c r="EL102" s="925"/>
      <c r="EM102" s="925"/>
      <c r="EN102" s="925"/>
      <c r="EO102" s="925"/>
      <c r="EP102" s="925"/>
      <c r="EQ102" s="925"/>
      <c r="ER102" s="925"/>
      <c r="ES102" s="925"/>
      <c r="ET102" s="925"/>
      <c r="EV102" s="924"/>
      <c r="EW102" s="925"/>
      <c r="EX102" s="925"/>
      <c r="EY102" s="925"/>
    </row>
    <row r="103" spans="1:155" s="927" customFormat="1" ht="15.75" x14ac:dyDescent="0.25">
      <c r="A103" s="912" t="s">
        <v>61</v>
      </c>
      <c r="B103" s="913" t="s">
        <v>1394</v>
      </c>
      <c r="C103" s="914">
        <v>0.5</v>
      </c>
      <c r="D103" s="914">
        <v>4336</v>
      </c>
      <c r="E103" s="915">
        <v>1.0549999999999999</v>
      </c>
      <c r="F103" s="916">
        <f t="shared" si="0"/>
        <v>4575</v>
      </c>
      <c r="G103" s="915">
        <v>1.01</v>
      </c>
      <c r="H103" s="916">
        <f t="shared" si="1"/>
        <v>4621</v>
      </c>
      <c r="I103" s="917">
        <f t="shared" si="2"/>
        <v>2310.5</v>
      </c>
      <c r="J103" s="918">
        <f t="shared" si="3"/>
        <v>0</v>
      </c>
      <c r="K103" s="919"/>
      <c r="L103" s="917">
        <f t="shared" si="4"/>
        <v>0</v>
      </c>
      <c r="M103" s="918">
        <f t="shared" si="5"/>
        <v>0</v>
      </c>
      <c r="N103" s="919"/>
      <c r="O103" s="917">
        <f t="shared" si="6"/>
        <v>0</v>
      </c>
      <c r="P103" s="918">
        <f t="shared" si="7"/>
        <v>0</v>
      </c>
      <c r="Q103" s="919"/>
      <c r="R103" s="917">
        <f t="shared" si="8"/>
        <v>0</v>
      </c>
      <c r="S103" s="918">
        <f t="shared" si="9"/>
        <v>0</v>
      </c>
      <c r="T103" s="919"/>
      <c r="U103" s="917">
        <f t="shared" si="10"/>
        <v>0</v>
      </c>
      <c r="V103" s="918">
        <f t="shared" si="11"/>
        <v>0</v>
      </c>
      <c r="W103" s="919"/>
      <c r="X103" s="917">
        <f t="shared" si="12"/>
        <v>0</v>
      </c>
      <c r="Y103" s="918">
        <f t="shared" si="13"/>
        <v>0</v>
      </c>
      <c r="Z103" s="919"/>
      <c r="AA103" s="917">
        <f t="shared" si="14"/>
        <v>0</v>
      </c>
      <c r="AB103" s="918">
        <f t="shared" si="15"/>
        <v>0</v>
      </c>
      <c r="AC103" s="919"/>
      <c r="AD103" s="917">
        <f t="shared" si="16"/>
        <v>0</v>
      </c>
      <c r="AE103" s="918">
        <f t="shared" si="17"/>
        <v>0</v>
      </c>
      <c r="AF103" s="919"/>
      <c r="AG103" s="917">
        <f t="shared" si="18"/>
        <v>0</v>
      </c>
      <c r="AH103" s="918">
        <f t="shared" si="19"/>
        <v>0</v>
      </c>
      <c r="AI103" s="919"/>
      <c r="AJ103" s="917">
        <f t="shared" si="20"/>
        <v>0</v>
      </c>
      <c r="AK103" s="918">
        <f t="shared" si="21"/>
        <v>0</v>
      </c>
      <c r="AL103" s="919"/>
      <c r="AM103" s="917">
        <f t="shared" si="22"/>
        <v>0</v>
      </c>
      <c r="AN103" s="920">
        <v>19242</v>
      </c>
      <c r="AO103" s="917">
        <f t="shared" si="23"/>
        <v>7310.5</v>
      </c>
      <c r="AP103" s="920"/>
      <c r="AQ103" s="916">
        <f t="shared" si="24"/>
        <v>0</v>
      </c>
      <c r="AR103" s="917">
        <f t="shared" si="25"/>
        <v>9621</v>
      </c>
      <c r="AS103" s="916">
        <v>12</v>
      </c>
      <c r="AT103" s="921">
        <f t="shared" si="26"/>
        <v>115452</v>
      </c>
      <c r="AU103" s="920">
        <f>AT103*0.085</f>
        <v>9813.42</v>
      </c>
      <c r="AV103" s="922">
        <f t="shared" si="27"/>
        <v>1154.52</v>
      </c>
      <c r="AW103" s="921">
        <f t="shared" si="28"/>
        <v>126419.94</v>
      </c>
      <c r="AX103" s="921">
        <f t="shared" si="29"/>
        <v>38178.82</v>
      </c>
      <c r="AY103" s="921">
        <f t="shared" si="30"/>
        <v>164598.76</v>
      </c>
      <c r="AZ103" s="923">
        <f t="shared" si="31"/>
        <v>126.4</v>
      </c>
      <c r="BA103" s="923">
        <f t="shared" si="32"/>
        <v>38.200000000000003</v>
      </c>
      <c r="BB103" s="923">
        <f t="shared" si="33"/>
        <v>164.6</v>
      </c>
      <c r="BC103" s="915">
        <v>0.95</v>
      </c>
      <c r="BD103" s="923">
        <f t="shared" si="34"/>
        <v>120.1</v>
      </c>
      <c r="BE103" s="923">
        <f t="shared" si="35"/>
        <v>36.299999999999997</v>
      </c>
      <c r="BF103" s="923">
        <f t="shared" si="36"/>
        <v>156.4</v>
      </c>
      <c r="BG103" s="924">
        <f>'[3]свод (2024)'!$B$116</f>
        <v>0.99758349999999996</v>
      </c>
      <c r="BH103" s="923">
        <f t="shared" si="37"/>
        <v>119.8</v>
      </c>
      <c r="BI103" s="923">
        <f t="shared" si="38"/>
        <v>36.200000000000003</v>
      </c>
      <c r="BJ103" s="923">
        <f t="shared" si="39"/>
        <v>156</v>
      </c>
      <c r="BK103" s="925">
        <f t="shared" si="40"/>
        <v>-6.6</v>
      </c>
      <c r="BL103" s="925">
        <f t="shared" si="40"/>
        <v>-2</v>
      </c>
      <c r="BM103" s="925">
        <f t="shared" si="41"/>
        <v>-8.6</v>
      </c>
      <c r="BN103" s="925">
        <f t="shared" si="42"/>
        <v>0</v>
      </c>
      <c r="BO103" s="925">
        <f t="shared" si="43"/>
        <v>0</v>
      </c>
      <c r="BP103" s="926"/>
      <c r="BQ103" s="925">
        <f t="shared" si="44"/>
        <v>119.8</v>
      </c>
      <c r="BR103" s="925">
        <f t="shared" si="44"/>
        <v>36.200000000000003</v>
      </c>
      <c r="BS103" s="925">
        <f t="shared" si="45"/>
        <v>156</v>
      </c>
      <c r="BU103" s="928"/>
      <c r="BV103" s="917"/>
      <c r="BW103" s="928"/>
      <c r="BX103" s="928"/>
      <c r="BY103" s="928"/>
      <c r="BZ103" s="917"/>
      <c r="CA103" s="928"/>
      <c r="CB103" s="917"/>
      <c r="CC103" s="928"/>
      <c r="CD103" s="928"/>
      <c r="CE103" s="928"/>
      <c r="CF103" s="929"/>
      <c r="CG103" s="928"/>
      <c r="CH103" s="928"/>
      <c r="CI103" s="928"/>
      <c r="CJ103" s="925"/>
      <c r="CK103" s="925"/>
      <c r="CL103" s="925"/>
      <c r="CM103" s="925"/>
      <c r="CN103" s="925"/>
      <c r="CO103" s="925"/>
      <c r="CP103" s="925"/>
      <c r="CQ103" s="925"/>
      <c r="CR103" s="925"/>
      <c r="CS103" s="917"/>
      <c r="CT103" s="928"/>
      <c r="CU103" s="928"/>
      <c r="CV103" s="928"/>
      <c r="CX103" s="925"/>
      <c r="CY103" s="925"/>
      <c r="CZ103" s="925"/>
      <c r="DB103" s="925"/>
      <c r="DC103" s="925"/>
      <c r="DD103" s="925"/>
      <c r="DE103" s="925"/>
      <c r="DF103" s="925"/>
      <c r="DG103" s="925"/>
      <c r="DH103" s="925"/>
      <c r="DI103" s="925"/>
      <c r="DJ103" s="925"/>
      <c r="DK103" s="925"/>
      <c r="DL103" s="925"/>
      <c r="DM103" s="925"/>
      <c r="DN103" s="925"/>
      <c r="DO103" s="925"/>
      <c r="DP103" s="925"/>
      <c r="DQ103" s="924"/>
      <c r="DR103" s="925"/>
      <c r="DS103" s="925"/>
      <c r="DT103" s="925"/>
      <c r="DV103" s="925"/>
      <c r="DW103" s="925"/>
      <c r="DX103" s="925"/>
      <c r="DY103" s="925"/>
      <c r="DZ103" s="925"/>
      <c r="EA103" s="925"/>
      <c r="EB103" s="925"/>
      <c r="EC103" s="925"/>
      <c r="ED103" s="925"/>
      <c r="EE103" s="925"/>
      <c r="EF103" s="925"/>
      <c r="EG103" s="925"/>
      <c r="EH103" s="925"/>
      <c r="EI103" s="925"/>
      <c r="EJ103" s="925"/>
      <c r="EK103" s="925"/>
      <c r="EL103" s="925"/>
      <c r="EM103" s="925"/>
      <c r="EN103" s="925"/>
      <c r="EO103" s="925"/>
      <c r="EP103" s="925"/>
      <c r="EQ103" s="925"/>
      <c r="ER103" s="925"/>
      <c r="ES103" s="925"/>
      <c r="ET103" s="925"/>
      <c r="EV103" s="924"/>
      <c r="EW103" s="925"/>
      <c r="EX103" s="925"/>
      <c r="EY103" s="925"/>
    </row>
    <row r="104" spans="1:155" s="927" customFormat="1" ht="15.75" x14ac:dyDescent="0.25">
      <c r="A104" s="912" t="s">
        <v>61</v>
      </c>
      <c r="B104" s="913" t="s">
        <v>1380</v>
      </c>
      <c r="C104" s="914">
        <v>1</v>
      </c>
      <c r="D104" s="914">
        <v>25048</v>
      </c>
      <c r="E104" s="915">
        <v>1.0549999999999999</v>
      </c>
      <c r="F104" s="916">
        <f t="shared" si="0"/>
        <v>26426</v>
      </c>
      <c r="G104" s="915">
        <v>1.01</v>
      </c>
      <c r="H104" s="916">
        <f t="shared" si="1"/>
        <v>26691</v>
      </c>
      <c r="I104" s="917">
        <f t="shared" si="2"/>
        <v>26691</v>
      </c>
      <c r="J104" s="918">
        <f t="shared" si="3"/>
        <v>0</v>
      </c>
      <c r="K104" s="919"/>
      <c r="L104" s="917">
        <f t="shared" si="4"/>
        <v>0</v>
      </c>
      <c r="M104" s="918">
        <f t="shared" si="5"/>
        <v>0.04</v>
      </c>
      <c r="N104" s="919">
        <v>1001.92</v>
      </c>
      <c r="O104" s="917">
        <f t="shared" si="6"/>
        <v>1067.6400000000001</v>
      </c>
      <c r="P104" s="918">
        <f t="shared" si="7"/>
        <v>0.1</v>
      </c>
      <c r="Q104" s="919">
        <f>D104*C104*0.1</f>
        <v>2504.8000000000002</v>
      </c>
      <c r="R104" s="917">
        <f t="shared" si="8"/>
        <v>2669.1</v>
      </c>
      <c r="S104" s="918">
        <f t="shared" si="9"/>
        <v>0</v>
      </c>
      <c r="T104" s="919"/>
      <c r="U104" s="917">
        <f t="shared" si="10"/>
        <v>0</v>
      </c>
      <c r="V104" s="918">
        <f t="shared" si="11"/>
        <v>0</v>
      </c>
      <c r="W104" s="919"/>
      <c r="X104" s="917">
        <f t="shared" si="12"/>
        <v>0</v>
      </c>
      <c r="Y104" s="918">
        <f t="shared" si="13"/>
        <v>0.38</v>
      </c>
      <c r="Z104" s="919">
        <v>9518.24</v>
      </c>
      <c r="AA104" s="917">
        <f t="shared" si="14"/>
        <v>10142.58</v>
      </c>
      <c r="AB104" s="918">
        <f t="shared" si="15"/>
        <v>0.2</v>
      </c>
      <c r="AC104" s="919">
        <v>5009.6000000000004</v>
      </c>
      <c r="AD104" s="917">
        <f t="shared" si="16"/>
        <v>5338.2</v>
      </c>
      <c r="AE104" s="918">
        <f t="shared" si="17"/>
        <v>0</v>
      </c>
      <c r="AF104" s="919"/>
      <c r="AG104" s="917">
        <f t="shared" si="18"/>
        <v>0</v>
      </c>
      <c r="AH104" s="918">
        <f t="shared" si="19"/>
        <v>0</v>
      </c>
      <c r="AI104" s="919"/>
      <c r="AJ104" s="917">
        <f t="shared" si="20"/>
        <v>0</v>
      </c>
      <c r="AK104" s="918">
        <f t="shared" si="21"/>
        <v>0</v>
      </c>
      <c r="AL104" s="919"/>
      <c r="AM104" s="917">
        <f t="shared" si="22"/>
        <v>0</v>
      </c>
      <c r="AN104" s="920">
        <v>19242</v>
      </c>
      <c r="AO104" s="917">
        <f t="shared" si="23"/>
        <v>0</v>
      </c>
      <c r="AP104" s="920"/>
      <c r="AQ104" s="916">
        <f t="shared" si="24"/>
        <v>0</v>
      </c>
      <c r="AR104" s="917">
        <f t="shared" si="25"/>
        <v>45908.52</v>
      </c>
      <c r="AS104" s="916">
        <v>12</v>
      </c>
      <c r="AT104" s="921">
        <f t="shared" si="26"/>
        <v>550902.24</v>
      </c>
      <c r="AU104" s="920"/>
      <c r="AV104" s="922">
        <f t="shared" si="27"/>
        <v>5509.02</v>
      </c>
      <c r="AW104" s="921">
        <f t="shared" si="28"/>
        <v>556411.26</v>
      </c>
      <c r="AX104" s="921">
        <f t="shared" si="29"/>
        <v>168036.2</v>
      </c>
      <c r="AY104" s="921">
        <f t="shared" si="30"/>
        <v>724447.46</v>
      </c>
      <c r="AZ104" s="923">
        <f t="shared" si="31"/>
        <v>556.4</v>
      </c>
      <c r="BA104" s="923">
        <f t="shared" si="32"/>
        <v>168</v>
      </c>
      <c r="BB104" s="923">
        <f t="shared" si="33"/>
        <v>724.4</v>
      </c>
      <c r="BC104" s="915">
        <v>0.95</v>
      </c>
      <c r="BD104" s="923">
        <f t="shared" si="34"/>
        <v>528.6</v>
      </c>
      <c r="BE104" s="923">
        <f t="shared" si="35"/>
        <v>159.6</v>
      </c>
      <c r="BF104" s="923">
        <f t="shared" si="36"/>
        <v>688.2</v>
      </c>
      <c r="BG104" s="924">
        <f>'[3]свод (2024)'!$B$116</f>
        <v>0.99758349999999996</v>
      </c>
      <c r="BH104" s="923">
        <f t="shared" si="37"/>
        <v>527.29999999999995</v>
      </c>
      <c r="BI104" s="923">
        <f t="shared" si="38"/>
        <v>159.19999999999999</v>
      </c>
      <c r="BJ104" s="923">
        <f t="shared" si="39"/>
        <v>686.5</v>
      </c>
      <c r="BK104" s="925">
        <f t="shared" si="40"/>
        <v>-29.1</v>
      </c>
      <c r="BL104" s="925">
        <f t="shared" si="40"/>
        <v>-8.8000000000000007</v>
      </c>
      <c r="BM104" s="925">
        <f t="shared" si="41"/>
        <v>-37.9</v>
      </c>
      <c r="BN104" s="925">
        <f t="shared" si="42"/>
        <v>0</v>
      </c>
      <c r="BO104" s="925">
        <f t="shared" si="43"/>
        <v>0</v>
      </c>
      <c r="BP104" s="926"/>
      <c r="BQ104" s="925">
        <f t="shared" si="44"/>
        <v>527.29999999999995</v>
      </c>
      <c r="BR104" s="925">
        <f t="shared" si="44"/>
        <v>159.19999999999999</v>
      </c>
      <c r="BS104" s="925">
        <f t="shared" si="45"/>
        <v>686.5</v>
      </c>
      <c r="BU104" s="928"/>
      <c r="BV104" s="917"/>
      <c r="BW104" s="928"/>
      <c r="BX104" s="928"/>
      <c r="BY104" s="928"/>
      <c r="BZ104" s="917"/>
      <c r="CA104" s="928"/>
      <c r="CB104" s="917"/>
      <c r="CC104" s="928"/>
      <c r="CD104" s="928"/>
      <c r="CE104" s="928"/>
      <c r="CF104" s="929"/>
      <c r="CG104" s="928"/>
      <c r="CH104" s="928"/>
      <c r="CI104" s="928"/>
      <c r="CJ104" s="925"/>
      <c r="CK104" s="925"/>
      <c r="CL104" s="925"/>
      <c r="CM104" s="925"/>
      <c r="CN104" s="925"/>
      <c r="CO104" s="925"/>
      <c r="CP104" s="925"/>
      <c r="CQ104" s="925"/>
      <c r="CR104" s="925"/>
      <c r="CS104" s="917"/>
      <c r="CT104" s="928"/>
      <c r="CU104" s="928"/>
      <c r="CV104" s="928"/>
      <c r="CX104" s="925"/>
      <c r="CY104" s="925"/>
      <c r="CZ104" s="925"/>
      <c r="DB104" s="925"/>
      <c r="DC104" s="925"/>
      <c r="DD104" s="925"/>
      <c r="DE104" s="925"/>
      <c r="DF104" s="925"/>
      <c r="DG104" s="925"/>
      <c r="DH104" s="925"/>
      <c r="DI104" s="925"/>
      <c r="DJ104" s="925"/>
      <c r="DK104" s="925"/>
      <c r="DL104" s="925"/>
      <c r="DM104" s="925"/>
      <c r="DN104" s="925"/>
      <c r="DO104" s="925"/>
      <c r="DP104" s="925"/>
      <c r="DQ104" s="924"/>
      <c r="DR104" s="925"/>
      <c r="DS104" s="925"/>
      <c r="DT104" s="925"/>
      <c r="DV104" s="925"/>
      <c r="DW104" s="925"/>
      <c r="DX104" s="925"/>
      <c r="DY104" s="925"/>
      <c r="DZ104" s="925"/>
      <c r="EA104" s="925"/>
      <c r="EB104" s="925"/>
      <c r="EC104" s="925"/>
      <c r="ED104" s="925"/>
      <c r="EE104" s="925"/>
      <c r="EF104" s="925"/>
      <c r="EG104" s="925"/>
      <c r="EH104" s="925"/>
      <c r="EI104" s="925"/>
      <c r="EJ104" s="925"/>
      <c r="EK104" s="925"/>
      <c r="EL104" s="925"/>
      <c r="EM104" s="925"/>
      <c r="EN104" s="925"/>
      <c r="EO104" s="925"/>
      <c r="EP104" s="925"/>
      <c r="EQ104" s="925"/>
      <c r="ER104" s="925"/>
      <c r="ES104" s="925"/>
      <c r="ET104" s="925"/>
      <c r="EV104" s="924"/>
      <c r="EW104" s="925"/>
      <c r="EX104" s="925"/>
      <c r="EY104" s="925"/>
    </row>
    <row r="105" spans="1:155" s="927" customFormat="1" ht="15.75" x14ac:dyDescent="0.25">
      <c r="A105" s="912" t="s">
        <v>61</v>
      </c>
      <c r="B105" s="913" t="s">
        <v>40</v>
      </c>
      <c r="C105" s="914">
        <v>1</v>
      </c>
      <c r="D105" s="914">
        <v>6707</v>
      </c>
      <c r="E105" s="915">
        <v>1.0549999999999999</v>
      </c>
      <c r="F105" s="916">
        <f t="shared" si="0"/>
        <v>7076</v>
      </c>
      <c r="G105" s="915">
        <v>1.01</v>
      </c>
      <c r="H105" s="916">
        <f t="shared" si="1"/>
        <v>7147</v>
      </c>
      <c r="I105" s="917">
        <f t="shared" si="2"/>
        <v>7147</v>
      </c>
      <c r="J105" s="918">
        <f t="shared" si="3"/>
        <v>0</v>
      </c>
      <c r="K105" s="919"/>
      <c r="L105" s="917">
        <f t="shared" si="4"/>
        <v>0</v>
      </c>
      <c r="M105" s="918">
        <f t="shared" si="5"/>
        <v>0.04</v>
      </c>
      <c r="N105" s="919">
        <v>268.27999999999997</v>
      </c>
      <c r="O105" s="917">
        <f t="shared" si="6"/>
        <v>285.88</v>
      </c>
      <c r="P105" s="918">
        <f t="shared" si="7"/>
        <v>0</v>
      </c>
      <c r="Q105" s="919"/>
      <c r="R105" s="917">
        <f t="shared" si="8"/>
        <v>0</v>
      </c>
      <c r="S105" s="918">
        <f t="shared" si="9"/>
        <v>0</v>
      </c>
      <c r="T105" s="919"/>
      <c r="U105" s="917">
        <f t="shared" si="10"/>
        <v>0</v>
      </c>
      <c r="V105" s="918">
        <f t="shared" si="11"/>
        <v>0</v>
      </c>
      <c r="W105" s="919"/>
      <c r="X105" s="917">
        <f t="shared" si="12"/>
        <v>0</v>
      </c>
      <c r="Y105" s="918">
        <f t="shared" si="13"/>
        <v>1.99</v>
      </c>
      <c r="Z105" s="919">
        <v>13346.93</v>
      </c>
      <c r="AA105" s="917">
        <f t="shared" si="14"/>
        <v>14222.53</v>
      </c>
      <c r="AB105" s="918">
        <f t="shared" si="15"/>
        <v>0.3</v>
      </c>
      <c r="AC105" s="919">
        <v>2012.1</v>
      </c>
      <c r="AD105" s="917">
        <f t="shared" si="16"/>
        <v>2144.1</v>
      </c>
      <c r="AE105" s="918">
        <f t="shared" si="17"/>
        <v>0</v>
      </c>
      <c r="AF105" s="919"/>
      <c r="AG105" s="917">
        <f t="shared" si="18"/>
        <v>0</v>
      </c>
      <c r="AH105" s="918">
        <f t="shared" si="19"/>
        <v>0</v>
      </c>
      <c r="AI105" s="919"/>
      <c r="AJ105" s="917">
        <f t="shared" si="20"/>
        <v>0</v>
      </c>
      <c r="AK105" s="918">
        <f t="shared" si="21"/>
        <v>0</v>
      </c>
      <c r="AL105" s="919"/>
      <c r="AM105" s="917">
        <f t="shared" si="22"/>
        <v>0</v>
      </c>
      <c r="AN105" s="920">
        <v>19242</v>
      </c>
      <c r="AO105" s="917">
        <f t="shared" si="23"/>
        <v>0</v>
      </c>
      <c r="AP105" s="920"/>
      <c r="AQ105" s="916">
        <f t="shared" si="24"/>
        <v>0</v>
      </c>
      <c r="AR105" s="917">
        <f t="shared" si="25"/>
        <v>23799.51</v>
      </c>
      <c r="AS105" s="916">
        <v>12</v>
      </c>
      <c r="AT105" s="921">
        <f t="shared" si="26"/>
        <v>285594.12</v>
      </c>
      <c r="AU105" s="920"/>
      <c r="AV105" s="922">
        <f t="shared" si="27"/>
        <v>2855.94</v>
      </c>
      <c r="AW105" s="921">
        <f t="shared" si="28"/>
        <v>288450.06</v>
      </c>
      <c r="AX105" s="921">
        <f t="shared" si="29"/>
        <v>87111.92</v>
      </c>
      <c r="AY105" s="921">
        <f t="shared" si="30"/>
        <v>375561.98</v>
      </c>
      <c r="AZ105" s="923">
        <f t="shared" si="31"/>
        <v>288.5</v>
      </c>
      <c r="BA105" s="923">
        <f t="shared" si="32"/>
        <v>87.1</v>
      </c>
      <c r="BB105" s="923">
        <f t="shared" si="33"/>
        <v>375.6</v>
      </c>
      <c r="BC105" s="915">
        <v>0.95</v>
      </c>
      <c r="BD105" s="923">
        <f t="shared" si="34"/>
        <v>274.10000000000002</v>
      </c>
      <c r="BE105" s="923">
        <f t="shared" si="35"/>
        <v>82.8</v>
      </c>
      <c r="BF105" s="923">
        <f t="shared" si="36"/>
        <v>356.9</v>
      </c>
      <c r="BG105" s="924">
        <f>'[3]свод (2024)'!$B$116</f>
        <v>0.99758349999999996</v>
      </c>
      <c r="BH105" s="923">
        <f t="shared" si="37"/>
        <v>273.39999999999998</v>
      </c>
      <c r="BI105" s="923">
        <f t="shared" si="38"/>
        <v>82.6</v>
      </c>
      <c r="BJ105" s="923">
        <f t="shared" si="39"/>
        <v>356</v>
      </c>
      <c r="BK105" s="925">
        <f t="shared" si="40"/>
        <v>-15.1</v>
      </c>
      <c r="BL105" s="925">
        <f t="shared" si="40"/>
        <v>-4.5</v>
      </c>
      <c r="BM105" s="925">
        <f t="shared" si="41"/>
        <v>-19.600000000000001</v>
      </c>
      <c r="BN105" s="925">
        <f t="shared" si="42"/>
        <v>0</v>
      </c>
      <c r="BO105" s="925">
        <f t="shared" si="43"/>
        <v>0</v>
      </c>
      <c r="BP105" s="926"/>
      <c r="BQ105" s="925">
        <f t="shared" si="44"/>
        <v>273.39999999999998</v>
      </c>
      <c r="BR105" s="925">
        <f t="shared" si="44"/>
        <v>82.6</v>
      </c>
      <c r="BS105" s="925">
        <f t="shared" si="45"/>
        <v>356</v>
      </c>
      <c r="BU105" s="928"/>
      <c r="BV105" s="917"/>
      <c r="BW105" s="928"/>
      <c r="BX105" s="928"/>
      <c r="BY105" s="928"/>
      <c r="BZ105" s="917"/>
      <c r="CA105" s="928"/>
      <c r="CB105" s="917"/>
      <c r="CC105" s="928"/>
      <c r="CD105" s="928"/>
      <c r="CE105" s="928"/>
      <c r="CF105" s="929"/>
      <c r="CG105" s="928"/>
      <c r="CH105" s="928"/>
      <c r="CI105" s="928"/>
      <c r="CJ105" s="925"/>
      <c r="CK105" s="925"/>
      <c r="CL105" s="925"/>
      <c r="CM105" s="925"/>
      <c r="CN105" s="925"/>
      <c r="CO105" s="925"/>
      <c r="CP105" s="925"/>
      <c r="CQ105" s="925"/>
      <c r="CR105" s="925"/>
      <c r="CS105" s="917"/>
      <c r="CT105" s="928"/>
      <c r="CU105" s="928"/>
      <c r="CV105" s="928"/>
      <c r="CX105" s="925"/>
      <c r="CY105" s="925"/>
      <c r="CZ105" s="925"/>
      <c r="DB105" s="925"/>
      <c r="DC105" s="925"/>
      <c r="DD105" s="925"/>
      <c r="DE105" s="925"/>
      <c r="DF105" s="925"/>
      <c r="DG105" s="925"/>
      <c r="DH105" s="925"/>
      <c r="DI105" s="925"/>
      <c r="DJ105" s="925"/>
      <c r="DK105" s="925"/>
      <c r="DL105" s="925"/>
      <c r="DM105" s="925"/>
      <c r="DN105" s="925"/>
      <c r="DO105" s="925"/>
      <c r="DP105" s="925"/>
      <c r="DQ105" s="924"/>
      <c r="DR105" s="925"/>
      <c r="DS105" s="925"/>
      <c r="DT105" s="925"/>
      <c r="DV105" s="925"/>
      <c r="DW105" s="925"/>
      <c r="DX105" s="925"/>
      <c r="DY105" s="925"/>
      <c r="DZ105" s="925"/>
      <c r="EA105" s="925"/>
      <c r="EB105" s="925"/>
      <c r="EC105" s="925"/>
      <c r="ED105" s="925"/>
      <c r="EE105" s="925"/>
      <c r="EF105" s="925"/>
      <c r="EG105" s="925"/>
      <c r="EH105" s="925"/>
      <c r="EI105" s="925"/>
      <c r="EJ105" s="925"/>
      <c r="EK105" s="925"/>
      <c r="EL105" s="925"/>
      <c r="EM105" s="925"/>
      <c r="EN105" s="925"/>
      <c r="EO105" s="925"/>
      <c r="EP105" s="925"/>
      <c r="EQ105" s="925"/>
      <c r="ER105" s="925"/>
      <c r="ES105" s="925"/>
      <c r="ET105" s="925"/>
      <c r="EV105" s="924"/>
      <c r="EW105" s="925"/>
      <c r="EX105" s="925"/>
      <c r="EY105" s="925"/>
    </row>
    <row r="106" spans="1:155" s="927" customFormat="1" ht="15.75" x14ac:dyDescent="0.25">
      <c r="A106" s="912" t="s">
        <v>61</v>
      </c>
      <c r="B106" s="913" t="s">
        <v>33</v>
      </c>
      <c r="C106" s="914">
        <v>4</v>
      </c>
      <c r="D106" s="914">
        <v>13466</v>
      </c>
      <c r="E106" s="915">
        <v>1.0549999999999999</v>
      </c>
      <c r="F106" s="916">
        <f t="shared" si="0"/>
        <v>14207</v>
      </c>
      <c r="G106" s="915">
        <v>1.01</v>
      </c>
      <c r="H106" s="916">
        <f t="shared" si="1"/>
        <v>14350</v>
      </c>
      <c r="I106" s="917">
        <f t="shared" si="2"/>
        <v>57400</v>
      </c>
      <c r="J106" s="918">
        <f t="shared" si="3"/>
        <v>0</v>
      </c>
      <c r="K106" s="919"/>
      <c r="L106" s="917">
        <f t="shared" si="4"/>
        <v>0</v>
      </c>
      <c r="M106" s="918">
        <f t="shared" si="5"/>
        <v>0.03</v>
      </c>
      <c r="N106" s="919">
        <v>1615.92</v>
      </c>
      <c r="O106" s="917">
        <f t="shared" si="6"/>
        <v>1722</v>
      </c>
      <c r="P106" s="918">
        <f t="shared" si="7"/>
        <v>2.5000000000000001E-2</v>
      </c>
      <c r="Q106" s="988">
        <f>D106*C106/C106*0.1</f>
        <v>1346.6</v>
      </c>
      <c r="R106" s="917">
        <f t="shared" si="8"/>
        <v>1435</v>
      </c>
      <c r="S106" s="918">
        <f t="shared" si="9"/>
        <v>7.4999999999999997E-2</v>
      </c>
      <c r="T106" s="919">
        <v>4039.8</v>
      </c>
      <c r="U106" s="917">
        <f t="shared" si="10"/>
        <v>4305</v>
      </c>
      <c r="V106" s="918">
        <f t="shared" si="11"/>
        <v>0</v>
      </c>
      <c r="W106" s="919"/>
      <c r="X106" s="917">
        <f t="shared" si="12"/>
        <v>0</v>
      </c>
      <c r="Y106" s="918">
        <f t="shared" si="13"/>
        <v>1.2</v>
      </c>
      <c r="Z106" s="919">
        <v>64636.800000000003</v>
      </c>
      <c r="AA106" s="917">
        <f t="shared" si="14"/>
        <v>68880</v>
      </c>
      <c r="AB106" s="918">
        <f t="shared" si="15"/>
        <v>0.2</v>
      </c>
      <c r="AC106" s="919">
        <v>10772.8</v>
      </c>
      <c r="AD106" s="917">
        <f t="shared" si="16"/>
        <v>11480</v>
      </c>
      <c r="AE106" s="918">
        <f t="shared" si="17"/>
        <v>0</v>
      </c>
      <c r="AF106" s="919"/>
      <c r="AG106" s="917">
        <f t="shared" si="18"/>
        <v>0</v>
      </c>
      <c r="AH106" s="918">
        <f t="shared" si="19"/>
        <v>0</v>
      </c>
      <c r="AI106" s="919"/>
      <c r="AJ106" s="917">
        <f t="shared" si="20"/>
        <v>0</v>
      </c>
      <c r="AK106" s="918">
        <f t="shared" si="21"/>
        <v>0</v>
      </c>
      <c r="AL106" s="919"/>
      <c r="AM106" s="917">
        <f t="shared" si="22"/>
        <v>0</v>
      </c>
      <c r="AN106" s="920">
        <v>19242</v>
      </c>
      <c r="AO106" s="917">
        <f t="shared" si="23"/>
        <v>0</v>
      </c>
      <c r="AP106" s="920"/>
      <c r="AQ106" s="916">
        <f t="shared" si="24"/>
        <v>0</v>
      </c>
      <c r="AR106" s="917">
        <f t="shared" si="25"/>
        <v>145222</v>
      </c>
      <c r="AS106" s="916">
        <v>12</v>
      </c>
      <c r="AT106" s="921">
        <f t="shared" si="26"/>
        <v>1742664</v>
      </c>
      <c r="AU106" s="920"/>
      <c r="AV106" s="922">
        <f t="shared" si="27"/>
        <v>17426.64</v>
      </c>
      <c r="AW106" s="921">
        <f t="shared" si="28"/>
        <v>1760090.64</v>
      </c>
      <c r="AX106" s="921">
        <f t="shared" si="29"/>
        <v>531547.37</v>
      </c>
      <c r="AY106" s="921">
        <f t="shared" si="30"/>
        <v>2291638.0099999998</v>
      </c>
      <c r="AZ106" s="923">
        <f t="shared" si="31"/>
        <v>1760.1</v>
      </c>
      <c r="BA106" s="923">
        <f t="shared" si="32"/>
        <v>531.6</v>
      </c>
      <c r="BB106" s="923">
        <f t="shared" si="33"/>
        <v>2291.6999999999998</v>
      </c>
      <c r="BC106" s="915">
        <v>0.95</v>
      </c>
      <c r="BD106" s="923">
        <f t="shared" si="34"/>
        <v>1672.1</v>
      </c>
      <c r="BE106" s="923">
        <f t="shared" si="35"/>
        <v>505</v>
      </c>
      <c r="BF106" s="923">
        <f t="shared" si="36"/>
        <v>2177.1</v>
      </c>
      <c r="BG106" s="924">
        <f>'[3]свод (2024)'!$B$116</f>
        <v>0.99758349999999996</v>
      </c>
      <c r="BH106" s="923">
        <f t="shared" si="37"/>
        <v>1668.1</v>
      </c>
      <c r="BI106" s="923">
        <f t="shared" si="38"/>
        <v>503.8</v>
      </c>
      <c r="BJ106" s="923">
        <f t="shared" si="39"/>
        <v>2171.9</v>
      </c>
      <c r="BK106" s="925">
        <f t="shared" si="40"/>
        <v>-92</v>
      </c>
      <c r="BL106" s="925">
        <f t="shared" si="40"/>
        <v>-27.8</v>
      </c>
      <c r="BM106" s="925">
        <f t="shared" si="41"/>
        <v>-119.8</v>
      </c>
      <c r="BN106" s="925">
        <f t="shared" si="42"/>
        <v>0</v>
      </c>
      <c r="BO106" s="925">
        <f t="shared" si="43"/>
        <v>0</v>
      </c>
      <c r="BP106" s="926"/>
      <c r="BQ106" s="925">
        <f t="shared" si="44"/>
        <v>1668.1</v>
      </c>
      <c r="BR106" s="925">
        <f t="shared" si="44"/>
        <v>503.8</v>
      </c>
      <c r="BS106" s="925">
        <f t="shared" si="45"/>
        <v>2171.9</v>
      </c>
      <c r="BU106" s="928"/>
      <c r="BV106" s="917"/>
      <c r="BW106" s="928"/>
      <c r="BX106" s="928"/>
      <c r="BY106" s="928"/>
      <c r="BZ106" s="917"/>
      <c r="CA106" s="928"/>
      <c r="CB106" s="917"/>
      <c r="CC106" s="928"/>
      <c r="CD106" s="928"/>
      <c r="CE106" s="928"/>
      <c r="CF106" s="929"/>
      <c r="CG106" s="928"/>
      <c r="CH106" s="928"/>
      <c r="CI106" s="928"/>
      <c r="CJ106" s="925"/>
      <c r="CK106" s="925"/>
      <c r="CL106" s="925"/>
      <c r="CM106" s="925"/>
      <c r="CN106" s="925"/>
      <c r="CO106" s="925"/>
      <c r="CP106" s="925"/>
      <c r="CQ106" s="925"/>
      <c r="CR106" s="925"/>
      <c r="CS106" s="917"/>
      <c r="CT106" s="928"/>
      <c r="CU106" s="928"/>
      <c r="CV106" s="928"/>
      <c r="CX106" s="925"/>
      <c r="CY106" s="925"/>
      <c r="CZ106" s="925"/>
      <c r="DB106" s="925"/>
      <c r="DC106" s="925"/>
      <c r="DD106" s="925"/>
      <c r="DE106" s="925"/>
      <c r="DF106" s="925"/>
      <c r="DG106" s="925"/>
      <c r="DH106" s="925"/>
      <c r="DI106" s="925"/>
      <c r="DJ106" s="925"/>
      <c r="DK106" s="925"/>
      <c r="DL106" s="925"/>
      <c r="DM106" s="925"/>
      <c r="DN106" s="925"/>
      <c r="DO106" s="925"/>
      <c r="DP106" s="925"/>
      <c r="DQ106" s="924"/>
      <c r="DR106" s="925"/>
      <c r="DS106" s="925"/>
      <c r="DT106" s="925"/>
      <c r="DV106" s="925"/>
      <c r="DW106" s="925"/>
      <c r="DX106" s="925"/>
      <c r="DY106" s="925"/>
      <c r="DZ106" s="925"/>
      <c r="EA106" s="925"/>
      <c r="EB106" s="925"/>
      <c r="EC106" s="925"/>
      <c r="ED106" s="925"/>
      <c r="EE106" s="925"/>
      <c r="EF106" s="925"/>
      <c r="EG106" s="925"/>
      <c r="EH106" s="925"/>
      <c r="EI106" s="925"/>
      <c r="EJ106" s="925"/>
      <c r="EK106" s="925"/>
      <c r="EL106" s="925"/>
      <c r="EM106" s="925"/>
      <c r="EN106" s="925"/>
      <c r="EO106" s="925"/>
      <c r="EP106" s="925"/>
      <c r="EQ106" s="925"/>
      <c r="ER106" s="925"/>
      <c r="ES106" s="925"/>
      <c r="ET106" s="925"/>
      <c r="EV106" s="924"/>
      <c r="EW106" s="925"/>
      <c r="EX106" s="925"/>
      <c r="EY106" s="925"/>
    </row>
    <row r="107" spans="1:155" s="927" customFormat="1" ht="15.75" x14ac:dyDescent="0.25">
      <c r="A107" s="912" t="s">
        <v>61</v>
      </c>
      <c r="B107" s="913" t="s">
        <v>39</v>
      </c>
      <c r="C107" s="914">
        <v>1</v>
      </c>
      <c r="D107" s="914">
        <v>6097</v>
      </c>
      <c r="E107" s="915">
        <v>1.0549999999999999</v>
      </c>
      <c r="F107" s="916">
        <f t="shared" si="0"/>
        <v>6433</v>
      </c>
      <c r="G107" s="915">
        <v>1.01</v>
      </c>
      <c r="H107" s="916">
        <f t="shared" si="1"/>
        <v>6498</v>
      </c>
      <c r="I107" s="917">
        <f t="shared" si="2"/>
        <v>6498</v>
      </c>
      <c r="J107" s="918">
        <f t="shared" si="3"/>
        <v>0</v>
      </c>
      <c r="K107" s="919"/>
      <c r="L107" s="917">
        <f t="shared" si="4"/>
        <v>0</v>
      </c>
      <c r="M107" s="918">
        <f t="shared" si="5"/>
        <v>0</v>
      </c>
      <c r="N107" s="919"/>
      <c r="O107" s="917">
        <f t="shared" si="6"/>
        <v>0</v>
      </c>
      <c r="P107" s="918">
        <f t="shared" si="7"/>
        <v>0</v>
      </c>
      <c r="Q107" s="919"/>
      <c r="R107" s="917">
        <f t="shared" si="8"/>
        <v>0</v>
      </c>
      <c r="S107" s="918">
        <f t="shared" si="9"/>
        <v>0</v>
      </c>
      <c r="T107" s="919"/>
      <c r="U107" s="917">
        <f t="shared" si="10"/>
        <v>0</v>
      </c>
      <c r="V107" s="918">
        <f t="shared" si="11"/>
        <v>0</v>
      </c>
      <c r="W107" s="919"/>
      <c r="X107" s="917">
        <f t="shared" si="12"/>
        <v>0</v>
      </c>
      <c r="Y107" s="918">
        <f t="shared" si="13"/>
        <v>0</v>
      </c>
      <c r="Z107" s="919"/>
      <c r="AA107" s="917">
        <f t="shared" si="14"/>
        <v>0</v>
      </c>
      <c r="AB107" s="918">
        <f t="shared" si="15"/>
        <v>0.3</v>
      </c>
      <c r="AC107" s="919">
        <v>1829.1</v>
      </c>
      <c r="AD107" s="917">
        <f t="shared" si="16"/>
        <v>1949.4</v>
      </c>
      <c r="AE107" s="918">
        <f t="shared" si="17"/>
        <v>0</v>
      </c>
      <c r="AF107" s="919"/>
      <c r="AG107" s="917">
        <f t="shared" si="18"/>
        <v>0</v>
      </c>
      <c r="AH107" s="918">
        <f t="shared" si="19"/>
        <v>0</v>
      </c>
      <c r="AI107" s="919"/>
      <c r="AJ107" s="917">
        <f t="shared" si="20"/>
        <v>0</v>
      </c>
      <c r="AK107" s="918">
        <f t="shared" si="21"/>
        <v>0</v>
      </c>
      <c r="AL107" s="919"/>
      <c r="AM107" s="917">
        <f t="shared" si="22"/>
        <v>0</v>
      </c>
      <c r="AN107" s="920">
        <v>19242</v>
      </c>
      <c r="AO107" s="917">
        <f t="shared" si="23"/>
        <v>10794.6</v>
      </c>
      <c r="AP107" s="920"/>
      <c r="AQ107" s="916">
        <f t="shared" si="24"/>
        <v>0</v>
      </c>
      <c r="AR107" s="917">
        <f t="shared" si="25"/>
        <v>19242</v>
      </c>
      <c r="AS107" s="916">
        <v>12</v>
      </c>
      <c r="AT107" s="921">
        <f t="shared" si="26"/>
        <v>230904</v>
      </c>
      <c r="AU107" s="920"/>
      <c r="AV107" s="922">
        <f t="shared" si="27"/>
        <v>2309.04</v>
      </c>
      <c r="AW107" s="921">
        <f t="shared" si="28"/>
        <v>233213.04</v>
      </c>
      <c r="AX107" s="921">
        <f t="shared" si="29"/>
        <v>70430.34</v>
      </c>
      <c r="AY107" s="921">
        <f t="shared" si="30"/>
        <v>303643.38</v>
      </c>
      <c r="AZ107" s="923">
        <f t="shared" si="31"/>
        <v>233.2</v>
      </c>
      <c r="BA107" s="923">
        <f t="shared" si="32"/>
        <v>70.400000000000006</v>
      </c>
      <c r="BB107" s="923">
        <f t="shared" si="33"/>
        <v>303.60000000000002</v>
      </c>
      <c r="BC107" s="915">
        <v>0.95</v>
      </c>
      <c r="BD107" s="923">
        <f t="shared" si="34"/>
        <v>221.5</v>
      </c>
      <c r="BE107" s="923">
        <f t="shared" si="35"/>
        <v>66.900000000000006</v>
      </c>
      <c r="BF107" s="923">
        <f t="shared" si="36"/>
        <v>288.39999999999998</v>
      </c>
      <c r="BG107" s="924">
        <f>'[3]свод (2024)'!$B$116</f>
        <v>0.99758349999999996</v>
      </c>
      <c r="BH107" s="923">
        <f t="shared" si="37"/>
        <v>221</v>
      </c>
      <c r="BI107" s="923">
        <f t="shared" si="38"/>
        <v>66.7</v>
      </c>
      <c r="BJ107" s="923">
        <f t="shared" si="39"/>
        <v>287.7</v>
      </c>
      <c r="BK107" s="925">
        <f t="shared" si="40"/>
        <v>-12.2</v>
      </c>
      <c r="BL107" s="925">
        <f t="shared" si="40"/>
        <v>-3.7</v>
      </c>
      <c r="BM107" s="925">
        <f t="shared" si="41"/>
        <v>-15.9</v>
      </c>
      <c r="BN107" s="925">
        <f t="shared" si="42"/>
        <v>0</v>
      </c>
      <c r="BO107" s="925">
        <f t="shared" si="43"/>
        <v>0</v>
      </c>
      <c r="BP107" s="926"/>
      <c r="BQ107" s="925">
        <f t="shared" si="44"/>
        <v>221</v>
      </c>
      <c r="BR107" s="925">
        <f t="shared" si="44"/>
        <v>66.7</v>
      </c>
      <c r="BS107" s="925">
        <f t="shared" si="45"/>
        <v>287.7</v>
      </c>
      <c r="BU107" s="928"/>
      <c r="BV107" s="917"/>
      <c r="BW107" s="928"/>
      <c r="BX107" s="928"/>
      <c r="BY107" s="928"/>
      <c r="BZ107" s="917"/>
      <c r="CA107" s="928"/>
      <c r="CB107" s="917"/>
      <c r="CC107" s="928"/>
      <c r="CD107" s="928"/>
      <c r="CE107" s="928"/>
      <c r="CF107" s="929"/>
      <c r="CG107" s="928"/>
      <c r="CH107" s="928"/>
      <c r="CI107" s="928"/>
      <c r="CJ107" s="925"/>
      <c r="CK107" s="925"/>
      <c r="CL107" s="925"/>
      <c r="CM107" s="925"/>
      <c r="CN107" s="925"/>
      <c r="CO107" s="925"/>
      <c r="CP107" s="925"/>
      <c r="CQ107" s="925"/>
      <c r="CR107" s="925"/>
      <c r="CS107" s="917"/>
      <c r="CT107" s="928"/>
      <c r="CU107" s="928"/>
      <c r="CV107" s="928"/>
      <c r="CX107" s="925"/>
      <c r="CY107" s="925"/>
      <c r="CZ107" s="925"/>
      <c r="DB107" s="925"/>
      <c r="DC107" s="925"/>
      <c r="DD107" s="925"/>
      <c r="DE107" s="925"/>
      <c r="DF107" s="925"/>
      <c r="DG107" s="925"/>
      <c r="DH107" s="925"/>
      <c r="DI107" s="925"/>
      <c r="DJ107" s="925"/>
      <c r="DK107" s="925"/>
      <c r="DL107" s="925"/>
      <c r="DM107" s="925"/>
      <c r="DN107" s="925"/>
      <c r="DO107" s="925"/>
      <c r="DP107" s="925"/>
      <c r="DQ107" s="924"/>
      <c r="DR107" s="925"/>
      <c r="DS107" s="925"/>
      <c r="DT107" s="925"/>
      <c r="DV107" s="925"/>
      <c r="DW107" s="925"/>
      <c r="DX107" s="925"/>
      <c r="DY107" s="925"/>
      <c r="DZ107" s="925"/>
      <c r="EA107" s="925"/>
      <c r="EB107" s="925"/>
      <c r="EC107" s="925"/>
      <c r="ED107" s="925"/>
      <c r="EE107" s="925"/>
      <c r="EF107" s="925"/>
      <c r="EG107" s="925"/>
      <c r="EH107" s="925"/>
      <c r="EI107" s="925"/>
      <c r="EJ107" s="925"/>
      <c r="EK107" s="925"/>
      <c r="EL107" s="925"/>
      <c r="EM107" s="925"/>
      <c r="EN107" s="925"/>
      <c r="EO107" s="925"/>
      <c r="EP107" s="925"/>
      <c r="EQ107" s="925"/>
      <c r="ER107" s="925"/>
      <c r="ES107" s="925"/>
      <c r="ET107" s="925"/>
      <c r="EV107" s="924"/>
      <c r="EW107" s="925"/>
      <c r="EX107" s="925"/>
      <c r="EY107" s="925"/>
    </row>
    <row r="108" spans="1:155" s="927" customFormat="1" ht="24" x14ac:dyDescent="0.25">
      <c r="A108" s="912" t="s">
        <v>61</v>
      </c>
      <c r="B108" s="913" t="s">
        <v>1395</v>
      </c>
      <c r="C108" s="914">
        <v>1</v>
      </c>
      <c r="D108" s="914">
        <v>22544</v>
      </c>
      <c r="E108" s="915">
        <v>1.0549999999999999</v>
      </c>
      <c r="F108" s="916">
        <f t="shared" si="0"/>
        <v>23784</v>
      </c>
      <c r="G108" s="915">
        <v>1.01</v>
      </c>
      <c r="H108" s="916">
        <f t="shared" si="1"/>
        <v>24022</v>
      </c>
      <c r="I108" s="917">
        <f t="shared" si="2"/>
        <v>24022</v>
      </c>
      <c r="J108" s="918">
        <f t="shared" si="3"/>
        <v>0</v>
      </c>
      <c r="K108" s="919"/>
      <c r="L108" s="917">
        <f t="shared" si="4"/>
        <v>0</v>
      </c>
      <c r="M108" s="918">
        <f t="shared" si="5"/>
        <v>0.04</v>
      </c>
      <c r="N108" s="919">
        <v>901.76</v>
      </c>
      <c r="O108" s="917">
        <f t="shared" si="6"/>
        <v>960.88</v>
      </c>
      <c r="P108" s="918">
        <f t="shared" si="7"/>
        <v>0</v>
      </c>
      <c r="Q108" s="919"/>
      <c r="R108" s="917">
        <f t="shared" si="8"/>
        <v>0</v>
      </c>
      <c r="S108" s="918">
        <f t="shared" si="9"/>
        <v>0</v>
      </c>
      <c r="T108" s="919"/>
      <c r="U108" s="917">
        <f t="shared" si="10"/>
        <v>0</v>
      </c>
      <c r="V108" s="918">
        <f t="shared" si="11"/>
        <v>0</v>
      </c>
      <c r="W108" s="919"/>
      <c r="X108" s="917">
        <f t="shared" si="12"/>
        <v>0</v>
      </c>
      <c r="Y108" s="918">
        <f t="shared" si="13"/>
        <v>0.34</v>
      </c>
      <c r="Z108" s="919">
        <v>7664.96</v>
      </c>
      <c r="AA108" s="917">
        <f t="shared" si="14"/>
        <v>8167.48</v>
      </c>
      <c r="AB108" s="918">
        <f t="shared" si="15"/>
        <v>0.15</v>
      </c>
      <c r="AC108" s="919">
        <v>3381.6</v>
      </c>
      <c r="AD108" s="917">
        <f t="shared" si="16"/>
        <v>3603.3</v>
      </c>
      <c r="AE108" s="918">
        <f t="shared" si="17"/>
        <v>0</v>
      </c>
      <c r="AF108" s="919"/>
      <c r="AG108" s="917">
        <f t="shared" si="18"/>
        <v>0</v>
      </c>
      <c r="AH108" s="918">
        <f t="shared" si="19"/>
        <v>0</v>
      </c>
      <c r="AI108" s="919"/>
      <c r="AJ108" s="917">
        <f t="shared" si="20"/>
        <v>0</v>
      </c>
      <c r="AK108" s="918">
        <f t="shared" si="21"/>
        <v>0</v>
      </c>
      <c r="AL108" s="919"/>
      <c r="AM108" s="917">
        <f t="shared" si="22"/>
        <v>0</v>
      </c>
      <c r="AN108" s="920">
        <v>19242</v>
      </c>
      <c r="AO108" s="917">
        <f t="shared" si="23"/>
        <v>0</v>
      </c>
      <c r="AP108" s="920"/>
      <c r="AQ108" s="916">
        <f t="shared" si="24"/>
        <v>0</v>
      </c>
      <c r="AR108" s="917">
        <f t="shared" si="25"/>
        <v>36753.660000000003</v>
      </c>
      <c r="AS108" s="916">
        <v>12</v>
      </c>
      <c r="AT108" s="921">
        <f t="shared" si="26"/>
        <v>441043.92</v>
      </c>
      <c r="AU108" s="920"/>
      <c r="AV108" s="922">
        <f t="shared" si="27"/>
        <v>4410.4399999999996</v>
      </c>
      <c r="AW108" s="921">
        <f t="shared" si="28"/>
        <v>445454.36</v>
      </c>
      <c r="AX108" s="921">
        <f t="shared" si="29"/>
        <v>134527.22</v>
      </c>
      <c r="AY108" s="921">
        <f t="shared" si="30"/>
        <v>579981.57999999996</v>
      </c>
      <c r="AZ108" s="923">
        <f t="shared" si="31"/>
        <v>445.5</v>
      </c>
      <c r="BA108" s="923">
        <f t="shared" si="32"/>
        <v>134.5</v>
      </c>
      <c r="BB108" s="923">
        <f t="shared" si="33"/>
        <v>580</v>
      </c>
      <c r="BC108" s="915">
        <v>0.95</v>
      </c>
      <c r="BD108" s="923">
        <f t="shared" si="34"/>
        <v>423.2</v>
      </c>
      <c r="BE108" s="923">
        <f t="shared" si="35"/>
        <v>127.8</v>
      </c>
      <c r="BF108" s="923">
        <f t="shared" si="36"/>
        <v>551</v>
      </c>
      <c r="BG108" s="924">
        <f>'[3]свод (2024)'!$B$116</f>
        <v>0.99758349999999996</v>
      </c>
      <c r="BH108" s="923">
        <f t="shared" si="37"/>
        <v>422.2</v>
      </c>
      <c r="BI108" s="923">
        <f t="shared" si="38"/>
        <v>127.5</v>
      </c>
      <c r="BJ108" s="923">
        <f t="shared" si="39"/>
        <v>549.70000000000005</v>
      </c>
      <c r="BK108" s="925">
        <f t="shared" si="40"/>
        <v>-23.3</v>
      </c>
      <c r="BL108" s="925">
        <f t="shared" si="40"/>
        <v>-7</v>
      </c>
      <c r="BM108" s="925">
        <f t="shared" si="41"/>
        <v>-30.3</v>
      </c>
      <c r="BN108" s="925">
        <f t="shared" si="42"/>
        <v>0</v>
      </c>
      <c r="BO108" s="925">
        <f t="shared" si="43"/>
        <v>0</v>
      </c>
      <c r="BP108" s="926"/>
      <c r="BQ108" s="925">
        <f t="shared" si="44"/>
        <v>422.2</v>
      </c>
      <c r="BR108" s="925">
        <f t="shared" si="44"/>
        <v>127.5</v>
      </c>
      <c r="BS108" s="925">
        <f t="shared" si="45"/>
        <v>549.70000000000005</v>
      </c>
      <c r="BU108" s="928"/>
      <c r="BV108" s="917"/>
      <c r="BW108" s="928"/>
      <c r="BX108" s="928"/>
      <c r="BY108" s="928"/>
      <c r="BZ108" s="917"/>
      <c r="CA108" s="928"/>
      <c r="CB108" s="917"/>
      <c r="CC108" s="928"/>
      <c r="CD108" s="928"/>
      <c r="CE108" s="928"/>
      <c r="CF108" s="929"/>
      <c r="CG108" s="928"/>
      <c r="CH108" s="928"/>
      <c r="CI108" s="928"/>
      <c r="CJ108" s="925"/>
      <c r="CK108" s="925"/>
      <c r="CL108" s="925"/>
      <c r="CM108" s="925"/>
      <c r="CN108" s="925"/>
      <c r="CO108" s="925"/>
      <c r="CP108" s="925"/>
      <c r="CQ108" s="925"/>
      <c r="CR108" s="925"/>
      <c r="CS108" s="917"/>
      <c r="CT108" s="928"/>
      <c r="CU108" s="928"/>
      <c r="CV108" s="928"/>
      <c r="CX108" s="925"/>
      <c r="CY108" s="925"/>
      <c r="CZ108" s="925"/>
      <c r="DB108" s="925"/>
      <c r="DC108" s="925"/>
      <c r="DD108" s="925"/>
      <c r="DE108" s="925"/>
      <c r="DF108" s="925"/>
      <c r="DG108" s="925"/>
      <c r="DH108" s="925"/>
      <c r="DI108" s="925"/>
      <c r="DJ108" s="925"/>
      <c r="DK108" s="925"/>
      <c r="DL108" s="925"/>
      <c r="DM108" s="925"/>
      <c r="DN108" s="925"/>
      <c r="DO108" s="925"/>
      <c r="DP108" s="925"/>
      <c r="DQ108" s="924"/>
      <c r="DR108" s="925"/>
      <c r="DS108" s="925"/>
      <c r="DT108" s="925"/>
      <c r="DV108" s="925"/>
      <c r="DW108" s="925"/>
      <c r="DX108" s="925"/>
      <c r="DY108" s="925"/>
      <c r="DZ108" s="925"/>
      <c r="EA108" s="925"/>
      <c r="EB108" s="925"/>
      <c r="EC108" s="925"/>
      <c r="ED108" s="925"/>
      <c r="EE108" s="925"/>
      <c r="EF108" s="925"/>
      <c r="EG108" s="925"/>
      <c r="EH108" s="925"/>
      <c r="EI108" s="925"/>
      <c r="EJ108" s="925"/>
      <c r="EK108" s="925"/>
      <c r="EL108" s="925"/>
      <c r="EM108" s="925"/>
      <c r="EN108" s="925"/>
      <c r="EO108" s="925"/>
      <c r="EP108" s="925"/>
      <c r="EQ108" s="925"/>
      <c r="ER108" s="925"/>
      <c r="ES108" s="925"/>
      <c r="ET108" s="925"/>
      <c r="EV108" s="924"/>
      <c r="EW108" s="925"/>
      <c r="EX108" s="925"/>
      <c r="EY108" s="925"/>
    </row>
    <row r="109" spans="1:155" s="927" customFormat="1" ht="24" x14ac:dyDescent="0.25">
      <c r="A109" s="912" t="s">
        <v>61</v>
      </c>
      <c r="B109" s="913" t="s">
        <v>1384</v>
      </c>
      <c r="C109" s="914">
        <v>1</v>
      </c>
      <c r="D109" s="914">
        <v>22544</v>
      </c>
      <c r="E109" s="915">
        <v>1.0549999999999999</v>
      </c>
      <c r="F109" s="916">
        <f t="shared" si="0"/>
        <v>23784</v>
      </c>
      <c r="G109" s="915">
        <v>1.01</v>
      </c>
      <c r="H109" s="916">
        <f t="shared" si="1"/>
        <v>24022</v>
      </c>
      <c r="I109" s="917">
        <f t="shared" si="2"/>
        <v>24022</v>
      </c>
      <c r="J109" s="918">
        <f t="shared" si="3"/>
        <v>0</v>
      </c>
      <c r="K109" s="919"/>
      <c r="L109" s="917">
        <f t="shared" si="4"/>
        <v>0</v>
      </c>
      <c r="M109" s="918">
        <f t="shared" si="5"/>
        <v>0</v>
      </c>
      <c r="N109" s="919"/>
      <c r="O109" s="917">
        <f t="shared" si="6"/>
        <v>0</v>
      </c>
      <c r="P109" s="918">
        <f t="shared" si="7"/>
        <v>0.1</v>
      </c>
      <c r="Q109" s="988">
        <f>D109*C109/C109*0.1</f>
        <v>2254.4</v>
      </c>
      <c r="R109" s="917">
        <f t="shared" si="8"/>
        <v>2402.1999999999998</v>
      </c>
      <c r="S109" s="918">
        <f t="shared" si="9"/>
        <v>0</v>
      </c>
      <c r="T109" s="919"/>
      <c r="U109" s="917">
        <f t="shared" si="10"/>
        <v>0</v>
      </c>
      <c r="V109" s="918">
        <f t="shared" si="11"/>
        <v>0</v>
      </c>
      <c r="W109" s="919"/>
      <c r="X109" s="917">
        <f t="shared" si="12"/>
        <v>0</v>
      </c>
      <c r="Y109" s="918">
        <f t="shared" si="13"/>
        <v>0.34</v>
      </c>
      <c r="Z109" s="919">
        <v>7664.96</v>
      </c>
      <c r="AA109" s="917">
        <f t="shared" si="14"/>
        <v>8167.48</v>
      </c>
      <c r="AB109" s="918">
        <f t="shared" si="15"/>
        <v>0.2</v>
      </c>
      <c r="AC109" s="919">
        <v>4508.8</v>
      </c>
      <c r="AD109" s="917">
        <f t="shared" si="16"/>
        <v>4804.3999999999996</v>
      </c>
      <c r="AE109" s="918">
        <f t="shared" si="17"/>
        <v>0</v>
      </c>
      <c r="AF109" s="919"/>
      <c r="AG109" s="917">
        <f t="shared" si="18"/>
        <v>0</v>
      </c>
      <c r="AH109" s="918">
        <f t="shared" si="19"/>
        <v>0</v>
      </c>
      <c r="AI109" s="919"/>
      <c r="AJ109" s="917">
        <f t="shared" si="20"/>
        <v>0</v>
      </c>
      <c r="AK109" s="918">
        <f t="shared" si="21"/>
        <v>0</v>
      </c>
      <c r="AL109" s="919"/>
      <c r="AM109" s="917">
        <f t="shared" si="22"/>
        <v>0</v>
      </c>
      <c r="AN109" s="920">
        <v>19242</v>
      </c>
      <c r="AO109" s="917">
        <f t="shared" si="23"/>
        <v>0</v>
      </c>
      <c r="AP109" s="920"/>
      <c r="AQ109" s="916">
        <f t="shared" si="24"/>
        <v>0</v>
      </c>
      <c r="AR109" s="917">
        <f t="shared" si="25"/>
        <v>39396.080000000002</v>
      </c>
      <c r="AS109" s="916">
        <v>12</v>
      </c>
      <c r="AT109" s="921">
        <f t="shared" si="26"/>
        <v>472752.96</v>
      </c>
      <c r="AU109" s="920"/>
      <c r="AV109" s="922">
        <f t="shared" si="27"/>
        <v>4727.53</v>
      </c>
      <c r="AW109" s="921">
        <f t="shared" si="28"/>
        <v>477480.49</v>
      </c>
      <c r="AX109" s="921">
        <f t="shared" si="29"/>
        <v>144199.10999999999</v>
      </c>
      <c r="AY109" s="921">
        <f t="shared" si="30"/>
        <v>621679.6</v>
      </c>
      <c r="AZ109" s="923">
        <f t="shared" si="31"/>
        <v>477.5</v>
      </c>
      <c r="BA109" s="923">
        <f t="shared" si="32"/>
        <v>144.19999999999999</v>
      </c>
      <c r="BB109" s="923">
        <f t="shared" si="33"/>
        <v>621.70000000000005</v>
      </c>
      <c r="BC109" s="915">
        <v>0.95</v>
      </c>
      <c r="BD109" s="923">
        <f t="shared" si="34"/>
        <v>453.6</v>
      </c>
      <c r="BE109" s="923">
        <f t="shared" si="35"/>
        <v>137</v>
      </c>
      <c r="BF109" s="923">
        <f t="shared" si="36"/>
        <v>590.6</v>
      </c>
      <c r="BG109" s="924">
        <f>'[3]свод (2024)'!$B$116</f>
        <v>0.99758349999999996</v>
      </c>
      <c r="BH109" s="923">
        <f t="shared" si="37"/>
        <v>452.5</v>
      </c>
      <c r="BI109" s="923">
        <f t="shared" si="38"/>
        <v>136.69999999999999</v>
      </c>
      <c r="BJ109" s="923">
        <f t="shared" si="39"/>
        <v>589.20000000000005</v>
      </c>
      <c r="BK109" s="925">
        <f t="shared" si="40"/>
        <v>-25</v>
      </c>
      <c r="BL109" s="925">
        <f t="shared" si="40"/>
        <v>-7.5</v>
      </c>
      <c r="BM109" s="925">
        <f t="shared" si="41"/>
        <v>-32.5</v>
      </c>
      <c r="BN109" s="925">
        <f t="shared" si="42"/>
        <v>0</v>
      </c>
      <c r="BO109" s="925">
        <f t="shared" si="43"/>
        <v>0</v>
      </c>
      <c r="BP109" s="926"/>
      <c r="BQ109" s="925">
        <f t="shared" si="44"/>
        <v>452.5</v>
      </c>
      <c r="BR109" s="925">
        <f t="shared" si="44"/>
        <v>136.69999999999999</v>
      </c>
      <c r="BS109" s="925">
        <f t="shared" si="45"/>
        <v>589.20000000000005</v>
      </c>
      <c r="BU109" s="928"/>
      <c r="BV109" s="917"/>
      <c r="BW109" s="928"/>
      <c r="BX109" s="928"/>
      <c r="BY109" s="928"/>
      <c r="BZ109" s="917"/>
      <c r="CA109" s="928"/>
      <c r="CB109" s="917"/>
      <c r="CC109" s="928"/>
      <c r="CD109" s="928"/>
      <c r="CE109" s="928"/>
      <c r="CF109" s="929"/>
      <c r="CG109" s="928"/>
      <c r="CH109" s="928"/>
      <c r="CI109" s="928"/>
      <c r="CJ109" s="925"/>
      <c r="CK109" s="925"/>
      <c r="CL109" s="925"/>
      <c r="CM109" s="925"/>
      <c r="CN109" s="925"/>
      <c r="CO109" s="925"/>
      <c r="CP109" s="925"/>
      <c r="CQ109" s="925"/>
      <c r="CR109" s="925"/>
      <c r="CS109" s="917"/>
      <c r="CT109" s="928"/>
      <c r="CU109" s="928"/>
      <c r="CV109" s="928"/>
      <c r="CX109" s="925"/>
      <c r="CY109" s="925"/>
      <c r="CZ109" s="925"/>
      <c r="DB109" s="925"/>
      <c r="DC109" s="925"/>
      <c r="DD109" s="925"/>
      <c r="DE109" s="925"/>
      <c r="DF109" s="925"/>
      <c r="DG109" s="925"/>
      <c r="DH109" s="925"/>
      <c r="DI109" s="925"/>
      <c r="DJ109" s="925"/>
      <c r="DK109" s="925"/>
      <c r="DL109" s="925"/>
      <c r="DM109" s="925"/>
      <c r="DN109" s="925"/>
      <c r="DO109" s="925"/>
      <c r="DP109" s="925"/>
      <c r="DQ109" s="924"/>
      <c r="DR109" s="925"/>
      <c r="DS109" s="925"/>
      <c r="DT109" s="925"/>
      <c r="DV109" s="925"/>
      <c r="DW109" s="925"/>
      <c r="DX109" s="925"/>
      <c r="DY109" s="925"/>
      <c r="DZ109" s="925"/>
      <c r="EA109" s="925"/>
      <c r="EB109" s="925"/>
      <c r="EC109" s="925"/>
      <c r="ED109" s="925"/>
      <c r="EE109" s="925"/>
      <c r="EF109" s="925"/>
      <c r="EG109" s="925"/>
      <c r="EH109" s="925"/>
      <c r="EI109" s="925"/>
      <c r="EJ109" s="925"/>
      <c r="EK109" s="925"/>
      <c r="EL109" s="925"/>
      <c r="EM109" s="925"/>
      <c r="EN109" s="925"/>
      <c r="EO109" s="925"/>
      <c r="EP109" s="925"/>
      <c r="EQ109" s="925"/>
      <c r="ER109" s="925"/>
      <c r="ES109" s="925"/>
      <c r="ET109" s="925"/>
      <c r="EV109" s="924"/>
      <c r="EW109" s="925"/>
      <c r="EX109" s="925"/>
      <c r="EY109" s="925"/>
    </row>
    <row r="110" spans="1:155" s="927" customFormat="1" ht="24" x14ac:dyDescent="0.25">
      <c r="A110" s="912" t="s">
        <v>61</v>
      </c>
      <c r="B110" s="913" t="s">
        <v>30</v>
      </c>
      <c r="C110" s="914">
        <v>1</v>
      </c>
      <c r="D110" s="914">
        <v>22544</v>
      </c>
      <c r="E110" s="915">
        <v>1.0549999999999999</v>
      </c>
      <c r="F110" s="916">
        <f t="shared" si="0"/>
        <v>23784</v>
      </c>
      <c r="G110" s="915">
        <v>1.01</v>
      </c>
      <c r="H110" s="916">
        <f t="shared" si="1"/>
        <v>24022</v>
      </c>
      <c r="I110" s="917">
        <f t="shared" si="2"/>
        <v>24022</v>
      </c>
      <c r="J110" s="918">
        <f t="shared" si="3"/>
        <v>0</v>
      </c>
      <c r="K110" s="919"/>
      <c r="L110" s="917">
        <f t="shared" si="4"/>
        <v>0</v>
      </c>
      <c r="M110" s="918">
        <f t="shared" si="5"/>
        <v>0.04</v>
      </c>
      <c r="N110" s="919">
        <v>901.76</v>
      </c>
      <c r="O110" s="917">
        <f t="shared" si="6"/>
        <v>960.88</v>
      </c>
      <c r="P110" s="918">
        <f t="shared" si="7"/>
        <v>0.1</v>
      </c>
      <c r="Q110" s="988">
        <f>D110*C110/C110*0.1</f>
        <v>2254.4</v>
      </c>
      <c r="R110" s="917">
        <f t="shared" si="8"/>
        <v>2402.1999999999998</v>
      </c>
      <c r="S110" s="918">
        <f t="shared" si="9"/>
        <v>0</v>
      </c>
      <c r="T110" s="919"/>
      <c r="U110" s="917">
        <f t="shared" si="10"/>
        <v>0</v>
      </c>
      <c r="V110" s="918">
        <f t="shared" si="11"/>
        <v>0</v>
      </c>
      <c r="W110" s="919"/>
      <c r="X110" s="917">
        <f t="shared" si="12"/>
        <v>0</v>
      </c>
      <c r="Y110" s="918">
        <f t="shared" si="13"/>
        <v>0.34</v>
      </c>
      <c r="Z110" s="919">
        <v>7664.96</v>
      </c>
      <c r="AA110" s="917">
        <f t="shared" si="14"/>
        <v>8167.48</v>
      </c>
      <c r="AB110" s="918">
        <f t="shared" si="15"/>
        <v>0.2</v>
      </c>
      <c r="AC110" s="919">
        <v>4508.8</v>
      </c>
      <c r="AD110" s="917">
        <f t="shared" si="16"/>
        <v>4804.3999999999996</v>
      </c>
      <c r="AE110" s="918">
        <f t="shared" si="17"/>
        <v>0.1</v>
      </c>
      <c r="AF110" s="919">
        <v>2254.4</v>
      </c>
      <c r="AG110" s="917">
        <f t="shared" si="18"/>
        <v>2402.1999999999998</v>
      </c>
      <c r="AH110" s="918">
        <f t="shared" si="19"/>
        <v>0</v>
      </c>
      <c r="AI110" s="919"/>
      <c r="AJ110" s="917">
        <f t="shared" si="20"/>
        <v>0</v>
      </c>
      <c r="AK110" s="918">
        <f t="shared" si="21"/>
        <v>0</v>
      </c>
      <c r="AL110" s="919"/>
      <c r="AM110" s="917">
        <f t="shared" si="22"/>
        <v>0</v>
      </c>
      <c r="AN110" s="920">
        <v>19242</v>
      </c>
      <c r="AO110" s="917">
        <f t="shared" si="23"/>
        <v>0</v>
      </c>
      <c r="AP110" s="920"/>
      <c r="AQ110" s="916">
        <f t="shared" si="24"/>
        <v>0</v>
      </c>
      <c r="AR110" s="917">
        <f t="shared" si="25"/>
        <v>42759.16</v>
      </c>
      <c r="AS110" s="916">
        <v>12</v>
      </c>
      <c r="AT110" s="921">
        <f t="shared" si="26"/>
        <v>513109.92</v>
      </c>
      <c r="AU110" s="920"/>
      <c r="AV110" s="922">
        <f t="shared" si="27"/>
        <v>5131.1000000000004</v>
      </c>
      <c r="AW110" s="921">
        <f t="shared" si="28"/>
        <v>518241.02</v>
      </c>
      <c r="AX110" s="921">
        <f t="shared" si="29"/>
        <v>156508.79</v>
      </c>
      <c r="AY110" s="921">
        <f t="shared" si="30"/>
        <v>674749.81</v>
      </c>
      <c r="AZ110" s="923">
        <f t="shared" si="31"/>
        <v>518.20000000000005</v>
      </c>
      <c r="BA110" s="923">
        <f t="shared" si="32"/>
        <v>156.5</v>
      </c>
      <c r="BB110" s="923">
        <f t="shared" si="33"/>
        <v>674.7</v>
      </c>
      <c r="BC110" s="915">
        <v>0.95</v>
      </c>
      <c r="BD110" s="923">
        <f t="shared" si="34"/>
        <v>492.3</v>
      </c>
      <c r="BE110" s="923">
        <f t="shared" si="35"/>
        <v>148.69999999999999</v>
      </c>
      <c r="BF110" s="923">
        <f t="shared" si="36"/>
        <v>641</v>
      </c>
      <c r="BG110" s="924">
        <f>'[3]свод (2024)'!$B$116</f>
        <v>0.99758349999999996</v>
      </c>
      <c r="BH110" s="923">
        <f t="shared" si="37"/>
        <v>491.1</v>
      </c>
      <c r="BI110" s="923">
        <f t="shared" si="38"/>
        <v>148.30000000000001</v>
      </c>
      <c r="BJ110" s="923">
        <f t="shared" si="39"/>
        <v>639.4</v>
      </c>
      <c r="BK110" s="925">
        <f t="shared" si="40"/>
        <v>-27.1</v>
      </c>
      <c r="BL110" s="925">
        <f t="shared" si="40"/>
        <v>-8.1999999999999993</v>
      </c>
      <c r="BM110" s="925">
        <f t="shared" si="41"/>
        <v>-35.299999999999997</v>
      </c>
      <c r="BN110" s="925">
        <f t="shared" si="42"/>
        <v>0</v>
      </c>
      <c r="BO110" s="925">
        <f t="shared" si="43"/>
        <v>0</v>
      </c>
      <c r="BP110" s="926"/>
      <c r="BQ110" s="925">
        <f t="shared" si="44"/>
        <v>491.1</v>
      </c>
      <c r="BR110" s="925">
        <f t="shared" si="44"/>
        <v>148.30000000000001</v>
      </c>
      <c r="BS110" s="925">
        <f t="shared" si="45"/>
        <v>639.4</v>
      </c>
      <c r="BU110" s="928"/>
      <c r="BV110" s="917"/>
      <c r="BW110" s="928"/>
      <c r="BX110" s="928"/>
      <c r="BY110" s="928"/>
      <c r="BZ110" s="917"/>
      <c r="CA110" s="928"/>
      <c r="CB110" s="917"/>
      <c r="CC110" s="928"/>
      <c r="CD110" s="928"/>
      <c r="CE110" s="928"/>
      <c r="CF110" s="929"/>
      <c r="CG110" s="928"/>
      <c r="CH110" s="928"/>
      <c r="CI110" s="928"/>
      <c r="CJ110" s="925"/>
      <c r="CK110" s="925"/>
      <c r="CL110" s="925"/>
      <c r="CM110" s="925"/>
      <c r="CN110" s="925"/>
      <c r="CO110" s="925"/>
      <c r="CP110" s="925"/>
      <c r="CQ110" s="925"/>
      <c r="CR110" s="925"/>
      <c r="CS110" s="917"/>
      <c r="CT110" s="928"/>
      <c r="CU110" s="928"/>
      <c r="CV110" s="928"/>
      <c r="CX110" s="925"/>
      <c r="CY110" s="925"/>
      <c r="CZ110" s="925"/>
      <c r="DB110" s="925"/>
      <c r="DC110" s="925"/>
      <c r="DD110" s="925"/>
      <c r="DE110" s="925"/>
      <c r="DF110" s="925"/>
      <c r="DG110" s="925"/>
      <c r="DH110" s="925"/>
      <c r="DI110" s="925"/>
      <c r="DJ110" s="925"/>
      <c r="DK110" s="925"/>
      <c r="DL110" s="925"/>
      <c r="DM110" s="925"/>
      <c r="DN110" s="925"/>
      <c r="DO110" s="925"/>
      <c r="DP110" s="925"/>
      <c r="DQ110" s="924"/>
      <c r="DR110" s="925"/>
      <c r="DS110" s="925"/>
      <c r="DT110" s="925"/>
      <c r="DV110" s="925"/>
      <c r="DW110" s="925"/>
      <c r="DX110" s="925"/>
      <c r="DY110" s="925"/>
      <c r="DZ110" s="925"/>
      <c r="EA110" s="925"/>
      <c r="EB110" s="925"/>
      <c r="EC110" s="925"/>
      <c r="ED110" s="925"/>
      <c r="EE110" s="925"/>
      <c r="EF110" s="925"/>
      <c r="EG110" s="925"/>
      <c r="EH110" s="925"/>
      <c r="EI110" s="925"/>
      <c r="EJ110" s="925"/>
      <c r="EK110" s="925"/>
      <c r="EL110" s="925"/>
      <c r="EM110" s="925"/>
      <c r="EN110" s="925"/>
      <c r="EO110" s="925"/>
      <c r="EP110" s="925"/>
      <c r="EQ110" s="925"/>
      <c r="ER110" s="925"/>
      <c r="ES110" s="925"/>
      <c r="ET110" s="925"/>
      <c r="EV110" s="924"/>
      <c r="EW110" s="925"/>
      <c r="EX110" s="925"/>
      <c r="EY110" s="925"/>
    </row>
    <row r="111" spans="1:155" s="927" customFormat="1" ht="15.75" x14ac:dyDescent="0.25">
      <c r="A111" s="912" t="s">
        <v>61</v>
      </c>
      <c r="B111" s="913" t="s">
        <v>1396</v>
      </c>
      <c r="C111" s="914">
        <v>0.5</v>
      </c>
      <c r="D111" s="914">
        <v>7755</v>
      </c>
      <c r="E111" s="915">
        <v>1.0549999999999999</v>
      </c>
      <c r="F111" s="916">
        <f t="shared" si="0"/>
        <v>8182</v>
      </c>
      <c r="G111" s="915">
        <v>1.01</v>
      </c>
      <c r="H111" s="916">
        <f t="shared" si="1"/>
        <v>8264</v>
      </c>
      <c r="I111" s="917">
        <f t="shared" si="2"/>
        <v>4132</v>
      </c>
      <c r="J111" s="918">
        <f t="shared" si="3"/>
        <v>0</v>
      </c>
      <c r="K111" s="919"/>
      <c r="L111" s="917">
        <f t="shared" si="4"/>
        <v>0</v>
      </c>
      <c r="M111" s="918">
        <f t="shared" si="5"/>
        <v>0</v>
      </c>
      <c r="N111" s="919"/>
      <c r="O111" s="917">
        <f t="shared" si="6"/>
        <v>0</v>
      </c>
      <c r="P111" s="918">
        <f t="shared" si="7"/>
        <v>0</v>
      </c>
      <c r="Q111" s="919"/>
      <c r="R111" s="917">
        <f t="shared" si="8"/>
        <v>0</v>
      </c>
      <c r="S111" s="918">
        <f t="shared" si="9"/>
        <v>0</v>
      </c>
      <c r="T111" s="919"/>
      <c r="U111" s="917">
        <f t="shared" si="10"/>
        <v>0</v>
      </c>
      <c r="V111" s="918">
        <f t="shared" si="11"/>
        <v>0</v>
      </c>
      <c r="W111" s="919"/>
      <c r="X111" s="917">
        <f t="shared" si="12"/>
        <v>0</v>
      </c>
      <c r="Y111" s="918">
        <f t="shared" si="13"/>
        <v>1.99</v>
      </c>
      <c r="Z111" s="919">
        <v>7716.23</v>
      </c>
      <c r="AA111" s="917">
        <f t="shared" si="14"/>
        <v>8222.68</v>
      </c>
      <c r="AB111" s="918">
        <f t="shared" si="15"/>
        <v>0.2</v>
      </c>
      <c r="AC111" s="919">
        <v>775.5</v>
      </c>
      <c r="AD111" s="917">
        <f t="shared" si="16"/>
        <v>826.4</v>
      </c>
      <c r="AE111" s="918">
        <f t="shared" si="17"/>
        <v>0</v>
      </c>
      <c r="AF111" s="919"/>
      <c r="AG111" s="917">
        <f t="shared" si="18"/>
        <v>0</v>
      </c>
      <c r="AH111" s="918">
        <f t="shared" si="19"/>
        <v>0</v>
      </c>
      <c r="AI111" s="919"/>
      <c r="AJ111" s="917">
        <f t="shared" si="20"/>
        <v>0</v>
      </c>
      <c r="AK111" s="918">
        <f t="shared" si="21"/>
        <v>0</v>
      </c>
      <c r="AL111" s="919"/>
      <c r="AM111" s="917">
        <f t="shared" si="22"/>
        <v>0</v>
      </c>
      <c r="AN111" s="920">
        <v>19242</v>
      </c>
      <c r="AO111" s="917">
        <f t="shared" si="23"/>
        <v>0</v>
      </c>
      <c r="AP111" s="920"/>
      <c r="AQ111" s="916">
        <f t="shared" si="24"/>
        <v>0</v>
      </c>
      <c r="AR111" s="917">
        <f t="shared" si="25"/>
        <v>13181.08</v>
      </c>
      <c r="AS111" s="916">
        <v>12</v>
      </c>
      <c r="AT111" s="921">
        <f t="shared" si="26"/>
        <v>158172.96</v>
      </c>
      <c r="AU111" s="920"/>
      <c r="AV111" s="922">
        <f t="shared" si="27"/>
        <v>1581.73</v>
      </c>
      <c r="AW111" s="921">
        <f t="shared" si="28"/>
        <v>159754.69</v>
      </c>
      <c r="AX111" s="921">
        <f t="shared" si="29"/>
        <v>48245.919999999998</v>
      </c>
      <c r="AY111" s="921">
        <f t="shared" si="30"/>
        <v>208000.61</v>
      </c>
      <c r="AZ111" s="923">
        <f t="shared" si="31"/>
        <v>159.80000000000001</v>
      </c>
      <c r="BA111" s="923">
        <f t="shared" si="32"/>
        <v>48.3</v>
      </c>
      <c r="BB111" s="923">
        <f t="shared" si="33"/>
        <v>208.1</v>
      </c>
      <c r="BC111" s="915">
        <v>0.95</v>
      </c>
      <c r="BD111" s="923">
        <f t="shared" si="34"/>
        <v>151.80000000000001</v>
      </c>
      <c r="BE111" s="923">
        <f t="shared" si="35"/>
        <v>45.8</v>
      </c>
      <c r="BF111" s="923">
        <f t="shared" si="36"/>
        <v>197.6</v>
      </c>
      <c r="BG111" s="924">
        <f>'[3]свод (2024)'!$B$116</f>
        <v>0.99758349999999996</v>
      </c>
      <c r="BH111" s="923">
        <f t="shared" si="37"/>
        <v>151.4</v>
      </c>
      <c r="BI111" s="923">
        <f t="shared" si="38"/>
        <v>45.7</v>
      </c>
      <c r="BJ111" s="923">
        <f t="shared" si="39"/>
        <v>197.1</v>
      </c>
      <c r="BK111" s="925">
        <f t="shared" si="40"/>
        <v>-8.4</v>
      </c>
      <c r="BL111" s="925">
        <f t="shared" si="40"/>
        <v>-2.6</v>
      </c>
      <c r="BM111" s="925">
        <f t="shared" si="41"/>
        <v>-11</v>
      </c>
      <c r="BN111" s="925">
        <f t="shared" si="42"/>
        <v>0</v>
      </c>
      <c r="BO111" s="925">
        <f t="shared" si="43"/>
        <v>0</v>
      </c>
      <c r="BP111" s="926"/>
      <c r="BQ111" s="925">
        <f t="shared" si="44"/>
        <v>151.4</v>
      </c>
      <c r="BR111" s="925">
        <f t="shared" si="44"/>
        <v>45.7</v>
      </c>
      <c r="BS111" s="925">
        <f t="shared" si="45"/>
        <v>197.1</v>
      </c>
      <c r="BU111" s="928"/>
      <c r="BV111" s="917"/>
      <c r="BW111" s="928"/>
      <c r="BX111" s="928"/>
      <c r="BY111" s="928"/>
      <c r="BZ111" s="917"/>
      <c r="CA111" s="928"/>
      <c r="CB111" s="917"/>
      <c r="CC111" s="928"/>
      <c r="CD111" s="928"/>
      <c r="CE111" s="928"/>
      <c r="CF111" s="929"/>
      <c r="CG111" s="928"/>
      <c r="CH111" s="928"/>
      <c r="CI111" s="928"/>
      <c r="CJ111" s="925"/>
      <c r="CK111" s="925"/>
      <c r="CL111" s="925"/>
      <c r="CM111" s="925"/>
      <c r="CN111" s="925"/>
      <c r="CO111" s="925"/>
      <c r="CP111" s="925"/>
      <c r="CQ111" s="925"/>
      <c r="CR111" s="925"/>
      <c r="CS111" s="917"/>
      <c r="CT111" s="928"/>
      <c r="CU111" s="928"/>
      <c r="CV111" s="928"/>
      <c r="CX111" s="925"/>
      <c r="CY111" s="925"/>
      <c r="CZ111" s="925"/>
      <c r="DB111" s="925"/>
      <c r="DC111" s="925"/>
      <c r="DD111" s="925"/>
      <c r="DE111" s="925"/>
      <c r="DF111" s="925"/>
      <c r="DG111" s="925"/>
      <c r="DH111" s="925"/>
      <c r="DI111" s="925"/>
      <c r="DJ111" s="925"/>
      <c r="DK111" s="925"/>
      <c r="DL111" s="925"/>
      <c r="DM111" s="925"/>
      <c r="DN111" s="925"/>
      <c r="DO111" s="925"/>
      <c r="DP111" s="925"/>
      <c r="DQ111" s="924"/>
      <c r="DR111" s="925"/>
      <c r="DS111" s="925"/>
      <c r="DT111" s="925"/>
      <c r="DV111" s="925"/>
      <c r="DW111" s="925"/>
      <c r="DX111" s="925"/>
      <c r="DY111" s="925"/>
      <c r="DZ111" s="925"/>
      <c r="EA111" s="925"/>
      <c r="EB111" s="925"/>
      <c r="EC111" s="925"/>
      <c r="ED111" s="925"/>
      <c r="EE111" s="925"/>
      <c r="EF111" s="925"/>
      <c r="EG111" s="925"/>
      <c r="EH111" s="925"/>
      <c r="EI111" s="925"/>
      <c r="EJ111" s="925"/>
      <c r="EK111" s="925"/>
      <c r="EL111" s="925"/>
      <c r="EM111" s="925"/>
      <c r="EN111" s="925"/>
      <c r="EO111" s="925"/>
      <c r="EP111" s="925"/>
      <c r="EQ111" s="925"/>
      <c r="ER111" s="925"/>
      <c r="ES111" s="925"/>
      <c r="ET111" s="925"/>
      <c r="EV111" s="924"/>
      <c r="EW111" s="925"/>
      <c r="EX111" s="925"/>
      <c r="EY111" s="925"/>
    </row>
    <row r="112" spans="1:155" s="927" customFormat="1" ht="15.75" x14ac:dyDescent="0.25">
      <c r="A112" s="912" t="s">
        <v>61</v>
      </c>
      <c r="B112" s="913" t="s">
        <v>1397</v>
      </c>
      <c r="C112" s="914">
        <v>1</v>
      </c>
      <c r="D112" s="914">
        <v>6707</v>
      </c>
      <c r="E112" s="915">
        <v>1.0549999999999999</v>
      </c>
      <c r="F112" s="916">
        <f t="shared" si="0"/>
        <v>7076</v>
      </c>
      <c r="G112" s="915">
        <v>1.01</v>
      </c>
      <c r="H112" s="916">
        <f t="shared" si="1"/>
        <v>7147</v>
      </c>
      <c r="I112" s="917">
        <f t="shared" si="2"/>
        <v>7147</v>
      </c>
      <c r="J112" s="918">
        <f t="shared" si="3"/>
        <v>0</v>
      </c>
      <c r="K112" s="919"/>
      <c r="L112" s="917">
        <f t="shared" si="4"/>
        <v>0</v>
      </c>
      <c r="M112" s="918">
        <f t="shared" si="5"/>
        <v>0.04</v>
      </c>
      <c r="N112" s="919">
        <v>268.27999999999997</v>
      </c>
      <c r="O112" s="917">
        <f t="shared" si="6"/>
        <v>285.88</v>
      </c>
      <c r="P112" s="918">
        <f t="shared" si="7"/>
        <v>0</v>
      </c>
      <c r="Q112" s="919"/>
      <c r="R112" s="917">
        <f t="shared" si="8"/>
        <v>0</v>
      </c>
      <c r="S112" s="918">
        <f t="shared" si="9"/>
        <v>0.2</v>
      </c>
      <c r="T112" s="919">
        <v>1341.4</v>
      </c>
      <c r="U112" s="917">
        <f t="shared" si="10"/>
        <v>1429.4</v>
      </c>
      <c r="V112" s="918">
        <f t="shared" si="11"/>
        <v>0</v>
      </c>
      <c r="W112" s="919"/>
      <c r="X112" s="917">
        <f t="shared" si="12"/>
        <v>0</v>
      </c>
      <c r="Y112" s="918">
        <f t="shared" si="13"/>
        <v>1.99</v>
      </c>
      <c r="Z112" s="919">
        <v>13346.93</v>
      </c>
      <c r="AA112" s="917">
        <f t="shared" si="14"/>
        <v>14222.53</v>
      </c>
      <c r="AB112" s="918">
        <f t="shared" si="15"/>
        <v>0.3</v>
      </c>
      <c r="AC112" s="919">
        <v>2012.1</v>
      </c>
      <c r="AD112" s="917">
        <f t="shared" si="16"/>
        <v>2144.1</v>
      </c>
      <c r="AE112" s="918">
        <f t="shared" si="17"/>
        <v>0</v>
      </c>
      <c r="AF112" s="919"/>
      <c r="AG112" s="917">
        <f t="shared" si="18"/>
        <v>0</v>
      </c>
      <c r="AH112" s="918">
        <f t="shared" si="19"/>
        <v>0</v>
      </c>
      <c r="AI112" s="919"/>
      <c r="AJ112" s="917">
        <f t="shared" si="20"/>
        <v>0</v>
      </c>
      <c r="AK112" s="918">
        <f t="shared" si="21"/>
        <v>0</v>
      </c>
      <c r="AL112" s="919"/>
      <c r="AM112" s="917">
        <f t="shared" si="22"/>
        <v>0</v>
      </c>
      <c r="AN112" s="920">
        <v>19242</v>
      </c>
      <c r="AO112" s="917">
        <f t="shared" si="23"/>
        <v>0</v>
      </c>
      <c r="AP112" s="920"/>
      <c r="AQ112" s="916">
        <f t="shared" si="24"/>
        <v>0</v>
      </c>
      <c r="AR112" s="917">
        <f t="shared" si="25"/>
        <v>25228.91</v>
      </c>
      <c r="AS112" s="916">
        <v>12</v>
      </c>
      <c r="AT112" s="921">
        <f t="shared" si="26"/>
        <v>302746.92</v>
      </c>
      <c r="AU112" s="920"/>
      <c r="AV112" s="922">
        <f t="shared" si="27"/>
        <v>3027.47</v>
      </c>
      <c r="AW112" s="921">
        <f t="shared" si="28"/>
        <v>305774.39</v>
      </c>
      <c r="AX112" s="921">
        <f t="shared" si="29"/>
        <v>92343.87</v>
      </c>
      <c r="AY112" s="921">
        <f t="shared" si="30"/>
        <v>398118.26</v>
      </c>
      <c r="AZ112" s="923">
        <f t="shared" si="31"/>
        <v>305.8</v>
      </c>
      <c r="BA112" s="923">
        <f t="shared" si="32"/>
        <v>92.4</v>
      </c>
      <c r="BB112" s="923">
        <f t="shared" si="33"/>
        <v>398.2</v>
      </c>
      <c r="BC112" s="915">
        <v>0.95</v>
      </c>
      <c r="BD112" s="923">
        <f t="shared" si="34"/>
        <v>290.5</v>
      </c>
      <c r="BE112" s="923">
        <f t="shared" si="35"/>
        <v>87.7</v>
      </c>
      <c r="BF112" s="923">
        <f t="shared" si="36"/>
        <v>378.2</v>
      </c>
      <c r="BG112" s="924">
        <f>'[3]свод (2024)'!$B$116</f>
        <v>0.99758349999999996</v>
      </c>
      <c r="BH112" s="923">
        <f t="shared" si="37"/>
        <v>289.8</v>
      </c>
      <c r="BI112" s="923">
        <f t="shared" si="38"/>
        <v>87.5</v>
      </c>
      <c r="BJ112" s="923">
        <f t="shared" si="39"/>
        <v>377.3</v>
      </c>
      <c r="BK112" s="925">
        <f t="shared" si="40"/>
        <v>-16</v>
      </c>
      <c r="BL112" s="925">
        <f t="shared" si="40"/>
        <v>-4.9000000000000004</v>
      </c>
      <c r="BM112" s="925">
        <f t="shared" si="41"/>
        <v>-20.9</v>
      </c>
      <c r="BN112" s="925">
        <f t="shared" si="42"/>
        <v>0</v>
      </c>
      <c r="BO112" s="925">
        <f t="shared" si="43"/>
        <v>0</v>
      </c>
      <c r="BP112" s="926"/>
      <c r="BQ112" s="925">
        <f t="shared" si="44"/>
        <v>289.8</v>
      </c>
      <c r="BR112" s="925">
        <f t="shared" si="44"/>
        <v>87.5</v>
      </c>
      <c r="BS112" s="925">
        <f t="shared" si="45"/>
        <v>377.3</v>
      </c>
      <c r="BU112" s="928"/>
      <c r="BV112" s="917"/>
      <c r="BW112" s="928"/>
      <c r="BX112" s="928"/>
      <c r="BY112" s="928"/>
      <c r="BZ112" s="917"/>
      <c r="CA112" s="928"/>
      <c r="CB112" s="917"/>
      <c r="CC112" s="928"/>
      <c r="CD112" s="928"/>
      <c r="CE112" s="928"/>
      <c r="CF112" s="929"/>
      <c r="CG112" s="928"/>
      <c r="CH112" s="928"/>
      <c r="CI112" s="928"/>
      <c r="CJ112" s="925"/>
      <c r="CK112" s="925"/>
      <c r="CL112" s="925"/>
      <c r="CM112" s="925"/>
      <c r="CN112" s="925"/>
      <c r="CO112" s="925"/>
      <c r="CP112" s="925"/>
      <c r="CQ112" s="925"/>
      <c r="CR112" s="925"/>
      <c r="CS112" s="917"/>
      <c r="CT112" s="928"/>
      <c r="CU112" s="928"/>
      <c r="CV112" s="928"/>
      <c r="CX112" s="925"/>
      <c r="CY112" s="925"/>
      <c r="CZ112" s="925"/>
      <c r="DB112" s="925"/>
      <c r="DC112" s="925"/>
      <c r="DD112" s="925"/>
      <c r="DE112" s="925"/>
      <c r="DF112" s="925"/>
      <c r="DG112" s="925"/>
      <c r="DH112" s="925"/>
      <c r="DI112" s="925"/>
      <c r="DJ112" s="925"/>
      <c r="DK112" s="925"/>
      <c r="DL112" s="925"/>
      <c r="DM112" s="925"/>
      <c r="DN112" s="925"/>
      <c r="DO112" s="925"/>
      <c r="DP112" s="925"/>
      <c r="DQ112" s="924"/>
      <c r="DR112" s="925"/>
      <c r="DS112" s="925"/>
      <c r="DT112" s="925"/>
      <c r="DV112" s="925"/>
      <c r="DW112" s="925"/>
      <c r="DX112" s="925"/>
      <c r="DY112" s="925"/>
      <c r="DZ112" s="925"/>
      <c r="EA112" s="925"/>
      <c r="EB112" s="925"/>
      <c r="EC112" s="925"/>
      <c r="ED112" s="925"/>
      <c r="EE112" s="925"/>
      <c r="EF112" s="925"/>
      <c r="EG112" s="925"/>
      <c r="EH112" s="925"/>
      <c r="EI112" s="925"/>
      <c r="EJ112" s="925"/>
      <c r="EK112" s="925"/>
      <c r="EL112" s="925"/>
      <c r="EM112" s="925"/>
      <c r="EN112" s="925"/>
      <c r="EO112" s="925"/>
      <c r="EP112" s="925"/>
      <c r="EQ112" s="925"/>
      <c r="ER112" s="925"/>
      <c r="ES112" s="925"/>
      <c r="ET112" s="925"/>
      <c r="EV112" s="924"/>
      <c r="EW112" s="925"/>
      <c r="EX112" s="925"/>
      <c r="EY112" s="925"/>
    </row>
    <row r="113" spans="1:155" s="927" customFormat="1" ht="15.75" x14ac:dyDescent="0.25">
      <c r="A113" s="912" t="s">
        <v>61</v>
      </c>
      <c r="B113" s="913" t="s">
        <v>38</v>
      </c>
      <c r="C113" s="914">
        <v>6.25</v>
      </c>
      <c r="D113" s="914">
        <v>13132</v>
      </c>
      <c r="E113" s="915">
        <v>1.0549999999999999</v>
      </c>
      <c r="F113" s="916">
        <f t="shared" ref="F113:F212" si="77">ROUNDUP(D113*E113,0)</f>
        <v>13855</v>
      </c>
      <c r="G113" s="915">
        <v>1.01</v>
      </c>
      <c r="H113" s="916">
        <f t="shared" ref="H113:H212" si="78">ROUNDUP(F113*G113,0)</f>
        <v>13994</v>
      </c>
      <c r="I113" s="917">
        <f t="shared" ref="I113:I212" si="79">ROUND(C113*H113,2)</f>
        <v>87462.5</v>
      </c>
      <c r="J113" s="918">
        <f t="shared" ref="J113:J212" si="80">IF(K113&gt;0,(ROUND(K113/($C113*$D113),5)),0)</f>
        <v>0.21</v>
      </c>
      <c r="K113" s="919">
        <v>17235.75</v>
      </c>
      <c r="L113" s="917">
        <f t="shared" ref="L113:L212" si="81">ROUND($I113*J113,2)</f>
        <v>18367.13</v>
      </c>
      <c r="M113" s="918">
        <f t="shared" ref="M113:M212" si="82">IF(N113&gt;0,(ROUND(N113/($C113*$D113),5)),0)</f>
        <v>0</v>
      </c>
      <c r="N113" s="919"/>
      <c r="O113" s="917">
        <f t="shared" ref="O113:O212" si="83">ROUND($I113*M113,2)</f>
        <v>0</v>
      </c>
      <c r="P113" s="918">
        <f t="shared" ref="P113:P212" si="84">IF(Q113&gt;0,(ROUND(Q113/($C113*$D113),5)),0)</f>
        <v>0</v>
      </c>
      <c r="Q113" s="919"/>
      <c r="R113" s="917">
        <f t="shared" ref="R113:R212" si="85">ROUND($I113*P113,2)</f>
        <v>0</v>
      </c>
      <c r="S113" s="918">
        <f t="shared" ref="S113:S212" si="86">IF(T113&gt;0,(ROUND(T113/($C113*$D113),5)),0)</f>
        <v>0</v>
      </c>
      <c r="T113" s="919"/>
      <c r="U113" s="917">
        <f t="shared" ref="U113:U212" si="87">ROUND($I113*S113,2)</f>
        <v>0</v>
      </c>
      <c r="V113" s="918">
        <f t="shared" ref="V113:V212" si="88">IF(W113&gt;0,(ROUND(W113/($C113*$D113),5)),0)</f>
        <v>0</v>
      </c>
      <c r="W113" s="919"/>
      <c r="X113" s="917">
        <f t="shared" ref="X113:X212" si="89">ROUND($I113*V113,2)</f>
        <v>0</v>
      </c>
      <c r="Y113" s="918">
        <f t="shared" ref="Y113:Y212" si="90">IF(Z113&gt;0,(ROUND(Z113/($C113*$D113),5)),0)</f>
        <v>0</v>
      </c>
      <c r="Z113" s="919"/>
      <c r="AA113" s="917">
        <f t="shared" ref="AA113:AA212" si="91">ROUND($I113*Y113,2)</f>
        <v>0</v>
      </c>
      <c r="AB113" s="918">
        <f t="shared" ref="AB113:AB212" si="92">IF(AC113&gt;0,(ROUND(AC113/($C113*$D113),5)),0)</f>
        <v>0.18667</v>
      </c>
      <c r="AC113" s="919">
        <v>15320.67</v>
      </c>
      <c r="AD113" s="917">
        <f t="shared" ref="AD113:AD212" si="93">ROUND($I113*AB113,2)</f>
        <v>16326.62</v>
      </c>
      <c r="AE113" s="918">
        <f t="shared" ref="AE113:AE212" si="94">IF(AF113&gt;0,(ROUND(AF113/($C113*$D113),5)),0)</f>
        <v>0</v>
      </c>
      <c r="AF113" s="919"/>
      <c r="AG113" s="917">
        <f t="shared" ref="AG113:AG212" si="95">ROUND($I113*AE113,2)</f>
        <v>0</v>
      </c>
      <c r="AH113" s="918">
        <f t="shared" ref="AH113:AH212" si="96">IF(AI113&gt;0,(ROUND(AI113/($C113*$D113),5)),0)</f>
        <v>0</v>
      </c>
      <c r="AI113" s="919"/>
      <c r="AJ113" s="917">
        <f t="shared" ref="AJ113:AJ212" si="97">ROUND($I113*AH113,2)</f>
        <v>0</v>
      </c>
      <c r="AK113" s="918">
        <f t="shared" ref="AK113:AK212" si="98">IF(AL113&gt;0,(ROUND(AL113/($C113*$D113),5)),0)</f>
        <v>0</v>
      </c>
      <c r="AL113" s="919"/>
      <c r="AM113" s="917">
        <f t="shared" ref="AM113:AM212" si="99">ROUND($I113*AK113,2)</f>
        <v>0</v>
      </c>
      <c r="AN113" s="920">
        <v>19242</v>
      </c>
      <c r="AO113" s="917">
        <f t="shared" ref="AO113:AO212" si="100">ROUND(IF(((I113+L113+O113+R113+U113+X113+AA113+AD113+AG113+AJ113+AM113)&gt;(AN113*C113)),0,((AN113*C113)-(I113+L113+O113+R113+U113+X113+AA113+AD113+AG113+AJ113+AM113))),2)</f>
        <v>0</v>
      </c>
      <c r="AP113" s="920"/>
      <c r="AQ113" s="916">
        <f t="shared" ref="AQ113:AQ212" si="101">ROUND(C113*AP113,2)</f>
        <v>0</v>
      </c>
      <c r="AR113" s="917">
        <f t="shared" ref="AR113:AR212" si="102">ROUND((I113+L113+O113+R113+U113+X113+AA113+AD113+AG113+AJ113+AM113+AO113+AQ113),2)</f>
        <v>122156.25</v>
      </c>
      <c r="AS113" s="916">
        <v>12</v>
      </c>
      <c r="AT113" s="921">
        <f t="shared" ref="AT113:AT212" si="103">ROUND(AR113*AS113,2)</f>
        <v>1465875</v>
      </c>
      <c r="AU113" s="920"/>
      <c r="AV113" s="922">
        <f t="shared" ref="AV113:AV212" si="104">ROUND(AT113*0.01,2)</f>
        <v>14658.75</v>
      </c>
      <c r="AW113" s="921">
        <f t="shared" ref="AW113:AW212" si="105">ROUND((AT113+AU113+AV113),2)</f>
        <v>1480533.75</v>
      </c>
      <c r="AX113" s="921">
        <f t="shared" ref="AX113:AX212" si="106">ROUND(AW113*0.302,2)</f>
        <v>447121.19</v>
      </c>
      <c r="AY113" s="921">
        <f t="shared" ref="AY113:AY212" si="107">ROUND((AW113+AX113),2)</f>
        <v>1927654.94</v>
      </c>
      <c r="AZ113" s="923">
        <f t="shared" ref="AZ113:AZ212" si="108">ROUND(AW113/1000,1)</f>
        <v>1480.5</v>
      </c>
      <c r="BA113" s="923">
        <f t="shared" ref="BA113:BA212" si="109">ROUND(AZ113*0.302,1)</f>
        <v>447.1</v>
      </c>
      <c r="BB113" s="923">
        <f t="shared" ref="BB113:BB212" si="110">ROUND((AZ113+BA113),1)</f>
        <v>1927.6</v>
      </c>
      <c r="BC113" s="915">
        <v>0.95</v>
      </c>
      <c r="BD113" s="923">
        <f t="shared" ref="BD113:BD212" si="111">ROUND(AZ113*BC113,1)</f>
        <v>1406.5</v>
      </c>
      <c r="BE113" s="923">
        <f t="shared" ref="BE113:BE212" si="112">ROUND(BD113*0.302,1)</f>
        <v>424.8</v>
      </c>
      <c r="BF113" s="923">
        <f t="shared" ref="BF113:BF212" si="113">ROUND((BD113+BE113),1)</f>
        <v>1831.3</v>
      </c>
      <c r="BG113" s="924">
        <f>'[3]свод (2024)'!$B$116</f>
        <v>0.99758349999999996</v>
      </c>
      <c r="BH113" s="923">
        <f t="shared" ref="BH113:BH212" si="114">ROUND(BD113*BG113,1)</f>
        <v>1403.1</v>
      </c>
      <c r="BI113" s="923">
        <f t="shared" ref="BI113:BI212" si="115">ROUND(BH113*0.302,1)</f>
        <v>423.7</v>
      </c>
      <c r="BJ113" s="923">
        <f t="shared" ref="BJ113:BJ212" si="116">ROUND((BH113+BI113),1)</f>
        <v>1826.8</v>
      </c>
      <c r="BK113" s="925">
        <f t="shared" ref="BK113:BL212" si="117">ROUND((BH113-AZ113),1)</f>
        <v>-77.400000000000006</v>
      </c>
      <c r="BL113" s="925">
        <f t="shared" si="117"/>
        <v>-23.4</v>
      </c>
      <c r="BM113" s="925">
        <f t="shared" ref="BM113:BM212" si="118">ROUND((BK113+BL113),1)</f>
        <v>-100.8</v>
      </c>
      <c r="BN113" s="925">
        <f t="shared" ref="BN113:BN212" si="119">ROUND(BP113/1.302,1)</f>
        <v>0</v>
      </c>
      <c r="BO113" s="925">
        <f t="shared" ref="BO113:BO212" si="120">ROUND((BP113-BN113),1)</f>
        <v>0</v>
      </c>
      <c r="BP113" s="926"/>
      <c r="BQ113" s="925">
        <f t="shared" ref="BQ113:BR212" si="121">ROUND((BH113-BN113),1)</f>
        <v>1403.1</v>
      </c>
      <c r="BR113" s="925">
        <f t="shared" si="121"/>
        <v>423.7</v>
      </c>
      <c r="BS113" s="925">
        <f t="shared" ref="BS113:BS212" si="122">ROUND((BQ113+BR113),1)</f>
        <v>1826.8</v>
      </c>
      <c r="BU113" s="928">
        <f t="shared" ref="BU113:BU212" si="123">C113</f>
        <v>6.25</v>
      </c>
      <c r="BV113" s="917"/>
      <c r="BW113" s="928"/>
      <c r="BX113" s="928">
        <f t="shared" ref="BX113:BX212" si="124">AW113-X113</f>
        <v>1480533.75</v>
      </c>
      <c r="BY113" s="928"/>
      <c r="BZ113" s="917"/>
      <c r="CA113" s="928"/>
      <c r="CB113" s="917"/>
      <c r="CC113" s="928"/>
      <c r="CD113" s="928"/>
      <c r="CE113" s="928"/>
      <c r="CF113" s="929">
        <f>CC$134/BU$134*BU113</f>
        <v>533590.27</v>
      </c>
      <c r="CG113" s="928"/>
      <c r="CH113" s="928"/>
      <c r="CI113" s="928"/>
      <c r="CJ113" s="925"/>
      <c r="CK113" s="925"/>
      <c r="CL113" s="925"/>
      <c r="CM113" s="925"/>
      <c r="CN113" s="925"/>
      <c r="CO113" s="925"/>
      <c r="CP113" s="925"/>
      <c r="CQ113" s="925"/>
      <c r="CR113" s="925"/>
      <c r="CS113" s="917"/>
      <c r="CT113" s="928"/>
      <c r="CU113" s="928"/>
      <c r="CV113" s="928"/>
      <c r="CX113" s="925"/>
      <c r="CY113" s="925"/>
      <c r="CZ113" s="925"/>
      <c r="DB113" s="925"/>
      <c r="DC113" s="925"/>
      <c r="DD113" s="925"/>
      <c r="DE113" s="925"/>
      <c r="DF113" s="925"/>
      <c r="DG113" s="925"/>
      <c r="DH113" s="925"/>
      <c r="DI113" s="925"/>
      <c r="DJ113" s="925"/>
      <c r="DK113" s="925"/>
      <c r="DL113" s="925"/>
      <c r="DM113" s="925"/>
      <c r="DN113" s="925"/>
      <c r="DO113" s="925"/>
      <c r="DP113" s="925"/>
      <c r="DQ113" s="924"/>
      <c r="DR113" s="925"/>
      <c r="DS113" s="925"/>
      <c r="DT113" s="925"/>
      <c r="DV113" s="925"/>
      <c r="DW113" s="925"/>
      <c r="DX113" s="925"/>
      <c r="DY113" s="925"/>
      <c r="DZ113" s="925"/>
      <c r="EA113" s="925"/>
      <c r="EB113" s="925"/>
      <c r="EC113" s="925"/>
      <c r="ED113" s="925"/>
      <c r="EE113" s="925"/>
      <c r="EF113" s="925"/>
      <c r="EG113" s="925"/>
      <c r="EH113" s="925"/>
      <c r="EI113" s="925"/>
      <c r="EJ113" s="925"/>
      <c r="EK113" s="925"/>
      <c r="EL113" s="925"/>
      <c r="EM113" s="925"/>
      <c r="EN113" s="925"/>
      <c r="EO113" s="925"/>
      <c r="EP113" s="925"/>
      <c r="EQ113" s="925"/>
      <c r="ER113" s="925"/>
      <c r="ES113" s="925"/>
      <c r="ET113" s="925"/>
      <c r="EV113" s="924"/>
      <c r="EW113" s="925"/>
      <c r="EX113" s="925"/>
      <c r="EY113" s="925"/>
    </row>
    <row r="114" spans="1:155" s="927" customFormat="1" ht="15.75" x14ac:dyDescent="0.25">
      <c r="A114" s="912" t="s">
        <v>61</v>
      </c>
      <c r="B114" s="913" t="s">
        <v>1398</v>
      </c>
      <c r="C114" s="914">
        <v>4</v>
      </c>
      <c r="D114" s="914">
        <v>4588</v>
      </c>
      <c r="E114" s="915">
        <v>1.0549999999999999</v>
      </c>
      <c r="F114" s="916">
        <f t="shared" si="77"/>
        <v>4841</v>
      </c>
      <c r="G114" s="915">
        <v>1.01</v>
      </c>
      <c r="H114" s="916">
        <f t="shared" si="78"/>
        <v>4890</v>
      </c>
      <c r="I114" s="917">
        <f t="shared" si="79"/>
        <v>19560</v>
      </c>
      <c r="J114" s="918">
        <f t="shared" si="80"/>
        <v>0</v>
      </c>
      <c r="K114" s="919"/>
      <c r="L114" s="917">
        <f t="shared" si="81"/>
        <v>0</v>
      </c>
      <c r="M114" s="918">
        <f t="shared" si="82"/>
        <v>0</v>
      </c>
      <c r="N114" s="919"/>
      <c r="O114" s="917">
        <f t="shared" si="83"/>
        <v>0</v>
      </c>
      <c r="P114" s="918">
        <f t="shared" si="84"/>
        <v>0</v>
      </c>
      <c r="Q114" s="919"/>
      <c r="R114" s="917">
        <f t="shared" si="85"/>
        <v>0</v>
      </c>
      <c r="S114" s="918">
        <f t="shared" si="86"/>
        <v>0</v>
      </c>
      <c r="T114" s="919"/>
      <c r="U114" s="917">
        <f t="shared" si="87"/>
        <v>0</v>
      </c>
      <c r="V114" s="918">
        <f t="shared" si="88"/>
        <v>0</v>
      </c>
      <c r="W114" s="919"/>
      <c r="X114" s="917">
        <f t="shared" si="89"/>
        <v>0</v>
      </c>
      <c r="Y114" s="918">
        <f t="shared" si="90"/>
        <v>0</v>
      </c>
      <c r="Z114" s="919"/>
      <c r="AA114" s="917">
        <f t="shared" si="91"/>
        <v>0</v>
      </c>
      <c r="AB114" s="918">
        <f t="shared" si="92"/>
        <v>0</v>
      </c>
      <c r="AC114" s="919"/>
      <c r="AD114" s="917">
        <f t="shared" si="93"/>
        <v>0</v>
      </c>
      <c r="AE114" s="918">
        <f t="shared" si="94"/>
        <v>0</v>
      </c>
      <c r="AF114" s="919"/>
      <c r="AG114" s="917">
        <f t="shared" si="95"/>
        <v>0</v>
      </c>
      <c r="AH114" s="918">
        <f t="shared" si="96"/>
        <v>0</v>
      </c>
      <c r="AI114" s="919"/>
      <c r="AJ114" s="917">
        <f t="shared" si="97"/>
        <v>0</v>
      </c>
      <c r="AK114" s="918">
        <f t="shared" si="98"/>
        <v>0</v>
      </c>
      <c r="AL114" s="919"/>
      <c r="AM114" s="917">
        <f t="shared" si="99"/>
        <v>0</v>
      </c>
      <c r="AN114" s="920">
        <v>19242</v>
      </c>
      <c r="AO114" s="917">
        <f t="shared" si="100"/>
        <v>57408</v>
      </c>
      <c r="AP114" s="920">
        <v>1060.29</v>
      </c>
      <c r="AQ114" s="916">
        <f t="shared" si="101"/>
        <v>4241.16</v>
      </c>
      <c r="AR114" s="917">
        <f t="shared" si="102"/>
        <v>81209.16</v>
      </c>
      <c r="AS114" s="916">
        <v>12</v>
      </c>
      <c r="AT114" s="921">
        <f t="shared" si="103"/>
        <v>974509.92</v>
      </c>
      <c r="AU114" s="920">
        <f t="shared" ref="AU114:AU115" si="125">AT114*0.085</f>
        <v>82833.34</v>
      </c>
      <c r="AV114" s="922">
        <f t="shared" si="104"/>
        <v>9745.1</v>
      </c>
      <c r="AW114" s="921">
        <f t="shared" si="105"/>
        <v>1067088.3600000001</v>
      </c>
      <c r="AX114" s="921">
        <f t="shared" si="106"/>
        <v>322260.68</v>
      </c>
      <c r="AY114" s="921">
        <f t="shared" si="107"/>
        <v>1389349.04</v>
      </c>
      <c r="AZ114" s="923">
        <f t="shared" si="108"/>
        <v>1067.0999999999999</v>
      </c>
      <c r="BA114" s="923">
        <f t="shared" si="109"/>
        <v>322.3</v>
      </c>
      <c r="BB114" s="923">
        <f t="shared" si="110"/>
        <v>1389.4</v>
      </c>
      <c r="BC114" s="915">
        <v>0.95</v>
      </c>
      <c r="BD114" s="923">
        <f t="shared" si="111"/>
        <v>1013.7</v>
      </c>
      <c r="BE114" s="923">
        <f t="shared" si="112"/>
        <v>306.10000000000002</v>
      </c>
      <c r="BF114" s="923">
        <f t="shared" si="113"/>
        <v>1319.8</v>
      </c>
      <c r="BG114" s="924">
        <f>'[3]свод (2024)'!$B$116</f>
        <v>0.99758349999999996</v>
      </c>
      <c r="BH114" s="923">
        <f t="shared" si="114"/>
        <v>1011.3</v>
      </c>
      <c r="BI114" s="923">
        <f t="shared" si="115"/>
        <v>305.39999999999998</v>
      </c>
      <c r="BJ114" s="923">
        <f t="shared" si="116"/>
        <v>1316.7</v>
      </c>
      <c r="BK114" s="925">
        <f t="shared" si="117"/>
        <v>-55.8</v>
      </c>
      <c r="BL114" s="925">
        <f t="shared" si="117"/>
        <v>-16.899999999999999</v>
      </c>
      <c r="BM114" s="925">
        <f t="shared" si="118"/>
        <v>-72.7</v>
      </c>
      <c r="BN114" s="925">
        <f t="shared" si="119"/>
        <v>0</v>
      </c>
      <c r="BO114" s="925">
        <f t="shared" si="120"/>
        <v>0</v>
      </c>
      <c r="BP114" s="926"/>
      <c r="BQ114" s="925">
        <f t="shared" si="121"/>
        <v>1011.3</v>
      </c>
      <c r="BR114" s="925">
        <f t="shared" si="121"/>
        <v>305.39999999999998</v>
      </c>
      <c r="BS114" s="925">
        <f t="shared" si="122"/>
        <v>1316.7</v>
      </c>
      <c r="BU114" s="928"/>
      <c r="BV114" s="917"/>
      <c r="BW114" s="928"/>
      <c r="BX114" s="928"/>
      <c r="BY114" s="928"/>
      <c r="BZ114" s="917"/>
      <c r="CA114" s="928"/>
      <c r="CB114" s="917"/>
      <c r="CC114" s="928"/>
      <c r="CD114" s="928"/>
      <c r="CE114" s="928"/>
      <c r="CF114" s="929"/>
      <c r="CG114" s="928"/>
      <c r="CH114" s="928"/>
      <c r="CI114" s="928"/>
      <c r="CJ114" s="925"/>
      <c r="CK114" s="925"/>
      <c r="CL114" s="925"/>
      <c r="CM114" s="925"/>
      <c r="CN114" s="925"/>
      <c r="CO114" s="925"/>
      <c r="CP114" s="925"/>
      <c r="CQ114" s="925"/>
      <c r="CR114" s="925"/>
      <c r="CS114" s="917"/>
      <c r="CT114" s="928"/>
      <c r="CU114" s="928"/>
      <c r="CV114" s="928"/>
      <c r="CX114" s="925"/>
      <c r="CY114" s="925"/>
      <c r="CZ114" s="925"/>
      <c r="DB114" s="925"/>
      <c r="DC114" s="925"/>
      <c r="DD114" s="925"/>
      <c r="DE114" s="925"/>
      <c r="DF114" s="925"/>
      <c r="DG114" s="925"/>
      <c r="DH114" s="925"/>
      <c r="DI114" s="925"/>
      <c r="DJ114" s="925"/>
      <c r="DK114" s="925"/>
      <c r="DL114" s="925"/>
      <c r="DM114" s="925"/>
      <c r="DN114" s="925"/>
      <c r="DO114" s="925"/>
      <c r="DP114" s="925"/>
      <c r="DQ114" s="924"/>
      <c r="DR114" s="925"/>
      <c r="DS114" s="925"/>
      <c r="DT114" s="925"/>
      <c r="DV114" s="925"/>
      <c r="DW114" s="925"/>
      <c r="DX114" s="925"/>
      <c r="DY114" s="925"/>
      <c r="DZ114" s="925"/>
      <c r="EA114" s="925"/>
      <c r="EB114" s="925"/>
      <c r="EC114" s="925"/>
      <c r="ED114" s="925"/>
      <c r="EE114" s="925"/>
      <c r="EF114" s="925"/>
      <c r="EG114" s="925"/>
      <c r="EH114" s="925"/>
      <c r="EI114" s="925"/>
      <c r="EJ114" s="925"/>
      <c r="EK114" s="925"/>
      <c r="EL114" s="925"/>
      <c r="EM114" s="925"/>
      <c r="EN114" s="925"/>
      <c r="EO114" s="925"/>
      <c r="EP114" s="925"/>
      <c r="EQ114" s="925"/>
      <c r="ER114" s="925"/>
      <c r="ES114" s="925"/>
      <c r="ET114" s="925"/>
      <c r="EV114" s="924"/>
      <c r="EW114" s="925"/>
      <c r="EX114" s="925"/>
      <c r="EY114" s="925"/>
    </row>
    <row r="115" spans="1:155" s="927" customFormat="1" ht="15.75" x14ac:dyDescent="0.25">
      <c r="A115" s="912" t="s">
        <v>61</v>
      </c>
      <c r="B115" s="913" t="s">
        <v>1399</v>
      </c>
      <c r="C115" s="914">
        <v>1</v>
      </c>
      <c r="D115" s="914">
        <v>4588</v>
      </c>
      <c r="E115" s="915">
        <v>1.0549999999999999</v>
      </c>
      <c r="F115" s="916">
        <f t="shared" si="77"/>
        <v>4841</v>
      </c>
      <c r="G115" s="915">
        <v>1.01</v>
      </c>
      <c r="H115" s="916">
        <f t="shared" si="78"/>
        <v>4890</v>
      </c>
      <c r="I115" s="917">
        <f t="shared" si="79"/>
        <v>4890</v>
      </c>
      <c r="J115" s="918">
        <f t="shared" si="80"/>
        <v>0</v>
      </c>
      <c r="K115" s="919"/>
      <c r="L115" s="917">
        <f t="shared" si="81"/>
        <v>0</v>
      </c>
      <c r="M115" s="918">
        <f t="shared" si="82"/>
        <v>0</v>
      </c>
      <c r="N115" s="919"/>
      <c r="O115" s="917">
        <f t="shared" si="83"/>
        <v>0</v>
      </c>
      <c r="P115" s="918">
        <f t="shared" si="84"/>
        <v>0</v>
      </c>
      <c r="Q115" s="919"/>
      <c r="R115" s="917">
        <f t="shared" si="85"/>
        <v>0</v>
      </c>
      <c r="S115" s="918">
        <f t="shared" si="86"/>
        <v>0</v>
      </c>
      <c r="T115" s="919"/>
      <c r="U115" s="917">
        <f t="shared" si="87"/>
        <v>0</v>
      </c>
      <c r="V115" s="918">
        <f t="shared" si="88"/>
        <v>0</v>
      </c>
      <c r="W115" s="919"/>
      <c r="X115" s="917">
        <f t="shared" si="89"/>
        <v>0</v>
      </c>
      <c r="Y115" s="918">
        <f t="shared" si="90"/>
        <v>0</v>
      </c>
      <c r="Z115" s="919"/>
      <c r="AA115" s="917">
        <f t="shared" si="91"/>
        <v>0</v>
      </c>
      <c r="AB115" s="918">
        <f t="shared" si="92"/>
        <v>0</v>
      </c>
      <c r="AC115" s="919"/>
      <c r="AD115" s="917">
        <f t="shared" si="93"/>
        <v>0</v>
      </c>
      <c r="AE115" s="918">
        <f t="shared" si="94"/>
        <v>0</v>
      </c>
      <c r="AF115" s="919"/>
      <c r="AG115" s="917">
        <f t="shared" si="95"/>
        <v>0</v>
      </c>
      <c r="AH115" s="918">
        <f t="shared" si="96"/>
        <v>0</v>
      </c>
      <c r="AI115" s="919"/>
      <c r="AJ115" s="917">
        <f t="shared" si="97"/>
        <v>0</v>
      </c>
      <c r="AK115" s="918">
        <f t="shared" si="98"/>
        <v>0</v>
      </c>
      <c r="AL115" s="919"/>
      <c r="AM115" s="917">
        <f t="shared" si="99"/>
        <v>0</v>
      </c>
      <c r="AN115" s="920">
        <v>19242</v>
      </c>
      <c r="AO115" s="917">
        <f t="shared" si="100"/>
        <v>14352</v>
      </c>
      <c r="AP115" s="920"/>
      <c r="AQ115" s="916">
        <f t="shared" si="101"/>
        <v>0</v>
      </c>
      <c r="AR115" s="917">
        <f t="shared" si="102"/>
        <v>19242</v>
      </c>
      <c r="AS115" s="916">
        <v>12</v>
      </c>
      <c r="AT115" s="921">
        <f t="shared" si="103"/>
        <v>230904</v>
      </c>
      <c r="AU115" s="920">
        <f t="shared" si="125"/>
        <v>19626.84</v>
      </c>
      <c r="AV115" s="922">
        <f t="shared" si="104"/>
        <v>2309.04</v>
      </c>
      <c r="AW115" s="921">
        <f t="shared" si="105"/>
        <v>252839.88</v>
      </c>
      <c r="AX115" s="921">
        <f t="shared" si="106"/>
        <v>76357.64</v>
      </c>
      <c r="AY115" s="921">
        <f t="shared" si="107"/>
        <v>329197.52</v>
      </c>
      <c r="AZ115" s="923">
        <f t="shared" si="108"/>
        <v>252.8</v>
      </c>
      <c r="BA115" s="923">
        <f t="shared" si="109"/>
        <v>76.3</v>
      </c>
      <c r="BB115" s="923">
        <f t="shared" si="110"/>
        <v>329.1</v>
      </c>
      <c r="BC115" s="915">
        <v>0.95</v>
      </c>
      <c r="BD115" s="923">
        <f t="shared" si="111"/>
        <v>240.2</v>
      </c>
      <c r="BE115" s="923">
        <f t="shared" si="112"/>
        <v>72.5</v>
      </c>
      <c r="BF115" s="923">
        <f t="shared" si="113"/>
        <v>312.7</v>
      </c>
      <c r="BG115" s="924">
        <f>'[3]свод (2024)'!$B$116</f>
        <v>0.99758349999999996</v>
      </c>
      <c r="BH115" s="923">
        <f t="shared" si="114"/>
        <v>239.6</v>
      </c>
      <c r="BI115" s="923">
        <f t="shared" si="115"/>
        <v>72.400000000000006</v>
      </c>
      <c r="BJ115" s="923">
        <f t="shared" si="116"/>
        <v>312</v>
      </c>
      <c r="BK115" s="925">
        <f t="shared" si="117"/>
        <v>-13.2</v>
      </c>
      <c r="BL115" s="925">
        <f t="shared" si="117"/>
        <v>-3.9</v>
      </c>
      <c r="BM115" s="925">
        <f t="shared" si="118"/>
        <v>-17.100000000000001</v>
      </c>
      <c r="BN115" s="925">
        <f t="shared" si="119"/>
        <v>0</v>
      </c>
      <c r="BO115" s="925">
        <f t="shared" si="120"/>
        <v>0</v>
      </c>
      <c r="BP115" s="926"/>
      <c r="BQ115" s="925">
        <f t="shared" si="121"/>
        <v>239.6</v>
      </c>
      <c r="BR115" s="925">
        <f t="shared" si="121"/>
        <v>72.400000000000006</v>
      </c>
      <c r="BS115" s="925">
        <f t="shared" si="122"/>
        <v>312</v>
      </c>
      <c r="BU115" s="928"/>
      <c r="BV115" s="917"/>
      <c r="BW115" s="928"/>
      <c r="BX115" s="928"/>
      <c r="BY115" s="928"/>
      <c r="BZ115" s="917"/>
      <c r="CA115" s="928"/>
      <c r="CB115" s="917"/>
      <c r="CC115" s="928"/>
      <c r="CD115" s="928"/>
      <c r="CE115" s="928"/>
      <c r="CF115" s="929"/>
      <c r="CG115" s="928"/>
      <c r="CH115" s="928"/>
      <c r="CI115" s="928"/>
      <c r="CJ115" s="925"/>
      <c r="CK115" s="925"/>
      <c r="CL115" s="925"/>
      <c r="CM115" s="925"/>
      <c r="CN115" s="925"/>
      <c r="CO115" s="925"/>
      <c r="CP115" s="925"/>
      <c r="CQ115" s="925"/>
      <c r="CR115" s="925"/>
      <c r="CS115" s="917"/>
      <c r="CT115" s="928"/>
      <c r="CU115" s="928"/>
      <c r="CV115" s="928"/>
      <c r="CX115" s="925"/>
      <c r="CY115" s="925"/>
      <c r="CZ115" s="925"/>
      <c r="DB115" s="925"/>
      <c r="DC115" s="925"/>
      <c r="DD115" s="925"/>
      <c r="DE115" s="925"/>
      <c r="DF115" s="925"/>
      <c r="DG115" s="925"/>
      <c r="DH115" s="925"/>
      <c r="DI115" s="925"/>
      <c r="DJ115" s="925"/>
      <c r="DK115" s="925"/>
      <c r="DL115" s="925"/>
      <c r="DM115" s="925"/>
      <c r="DN115" s="925"/>
      <c r="DO115" s="925"/>
      <c r="DP115" s="925"/>
      <c r="DQ115" s="924"/>
      <c r="DR115" s="925"/>
      <c r="DS115" s="925"/>
      <c r="DT115" s="925"/>
      <c r="DV115" s="925"/>
      <c r="DW115" s="925"/>
      <c r="DX115" s="925"/>
      <c r="DY115" s="925"/>
      <c r="DZ115" s="925"/>
      <c r="EA115" s="925"/>
      <c r="EB115" s="925"/>
      <c r="EC115" s="925"/>
      <c r="ED115" s="925"/>
      <c r="EE115" s="925"/>
      <c r="EF115" s="925"/>
      <c r="EG115" s="925"/>
      <c r="EH115" s="925"/>
      <c r="EI115" s="925"/>
      <c r="EJ115" s="925"/>
      <c r="EK115" s="925"/>
      <c r="EL115" s="925"/>
      <c r="EM115" s="925"/>
      <c r="EN115" s="925"/>
      <c r="EO115" s="925"/>
      <c r="EP115" s="925"/>
      <c r="EQ115" s="925"/>
      <c r="ER115" s="925"/>
      <c r="ES115" s="925"/>
      <c r="ET115" s="925"/>
      <c r="EV115" s="924"/>
      <c r="EW115" s="925"/>
      <c r="EX115" s="925"/>
      <c r="EY115" s="925"/>
    </row>
    <row r="116" spans="1:155" s="927" customFormat="1" ht="15.75" x14ac:dyDescent="0.25">
      <c r="A116" s="912" t="s">
        <v>61</v>
      </c>
      <c r="B116" s="913" t="s">
        <v>36</v>
      </c>
      <c r="C116" s="914">
        <v>7</v>
      </c>
      <c r="D116" s="914">
        <v>13772</v>
      </c>
      <c r="E116" s="915">
        <v>1.0549999999999999</v>
      </c>
      <c r="F116" s="916">
        <f t="shared" si="77"/>
        <v>14530</v>
      </c>
      <c r="G116" s="915">
        <v>1.01</v>
      </c>
      <c r="H116" s="916">
        <f t="shared" si="78"/>
        <v>14676</v>
      </c>
      <c r="I116" s="917">
        <f t="shared" si="79"/>
        <v>102732</v>
      </c>
      <c r="J116" s="918">
        <f t="shared" si="80"/>
        <v>0.15714</v>
      </c>
      <c r="K116" s="919">
        <v>15149.2</v>
      </c>
      <c r="L116" s="917">
        <f t="shared" si="81"/>
        <v>16143.31</v>
      </c>
      <c r="M116" s="918">
        <f t="shared" si="82"/>
        <v>0</v>
      </c>
      <c r="N116" s="919"/>
      <c r="O116" s="917">
        <f t="shared" si="83"/>
        <v>0</v>
      </c>
      <c r="P116" s="918">
        <f t="shared" si="84"/>
        <v>0</v>
      </c>
      <c r="Q116" s="919"/>
      <c r="R116" s="917">
        <f t="shared" si="85"/>
        <v>0</v>
      </c>
      <c r="S116" s="918">
        <f t="shared" si="86"/>
        <v>0</v>
      </c>
      <c r="T116" s="919"/>
      <c r="U116" s="917">
        <f t="shared" si="87"/>
        <v>0</v>
      </c>
      <c r="V116" s="918">
        <f t="shared" si="88"/>
        <v>0</v>
      </c>
      <c r="W116" s="919"/>
      <c r="X116" s="917">
        <f t="shared" si="89"/>
        <v>0</v>
      </c>
      <c r="Y116" s="918">
        <f t="shared" si="90"/>
        <v>0</v>
      </c>
      <c r="Z116" s="919"/>
      <c r="AA116" s="917">
        <f t="shared" si="91"/>
        <v>0</v>
      </c>
      <c r="AB116" s="918">
        <f t="shared" si="92"/>
        <v>0.10357</v>
      </c>
      <c r="AC116" s="919">
        <v>9984.7000000000007</v>
      </c>
      <c r="AD116" s="917">
        <f t="shared" si="93"/>
        <v>10639.95</v>
      </c>
      <c r="AE116" s="918">
        <f t="shared" si="94"/>
        <v>0</v>
      </c>
      <c r="AF116" s="919"/>
      <c r="AG116" s="917">
        <f t="shared" si="95"/>
        <v>0</v>
      </c>
      <c r="AH116" s="918">
        <f t="shared" si="96"/>
        <v>0</v>
      </c>
      <c r="AI116" s="919"/>
      <c r="AJ116" s="917">
        <f t="shared" si="97"/>
        <v>0</v>
      </c>
      <c r="AK116" s="918">
        <f t="shared" si="98"/>
        <v>0</v>
      </c>
      <c r="AL116" s="919"/>
      <c r="AM116" s="917">
        <f t="shared" si="99"/>
        <v>0</v>
      </c>
      <c r="AN116" s="920">
        <v>19242</v>
      </c>
      <c r="AO116" s="917">
        <f t="shared" si="100"/>
        <v>5178.74</v>
      </c>
      <c r="AP116" s="920"/>
      <c r="AQ116" s="916">
        <f t="shared" si="101"/>
        <v>0</v>
      </c>
      <c r="AR116" s="917">
        <f t="shared" si="102"/>
        <v>134694</v>
      </c>
      <c r="AS116" s="916">
        <v>12</v>
      </c>
      <c r="AT116" s="921">
        <f t="shared" si="103"/>
        <v>1616328</v>
      </c>
      <c r="AU116" s="920"/>
      <c r="AV116" s="922">
        <f t="shared" si="104"/>
        <v>16163.28</v>
      </c>
      <c r="AW116" s="921">
        <f t="shared" si="105"/>
        <v>1632491.28</v>
      </c>
      <c r="AX116" s="921">
        <f t="shared" si="106"/>
        <v>493012.37</v>
      </c>
      <c r="AY116" s="921">
        <f t="shared" si="107"/>
        <v>2125503.65</v>
      </c>
      <c r="AZ116" s="923">
        <f t="shared" si="108"/>
        <v>1632.5</v>
      </c>
      <c r="BA116" s="923">
        <f t="shared" si="109"/>
        <v>493</v>
      </c>
      <c r="BB116" s="923">
        <f t="shared" si="110"/>
        <v>2125.5</v>
      </c>
      <c r="BC116" s="915">
        <v>0.95</v>
      </c>
      <c r="BD116" s="923">
        <f t="shared" si="111"/>
        <v>1550.9</v>
      </c>
      <c r="BE116" s="923">
        <f t="shared" si="112"/>
        <v>468.4</v>
      </c>
      <c r="BF116" s="923">
        <f t="shared" si="113"/>
        <v>2019.3</v>
      </c>
      <c r="BG116" s="924">
        <f>'[3]свод (2024)'!$B$116</f>
        <v>0.99758349999999996</v>
      </c>
      <c r="BH116" s="923">
        <f t="shared" si="114"/>
        <v>1547.2</v>
      </c>
      <c r="BI116" s="923">
        <f t="shared" si="115"/>
        <v>467.3</v>
      </c>
      <c r="BJ116" s="923">
        <f t="shared" si="116"/>
        <v>2014.5</v>
      </c>
      <c r="BK116" s="925">
        <f t="shared" si="117"/>
        <v>-85.3</v>
      </c>
      <c r="BL116" s="925">
        <f t="shared" si="117"/>
        <v>-25.7</v>
      </c>
      <c r="BM116" s="925">
        <f t="shared" si="118"/>
        <v>-111</v>
      </c>
      <c r="BN116" s="925">
        <f t="shared" si="119"/>
        <v>0</v>
      </c>
      <c r="BO116" s="925">
        <f t="shared" si="120"/>
        <v>0</v>
      </c>
      <c r="BP116" s="926"/>
      <c r="BQ116" s="925">
        <f t="shared" si="121"/>
        <v>1547.2</v>
      </c>
      <c r="BR116" s="925">
        <f t="shared" si="121"/>
        <v>467.3</v>
      </c>
      <c r="BS116" s="925">
        <f t="shared" si="122"/>
        <v>2014.5</v>
      </c>
      <c r="BU116" s="928">
        <f t="shared" si="123"/>
        <v>7</v>
      </c>
      <c r="BV116" s="917"/>
      <c r="BW116" s="928"/>
      <c r="BX116" s="928">
        <f t="shared" si="124"/>
        <v>1632491.28</v>
      </c>
      <c r="BY116" s="928"/>
      <c r="BZ116" s="917"/>
      <c r="CA116" s="928"/>
      <c r="CB116" s="917"/>
      <c r="CC116" s="928"/>
      <c r="CD116" s="928"/>
      <c r="CE116" s="928"/>
      <c r="CF116" s="929">
        <f t="shared" ref="CF116:CF124" si="126">CC$134/BU$134*BU116</f>
        <v>597621.1</v>
      </c>
      <c r="CG116" s="928"/>
      <c r="CH116" s="928"/>
      <c r="CI116" s="928"/>
      <c r="CJ116" s="925"/>
      <c r="CK116" s="925"/>
      <c r="CL116" s="925"/>
      <c r="CM116" s="925"/>
      <c r="CN116" s="925"/>
      <c r="CO116" s="925"/>
      <c r="CP116" s="925"/>
      <c r="CQ116" s="925"/>
      <c r="CR116" s="925"/>
      <c r="CS116" s="917"/>
      <c r="CT116" s="928"/>
      <c r="CU116" s="928"/>
      <c r="CV116" s="928"/>
      <c r="CX116" s="925"/>
      <c r="CY116" s="925"/>
      <c r="CZ116" s="925"/>
      <c r="DB116" s="925"/>
      <c r="DC116" s="925"/>
      <c r="DD116" s="925"/>
      <c r="DE116" s="925"/>
      <c r="DF116" s="925"/>
      <c r="DG116" s="925"/>
      <c r="DH116" s="925"/>
      <c r="DI116" s="925"/>
      <c r="DJ116" s="925"/>
      <c r="DK116" s="925"/>
      <c r="DL116" s="925"/>
      <c r="DM116" s="925"/>
      <c r="DN116" s="925"/>
      <c r="DO116" s="925"/>
      <c r="DP116" s="925"/>
      <c r="DQ116" s="924"/>
      <c r="DR116" s="925"/>
      <c r="DS116" s="925"/>
      <c r="DT116" s="925"/>
      <c r="DV116" s="925"/>
      <c r="DW116" s="925"/>
      <c r="DX116" s="925"/>
      <c r="DY116" s="925"/>
      <c r="DZ116" s="925"/>
      <c r="EA116" s="925"/>
      <c r="EB116" s="925"/>
      <c r="EC116" s="925"/>
      <c r="ED116" s="925"/>
      <c r="EE116" s="925"/>
      <c r="EF116" s="925"/>
      <c r="EG116" s="925"/>
      <c r="EH116" s="925"/>
      <c r="EI116" s="925"/>
      <c r="EJ116" s="925"/>
      <c r="EK116" s="925"/>
      <c r="EL116" s="925"/>
      <c r="EM116" s="925"/>
      <c r="EN116" s="925"/>
      <c r="EO116" s="925"/>
      <c r="EP116" s="925"/>
      <c r="EQ116" s="925"/>
      <c r="ER116" s="925"/>
      <c r="ES116" s="925"/>
      <c r="ET116" s="925"/>
      <c r="EV116" s="924"/>
      <c r="EW116" s="925"/>
      <c r="EX116" s="925"/>
      <c r="EY116" s="925"/>
    </row>
    <row r="117" spans="1:155" s="927" customFormat="1" ht="15.75" x14ac:dyDescent="0.25">
      <c r="A117" s="912" t="s">
        <v>61</v>
      </c>
      <c r="B117" s="913" t="s">
        <v>35</v>
      </c>
      <c r="C117" s="914">
        <v>46.67</v>
      </c>
      <c r="D117" s="914">
        <v>13132</v>
      </c>
      <c r="E117" s="915">
        <v>1.0549999999999999</v>
      </c>
      <c r="F117" s="916">
        <f t="shared" si="77"/>
        <v>13855</v>
      </c>
      <c r="G117" s="915">
        <v>1.01</v>
      </c>
      <c r="H117" s="916">
        <f t="shared" si="78"/>
        <v>13994</v>
      </c>
      <c r="I117" s="917">
        <f t="shared" si="79"/>
        <v>653099.98</v>
      </c>
      <c r="J117" s="918">
        <f t="shared" si="80"/>
        <v>0.19855999999999999</v>
      </c>
      <c r="K117" s="919">
        <v>121689.87</v>
      </c>
      <c r="L117" s="917">
        <f t="shared" si="81"/>
        <v>129679.53</v>
      </c>
      <c r="M117" s="918">
        <f t="shared" si="82"/>
        <v>0</v>
      </c>
      <c r="N117" s="919"/>
      <c r="O117" s="917">
        <f t="shared" si="83"/>
        <v>0</v>
      </c>
      <c r="P117" s="918">
        <f t="shared" si="84"/>
        <v>6.43E-3</v>
      </c>
      <c r="Q117" s="919">
        <v>3939.6</v>
      </c>
      <c r="R117" s="917">
        <f t="shared" si="85"/>
        <v>4199.43</v>
      </c>
      <c r="S117" s="918">
        <f t="shared" si="86"/>
        <v>0</v>
      </c>
      <c r="T117" s="919"/>
      <c r="U117" s="917">
        <f t="shared" si="87"/>
        <v>0</v>
      </c>
      <c r="V117" s="918">
        <f t="shared" si="88"/>
        <v>0</v>
      </c>
      <c r="W117" s="919"/>
      <c r="X117" s="917">
        <f t="shared" si="89"/>
        <v>0</v>
      </c>
      <c r="Y117" s="918">
        <f t="shared" si="90"/>
        <v>0</v>
      </c>
      <c r="Z117" s="919"/>
      <c r="AA117" s="917">
        <f t="shared" si="91"/>
        <v>0</v>
      </c>
      <c r="AB117" s="918">
        <f t="shared" si="92"/>
        <v>0.16200999999999999</v>
      </c>
      <c r="AC117" s="919">
        <v>99292.51</v>
      </c>
      <c r="AD117" s="917">
        <f t="shared" si="93"/>
        <v>105808.73</v>
      </c>
      <c r="AE117" s="918">
        <f t="shared" si="94"/>
        <v>4.2900000000000004E-3</v>
      </c>
      <c r="AF117" s="919">
        <v>2626.4</v>
      </c>
      <c r="AG117" s="917">
        <f t="shared" si="95"/>
        <v>2801.8</v>
      </c>
      <c r="AH117" s="918">
        <f t="shared" si="96"/>
        <v>0</v>
      </c>
      <c r="AI117" s="919"/>
      <c r="AJ117" s="917">
        <f t="shared" si="97"/>
        <v>0</v>
      </c>
      <c r="AK117" s="918">
        <f t="shared" si="98"/>
        <v>0</v>
      </c>
      <c r="AL117" s="919"/>
      <c r="AM117" s="917">
        <f t="shared" si="99"/>
        <v>0</v>
      </c>
      <c r="AN117" s="920">
        <v>19242</v>
      </c>
      <c r="AO117" s="917">
        <f t="shared" si="100"/>
        <v>2434.67</v>
      </c>
      <c r="AP117" s="920"/>
      <c r="AQ117" s="916">
        <f t="shared" si="101"/>
        <v>0</v>
      </c>
      <c r="AR117" s="917">
        <f t="shared" si="102"/>
        <v>898024.14</v>
      </c>
      <c r="AS117" s="916">
        <v>12</v>
      </c>
      <c r="AT117" s="921">
        <f t="shared" si="103"/>
        <v>10776289.68</v>
      </c>
      <c r="AU117" s="920"/>
      <c r="AV117" s="922">
        <f t="shared" si="104"/>
        <v>107762.9</v>
      </c>
      <c r="AW117" s="921">
        <f t="shared" si="105"/>
        <v>10884052.58</v>
      </c>
      <c r="AX117" s="921">
        <f t="shared" si="106"/>
        <v>3286983.88</v>
      </c>
      <c r="AY117" s="921">
        <f t="shared" si="107"/>
        <v>14171036.460000001</v>
      </c>
      <c r="AZ117" s="923">
        <f t="shared" si="108"/>
        <v>10884.1</v>
      </c>
      <c r="BA117" s="923">
        <f t="shared" si="109"/>
        <v>3287</v>
      </c>
      <c r="BB117" s="923">
        <f t="shared" si="110"/>
        <v>14171.1</v>
      </c>
      <c r="BC117" s="915">
        <v>0.95</v>
      </c>
      <c r="BD117" s="923">
        <f t="shared" si="111"/>
        <v>10339.9</v>
      </c>
      <c r="BE117" s="923">
        <f t="shared" si="112"/>
        <v>3122.6</v>
      </c>
      <c r="BF117" s="923">
        <f t="shared" si="113"/>
        <v>13462.5</v>
      </c>
      <c r="BG117" s="924">
        <f>'[3]свод (2024)'!$B$116</f>
        <v>0.99758349999999996</v>
      </c>
      <c r="BH117" s="923">
        <f t="shared" si="114"/>
        <v>10314.9</v>
      </c>
      <c r="BI117" s="923">
        <f t="shared" si="115"/>
        <v>3115.1</v>
      </c>
      <c r="BJ117" s="923">
        <f t="shared" si="116"/>
        <v>13430</v>
      </c>
      <c r="BK117" s="925">
        <f t="shared" si="117"/>
        <v>-569.20000000000005</v>
      </c>
      <c r="BL117" s="925">
        <f t="shared" si="117"/>
        <v>-171.9</v>
      </c>
      <c r="BM117" s="925">
        <f t="shared" si="118"/>
        <v>-741.1</v>
      </c>
      <c r="BN117" s="925">
        <f t="shared" si="119"/>
        <v>0</v>
      </c>
      <c r="BO117" s="925">
        <f t="shared" si="120"/>
        <v>0</v>
      </c>
      <c r="BP117" s="926"/>
      <c r="BQ117" s="925">
        <f t="shared" si="121"/>
        <v>10314.9</v>
      </c>
      <c r="BR117" s="925">
        <f t="shared" si="121"/>
        <v>3115.1</v>
      </c>
      <c r="BS117" s="925">
        <f t="shared" si="122"/>
        <v>13430</v>
      </c>
      <c r="BU117" s="928">
        <f t="shared" si="123"/>
        <v>46.67</v>
      </c>
      <c r="BV117" s="917"/>
      <c r="BW117" s="928"/>
      <c r="BX117" s="928">
        <f t="shared" si="124"/>
        <v>10884052.58</v>
      </c>
      <c r="BY117" s="928"/>
      <c r="BZ117" s="917"/>
      <c r="CA117" s="928"/>
      <c r="CB117" s="917"/>
      <c r="CC117" s="928"/>
      <c r="CD117" s="928"/>
      <c r="CE117" s="928"/>
      <c r="CF117" s="929">
        <f t="shared" si="126"/>
        <v>3984425.26</v>
      </c>
      <c r="CG117" s="928"/>
      <c r="CH117" s="928"/>
      <c r="CI117" s="928"/>
      <c r="CJ117" s="925"/>
      <c r="CK117" s="925"/>
      <c r="CL117" s="925"/>
      <c r="CM117" s="925"/>
      <c r="CN117" s="925"/>
      <c r="CO117" s="925"/>
      <c r="CP117" s="925"/>
      <c r="CQ117" s="925"/>
      <c r="CR117" s="925"/>
      <c r="CS117" s="917"/>
      <c r="CT117" s="928"/>
      <c r="CU117" s="928"/>
      <c r="CV117" s="928"/>
      <c r="CX117" s="925"/>
      <c r="CY117" s="925"/>
      <c r="CZ117" s="925"/>
      <c r="DB117" s="925"/>
      <c r="DC117" s="925"/>
      <c r="DD117" s="925"/>
      <c r="DE117" s="925"/>
      <c r="DF117" s="925"/>
      <c r="DG117" s="925"/>
      <c r="DH117" s="925"/>
      <c r="DI117" s="925"/>
      <c r="DJ117" s="925"/>
      <c r="DK117" s="925"/>
      <c r="DL117" s="925"/>
      <c r="DM117" s="925"/>
      <c r="DN117" s="925"/>
      <c r="DO117" s="925"/>
      <c r="DP117" s="925"/>
      <c r="DQ117" s="924"/>
      <c r="DR117" s="925"/>
      <c r="DS117" s="925"/>
      <c r="DT117" s="925"/>
      <c r="DV117" s="925"/>
      <c r="DW117" s="925"/>
      <c r="DX117" s="925"/>
      <c r="DY117" s="925"/>
      <c r="DZ117" s="925"/>
      <c r="EA117" s="925"/>
      <c r="EB117" s="925"/>
      <c r="EC117" s="925"/>
      <c r="ED117" s="925"/>
      <c r="EE117" s="925"/>
      <c r="EF117" s="925"/>
      <c r="EG117" s="925"/>
      <c r="EH117" s="925"/>
      <c r="EI117" s="925"/>
      <c r="EJ117" s="925"/>
      <c r="EK117" s="925"/>
      <c r="EL117" s="925"/>
      <c r="EM117" s="925"/>
      <c r="EN117" s="925"/>
      <c r="EO117" s="925"/>
      <c r="EP117" s="925"/>
      <c r="EQ117" s="925"/>
      <c r="ER117" s="925"/>
      <c r="ES117" s="925"/>
      <c r="ET117" s="925"/>
      <c r="EV117" s="924"/>
      <c r="EW117" s="925"/>
      <c r="EX117" s="925"/>
      <c r="EY117" s="925"/>
    </row>
    <row r="118" spans="1:155" s="927" customFormat="1" ht="15.75" x14ac:dyDescent="0.25">
      <c r="A118" s="912" t="s">
        <v>61</v>
      </c>
      <c r="B118" s="913" t="s">
        <v>37</v>
      </c>
      <c r="C118" s="914">
        <v>7</v>
      </c>
      <c r="D118" s="914">
        <v>13132</v>
      </c>
      <c r="E118" s="915">
        <v>1.0549999999999999</v>
      </c>
      <c r="F118" s="916">
        <f t="shared" si="77"/>
        <v>13855</v>
      </c>
      <c r="G118" s="915">
        <v>1.01</v>
      </c>
      <c r="H118" s="916">
        <f t="shared" si="78"/>
        <v>13994</v>
      </c>
      <c r="I118" s="917">
        <f t="shared" si="79"/>
        <v>97958</v>
      </c>
      <c r="J118" s="918">
        <f t="shared" si="80"/>
        <v>0.11214</v>
      </c>
      <c r="K118" s="919">
        <v>10308.620000000001</v>
      </c>
      <c r="L118" s="917">
        <f t="shared" si="81"/>
        <v>10985.01</v>
      </c>
      <c r="M118" s="918">
        <f t="shared" si="82"/>
        <v>0</v>
      </c>
      <c r="N118" s="919"/>
      <c r="O118" s="917">
        <f t="shared" si="83"/>
        <v>0</v>
      </c>
      <c r="P118" s="918">
        <f t="shared" si="84"/>
        <v>0</v>
      </c>
      <c r="Q118" s="919"/>
      <c r="R118" s="917">
        <f t="shared" si="85"/>
        <v>0</v>
      </c>
      <c r="S118" s="918">
        <f t="shared" si="86"/>
        <v>0</v>
      </c>
      <c r="T118" s="919"/>
      <c r="U118" s="917">
        <f t="shared" si="87"/>
        <v>0</v>
      </c>
      <c r="V118" s="918">
        <f t="shared" si="88"/>
        <v>0</v>
      </c>
      <c r="W118" s="919"/>
      <c r="X118" s="917">
        <f t="shared" si="89"/>
        <v>0</v>
      </c>
      <c r="Y118" s="918">
        <f t="shared" si="90"/>
        <v>0</v>
      </c>
      <c r="Z118" s="919"/>
      <c r="AA118" s="917">
        <f t="shared" si="91"/>
        <v>0</v>
      </c>
      <c r="AB118" s="918">
        <f t="shared" si="92"/>
        <v>9.2859999999999998E-2</v>
      </c>
      <c r="AC118" s="919">
        <v>8535.7999999999993</v>
      </c>
      <c r="AD118" s="917">
        <f t="shared" si="93"/>
        <v>9096.3799999999992</v>
      </c>
      <c r="AE118" s="918">
        <f t="shared" si="94"/>
        <v>0</v>
      </c>
      <c r="AF118" s="919"/>
      <c r="AG118" s="917">
        <f t="shared" si="95"/>
        <v>0</v>
      </c>
      <c r="AH118" s="918">
        <f t="shared" si="96"/>
        <v>0</v>
      </c>
      <c r="AI118" s="919"/>
      <c r="AJ118" s="917">
        <f t="shared" si="97"/>
        <v>0</v>
      </c>
      <c r="AK118" s="918">
        <f t="shared" si="98"/>
        <v>0</v>
      </c>
      <c r="AL118" s="919"/>
      <c r="AM118" s="917">
        <f t="shared" si="99"/>
        <v>0</v>
      </c>
      <c r="AN118" s="920">
        <v>19242</v>
      </c>
      <c r="AO118" s="917">
        <f t="shared" si="100"/>
        <v>16654.61</v>
      </c>
      <c r="AP118" s="920"/>
      <c r="AQ118" s="916">
        <f t="shared" si="101"/>
        <v>0</v>
      </c>
      <c r="AR118" s="917">
        <f t="shared" si="102"/>
        <v>134694</v>
      </c>
      <c r="AS118" s="916">
        <v>12</v>
      </c>
      <c r="AT118" s="921">
        <f t="shared" si="103"/>
        <v>1616328</v>
      </c>
      <c r="AU118" s="920"/>
      <c r="AV118" s="922">
        <f t="shared" si="104"/>
        <v>16163.28</v>
      </c>
      <c r="AW118" s="921">
        <f t="shared" si="105"/>
        <v>1632491.28</v>
      </c>
      <c r="AX118" s="921">
        <f t="shared" si="106"/>
        <v>493012.37</v>
      </c>
      <c r="AY118" s="921">
        <f t="shared" si="107"/>
        <v>2125503.65</v>
      </c>
      <c r="AZ118" s="923">
        <f t="shared" si="108"/>
        <v>1632.5</v>
      </c>
      <c r="BA118" s="923">
        <f t="shared" si="109"/>
        <v>493</v>
      </c>
      <c r="BB118" s="923">
        <f t="shared" si="110"/>
        <v>2125.5</v>
      </c>
      <c r="BC118" s="915">
        <v>0.95</v>
      </c>
      <c r="BD118" s="923">
        <f t="shared" si="111"/>
        <v>1550.9</v>
      </c>
      <c r="BE118" s="923">
        <f t="shared" si="112"/>
        <v>468.4</v>
      </c>
      <c r="BF118" s="923">
        <f t="shared" si="113"/>
        <v>2019.3</v>
      </c>
      <c r="BG118" s="924">
        <f>'[3]свод (2024)'!$B$116</f>
        <v>0.99758349999999996</v>
      </c>
      <c r="BH118" s="923">
        <f t="shared" si="114"/>
        <v>1547.2</v>
      </c>
      <c r="BI118" s="923">
        <f t="shared" si="115"/>
        <v>467.3</v>
      </c>
      <c r="BJ118" s="923">
        <f t="shared" si="116"/>
        <v>2014.5</v>
      </c>
      <c r="BK118" s="925">
        <f t="shared" si="117"/>
        <v>-85.3</v>
      </c>
      <c r="BL118" s="925">
        <f t="shared" si="117"/>
        <v>-25.7</v>
      </c>
      <c r="BM118" s="925">
        <f t="shared" si="118"/>
        <v>-111</v>
      </c>
      <c r="BN118" s="925">
        <f t="shared" si="119"/>
        <v>0</v>
      </c>
      <c r="BO118" s="925">
        <f t="shared" si="120"/>
        <v>0</v>
      </c>
      <c r="BP118" s="926"/>
      <c r="BQ118" s="925">
        <f t="shared" si="121"/>
        <v>1547.2</v>
      </c>
      <c r="BR118" s="925">
        <f t="shared" si="121"/>
        <v>467.3</v>
      </c>
      <c r="BS118" s="925">
        <f t="shared" si="122"/>
        <v>2014.5</v>
      </c>
      <c r="BU118" s="928">
        <f t="shared" si="123"/>
        <v>7</v>
      </c>
      <c r="BV118" s="917"/>
      <c r="BW118" s="928"/>
      <c r="BX118" s="928">
        <f t="shared" si="124"/>
        <v>1632491.28</v>
      </c>
      <c r="BY118" s="928"/>
      <c r="BZ118" s="917"/>
      <c r="CA118" s="928"/>
      <c r="CB118" s="917"/>
      <c r="CC118" s="928"/>
      <c r="CD118" s="928"/>
      <c r="CE118" s="928"/>
      <c r="CF118" s="929">
        <f t="shared" si="126"/>
        <v>597621.1</v>
      </c>
      <c r="CG118" s="928"/>
      <c r="CH118" s="928"/>
      <c r="CI118" s="928"/>
      <c r="CJ118" s="925"/>
      <c r="CK118" s="925"/>
      <c r="CL118" s="925"/>
      <c r="CM118" s="925"/>
      <c r="CN118" s="925"/>
      <c r="CO118" s="925"/>
      <c r="CP118" s="925"/>
      <c r="CQ118" s="925"/>
      <c r="CR118" s="925"/>
      <c r="CS118" s="917"/>
      <c r="CT118" s="928"/>
      <c r="CU118" s="928"/>
      <c r="CV118" s="928"/>
      <c r="CX118" s="925"/>
      <c r="CY118" s="925"/>
      <c r="CZ118" s="925"/>
      <c r="DB118" s="925"/>
      <c r="DC118" s="925"/>
      <c r="DD118" s="925"/>
      <c r="DE118" s="925"/>
      <c r="DF118" s="925"/>
      <c r="DG118" s="925"/>
      <c r="DH118" s="925"/>
      <c r="DI118" s="925"/>
      <c r="DJ118" s="925"/>
      <c r="DK118" s="925"/>
      <c r="DL118" s="925"/>
      <c r="DM118" s="925"/>
      <c r="DN118" s="925"/>
      <c r="DO118" s="925"/>
      <c r="DP118" s="925"/>
      <c r="DQ118" s="924"/>
      <c r="DR118" s="925"/>
      <c r="DS118" s="925"/>
      <c r="DT118" s="925"/>
      <c r="DV118" s="925"/>
      <c r="DW118" s="925"/>
      <c r="DX118" s="925"/>
      <c r="DY118" s="925"/>
      <c r="DZ118" s="925"/>
      <c r="EA118" s="925"/>
      <c r="EB118" s="925"/>
      <c r="EC118" s="925"/>
      <c r="ED118" s="925"/>
      <c r="EE118" s="925"/>
      <c r="EF118" s="925"/>
      <c r="EG118" s="925"/>
      <c r="EH118" s="925"/>
      <c r="EI118" s="925"/>
      <c r="EJ118" s="925"/>
      <c r="EK118" s="925"/>
      <c r="EL118" s="925"/>
      <c r="EM118" s="925"/>
      <c r="EN118" s="925"/>
      <c r="EO118" s="925"/>
      <c r="EP118" s="925"/>
      <c r="EQ118" s="925"/>
      <c r="ER118" s="925"/>
      <c r="ES118" s="925"/>
      <c r="ET118" s="925"/>
      <c r="EV118" s="924"/>
      <c r="EW118" s="925"/>
      <c r="EX118" s="925"/>
      <c r="EY118" s="925"/>
    </row>
    <row r="119" spans="1:155" s="927" customFormat="1" ht="15.75" x14ac:dyDescent="0.25">
      <c r="A119" s="912" t="s">
        <v>61</v>
      </c>
      <c r="B119" s="913" t="s">
        <v>1386</v>
      </c>
      <c r="C119" s="914">
        <v>1</v>
      </c>
      <c r="D119" s="914">
        <v>13772</v>
      </c>
      <c r="E119" s="915">
        <v>1.0549999999999999</v>
      </c>
      <c r="F119" s="916">
        <f t="shared" si="77"/>
        <v>14530</v>
      </c>
      <c r="G119" s="915">
        <v>1.01</v>
      </c>
      <c r="H119" s="916">
        <f t="shared" si="78"/>
        <v>14676</v>
      </c>
      <c r="I119" s="917">
        <f t="shared" si="79"/>
        <v>14676</v>
      </c>
      <c r="J119" s="918">
        <f t="shared" si="80"/>
        <v>0.25</v>
      </c>
      <c r="K119" s="919">
        <v>3443</v>
      </c>
      <c r="L119" s="917">
        <f t="shared" si="81"/>
        <v>3669</v>
      </c>
      <c r="M119" s="918">
        <f t="shared" si="82"/>
        <v>0</v>
      </c>
      <c r="N119" s="919"/>
      <c r="O119" s="917">
        <f t="shared" si="83"/>
        <v>0</v>
      </c>
      <c r="P119" s="918">
        <f t="shared" si="84"/>
        <v>0</v>
      </c>
      <c r="Q119" s="919"/>
      <c r="R119" s="917">
        <f t="shared" si="85"/>
        <v>0</v>
      </c>
      <c r="S119" s="918">
        <f t="shared" si="86"/>
        <v>0</v>
      </c>
      <c r="T119" s="919"/>
      <c r="U119" s="917">
        <f t="shared" si="87"/>
        <v>0</v>
      </c>
      <c r="V119" s="918">
        <f t="shared" si="88"/>
        <v>0</v>
      </c>
      <c r="W119" s="919"/>
      <c r="X119" s="917">
        <f t="shared" si="89"/>
        <v>0</v>
      </c>
      <c r="Y119" s="918">
        <f t="shared" si="90"/>
        <v>0</v>
      </c>
      <c r="Z119" s="919"/>
      <c r="AA119" s="917">
        <f t="shared" si="91"/>
        <v>0</v>
      </c>
      <c r="AB119" s="918">
        <f t="shared" si="92"/>
        <v>0.2</v>
      </c>
      <c r="AC119" s="919">
        <v>2754.4</v>
      </c>
      <c r="AD119" s="917">
        <f t="shared" si="93"/>
        <v>2935.2</v>
      </c>
      <c r="AE119" s="918">
        <f t="shared" si="94"/>
        <v>0</v>
      </c>
      <c r="AF119" s="919"/>
      <c r="AG119" s="917">
        <f t="shared" si="95"/>
        <v>0</v>
      </c>
      <c r="AH119" s="918">
        <f t="shared" si="96"/>
        <v>0</v>
      </c>
      <c r="AI119" s="919"/>
      <c r="AJ119" s="917">
        <f t="shared" si="97"/>
        <v>0</v>
      </c>
      <c r="AK119" s="918">
        <f t="shared" si="98"/>
        <v>0</v>
      </c>
      <c r="AL119" s="919"/>
      <c r="AM119" s="917">
        <f t="shared" si="99"/>
        <v>0</v>
      </c>
      <c r="AN119" s="920">
        <v>19242</v>
      </c>
      <c r="AO119" s="917">
        <f t="shared" si="100"/>
        <v>0</v>
      </c>
      <c r="AP119" s="920"/>
      <c r="AQ119" s="916">
        <f t="shared" si="101"/>
        <v>0</v>
      </c>
      <c r="AR119" s="917">
        <f t="shared" si="102"/>
        <v>21280.2</v>
      </c>
      <c r="AS119" s="916">
        <v>12</v>
      </c>
      <c r="AT119" s="921">
        <f t="shared" si="103"/>
        <v>255362.4</v>
      </c>
      <c r="AU119" s="920"/>
      <c r="AV119" s="922">
        <f t="shared" si="104"/>
        <v>2553.62</v>
      </c>
      <c r="AW119" s="921">
        <f t="shared" si="105"/>
        <v>257916.02</v>
      </c>
      <c r="AX119" s="921">
        <f t="shared" si="106"/>
        <v>77890.64</v>
      </c>
      <c r="AY119" s="921">
        <f t="shared" si="107"/>
        <v>335806.66</v>
      </c>
      <c r="AZ119" s="923">
        <f t="shared" si="108"/>
        <v>257.89999999999998</v>
      </c>
      <c r="BA119" s="923">
        <f t="shared" si="109"/>
        <v>77.900000000000006</v>
      </c>
      <c r="BB119" s="923">
        <f t="shared" si="110"/>
        <v>335.8</v>
      </c>
      <c r="BC119" s="915">
        <v>0.95</v>
      </c>
      <c r="BD119" s="923">
        <f t="shared" si="111"/>
        <v>245</v>
      </c>
      <c r="BE119" s="923">
        <f t="shared" si="112"/>
        <v>74</v>
      </c>
      <c r="BF119" s="923">
        <f t="shared" si="113"/>
        <v>319</v>
      </c>
      <c r="BG119" s="924">
        <f>'[3]свод (2024)'!$B$116</f>
        <v>0.99758349999999996</v>
      </c>
      <c r="BH119" s="923">
        <f t="shared" si="114"/>
        <v>244.4</v>
      </c>
      <c r="BI119" s="923">
        <f t="shared" si="115"/>
        <v>73.8</v>
      </c>
      <c r="BJ119" s="923">
        <f t="shared" si="116"/>
        <v>318.2</v>
      </c>
      <c r="BK119" s="925">
        <f t="shared" si="117"/>
        <v>-13.5</v>
      </c>
      <c r="BL119" s="925">
        <f t="shared" si="117"/>
        <v>-4.0999999999999996</v>
      </c>
      <c r="BM119" s="925">
        <f t="shared" si="118"/>
        <v>-17.600000000000001</v>
      </c>
      <c r="BN119" s="925">
        <f t="shared" si="119"/>
        <v>0</v>
      </c>
      <c r="BO119" s="925">
        <f t="shared" si="120"/>
        <v>0</v>
      </c>
      <c r="BP119" s="926"/>
      <c r="BQ119" s="925">
        <f t="shared" si="121"/>
        <v>244.4</v>
      </c>
      <c r="BR119" s="925">
        <f t="shared" si="121"/>
        <v>73.8</v>
      </c>
      <c r="BS119" s="925">
        <f t="shared" si="122"/>
        <v>318.2</v>
      </c>
      <c r="BU119" s="928">
        <f t="shared" si="123"/>
        <v>1</v>
      </c>
      <c r="BV119" s="917"/>
      <c r="BW119" s="928"/>
      <c r="BX119" s="928">
        <f t="shared" si="124"/>
        <v>257916.02</v>
      </c>
      <c r="BY119" s="928"/>
      <c r="BZ119" s="917"/>
      <c r="CA119" s="928"/>
      <c r="CB119" s="917"/>
      <c r="CC119" s="928"/>
      <c r="CD119" s="928"/>
      <c r="CE119" s="928"/>
      <c r="CF119" s="929">
        <f t="shared" si="126"/>
        <v>85374.44</v>
      </c>
      <c r="CG119" s="928"/>
      <c r="CH119" s="928"/>
      <c r="CI119" s="928"/>
      <c r="CJ119" s="925"/>
      <c r="CK119" s="925"/>
      <c r="CL119" s="925"/>
      <c r="CM119" s="925"/>
      <c r="CN119" s="925"/>
      <c r="CO119" s="925"/>
      <c r="CP119" s="925"/>
      <c r="CQ119" s="925"/>
      <c r="CR119" s="925"/>
      <c r="CS119" s="917"/>
      <c r="CT119" s="928"/>
      <c r="CU119" s="928"/>
      <c r="CV119" s="928"/>
      <c r="CX119" s="925"/>
      <c r="CY119" s="925"/>
      <c r="CZ119" s="925"/>
      <c r="DB119" s="925"/>
      <c r="DC119" s="925"/>
      <c r="DD119" s="925"/>
      <c r="DE119" s="925"/>
      <c r="DF119" s="925"/>
      <c r="DG119" s="925"/>
      <c r="DH119" s="925"/>
      <c r="DI119" s="925"/>
      <c r="DJ119" s="925"/>
      <c r="DK119" s="925"/>
      <c r="DL119" s="925"/>
      <c r="DM119" s="925"/>
      <c r="DN119" s="925"/>
      <c r="DO119" s="925"/>
      <c r="DP119" s="925"/>
      <c r="DQ119" s="924"/>
      <c r="DR119" s="925"/>
      <c r="DS119" s="925"/>
      <c r="DT119" s="925"/>
      <c r="DV119" s="925"/>
      <c r="DW119" s="925"/>
      <c r="DX119" s="925"/>
      <c r="DY119" s="925"/>
      <c r="DZ119" s="925"/>
      <c r="EA119" s="925"/>
      <c r="EB119" s="925"/>
      <c r="EC119" s="925"/>
      <c r="ED119" s="925"/>
      <c r="EE119" s="925"/>
      <c r="EF119" s="925"/>
      <c r="EG119" s="925"/>
      <c r="EH119" s="925"/>
      <c r="EI119" s="925"/>
      <c r="EJ119" s="925"/>
      <c r="EK119" s="925"/>
      <c r="EL119" s="925"/>
      <c r="EM119" s="925"/>
      <c r="EN119" s="925"/>
      <c r="EO119" s="925"/>
      <c r="EP119" s="925"/>
      <c r="EQ119" s="925"/>
      <c r="ER119" s="925"/>
      <c r="ES119" s="925"/>
      <c r="ET119" s="925"/>
      <c r="EV119" s="924"/>
      <c r="EW119" s="925"/>
      <c r="EX119" s="925"/>
      <c r="EY119" s="925"/>
    </row>
    <row r="120" spans="1:155" s="927" customFormat="1" ht="24" x14ac:dyDescent="0.25">
      <c r="A120" s="912" t="s">
        <v>61</v>
      </c>
      <c r="B120" s="913" t="s">
        <v>1400</v>
      </c>
      <c r="C120" s="914">
        <v>3</v>
      </c>
      <c r="D120" s="914">
        <v>4588</v>
      </c>
      <c r="E120" s="915">
        <v>1.0549999999999999</v>
      </c>
      <c r="F120" s="916">
        <f t="shared" si="77"/>
        <v>4841</v>
      </c>
      <c r="G120" s="915">
        <v>1.01</v>
      </c>
      <c r="H120" s="916">
        <f t="shared" si="78"/>
        <v>4890</v>
      </c>
      <c r="I120" s="917">
        <f t="shared" si="79"/>
        <v>14670</v>
      </c>
      <c r="J120" s="918">
        <f t="shared" si="80"/>
        <v>0</v>
      </c>
      <c r="K120" s="919"/>
      <c r="L120" s="917">
        <f t="shared" si="81"/>
        <v>0</v>
      </c>
      <c r="M120" s="918">
        <f t="shared" si="82"/>
        <v>0</v>
      </c>
      <c r="N120" s="919"/>
      <c r="O120" s="917">
        <f t="shared" si="83"/>
        <v>0</v>
      </c>
      <c r="P120" s="918">
        <f t="shared" si="84"/>
        <v>0</v>
      </c>
      <c r="Q120" s="919"/>
      <c r="R120" s="917">
        <f t="shared" si="85"/>
        <v>0</v>
      </c>
      <c r="S120" s="918">
        <f t="shared" si="86"/>
        <v>0</v>
      </c>
      <c r="T120" s="919"/>
      <c r="U120" s="917">
        <f t="shared" si="87"/>
        <v>0</v>
      </c>
      <c r="V120" s="918">
        <f t="shared" si="88"/>
        <v>0</v>
      </c>
      <c r="W120" s="919"/>
      <c r="X120" s="917">
        <f t="shared" si="89"/>
        <v>0</v>
      </c>
      <c r="Y120" s="918">
        <f t="shared" si="90"/>
        <v>0</v>
      </c>
      <c r="Z120" s="919"/>
      <c r="AA120" s="917">
        <f t="shared" si="91"/>
        <v>0</v>
      </c>
      <c r="AB120" s="918">
        <f t="shared" si="92"/>
        <v>0</v>
      </c>
      <c r="AC120" s="919"/>
      <c r="AD120" s="917">
        <f t="shared" si="93"/>
        <v>0</v>
      </c>
      <c r="AE120" s="918">
        <f t="shared" si="94"/>
        <v>0</v>
      </c>
      <c r="AF120" s="919"/>
      <c r="AG120" s="917">
        <f t="shared" si="95"/>
        <v>0</v>
      </c>
      <c r="AH120" s="918">
        <f t="shared" si="96"/>
        <v>0</v>
      </c>
      <c r="AI120" s="919"/>
      <c r="AJ120" s="917">
        <f t="shared" si="97"/>
        <v>0</v>
      </c>
      <c r="AK120" s="918">
        <f t="shared" si="98"/>
        <v>0</v>
      </c>
      <c r="AL120" s="919"/>
      <c r="AM120" s="917">
        <f t="shared" si="99"/>
        <v>0</v>
      </c>
      <c r="AN120" s="920">
        <v>19242</v>
      </c>
      <c r="AO120" s="917">
        <f t="shared" si="100"/>
        <v>43056</v>
      </c>
      <c r="AP120" s="920"/>
      <c r="AQ120" s="916">
        <f t="shared" si="101"/>
        <v>0</v>
      </c>
      <c r="AR120" s="917">
        <f t="shared" si="102"/>
        <v>57726</v>
      </c>
      <c r="AS120" s="916">
        <v>12</v>
      </c>
      <c r="AT120" s="921">
        <f t="shared" si="103"/>
        <v>692712</v>
      </c>
      <c r="AU120" s="920"/>
      <c r="AV120" s="922">
        <f t="shared" si="104"/>
        <v>6927.12</v>
      </c>
      <c r="AW120" s="921">
        <f t="shared" si="105"/>
        <v>699639.12</v>
      </c>
      <c r="AX120" s="921">
        <f t="shared" si="106"/>
        <v>211291.01</v>
      </c>
      <c r="AY120" s="921">
        <f t="shared" si="107"/>
        <v>910930.13</v>
      </c>
      <c r="AZ120" s="923">
        <f t="shared" si="108"/>
        <v>699.6</v>
      </c>
      <c r="BA120" s="923">
        <f t="shared" si="109"/>
        <v>211.3</v>
      </c>
      <c r="BB120" s="923">
        <f t="shared" si="110"/>
        <v>910.9</v>
      </c>
      <c r="BC120" s="915">
        <v>0.95</v>
      </c>
      <c r="BD120" s="923">
        <f t="shared" si="111"/>
        <v>664.6</v>
      </c>
      <c r="BE120" s="923">
        <f t="shared" si="112"/>
        <v>200.7</v>
      </c>
      <c r="BF120" s="923">
        <f t="shared" si="113"/>
        <v>865.3</v>
      </c>
      <c r="BG120" s="924">
        <f>'[3]свод (2024)'!$B$116</f>
        <v>0.99758349999999996</v>
      </c>
      <c r="BH120" s="923">
        <f t="shared" si="114"/>
        <v>663</v>
      </c>
      <c r="BI120" s="923">
        <f t="shared" si="115"/>
        <v>200.2</v>
      </c>
      <c r="BJ120" s="923">
        <f t="shared" si="116"/>
        <v>863.2</v>
      </c>
      <c r="BK120" s="925">
        <f t="shared" si="117"/>
        <v>-36.6</v>
      </c>
      <c r="BL120" s="925">
        <f t="shared" si="117"/>
        <v>-11.1</v>
      </c>
      <c r="BM120" s="925">
        <f t="shared" si="118"/>
        <v>-47.7</v>
      </c>
      <c r="BN120" s="925">
        <f t="shared" si="119"/>
        <v>0</v>
      </c>
      <c r="BO120" s="925">
        <f t="shared" si="120"/>
        <v>0</v>
      </c>
      <c r="BP120" s="926"/>
      <c r="BQ120" s="925">
        <f t="shared" si="121"/>
        <v>663</v>
      </c>
      <c r="BR120" s="925">
        <f t="shared" si="121"/>
        <v>200.2</v>
      </c>
      <c r="BS120" s="925">
        <f t="shared" si="122"/>
        <v>863.2</v>
      </c>
      <c r="BU120" s="928"/>
      <c r="BV120" s="917"/>
      <c r="BW120" s="928"/>
      <c r="BX120" s="928"/>
      <c r="BY120" s="928"/>
      <c r="BZ120" s="917"/>
      <c r="CA120" s="928"/>
      <c r="CB120" s="917"/>
      <c r="CC120" s="928"/>
      <c r="CD120" s="928"/>
      <c r="CE120" s="928"/>
      <c r="CF120" s="929"/>
      <c r="CG120" s="928"/>
      <c r="CH120" s="928"/>
      <c r="CI120" s="928"/>
      <c r="CJ120" s="925"/>
      <c r="CK120" s="925"/>
      <c r="CL120" s="925"/>
      <c r="CM120" s="925"/>
      <c r="CN120" s="925"/>
      <c r="CO120" s="925"/>
      <c r="CP120" s="925"/>
      <c r="CQ120" s="925"/>
      <c r="CR120" s="925"/>
      <c r="CS120" s="917"/>
      <c r="CT120" s="928"/>
      <c r="CU120" s="928"/>
      <c r="CV120" s="928"/>
      <c r="CX120" s="925"/>
      <c r="CY120" s="925"/>
      <c r="CZ120" s="925"/>
      <c r="DB120" s="925"/>
      <c r="DC120" s="925"/>
      <c r="DD120" s="925"/>
      <c r="DE120" s="925"/>
      <c r="DF120" s="925"/>
      <c r="DG120" s="925"/>
      <c r="DH120" s="925"/>
      <c r="DI120" s="925"/>
      <c r="DJ120" s="925"/>
      <c r="DK120" s="925"/>
      <c r="DL120" s="925"/>
      <c r="DM120" s="925"/>
      <c r="DN120" s="925"/>
      <c r="DO120" s="925"/>
      <c r="DP120" s="925"/>
      <c r="DQ120" s="924"/>
      <c r="DR120" s="925"/>
      <c r="DS120" s="925"/>
      <c r="DT120" s="925"/>
      <c r="DV120" s="925"/>
      <c r="DW120" s="925"/>
      <c r="DX120" s="925"/>
      <c r="DY120" s="925"/>
      <c r="DZ120" s="925"/>
      <c r="EA120" s="925"/>
      <c r="EB120" s="925"/>
      <c r="EC120" s="925"/>
      <c r="ED120" s="925"/>
      <c r="EE120" s="925"/>
      <c r="EF120" s="925"/>
      <c r="EG120" s="925"/>
      <c r="EH120" s="925"/>
      <c r="EI120" s="925"/>
      <c r="EJ120" s="925"/>
      <c r="EK120" s="925"/>
      <c r="EL120" s="925"/>
      <c r="EM120" s="925"/>
      <c r="EN120" s="925"/>
      <c r="EO120" s="925"/>
      <c r="EP120" s="925"/>
      <c r="EQ120" s="925"/>
      <c r="ER120" s="925"/>
      <c r="ES120" s="925"/>
      <c r="ET120" s="925"/>
      <c r="EV120" s="924"/>
      <c r="EW120" s="925"/>
      <c r="EX120" s="925"/>
      <c r="EY120" s="925"/>
    </row>
    <row r="121" spans="1:155" s="927" customFormat="1" ht="15.75" x14ac:dyDescent="0.25">
      <c r="A121" s="912" t="s">
        <v>61</v>
      </c>
      <c r="B121" s="913" t="s">
        <v>1401</v>
      </c>
      <c r="C121" s="914">
        <v>2</v>
      </c>
      <c r="D121" s="914">
        <v>4588</v>
      </c>
      <c r="E121" s="915">
        <v>1.0549999999999999</v>
      </c>
      <c r="F121" s="916">
        <f t="shared" si="77"/>
        <v>4841</v>
      </c>
      <c r="G121" s="915">
        <v>1.01</v>
      </c>
      <c r="H121" s="916">
        <f t="shared" si="78"/>
        <v>4890</v>
      </c>
      <c r="I121" s="917">
        <f t="shared" si="79"/>
        <v>9780</v>
      </c>
      <c r="J121" s="918">
        <f t="shared" si="80"/>
        <v>0</v>
      </c>
      <c r="K121" s="919"/>
      <c r="L121" s="917">
        <f t="shared" si="81"/>
        <v>0</v>
      </c>
      <c r="M121" s="918">
        <f t="shared" si="82"/>
        <v>0</v>
      </c>
      <c r="N121" s="919"/>
      <c r="O121" s="917">
        <f t="shared" si="83"/>
        <v>0</v>
      </c>
      <c r="P121" s="918">
        <f t="shared" si="84"/>
        <v>0</v>
      </c>
      <c r="Q121" s="919"/>
      <c r="R121" s="917">
        <f t="shared" si="85"/>
        <v>0</v>
      </c>
      <c r="S121" s="918">
        <f t="shared" si="86"/>
        <v>0</v>
      </c>
      <c r="T121" s="919"/>
      <c r="U121" s="917">
        <f t="shared" si="87"/>
        <v>0</v>
      </c>
      <c r="V121" s="918">
        <f t="shared" si="88"/>
        <v>0</v>
      </c>
      <c r="W121" s="919"/>
      <c r="X121" s="917">
        <f t="shared" si="89"/>
        <v>0</v>
      </c>
      <c r="Y121" s="918">
        <f t="shared" si="90"/>
        <v>0</v>
      </c>
      <c r="Z121" s="919"/>
      <c r="AA121" s="917">
        <f t="shared" si="91"/>
        <v>0</v>
      </c>
      <c r="AB121" s="918">
        <f t="shared" si="92"/>
        <v>0</v>
      </c>
      <c r="AC121" s="919"/>
      <c r="AD121" s="917">
        <f t="shared" si="93"/>
        <v>0</v>
      </c>
      <c r="AE121" s="918">
        <f t="shared" si="94"/>
        <v>0</v>
      </c>
      <c r="AF121" s="919"/>
      <c r="AG121" s="917">
        <f t="shared" si="95"/>
        <v>0</v>
      </c>
      <c r="AH121" s="918">
        <f t="shared" si="96"/>
        <v>0</v>
      </c>
      <c r="AI121" s="919"/>
      <c r="AJ121" s="917">
        <f t="shared" si="97"/>
        <v>0</v>
      </c>
      <c r="AK121" s="918">
        <f t="shared" si="98"/>
        <v>0</v>
      </c>
      <c r="AL121" s="919"/>
      <c r="AM121" s="917">
        <f t="shared" si="99"/>
        <v>0</v>
      </c>
      <c r="AN121" s="920">
        <v>19242</v>
      </c>
      <c r="AO121" s="917">
        <f t="shared" si="100"/>
        <v>28704</v>
      </c>
      <c r="AP121" s="920"/>
      <c r="AQ121" s="916">
        <f t="shared" si="101"/>
        <v>0</v>
      </c>
      <c r="AR121" s="917">
        <f t="shared" si="102"/>
        <v>38484</v>
      </c>
      <c r="AS121" s="916">
        <v>12</v>
      </c>
      <c r="AT121" s="921">
        <f t="shared" si="103"/>
        <v>461808</v>
      </c>
      <c r="AU121" s="920">
        <f>AT121*0.085</f>
        <v>39253.68</v>
      </c>
      <c r="AV121" s="922">
        <f t="shared" si="104"/>
        <v>4618.08</v>
      </c>
      <c r="AW121" s="921">
        <f t="shared" si="105"/>
        <v>505679.76</v>
      </c>
      <c r="AX121" s="921">
        <f t="shared" si="106"/>
        <v>152715.29</v>
      </c>
      <c r="AY121" s="921">
        <f t="shared" si="107"/>
        <v>658395.05000000005</v>
      </c>
      <c r="AZ121" s="923">
        <f t="shared" si="108"/>
        <v>505.7</v>
      </c>
      <c r="BA121" s="923">
        <f t="shared" si="109"/>
        <v>152.69999999999999</v>
      </c>
      <c r="BB121" s="923">
        <f t="shared" si="110"/>
        <v>658.4</v>
      </c>
      <c r="BC121" s="915">
        <v>0.95</v>
      </c>
      <c r="BD121" s="923">
        <f t="shared" si="111"/>
        <v>480.4</v>
      </c>
      <c r="BE121" s="923">
        <f t="shared" si="112"/>
        <v>145.1</v>
      </c>
      <c r="BF121" s="923">
        <f t="shared" si="113"/>
        <v>625.5</v>
      </c>
      <c r="BG121" s="924">
        <f>'[3]свод (2024)'!$B$116</f>
        <v>0.99758349999999996</v>
      </c>
      <c r="BH121" s="923">
        <f t="shared" si="114"/>
        <v>479.2</v>
      </c>
      <c r="BI121" s="923">
        <f t="shared" si="115"/>
        <v>144.69999999999999</v>
      </c>
      <c r="BJ121" s="923">
        <f t="shared" si="116"/>
        <v>623.9</v>
      </c>
      <c r="BK121" s="925">
        <f t="shared" si="117"/>
        <v>-26.5</v>
      </c>
      <c r="BL121" s="925">
        <f t="shared" si="117"/>
        <v>-8</v>
      </c>
      <c r="BM121" s="925">
        <f t="shared" si="118"/>
        <v>-34.5</v>
      </c>
      <c r="BN121" s="925">
        <f t="shared" si="119"/>
        <v>0</v>
      </c>
      <c r="BO121" s="925">
        <f t="shared" si="120"/>
        <v>0</v>
      </c>
      <c r="BP121" s="926"/>
      <c r="BQ121" s="925">
        <f t="shared" si="121"/>
        <v>479.2</v>
      </c>
      <c r="BR121" s="925">
        <f t="shared" si="121"/>
        <v>144.69999999999999</v>
      </c>
      <c r="BS121" s="925">
        <f t="shared" si="122"/>
        <v>623.9</v>
      </c>
      <c r="BU121" s="928"/>
      <c r="BV121" s="917"/>
      <c r="BW121" s="928"/>
      <c r="BX121" s="928"/>
      <c r="BY121" s="928"/>
      <c r="BZ121" s="917"/>
      <c r="CA121" s="928"/>
      <c r="CB121" s="917"/>
      <c r="CC121" s="928"/>
      <c r="CD121" s="928"/>
      <c r="CE121" s="928"/>
      <c r="CF121" s="929"/>
      <c r="CG121" s="928"/>
      <c r="CH121" s="928"/>
      <c r="CI121" s="928"/>
      <c r="CJ121" s="925"/>
      <c r="CK121" s="925"/>
      <c r="CL121" s="925"/>
      <c r="CM121" s="925"/>
      <c r="CN121" s="925"/>
      <c r="CO121" s="925"/>
      <c r="CP121" s="925"/>
      <c r="CQ121" s="925"/>
      <c r="CR121" s="925"/>
      <c r="CS121" s="917"/>
      <c r="CT121" s="928"/>
      <c r="CU121" s="928"/>
      <c r="CV121" s="928"/>
      <c r="CX121" s="925"/>
      <c r="CY121" s="925"/>
      <c r="CZ121" s="925"/>
      <c r="DB121" s="925"/>
      <c r="DC121" s="925"/>
      <c r="DD121" s="925"/>
      <c r="DE121" s="925"/>
      <c r="DF121" s="925"/>
      <c r="DG121" s="925"/>
      <c r="DH121" s="925"/>
      <c r="DI121" s="925"/>
      <c r="DJ121" s="925"/>
      <c r="DK121" s="925"/>
      <c r="DL121" s="925"/>
      <c r="DM121" s="925"/>
      <c r="DN121" s="925"/>
      <c r="DO121" s="925"/>
      <c r="DP121" s="925"/>
      <c r="DQ121" s="924"/>
      <c r="DR121" s="925"/>
      <c r="DS121" s="925"/>
      <c r="DT121" s="925"/>
      <c r="DV121" s="925"/>
      <c r="DW121" s="925"/>
      <c r="DX121" s="925"/>
      <c r="DY121" s="925"/>
      <c r="DZ121" s="925"/>
      <c r="EA121" s="925"/>
      <c r="EB121" s="925"/>
      <c r="EC121" s="925"/>
      <c r="ED121" s="925"/>
      <c r="EE121" s="925"/>
      <c r="EF121" s="925"/>
      <c r="EG121" s="925"/>
      <c r="EH121" s="925"/>
      <c r="EI121" s="925"/>
      <c r="EJ121" s="925"/>
      <c r="EK121" s="925"/>
      <c r="EL121" s="925"/>
      <c r="EM121" s="925"/>
      <c r="EN121" s="925"/>
      <c r="EO121" s="925"/>
      <c r="EP121" s="925"/>
      <c r="EQ121" s="925"/>
      <c r="ER121" s="925"/>
      <c r="ES121" s="925"/>
      <c r="ET121" s="925"/>
      <c r="EV121" s="924"/>
      <c r="EW121" s="925"/>
      <c r="EX121" s="925"/>
      <c r="EY121" s="925"/>
    </row>
    <row r="122" spans="1:155" s="927" customFormat="1" ht="15.75" x14ac:dyDescent="0.25">
      <c r="A122" s="912" t="s">
        <v>61</v>
      </c>
      <c r="B122" s="913" t="s">
        <v>41</v>
      </c>
      <c r="C122" s="914">
        <v>1</v>
      </c>
      <c r="D122" s="914">
        <v>7912</v>
      </c>
      <c r="E122" s="915">
        <v>1.0549999999999999</v>
      </c>
      <c r="F122" s="916">
        <f t="shared" si="77"/>
        <v>8348</v>
      </c>
      <c r="G122" s="915">
        <v>1.01</v>
      </c>
      <c r="H122" s="916">
        <f t="shared" si="78"/>
        <v>8432</v>
      </c>
      <c r="I122" s="917">
        <f t="shared" si="79"/>
        <v>8432</v>
      </c>
      <c r="J122" s="918">
        <f t="shared" si="80"/>
        <v>0</v>
      </c>
      <c r="K122" s="919"/>
      <c r="L122" s="917">
        <f t="shared" si="81"/>
        <v>0</v>
      </c>
      <c r="M122" s="918">
        <f t="shared" si="82"/>
        <v>0.04</v>
      </c>
      <c r="N122" s="919">
        <v>316.48</v>
      </c>
      <c r="O122" s="917">
        <f t="shared" si="83"/>
        <v>337.28</v>
      </c>
      <c r="P122" s="918">
        <f t="shared" si="84"/>
        <v>0</v>
      </c>
      <c r="Q122" s="919"/>
      <c r="R122" s="917">
        <f t="shared" si="85"/>
        <v>0</v>
      </c>
      <c r="S122" s="918">
        <f t="shared" si="86"/>
        <v>0.15</v>
      </c>
      <c r="T122" s="919">
        <v>1186.8</v>
      </c>
      <c r="U122" s="917">
        <f t="shared" si="87"/>
        <v>1264.8</v>
      </c>
      <c r="V122" s="918">
        <f t="shared" si="88"/>
        <v>0</v>
      </c>
      <c r="W122" s="919"/>
      <c r="X122" s="917">
        <f t="shared" si="89"/>
        <v>0</v>
      </c>
      <c r="Y122" s="918">
        <f t="shared" si="90"/>
        <v>1.99</v>
      </c>
      <c r="Z122" s="919">
        <v>15744.88</v>
      </c>
      <c r="AA122" s="917">
        <f t="shared" si="91"/>
        <v>16779.68</v>
      </c>
      <c r="AB122" s="918">
        <f t="shared" si="92"/>
        <v>0.15</v>
      </c>
      <c r="AC122" s="919">
        <v>1186.8</v>
      </c>
      <c r="AD122" s="917">
        <f t="shared" si="93"/>
        <v>1264.8</v>
      </c>
      <c r="AE122" s="918">
        <f t="shared" si="94"/>
        <v>0</v>
      </c>
      <c r="AF122" s="919"/>
      <c r="AG122" s="917">
        <f t="shared" si="95"/>
        <v>0</v>
      </c>
      <c r="AH122" s="918">
        <f t="shared" si="96"/>
        <v>0</v>
      </c>
      <c r="AI122" s="919"/>
      <c r="AJ122" s="917">
        <f t="shared" si="97"/>
        <v>0</v>
      </c>
      <c r="AK122" s="918">
        <f t="shared" si="98"/>
        <v>0</v>
      </c>
      <c r="AL122" s="919"/>
      <c r="AM122" s="917">
        <f t="shared" si="99"/>
        <v>0</v>
      </c>
      <c r="AN122" s="920">
        <v>19242</v>
      </c>
      <c r="AO122" s="917">
        <f t="shared" si="100"/>
        <v>0</v>
      </c>
      <c r="AP122" s="920"/>
      <c r="AQ122" s="916">
        <f t="shared" si="101"/>
        <v>0</v>
      </c>
      <c r="AR122" s="917">
        <f t="shared" si="102"/>
        <v>28078.560000000001</v>
      </c>
      <c r="AS122" s="916">
        <v>12</v>
      </c>
      <c r="AT122" s="921">
        <f t="shared" si="103"/>
        <v>336942.72</v>
      </c>
      <c r="AU122" s="920"/>
      <c r="AV122" s="922">
        <f t="shared" si="104"/>
        <v>3369.43</v>
      </c>
      <c r="AW122" s="921">
        <f t="shared" si="105"/>
        <v>340312.15</v>
      </c>
      <c r="AX122" s="921">
        <f t="shared" si="106"/>
        <v>102774.27</v>
      </c>
      <c r="AY122" s="921">
        <f t="shared" si="107"/>
        <v>443086.42</v>
      </c>
      <c r="AZ122" s="923">
        <f t="shared" si="108"/>
        <v>340.3</v>
      </c>
      <c r="BA122" s="923">
        <f t="shared" si="109"/>
        <v>102.8</v>
      </c>
      <c r="BB122" s="923">
        <f t="shared" si="110"/>
        <v>443.1</v>
      </c>
      <c r="BC122" s="915">
        <v>0.95</v>
      </c>
      <c r="BD122" s="923">
        <f t="shared" si="111"/>
        <v>323.3</v>
      </c>
      <c r="BE122" s="923">
        <f t="shared" si="112"/>
        <v>97.6</v>
      </c>
      <c r="BF122" s="923">
        <f t="shared" si="113"/>
        <v>420.9</v>
      </c>
      <c r="BG122" s="924">
        <f>'[3]свод (2024)'!$B$116</f>
        <v>0.99758349999999996</v>
      </c>
      <c r="BH122" s="923">
        <f t="shared" si="114"/>
        <v>322.5</v>
      </c>
      <c r="BI122" s="923">
        <f t="shared" si="115"/>
        <v>97.4</v>
      </c>
      <c r="BJ122" s="923">
        <f t="shared" si="116"/>
        <v>419.9</v>
      </c>
      <c r="BK122" s="925">
        <f t="shared" si="117"/>
        <v>-17.8</v>
      </c>
      <c r="BL122" s="925">
        <f t="shared" si="117"/>
        <v>-5.4</v>
      </c>
      <c r="BM122" s="925">
        <f t="shared" si="118"/>
        <v>-23.2</v>
      </c>
      <c r="BN122" s="925">
        <f t="shared" si="119"/>
        <v>0</v>
      </c>
      <c r="BO122" s="925">
        <f t="shared" si="120"/>
        <v>0</v>
      </c>
      <c r="BP122" s="926"/>
      <c r="BQ122" s="925">
        <f t="shared" si="121"/>
        <v>322.5</v>
      </c>
      <c r="BR122" s="925">
        <f t="shared" si="121"/>
        <v>97.4</v>
      </c>
      <c r="BS122" s="925">
        <f t="shared" si="122"/>
        <v>419.9</v>
      </c>
      <c r="BU122" s="928"/>
      <c r="BV122" s="917"/>
      <c r="BW122" s="928"/>
      <c r="BX122" s="928"/>
      <c r="BY122" s="928"/>
      <c r="BZ122" s="917"/>
      <c r="CA122" s="928"/>
      <c r="CB122" s="917"/>
      <c r="CC122" s="928"/>
      <c r="CD122" s="928"/>
      <c r="CE122" s="928"/>
      <c r="CF122" s="929"/>
      <c r="CG122" s="928"/>
      <c r="CH122" s="928"/>
      <c r="CI122" s="928"/>
      <c r="CJ122" s="925"/>
      <c r="CK122" s="925"/>
      <c r="CL122" s="925"/>
      <c r="CM122" s="925"/>
      <c r="CN122" s="925"/>
      <c r="CO122" s="925"/>
      <c r="CP122" s="925"/>
      <c r="CQ122" s="925"/>
      <c r="CR122" s="925"/>
      <c r="CS122" s="917"/>
      <c r="CT122" s="928"/>
      <c r="CU122" s="928"/>
      <c r="CV122" s="928"/>
      <c r="CX122" s="925"/>
      <c r="CY122" s="925"/>
      <c r="CZ122" s="925"/>
      <c r="DB122" s="925"/>
      <c r="DC122" s="925"/>
      <c r="DD122" s="925"/>
      <c r="DE122" s="925"/>
      <c r="DF122" s="925"/>
      <c r="DG122" s="925"/>
      <c r="DH122" s="925"/>
      <c r="DI122" s="925"/>
      <c r="DJ122" s="925"/>
      <c r="DK122" s="925"/>
      <c r="DL122" s="925"/>
      <c r="DM122" s="925"/>
      <c r="DN122" s="925"/>
      <c r="DO122" s="925"/>
      <c r="DP122" s="925"/>
      <c r="DQ122" s="924"/>
      <c r="DR122" s="925"/>
      <c r="DS122" s="925"/>
      <c r="DT122" s="925"/>
      <c r="DV122" s="925"/>
      <c r="DW122" s="925"/>
      <c r="DX122" s="925"/>
      <c r="DY122" s="925"/>
      <c r="DZ122" s="925"/>
      <c r="EA122" s="925"/>
      <c r="EB122" s="925"/>
      <c r="EC122" s="925"/>
      <c r="ED122" s="925"/>
      <c r="EE122" s="925"/>
      <c r="EF122" s="925"/>
      <c r="EG122" s="925"/>
      <c r="EH122" s="925"/>
      <c r="EI122" s="925"/>
      <c r="EJ122" s="925"/>
      <c r="EK122" s="925"/>
      <c r="EL122" s="925"/>
      <c r="EM122" s="925"/>
      <c r="EN122" s="925"/>
      <c r="EO122" s="925"/>
      <c r="EP122" s="925"/>
      <c r="EQ122" s="925"/>
      <c r="ER122" s="925"/>
      <c r="ES122" s="925"/>
      <c r="ET122" s="925"/>
      <c r="EV122" s="924"/>
      <c r="EW122" s="925"/>
      <c r="EX122" s="925"/>
      <c r="EY122" s="925"/>
    </row>
    <row r="123" spans="1:155" s="927" customFormat="1" ht="15.75" x14ac:dyDescent="0.25">
      <c r="A123" s="912" t="s">
        <v>61</v>
      </c>
      <c r="B123" s="913" t="s">
        <v>1402</v>
      </c>
      <c r="C123" s="914">
        <v>1.5</v>
      </c>
      <c r="D123" s="914">
        <v>5454</v>
      </c>
      <c r="E123" s="915">
        <v>1.0549999999999999</v>
      </c>
      <c r="F123" s="916">
        <f t="shared" si="77"/>
        <v>5754</v>
      </c>
      <c r="G123" s="915">
        <v>1.01</v>
      </c>
      <c r="H123" s="916">
        <f t="shared" si="78"/>
        <v>5812</v>
      </c>
      <c r="I123" s="917">
        <f t="shared" si="79"/>
        <v>8718</v>
      </c>
      <c r="J123" s="918">
        <f t="shared" si="80"/>
        <v>0</v>
      </c>
      <c r="K123" s="919"/>
      <c r="L123" s="917">
        <f t="shared" si="81"/>
        <v>0</v>
      </c>
      <c r="M123" s="918">
        <f t="shared" si="82"/>
        <v>0</v>
      </c>
      <c r="N123" s="919"/>
      <c r="O123" s="917">
        <f t="shared" si="83"/>
        <v>0</v>
      </c>
      <c r="P123" s="918">
        <f t="shared" si="84"/>
        <v>0</v>
      </c>
      <c r="Q123" s="919"/>
      <c r="R123" s="917">
        <f t="shared" si="85"/>
        <v>0</v>
      </c>
      <c r="S123" s="918">
        <f t="shared" si="86"/>
        <v>0</v>
      </c>
      <c r="T123" s="919"/>
      <c r="U123" s="917">
        <f t="shared" si="87"/>
        <v>0</v>
      </c>
      <c r="V123" s="918">
        <f t="shared" si="88"/>
        <v>0</v>
      </c>
      <c r="W123" s="919"/>
      <c r="X123" s="917">
        <f t="shared" si="89"/>
        <v>0</v>
      </c>
      <c r="Y123" s="918">
        <f t="shared" si="90"/>
        <v>0</v>
      </c>
      <c r="Z123" s="919"/>
      <c r="AA123" s="917">
        <f t="shared" si="91"/>
        <v>0</v>
      </c>
      <c r="AB123" s="918">
        <f t="shared" si="92"/>
        <v>0</v>
      </c>
      <c r="AC123" s="919"/>
      <c r="AD123" s="917">
        <f t="shared" si="93"/>
        <v>0</v>
      </c>
      <c r="AE123" s="918">
        <f t="shared" si="94"/>
        <v>0</v>
      </c>
      <c r="AF123" s="919"/>
      <c r="AG123" s="917">
        <f t="shared" si="95"/>
        <v>0</v>
      </c>
      <c r="AH123" s="918">
        <f t="shared" si="96"/>
        <v>0</v>
      </c>
      <c r="AI123" s="919"/>
      <c r="AJ123" s="917">
        <f t="shared" si="97"/>
        <v>0</v>
      </c>
      <c r="AK123" s="918">
        <f t="shared" si="98"/>
        <v>0</v>
      </c>
      <c r="AL123" s="919"/>
      <c r="AM123" s="917">
        <f t="shared" si="99"/>
        <v>0</v>
      </c>
      <c r="AN123" s="920">
        <v>19242</v>
      </c>
      <c r="AO123" s="917">
        <f t="shared" si="100"/>
        <v>20145</v>
      </c>
      <c r="AP123" s="920"/>
      <c r="AQ123" s="916">
        <f t="shared" si="101"/>
        <v>0</v>
      </c>
      <c r="AR123" s="917">
        <f t="shared" si="102"/>
        <v>28863</v>
      </c>
      <c r="AS123" s="916">
        <v>12</v>
      </c>
      <c r="AT123" s="921">
        <f t="shared" si="103"/>
        <v>346356</v>
      </c>
      <c r="AU123" s="920"/>
      <c r="AV123" s="922">
        <f t="shared" si="104"/>
        <v>3463.56</v>
      </c>
      <c r="AW123" s="921">
        <f t="shared" si="105"/>
        <v>349819.56</v>
      </c>
      <c r="AX123" s="921">
        <f t="shared" si="106"/>
        <v>105645.51</v>
      </c>
      <c r="AY123" s="921">
        <f t="shared" si="107"/>
        <v>455465.07</v>
      </c>
      <c r="AZ123" s="923">
        <f t="shared" si="108"/>
        <v>349.8</v>
      </c>
      <c r="BA123" s="923">
        <f t="shared" si="109"/>
        <v>105.6</v>
      </c>
      <c r="BB123" s="923">
        <f t="shared" si="110"/>
        <v>455.4</v>
      </c>
      <c r="BC123" s="915">
        <v>0.95</v>
      </c>
      <c r="BD123" s="923">
        <f t="shared" si="111"/>
        <v>332.3</v>
      </c>
      <c r="BE123" s="923">
        <f t="shared" si="112"/>
        <v>100.4</v>
      </c>
      <c r="BF123" s="923">
        <f t="shared" si="113"/>
        <v>432.7</v>
      </c>
      <c r="BG123" s="924">
        <f>'[3]свод (2024)'!$B$116</f>
        <v>0.99758349999999996</v>
      </c>
      <c r="BH123" s="923">
        <f t="shared" si="114"/>
        <v>331.5</v>
      </c>
      <c r="BI123" s="923">
        <f t="shared" si="115"/>
        <v>100.1</v>
      </c>
      <c r="BJ123" s="923">
        <f t="shared" si="116"/>
        <v>431.6</v>
      </c>
      <c r="BK123" s="925">
        <f t="shared" si="117"/>
        <v>-18.3</v>
      </c>
      <c r="BL123" s="925">
        <f t="shared" si="117"/>
        <v>-5.5</v>
      </c>
      <c r="BM123" s="925">
        <f t="shared" si="118"/>
        <v>-23.8</v>
      </c>
      <c r="BN123" s="925">
        <f t="shared" si="119"/>
        <v>0</v>
      </c>
      <c r="BO123" s="925">
        <f t="shared" si="120"/>
        <v>0</v>
      </c>
      <c r="BP123" s="926"/>
      <c r="BQ123" s="925">
        <f t="shared" si="121"/>
        <v>331.5</v>
      </c>
      <c r="BR123" s="925">
        <f t="shared" si="121"/>
        <v>100.1</v>
      </c>
      <c r="BS123" s="925">
        <f t="shared" si="122"/>
        <v>431.6</v>
      </c>
      <c r="BU123" s="928"/>
      <c r="BV123" s="917"/>
      <c r="BW123" s="928"/>
      <c r="BX123" s="928"/>
      <c r="BY123" s="928"/>
      <c r="BZ123" s="917"/>
      <c r="CA123" s="928"/>
      <c r="CB123" s="917"/>
      <c r="CC123" s="928"/>
      <c r="CD123" s="928"/>
      <c r="CE123" s="928"/>
      <c r="CF123" s="929"/>
      <c r="CG123" s="928"/>
      <c r="CH123" s="928"/>
      <c r="CI123" s="928"/>
      <c r="CJ123" s="925"/>
      <c r="CK123" s="925"/>
      <c r="CL123" s="925"/>
      <c r="CM123" s="925"/>
      <c r="CN123" s="925"/>
      <c r="CO123" s="925"/>
      <c r="CP123" s="925"/>
      <c r="CQ123" s="925"/>
      <c r="CR123" s="925"/>
      <c r="CS123" s="917"/>
      <c r="CT123" s="928"/>
      <c r="CU123" s="928"/>
      <c r="CV123" s="928"/>
      <c r="CX123" s="925"/>
      <c r="CY123" s="925"/>
      <c r="CZ123" s="925"/>
      <c r="DB123" s="925"/>
      <c r="DC123" s="925"/>
      <c r="DD123" s="925"/>
      <c r="DE123" s="925"/>
      <c r="DF123" s="925"/>
      <c r="DG123" s="925"/>
      <c r="DH123" s="925"/>
      <c r="DI123" s="925"/>
      <c r="DJ123" s="925"/>
      <c r="DK123" s="925"/>
      <c r="DL123" s="925"/>
      <c r="DM123" s="925"/>
      <c r="DN123" s="925"/>
      <c r="DO123" s="925"/>
      <c r="DP123" s="925"/>
      <c r="DQ123" s="924"/>
      <c r="DR123" s="925"/>
      <c r="DS123" s="925"/>
      <c r="DT123" s="925"/>
      <c r="DV123" s="925"/>
      <c r="DW123" s="925"/>
      <c r="DX123" s="925"/>
      <c r="DY123" s="925"/>
      <c r="DZ123" s="925"/>
      <c r="EA123" s="925"/>
      <c r="EB123" s="925"/>
      <c r="EC123" s="925"/>
      <c r="ED123" s="925"/>
      <c r="EE123" s="925"/>
      <c r="EF123" s="925"/>
      <c r="EG123" s="925"/>
      <c r="EH123" s="925"/>
      <c r="EI123" s="925"/>
      <c r="EJ123" s="925"/>
      <c r="EK123" s="925"/>
      <c r="EL123" s="925"/>
      <c r="EM123" s="925"/>
      <c r="EN123" s="925"/>
      <c r="EO123" s="925"/>
      <c r="EP123" s="925"/>
      <c r="EQ123" s="925"/>
      <c r="ER123" s="925"/>
      <c r="ES123" s="925"/>
      <c r="ET123" s="925"/>
      <c r="EV123" s="924"/>
      <c r="EW123" s="925"/>
      <c r="EX123" s="925"/>
      <c r="EY123" s="925"/>
    </row>
    <row r="124" spans="1:155" s="927" customFormat="1" ht="15.75" x14ac:dyDescent="0.25">
      <c r="A124" s="912" t="s">
        <v>61</v>
      </c>
      <c r="B124" s="913" t="s">
        <v>34</v>
      </c>
      <c r="C124" s="914">
        <v>1</v>
      </c>
      <c r="D124" s="914">
        <v>13132</v>
      </c>
      <c r="E124" s="915">
        <v>1.0549999999999999</v>
      </c>
      <c r="F124" s="916">
        <f t="shared" si="77"/>
        <v>13855</v>
      </c>
      <c r="G124" s="915">
        <v>1.01</v>
      </c>
      <c r="H124" s="916">
        <f t="shared" si="78"/>
        <v>13994</v>
      </c>
      <c r="I124" s="917">
        <f t="shared" si="79"/>
        <v>13994</v>
      </c>
      <c r="J124" s="918">
        <f t="shared" si="80"/>
        <v>0.25</v>
      </c>
      <c r="K124" s="919">
        <v>3283</v>
      </c>
      <c r="L124" s="917">
        <f t="shared" si="81"/>
        <v>3498.5</v>
      </c>
      <c r="M124" s="918">
        <f t="shared" si="82"/>
        <v>0</v>
      </c>
      <c r="N124" s="919"/>
      <c r="O124" s="917">
        <f t="shared" si="83"/>
        <v>0</v>
      </c>
      <c r="P124" s="918">
        <f t="shared" si="84"/>
        <v>0</v>
      </c>
      <c r="Q124" s="919"/>
      <c r="R124" s="917">
        <f t="shared" si="85"/>
        <v>0</v>
      </c>
      <c r="S124" s="918">
        <f t="shared" si="86"/>
        <v>0</v>
      </c>
      <c r="T124" s="919"/>
      <c r="U124" s="917">
        <f t="shared" si="87"/>
        <v>0</v>
      </c>
      <c r="V124" s="918">
        <f t="shared" si="88"/>
        <v>0</v>
      </c>
      <c r="W124" s="919"/>
      <c r="X124" s="917">
        <f t="shared" si="89"/>
        <v>0</v>
      </c>
      <c r="Y124" s="918">
        <f t="shared" si="90"/>
        <v>0</v>
      </c>
      <c r="Z124" s="919"/>
      <c r="AA124" s="917">
        <f t="shared" si="91"/>
        <v>0</v>
      </c>
      <c r="AB124" s="918">
        <f t="shared" si="92"/>
        <v>0.2</v>
      </c>
      <c r="AC124" s="919">
        <v>2626.4</v>
      </c>
      <c r="AD124" s="917">
        <f t="shared" si="93"/>
        <v>2798.8</v>
      </c>
      <c r="AE124" s="918">
        <f t="shared" si="94"/>
        <v>0</v>
      </c>
      <c r="AF124" s="919"/>
      <c r="AG124" s="917">
        <f t="shared" si="95"/>
        <v>0</v>
      </c>
      <c r="AH124" s="918">
        <f t="shared" si="96"/>
        <v>0</v>
      </c>
      <c r="AI124" s="919"/>
      <c r="AJ124" s="917">
        <f t="shared" si="97"/>
        <v>0</v>
      </c>
      <c r="AK124" s="918">
        <f t="shared" si="98"/>
        <v>0</v>
      </c>
      <c r="AL124" s="919"/>
      <c r="AM124" s="917">
        <f t="shared" si="99"/>
        <v>0</v>
      </c>
      <c r="AN124" s="920">
        <v>19242</v>
      </c>
      <c r="AO124" s="917">
        <f t="shared" si="100"/>
        <v>0</v>
      </c>
      <c r="AP124" s="920"/>
      <c r="AQ124" s="916">
        <f t="shared" si="101"/>
        <v>0</v>
      </c>
      <c r="AR124" s="917">
        <f t="shared" si="102"/>
        <v>20291.3</v>
      </c>
      <c r="AS124" s="916">
        <v>12</v>
      </c>
      <c r="AT124" s="921">
        <f t="shared" si="103"/>
        <v>243495.6</v>
      </c>
      <c r="AU124" s="920"/>
      <c r="AV124" s="922">
        <f t="shared" si="104"/>
        <v>2434.96</v>
      </c>
      <c r="AW124" s="921">
        <f t="shared" si="105"/>
        <v>245930.56</v>
      </c>
      <c r="AX124" s="921">
        <f t="shared" si="106"/>
        <v>74271.03</v>
      </c>
      <c r="AY124" s="921">
        <f t="shared" si="107"/>
        <v>320201.59000000003</v>
      </c>
      <c r="AZ124" s="923">
        <f t="shared" si="108"/>
        <v>245.9</v>
      </c>
      <c r="BA124" s="923">
        <f t="shared" si="109"/>
        <v>74.3</v>
      </c>
      <c r="BB124" s="923">
        <f t="shared" si="110"/>
        <v>320.2</v>
      </c>
      <c r="BC124" s="915">
        <v>0.95</v>
      </c>
      <c r="BD124" s="923">
        <f t="shared" si="111"/>
        <v>233.6</v>
      </c>
      <c r="BE124" s="923">
        <f t="shared" si="112"/>
        <v>70.5</v>
      </c>
      <c r="BF124" s="923">
        <f t="shared" si="113"/>
        <v>304.10000000000002</v>
      </c>
      <c r="BG124" s="924">
        <f>'[3]свод (2024)'!$B$116</f>
        <v>0.99758349999999996</v>
      </c>
      <c r="BH124" s="923">
        <f t="shared" si="114"/>
        <v>233</v>
      </c>
      <c r="BI124" s="923">
        <f t="shared" si="115"/>
        <v>70.400000000000006</v>
      </c>
      <c r="BJ124" s="923">
        <f t="shared" si="116"/>
        <v>303.39999999999998</v>
      </c>
      <c r="BK124" s="925">
        <f t="shared" si="117"/>
        <v>-12.9</v>
      </c>
      <c r="BL124" s="925">
        <f t="shared" si="117"/>
        <v>-3.9</v>
      </c>
      <c r="BM124" s="925">
        <f t="shared" si="118"/>
        <v>-16.8</v>
      </c>
      <c r="BN124" s="925">
        <f t="shared" si="119"/>
        <v>0</v>
      </c>
      <c r="BO124" s="925">
        <f t="shared" si="120"/>
        <v>0</v>
      </c>
      <c r="BP124" s="926"/>
      <c r="BQ124" s="925">
        <f t="shared" si="121"/>
        <v>233</v>
      </c>
      <c r="BR124" s="925">
        <f t="shared" si="121"/>
        <v>70.400000000000006</v>
      </c>
      <c r="BS124" s="925">
        <f t="shared" si="122"/>
        <v>303.39999999999998</v>
      </c>
      <c r="BU124" s="928">
        <f t="shared" si="123"/>
        <v>1</v>
      </c>
      <c r="BV124" s="917"/>
      <c r="BW124" s="928"/>
      <c r="BX124" s="928">
        <f t="shared" si="124"/>
        <v>245930.56</v>
      </c>
      <c r="BY124" s="928"/>
      <c r="BZ124" s="917"/>
      <c r="CA124" s="928"/>
      <c r="CB124" s="917"/>
      <c r="CC124" s="928"/>
      <c r="CD124" s="928"/>
      <c r="CE124" s="928"/>
      <c r="CF124" s="929">
        <f t="shared" si="126"/>
        <v>85374.44</v>
      </c>
      <c r="CG124" s="928"/>
      <c r="CH124" s="928"/>
      <c r="CI124" s="928"/>
      <c r="CJ124" s="925"/>
      <c r="CK124" s="925"/>
      <c r="CL124" s="925"/>
      <c r="CM124" s="925"/>
      <c r="CN124" s="925"/>
      <c r="CO124" s="925"/>
      <c r="CP124" s="925"/>
      <c r="CQ124" s="925"/>
      <c r="CR124" s="925"/>
      <c r="CS124" s="917"/>
      <c r="CT124" s="928"/>
      <c r="CU124" s="928"/>
      <c r="CV124" s="928"/>
      <c r="CX124" s="925"/>
      <c r="CY124" s="925"/>
      <c r="CZ124" s="925"/>
      <c r="DB124" s="925"/>
      <c r="DC124" s="925"/>
      <c r="DD124" s="925"/>
      <c r="DE124" s="925"/>
      <c r="DF124" s="925"/>
      <c r="DG124" s="925"/>
      <c r="DH124" s="925"/>
      <c r="DI124" s="925"/>
      <c r="DJ124" s="925"/>
      <c r="DK124" s="925"/>
      <c r="DL124" s="925"/>
      <c r="DM124" s="925"/>
      <c r="DN124" s="925"/>
      <c r="DO124" s="925"/>
      <c r="DP124" s="925"/>
      <c r="DQ124" s="924"/>
      <c r="DR124" s="925"/>
      <c r="DS124" s="925"/>
      <c r="DT124" s="925"/>
      <c r="DV124" s="925"/>
      <c r="DW124" s="925"/>
      <c r="DX124" s="925"/>
      <c r="DY124" s="925"/>
      <c r="DZ124" s="925"/>
      <c r="EA124" s="925"/>
      <c r="EB124" s="925"/>
      <c r="EC124" s="925"/>
      <c r="ED124" s="925"/>
      <c r="EE124" s="925"/>
      <c r="EF124" s="925"/>
      <c r="EG124" s="925"/>
      <c r="EH124" s="925"/>
      <c r="EI124" s="925"/>
      <c r="EJ124" s="925"/>
      <c r="EK124" s="925"/>
      <c r="EL124" s="925"/>
      <c r="EM124" s="925"/>
      <c r="EN124" s="925"/>
      <c r="EO124" s="925"/>
      <c r="EP124" s="925"/>
      <c r="EQ124" s="925"/>
      <c r="ER124" s="925"/>
      <c r="ES124" s="925"/>
      <c r="ET124" s="925"/>
      <c r="EV124" s="924"/>
      <c r="EW124" s="925"/>
      <c r="EX124" s="925"/>
      <c r="EY124" s="925"/>
    </row>
    <row r="125" spans="1:155" s="927" customFormat="1" ht="15.75" x14ac:dyDescent="0.25">
      <c r="A125" s="912" t="s">
        <v>61</v>
      </c>
      <c r="B125" s="913" t="s">
        <v>399</v>
      </c>
      <c r="C125" s="914">
        <v>0.5</v>
      </c>
      <c r="D125" s="914">
        <v>6707</v>
      </c>
      <c r="E125" s="915">
        <v>1.0549999999999999</v>
      </c>
      <c r="F125" s="916">
        <f t="shared" si="77"/>
        <v>7076</v>
      </c>
      <c r="G125" s="915">
        <v>1.01</v>
      </c>
      <c r="H125" s="916">
        <f t="shared" si="78"/>
        <v>7147</v>
      </c>
      <c r="I125" s="917">
        <f t="shared" si="79"/>
        <v>3573.5</v>
      </c>
      <c r="J125" s="918">
        <f t="shared" si="80"/>
        <v>0</v>
      </c>
      <c r="K125" s="919"/>
      <c r="L125" s="917">
        <f t="shared" si="81"/>
        <v>0</v>
      </c>
      <c r="M125" s="918">
        <f t="shared" si="82"/>
        <v>0</v>
      </c>
      <c r="N125" s="919"/>
      <c r="O125" s="917">
        <f t="shared" si="83"/>
        <v>0</v>
      </c>
      <c r="P125" s="918">
        <f t="shared" si="84"/>
        <v>0</v>
      </c>
      <c r="Q125" s="919"/>
      <c r="R125" s="917">
        <f t="shared" si="85"/>
        <v>0</v>
      </c>
      <c r="S125" s="918">
        <f t="shared" si="86"/>
        <v>0</v>
      </c>
      <c r="T125" s="919"/>
      <c r="U125" s="917">
        <f t="shared" si="87"/>
        <v>0</v>
      </c>
      <c r="V125" s="918">
        <f t="shared" si="88"/>
        <v>0</v>
      </c>
      <c r="W125" s="919"/>
      <c r="X125" s="917">
        <f t="shared" si="89"/>
        <v>0</v>
      </c>
      <c r="Y125" s="918">
        <f t="shared" si="90"/>
        <v>1.99</v>
      </c>
      <c r="Z125" s="919">
        <v>6673.47</v>
      </c>
      <c r="AA125" s="917">
        <f t="shared" si="91"/>
        <v>7111.27</v>
      </c>
      <c r="AB125" s="918">
        <f t="shared" si="92"/>
        <v>0.2</v>
      </c>
      <c r="AC125" s="919">
        <v>670.7</v>
      </c>
      <c r="AD125" s="917">
        <f t="shared" si="93"/>
        <v>714.7</v>
      </c>
      <c r="AE125" s="918">
        <f t="shared" si="94"/>
        <v>0</v>
      </c>
      <c r="AF125" s="919"/>
      <c r="AG125" s="917">
        <f t="shared" si="95"/>
        <v>0</v>
      </c>
      <c r="AH125" s="918">
        <f t="shared" si="96"/>
        <v>0</v>
      </c>
      <c r="AI125" s="919"/>
      <c r="AJ125" s="917">
        <f t="shared" si="97"/>
        <v>0</v>
      </c>
      <c r="AK125" s="918">
        <f t="shared" si="98"/>
        <v>0</v>
      </c>
      <c r="AL125" s="919"/>
      <c r="AM125" s="917">
        <f t="shared" si="99"/>
        <v>0</v>
      </c>
      <c r="AN125" s="920">
        <v>19242</v>
      </c>
      <c r="AO125" s="917">
        <f t="shared" si="100"/>
        <v>0</v>
      </c>
      <c r="AP125" s="920"/>
      <c r="AQ125" s="916">
        <f t="shared" si="101"/>
        <v>0</v>
      </c>
      <c r="AR125" s="917">
        <f t="shared" si="102"/>
        <v>11399.47</v>
      </c>
      <c r="AS125" s="916">
        <v>12</v>
      </c>
      <c r="AT125" s="921">
        <f t="shared" si="103"/>
        <v>136793.64000000001</v>
      </c>
      <c r="AU125" s="920"/>
      <c r="AV125" s="922">
        <f t="shared" si="104"/>
        <v>1367.94</v>
      </c>
      <c r="AW125" s="921">
        <f t="shared" si="105"/>
        <v>138161.57999999999</v>
      </c>
      <c r="AX125" s="921">
        <f t="shared" si="106"/>
        <v>41724.800000000003</v>
      </c>
      <c r="AY125" s="921">
        <f t="shared" si="107"/>
        <v>179886.38</v>
      </c>
      <c r="AZ125" s="923">
        <f t="shared" si="108"/>
        <v>138.19999999999999</v>
      </c>
      <c r="BA125" s="923">
        <f t="shared" si="109"/>
        <v>41.7</v>
      </c>
      <c r="BB125" s="923">
        <f t="shared" si="110"/>
        <v>179.9</v>
      </c>
      <c r="BC125" s="915">
        <v>0.95</v>
      </c>
      <c r="BD125" s="923">
        <f t="shared" si="111"/>
        <v>131.30000000000001</v>
      </c>
      <c r="BE125" s="923">
        <f t="shared" si="112"/>
        <v>39.700000000000003</v>
      </c>
      <c r="BF125" s="923">
        <f t="shared" si="113"/>
        <v>171</v>
      </c>
      <c r="BG125" s="924">
        <f>'[3]свод (2024)'!$B$116</f>
        <v>0.99758349999999996</v>
      </c>
      <c r="BH125" s="923">
        <f t="shared" si="114"/>
        <v>131</v>
      </c>
      <c r="BI125" s="923">
        <f t="shared" si="115"/>
        <v>39.6</v>
      </c>
      <c r="BJ125" s="923">
        <f t="shared" si="116"/>
        <v>170.6</v>
      </c>
      <c r="BK125" s="925">
        <f t="shared" si="117"/>
        <v>-7.2</v>
      </c>
      <c r="BL125" s="925">
        <f t="shared" si="117"/>
        <v>-2.1</v>
      </c>
      <c r="BM125" s="925">
        <f t="shared" si="118"/>
        <v>-9.3000000000000007</v>
      </c>
      <c r="BN125" s="925">
        <f t="shared" si="119"/>
        <v>0</v>
      </c>
      <c r="BO125" s="925">
        <f t="shared" si="120"/>
        <v>0</v>
      </c>
      <c r="BP125" s="926"/>
      <c r="BQ125" s="925">
        <f t="shared" si="121"/>
        <v>131</v>
      </c>
      <c r="BR125" s="925">
        <f t="shared" si="121"/>
        <v>39.6</v>
      </c>
      <c r="BS125" s="925">
        <f t="shared" si="122"/>
        <v>170.6</v>
      </c>
      <c r="BU125" s="928"/>
      <c r="BV125" s="917"/>
      <c r="BW125" s="928"/>
      <c r="BX125" s="928"/>
      <c r="BY125" s="928"/>
      <c r="BZ125" s="917"/>
      <c r="CA125" s="928"/>
      <c r="CB125" s="917"/>
      <c r="CC125" s="928"/>
      <c r="CD125" s="928"/>
      <c r="CE125" s="928"/>
      <c r="CF125" s="929"/>
      <c r="CG125" s="928"/>
      <c r="CH125" s="928"/>
      <c r="CI125" s="928"/>
      <c r="CJ125" s="925"/>
      <c r="CK125" s="925"/>
      <c r="CL125" s="925"/>
      <c r="CM125" s="925"/>
      <c r="CN125" s="925"/>
      <c r="CO125" s="925"/>
      <c r="CP125" s="925"/>
      <c r="CQ125" s="925"/>
      <c r="CR125" s="925"/>
      <c r="CS125" s="917"/>
      <c r="CT125" s="928"/>
      <c r="CU125" s="928"/>
      <c r="CV125" s="928"/>
      <c r="CX125" s="925"/>
      <c r="CY125" s="925"/>
      <c r="CZ125" s="925"/>
      <c r="DB125" s="925"/>
      <c r="DC125" s="925"/>
      <c r="DD125" s="925"/>
      <c r="DE125" s="925"/>
      <c r="DF125" s="925"/>
      <c r="DG125" s="925"/>
      <c r="DH125" s="925"/>
      <c r="DI125" s="925"/>
      <c r="DJ125" s="925"/>
      <c r="DK125" s="925"/>
      <c r="DL125" s="925"/>
      <c r="DM125" s="925"/>
      <c r="DN125" s="925"/>
      <c r="DO125" s="925"/>
      <c r="DP125" s="925"/>
      <c r="DQ125" s="924"/>
      <c r="DR125" s="925"/>
      <c r="DS125" s="925"/>
      <c r="DT125" s="925"/>
      <c r="DV125" s="925"/>
      <c r="DW125" s="925"/>
      <c r="DX125" s="925"/>
      <c r="DY125" s="925"/>
      <c r="DZ125" s="925"/>
      <c r="EA125" s="925"/>
      <c r="EB125" s="925"/>
      <c r="EC125" s="925"/>
      <c r="ED125" s="925"/>
      <c r="EE125" s="925"/>
      <c r="EF125" s="925"/>
      <c r="EG125" s="925"/>
      <c r="EH125" s="925"/>
      <c r="EI125" s="925"/>
      <c r="EJ125" s="925"/>
      <c r="EK125" s="925"/>
      <c r="EL125" s="925"/>
      <c r="EM125" s="925"/>
      <c r="EN125" s="925"/>
      <c r="EO125" s="925"/>
      <c r="EP125" s="925"/>
      <c r="EQ125" s="925"/>
      <c r="ER125" s="925"/>
      <c r="ES125" s="925"/>
      <c r="ET125" s="925"/>
      <c r="EV125" s="924"/>
      <c r="EW125" s="925"/>
      <c r="EX125" s="925"/>
      <c r="EY125" s="925"/>
    </row>
    <row r="126" spans="1:155" s="927" customFormat="1" ht="15.75" x14ac:dyDescent="0.25">
      <c r="A126" s="912" t="s">
        <v>61</v>
      </c>
      <c r="B126" s="913" t="s">
        <v>1388</v>
      </c>
      <c r="C126" s="914">
        <v>0.5</v>
      </c>
      <c r="D126" s="914">
        <v>6707</v>
      </c>
      <c r="E126" s="915">
        <v>1.0549999999999999</v>
      </c>
      <c r="F126" s="916">
        <f t="shared" si="77"/>
        <v>7076</v>
      </c>
      <c r="G126" s="915">
        <v>1.01</v>
      </c>
      <c r="H126" s="916">
        <f t="shared" si="78"/>
        <v>7147</v>
      </c>
      <c r="I126" s="917">
        <f t="shared" si="79"/>
        <v>3573.5</v>
      </c>
      <c r="J126" s="918">
        <f t="shared" si="80"/>
        <v>0</v>
      </c>
      <c r="K126" s="919"/>
      <c r="L126" s="917">
        <f t="shared" si="81"/>
        <v>0</v>
      </c>
      <c r="M126" s="918">
        <f t="shared" si="82"/>
        <v>0</v>
      </c>
      <c r="N126" s="919"/>
      <c r="O126" s="917">
        <f t="shared" si="83"/>
        <v>0</v>
      </c>
      <c r="P126" s="918">
        <f t="shared" si="84"/>
        <v>0</v>
      </c>
      <c r="Q126" s="919"/>
      <c r="R126" s="917">
        <f t="shared" si="85"/>
        <v>0</v>
      </c>
      <c r="S126" s="918">
        <f t="shared" si="86"/>
        <v>0</v>
      </c>
      <c r="T126" s="919"/>
      <c r="U126" s="917">
        <f t="shared" si="87"/>
        <v>0</v>
      </c>
      <c r="V126" s="918">
        <f t="shared" si="88"/>
        <v>0</v>
      </c>
      <c r="W126" s="919"/>
      <c r="X126" s="917">
        <f t="shared" si="89"/>
        <v>0</v>
      </c>
      <c r="Y126" s="918">
        <f t="shared" si="90"/>
        <v>1.99</v>
      </c>
      <c r="Z126" s="919">
        <v>6673.47</v>
      </c>
      <c r="AA126" s="917">
        <f t="shared" si="91"/>
        <v>7111.27</v>
      </c>
      <c r="AB126" s="918">
        <f t="shared" si="92"/>
        <v>0.3</v>
      </c>
      <c r="AC126" s="919">
        <v>1006.05</v>
      </c>
      <c r="AD126" s="917">
        <f t="shared" si="93"/>
        <v>1072.05</v>
      </c>
      <c r="AE126" s="918">
        <f t="shared" si="94"/>
        <v>0</v>
      </c>
      <c r="AF126" s="919"/>
      <c r="AG126" s="917">
        <f t="shared" si="95"/>
        <v>0</v>
      </c>
      <c r="AH126" s="918">
        <f t="shared" si="96"/>
        <v>0</v>
      </c>
      <c r="AI126" s="919"/>
      <c r="AJ126" s="917">
        <f t="shared" si="97"/>
        <v>0</v>
      </c>
      <c r="AK126" s="918">
        <f t="shared" si="98"/>
        <v>0</v>
      </c>
      <c r="AL126" s="919"/>
      <c r="AM126" s="917">
        <f t="shared" si="99"/>
        <v>0</v>
      </c>
      <c r="AN126" s="920">
        <v>19242</v>
      </c>
      <c r="AO126" s="917">
        <f t="shared" si="100"/>
        <v>0</v>
      </c>
      <c r="AP126" s="920"/>
      <c r="AQ126" s="916">
        <f t="shared" si="101"/>
        <v>0</v>
      </c>
      <c r="AR126" s="917">
        <f t="shared" si="102"/>
        <v>11756.82</v>
      </c>
      <c r="AS126" s="916">
        <v>12</v>
      </c>
      <c r="AT126" s="921">
        <f t="shared" si="103"/>
        <v>141081.84</v>
      </c>
      <c r="AU126" s="920"/>
      <c r="AV126" s="922">
        <f t="shared" si="104"/>
        <v>1410.82</v>
      </c>
      <c r="AW126" s="921">
        <f t="shared" si="105"/>
        <v>142492.66</v>
      </c>
      <c r="AX126" s="921">
        <f t="shared" si="106"/>
        <v>43032.78</v>
      </c>
      <c r="AY126" s="921">
        <f t="shared" si="107"/>
        <v>185525.44</v>
      </c>
      <c r="AZ126" s="923">
        <f t="shared" si="108"/>
        <v>142.5</v>
      </c>
      <c r="BA126" s="923">
        <f t="shared" si="109"/>
        <v>43</v>
      </c>
      <c r="BB126" s="923">
        <f t="shared" si="110"/>
        <v>185.5</v>
      </c>
      <c r="BC126" s="915">
        <v>0.95</v>
      </c>
      <c r="BD126" s="923">
        <f t="shared" si="111"/>
        <v>135.4</v>
      </c>
      <c r="BE126" s="923">
        <f t="shared" si="112"/>
        <v>40.9</v>
      </c>
      <c r="BF126" s="923">
        <f t="shared" si="113"/>
        <v>176.3</v>
      </c>
      <c r="BG126" s="924">
        <f>'[3]свод (2024)'!$B$116</f>
        <v>0.99758349999999996</v>
      </c>
      <c r="BH126" s="923">
        <f t="shared" si="114"/>
        <v>135.1</v>
      </c>
      <c r="BI126" s="923">
        <f t="shared" si="115"/>
        <v>40.799999999999997</v>
      </c>
      <c r="BJ126" s="923">
        <f t="shared" si="116"/>
        <v>175.9</v>
      </c>
      <c r="BK126" s="925">
        <f t="shared" si="117"/>
        <v>-7.4</v>
      </c>
      <c r="BL126" s="925">
        <f t="shared" si="117"/>
        <v>-2.2000000000000002</v>
      </c>
      <c r="BM126" s="925">
        <f t="shared" si="118"/>
        <v>-9.6</v>
      </c>
      <c r="BN126" s="925">
        <f t="shared" si="119"/>
        <v>0</v>
      </c>
      <c r="BO126" s="925">
        <f t="shared" si="120"/>
        <v>0</v>
      </c>
      <c r="BP126" s="926"/>
      <c r="BQ126" s="925">
        <f t="shared" si="121"/>
        <v>135.1</v>
      </c>
      <c r="BR126" s="925">
        <f t="shared" si="121"/>
        <v>40.799999999999997</v>
      </c>
      <c r="BS126" s="925">
        <f t="shared" si="122"/>
        <v>175.9</v>
      </c>
      <c r="BU126" s="928"/>
      <c r="BV126" s="917"/>
      <c r="BW126" s="928"/>
      <c r="BX126" s="928"/>
      <c r="BY126" s="928"/>
      <c r="BZ126" s="917"/>
      <c r="CA126" s="928"/>
      <c r="CB126" s="917"/>
      <c r="CC126" s="928"/>
      <c r="CD126" s="928"/>
      <c r="CE126" s="928"/>
      <c r="CF126" s="929"/>
      <c r="CG126" s="928"/>
      <c r="CH126" s="928"/>
      <c r="CI126" s="928"/>
      <c r="CJ126" s="925"/>
      <c r="CK126" s="925"/>
      <c r="CL126" s="925"/>
      <c r="CM126" s="925"/>
      <c r="CN126" s="925"/>
      <c r="CO126" s="925"/>
      <c r="CP126" s="925"/>
      <c r="CQ126" s="925"/>
      <c r="CR126" s="925"/>
      <c r="CS126" s="917"/>
      <c r="CT126" s="928"/>
      <c r="CU126" s="928"/>
      <c r="CV126" s="928"/>
      <c r="CX126" s="925"/>
      <c r="CY126" s="925"/>
      <c r="CZ126" s="925"/>
      <c r="DB126" s="925"/>
      <c r="DC126" s="925"/>
      <c r="DD126" s="925"/>
      <c r="DE126" s="925"/>
      <c r="DF126" s="925"/>
      <c r="DG126" s="925"/>
      <c r="DH126" s="925"/>
      <c r="DI126" s="925"/>
      <c r="DJ126" s="925"/>
      <c r="DK126" s="925"/>
      <c r="DL126" s="925"/>
      <c r="DM126" s="925"/>
      <c r="DN126" s="925"/>
      <c r="DO126" s="925"/>
      <c r="DP126" s="925"/>
      <c r="DQ126" s="924"/>
      <c r="DR126" s="925"/>
      <c r="DS126" s="925"/>
      <c r="DT126" s="925"/>
      <c r="DV126" s="925"/>
      <c r="DW126" s="925"/>
      <c r="DX126" s="925"/>
      <c r="DY126" s="925"/>
      <c r="DZ126" s="925"/>
      <c r="EA126" s="925"/>
      <c r="EB126" s="925"/>
      <c r="EC126" s="925"/>
      <c r="ED126" s="925"/>
      <c r="EE126" s="925"/>
      <c r="EF126" s="925"/>
      <c r="EG126" s="925"/>
      <c r="EH126" s="925"/>
      <c r="EI126" s="925"/>
      <c r="EJ126" s="925"/>
      <c r="EK126" s="925"/>
      <c r="EL126" s="925"/>
      <c r="EM126" s="925"/>
      <c r="EN126" s="925"/>
      <c r="EO126" s="925"/>
      <c r="EP126" s="925"/>
      <c r="EQ126" s="925"/>
      <c r="ER126" s="925"/>
      <c r="ES126" s="925"/>
      <c r="ET126" s="925"/>
      <c r="EV126" s="924"/>
      <c r="EW126" s="925"/>
      <c r="EX126" s="925"/>
      <c r="EY126" s="925"/>
    </row>
    <row r="127" spans="1:155" s="927" customFormat="1" ht="15.75" x14ac:dyDescent="0.25">
      <c r="A127" s="912" t="s">
        <v>61</v>
      </c>
      <c r="B127" s="913" t="s">
        <v>1403</v>
      </c>
      <c r="C127" s="914">
        <v>7</v>
      </c>
      <c r="D127" s="914">
        <v>4336</v>
      </c>
      <c r="E127" s="915">
        <v>1.0549999999999999</v>
      </c>
      <c r="F127" s="916">
        <f t="shared" si="77"/>
        <v>4575</v>
      </c>
      <c r="G127" s="915">
        <v>1.01</v>
      </c>
      <c r="H127" s="916">
        <f t="shared" si="78"/>
        <v>4621</v>
      </c>
      <c r="I127" s="917">
        <f t="shared" si="79"/>
        <v>32347</v>
      </c>
      <c r="J127" s="918">
        <f t="shared" si="80"/>
        <v>0</v>
      </c>
      <c r="K127" s="919"/>
      <c r="L127" s="917">
        <f t="shared" si="81"/>
        <v>0</v>
      </c>
      <c r="M127" s="918">
        <f t="shared" si="82"/>
        <v>0</v>
      </c>
      <c r="N127" s="919"/>
      <c r="O127" s="917">
        <f t="shared" si="83"/>
        <v>0</v>
      </c>
      <c r="P127" s="918">
        <f t="shared" si="84"/>
        <v>0</v>
      </c>
      <c r="Q127" s="919"/>
      <c r="R127" s="917">
        <f t="shared" si="85"/>
        <v>0</v>
      </c>
      <c r="S127" s="918">
        <f t="shared" si="86"/>
        <v>0</v>
      </c>
      <c r="T127" s="919"/>
      <c r="U127" s="917">
        <f t="shared" si="87"/>
        <v>0</v>
      </c>
      <c r="V127" s="918">
        <f t="shared" si="88"/>
        <v>0</v>
      </c>
      <c r="W127" s="919"/>
      <c r="X127" s="917">
        <f t="shared" si="89"/>
        <v>0</v>
      </c>
      <c r="Y127" s="918">
        <f t="shared" si="90"/>
        <v>0</v>
      </c>
      <c r="Z127" s="919"/>
      <c r="AA127" s="917">
        <f t="shared" si="91"/>
        <v>0</v>
      </c>
      <c r="AB127" s="918">
        <f t="shared" si="92"/>
        <v>0</v>
      </c>
      <c r="AC127" s="919"/>
      <c r="AD127" s="917">
        <f t="shared" si="93"/>
        <v>0</v>
      </c>
      <c r="AE127" s="918">
        <f t="shared" si="94"/>
        <v>0</v>
      </c>
      <c r="AF127" s="919"/>
      <c r="AG127" s="917">
        <f t="shared" si="95"/>
        <v>0</v>
      </c>
      <c r="AH127" s="918">
        <f t="shared" si="96"/>
        <v>0</v>
      </c>
      <c r="AI127" s="919"/>
      <c r="AJ127" s="917">
        <f t="shared" si="97"/>
        <v>0</v>
      </c>
      <c r="AK127" s="918">
        <f t="shared" si="98"/>
        <v>0</v>
      </c>
      <c r="AL127" s="919"/>
      <c r="AM127" s="917">
        <f t="shared" si="99"/>
        <v>0</v>
      </c>
      <c r="AN127" s="920">
        <v>19242</v>
      </c>
      <c r="AO127" s="917">
        <f t="shared" si="100"/>
        <v>102347</v>
      </c>
      <c r="AP127" s="920">
        <v>1060.29</v>
      </c>
      <c r="AQ127" s="916">
        <f t="shared" si="101"/>
        <v>7422.03</v>
      </c>
      <c r="AR127" s="917">
        <f t="shared" si="102"/>
        <v>142116.03</v>
      </c>
      <c r="AS127" s="916">
        <v>12</v>
      </c>
      <c r="AT127" s="921">
        <f t="shared" si="103"/>
        <v>1705392.36</v>
      </c>
      <c r="AU127" s="920">
        <f>AT127*0.085</f>
        <v>144958.35</v>
      </c>
      <c r="AV127" s="922">
        <f t="shared" si="104"/>
        <v>17053.919999999998</v>
      </c>
      <c r="AW127" s="921">
        <f t="shared" si="105"/>
        <v>1867404.63</v>
      </c>
      <c r="AX127" s="921">
        <f t="shared" si="106"/>
        <v>563956.19999999995</v>
      </c>
      <c r="AY127" s="921">
        <f t="shared" si="107"/>
        <v>2431360.83</v>
      </c>
      <c r="AZ127" s="923">
        <f t="shared" si="108"/>
        <v>1867.4</v>
      </c>
      <c r="BA127" s="923">
        <f t="shared" si="109"/>
        <v>564</v>
      </c>
      <c r="BB127" s="923">
        <f t="shared" si="110"/>
        <v>2431.4</v>
      </c>
      <c r="BC127" s="915">
        <v>0.95</v>
      </c>
      <c r="BD127" s="923">
        <f t="shared" si="111"/>
        <v>1774</v>
      </c>
      <c r="BE127" s="923">
        <f t="shared" si="112"/>
        <v>535.70000000000005</v>
      </c>
      <c r="BF127" s="923">
        <f t="shared" si="113"/>
        <v>2309.6999999999998</v>
      </c>
      <c r="BG127" s="924">
        <f>'[3]свод (2024)'!$B$116</f>
        <v>0.99758349999999996</v>
      </c>
      <c r="BH127" s="923">
        <f t="shared" si="114"/>
        <v>1769.7</v>
      </c>
      <c r="BI127" s="923">
        <f t="shared" si="115"/>
        <v>534.4</v>
      </c>
      <c r="BJ127" s="923">
        <f t="shared" si="116"/>
        <v>2304.1</v>
      </c>
      <c r="BK127" s="925">
        <f t="shared" si="117"/>
        <v>-97.7</v>
      </c>
      <c r="BL127" s="925">
        <f t="shared" si="117"/>
        <v>-29.6</v>
      </c>
      <c r="BM127" s="925">
        <f t="shared" si="118"/>
        <v>-127.3</v>
      </c>
      <c r="BN127" s="925">
        <f t="shared" si="119"/>
        <v>0</v>
      </c>
      <c r="BO127" s="925">
        <f t="shared" si="120"/>
        <v>0</v>
      </c>
      <c r="BP127" s="926"/>
      <c r="BQ127" s="925">
        <f t="shared" si="121"/>
        <v>1769.7</v>
      </c>
      <c r="BR127" s="925">
        <f t="shared" si="121"/>
        <v>534.4</v>
      </c>
      <c r="BS127" s="925">
        <f t="shared" si="122"/>
        <v>2304.1</v>
      </c>
      <c r="BU127" s="928"/>
      <c r="BV127" s="917"/>
      <c r="BW127" s="928"/>
      <c r="BX127" s="928"/>
      <c r="BY127" s="928"/>
      <c r="BZ127" s="917"/>
      <c r="CA127" s="928"/>
      <c r="CB127" s="917"/>
      <c r="CC127" s="928"/>
      <c r="CD127" s="928"/>
      <c r="CE127" s="928"/>
      <c r="CF127" s="929"/>
      <c r="CG127" s="928"/>
      <c r="CH127" s="928"/>
      <c r="CI127" s="928"/>
      <c r="CJ127" s="925"/>
      <c r="CK127" s="925"/>
      <c r="CL127" s="925"/>
      <c r="CM127" s="925"/>
      <c r="CN127" s="925"/>
      <c r="CO127" s="925"/>
      <c r="CP127" s="925"/>
      <c r="CQ127" s="925"/>
      <c r="CR127" s="925"/>
      <c r="CS127" s="917"/>
      <c r="CT127" s="928"/>
      <c r="CU127" s="928"/>
      <c r="CV127" s="928"/>
      <c r="CX127" s="925"/>
      <c r="CY127" s="925"/>
      <c r="CZ127" s="925"/>
      <c r="DB127" s="925"/>
      <c r="DC127" s="925"/>
      <c r="DD127" s="925"/>
      <c r="DE127" s="925"/>
      <c r="DF127" s="925"/>
      <c r="DG127" s="925"/>
      <c r="DH127" s="925"/>
      <c r="DI127" s="925"/>
      <c r="DJ127" s="925"/>
      <c r="DK127" s="925"/>
      <c r="DL127" s="925"/>
      <c r="DM127" s="925"/>
      <c r="DN127" s="925"/>
      <c r="DO127" s="925"/>
      <c r="DP127" s="925"/>
      <c r="DQ127" s="924"/>
      <c r="DR127" s="925"/>
      <c r="DS127" s="925"/>
      <c r="DT127" s="925"/>
      <c r="DV127" s="925"/>
      <c r="DW127" s="925"/>
      <c r="DX127" s="925"/>
      <c r="DY127" s="925"/>
      <c r="DZ127" s="925"/>
      <c r="EA127" s="925"/>
      <c r="EB127" s="925"/>
      <c r="EC127" s="925"/>
      <c r="ED127" s="925"/>
      <c r="EE127" s="925"/>
      <c r="EF127" s="925"/>
      <c r="EG127" s="925"/>
      <c r="EH127" s="925"/>
      <c r="EI127" s="925"/>
      <c r="EJ127" s="925"/>
      <c r="EK127" s="925"/>
      <c r="EL127" s="925"/>
      <c r="EM127" s="925"/>
      <c r="EN127" s="925"/>
      <c r="EO127" s="925"/>
      <c r="EP127" s="925"/>
      <c r="EQ127" s="925"/>
      <c r="ER127" s="925"/>
      <c r="ES127" s="925"/>
      <c r="ET127" s="925"/>
      <c r="EV127" s="924"/>
      <c r="EW127" s="925"/>
      <c r="EX127" s="925"/>
      <c r="EY127" s="925"/>
    </row>
    <row r="128" spans="1:155" s="927" customFormat="1" ht="15.75" x14ac:dyDescent="0.25">
      <c r="A128" s="912" t="s">
        <v>61</v>
      </c>
      <c r="B128" s="913" t="s">
        <v>1404</v>
      </c>
      <c r="C128" s="914">
        <v>1</v>
      </c>
      <c r="D128" s="914">
        <v>6404</v>
      </c>
      <c r="E128" s="915">
        <v>1.0549999999999999</v>
      </c>
      <c r="F128" s="916">
        <f t="shared" si="77"/>
        <v>6757</v>
      </c>
      <c r="G128" s="915">
        <v>1.01</v>
      </c>
      <c r="H128" s="916">
        <f t="shared" si="78"/>
        <v>6825</v>
      </c>
      <c r="I128" s="917">
        <f t="shared" si="79"/>
        <v>6825</v>
      </c>
      <c r="J128" s="918">
        <f t="shared" si="80"/>
        <v>0</v>
      </c>
      <c r="K128" s="919"/>
      <c r="L128" s="917">
        <f t="shared" si="81"/>
        <v>0</v>
      </c>
      <c r="M128" s="918">
        <f t="shared" si="82"/>
        <v>0.04</v>
      </c>
      <c r="N128" s="919">
        <v>256.16000000000003</v>
      </c>
      <c r="O128" s="917">
        <f t="shared" si="83"/>
        <v>273</v>
      </c>
      <c r="P128" s="918">
        <f t="shared" si="84"/>
        <v>0</v>
      </c>
      <c r="Q128" s="919"/>
      <c r="R128" s="917">
        <f t="shared" si="85"/>
        <v>0</v>
      </c>
      <c r="S128" s="918">
        <f t="shared" si="86"/>
        <v>0</v>
      </c>
      <c r="T128" s="919"/>
      <c r="U128" s="917">
        <f t="shared" si="87"/>
        <v>0</v>
      </c>
      <c r="V128" s="918">
        <f t="shared" si="88"/>
        <v>0</v>
      </c>
      <c r="W128" s="919"/>
      <c r="X128" s="917">
        <f t="shared" si="89"/>
        <v>0</v>
      </c>
      <c r="Y128" s="918">
        <f t="shared" si="90"/>
        <v>1.99</v>
      </c>
      <c r="Z128" s="919">
        <v>12743.96</v>
      </c>
      <c r="AA128" s="917">
        <f t="shared" si="91"/>
        <v>13581.75</v>
      </c>
      <c r="AB128" s="918">
        <f t="shared" si="92"/>
        <v>0.3</v>
      </c>
      <c r="AC128" s="919">
        <v>1921.2</v>
      </c>
      <c r="AD128" s="917">
        <f t="shared" si="93"/>
        <v>2047.5</v>
      </c>
      <c r="AE128" s="918">
        <f t="shared" si="94"/>
        <v>0</v>
      </c>
      <c r="AF128" s="919"/>
      <c r="AG128" s="917">
        <f t="shared" si="95"/>
        <v>0</v>
      </c>
      <c r="AH128" s="918">
        <f t="shared" si="96"/>
        <v>0</v>
      </c>
      <c r="AI128" s="919"/>
      <c r="AJ128" s="917">
        <f t="shared" si="97"/>
        <v>0</v>
      </c>
      <c r="AK128" s="918">
        <f t="shared" si="98"/>
        <v>0</v>
      </c>
      <c r="AL128" s="919"/>
      <c r="AM128" s="917">
        <f t="shared" si="99"/>
        <v>0</v>
      </c>
      <c r="AN128" s="920">
        <v>19242</v>
      </c>
      <c r="AO128" s="917">
        <f t="shared" si="100"/>
        <v>0</v>
      </c>
      <c r="AP128" s="920"/>
      <c r="AQ128" s="916">
        <f t="shared" si="101"/>
        <v>0</v>
      </c>
      <c r="AR128" s="917">
        <f t="shared" si="102"/>
        <v>22727.25</v>
      </c>
      <c r="AS128" s="916">
        <v>12</v>
      </c>
      <c r="AT128" s="921">
        <f t="shared" si="103"/>
        <v>272727</v>
      </c>
      <c r="AU128" s="920"/>
      <c r="AV128" s="922">
        <f t="shared" si="104"/>
        <v>2727.27</v>
      </c>
      <c r="AW128" s="921">
        <f t="shared" si="105"/>
        <v>275454.27</v>
      </c>
      <c r="AX128" s="921">
        <f t="shared" si="106"/>
        <v>83187.19</v>
      </c>
      <c r="AY128" s="921">
        <f t="shared" si="107"/>
        <v>358641.46</v>
      </c>
      <c r="AZ128" s="923">
        <f t="shared" si="108"/>
        <v>275.5</v>
      </c>
      <c r="BA128" s="923">
        <f t="shared" si="109"/>
        <v>83.2</v>
      </c>
      <c r="BB128" s="923">
        <f t="shared" si="110"/>
        <v>358.7</v>
      </c>
      <c r="BC128" s="915">
        <v>0.95</v>
      </c>
      <c r="BD128" s="923">
        <f t="shared" si="111"/>
        <v>261.7</v>
      </c>
      <c r="BE128" s="923">
        <f t="shared" si="112"/>
        <v>79</v>
      </c>
      <c r="BF128" s="923">
        <f t="shared" si="113"/>
        <v>340.7</v>
      </c>
      <c r="BG128" s="924">
        <f>'[3]свод (2024)'!$B$116</f>
        <v>0.99758349999999996</v>
      </c>
      <c r="BH128" s="923">
        <f t="shared" si="114"/>
        <v>261.10000000000002</v>
      </c>
      <c r="BI128" s="923">
        <f t="shared" si="115"/>
        <v>78.900000000000006</v>
      </c>
      <c r="BJ128" s="923">
        <f t="shared" si="116"/>
        <v>340</v>
      </c>
      <c r="BK128" s="925">
        <f t="shared" si="117"/>
        <v>-14.4</v>
      </c>
      <c r="BL128" s="925">
        <f t="shared" si="117"/>
        <v>-4.3</v>
      </c>
      <c r="BM128" s="925">
        <f t="shared" si="118"/>
        <v>-18.7</v>
      </c>
      <c r="BN128" s="925">
        <f t="shared" si="119"/>
        <v>0</v>
      </c>
      <c r="BO128" s="925">
        <f t="shared" si="120"/>
        <v>0</v>
      </c>
      <c r="BP128" s="926"/>
      <c r="BQ128" s="925">
        <f t="shared" si="121"/>
        <v>261.10000000000002</v>
      </c>
      <c r="BR128" s="925">
        <f t="shared" si="121"/>
        <v>78.900000000000006</v>
      </c>
      <c r="BS128" s="925">
        <f t="shared" si="122"/>
        <v>340</v>
      </c>
      <c r="BU128" s="928"/>
      <c r="BV128" s="917"/>
      <c r="BW128" s="928"/>
      <c r="BX128" s="928"/>
      <c r="BY128" s="928"/>
      <c r="BZ128" s="917"/>
      <c r="CA128" s="928"/>
      <c r="CB128" s="917"/>
      <c r="CC128" s="928"/>
      <c r="CD128" s="928"/>
      <c r="CE128" s="928"/>
      <c r="CF128" s="929"/>
      <c r="CG128" s="928"/>
      <c r="CH128" s="928"/>
      <c r="CI128" s="928"/>
      <c r="CJ128" s="925"/>
      <c r="CK128" s="925"/>
      <c r="CL128" s="925"/>
      <c r="CM128" s="925"/>
      <c r="CN128" s="925"/>
      <c r="CO128" s="925"/>
      <c r="CP128" s="925"/>
      <c r="CQ128" s="925"/>
      <c r="CR128" s="925"/>
      <c r="CS128" s="917"/>
      <c r="CT128" s="928"/>
      <c r="CU128" s="928"/>
      <c r="CV128" s="928"/>
      <c r="CX128" s="925"/>
      <c r="CY128" s="925"/>
      <c r="CZ128" s="925"/>
      <c r="DB128" s="925"/>
      <c r="DC128" s="925"/>
      <c r="DD128" s="925"/>
      <c r="DE128" s="925"/>
      <c r="DF128" s="925"/>
      <c r="DG128" s="925"/>
      <c r="DH128" s="925"/>
      <c r="DI128" s="925"/>
      <c r="DJ128" s="925"/>
      <c r="DK128" s="925"/>
      <c r="DL128" s="925"/>
      <c r="DM128" s="925"/>
      <c r="DN128" s="925"/>
      <c r="DO128" s="925"/>
      <c r="DP128" s="925"/>
      <c r="DQ128" s="924"/>
      <c r="DR128" s="925"/>
      <c r="DS128" s="925"/>
      <c r="DT128" s="925"/>
      <c r="DV128" s="925"/>
      <c r="DW128" s="925"/>
      <c r="DX128" s="925"/>
      <c r="DY128" s="925"/>
      <c r="DZ128" s="925"/>
      <c r="EA128" s="925"/>
      <c r="EB128" s="925"/>
      <c r="EC128" s="925"/>
      <c r="ED128" s="925"/>
      <c r="EE128" s="925"/>
      <c r="EF128" s="925"/>
      <c r="EG128" s="925"/>
      <c r="EH128" s="925"/>
      <c r="EI128" s="925"/>
      <c r="EJ128" s="925"/>
      <c r="EK128" s="925"/>
      <c r="EL128" s="925"/>
      <c r="EM128" s="925"/>
      <c r="EN128" s="925"/>
      <c r="EO128" s="925"/>
      <c r="EP128" s="925"/>
      <c r="EQ128" s="925"/>
      <c r="ER128" s="925"/>
      <c r="ES128" s="925"/>
      <c r="ET128" s="925"/>
      <c r="EV128" s="924"/>
      <c r="EW128" s="925"/>
      <c r="EX128" s="925"/>
      <c r="EY128" s="925"/>
    </row>
    <row r="129" spans="1:155" s="927" customFormat="1" ht="15.75" x14ac:dyDescent="0.25">
      <c r="A129" s="912" t="s">
        <v>61</v>
      </c>
      <c r="B129" s="913" t="s">
        <v>493</v>
      </c>
      <c r="C129" s="914">
        <v>3.22</v>
      </c>
      <c r="D129" s="914">
        <v>13132</v>
      </c>
      <c r="E129" s="915">
        <v>1.0549999999999999</v>
      </c>
      <c r="F129" s="916">
        <f t="shared" si="77"/>
        <v>13855</v>
      </c>
      <c r="G129" s="915">
        <v>1.01</v>
      </c>
      <c r="H129" s="916">
        <f t="shared" si="78"/>
        <v>13994</v>
      </c>
      <c r="I129" s="917">
        <f t="shared" si="79"/>
        <v>45060.68</v>
      </c>
      <c r="J129" s="918">
        <f t="shared" si="80"/>
        <v>0.19324</v>
      </c>
      <c r="K129" s="919">
        <v>8171.02</v>
      </c>
      <c r="L129" s="917">
        <f t="shared" si="81"/>
        <v>8707.5300000000007</v>
      </c>
      <c r="M129" s="918">
        <f t="shared" si="82"/>
        <v>0</v>
      </c>
      <c r="N129" s="919"/>
      <c r="O129" s="917">
        <f t="shared" si="83"/>
        <v>0</v>
      </c>
      <c r="P129" s="918">
        <f t="shared" si="84"/>
        <v>1.035E-2</v>
      </c>
      <c r="Q129" s="919">
        <v>437.73</v>
      </c>
      <c r="R129" s="917">
        <f t="shared" si="85"/>
        <v>466.38</v>
      </c>
      <c r="S129" s="918">
        <f t="shared" si="86"/>
        <v>0</v>
      </c>
      <c r="T129" s="919"/>
      <c r="U129" s="917">
        <f t="shared" si="87"/>
        <v>0</v>
      </c>
      <c r="V129" s="918">
        <f t="shared" si="88"/>
        <v>0</v>
      </c>
      <c r="W129" s="919"/>
      <c r="X129" s="917">
        <f t="shared" si="89"/>
        <v>0</v>
      </c>
      <c r="Y129" s="918">
        <f t="shared" si="90"/>
        <v>0</v>
      </c>
      <c r="Z129" s="919"/>
      <c r="AA129" s="917">
        <f t="shared" si="91"/>
        <v>0</v>
      </c>
      <c r="AB129" s="918">
        <f t="shared" si="92"/>
        <v>0.20014000000000001</v>
      </c>
      <c r="AC129" s="919">
        <v>8462.84</v>
      </c>
      <c r="AD129" s="917">
        <f t="shared" si="93"/>
        <v>9018.44</v>
      </c>
      <c r="AE129" s="918">
        <f t="shared" si="94"/>
        <v>0</v>
      </c>
      <c r="AF129" s="919"/>
      <c r="AG129" s="917">
        <f t="shared" si="95"/>
        <v>0</v>
      </c>
      <c r="AH129" s="918">
        <f t="shared" si="96"/>
        <v>0</v>
      </c>
      <c r="AI129" s="919"/>
      <c r="AJ129" s="917">
        <f t="shared" si="97"/>
        <v>0</v>
      </c>
      <c r="AK129" s="918">
        <f t="shared" si="98"/>
        <v>0</v>
      </c>
      <c r="AL129" s="919"/>
      <c r="AM129" s="917">
        <f t="shared" si="99"/>
        <v>0</v>
      </c>
      <c r="AN129" s="920">
        <v>19242</v>
      </c>
      <c r="AO129" s="917">
        <f t="shared" si="100"/>
        <v>0</v>
      </c>
      <c r="AP129" s="920"/>
      <c r="AQ129" s="916">
        <f t="shared" si="101"/>
        <v>0</v>
      </c>
      <c r="AR129" s="917">
        <f t="shared" si="102"/>
        <v>63253.03</v>
      </c>
      <c r="AS129" s="916">
        <v>12</v>
      </c>
      <c r="AT129" s="921">
        <f t="shared" si="103"/>
        <v>759036.36</v>
      </c>
      <c r="AU129" s="920"/>
      <c r="AV129" s="922">
        <f t="shared" si="104"/>
        <v>7590.36</v>
      </c>
      <c r="AW129" s="921">
        <f t="shared" si="105"/>
        <v>766626.72</v>
      </c>
      <c r="AX129" s="921">
        <f t="shared" si="106"/>
        <v>231521.27</v>
      </c>
      <c r="AY129" s="921">
        <f t="shared" si="107"/>
        <v>998147.99</v>
      </c>
      <c r="AZ129" s="923">
        <f t="shared" si="108"/>
        <v>766.6</v>
      </c>
      <c r="BA129" s="923">
        <f t="shared" si="109"/>
        <v>231.5</v>
      </c>
      <c r="BB129" s="923">
        <f t="shared" si="110"/>
        <v>998.1</v>
      </c>
      <c r="BC129" s="915">
        <v>0.95</v>
      </c>
      <c r="BD129" s="923">
        <f t="shared" si="111"/>
        <v>728.3</v>
      </c>
      <c r="BE129" s="923">
        <f t="shared" si="112"/>
        <v>219.9</v>
      </c>
      <c r="BF129" s="923">
        <f t="shared" si="113"/>
        <v>948.2</v>
      </c>
      <c r="BG129" s="924">
        <f>'[3]свод (2024)'!$B$116</f>
        <v>0.99758349999999996</v>
      </c>
      <c r="BH129" s="923">
        <f t="shared" si="114"/>
        <v>726.5</v>
      </c>
      <c r="BI129" s="923">
        <f t="shared" si="115"/>
        <v>219.4</v>
      </c>
      <c r="BJ129" s="923">
        <f t="shared" si="116"/>
        <v>945.9</v>
      </c>
      <c r="BK129" s="925">
        <f t="shared" si="117"/>
        <v>-40.1</v>
      </c>
      <c r="BL129" s="925">
        <f t="shared" si="117"/>
        <v>-12.1</v>
      </c>
      <c r="BM129" s="925">
        <f t="shared" si="118"/>
        <v>-52.2</v>
      </c>
      <c r="BN129" s="925">
        <f t="shared" si="119"/>
        <v>0</v>
      </c>
      <c r="BO129" s="925">
        <f t="shared" si="120"/>
        <v>0</v>
      </c>
      <c r="BP129" s="926"/>
      <c r="BQ129" s="925">
        <f t="shared" si="121"/>
        <v>726.5</v>
      </c>
      <c r="BR129" s="925">
        <f t="shared" si="121"/>
        <v>219.4</v>
      </c>
      <c r="BS129" s="925">
        <f t="shared" si="122"/>
        <v>945.9</v>
      </c>
      <c r="BU129" s="928">
        <f t="shared" si="123"/>
        <v>3.22</v>
      </c>
      <c r="BV129" s="917"/>
      <c r="BW129" s="928"/>
      <c r="BX129" s="928">
        <f t="shared" si="124"/>
        <v>766626.72</v>
      </c>
      <c r="BY129" s="928"/>
      <c r="BZ129" s="917"/>
      <c r="CA129" s="928"/>
      <c r="CB129" s="917"/>
      <c r="CC129" s="928"/>
      <c r="CD129" s="928"/>
      <c r="CE129" s="928"/>
      <c r="CF129" s="929">
        <f>CC$134/BU$134*BU129</f>
        <v>274905.71000000002</v>
      </c>
      <c r="CG129" s="928"/>
      <c r="CH129" s="928"/>
      <c r="CI129" s="928"/>
      <c r="CJ129" s="925"/>
      <c r="CK129" s="925"/>
      <c r="CL129" s="925"/>
      <c r="CM129" s="925"/>
      <c r="CN129" s="925"/>
      <c r="CO129" s="925"/>
      <c r="CP129" s="925"/>
      <c r="CQ129" s="925"/>
      <c r="CR129" s="925"/>
      <c r="CS129" s="917"/>
      <c r="CT129" s="928"/>
      <c r="CU129" s="928"/>
      <c r="CV129" s="928"/>
      <c r="CX129" s="925"/>
      <c r="CY129" s="925"/>
      <c r="CZ129" s="925"/>
      <c r="DB129" s="925"/>
      <c r="DC129" s="925"/>
      <c r="DD129" s="925"/>
      <c r="DE129" s="925"/>
      <c r="DF129" s="925"/>
      <c r="DG129" s="925"/>
      <c r="DH129" s="925"/>
      <c r="DI129" s="925"/>
      <c r="DJ129" s="925"/>
      <c r="DK129" s="925"/>
      <c r="DL129" s="925"/>
      <c r="DM129" s="925"/>
      <c r="DN129" s="925"/>
      <c r="DO129" s="925"/>
      <c r="DP129" s="925"/>
      <c r="DQ129" s="924"/>
      <c r="DR129" s="925"/>
      <c r="DS129" s="925"/>
      <c r="DT129" s="925"/>
      <c r="DV129" s="925"/>
      <c r="DW129" s="925"/>
      <c r="DX129" s="925"/>
      <c r="DY129" s="925"/>
      <c r="DZ129" s="925"/>
      <c r="EA129" s="925"/>
      <c r="EB129" s="925"/>
      <c r="EC129" s="925"/>
      <c r="ED129" s="925"/>
      <c r="EE129" s="925"/>
      <c r="EF129" s="925"/>
      <c r="EG129" s="925"/>
      <c r="EH129" s="925"/>
      <c r="EI129" s="925"/>
      <c r="EJ129" s="925"/>
      <c r="EK129" s="925"/>
      <c r="EL129" s="925"/>
      <c r="EM129" s="925"/>
      <c r="EN129" s="925"/>
      <c r="EO129" s="925"/>
      <c r="EP129" s="925"/>
      <c r="EQ129" s="925"/>
      <c r="ER129" s="925"/>
      <c r="ES129" s="925"/>
      <c r="ET129" s="925"/>
      <c r="EV129" s="924"/>
      <c r="EW129" s="925"/>
      <c r="EX129" s="925"/>
      <c r="EY129" s="925"/>
    </row>
    <row r="130" spans="1:155" s="927" customFormat="1" ht="24" x14ac:dyDescent="0.25">
      <c r="A130" s="912" t="s">
        <v>61</v>
      </c>
      <c r="B130" s="913" t="s">
        <v>1405</v>
      </c>
      <c r="C130" s="914">
        <v>6</v>
      </c>
      <c r="D130" s="914">
        <v>4336</v>
      </c>
      <c r="E130" s="915">
        <v>1.0549999999999999</v>
      </c>
      <c r="F130" s="916">
        <f t="shared" si="77"/>
        <v>4575</v>
      </c>
      <c r="G130" s="915">
        <v>1.01</v>
      </c>
      <c r="H130" s="916">
        <f t="shared" si="78"/>
        <v>4621</v>
      </c>
      <c r="I130" s="917">
        <f t="shared" si="79"/>
        <v>27726</v>
      </c>
      <c r="J130" s="918">
        <f t="shared" si="80"/>
        <v>0</v>
      </c>
      <c r="K130" s="919"/>
      <c r="L130" s="917">
        <f t="shared" si="81"/>
        <v>0</v>
      </c>
      <c r="M130" s="918">
        <f t="shared" si="82"/>
        <v>0</v>
      </c>
      <c r="N130" s="919"/>
      <c r="O130" s="917">
        <f t="shared" si="83"/>
        <v>0</v>
      </c>
      <c r="P130" s="918">
        <f t="shared" si="84"/>
        <v>0</v>
      </c>
      <c r="Q130" s="919"/>
      <c r="R130" s="917">
        <f t="shared" si="85"/>
        <v>0</v>
      </c>
      <c r="S130" s="918">
        <f t="shared" si="86"/>
        <v>0</v>
      </c>
      <c r="T130" s="919"/>
      <c r="U130" s="917">
        <f t="shared" si="87"/>
        <v>0</v>
      </c>
      <c r="V130" s="918">
        <f t="shared" si="88"/>
        <v>0</v>
      </c>
      <c r="W130" s="919"/>
      <c r="X130" s="917">
        <f t="shared" si="89"/>
        <v>0</v>
      </c>
      <c r="Y130" s="918">
        <f t="shared" si="90"/>
        <v>0</v>
      </c>
      <c r="Z130" s="919"/>
      <c r="AA130" s="917">
        <f t="shared" si="91"/>
        <v>0</v>
      </c>
      <c r="AB130" s="918">
        <f t="shared" si="92"/>
        <v>0</v>
      </c>
      <c r="AC130" s="919"/>
      <c r="AD130" s="917">
        <f t="shared" si="93"/>
        <v>0</v>
      </c>
      <c r="AE130" s="918">
        <f t="shared" si="94"/>
        <v>0</v>
      </c>
      <c r="AF130" s="919"/>
      <c r="AG130" s="917">
        <f t="shared" si="95"/>
        <v>0</v>
      </c>
      <c r="AH130" s="918">
        <f t="shared" si="96"/>
        <v>0</v>
      </c>
      <c r="AI130" s="919"/>
      <c r="AJ130" s="917">
        <f t="shared" si="97"/>
        <v>0</v>
      </c>
      <c r="AK130" s="918">
        <f t="shared" si="98"/>
        <v>0</v>
      </c>
      <c r="AL130" s="919"/>
      <c r="AM130" s="917">
        <f t="shared" si="99"/>
        <v>0</v>
      </c>
      <c r="AN130" s="920">
        <v>19242</v>
      </c>
      <c r="AO130" s="917">
        <f t="shared" si="100"/>
        <v>87726</v>
      </c>
      <c r="AP130" s="920"/>
      <c r="AQ130" s="916">
        <f t="shared" si="101"/>
        <v>0</v>
      </c>
      <c r="AR130" s="917">
        <f t="shared" si="102"/>
        <v>115452</v>
      </c>
      <c r="AS130" s="916">
        <v>12</v>
      </c>
      <c r="AT130" s="921">
        <f t="shared" si="103"/>
        <v>1385424</v>
      </c>
      <c r="AU130" s="920">
        <f>AT130*0.085</f>
        <v>117761.04</v>
      </c>
      <c r="AV130" s="922">
        <f t="shared" si="104"/>
        <v>13854.24</v>
      </c>
      <c r="AW130" s="921">
        <f t="shared" si="105"/>
        <v>1517039.28</v>
      </c>
      <c r="AX130" s="921">
        <f t="shared" si="106"/>
        <v>458145.86</v>
      </c>
      <c r="AY130" s="921">
        <f t="shared" si="107"/>
        <v>1975185.14</v>
      </c>
      <c r="AZ130" s="923">
        <f t="shared" si="108"/>
        <v>1517</v>
      </c>
      <c r="BA130" s="923">
        <f t="shared" si="109"/>
        <v>458.1</v>
      </c>
      <c r="BB130" s="923">
        <f t="shared" si="110"/>
        <v>1975.1</v>
      </c>
      <c r="BC130" s="915">
        <v>0.95</v>
      </c>
      <c r="BD130" s="923">
        <f t="shared" si="111"/>
        <v>1441.2</v>
      </c>
      <c r="BE130" s="923">
        <f t="shared" si="112"/>
        <v>435.2</v>
      </c>
      <c r="BF130" s="923">
        <f t="shared" si="113"/>
        <v>1876.4</v>
      </c>
      <c r="BG130" s="924">
        <f>'[3]свод (2024)'!$B$116</f>
        <v>0.99758349999999996</v>
      </c>
      <c r="BH130" s="923">
        <f t="shared" si="114"/>
        <v>1437.7</v>
      </c>
      <c r="BI130" s="923">
        <f t="shared" si="115"/>
        <v>434.2</v>
      </c>
      <c r="BJ130" s="923">
        <f t="shared" si="116"/>
        <v>1871.9</v>
      </c>
      <c r="BK130" s="925">
        <f t="shared" si="117"/>
        <v>-79.3</v>
      </c>
      <c r="BL130" s="925">
        <f t="shared" si="117"/>
        <v>-23.9</v>
      </c>
      <c r="BM130" s="925">
        <f t="shared" si="118"/>
        <v>-103.2</v>
      </c>
      <c r="BN130" s="925">
        <f t="shared" si="119"/>
        <v>0</v>
      </c>
      <c r="BO130" s="925">
        <f t="shared" si="120"/>
        <v>0</v>
      </c>
      <c r="BP130" s="926"/>
      <c r="BQ130" s="925">
        <f t="shared" si="121"/>
        <v>1437.7</v>
      </c>
      <c r="BR130" s="925">
        <f t="shared" si="121"/>
        <v>434.2</v>
      </c>
      <c r="BS130" s="925">
        <f t="shared" si="122"/>
        <v>1871.9</v>
      </c>
      <c r="BU130" s="928"/>
      <c r="BV130" s="917"/>
      <c r="BW130" s="928"/>
      <c r="BX130" s="928"/>
      <c r="BY130" s="928"/>
      <c r="BZ130" s="917"/>
      <c r="CA130" s="928"/>
      <c r="CB130" s="917"/>
      <c r="CC130" s="928"/>
      <c r="CD130" s="928"/>
      <c r="CE130" s="928"/>
      <c r="CF130" s="929"/>
      <c r="CG130" s="928"/>
      <c r="CH130" s="928"/>
      <c r="CI130" s="928"/>
      <c r="CJ130" s="925"/>
      <c r="CK130" s="925"/>
      <c r="CL130" s="925"/>
      <c r="CM130" s="925"/>
      <c r="CN130" s="925"/>
      <c r="CO130" s="925"/>
      <c r="CP130" s="925"/>
      <c r="CQ130" s="925"/>
      <c r="CR130" s="925"/>
      <c r="CS130" s="917"/>
      <c r="CT130" s="928"/>
      <c r="CU130" s="928"/>
      <c r="CV130" s="928"/>
      <c r="CX130" s="925"/>
      <c r="CY130" s="925"/>
      <c r="CZ130" s="925"/>
      <c r="DB130" s="925"/>
      <c r="DC130" s="925"/>
      <c r="DD130" s="925"/>
      <c r="DE130" s="925"/>
      <c r="DF130" s="925"/>
      <c r="DG130" s="925"/>
      <c r="DH130" s="925"/>
      <c r="DI130" s="925"/>
      <c r="DJ130" s="925"/>
      <c r="DK130" s="925"/>
      <c r="DL130" s="925"/>
      <c r="DM130" s="925"/>
      <c r="DN130" s="925"/>
      <c r="DO130" s="925"/>
      <c r="DP130" s="925"/>
      <c r="DQ130" s="924"/>
      <c r="DR130" s="925"/>
      <c r="DS130" s="925"/>
      <c r="DT130" s="925"/>
      <c r="DV130" s="925"/>
      <c r="DW130" s="925"/>
      <c r="DX130" s="925"/>
      <c r="DY130" s="925"/>
      <c r="DZ130" s="925"/>
      <c r="EA130" s="925"/>
      <c r="EB130" s="925"/>
      <c r="EC130" s="925"/>
      <c r="ED130" s="925"/>
      <c r="EE130" s="925"/>
      <c r="EF130" s="925"/>
      <c r="EG130" s="925"/>
      <c r="EH130" s="925"/>
      <c r="EI130" s="925"/>
      <c r="EJ130" s="925"/>
      <c r="EK130" s="925"/>
      <c r="EL130" s="925"/>
      <c r="EM130" s="925"/>
      <c r="EN130" s="925"/>
      <c r="EO130" s="925"/>
      <c r="EP130" s="925"/>
      <c r="EQ130" s="925"/>
      <c r="ER130" s="925"/>
      <c r="ES130" s="925"/>
      <c r="ET130" s="925"/>
      <c r="EV130" s="924"/>
      <c r="EW130" s="925"/>
      <c r="EX130" s="925"/>
      <c r="EY130" s="925"/>
    </row>
    <row r="131" spans="1:155" s="927" customFormat="1" ht="15.75" x14ac:dyDescent="0.25">
      <c r="A131" s="912" t="s">
        <v>61</v>
      </c>
      <c r="B131" s="913" t="s">
        <v>1406</v>
      </c>
      <c r="C131" s="914">
        <v>0.5</v>
      </c>
      <c r="D131" s="914">
        <v>6707</v>
      </c>
      <c r="E131" s="915">
        <v>1.0549999999999999</v>
      </c>
      <c r="F131" s="916">
        <f t="shared" si="77"/>
        <v>7076</v>
      </c>
      <c r="G131" s="915">
        <v>1.01</v>
      </c>
      <c r="H131" s="916">
        <f t="shared" si="78"/>
        <v>7147</v>
      </c>
      <c r="I131" s="917">
        <f t="shared" si="79"/>
        <v>3573.5</v>
      </c>
      <c r="J131" s="918">
        <f t="shared" si="80"/>
        <v>0</v>
      </c>
      <c r="K131" s="919"/>
      <c r="L131" s="917">
        <f t="shared" si="81"/>
        <v>0</v>
      </c>
      <c r="M131" s="918">
        <f t="shared" si="82"/>
        <v>0</v>
      </c>
      <c r="N131" s="919"/>
      <c r="O131" s="917">
        <f t="shared" si="83"/>
        <v>0</v>
      </c>
      <c r="P131" s="918">
        <f t="shared" si="84"/>
        <v>0</v>
      </c>
      <c r="Q131" s="919"/>
      <c r="R131" s="917">
        <f t="shared" si="85"/>
        <v>0</v>
      </c>
      <c r="S131" s="918">
        <f t="shared" si="86"/>
        <v>0</v>
      </c>
      <c r="T131" s="919"/>
      <c r="U131" s="917">
        <f t="shared" si="87"/>
        <v>0</v>
      </c>
      <c r="V131" s="918">
        <f t="shared" si="88"/>
        <v>0</v>
      </c>
      <c r="W131" s="919"/>
      <c r="X131" s="917">
        <f t="shared" si="89"/>
        <v>0</v>
      </c>
      <c r="Y131" s="918">
        <f t="shared" si="90"/>
        <v>0</v>
      </c>
      <c r="Z131" s="919"/>
      <c r="AA131" s="917">
        <f t="shared" si="91"/>
        <v>0</v>
      </c>
      <c r="AB131" s="918">
        <f t="shared" si="92"/>
        <v>0.2</v>
      </c>
      <c r="AC131" s="919">
        <v>670.7</v>
      </c>
      <c r="AD131" s="917">
        <f t="shared" si="93"/>
        <v>714.7</v>
      </c>
      <c r="AE131" s="918">
        <f t="shared" si="94"/>
        <v>0</v>
      </c>
      <c r="AF131" s="919"/>
      <c r="AG131" s="917">
        <f t="shared" si="95"/>
        <v>0</v>
      </c>
      <c r="AH131" s="918">
        <f t="shared" si="96"/>
        <v>0</v>
      </c>
      <c r="AI131" s="919"/>
      <c r="AJ131" s="917">
        <f t="shared" si="97"/>
        <v>0</v>
      </c>
      <c r="AK131" s="918">
        <f t="shared" si="98"/>
        <v>0</v>
      </c>
      <c r="AL131" s="919"/>
      <c r="AM131" s="917">
        <f t="shared" si="99"/>
        <v>0</v>
      </c>
      <c r="AN131" s="920">
        <v>19242</v>
      </c>
      <c r="AO131" s="917">
        <f t="shared" si="100"/>
        <v>5332.8</v>
      </c>
      <c r="AP131" s="920"/>
      <c r="AQ131" s="916">
        <f t="shared" si="101"/>
        <v>0</v>
      </c>
      <c r="AR131" s="917">
        <f t="shared" si="102"/>
        <v>9621</v>
      </c>
      <c r="AS131" s="916">
        <v>12</v>
      </c>
      <c r="AT131" s="921">
        <f t="shared" si="103"/>
        <v>115452</v>
      </c>
      <c r="AU131" s="920"/>
      <c r="AV131" s="922">
        <f t="shared" si="104"/>
        <v>1154.52</v>
      </c>
      <c r="AW131" s="921">
        <f t="shared" si="105"/>
        <v>116606.52</v>
      </c>
      <c r="AX131" s="921">
        <f t="shared" si="106"/>
        <v>35215.17</v>
      </c>
      <c r="AY131" s="921">
        <f t="shared" si="107"/>
        <v>151821.69</v>
      </c>
      <c r="AZ131" s="923">
        <f t="shared" si="108"/>
        <v>116.6</v>
      </c>
      <c r="BA131" s="923">
        <f t="shared" si="109"/>
        <v>35.200000000000003</v>
      </c>
      <c r="BB131" s="923">
        <f t="shared" si="110"/>
        <v>151.80000000000001</v>
      </c>
      <c r="BC131" s="915">
        <v>0.95</v>
      </c>
      <c r="BD131" s="923">
        <f t="shared" si="111"/>
        <v>110.8</v>
      </c>
      <c r="BE131" s="923">
        <f t="shared" si="112"/>
        <v>33.5</v>
      </c>
      <c r="BF131" s="923">
        <f t="shared" si="113"/>
        <v>144.30000000000001</v>
      </c>
      <c r="BG131" s="924">
        <f>'[3]свод (2024)'!$B$116</f>
        <v>0.99758349999999996</v>
      </c>
      <c r="BH131" s="923">
        <f t="shared" si="114"/>
        <v>110.5</v>
      </c>
      <c r="BI131" s="923">
        <f t="shared" si="115"/>
        <v>33.4</v>
      </c>
      <c r="BJ131" s="923">
        <f t="shared" si="116"/>
        <v>143.9</v>
      </c>
      <c r="BK131" s="925">
        <f t="shared" si="117"/>
        <v>-6.1</v>
      </c>
      <c r="BL131" s="925">
        <f t="shared" si="117"/>
        <v>-1.8</v>
      </c>
      <c r="BM131" s="925">
        <f t="shared" si="118"/>
        <v>-7.9</v>
      </c>
      <c r="BN131" s="925">
        <f t="shared" si="119"/>
        <v>0</v>
      </c>
      <c r="BO131" s="925">
        <f t="shared" si="120"/>
        <v>0</v>
      </c>
      <c r="BP131" s="926"/>
      <c r="BQ131" s="925">
        <f t="shared" si="121"/>
        <v>110.5</v>
      </c>
      <c r="BR131" s="925">
        <f t="shared" si="121"/>
        <v>33.4</v>
      </c>
      <c r="BS131" s="925">
        <f t="shared" si="122"/>
        <v>143.9</v>
      </c>
      <c r="BU131" s="928"/>
      <c r="BV131" s="917"/>
      <c r="BW131" s="928"/>
      <c r="BX131" s="928"/>
      <c r="BY131" s="928"/>
      <c r="BZ131" s="917"/>
      <c r="CA131" s="928"/>
      <c r="CB131" s="917"/>
      <c r="CC131" s="928"/>
      <c r="CD131" s="928"/>
      <c r="CE131" s="928"/>
      <c r="CF131" s="929"/>
      <c r="CG131" s="928"/>
      <c r="CH131" s="928"/>
      <c r="CI131" s="928"/>
      <c r="CJ131" s="925"/>
      <c r="CK131" s="925"/>
      <c r="CL131" s="925"/>
      <c r="CM131" s="925"/>
      <c r="CN131" s="925"/>
      <c r="CO131" s="925"/>
      <c r="CP131" s="925"/>
      <c r="CQ131" s="925"/>
      <c r="CR131" s="925"/>
      <c r="CS131" s="917"/>
      <c r="CT131" s="928"/>
      <c r="CU131" s="928"/>
      <c r="CV131" s="928"/>
      <c r="CX131" s="925"/>
      <c r="CY131" s="925"/>
      <c r="CZ131" s="925"/>
      <c r="DB131" s="925"/>
      <c r="DC131" s="925"/>
      <c r="DD131" s="925"/>
      <c r="DE131" s="925"/>
      <c r="DF131" s="925"/>
      <c r="DG131" s="925"/>
      <c r="DH131" s="925"/>
      <c r="DI131" s="925"/>
      <c r="DJ131" s="925"/>
      <c r="DK131" s="925"/>
      <c r="DL131" s="925"/>
      <c r="DM131" s="925"/>
      <c r="DN131" s="925"/>
      <c r="DO131" s="925"/>
      <c r="DP131" s="925"/>
      <c r="DQ131" s="924"/>
      <c r="DR131" s="925"/>
      <c r="DS131" s="925"/>
      <c r="DT131" s="925"/>
      <c r="DV131" s="925"/>
      <c r="DW131" s="925"/>
      <c r="DX131" s="925"/>
      <c r="DY131" s="925"/>
      <c r="DZ131" s="925"/>
      <c r="EA131" s="925"/>
      <c r="EB131" s="925"/>
      <c r="EC131" s="925"/>
      <c r="ED131" s="925"/>
      <c r="EE131" s="925"/>
      <c r="EF131" s="925"/>
      <c r="EG131" s="925"/>
      <c r="EH131" s="925"/>
      <c r="EI131" s="925"/>
      <c r="EJ131" s="925"/>
      <c r="EK131" s="925"/>
      <c r="EL131" s="925"/>
      <c r="EM131" s="925"/>
      <c r="EN131" s="925"/>
      <c r="EO131" s="925"/>
      <c r="EP131" s="925"/>
      <c r="EQ131" s="925"/>
      <c r="ER131" s="925"/>
      <c r="ES131" s="925"/>
      <c r="ET131" s="925"/>
      <c r="EV131" s="924"/>
      <c r="EW131" s="925"/>
      <c r="EX131" s="925"/>
      <c r="EY131" s="925"/>
    </row>
    <row r="132" spans="1:155" s="927" customFormat="1" ht="15.75" x14ac:dyDescent="0.25">
      <c r="A132" s="912" t="s">
        <v>61</v>
      </c>
      <c r="B132" s="913" t="s">
        <v>702</v>
      </c>
      <c r="C132" s="914">
        <v>0.5</v>
      </c>
      <c r="D132" s="914">
        <v>7755</v>
      </c>
      <c r="E132" s="915">
        <v>1.0549999999999999</v>
      </c>
      <c r="F132" s="916">
        <f t="shared" si="77"/>
        <v>8182</v>
      </c>
      <c r="G132" s="915">
        <v>1.01</v>
      </c>
      <c r="H132" s="916">
        <f t="shared" si="78"/>
        <v>8264</v>
      </c>
      <c r="I132" s="917">
        <f t="shared" si="79"/>
        <v>4132</v>
      </c>
      <c r="J132" s="918">
        <f t="shared" si="80"/>
        <v>0</v>
      </c>
      <c r="K132" s="919"/>
      <c r="L132" s="917">
        <f t="shared" si="81"/>
        <v>0</v>
      </c>
      <c r="M132" s="918">
        <f t="shared" si="82"/>
        <v>0</v>
      </c>
      <c r="N132" s="919"/>
      <c r="O132" s="917">
        <f t="shared" si="83"/>
        <v>0</v>
      </c>
      <c r="P132" s="918">
        <f t="shared" si="84"/>
        <v>0</v>
      </c>
      <c r="Q132" s="919"/>
      <c r="R132" s="917">
        <f t="shared" si="85"/>
        <v>0</v>
      </c>
      <c r="S132" s="918">
        <f t="shared" si="86"/>
        <v>0</v>
      </c>
      <c r="T132" s="919"/>
      <c r="U132" s="917">
        <f t="shared" si="87"/>
        <v>0</v>
      </c>
      <c r="V132" s="918">
        <f t="shared" si="88"/>
        <v>0</v>
      </c>
      <c r="W132" s="919"/>
      <c r="X132" s="917">
        <f t="shared" si="89"/>
        <v>0</v>
      </c>
      <c r="Y132" s="918">
        <f t="shared" si="90"/>
        <v>1.99</v>
      </c>
      <c r="Z132" s="919">
        <v>7716.23</v>
      </c>
      <c r="AA132" s="917">
        <f t="shared" si="91"/>
        <v>8222.68</v>
      </c>
      <c r="AB132" s="918">
        <f t="shared" si="92"/>
        <v>0.3</v>
      </c>
      <c r="AC132" s="919">
        <v>1163.25</v>
      </c>
      <c r="AD132" s="917">
        <f t="shared" si="93"/>
        <v>1239.5999999999999</v>
      </c>
      <c r="AE132" s="918">
        <f t="shared" si="94"/>
        <v>0</v>
      </c>
      <c r="AF132" s="919"/>
      <c r="AG132" s="917">
        <f t="shared" si="95"/>
        <v>0</v>
      </c>
      <c r="AH132" s="918">
        <f t="shared" si="96"/>
        <v>0</v>
      </c>
      <c r="AI132" s="919"/>
      <c r="AJ132" s="917">
        <f t="shared" si="97"/>
        <v>0</v>
      </c>
      <c r="AK132" s="918">
        <f t="shared" si="98"/>
        <v>0</v>
      </c>
      <c r="AL132" s="919"/>
      <c r="AM132" s="917">
        <f t="shared" si="99"/>
        <v>0</v>
      </c>
      <c r="AN132" s="920">
        <v>19242</v>
      </c>
      <c r="AO132" s="917">
        <f t="shared" si="100"/>
        <v>0</v>
      </c>
      <c r="AP132" s="920"/>
      <c r="AQ132" s="916">
        <f t="shared" si="101"/>
        <v>0</v>
      </c>
      <c r="AR132" s="917">
        <f t="shared" si="102"/>
        <v>13594.28</v>
      </c>
      <c r="AS132" s="916">
        <v>12</v>
      </c>
      <c r="AT132" s="921">
        <f t="shared" si="103"/>
        <v>163131.35999999999</v>
      </c>
      <c r="AU132" s="920"/>
      <c r="AV132" s="922">
        <f t="shared" si="104"/>
        <v>1631.31</v>
      </c>
      <c r="AW132" s="921">
        <f t="shared" si="105"/>
        <v>164762.67000000001</v>
      </c>
      <c r="AX132" s="921">
        <f t="shared" si="106"/>
        <v>49758.33</v>
      </c>
      <c r="AY132" s="921">
        <f t="shared" si="107"/>
        <v>214521</v>
      </c>
      <c r="AZ132" s="923">
        <f t="shared" si="108"/>
        <v>164.8</v>
      </c>
      <c r="BA132" s="923">
        <f t="shared" si="109"/>
        <v>49.8</v>
      </c>
      <c r="BB132" s="923">
        <f t="shared" si="110"/>
        <v>214.6</v>
      </c>
      <c r="BC132" s="915">
        <v>0.95</v>
      </c>
      <c r="BD132" s="923">
        <f t="shared" si="111"/>
        <v>156.6</v>
      </c>
      <c r="BE132" s="923">
        <f t="shared" si="112"/>
        <v>47.3</v>
      </c>
      <c r="BF132" s="923">
        <f t="shared" si="113"/>
        <v>203.9</v>
      </c>
      <c r="BG132" s="924">
        <f>'[3]свод (2024)'!$B$116</f>
        <v>0.99758349999999996</v>
      </c>
      <c r="BH132" s="923">
        <f t="shared" si="114"/>
        <v>156.19999999999999</v>
      </c>
      <c r="BI132" s="923">
        <f t="shared" si="115"/>
        <v>47.2</v>
      </c>
      <c r="BJ132" s="923">
        <f t="shared" si="116"/>
        <v>203.4</v>
      </c>
      <c r="BK132" s="925">
        <f t="shared" si="117"/>
        <v>-8.6</v>
      </c>
      <c r="BL132" s="925">
        <f t="shared" si="117"/>
        <v>-2.6</v>
      </c>
      <c r="BM132" s="925">
        <f t="shared" si="118"/>
        <v>-11.2</v>
      </c>
      <c r="BN132" s="925">
        <f t="shared" si="119"/>
        <v>0</v>
      </c>
      <c r="BO132" s="925">
        <f t="shared" si="120"/>
        <v>0</v>
      </c>
      <c r="BP132" s="926"/>
      <c r="BQ132" s="925">
        <f t="shared" si="121"/>
        <v>156.19999999999999</v>
      </c>
      <c r="BR132" s="925">
        <f t="shared" si="121"/>
        <v>47.2</v>
      </c>
      <c r="BS132" s="925">
        <f t="shared" si="122"/>
        <v>203.4</v>
      </c>
      <c r="BU132" s="928"/>
      <c r="BV132" s="917"/>
      <c r="BW132" s="928"/>
      <c r="BX132" s="928"/>
      <c r="BY132" s="928"/>
      <c r="BZ132" s="917"/>
      <c r="CA132" s="928"/>
      <c r="CB132" s="917"/>
      <c r="CC132" s="928"/>
      <c r="CD132" s="928"/>
      <c r="CE132" s="928"/>
      <c r="CF132" s="929"/>
      <c r="CG132" s="928"/>
      <c r="CH132" s="928"/>
      <c r="CI132" s="928"/>
      <c r="CJ132" s="925"/>
      <c r="CK132" s="925"/>
      <c r="CL132" s="925"/>
      <c r="CM132" s="925"/>
      <c r="CN132" s="925"/>
      <c r="CO132" s="925"/>
      <c r="CP132" s="925"/>
      <c r="CQ132" s="925"/>
      <c r="CR132" s="925"/>
      <c r="CS132" s="917"/>
      <c r="CT132" s="928"/>
      <c r="CU132" s="928"/>
      <c r="CV132" s="928"/>
      <c r="CX132" s="925"/>
      <c r="CY132" s="925"/>
      <c r="CZ132" s="925"/>
      <c r="DB132" s="925"/>
      <c r="DC132" s="925"/>
      <c r="DD132" s="925"/>
      <c r="DE132" s="925"/>
      <c r="DF132" s="925"/>
      <c r="DG132" s="925"/>
      <c r="DH132" s="925"/>
      <c r="DI132" s="925"/>
      <c r="DJ132" s="925"/>
      <c r="DK132" s="925"/>
      <c r="DL132" s="925"/>
      <c r="DM132" s="925"/>
      <c r="DN132" s="925"/>
      <c r="DO132" s="925"/>
      <c r="DP132" s="925"/>
      <c r="DQ132" s="924"/>
      <c r="DR132" s="925"/>
      <c r="DS132" s="925"/>
      <c r="DT132" s="925"/>
      <c r="DV132" s="925"/>
      <c r="DW132" s="925"/>
      <c r="DX132" s="925"/>
      <c r="DY132" s="925"/>
      <c r="DZ132" s="925"/>
      <c r="EA132" s="925"/>
      <c r="EB132" s="925"/>
      <c r="EC132" s="925"/>
      <c r="ED132" s="925"/>
      <c r="EE132" s="925"/>
      <c r="EF132" s="925"/>
      <c r="EG132" s="925"/>
      <c r="EH132" s="925"/>
      <c r="EI132" s="925"/>
      <c r="EJ132" s="925"/>
      <c r="EK132" s="925"/>
      <c r="EL132" s="925"/>
      <c r="EM132" s="925"/>
      <c r="EN132" s="925"/>
      <c r="EO132" s="925"/>
      <c r="EP132" s="925"/>
      <c r="EQ132" s="925"/>
      <c r="ER132" s="925"/>
      <c r="ES132" s="925"/>
      <c r="ET132" s="925"/>
      <c r="EV132" s="924"/>
      <c r="EW132" s="925"/>
      <c r="EX132" s="925"/>
      <c r="EY132" s="925"/>
    </row>
    <row r="133" spans="1:155" s="927" customFormat="1" ht="36" x14ac:dyDescent="0.25">
      <c r="A133" s="912" t="s">
        <v>61</v>
      </c>
      <c r="B133" s="913" t="s">
        <v>1407</v>
      </c>
      <c r="C133" s="914">
        <v>1.5</v>
      </c>
      <c r="D133" s="914">
        <v>5454</v>
      </c>
      <c r="E133" s="915">
        <v>1.0549999999999999</v>
      </c>
      <c r="F133" s="916">
        <f t="shared" si="77"/>
        <v>5754</v>
      </c>
      <c r="G133" s="915">
        <v>1.01</v>
      </c>
      <c r="H133" s="916">
        <f t="shared" si="78"/>
        <v>5812</v>
      </c>
      <c r="I133" s="917">
        <f t="shared" si="79"/>
        <v>8718</v>
      </c>
      <c r="J133" s="918">
        <f t="shared" si="80"/>
        <v>0</v>
      </c>
      <c r="K133" s="919"/>
      <c r="L133" s="917">
        <f t="shared" si="81"/>
        <v>0</v>
      </c>
      <c r="M133" s="918">
        <f t="shared" si="82"/>
        <v>0</v>
      </c>
      <c r="N133" s="919"/>
      <c r="O133" s="917">
        <f t="shared" si="83"/>
        <v>0</v>
      </c>
      <c r="P133" s="918">
        <f t="shared" si="84"/>
        <v>0</v>
      </c>
      <c r="Q133" s="919"/>
      <c r="R133" s="917">
        <f t="shared" si="85"/>
        <v>0</v>
      </c>
      <c r="S133" s="918">
        <f t="shared" si="86"/>
        <v>0</v>
      </c>
      <c r="T133" s="919"/>
      <c r="U133" s="917">
        <f t="shared" si="87"/>
        <v>0</v>
      </c>
      <c r="V133" s="918">
        <f t="shared" si="88"/>
        <v>0</v>
      </c>
      <c r="W133" s="919"/>
      <c r="X133" s="917">
        <f t="shared" si="89"/>
        <v>0</v>
      </c>
      <c r="Y133" s="918">
        <f t="shared" si="90"/>
        <v>0</v>
      </c>
      <c r="Z133" s="919"/>
      <c r="AA133" s="917">
        <f t="shared" si="91"/>
        <v>0</v>
      </c>
      <c r="AB133" s="918">
        <f t="shared" si="92"/>
        <v>0</v>
      </c>
      <c r="AC133" s="919"/>
      <c r="AD133" s="917">
        <f t="shared" si="93"/>
        <v>0</v>
      </c>
      <c r="AE133" s="918">
        <f t="shared" si="94"/>
        <v>0</v>
      </c>
      <c r="AF133" s="919"/>
      <c r="AG133" s="917">
        <f t="shared" si="95"/>
        <v>0</v>
      </c>
      <c r="AH133" s="918">
        <f t="shared" si="96"/>
        <v>0</v>
      </c>
      <c r="AI133" s="919"/>
      <c r="AJ133" s="917">
        <f t="shared" si="97"/>
        <v>0</v>
      </c>
      <c r="AK133" s="918">
        <f t="shared" si="98"/>
        <v>0</v>
      </c>
      <c r="AL133" s="919"/>
      <c r="AM133" s="917">
        <f t="shared" si="99"/>
        <v>0</v>
      </c>
      <c r="AN133" s="920">
        <v>19242</v>
      </c>
      <c r="AO133" s="917">
        <f t="shared" si="100"/>
        <v>20145</v>
      </c>
      <c r="AP133" s="920"/>
      <c r="AQ133" s="916">
        <f t="shared" si="101"/>
        <v>0</v>
      </c>
      <c r="AR133" s="917">
        <f t="shared" si="102"/>
        <v>28863</v>
      </c>
      <c r="AS133" s="916">
        <v>12</v>
      </c>
      <c r="AT133" s="921">
        <f t="shared" si="103"/>
        <v>346356</v>
      </c>
      <c r="AU133" s="920"/>
      <c r="AV133" s="922">
        <f t="shared" si="104"/>
        <v>3463.56</v>
      </c>
      <c r="AW133" s="921">
        <f t="shared" si="105"/>
        <v>349819.56</v>
      </c>
      <c r="AX133" s="921">
        <f t="shared" si="106"/>
        <v>105645.51</v>
      </c>
      <c r="AY133" s="921">
        <f t="shared" si="107"/>
        <v>455465.07</v>
      </c>
      <c r="AZ133" s="923">
        <f t="shared" si="108"/>
        <v>349.8</v>
      </c>
      <c r="BA133" s="923">
        <f t="shared" si="109"/>
        <v>105.6</v>
      </c>
      <c r="BB133" s="923">
        <f t="shared" si="110"/>
        <v>455.4</v>
      </c>
      <c r="BC133" s="915">
        <v>0.95</v>
      </c>
      <c r="BD133" s="923">
        <f t="shared" si="111"/>
        <v>332.3</v>
      </c>
      <c r="BE133" s="923">
        <f t="shared" si="112"/>
        <v>100.4</v>
      </c>
      <c r="BF133" s="923">
        <f t="shared" si="113"/>
        <v>432.7</v>
      </c>
      <c r="BG133" s="924">
        <f>'[3]свод (2024)'!$B$116</f>
        <v>0.99758349999999996</v>
      </c>
      <c r="BH133" s="923">
        <f t="shared" si="114"/>
        <v>331.5</v>
      </c>
      <c r="BI133" s="923">
        <f t="shared" si="115"/>
        <v>100.1</v>
      </c>
      <c r="BJ133" s="923">
        <f t="shared" si="116"/>
        <v>431.6</v>
      </c>
      <c r="BK133" s="925">
        <f t="shared" si="117"/>
        <v>-18.3</v>
      </c>
      <c r="BL133" s="925">
        <f t="shared" si="117"/>
        <v>-5.5</v>
      </c>
      <c r="BM133" s="925">
        <f t="shared" si="118"/>
        <v>-23.8</v>
      </c>
      <c r="BN133" s="925">
        <f t="shared" si="119"/>
        <v>0</v>
      </c>
      <c r="BO133" s="925">
        <f t="shared" si="120"/>
        <v>0</v>
      </c>
      <c r="BP133" s="926"/>
      <c r="BQ133" s="925">
        <f t="shared" si="121"/>
        <v>331.5</v>
      </c>
      <c r="BR133" s="925">
        <f t="shared" si="121"/>
        <v>100.1</v>
      </c>
      <c r="BS133" s="925">
        <f t="shared" si="122"/>
        <v>431.6</v>
      </c>
      <c r="BU133" s="928"/>
      <c r="BV133" s="917"/>
      <c r="BW133" s="928"/>
      <c r="BX133" s="928"/>
      <c r="BY133" s="928"/>
      <c r="BZ133" s="917"/>
      <c r="CA133" s="928"/>
      <c r="CB133" s="917"/>
      <c r="CC133" s="928"/>
      <c r="CD133" s="928"/>
      <c r="CE133" s="928"/>
      <c r="CF133" s="929"/>
      <c r="CG133" s="928"/>
      <c r="CH133" s="928"/>
      <c r="CI133" s="928"/>
      <c r="CJ133" s="925"/>
      <c r="CK133" s="925"/>
      <c r="CL133" s="925"/>
      <c r="CM133" s="925"/>
      <c r="CN133" s="925"/>
      <c r="CO133" s="925"/>
      <c r="CP133" s="925"/>
      <c r="CQ133" s="925"/>
      <c r="CR133" s="925"/>
      <c r="CS133" s="917"/>
      <c r="CT133" s="928"/>
      <c r="CU133" s="928"/>
      <c r="CV133" s="928"/>
      <c r="CX133" s="925"/>
      <c r="CY133" s="925"/>
      <c r="CZ133" s="925"/>
      <c r="DB133" s="925"/>
      <c r="DC133" s="925"/>
      <c r="DD133" s="925"/>
      <c r="DE133" s="925"/>
      <c r="DF133" s="925"/>
      <c r="DG133" s="925"/>
      <c r="DH133" s="925"/>
      <c r="DI133" s="925"/>
      <c r="DJ133" s="925"/>
      <c r="DK133" s="925"/>
      <c r="DL133" s="925"/>
      <c r="DM133" s="925"/>
      <c r="DN133" s="925"/>
      <c r="DO133" s="925"/>
      <c r="DP133" s="925"/>
      <c r="DQ133" s="924"/>
      <c r="DR133" s="925"/>
      <c r="DS133" s="925"/>
      <c r="DT133" s="925"/>
      <c r="DV133" s="925"/>
      <c r="DW133" s="925"/>
      <c r="DX133" s="925"/>
      <c r="DY133" s="925"/>
      <c r="DZ133" s="925"/>
      <c r="EA133" s="925"/>
      <c r="EB133" s="925"/>
      <c r="EC133" s="925"/>
      <c r="ED133" s="925"/>
      <c r="EE133" s="925"/>
      <c r="EF133" s="925"/>
      <c r="EG133" s="925"/>
      <c r="EH133" s="925"/>
      <c r="EI133" s="925"/>
      <c r="EJ133" s="925"/>
      <c r="EK133" s="925"/>
      <c r="EL133" s="925"/>
      <c r="EM133" s="925"/>
      <c r="EN133" s="925"/>
      <c r="EO133" s="925"/>
      <c r="EP133" s="925"/>
      <c r="EQ133" s="925"/>
      <c r="ER133" s="925"/>
      <c r="ES133" s="925"/>
      <c r="ET133" s="925"/>
      <c r="EV133" s="924"/>
      <c r="EW133" s="925"/>
      <c r="EX133" s="925"/>
      <c r="EY133" s="925"/>
    </row>
    <row r="134" spans="1:155" s="927" customFormat="1" ht="15.75" x14ac:dyDescent="0.25">
      <c r="A134" s="931" t="s">
        <v>61</v>
      </c>
      <c r="B134" s="932"/>
      <c r="C134" s="933">
        <f>SUM(C98:C133)</f>
        <v>119.64</v>
      </c>
      <c r="D134" s="933">
        <f t="shared" ref="D134:BO134" si="127">SUM(D98:D133)</f>
        <v>356754</v>
      </c>
      <c r="E134" s="934">
        <f t="shared" si="127"/>
        <v>37.979999999999997</v>
      </c>
      <c r="F134" s="935">
        <f t="shared" si="127"/>
        <v>376391</v>
      </c>
      <c r="G134" s="934">
        <f t="shared" si="127"/>
        <v>36.36</v>
      </c>
      <c r="H134" s="935">
        <f t="shared" si="127"/>
        <v>380169</v>
      </c>
      <c r="I134" s="936">
        <f t="shared" si="127"/>
        <v>1404615.66</v>
      </c>
      <c r="J134" s="937">
        <f t="shared" si="127"/>
        <v>1.3710800000000001</v>
      </c>
      <c r="K134" s="938">
        <f t="shared" si="127"/>
        <v>179280.46</v>
      </c>
      <c r="L134" s="936">
        <f t="shared" si="127"/>
        <v>191050.01</v>
      </c>
      <c r="M134" s="937">
        <f t="shared" si="127"/>
        <v>0.39</v>
      </c>
      <c r="N134" s="938">
        <f t="shared" si="127"/>
        <v>6742.52</v>
      </c>
      <c r="O134" s="936">
        <f t="shared" si="127"/>
        <v>7184.88</v>
      </c>
      <c r="P134" s="937">
        <f t="shared" si="127"/>
        <v>0.34177999999999997</v>
      </c>
      <c r="Q134" s="938">
        <f t="shared" si="127"/>
        <v>12737.53</v>
      </c>
      <c r="R134" s="936">
        <f t="shared" si="127"/>
        <v>13574.31</v>
      </c>
      <c r="S134" s="937">
        <f t="shared" si="127"/>
        <v>0.42499999999999999</v>
      </c>
      <c r="T134" s="938">
        <f t="shared" si="127"/>
        <v>6568</v>
      </c>
      <c r="U134" s="936">
        <f t="shared" si="127"/>
        <v>6999.2</v>
      </c>
      <c r="V134" s="937">
        <f t="shared" si="127"/>
        <v>0</v>
      </c>
      <c r="W134" s="938">
        <f t="shared" si="127"/>
        <v>0</v>
      </c>
      <c r="X134" s="936">
        <f t="shared" si="127"/>
        <v>0</v>
      </c>
      <c r="Y134" s="937">
        <f t="shared" si="127"/>
        <v>20.86</v>
      </c>
      <c r="Z134" s="938">
        <f t="shared" si="127"/>
        <v>204434.87</v>
      </c>
      <c r="AA134" s="936">
        <f t="shared" si="127"/>
        <v>217852.47</v>
      </c>
      <c r="AB134" s="937">
        <f t="shared" si="127"/>
        <v>5.1952499999999997</v>
      </c>
      <c r="AC134" s="938">
        <f t="shared" si="127"/>
        <v>194969.25</v>
      </c>
      <c r="AD134" s="936">
        <f t="shared" si="127"/>
        <v>207765</v>
      </c>
      <c r="AE134" s="937">
        <f t="shared" si="127"/>
        <v>0.10428999999999999</v>
      </c>
      <c r="AF134" s="938">
        <f t="shared" si="127"/>
        <v>4880.8</v>
      </c>
      <c r="AG134" s="936">
        <f t="shared" si="127"/>
        <v>5204</v>
      </c>
      <c r="AH134" s="937">
        <f t="shared" si="127"/>
        <v>0</v>
      </c>
      <c r="AI134" s="938">
        <f t="shared" si="127"/>
        <v>0</v>
      </c>
      <c r="AJ134" s="936">
        <f t="shared" si="127"/>
        <v>0</v>
      </c>
      <c r="AK134" s="937">
        <f t="shared" si="127"/>
        <v>0</v>
      </c>
      <c r="AL134" s="938">
        <f t="shared" si="127"/>
        <v>0</v>
      </c>
      <c r="AM134" s="936">
        <f t="shared" si="127"/>
        <v>0</v>
      </c>
      <c r="AN134" s="933">
        <f t="shared" si="127"/>
        <v>692712</v>
      </c>
      <c r="AO134" s="936">
        <f t="shared" si="127"/>
        <v>470963.39</v>
      </c>
      <c r="AP134" s="933">
        <f t="shared" si="127"/>
        <v>2120.58</v>
      </c>
      <c r="AQ134" s="935">
        <f t="shared" si="127"/>
        <v>11663.19</v>
      </c>
      <c r="AR134" s="936">
        <f t="shared" si="127"/>
        <v>2536872.11</v>
      </c>
      <c r="AS134" s="935">
        <f t="shared" si="127"/>
        <v>432</v>
      </c>
      <c r="AT134" s="939">
        <f t="shared" si="127"/>
        <v>30442465.32</v>
      </c>
      <c r="AU134" s="933">
        <f t="shared" si="127"/>
        <v>463313.77</v>
      </c>
      <c r="AV134" s="940">
        <f t="shared" si="127"/>
        <v>304424.65999999997</v>
      </c>
      <c r="AW134" s="939">
        <f t="shared" si="127"/>
        <v>31210203.75</v>
      </c>
      <c r="AX134" s="939">
        <f t="shared" si="127"/>
        <v>9425481.5500000007</v>
      </c>
      <c r="AY134" s="939">
        <f t="shared" si="127"/>
        <v>40635685.299999997</v>
      </c>
      <c r="AZ134" s="941">
        <f t="shared" si="127"/>
        <v>31210.2</v>
      </c>
      <c r="BA134" s="941">
        <f t="shared" si="127"/>
        <v>9425.4</v>
      </c>
      <c r="BB134" s="941">
        <f t="shared" si="127"/>
        <v>40635.599999999999</v>
      </c>
      <c r="BC134" s="934">
        <f t="shared" si="127"/>
        <v>34.200000000000003</v>
      </c>
      <c r="BD134" s="941">
        <f t="shared" si="127"/>
        <v>29649.8</v>
      </c>
      <c r="BE134" s="941">
        <f t="shared" si="127"/>
        <v>8954.2000000000007</v>
      </c>
      <c r="BF134" s="941">
        <f t="shared" si="127"/>
        <v>38604</v>
      </c>
      <c r="BG134" s="942">
        <f>'[3]свод (2024)'!$B$116</f>
        <v>0.99758349999999996</v>
      </c>
      <c r="BH134" s="941">
        <f t="shared" si="127"/>
        <v>29578.1</v>
      </c>
      <c r="BI134" s="941">
        <f t="shared" si="127"/>
        <v>8932.7000000000007</v>
      </c>
      <c r="BJ134" s="941">
        <f t="shared" si="127"/>
        <v>38510.800000000003</v>
      </c>
      <c r="BK134" s="943">
        <f t="shared" si="127"/>
        <v>-1632.1</v>
      </c>
      <c r="BL134" s="943">
        <f t="shared" si="127"/>
        <v>-492.7</v>
      </c>
      <c r="BM134" s="943">
        <f t="shared" si="127"/>
        <v>-2124.8000000000002</v>
      </c>
      <c r="BN134" s="943">
        <f t="shared" si="127"/>
        <v>0</v>
      </c>
      <c r="BO134" s="943">
        <f t="shared" si="127"/>
        <v>0</v>
      </c>
      <c r="BP134" s="944">
        <f t="shared" ref="BP134:BS134" si="128">SUM(BP98:BP133)</f>
        <v>0</v>
      </c>
      <c r="BQ134" s="943">
        <f t="shared" si="128"/>
        <v>29578.1</v>
      </c>
      <c r="BR134" s="943">
        <f t="shared" si="128"/>
        <v>8932.7000000000007</v>
      </c>
      <c r="BS134" s="943">
        <f t="shared" si="128"/>
        <v>38510.800000000003</v>
      </c>
      <c r="BU134" s="945">
        <f>SUM(BU98:BU133)</f>
        <v>72.14</v>
      </c>
      <c r="BV134" s="946">
        <v>5.9</v>
      </c>
      <c r="BW134" s="947">
        <f t="shared" ref="BW134" si="129">BU134-BV134</f>
        <v>66.239999999999995</v>
      </c>
      <c r="BX134" s="945">
        <f>SUM(BX98:BX133)</f>
        <v>16900042.190000001</v>
      </c>
      <c r="BY134" s="947">
        <f>BX134/BU134*BW134</f>
        <v>15517865.189999999</v>
      </c>
      <c r="BZ134" s="946">
        <v>43.3</v>
      </c>
      <c r="CA134" s="947">
        <f t="shared" ref="CA134" si="130">BY134/BZ134/12</f>
        <v>29865.02</v>
      </c>
      <c r="CB134" s="946">
        <v>41718.199999999997</v>
      </c>
      <c r="CC134" s="947">
        <f t="shared" ref="CC134" si="131">(CB134-CA134)*BZ134*12</f>
        <v>6158912.3300000001</v>
      </c>
      <c r="CD134" s="947">
        <f t="shared" ref="CD134" si="132">CC134*0.302</f>
        <v>1859991.52</v>
      </c>
      <c r="CE134" s="947">
        <f t="shared" ref="CE134" si="133">CC134+CD134</f>
        <v>8018903.8499999996</v>
      </c>
      <c r="CF134" s="948">
        <f>SUM(CF98:CF133)</f>
        <v>6158912.3200000003</v>
      </c>
      <c r="CG134" s="949">
        <f>ROUND(CC134/1000,1)</f>
        <v>6158.9</v>
      </c>
      <c r="CH134" s="949">
        <f>ROUND(CD134/1000,1)</f>
        <v>1860</v>
      </c>
      <c r="CI134" s="950">
        <f>CG134+CH134</f>
        <v>8018.9</v>
      </c>
      <c r="CJ134" s="951">
        <f>BQ134+CG134</f>
        <v>35737</v>
      </c>
      <c r="CK134" s="951">
        <f>BR134+CH134</f>
        <v>10792.7</v>
      </c>
      <c r="CL134" s="952">
        <f>CJ134+CK134</f>
        <v>46529.7</v>
      </c>
      <c r="CM134" s="951">
        <f>361.7/6*12</f>
        <v>723.4</v>
      </c>
      <c r="CN134" s="951">
        <f>CM134*0.302</f>
        <v>218.5</v>
      </c>
      <c r="CO134" s="952">
        <f>CM134+CN134</f>
        <v>941.9</v>
      </c>
      <c r="CP134" s="951">
        <f>ROUND(CJ134-CM134,1)</f>
        <v>35013.599999999999</v>
      </c>
      <c r="CQ134" s="951">
        <f>ROUND(CK134-CN134,1)</f>
        <v>10574.2</v>
      </c>
      <c r="CR134" s="952">
        <f>CP134+CQ134</f>
        <v>45587.8</v>
      </c>
      <c r="CS134" s="946">
        <v>38663.800000000003</v>
      </c>
      <c r="CT134" s="953">
        <f>(CB134-CS134)*BZ134*12/1000</f>
        <v>1587.1</v>
      </c>
      <c r="CU134" s="953">
        <f>CT134*0.302</f>
        <v>479.3</v>
      </c>
      <c r="CV134" s="953">
        <f>CT134+CU134</f>
        <v>2066.4</v>
      </c>
      <c r="CX134" s="951">
        <f>(BY134+CC134)/1000-CM134</f>
        <v>20953.400000000001</v>
      </c>
      <c r="CY134" s="951">
        <f>CX134*0.302</f>
        <v>6327.9</v>
      </c>
      <c r="CZ134" s="952">
        <f>CX134+CY134</f>
        <v>27281.3</v>
      </c>
      <c r="DB134" s="954"/>
      <c r="DC134" s="954"/>
      <c r="DD134" s="921"/>
      <c r="DE134" s="954"/>
      <c r="DF134" s="954"/>
      <c r="DG134" s="921"/>
      <c r="DH134" s="954"/>
      <c r="DI134" s="954"/>
      <c r="DJ134" s="921"/>
      <c r="DK134" s="954"/>
      <c r="DL134" s="954"/>
      <c r="DM134" s="921"/>
      <c r="DN134" s="954"/>
      <c r="DO134" s="954"/>
      <c r="DP134" s="921"/>
      <c r="DQ134" s="942">
        <f>$DQ$239</f>
        <v>0.978556019</v>
      </c>
      <c r="DR134" s="951">
        <f>ROUND(CP134*DQ134,1)</f>
        <v>34262.800000000003</v>
      </c>
      <c r="DS134" s="951">
        <f>ROUND(CQ134*DQ134,1)</f>
        <v>10347.4</v>
      </c>
      <c r="DT134" s="952">
        <f>DR134+DS134</f>
        <v>44610.2</v>
      </c>
      <c r="DV134" s="921"/>
      <c r="DW134" s="921"/>
      <c r="DX134" s="921"/>
      <c r="DY134" s="921"/>
      <c r="DZ134" s="921"/>
      <c r="EA134" s="921"/>
      <c r="EB134" s="921"/>
      <c r="EC134" s="921"/>
      <c r="ED134" s="921"/>
      <c r="EE134" s="921"/>
      <c r="EF134" s="921"/>
      <c r="EG134" s="921"/>
      <c r="EH134" s="921"/>
      <c r="EI134" s="921"/>
      <c r="EJ134" s="921"/>
      <c r="EK134" s="921"/>
      <c r="EL134" s="921"/>
      <c r="EM134" s="921"/>
      <c r="EN134" s="921"/>
      <c r="EO134" s="921"/>
      <c r="EP134" s="921"/>
      <c r="EQ134" s="954"/>
      <c r="ER134" s="954"/>
      <c r="ES134" s="954"/>
      <c r="ET134" s="954"/>
      <c r="EV134" s="942">
        <f>EV239</f>
        <v>0.980787768</v>
      </c>
      <c r="EW134" s="951">
        <f>ROUND(CP134*EV134,1)</f>
        <v>34340.9</v>
      </c>
      <c r="EX134" s="951">
        <f>ROUND(CQ134*EV134,1)</f>
        <v>10371</v>
      </c>
      <c r="EY134" s="952">
        <f>EW134+EX134</f>
        <v>44711.9</v>
      </c>
    </row>
    <row r="135" spans="1:155" s="927" customFormat="1" ht="15.75" x14ac:dyDescent="0.25">
      <c r="A135" s="931"/>
      <c r="B135" s="932" t="s">
        <v>406</v>
      </c>
      <c r="C135" s="981">
        <f>C117+C129</f>
        <v>49.89</v>
      </c>
      <c r="D135" s="938"/>
      <c r="E135" s="983"/>
      <c r="F135" s="936"/>
      <c r="G135" s="983"/>
      <c r="H135" s="984">
        <f>H117+H129</f>
        <v>27988</v>
      </c>
      <c r="I135" s="984">
        <f>I117+I129</f>
        <v>698160.66</v>
      </c>
      <c r="J135" s="937"/>
      <c r="K135" s="938"/>
      <c r="L135" s="984">
        <f>L117+L129</f>
        <v>138387.06</v>
      </c>
      <c r="M135" s="937"/>
      <c r="N135" s="938"/>
      <c r="O135" s="984">
        <f>O117+O129</f>
        <v>0</v>
      </c>
      <c r="P135" s="937"/>
      <c r="Q135" s="938"/>
      <c r="R135" s="984">
        <f>R117+R129</f>
        <v>4665.8100000000004</v>
      </c>
      <c r="S135" s="937"/>
      <c r="T135" s="938"/>
      <c r="U135" s="984">
        <f>U117+U129</f>
        <v>0</v>
      </c>
      <c r="V135" s="937"/>
      <c r="W135" s="938"/>
      <c r="X135" s="984">
        <f>X117+X129</f>
        <v>0</v>
      </c>
      <c r="Y135" s="937"/>
      <c r="Z135" s="938"/>
      <c r="AA135" s="984">
        <f>AA117+AA129</f>
        <v>0</v>
      </c>
      <c r="AB135" s="937"/>
      <c r="AC135" s="938"/>
      <c r="AD135" s="984">
        <f>AD117+AD129</f>
        <v>114827.17</v>
      </c>
      <c r="AE135" s="937"/>
      <c r="AF135" s="938"/>
      <c r="AG135" s="984">
        <f>AG117+AG129</f>
        <v>2801.8</v>
      </c>
      <c r="AH135" s="937"/>
      <c r="AI135" s="938"/>
      <c r="AJ135" s="984">
        <f>AJ117+AJ129</f>
        <v>0</v>
      </c>
      <c r="AK135" s="937"/>
      <c r="AL135" s="938"/>
      <c r="AM135" s="984">
        <f>AM117+AM129</f>
        <v>0</v>
      </c>
      <c r="AN135" s="938"/>
      <c r="AO135" s="984">
        <f>AO117+AO129</f>
        <v>2434.67</v>
      </c>
      <c r="AP135" s="938"/>
      <c r="AQ135" s="984">
        <f t="shared" ref="AQ135:AR135" si="134">AQ117+AQ129</f>
        <v>0</v>
      </c>
      <c r="AR135" s="984">
        <f t="shared" si="134"/>
        <v>961277.17</v>
      </c>
      <c r="AS135" s="936"/>
      <c r="AT135" s="984">
        <f t="shared" ref="AT135:AW135" si="135">AT117+AT129</f>
        <v>11535326.039999999</v>
      </c>
      <c r="AU135" s="984">
        <f t="shared" si="135"/>
        <v>0</v>
      </c>
      <c r="AV135" s="984">
        <f t="shared" si="135"/>
        <v>115353.26</v>
      </c>
      <c r="AW135" s="984">
        <f t="shared" si="135"/>
        <v>11650679.300000001</v>
      </c>
      <c r="AX135" s="939"/>
      <c r="AY135" s="939"/>
      <c r="AZ135" s="941"/>
      <c r="BA135" s="941"/>
      <c r="BB135" s="941"/>
      <c r="BC135" s="934"/>
      <c r="BD135" s="941"/>
      <c r="BE135" s="941"/>
      <c r="BF135" s="941"/>
      <c r="BG135" s="942"/>
      <c r="BH135" s="941"/>
      <c r="BI135" s="941"/>
      <c r="BJ135" s="941"/>
      <c r="BK135" s="943"/>
      <c r="BL135" s="943"/>
      <c r="BM135" s="943"/>
      <c r="BN135" s="943"/>
      <c r="BO135" s="943"/>
      <c r="BP135" s="944"/>
      <c r="BQ135" s="943"/>
      <c r="BR135" s="943"/>
      <c r="BS135" s="943"/>
      <c r="BU135" s="945"/>
      <c r="BV135" s="946"/>
      <c r="BW135" s="947"/>
      <c r="BX135" s="945"/>
      <c r="BY135" s="947"/>
      <c r="BZ135" s="946"/>
      <c r="CA135" s="947"/>
      <c r="CB135" s="946"/>
      <c r="CC135" s="947"/>
      <c r="CD135" s="947"/>
      <c r="CE135" s="947"/>
      <c r="CF135" s="948"/>
      <c r="CG135" s="949"/>
      <c r="CH135" s="949"/>
      <c r="CI135" s="950"/>
      <c r="CJ135" s="951"/>
      <c r="CK135" s="951"/>
      <c r="CL135" s="952"/>
      <c r="CM135" s="951"/>
      <c r="CN135" s="951"/>
      <c r="CO135" s="952"/>
      <c r="CP135" s="951"/>
      <c r="CQ135" s="951"/>
      <c r="CR135" s="952"/>
      <c r="CS135" s="946"/>
      <c r="CT135" s="953"/>
      <c r="CU135" s="953"/>
      <c r="CV135" s="953"/>
      <c r="CX135" s="951"/>
      <c r="CY135" s="951"/>
      <c r="CZ135" s="952"/>
      <c r="DB135" s="954"/>
      <c r="DC135" s="954"/>
      <c r="DD135" s="921"/>
      <c r="DE135" s="954"/>
      <c r="DF135" s="954"/>
      <c r="DG135" s="921"/>
      <c r="DH135" s="954"/>
      <c r="DI135" s="954"/>
      <c r="DJ135" s="921"/>
      <c r="DK135" s="954"/>
      <c r="DL135" s="954"/>
      <c r="DM135" s="921"/>
      <c r="DN135" s="954"/>
      <c r="DO135" s="954"/>
      <c r="DP135" s="921"/>
      <c r="DQ135" s="942"/>
      <c r="DR135" s="951"/>
      <c r="DS135" s="951"/>
      <c r="DT135" s="952"/>
      <c r="DV135" s="921"/>
      <c r="DW135" s="921"/>
      <c r="DX135" s="921"/>
      <c r="DY135" s="921"/>
      <c r="DZ135" s="921"/>
      <c r="EA135" s="921"/>
      <c r="EB135" s="921"/>
      <c r="EC135" s="921"/>
      <c r="ED135" s="921"/>
      <c r="EE135" s="921"/>
      <c r="EF135" s="921"/>
      <c r="EG135" s="921"/>
      <c r="EH135" s="921"/>
      <c r="EI135" s="921"/>
      <c r="EJ135" s="921"/>
      <c r="EK135" s="921"/>
      <c r="EL135" s="921"/>
      <c r="EM135" s="921"/>
      <c r="EN135" s="921"/>
      <c r="EO135" s="921"/>
      <c r="EP135" s="921"/>
      <c r="EQ135" s="954"/>
      <c r="ER135" s="954"/>
      <c r="ES135" s="954"/>
      <c r="ET135" s="954"/>
      <c r="EV135" s="942"/>
      <c r="EW135" s="951"/>
      <c r="EX135" s="951"/>
      <c r="EY135" s="952"/>
    </row>
    <row r="136" spans="1:155" s="927" customFormat="1" ht="15.75" x14ac:dyDescent="0.25">
      <c r="A136" s="931"/>
      <c r="B136" s="932" t="s">
        <v>403</v>
      </c>
      <c r="C136" s="981">
        <f>C113+C116+C118+C119+C124</f>
        <v>22.25</v>
      </c>
      <c r="D136" s="938"/>
      <c r="E136" s="983"/>
      <c r="F136" s="936"/>
      <c r="G136" s="983"/>
      <c r="H136" s="984">
        <f>H113+H116+H118+H119+H124</f>
        <v>71334</v>
      </c>
      <c r="I136" s="984">
        <f>I113+I116+I118+I119+I124</f>
        <v>316822.5</v>
      </c>
      <c r="J136" s="937"/>
      <c r="K136" s="938"/>
      <c r="L136" s="984">
        <f>L113+L116+L118+L119+L124</f>
        <v>52662.95</v>
      </c>
      <c r="M136" s="937"/>
      <c r="N136" s="938"/>
      <c r="O136" s="984">
        <f>O113+O116+O118+O119+O124</f>
        <v>0</v>
      </c>
      <c r="P136" s="937"/>
      <c r="Q136" s="938"/>
      <c r="R136" s="984">
        <f>R113+R116+R118+R119+R124</f>
        <v>0</v>
      </c>
      <c r="S136" s="937"/>
      <c r="T136" s="938"/>
      <c r="U136" s="984">
        <f>U113+U116+U118+U119+U124</f>
        <v>0</v>
      </c>
      <c r="V136" s="937"/>
      <c r="W136" s="938"/>
      <c r="X136" s="984">
        <f>X113+X116+X118+X119+X124</f>
        <v>0</v>
      </c>
      <c r="Y136" s="937"/>
      <c r="Z136" s="938"/>
      <c r="AA136" s="984">
        <f>AA113+AA116+AA118+AA119+AA124</f>
        <v>0</v>
      </c>
      <c r="AB136" s="937"/>
      <c r="AC136" s="938"/>
      <c r="AD136" s="984">
        <f>AD113+AD116+AD118+AD119+AD124</f>
        <v>41796.949999999997</v>
      </c>
      <c r="AE136" s="937"/>
      <c r="AF136" s="938"/>
      <c r="AG136" s="984">
        <f>AG113+AG116+AG118+AG119+AG124</f>
        <v>0</v>
      </c>
      <c r="AH136" s="937"/>
      <c r="AI136" s="938"/>
      <c r="AJ136" s="984">
        <f>AJ113+AJ116+AJ118+AJ119+AJ124</f>
        <v>0</v>
      </c>
      <c r="AK136" s="937"/>
      <c r="AL136" s="938"/>
      <c r="AM136" s="984">
        <f>AM113+AM116+AM118+AM119+AM124</f>
        <v>0</v>
      </c>
      <c r="AN136" s="938"/>
      <c r="AO136" s="984">
        <f>AO113+AO116+AO118+AO119+AO124</f>
        <v>21833.35</v>
      </c>
      <c r="AP136" s="938"/>
      <c r="AQ136" s="984">
        <f t="shared" ref="AQ136:AR136" si="136">AQ113+AQ116+AQ118+AQ119+AQ124</f>
        <v>0</v>
      </c>
      <c r="AR136" s="984">
        <f t="shared" si="136"/>
        <v>433115.75</v>
      </c>
      <c r="AS136" s="936"/>
      <c r="AT136" s="984">
        <f t="shared" ref="AT136:AW136" si="137">AT113+AT116+AT118+AT119+AT124</f>
        <v>5197389</v>
      </c>
      <c r="AU136" s="984">
        <f t="shared" si="137"/>
        <v>0</v>
      </c>
      <c r="AV136" s="984">
        <f t="shared" si="137"/>
        <v>51973.89</v>
      </c>
      <c r="AW136" s="984">
        <f t="shared" si="137"/>
        <v>5249362.8899999997</v>
      </c>
      <c r="AX136" s="939"/>
      <c r="AY136" s="939"/>
      <c r="AZ136" s="941"/>
      <c r="BA136" s="941"/>
      <c r="BB136" s="941"/>
      <c r="BC136" s="934"/>
      <c r="BD136" s="941"/>
      <c r="BE136" s="941"/>
      <c r="BF136" s="941"/>
      <c r="BG136" s="942"/>
      <c r="BH136" s="941"/>
      <c r="BI136" s="941"/>
      <c r="BJ136" s="941"/>
      <c r="BK136" s="943"/>
      <c r="BL136" s="943"/>
      <c r="BM136" s="943"/>
      <c r="BN136" s="943"/>
      <c r="BO136" s="943"/>
      <c r="BP136" s="944"/>
      <c r="BQ136" s="943"/>
      <c r="BR136" s="943"/>
      <c r="BS136" s="943"/>
      <c r="BU136" s="945"/>
      <c r="BV136" s="946"/>
      <c r="BW136" s="947"/>
      <c r="BX136" s="945"/>
      <c r="BY136" s="947"/>
      <c r="BZ136" s="946"/>
      <c r="CA136" s="947"/>
      <c r="CB136" s="946"/>
      <c r="CC136" s="947"/>
      <c r="CD136" s="947"/>
      <c r="CE136" s="947"/>
      <c r="CF136" s="948"/>
      <c r="CG136" s="949"/>
      <c r="CH136" s="949"/>
      <c r="CI136" s="950"/>
      <c r="CJ136" s="951"/>
      <c r="CK136" s="951"/>
      <c r="CL136" s="952"/>
      <c r="CM136" s="951"/>
      <c r="CN136" s="951"/>
      <c r="CO136" s="952"/>
      <c r="CP136" s="951"/>
      <c r="CQ136" s="951"/>
      <c r="CR136" s="952"/>
      <c r="CS136" s="946"/>
      <c r="CT136" s="953"/>
      <c r="CU136" s="953"/>
      <c r="CV136" s="953"/>
      <c r="CX136" s="951"/>
      <c r="CY136" s="951"/>
      <c r="CZ136" s="952"/>
      <c r="DB136" s="954"/>
      <c r="DC136" s="954"/>
      <c r="DD136" s="921"/>
      <c r="DE136" s="954"/>
      <c r="DF136" s="954"/>
      <c r="DG136" s="921"/>
      <c r="DH136" s="954"/>
      <c r="DI136" s="954"/>
      <c r="DJ136" s="921"/>
      <c r="DK136" s="954"/>
      <c r="DL136" s="954"/>
      <c r="DM136" s="921"/>
      <c r="DN136" s="954"/>
      <c r="DO136" s="954"/>
      <c r="DP136" s="921"/>
      <c r="DQ136" s="942"/>
      <c r="DR136" s="951"/>
      <c r="DS136" s="951"/>
      <c r="DT136" s="952"/>
      <c r="DV136" s="921"/>
      <c r="DW136" s="921"/>
      <c r="DX136" s="921"/>
      <c r="DY136" s="921"/>
      <c r="DZ136" s="921"/>
      <c r="EA136" s="921"/>
      <c r="EB136" s="921"/>
      <c r="EC136" s="921"/>
      <c r="ED136" s="921"/>
      <c r="EE136" s="921"/>
      <c r="EF136" s="921"/>
      <c r="EG136" s="921"/>
      <c r="EH136" s="921"/>
      <c r="EI136" s="921"/>
      <c r="EJ136" s="921"/>
      <c r="EK136" s="921"/>
      <c r="EL136" s="921"/>
      <c r="EM136" s="921"/>
      <c r="EN136" s="921"/>
      <c r="EO136" s="921"/>
      <c r="EP136" s="921"/>
      <c r="EQ136" s="954"/>
      <c r="ER136" s="954"/>
      <c r="ES136" s="954"/>
      <c r="ET136" s="954"/>
      <c r="EV136" s="942"/>
      <c r="EW136" s="951"/>
      <c r="EX136" s="951"/>
      <c r="EY136" s="952"/>
    </row>
    <row r="137" spans="1:155" s="927" customFormat="1" ht="15.75" x14ac:dyDescent="0.25">
      <c r="A137" s="931"/>
      <c r="B137" s="932" t="s">
        <v>404</v>
      </c>
      <c r="C137" s="981">
        <f>C98+C100+C101+C102+C103+C104+C105+C106+C107+C108+C109+C110+C111+C112+C114+C115+C121+C122+C125+C126+C128+C130+C131+C132</f>
        <v>32.5</v>
      </c>
      <c r="D137" s="938"/>
      <c r="E137" s="983"/>
      <c r="F137" s="936"/>
      <c r="G137" s="983"/>
      <c r="H137" s="984">
        <f>H98+H100+H101+H102+H103+H104+H105+H106+H107+H108+H109+H110+H111+H112+H114+H115+H121+H122+H125+H126+H128+H130+H131+H132</f>
        <v>255091</v>
      </c>
      <c r="I137" s="984">
        <f>I98+I100+I101+I102+I103+I104+I105+I106+I107+I108+I109+I110+I111+I112+I114+I115+I121+I122+I125+I126+I128+I130+I131+I132</f>
        <v>315937.5</v>
      </c>
      <c r="J137" s="937"/>
      <c r="K137" s="938"/>
      <c r="L137" s="984">
        <f>L98+L100+L101+L102+L103+L104+L105+L106+L107+L108+L109+L110+L111+L112+L114+L115+L121+L122+L125+L126+L128+L130+L131+L132</f>
        <v>0</v>
      </c>
      <c r="M137" s="937"/>
      <c r="N137" s="938"/>
      <c r="O137" s="984">
        <f>O98+O100+O101+O102+O103+O104+O105+O106+O107+O108+O109+O110+O111+O112+O114+O115+O121+O122+O125+O126+O128+O130+O131+O132</f>
        <v>7184.88</v>
      </c>
      <c r="P137" s="937"/>
      <c r="Q137" s="938"/>
      <c r="R137" s="984">
        <f>R98+R100+R101+R102+R103+R104+R105+R106+R107+R108+R109+R110+R111+R112+R114+R115+R121+R122+R125+R126+R128+R130+R131+R132</f>
        <v>8908.5</v>
      </c>
      <c r="S137" s="937"/>
      <c r="T137" s="938"/>
      <c r="U137" s="984">
        <f>U98+U100+U101+U102+U103+U104+U105+U106+U107+U108+U109+U110+U111+U112+U114+U115+U121+U122+U125+U126+U128+U130+U131+U132</f>
        <v>6999.2</v>
      </c>
      <c r="V137" s="937"/>
      <c r="W137" s="938"/>
      <c r="X137" s="984">
        <f>X98+X100+X101+X102+X103+X104+X105+X106+X107+X108+X109+X110+X111+X112+X114+X115+X121+X122+X125+X126+X128+X130+X131+X132</f>
        <v>0</v>
      </c>
      <c r="Y137" s="937"/>
      <c r="Z137" s="938"/>
      <c r="AA137" s="984">
        <f>AA98+AA100+AA101+AA102+AA103+AA104+AA105+AA106+AA107+AA108+AA109+AA110+AA111+AA112+AA114+AA115+AA121+AA122+AA125+AA126+AA128+AA130+AA131+AA132</f>
        <v>217852.47</v>
      </c>
      <c r="AB137" s="937"/>
      <c r="AC137" s="938"/>
      <c r="AD137" s="984">
        <f>AD98+AD100+AD101+AD102+AD103+AD104+AD105+AD106+AD107+AD108+AD109+AD110+AD111+AD112+AD114+AD115+AD121+AD122+AD125+AD126+AD128+AD130+AD131+AD132</f>
        <v>51140.88</v>
      </c>
      <c r="AE137" s="937"/>
      <c r="AF137" s="938"/>
      <c r="AG137" s="984">
        <f>AG98+AG100+AG101+AG102+AG103+AG104+AG105+AG106+AG107+AG108+AG109+AG110+AG111+AG112+AG114+AG115+AG121+AG122+AG125+AG126+AG128+AG130+AG131+AG132</f>
        <v>2402.1999999999998</v>
      </c>
      <c r="AH137" s="937"/>
      <c r="AI137" s="938"/>
      <c r="AJ137" s="984">
        <f>AJ98+AJ100+AJ101+AJ102+AJ103+AJ104+AJ105+AJ106+AJ107+AJ108+AJ109+AJ110+AJ111+AJ112+AJ114+AJ115+AJ121+AJ122+AJ125+AJ126+AJ128+AJ130+AJ131+AJ132</f>
        <v>0</v>
      </c>
      <c r="AK137" s="937"/>
      <c r="AL137" s="938"/>
      <c r="AM137" s="984">
        <f>AM98+AM100+AM101+AM102+AM103+AM104+AM105+AM106+AM107+AM108+AM109+AM110+AM111+AM112+AM114+AM115+AM121+AM122+AM125+AM126+AM128+AM130+AM131+AM132</f>
        <v>0</v>
      </c>
      <c r="AN137" s="938"/>
      <c r="AO137" s="984">
        <f>AO98+AO100+AO101+AO102+AO103+AO104+AO105+AO106+AO107+AO108+AO109+AO110+AO111+AO112+AO114+AO115+AO121+AO122+AO125+AO126+AO128+AO130+AO131+AO132</f>
        <v>231760.37</v>
      </c>
      <c r="AP137" s="938"/>
      <c r="AQ137" s="984">
        <f t="shared" ref="AQ137:AR137" si="138">AQ98+AQ100+AQ101+AQ102+AQ103+AQ104+AQ105+AQ106+AQ107+AQ108+AQ109+AQ110+AQ111+AQ112+AQ114+AQ115+AQ121+AQ122+AQ125+AQ126+AQ128+AQ130+AQ131+AQ132</f>
        <v>4241.16</v>
      </c>
      <c r="AR137" s="984">
        <f t="shared" si="138"/>
        <v>846427.16</v>
      </c>
      <c r="AS137" s="936"/>
      <c r="AT137" s="984">
        <f t="shared" ref="AT137:AW137" si="139">AT98+AT100+AT101+AT102+AT103+AT104+AT105+AT106+AT107+AT108+AT109+AT110+AT111+AT112+AT114+AT115+AT121+AT122+AT125+AT126+AT128+AT130+AT131+AT132</f>
        <v>10157125.92</v>
      </c>
      <c r="AU137" s="984">
        <f t="shared" si="139"/>
        <v>279101.74</v>
      </c>
      <c r="AV137" s="984">
        <f t="shared" si="139"/>
        <v>101571.27</v>
      </c>
      <c r="AW137" s="984">
        <f t="shared" si="139"/>
        <v>10537798.93</v>
      </c>
      <c r="AX137" s="939"/>
      <c r="AY137" s="939"/>
      <c r="AZ137" s="941"/>
      <c r="BA137" s="941"/>
      <c r="BB137" s="941"/>
      <c r="BC137" s="934"/>
      <c r="BD137" s="941"/>
      <c r="BE137" s="941"/>
      <c r="BF137" s="941"/>
      <c r="BG137" s="942"/>
      <c r="BH137" s="941"/>
      <c r="BI137" s="941"/>
      <c r="BJ137" s="941"/>
      <c r="BK137" s="943"/>
      <c r="BL137" s="943"/>
      <c r="BM137" s="943"/>
      <c r="BN137" s="943"/>
      <c r="BO137" s="943"/>
      <c r="BP137" s="944"/>
      <c r="BQ137" s="943"/>
      <c r="BR137" s="943"/>
      <c r="BS137" s="943"/>
      <c r="BU137" s="945"/>
      <c r="BV137" s="946"/>
      <c r="BW137" s="947"/>
      <c r="BX137" s="945"/>
      <c r="BY137" s="947"/>
      <c r="BZ137" s="946"/>
      <c r="CA137" s="947"/>
      <c r="CB137" s="946"/>
      <c r="CC137" s="947"/>
      <c r="CD137" s="947"/>
      <c r="CE137" s="947"/>
      <c r="CF137" s="948"/>
      <c r="CG137" s="949"/>
      <c r="CH137" s="949"/>
      <c r="CI137" s="950"/>
      <c r="CJ137" s="951"/>
      <c r="CK137" s="951"/>
      <c r="CL137" s="952"/>
      <c r="CM137" s="951"/>
      <c r="CN137" s="951"/>
      <c r="CO137" s="952"/>
      <c r="CP137" s="951"/>
      <c r="CQ137" s="951"/>
      <c r="CR137" s="952"/>
      <c r="CS137" s="946"/>
      <c r="CT137" s="953"/>
      <c r="CU137" s="953"/>
      <c r="CV137" s="953"/>
      <c r="CX137" s="951"/>
      <c r="CY137" s="951"/>
      <c r="CZ137" s="952"/>
      <c r="DB137" s="954"/>
      <c r="DC137" s="954"/>
      <c r="DD137" s="921"/>
      <c r="DE137" s="954"/>
      <c r="DF137" s="954"/>
      <c r="DG137" s="921"/>
      <c r="DH137" s="954"/>
      <c r="DI137" s="954"/>
      <c r="DJ137" s="921"/>
      <c r="DK137" s="954"/>
      <c r="DL137" s="954"/>
      <c r="DM137" s="921"/>
      <c r="DN137" s="954"/>
      <c r="DO137" s="954"/>
      <c r="DP137" s="921"/>
      <c r="DQ137" s="942"/>
      <c r="DR137" s="951"/>
      <c r="DS137" s="951"/>
      <c r="DT137" s="952"/>
      <c r="DV137" s="921"/>
      <c r="DW137" s="921"/>
      <c r="DX137" s="921"/>
      <c r="DY137" s="921"/>
      <c r="DZ137" s="921"/>
      <c r="EA137" s="921"/>
      <c r="EB137" s="921"/>
      <c r="EC137" s="921"/>
      <c r="ED137" s="921"/>
      <c r="EE137" s="921"/>
      <c r="EF137" s="921"/>
      <c r="EG137" s="921"/>
      <c r="EH137" s="921"/>
      <c r="EI137" s="921"/>
      <c r="EJ137" s="921"/>
      <c r="EK137" s="921"/>
      <c r="EL137" s="921"/>
      <c r="EM137" s="921"/>
      <c r="EN137" s="921"/>
      <c r="EO137" s="921"/>
      <c r="EP137" s="921"/>
      <c r="EQ137" s="954"/>
      <c r="ER137" s="954"/>
      <c r="ES137" s="954"/>
      <c r="ET137" s="954"/>
      <c r="EV137" s="942"/>
      <c r="EW137" s="951"/>
      <c r="EX137" s="951"/>
      <c r="EY137" s="952"/>
    </row>
    <row r="138" spans="1:155" s="927" customFormat="1" ht="15.75" x14ac:dyDescent="0.25">
      <c r="A138" s="931"/>
      <c r="B138" s="932" t="s">
        <v>405</v>
      </c>
      <c r="C138" s="981">
        <f>C99+C120+C123+C127+C133</f>
        <v>15</v>
      </c>
      <c r="D138" s="938"/>
      <c r="E138" s="983"/>
      <c r="F138" s="936"/>
      <c r="G138" s="983"/>
      <c r="H138" s="984">
        <f>H99+H120+H123+H127+H133</f>
        <v>25756</v>
      </c>
      <c r="I138" s="984">
        <f>I99+I120+I123+I127+I133</f>
        <v>73695</v>
      </c>
      <c r="J138" s="937"/>
      <c r="K138" s="938"/>
      <c r="L138" s="984">
        <f>L99+L120+L123+L127+L133</f>
        <v>0</v>
      </c>
      <c r="M138" s="937"/>
      <c r="N138" s="938"/>
      <c r="O138" s="984">
        <f>O99+O120+O123+O127+O133</f>
        <v>0</v>
      </c>
      <c r="P138" s="937"/>
      <c r="Q138" s="938"/>
      <c r="R138" s="984">
        <f>R99+R120+R123+R127+R133</f>
        <v>0</v>
      </c>
      <c r="S138" s="937"/>
      <c r="T138" s="938"/>
      <c r="U138" s="984">
        <f>U99+U120+U123+U127+U133</f>
        <v>0</v>
      </c>
      <c r="V138" s="937"/>
      <c r="W138" s="938"/>
      <c r="X138" s="984">
        <f>X99+X120+X123+X127+X133</f>
        <v>0</v>
      </c>
      <c r="Y138" s="937"/>
      <c r="Z138" s="938"/>
      <c r="AA138" s="984">
        <f>AA99+AA120+AA123+AA127+AA133</f>
        <v>0</v>
      </c>
      <c r="AB138" s="937"/>
      <c r="AC138" s="938"/>
      <c r="AD138" s="984">
        <f>AD99+AD120+AD123+AD127+AD133</f>
        <v>0</v>
      </c>
      <c r="AE138" s="937"/>
      <c r="AF138" s="938"/>
      <c r="AG138" s="984">
        <f>AG99+AG120+AG123+AG127+AG133</f>
        <v>0</v>
      </c>
      <c r="AH138" s="937"/>
      <c r="AI138" s="938"/>
      <c r="AJ138" s="984">
        <f>AJ99+AJ120+AJ123+AJ127+AJ133</f>
        <v>0</v>
      </c>
      <c r="AK138" s="937"/>
      <c r="AL138" s="938"/>
      <c r="AM138" s="984">
        <f>AM99+AM120+AM123+AM127+AM133</f>
        <v>0</v>
      </c>
      <c r="AN138" s="938"/>
      <c r="AO138" s="984">
        <f>AO99+AO120+AO123+AO127+AO133</f>
        <v>214935</v>
      </c>
      <c r="AP138" s="938"/>
      <c r="AQ138" s="984">
        <f t="shared" ref="AQ138:AR138" si="140">AQ99+AQ120+AQ123+AQ127+AQ133</f>
        <v>7422.03</v>
      </c>
      <c r="AR138" s="984">
        <f t="shared" si="140"/>
        <v>296052.03000000003</v>
      </c>
      <c r="AS138" s="936"/>
      <c r="AT138" s="984">
        <f t="shared" ref="AT138:AW138" si="141">AT99+AT120+AT123+AT127+AT133</f>
        <v>3552624.36</v>
      </c>
      <c r="AU138" s="984">
        <f t="shared" si="141"/>
        <v>184212.03</v>
      </c>
      <c r="AV138" s="984">
        <f t="shared" si="141"/>
        <v>35526.239999999998</v>
      </c>
      <c r="AW138" s="984">
        <f t="shared" si="141"/>
        <v>3772362.63</v>
      </c>
      <c r="AX138" s="939"/>
      <c r="AY138" s="939"/>
      <c r="AZ138" s="941"/>
      <c r="BA138" s="941"/>
      <c r="BB138" s="941"/>
      <c r="BC138" s="934"/>
      <c r="BD138" s="941"/>
      <c r="BE138" s="941"/>
      <c r="BF138" s="941"/>
      <c r="BG138" s="942"/>
      <c r="BH138" s="941"/>
      <c r="BI138" s="941"/>
      <c r="BJ138" s="941"/>
      <c r="BK138" s="943"/>
      <c r="BL138" s="943"/>
      <c r="BM138" s="943"/>
      <c r="BN138" s="943"/>
      <c r="BO138" s="943"/>
      <c r="BP138" s="944"/>
      <c r="BQ138" s="943"/>
      <c r="BR138" s="943"/>
      <c r="BS138" s="943"/>
      <c r="BU138" s="945"/>
      <c r="BV138" s="946"/>
      <c r="BW138" s="947"/>
      <c r="BX138" s="945"/>
      <c r="BY138" s="947"/>
      <c r="BZ138" s="946"/>
      <c r="CA138" s="947"/>
      <c r="CB138" s="946"/>
      <c r="CC138" s="947"/>
      <c r="CD138" s="947"/>
      <c r="CE138" s="947"/>
      <c r="CF138" s="948"/>
      <c r="CG138" s="949"/>
      <c r="CH138" s="949"/>
      <c r="CI138" s="950"/>
      <c r="CJ138" s="951"/>
      <c r="CK138" s="951"/>
      <c r="CL138" s="952"/>
      <c r="CM138" s="951"/>
      <c r="CN138" s="951"/>
      <c r="CO138" s="952"/>
      <c r="CP138" s="951"/>
      <c r="CQ138" s="951"/>
      <c r="CR138" s="952"/>
      <c r="CS138" s="946"/>
      <c r="CT138" s="953"/>
      <c r="CU138" s="953"/>
      <c r="CV138" s="953"/>
      <c r="CX138" s="951"/>
      <c r="CY138" s="951"/>
      <c r="CZ138" s="952"/>
      <c r="DB138" s="954"/>
      <c r="DC138" s="954"/>
      <c r="DD138" s="921"/>
      <c r="DE138" s="954"/>
      <c r="DF138" s="954"/>
      <c r="DG138" s="921"/>
      <c r="DH138" s="954"/>
      <c r="DI138" s="954"/>
      <c r="DJ138" s="921"/>
      <c r="DK138" s="954"/>
      <c r="DL138" s="954"/>
      <c r="DM138" s="921"/>
      <c r="DN138" s="954"/>
      <c r="DO138" s="954"/>
      <c r="DP138" s="921"/>
      <c r="DQ138" s="942"/>
      <c r="DR138" s="951"/>
      <c r="DS138" s="951"/>
      <c r="DT138" s="952"/>
      <c r="DV138" s="921"/>
      <c r="DW138" s="921"/>
      <c r="DX138" s="921"/>
      <c r="DY138" s="921"/>
      <c r="DZ138" s="921"/>
      <c r="EA138" s="921"/>
      <c r="EB138" s="921"/>
      <c r="EC138" s="921"/>
      <c r="ED138" s="921"/>
      <c r="EE138" s="921"/>
      <c r="EF138" s="921"/>
      <c r="EG138" s="921"/>
      <c r="EH138" s="921"/>
      <c r="EI138" s="921"/>
      <c r="EJ138" s="921"/>
      <c r="EK138" s="921"/>
      <c r="EL138" s="921"/>
      <c r="EM138" s="921"/>
      <c r="EN138" s="921"/>
      <c r="EO138" s="921"/>
      <c r="EP138" s="921"/>
      <c r="EQ138" s="954"/>
      <c r="ER138" s="954"/>
      <c r="ES138" s="954"/>
      <c r="ET138" s="954"/>
      <c r="EV138" s="942"/>
      <c r="EW138" s="951"/>
      <c r="EX138" s="951"/>
      <c r="EY138" s="952"/>
    </row>
    <row r="139" spans="1:155" s="927" customFormat="1" ht="15.75" x14ac:dyDescent="0.25">
      <c r="A139" s="931"/>
      <c r="B139" s="932"/>
      <c r="C139" s="982">
        <f>C134-C135-C136-C137-C138</f>
        <v>0</v>
      </c>
      <c r="D139" s="938"/>
      <c r="E139" s="983"/>
      <c r="F139" s="936"/>
      <c r="G139" s="983"/>
      <c r="H139" s="985">
        <f>H134-H135-H136-H137-H138</f>
        <v>0</v>
      </c>
      <c r="I139" s="985">
        <f>I134-I135-I136-I137-I138</f>
        <v>0</v>
      </c>
      <c r="J139" s="937"/>
      <c r="K139" s="938"/>
      <c r="L139" s="985">
        <f>L134-L135-L136-L137-L138</f>
        <v>0</v>
      </c>
      <c r="M139" s="937"/>
      <c r="N139" s="938"/>
      <c r="O139" s="985">
        <f>O134-O135-O136-O137-O138</f>
        <v>0</v>
      </c>
      <c r="P139" s="937"/>
      <c r="Q139" s="938"/>
      <c r="R139" s="985">
        <f>R134-R135-R136-R137-R138</f>
        <v>0</v>
      </c>
      <c r="S139" s="937"/>
      <c r="T139" s="938"/>
      <c r="U139" s="985">
        <f>U134-U135-U136-U137-U138</f>
        <v>0</v>
      </c>
      <c r="V139" s="937"/>
      <c r="W139" s="938"/>
      <c r="X139" s="985">
        <f>X134-X135-X136-X137-X138</f>
        <v>0</v>
      </c>
      <c r="Y139" s="937"/>
      <c r="Z139" s="938"/>
      <c r="AA139" s="985">
        <f>AA134-AA135-AA136-AA137-AA138</f>
        <v>0</v>
      </c>
      <c r="AB139" s="937"/>
      <c r="AC139" s="938"/>
      <c r="AD139" s="985">
        <f>AD134-AD135-AD136-AD137-AD138</f>
        <v>0</v>
      </c>
      <c r="AE139" s="937"/>
      <c r="AF139" s="938"/>
      <c r="AG139" s="985">
        <f>AG134-AG135-AG136-AG137-AG138</f>
        <v>0</v>
      </c>
      <c r="AH139" s="937"/>
      <c r="AI139" s="938"/>
      <c r="AJ139" s="985">
        <f>AJ134-AJ135-AJ136-AJ137-AJ138</f>
        <v>0</v>
      </c>
      <c r="AK139" s="937"/>
      <c r="AL139" s="938"/>
      <c r="AM139" s="985">
        <f>AM134-AM135-AM136-AM137-AM138</f>
        <v>0</v>
      </c>
      <c r="AN139" s="938"/>
      <c r="AO139" s="985">
        <f>AO134-AO135-AO136-AO137-AO138</f>
        <v>0</v>
      </c>
      <c r="AP139" s="938"/>
      <c r="AQ139" s="985">
        <f t="shared" ref="AQ139:AR139" si="142">AQ134-AQ135-AQ136-AQ137-AQ138</f>
        <v>0</v>
      </c>
      <c r="AR139" s="985">
        <f t="shared" si="142"/>
        <v>0</v>
      </c>
      <c r="AS139" s="936"/>
      <c r="AT139" s="985">
        <f t="shared" ref="AT139:AW139" si="143">AT134-AT135-AT136-AT137-AT138</f>
        <v>0</v>
      </c>
      <c r="AU139" s="985">
        <f t="shared" si="143"/>
        <v>0</v>
      </c>
      <c r="AV139" s="985">
        <f t="shared" si="143"/>
        <v>0</v>
      </c>
      <c r="AW139" s="985">
        <f t="shared" si="143"/>
        <v>0</v>
      </c>
      <c r="AX139" s="939"/>
      <c r="AY139" s="939"/>
      <c r="AZ139" s="941"/>
      <c r="BA139" s="941"/>
      <c r="BB139" s="941"/>
      <c r="BC139" s="934"/>
      <c r="BD139" s="941"/>
      <c r="BE139" s="941"/>
      <c r="BF139" s="941"/>
      <c r="BG139" s="942"/>
      <c r="BH139" s="941"/>
      <c r="BI139" s="941"/>
      <c r="BJ139" s="941"/>
      <c r="BK139" s="943"/>
      <c r="BL139" s="943"/>
      <c r="BM139" s="943"/>
      <c r="BN139" s="943"/>
      <c r="BO139" s="943"/>
      <c r="BP139" s="944"/>
      <c r="BQ139" s="943"/>
      <c r="BR139" s="943"/>
      <c r="BS139" s="943"/>
      <c r="BU139" s="945"/>
      <c r="BV139" s="946"/>
      <c r="BW139" s="947"/>
      <c r="BX139" s="945"/>
      <c r="BY139" s="947"/>
      <c r="BZ139" s="946"/>
      <c r="CA139" s="947"/>
      <c r="CB139" s="946"/>
      <c r="CC139" s="947"/>
      <c r="CD139" s="947"/>
      <c r="CE139" s="947"/>
      <c r="CF139" s="948"/>
      <c r="CG139" s="949"/>
      <c r="CH139" s="949"/>
      <c r="CI139" s="950"/>
      <c r="CJ139" s="951"/>
      <c r="CK139" s="951"/>
      <c r="CL139" s="952"/>
      <c r="CM139" s="951"/>
      <c r="CN139" s="951"/>
      <c r="CO139" s="952"/>
      <c r="CP139" s="951"/>
      <c r="CQ139" s="951"/>
      <c r="CR139" s="952"/>
      <c r="CS139" s="946"/>
      <c r="CT139" s="953"/>
      <c r="CU139" s="953"/>
      <c r="CV139" s="953"/>
      <c r="CX139" s="951"/>
      <c r="CY139" s="951"/>
      <c r="CZ139" s="952"/>
      <c r="DB139" s="954"/>
      <c r="DC139" s="954"/>
      <c r="DD139" s="921"/>
      <c r="DE139" s="954"/>
      <c r="DF139" s="954"/>
      <c r="DG139" s="921"/>
      <c r="DH139" s="954"/>
      <c r="DI139" s="954"/>
      <c r="DJ139" s="921"/>
      <c r="DK139" s="954"/>
      <c r="DL139" s="954"/>
      <c r="DM139" s="921"/>
      <c r="DN139" s="954"/>
      <c r="DO139" s="954"/>
      <c r="DP139" s="921"/>
      <c r="DQ139" s="942"/>
      <c r="DR139" s="951"/>
      <c r="DS139" s="951"/>
      <c r="DT139" s="952"/>
      <c r="DV139" s="921"/>
      <c r="DW139" s="921"/>
      <c r="DX139" s="921"/>
      <c r="DY139" s="921"/>
      <c r="DZ139" s="921"/>
      <c r="EA139" s="921"/>
      <c r="EB139" s="921"/>
      <c r="EC139" s="921"/>
      <c r="ED139" s="921"/>
      <c r="EE139" s="921"/>
      <c r="EF139" s="921"/>
      <c r="EG139" s="921"/>
      <c r="EH139" s="921"/>
      <c r="EI139" s="921"/>
      <c r="EJ139" s="921"/>
      <c r="EK139" s="921"/>
      <c r="EL139" s="921"/>
      <c r="EM139" s="921"/>
      <c r="EN139" s="921"/>
      <c r="EO139" s="921"/>
      <c r="EP139" s="921"/>
      <c r="EQ139" s="954"/>
      <c r="ER139" s="954"/>
      <c r="ES139" s="954"/>
      <c r="ET139" s="954"/>
      <c r="EV139" s="942"/>
      <c r="EW139" s="951"/>
      <c r="EX139" s="951"/>
      <c r="EY139" s="952"/>
    </row>
    <row r="140" spans="1:155" s="927" customFormat="1" ht="15.75" x14ac:dyDescent="0.25">
      <c r="A140" s="931"/>
      <c r="B140" s="932" t="s">
        <v>806</v>
      </c>
      <c r="C140" s="933"/>
      <c r="D140" s="933"/>
      <c r="E140" s="934"/>
      <c r="F140" s="935"/>
      <c r="G140" s="934"/>
      <c r="H140" s="935"/>
      <c r="I140" s="936"/>
      <c r="J140" s="937"/>
      <c r="K140" s="938"/>
      <c r="L140" s="936"/>
      <c r="M140" s="937"/>
      <c r="N140" s="938"/>
      <c r="O140" s="936"/>
      <c r="P140" s="937"/>
      <c r="Q140" s="938"/>
      <c r="R140" s="936"/>
      <c r="S140" s="937"/>
      <c r="T140" s="938"/>
      <c r="U140" s="936"/>
      <c r="V140" s="937"/>
      <c r="W140" s="938"/>
      <c r="X140" s="936"/>
      <c r="Y140" s="937"/>
      <c r="Z140" s="938"/>
      <c r="AA140" s="936"/>
      <c r="AB140" s="937"/>
      <c r="AC140" s="938"/>
      <c r="AD140" s="936"/>
      <c r="AE140" s="937"/>
      <c r="AF140" s="938"/>
      <c r="AG140" s="936"/>
      <c r="AH140" s="937"/>
      <c r="AI140" s="938"/>
      <c r="AJ140" s="936"/>
      <c r="AK140" s="937"/>
      <c r="AL140" s="938"/>
      <c r="AM140" s="936"/>
      <c r="AN140" s="933"/>
      <c r="AO140" s="936"/>
      <c r="AP140" s="933"/>
      <c r="AQ140" s="935"/>
      <c r="AR140" s="936"/>
      <c r="AS140" s="935"/>
      <c r="AT140" s="939"/>
      <c r="AU140" s="933"/>
      <c r="AV140" s="940"/>
      <c r="AW140" s="389">
        <f>AW134/12-AO134</f>
        <v>2129886.92</v>
      </c>
      <c r="AX140" s="939"/>
      <c r="AY140" s="939"/>
      <c r="AZ140" s="941"/>
      <c r="BA140" s="941"/>
      <c r="BB140" s="941"/>
      <c r="BC140" s="934"/>
      <c r="BD140" s="941"/>
      <c r="BE140" s="941"/>
      <c r="BF140" s="941"/>
      <c r="BG140" s="942"/>
      <c r="BH140" s="941"/>
      <c r="BI140" s="941"/>
      <c r="BJ140" s="941"/>
      <c r="BK140" s="943"/>
      <c r="BL140" s="943"/>
      <c r="BM140" s="943"/>
      <c r="BN140" s="943"/>
      <c r="BO140" s="943"/>
      <c r="BP140" s="944"/>
      <c r="BQ140" s="943"/>
      <c r="BR140" s="943"/>
      <c r="BS140" s="943"/>
      <c r="BU140" s="945"/>
      <c r="BV140" s="946"/>
      <c r="BW140" s="947"/>
      <c r="BX140" s="945"/>
      <c r="BY140" s="947"/>
      <c r="BZ140" s="946"/>
      <c r="CA140" s="947"/>
      <c r="CB140" s="946"/>
      <c r="CC140" s="947"/>
      <c r="CD140" s="947"/>
      <c r="CE140" s="947"/>
      <c r="CF140" s="948"/>
      <c r="CG140" s="949"/>
      <c r="CH140" s="949"/>
      <c r="CI140" s="950"/>
      <c r="CJ140" s="951"/>
      <c r="CK140" s="951"/>
      <c r="CL140" s="952"/>
      <c r="CM140" s="951"/>
      <c r="CN140" s="951"/>
      <c r="CO140" s="952"/>
      <c r="CP140" s="951"/>
      <c r="CQ140" s="951"/>
      <c r="CR140" s="952"/>
      <c r="CS140" s="946"/>
      <c r="CT140" s="953"/>
      <c r="CU140" s="953"/>
      <c r="CV140" s="953"/>
      <c r="CX140" s="951"/>
      <c r="CY140" s="951"/>
      <c r="CZ140" s="952"/>
      <c r="DB140" s="954"/>
      <c r="DC140" s="954"/>
      <c r="DD140" s="921"/>
      <c r="DE140" s="954"/>
      <c r="DF140" s="954"/>
      <c r="DG140" s="921"/>
      <c r="DH140" s="954"/>
      <c r="DI140" s="954"/>
      <c r="DJ140" s="921"/>
      <c r="DK140" s="954"/>
      <c r="DL140" s="954"/>
      <c r="DM140" s="921"/>
      <c r="DN140" s="954"/>
      <c r="DO140" s="954"/>
      <c r="DP140" s="921"/>
      <c r="DQ140" s="942"/>
      <c r="DR140" s="951"/>
      <c r="DS140" s="951"/>
      <c r="DT140" s="952"/>
      <c r="DV140" s="921"/>
      <c r="DW140" s="921"/>
      <c r="DX140" s="921"/>
      <c r="DY140" s="921"/>
      <c r="DZ140" s="921"/>
      <c r="EA140" s="921"/>
      <c r="EB140" s="921"/>
      <c r="EC140" s="921"/>
      <c r="ED140" s="921"/>
      <c r="EE140" s="921"/>
      <c r="EF140" s="921"/>
      <c r="EG140" s="921"/>
      <c r="EH140" s="921"/>
      <c r="EI140" s="921"/>
      <c r="EJ140" s="921"/>
      <c r="EK140" s="921"/>
      <c r="EL140" s="921"/>
      <c r="EM140" s="921"/>
      <c r="EN140" s="921"/>
      <c r="EO140" s="921"/>
      <c r="EP140" s="921"/>
      <c r="EQ140" s="954"/>
      <c r="ER140" s="954"/>
      <c r="ES140" s="954"/>
      <c r="ET140" s="954"/>
      <c r="EV140" s="942"/>
      <c r="EW140" s="951"/>
      <c r="EX140" s="951"/>
      <c r="EY140" s="952"/>
    </row>
    <row r="141" spans="1:155" s="927" customFormat="1" ht="15.75" x14ac:dyDescent="0.25">
      <c r="A141" s="931"/>
      <c r="B141" s="932" t="s">
        <v>406</v>
      </c>
      <c r="C141" s="933"/>
      <c r="D141" s="933"/>
      <c r="E141" s="934"/>
      <c r="F141" s="935"/>
      <c r="G141" s="934"/>
      <c r="H141" s="935"/>
      <c r="I141" s="936"/>
      <c r="J141" s="937"/>
      <c r="K141" s="938"/>
      <c r="L141" s="936"/>
      <c r="M141" s="937"/>
      <c r="N141" s="938"/>
      <c r="O141" s="936"/>
      <c r="P141" s="937"/>
      <c r="Q141" s="938"/>
      <c r="R141" s="936"/>
      <c r="S141" s="937"/>
      <c r="T141" s="938"/>
      <c r="U141" s="936"/>
      <c r="V141" s="937"/>
      <c r="W141" s="938"/>
      <c r="X141" s="936"/>
      <c r="Y141" s="937"/>
      <c r="Z141" s="938"/>
      <c r="AA141" s="936"/>
      <c r="AB141" s="937"/>
      <c r="AC141" s="938"/>
      <c r="AD141" s="936"/>
      <c r="AE141" s="937"/>
      <c r="AF141" s="938"/>
      <c r="AG141" s="936"/>
      <c r="AH141" s="937"/>
      <c r="AI141" s="938"/>
      <c r="AJ141" s="936"/>
      <c r="AK141" s="937"/>
      <c r="AL141" s="938"/>
      <c r="AM141" s="936"/>
      <c r="AN141" s="933"/>
      <c r="AO141" s="936"/>
      <c r="AP141" s="933"/>
      <c r="AQ141" s="935"/>
      <c r="AR141" s="936"/>
      <c r="AS141" s="935"/>
      <c r="AT141" s="939"/>
      <c r="AU141" s="933"/>
      <c r="AV141" s="940"/>
      <c r="AW141" s="389">
        <f>AW135/12-AO135</f>
        <v>968455.27</v>
      </c>
      <c r="AX141" s="939"/>
      <c r="AY141" s="939"/>
      <c r="AZ141" s="941"/>
      <c r="BA141" s="941"/>
      <c r="BB141" s="941"/>
      <c r="BC141" s="934"/>
      <c r="BD141" s="941"/>
      <c r="BE141" s="941"/>
      <c r="BF141" s="941"/>
      <c r="BG141" s="942"/>
      <c r="BH141" s="941"/>
      <c r="BI141" s="941"/>
      <c r="BJ141" s="941"/>
      <c r="BK141" s="943"/>
      <c r="BL141" s="943"/>
      <c r="BM141" s="943"/>
      <c r="BN141" s="943"/>
      <c r="BO141" s="943"/>
      <c r="BP141" s="944"/>
      <c r="BQ141" s="943"/>
      <c r="BR141" s="943"/>
      <c r="BS141" s="943"/>
      <c r="BU141" s="945"/>
      <c r="BV141" s="946"/>
      <c r="BW141" s="947"/>
      <c r="BX141" s="945"/>
      <c r="BY141" s="947"/>
      <c r="BZ141" s="946"/>
      <c r="CA141" s="947"/>
      <c r="CB141" s="946"/>
      <c r="CC141" s="947"/>
      <c r="CD141" s="947"/>
      <c r="CE141" s="947"/>
      <c r="CF141" s="948"/>
      <c r="CG141" s="949"/>
      <c r="CH141" s="949"/>
      <c r="CI141" s="950"/>
      <c r="CJ141" s="951"/>
      <c r="CK141" s="951"/>
      <c r="CL141" s="952"/>
      <c r="CM141" s="951"/>
      <c r="CN141" s="951"/>
      <c r="CO141" s="952"/>
      <c r="CP141" s="951"/>
      <c r="CQ141" s="951"/>
      <c r="CR141" s="952"/>
      <c r="CS141" s="946"/>
      <c r="CT141" s="953"/>
      <c r="CU141" s="953"/>
      <c r="CV141" s="953"/>
      <c r="CX141" s="951"/>
      <c r="CY141" s="951"/>
      <c r="CZ141" s="952"/>
      <c r="DB141" s="954"/>
      <c r="DC141" s="954"/>
      <c r="DD141" s="921"/>
      <c r="DE141" s="954"/>
      <c r="DF141" s="954"/>
      <c r="DG141" s="921"/>
      <c r="DH141" s="954"/>
      <c r="DI141" s="954"/>
      <c r="DJ141" s="921"/>
      <c r="DK141" s="954"/>
      <c r="DL141" s="954"/>
      <c r="DM141" s="921"/>
      <c r="DN141" s="954"/>
      <c r="DO141" s="954"/>
      <c r="DP141" s="921"/>
      <c r="DQ141" s="942"/>
      <c r="DR141" s="951"/>
      <c r="DS141" s="951"/>
      <c r="DT141" s="952"/>
      <c r="DV141" s="921"/>
      <c r="DW141" s="921"/>
      <c r="DX141" s="921"/>
      <c r="DY141" s="921"/>
      <c r="DZ141" s="921"/>
      <c r="EA141" s="921"/>
      <c r="EB141" s="921"/>
      <c r="EC141" s="921"/>
      <c r="ED141" s="921"/>
      <c r="EE141" s="921"/>
      <c r="EF141" s="921"/>
      <c r="EG141" s="921"/>
      <c r="EH141" s="921"/>
      <c r="EI141" s="921"/>
      <c r="EJ141" s="921"/>
      <c r="EK141" s="921"/>
      <c r="EL141" s="921"/>
      <c r="EM141" s="921"/>
      <c r="EN141" s="921"/>
      <c r="EO141" s="921"/>
      <c r="EP141" s="921"/>
      <c r="EQ141" s="954"/>
      <c r="ER141" s="954"/>
      <c r="ES141" s="954"/>
      <c r="ET141" s="954"/>
      <c r="EV141" s="942"/>
      <c r="EW141" s="951"/>
      <c r="EX141" s="951"/>
      <c r="EY141" s="952"/>
    </row>
    <row r="142" spans="1:155" s="927" customFormat="1" ht="15.75" x14ac:dyDescent="0.25">
      <c r="A142" s="931"/>
      <c r="B142" s="932" t="s">
        <v>403</v>
      </c>
      <c r="C142" s="933"/>
      <c r="D142" s="933"/>
      <c r="E142" s="934"/>
      <c r="F142" s="935"/>
      <c r="G142" s="934"/>
      <c r="H142" s="935"/>
      <c r="I142" s="936"/>
      <c r="J142" s="937"/>
      <c r="K142" s="938"/>
      <c r="L142" s="936"/>
      <c r="M142" s="937"/>
      <c r="N142" s="938"/>
      <c r="O142" s="936"/>
      <c r="P142" s="937"/>
      <c r="Q142" s="938"/>
      <c r="R142" s="936"/>
      <c r="S142" s="937"/>
      <c r="T142" s="938"/>
      <c r="U142" s="936"/>
      <c r="V142" s="937"/>
      <c r="W142" s="938"/>
      <c r="X142" s="936"/>
      <c r="Y142" s="937"/>
      <c r="Z142" s="938"/>
      <c r="AA142" s="936"/>
      <c r="AB142" s="937"/>
      <c r="AC142" s="938"/>
      <c r="AD142" s="936"/>
      <c r="AE142" s="937"/>
      <c r="AF142" s="938"/>
      <c r="AG142" s="936"/>
      <c r="AH142" s="937"/>
      <c r="AI142" s="938"/>
      <c r="AJ142" s="936"/>
      <c r="AK142" s="937"/>
      <c r="AL142" s="938"/>
      <c r="AM142" s="936"/>
      <c r="AN142" s="933"/>
      <c r="AO142" s="936"/>
      <c r="AP142" s="933"/>
      <c r="AQ142" s="935"/>
      <c r="AR142" s="936"/>
      <c r="AS142" s="935"/>
      <c r="AT142" s="939"/>
      <c r="AU142" s="933"/>
      <c r="AV142" s="940"/>
      <c r="AW142" s="389">
        <f>AW136/12-AO136</f>
        <v>415613.56</v>
      </c>
      <c r="AX142" s="939"/>
      <c r="AY142" s="939"/>
      <c r="AZ142" s="941"/>
      <c r="BA142" s="941"/>
      <c r="BB142" s="941"/>
      <c r="BC142" s="934"/>
      <c r="BD142" s="941"/>
      <c r="BE142" s="941"/>
      <c r="BF142" s="941"/>
      <c r="BG142" s="942"/>
      <c r="BH142" s="941"/>
      <c r="BI142" s="941"/>
      <c r="BJ142" s="941"/>
      <c r="BK142" s="943"/>
      <c r="BL142" s="943"/>
      <c r="BM142" s="943"/>
      <c r="BN142" s="943"/>
      <c r="BO142" s="943"/>
      <c r="BP142" s="944"/>
      <c r="BQ142" s="943"/>
      <c r="BR142" s="943"/>
      <c r="BS142" s="943"/>
      <c r="BU142" s="945"/>
      <c r="BV142" s="946"/>
      <c r="BW142" s="947"/>
      <c r="BX142" s="945"/>
      <c r="BY142" s="947"/>
      <c r="BZ142" s="946"/>
      <c r="CA142" s="947"/>
      <c r="CB142" s="946"/>
      <c r="CC142" s="947"/>
      <c r="CD142" s="947"/>
      <c r="CE142" s="947"/>
      <c r="CF142" s="948"/>
      <c r="CG142" s="949"/>
      <c r="CH142" s="949"/>
      <c r="CI142" s="950"/>
      <c r="CJ142" s="951"/>
      <c r="CK142" s="951"/>
      <c r="CL142" s="952"/>
      <c r="CM142" s="951"/>
      <c r="CN142" s="951"/>
      <c r="CO142" s="952"/>
      <c r="CP142" s="951"/>
      <c r="CQ142" s="951"/>
      <c r="CR142" s="952"/>
      <c r="CS142" s="946"/>
      <c r="CT142" s="953"/>
      <c r="CU142" s="953"/>
      <c r="CV142" s="953"/>
      <c r="CX142" s="951"/>
      <c r="CY142" s="951"/>
      <c r="CZ142" s="952"/>
      <c r="DB142" s="954"/>
      <c r="DC142" s="954"/>
      <c r="DD142" s="921"/>
      <c r="DE142" s="954"/>
      <c r="DF142" s="954"/>
      <c r="DG142" s="921"/>
      <c r="DH142" s="954"/>
      <c r="DI142" s="954"/>
      <c r="DJ142" s="921"/>
      <c r="DK142" s="954"/>
      <c r="DL142" s="954"/>
      <c r="DM142" s="921"/>
      <c r="DN142" s="954"/>
      <c r="DO142" s="954"/>
      <c r="DP142" s="921"/>
      <c r="DQ142" s="942"/>
      <c r="DR142" s="951"/>
      <c r="DS142" s="951"/>
      <c r="DT142" s="952"/>
      <c r="DV142" s="921"/>
      <c r="DW142" s="921"/>
      <c r="DX142" s="921"/>
      <c r="DY142" s="921"/>
      <c r="DZ142" s="921"/>
      <c r="EA142" s="921"/>
      <c r="EB142" s="921"/>
      <c r="EC142" s="921"/>
      <c r="ED142" s="921"/>
      <c r="EE142" s="921"/>
      <c r="EF142" s="921"/>
      <c r="EG142" s="921"/>
      <c r="EH142" s="921"/>
      <c r="EI142" s="921"/>
      <c r="EJ142" s="921"/>
      <c r="EK142" s="921"/>
      <c r="EL142" s="921"/>
      <c r="EM142" s="921"/>
      <c r="EN142" s="921"/>
      <c r="EO142" s="921"/>
      <c r="EP142" s="921"/>
      <c r="EQ142" s="954"/>
      <c r="ER142" s="954"/>
      <c r="ES142" s="954"/>
      <c r="ET142" s="954"/>
      <c r="EV142" s="942"/>
      <c r="EW142" s="951"/>
      <c r="EX142" s="951"/>
      <c r="EY142" s="952"/>
    </row>
    <row r="143" spans="1:155" s="927" customFormat="1" ht="15.75" x14ac:dyDescent="0.25">
      <c r="A143" s="931"/>
      <c r="B143" s="932" t="s">
        <v>404</v>
      </c>
      <c r="C143" s="933"/>
      <c r="D143" s="933"/>
      <c r="E143" s="934"/>
      <c r="F143" s="935"/>
      <c r="G143" s="934"/>
      <c r="H143" s="935"/>
      <c r="I143" s="936"/>
      <c r="J143" s="937"/>
      <c r="K143" s="938"/>
      <c r="L143" s="936"/>
      <c r="M143" s="937"/>
      <c r="N143" s="938"/>
      <c r="O143" s="936"/>
      <c r="P143" s="937"/>
      <c r="Q143" s="938"/>
      <c r="R143" s="936"/>
      <c r="S143" s="937"/>
      <c r="T143" s="938"/>
      <c r="U143" s="936"/>
      <c r="V143" s="937"/>
      <c r="W143" s="938"/>
      <c r="X143" s="936"/>
      <c r="Y143" s="937"/>
      <c r="Z143" s="938"/>
      <c r="AA143" s="936"/>
      <c r="AB143" s="937"/>
      <c r="AC143" s="938"/>
      <c r="AD143" s="936"/>
      <c r="AE143" s="937"/>
      <c r="AF143" s="938"/>
      <c r="AG143" s="936"/>
      <c r="AH143" s="937"/>
      <c r="AI143" s="938"/>
      <c r="AJ143" s="936"/>
      <c r="AK143" s="937"/>
      <c r="AL143" s="938"/>
      <c r="AM143" s="936"/>
      <c r="AN143" s="933"/>
      <c r="AO143" s="936"/>
      <c r="AP143" s="933"/>
      <c r="AQ143" s="935"/>
      <c r="AR143" s="936"/>
      <c r="AS143" s="935"/>
      <c r="AT143" s="939"/>
      <c r="AU143" s="933"/>
      <c r="AV143" s="940"/>
      <c r="AW143" s="389">
        <f>AW137/12-AO137</f>
        <v>646389.54</v>
      </c>
      <c r="AX143" s="939"/>
      <c r="AY143" s="939"/>
      <c r="AZ143" s="941"/>
      <c r="BA143" s="941"/>
      <c r="BB143" s="941"/>
      <c r="BC143" s="934"/>
      <c r="BD143" s="941"/>
      <c r="BE143" s="941"/>
      <c r="BF143" s="941"/>
      <c r="BG143" s="942"/>
      <c r="BH143" s="941"/>
      <c r="BI143" s="941"/>
      <c r="BJ143" s="941"/>
      <c r="BK143" s="943"/>
      <c r="BL143" s="943"/>
      <c r="BM143" s="943"/>
      <c r="BN143" s="943"/>
      <c r="BO143" s="943"/>
      <c r="BP143" s="944"/>
      <c r="BQ143" s="943"/>
      <c r="BR143" s="943"/>
      <c r="BS143" s="943"/>
      <c r="BU143" s="945"/>
      <c r="BV143" s="946"/>
      <c r="BW143" s="947"/>
      <c r="BX143" s="945"/>
      <c r="BY143" s="947"/>
      <c r="BZ143" s="946"/>
      <c r="CA143" s="947"/>
      <c r="CB143" s="946"/>
      <c r="CC143" s="947"/>
      <c r="CD143" s="947"/>
      <c r="CE143" s="947"/>
      <c r="CF143" s="948"/>
      <c r="CG143" s="949"/>
      <c r="CH143" s="949"/>
      <c r="CI143" s="950"/>
      <c r="CJ143" s="951"/>
      <c r="CK143" s="951"/>
      <c r="CL143" s="952"/>
      <c r="CM143" s="951"/>
      <c r="CN143" s="951"/>
      <c r="CO143" s="952"/>
      <c r="CP143" s="951"/>
      <c r="CQ143" s="951"/>
      <c r="CR143" s="952"/>
      <c r="CS143" s="946"/>
      <c r="CT143" s="953"/>
      <c r="CU143" s="953"/>
      <c r="CV143" s="953"/>
      <c r="CX143" s="951"/>
      <c r="CY143" s="951"/>
      <c r="CZ143" s="952"/>
      <c r="DB143" s="954"/>
      <c r="DC143" s="954"/>
      <c r="DD143" s="921"/>
      <c r="DE143" s="954"/>
      <c r="DF143" s="954"/>
      <c r="DG143" s="921"/>
      <c r="DH143" s="954"/>
      <c r="DI143" s="954"/>
      <c r="DJ143" s="921"/>
      <c r="DK143" s="954"/>
      <c r="DL143" s="954"/>
      <c r="DM143" s="921"/>
      <c r="DN143" s="954"/>
      <c r="DO143" s="954"/>
      <c r="DP143" s="921"/>
      <c r="DQ143" s="942"/>
      <c r="DR143" s="951"/>
      <c r="DS143" s="951"/>
      <c r="DT143" s="952"/>
      <c r="DV143" s="921"/>
      <c r="DW143" s="921"/>
      <c r="DX143" s="921"/>
      <c r="DY143" s="921"/>
      <c r="DZ143" s="921"/>
      <c r="EA143" s="921"/>
      <c r="EB143" s="921"/>
      <c r="EC143" s="921"/>
      <c r="ED143" s="921"/>
      <c r="EE143" s="921"/>
      <c r="EF143" s="921"/>
      <c r="EG143" s="921"/>
      <c r="EH143" s="921"/>
      <c r="EI143" s="921"/>
      <c r="EJ143" s="921"/>
      <c r="EK143" s="921"/>
      <c r="EL143" s="921"/>
      <c r="EM143" s="921"/>
      <c r="EN143" s="921"/>
      <c r="EO143" s="921"/>
      <c r="EP143" s="921"/>
      <c r="EQ143" s="954"/>
      <c r="ER143" s="954"/>
      <c r="ES143" s="954"/>
      <c r="ET143" s="954"/>
      <c r="EV143" s="942"/>
      <c r="EW143" s="951"/>
      <c r="EX143" s="951"/>
      <c r="EY143" s="952"/>
    </row>
    <row r="144" spans="1:155" s="927" customFormat="1" ht="15.75" x14ac:dyDescent="0.25">
      <c r="A144" s="931"/>
      <c r="B144" s="932" t="s">
        <v>405</v>
      </c>
      <c r="C144" s="933"/>
      <c r="D144" s="933"/>
      <c r="E144" s="934"/>
      <c r="F144" s="935"/>
      <c r="G144" s="934"/>
      <c r="H144" s="935"/>
      <c r="I144" s="936"/>
      <c r="J144" s="937"/>
      <c r="K144" s="938"/>
      <c r="L144" s="936"/>
      <c r="M144" s="937"/>
      <c r="N144" s="938"/>
      <c r="O144" s="936"/>
      <c r="P144" s="937"/>
      <c r="Q144" s="938"/>
      <c r="R144" s="936"/>
      <c r="S144" s="937"/>
      <c r="T144" s="938"/>
      <c r="U144" s="936"/>
      <c r="V144" s="937"/>
      <c r="W144" s="938"/>
      <c r="X144" s="936"/>
      <c r="Y144" s="937"/>
      <c r="Z144" s="938"/>
      <c r="AA144" s="936"/>
      <c r="AB144" s="937"/>
      <c r="AC144" s="938"/>
      <c r="AD144" s="936"/>
      <c r="AE144" s="937"/>
      <c r="AF144" s="938"/>
      <c r="AG144" s="936"/>
      <c r="AH144" s="937"/>
      <c r="AI144" s="938"/>
      <c r="AJ144" s="936"/>
      <c r="AK144" s="937"/>
      <c r="AL144" s="938"/>
      <c r="AM144" s="936"/>
      <c r="AN144" s="933"/>
      <c r="AO144" s="936"/>
      <c r="AP144" s="933"/>
      <c r="AQ144" s="935"/>
      <c r="AR144" s="936"/>
      <c r="AS144" s="935"/>
      <c r="AT144" s="939"/>
      <c r="AU144" s="933"/>
      <c r="AV144" s="940"/>
      <c r="AW144" s="389">
        <f>AW138/12-AO138</f>
        <v>99428.55</v>
      </c>
      <c r="AX144" s="939"/>
      <c r="AY144" s="939"/>
      <c r="AZ144" s="941"/>
      <c r="BA144" s="941"/>
      <c r="BB144" s="941"/>
      <c r="BC144" s="934"/>
      <c r="BD144" s="941"/>
      <c r="BE144" s="941"/>
      <c r="BF144" s="941"/>
      <c r="BG144" s="942"/>
      <c r="BH144" s="941"/>
      <c r="BI144" s="941"/>
      <c r="BJ144" s="941"/>
      <c r="BK144" s="943"/>
      <c r="BL144" s="943"/>
      <c r="BM144" s="943"/>
      <c r="BN144" s="943"/>
      <c r="BO144" s="943"/>
      <c r="BP144" s="944"/>
      <c r="BQ144" s="943"/>
      <c r="BR144" s="943"/>
      <c r="BS144" s="943"/>
      <c r="BU144" s="945"/>
      <c r="BV144" s="946"/>
      <c r="BW144" s="947"/>
      <c r="BX144" s="945"/>
      <c r="BY144" s="947"/>
      <c r="BZ144" s="946"/>
      <c r="CA144" s="947"/>
      <c r="CB144" s="946"/>
      <c r="CC144" s="947"/>
      <c r="CD144" s="947"/>
      <c r="CE144" s="947"/>
      <c r="CF144" s="948"/>
      <c r="CG144" s="949"/>
      <c r="CH144" s="949"/>
      <c r="CI144" s="950"/>
      <c r="CJ144" s="951"/>
      <c r="CK144" s="951"/>
      <c r="CL144" s="952"/>
      <c r="CM144" s="951"/>
      <c r="CN144" s="951"/>
      <c r="CO144" s="952"/>
      <c r="CP144" s="951"/>
      <c r="CQ144" s="951"/>
      <c r="CR144" s="952"/>
      <c r="CS144" s="946"/>
      <c r="CT144" s="953"/>
      <c r="CU144" s="953"/>
      <c r="CV144" s="953"/>
      <c r="CX144" s="951"/>
      <c r="CY144" s="951"/>
      <c r="CZ144" s="952"/>
      <c r="DB144" s="954"/>
      <c r="DC144" s="954"/>
      <c r="DD144" s="921"/>
      <c r="DE144" s="954"/>
      <c r="DF144" s="954"/>
      <c r="DG144" s="921"/>
      <c r="DH144" s="954"/>
      <c r="DI144" s="954"/>
      <c r="DJ144" s="921"/>
      <c r="DK144" s="954"/>
      <c r="DL144" s="954"/>
      <c r="DM144" s="921"/>
      <c r="DN144" s="954"/>
      <c r="DO144" s="954"/>
      <c r="DP144" s="921"/>
      <c r="DQ144" s="942"/>
      <c r="DR144" s="951"/>
      <c r="DS144" s="951"/>
      <c r="DT144" s="952"/>
      <c r="DV144" s="921"/>
      <c r="DW144" s="921"/>
      <c r="DX144" s="921"/>
      <c r="DY144" s="921"/>
      <c r="DZ144" s="921"/>
      <c r="EA144" s="921"/>
      <c r="EB144" s="921"/>
      <c r="EC144" s="921"/>
      <c r="ED144" s="921"/>
      <c r="EE144" s="921"/>
      <c r="EF144" s="921"/>
      <c r="EG144" s="921"/>
      <c r="EH144" s="921"/>
      <c r="EI144" s="921"/>
      <c r="EJ144" s="921"/>
      <c r="EK144" s="921"/>
      <c r="EL144" s="921"/>
      <c r="EM144" s="921"/>
      <c r="EN144" s="921"/>
      <c r="EO144" s="921"/>
      <c r="EP144" s="921"/>
      <c r="EQ144" s="954"/>
      <c r="ER144" s="954"/>
      <c r="ES144" s="954"/>
      <c r="ET144" s="954"/>
      <c r="EV144" s="942"/>
      <c r="EW144" s="951"/>
      <c r="EX144" s="951"/>
      <c r="EY144" s="952"/>
    </row>
    <row r="145" spans="1:155" s="927" customFormat="1" ht="15.75" x14ac:dyDescent="0.25">
      <c r="A145" s="931"/>
      <c r="B145" s="932" t="s">
        <v>499</v>
      </c>
      <c r="C145" s="933"/>
      <c r="D145" s="933"/>
      <c r="E145" s="934"/>
      <c r="F145" s="935"/>
      <c r="G145" s="934"/>
      <c r="H145" s="935"/>
      <c r="I145" s="936"/>
      <c r="J145" s="937"/>
      <c r="K145" s="938"/>
      <c r="L145" s="936"/>
      <c r="M145" s="937"/>
      <c r="N145" s="938"/>
      <c r="O145" s="936"/>
      <c r="P145" s="937"/>
      <c r="Q145" s="938"/>
      <c r="R145" s="936"/>
      <c r="S145" s="937"/>
      <c r="T145" s="938"/>
      <c r="U145" s="936"/>
      <c r="V145" s="937"/>
      <c r="W145" s="938"/>
      <c r="X145" s="936"/>
      <c r="Y145" s="937"/>
      <c r="Z145" s="938"/>
      <c r="AA145" s="936"/>
      <c r="AB145" s="937"/>
      <c r="AC145" s="938"/>
      <c r="AD145" s="936"/>
      <c r="AE145" s="937"/>
      <c r="AF145" s="938"/>
      <c r="AG145" s="936"/>
      <c r="AH145" s="937"/>
      <c r="AI145" s="938"/>
      <c r="AJ145" s="936"/>
      <c r="AK145" s="937"/>
      <c r="AL145" s="938"/>
      <c r="AM145" s="936"/>
      <c r="AN145" s="933"/>
      <c r="AO145" s="936"/>
      <c r="AP145" s="933"/>
      <c r="AQ145" s="935"/>
      <c r="AR145" s="936"/>
      <c r="AS145" s="935"/>
      <c r="AT145" s="939"/>
      <c r="AU145" s="933"/>
      <c r="AV145" s="940"/>
      <c r="AW145" s="986"/>
      <c r="AX145" s="939"/>
      <c r="AY145" s="939"/>
      <c r="AZ145" s="941"/>
      <c r="BA145" s="941"/>
      <c r="BB145" s="941"/>
      <c r="BC145" s="934"/>
      <c r="BD145" s="941"/>
      <c r="BE145" s="941"/>
      <c r="BF145" s="941"/>
      <c r="BG145" s="942"/>
      <c r="BH145" s="941"/>
      <c r="BI145" s="941"/>
      <c r="BJ145" s="941"/>
      <c r="BK145" s="943"/>
      <c r="BL145" s="943"/>
      <c r="BM145" s="943"/>
      <c r="BN145" s="943"/>
      <c r="BO145" s="943"/>
      <c r="BP145" s="944"/>
      <c r="BQ145" s="943"/>
      <c r="BR145" s="943"/>
      <c r="BS145" s="943"/>
      <c r="BU145" s="945"/>
      <c r="BV145" s="946"/>
      <c r="BW145" s="947"/>
      <c r="BX145" s="945"/>
      <c r="BY145" s="947"/>
      <c r="BZ145" s="946"/>
      <c r="CA145" s="947"/>
      <c r="CB145" s="946"/>
      <c r="CC145" s="947"/>
      <c r="CD145" s="947"/>
      <c r="CE145" s="947"/>
      <c r="CF145" s="948"/>
      <c r="CG145" s="949"/>
      <c r="CH145" s="949"/>
      <c r="CI145" s="950"/>
      <c r="CJ145" s="951"/>
      <c r="CK145" s="951"/>
      <c r="CL145" s="952"/>
      <c r="CM145" s="951"/>
      <c r="CN145" s="951"/>
      <c r="CO145" s="952"/>
      <c r="CP145" s="951"/>
      <c r="CQ145" s="951"/>
      <c r="CR145" s="952"/>
      <c r="CS145" s="946"/>
      <c r="CT145" s="953"/>
      <c r="CU145" s="953"/>
      <c r="CV145" s="953"/>
      <c r="CX145" s="951"/>
      <c r="CY145" s="951"/>
      <c r="CZ145" s="952"/>
      <c r="DB145" s="954"/>
      <c r="DC145" s="954"/>
      <c r="DD145" s="921"/>
      <c r="DE145" s="954"/>
      <c r="DF145" s="954"/>
      <c r="DG145" s="921"/>
      <c r="DH145" s="954"/>
      <c r="DI145" s="954"/>
      <c r="DJ145" s="921"/>
      <c r="DK145" s="954"/>
      <c r="DL145" s="954"/>
      <c r="DM145" s="921"/>
      <c r="DN145" s="954"/>
      <c r="DO145" s="954"/>
      <c r="DP145" s="921"/>
      <c r="DQ145" s="942"/>
      <c r="DR145" s="951"/>
      <c r="DS145" s="951"/>
      <c r="DT145" s="952"/>
      <c r="DV145" s="921"/>
      <c r="DW145" s="921"/>
      <c r="DX145" s="921"/>
      <c r="DY145" s="921"/>
      <c r="DZ145" s="921"/>
      <c r="EA145" s="921"/>
      <c r="EB145" s="921"/>
      <c r="EC145" s="921"/>
      <c r="ED145" s="921"/>
      <c r="EE145" s="921"/>
      <c r="EF145" s="921"/>
      <c r="EG145" s="921"/>
      <c r="EH145" s="921"/>
      <c r="EI145" s="921"/>
      <c r="EJ145" s="921"/>
      <c r="EK145" s="921"/>
      <c r="EL145" s="921"/>
      <c r="EM145" s="921"/>
      <c r="EN145" s="921"/>
      <c r="EO145" s="921"/>
      <c r="EP145" s="921"/>
      <c r="EQ145" s="954"/>
      <c r="ER145" s="954"/>
      <c r="ES145" s="954"/>
      <c r="ET145" s="954"/>
      <c r="EV145" s="942"/>
      <c r="EW145" s="951"/>
      <c r="EX145" s="951"/>
      <c r="EY145" s="952"/>
    </row>
    <row r="146" spans="1:155" s="927" customFormat="1" ht="15.75" x14ac:dyDescent="0.25">
      <c r="A146" s="931"/>
      <c r="B146" s="932" t="s">
        <v>406</v>
      </c>
      <c r="C146" s="933"/>
      <c r="D146" s="933"/>
      <c r="E146" s="934"/>
      <c r="F146" s="935"/>
      <c r="G146" s="934"/>
      <c r="H146" s="935"/>
      <c r="I146" s="936"/>
      <c r="J146" s="937"/>
      <c r="K146" s="938"/>
      <c r="L146" s="936"/>
      <c r="M146" s="937"/>
      <c r="N146" s="938"/>
      <c r="O146" s="936"/>
      <c r="P146" s="937"/>
      <c r="Q146" s="938"/>
      <c r="R146" s="936"/>
      <c r="S146" s="937"/>
      <c r="T146" s="938"/>
      <c r="U146" s="936"/>
      <c r="V146" s="937"/>
      <c r="W146" s="938"/>
      <c r="X146" s="936"/>
      <c r="Y146" s="937"/>
      <c r="Z146" s="938"/>
      <c r="AA146" s="936"/>
      <c r="AB146" s="937"/>
      <c r="AC146" s="938"/>
      <c r="AD146" s="936"/>
      <c r="AE146" s="937"/>
      <c r="AF146" s="938"/>
      <c r="AG146" s="936"/>
      <c r="AH146" s="937"/>
      <c r="AI146" s="938"/>
      <c r="AJ146" s="936"/>
      <c r="AK146" s="937"/>
      <c r="AL146" s="938"/>
      <c r="AM146" s="936"/>
      <c r="AN146" s="933"/>
      <c r="AO146" s="936"/>
      <c r="AP146" s="933"/>
      <c r="AQ146" s="935"/>
      <c r="AR146" s="936"/>
      <c r="AS146" s="935"/>
      <c r="AT146" s="939"/>
      <c r="AU146" s="933"/>
      <c r="AV146" s="940"/>
      <c r="AW146" s="336">
        <f>AW141/I135</f>
        <v>1.3871500000000001</v>
      </c>
      <c r="AX146" s="939"/>
      <c r="AY146" s="939"/>
      <c r="AZ146" s="941"/>
      <c r="BA146" s="941"/>
      <c r="BB146" s="941"/>
      <c r="BC146" s="934"/>
      <c r="BD146" s="941"/>
      <c r="BE146" s="941"/>
      <c r="BF146" s="941"/>
      <c r="BG146" s="942"/>
      <c r="BH146" s="941"/>
      <c r="BI146" s="941"/>
      <c r="BJ146" s="941"/>
      <c r="BK146" s="943"/>
      <c r="BL146" s="943"/>
      <c r="BM146" s="943"/>
      <c r="BN146" s="943"/>
      <c r="BO146" s="943"/>
      <c r="BP146" s="944"/>
      <c r="BQ146" s="943"/>
      <c r="BR146" s="943"/>
      <c r="BS146" s="943"/>
      <c r="BU146" s="945"/>
      <c r="BV146" s="946"/>
      <c r="BW146" s="947"/>
      <c r="BX146" s="945"/>
      <c r="BY146" s="947"/>
      <c r="BZ146" s="946"/>
      <c r="CA146" s="947"/>
      <c r="CB146" s="946"/>
      <c r="CC146" s="947"/>
      <c r="CD146" s="947"/>
      <c r="CE146" s="947"/>
      <c r="CF146" s="948"/>
      <c r="CG146" s="949"/>
      <c r="CH146" s="949"/>
      <c r="CI146" s="950"/>
      <c r="CJ146" s="951"/>
      <c r="CK146" s="951"/>
      <c r="CL146" s="952"/>
      <c r="CM146" s="951"/>
      <c r="CN146" s="951"/>
      <c r="CO146" s="952"/>
      <c r="CP146" s="951"/>
      <c r="CQ146" s="951"/>
      <c r="CR146" s="952"/>
      <c r="CS146" s="946"/>
      <c r="CT146" s="953"/>
      <c r="CU146" s="953"/>
      <c r="CV146" s="953"/>
      <c r="CX146" s="951"/>
      <c r="CY146" s="951"/>
      <c r="CZ146" s="952"/>
      <c r="DB146" s="954"/>
      <c r="DC146" s="954"/>
      <c r="DD146" s="921"/>
      <c r="DE146" s="954"/>
      <c r="DF146" s="954"/>
      <c r="DG146" s="921"/>
      <c r="DH146" s="954"/>
      <c r="DI146" s="954"/>
      <c r="DJ146" s="921"/>
      <c r="DK146" s="954"/>
      <c r="DL146" s="954"/>
      <c r="DM146" s="921"/>
      <c r="DN146" s="954"/>
      <c r="DO146" s="954"/>
      <c r="DP146" s="921"/>
      <c r="DQ146" s="942"/>
      <c r="DR146" s="951"/>
      <c r="DS146" s="951"/>
      <c r="DT146" s="952"/>
      <c r="DV146" s="921"/>
      <c r="DW146" s="921"/>
      <c r="DX146" s="921"/>
      <c r="DY146" s="921"/>
      <c r="DZ146" s="921"/>
      <c r="EA146" s="921"/>
      <c r="EB146" s="921"/>
      <c r="EC146" s="921"/>
      <c r="ED146" s="921"/>
      <c r="EE146" s="921"/>
      <c r="EF146" s="921"/>
      <c r="EG146" s="921"/>
      <c r="EH146" s="921"/>
      <c r="EI146" s="921"/>
      <c r="EJ146" s="921"/>
      <c r="EK146" s="921"/>
      <c r="EL146" s="921"/>
      <c r="EM146" s="921"/>
      <c r="EN146" s="921"/>
      <c r="EO146" s="921"/>
      <c r="EP146" s="921"/>
      <c r="EQ146" s="954"/>
      <c r="ER146" s="954"/>
      <c r="ES146" s="954"/>
      <c r="ET146" s="954"/>
      <c r="EV146" s="942"/>
      <c r="EW146" s="951"/>
      <c r="EX146" s="951"/>
      <c r="EY146" s="952"/>
    </row>
    <row r="147" spans="1:155" s="927" customFormat="1" ht="15.75" x14ac:dyDescent="0.25">
      <c r="A147" s="931"/>
      <c r="B147" s="932" t="s">
        <v>498</v>
      </c>
      <c r="C147" s="933"/>
      <c r="D147" s="933"/>
      <c r="E147" s="934"/>
      <c r="F147" s="935"/>
      <c r="G147" s="934"/>
      <c r="H147" s="935"/>
      <c r="I147" s="936"/>
      <c r="J147" s="937"/>
      <c r="K147" s="938"/>
      <c r="L147" s="936"/>
      <c r="M147" s="937"/>
      <c r="N147" s="938"/>
      <c r="O147" s="936"/>
      <c r="P147" s="937"/>
      <c r="Q147" s="938"/>
      <c r="R147" s="936"/>
      <c r="S147" s="937"/>
      <c r="T147" s="938"/>
      <c r="U147" s="936"/>
      <c r="V147" s="937"/>
      <c r="W147" s="938"/>
      <c r="X147" s="936"/>
      <c r="Y147" s="937"/>
      <c r="Z147" s="938"/>
      <c r="AA147" s="936"/>
      <c r="AB147" s="937"/>
      <c r="AC147" s="938"/>
      <c r="AD147" s="936"/>
      <c r="AE147" s="937"/>
      <c r="AF147" s="938"/>
      <c r="AG147" s="936"/>
      <c r="AH147" s="937"/>
      <c r="AI147" s="938"/>
      <c r="AJ147" s="936"/>
      <c r="AK147" s="937"/>
      <c r="AL147" s="938"/>
      <c r="AM147" s="936"/>
      <c r="AN147" s="933"/>
      <c r="AO147" s="936"/>
      <c r="AP147" s="933"/>
      <c r="AQ147" s="935"/>
      <c r="AR147" s="936"/>
      <c r="AS147" s="935"/>
      <c r="AT147" s="939"/>
      <c r="AU147" s="933"/>
      <c r="AV147" s="940"/>
      <c r="AW147" s="986"/>
      <c r="AX147" s="939"/>
      <c r="AY147" s="939"/>
      <c r="AZ147" s="941"/>
      <c r="BA147" s="941"/>
      <c r="BB147" s="941"/>
      <c r="BC147" s="934"/>
      <c r="BD147" s="941"/>
      <c r="BE147" s="941"/>
      <c r="BF147" s="941"/>
      <c r="BG147" s="942"/>
      <c r="BH147" s="941"/>
      <c r="BI147" s="941"/>
      <c r="BJ147" s="941"/>
      <c r="BK147" s="943"/>
      <c r="BL147" s="943"/>
      <c r="BM147" s="943"/>
      <c r="BN147" s="943"/>
      <c r="BO147" s="943"/>
      <c r="BP147" s="944"/>
      <c r="BQ147" s="943"/>
      <c r="BR147" s="943"/>
      <c r="BS147" s="943"/>
      <c r="BU147" s="945"/>
      <c r="BV147" s="946"/>
      <c r="BW147" s="947"/>
      <c r="BX147" s="945"/>
      <c r="BY147" s="947"/>
      <c r="BZ147" s="946"/>
      <c r="CA147" s="947"/>
      <c r="CB147" s="946"/>
      <c r="CC147" s="947"/>
      <c r="CD147" s="947"/>
      <c r="CE147" s="947"/>
      <c r="CF147" s="948"/>
      <c r="CG147" s="949"/>
      <c r="CH147" s="949"/>
      <c r="CI147" s="950"/>
      <c r="CJ147" s="951"/>
      <c r="CK147" s="951"/>
      <c r="CL147" s="952"/>
      <c r="CM147" s="951"/>
      <c r="CN147" s="951"/>
      <c r="CO147" s="952"/>
      <c r="CP147" s="951"/>
      <c r="CQ147" s="951"/>
      <c r="CR147" s="952"/>
      <c r="CS147" s="946"/>
      <c r="CT147" s="953"/>
      <c r="CU147" s="953"/>
      <c r="CV147" s="953"/>
      <c r="CX147" s="951"/>
      <c r="CY147" s="951"/>
      <c r="CZ147" s="952"/>
      <c r="DB147" s="954"/>
      <c r="DC147" s="954"/>
      <c r="DD147" s="921"/>
      <c r="DE147" s="954"/>
      <c r="DF147" s="954"/>
      <c r="DG147" s="921"/>
      <c r="DH147" s="954"/>
      <c r="DI147" s="954"/>
      <c r="DJ147" s="921"/>
      <c r="DK147" s="954"/>
      <c r="DL147" s="954"/>
      <c r="DM147" s="921"/>
      <c r="DN147" s="954"/>
      <c r="DO147" s="954"/>
      <c r="DP147" s="921"/>
      <c r="DQ147" s="942"/>
      <c r="DR147" s="951"/>
      <c r="DS147" s="951"/>
      <c r="DT147" s="952"/>
      <c r="DV147" s="921"/>
      <c r="DW147" s="921"/>
      <c r="DX147" s="921"/>
      <c r="DY147" s="921"/>
      <c r="DZ147" s="921"/>
      <c r="EA147" s="921"/>
      <c r="EB147" s="921"/>
      <c r="EC147" s="921"/>
      <c r="ED147" s="921"/>
      <c r="EE147" s="921"/>
      <c r="EF147" s="921"/>
      <c r="EG147" s="921"/>
      <c r="EH147" s="921"/>
      <c r="EI147" s="921"/>
      <c r="EJ147" s="921"/>
      <c r="EK147" s="921"/>
      <c r="EL147" s="921"/>
      <c r="EM147" s="921"/>
      <c r="EN147" s="921"/>
      <c r="EO147" s="921"/>
      <c r="EP147" s="921"/>
      <c r="EQ147" s="954"/>
      <c r="ER147" s="954"/>
      <c r="ES147" s="954"/>
      <c r="ET147" s="954"/>
      <c r="EV147" s="942"/>
      <c r="EW147" s="951"/>
      <c r="EX147" s="951"/>
      <c r="EY147" s="952"/>
    </row>
    <row r="148" spans="1:155" s="927" customFormat="1" ht="15.75" x14ac:dyDescent="0.25">
      <c r="A148" s="931"/>
      <c r="B148" s="932" t="s">
        <v>403</v>
      </c>
      <c r="C148" s="933"/>
      <c r="D148" s="933"/>
      <c r="E148" s="934"/>
      <c r="F148" s="935"/>
      <c r="G148" s="934"/>
      <c r="H148" s="935"/>
      <c r="I148" s="936"/>
      <c r="J148" s="937"/>
      <c r="K148" s="938"/>
      <c r="L148" s="936"/>
      <c r="M148" s="937"/>
      <c r="N148" s="938"/>
      <c r="O148" s="936"/>
      <c r="P148" s="937"/>
      <c r="Q148" s="938"/>
      <c r="R148" s="936"/>
      <c r="S148" s="937"/>
      <c r="T148" s="938"/>
      <c r="U148" s="936"/>
      <c r="V148" s="937"/>
      <c r="W148" s="938"/>
      <c r="X148" s="936"/>
      <c r="Y148" s="937"/>
      <c r="Z148" s="938"/>
      <c r="AA148" s="936"/>
      <c r="AB148" s="937"/>
      <c r="AC148" s="938"/>
      <c r="AD148" s="936"/>
      <c r="AE148" s="937"/>
      <c r="AF148" s="938"/>
      <c r="AG148" s="936"/>
      <c r="AH148" s="937"/>
      <c r="AI148" s="938"/>
      <c r="AJ148" s="936"/>
      <c r="AK148" s="937"/>
      <c r="AL148" s="938"/>
      <c r="AM148" s="936"/>
      <c r="AN148" s="933"/>
      <c r="AO148" s="936"/>
      <c r="AP148" s="933"/>
      <c r="AQ148" s="935"/>
      <c r="AR148" s="936"/>
      <c r="AS148" s="935"/>
      <c r="AT148" s="939"/>
      <c r="AU148" s="933"/>
      <c r="AV148" s="940"/>
      <c r="AW148" s="337">
        <f>AW142/AW141</f>
        <v>0.42914999999999998</v>
      </c>
      <c r="AX148" s="939"/>
      <c r="AY148" s="939"/>
      <c r="AZ148" s="941"/>
      <c r="BA148" s="941"/>
      <c r="BB148" s="941"/>
      <c r="BC148" s="934"/>
      <c r="BD148" s="941"/>
      <c r="BE148" s="941"/>
      <c r="BF148" s="941"/>
      <c r="BG148" s="942"/>
      <c r="BH148" s="941"/>
      <c r="BI148" s="941"/>
      <c r="BJ148" s="941"/>
      <c r="BK148" s="943"/>
      <c r="BL148" s="943"/>
      <c r="BM148" s="943"/>
      <c r="BN148" s="943"/>
      <c r="BO148" s="943"/>
      <c r="BP148" s="944"/>
      <c r="BQ148" s="943"/>
      <c r="BR148" s="943"/>
      <c r="BS148" s="943"/>
      <c r="BU148" s="945"/>
      <c r="BV148" s="946"/>
      <c r="BW148" s="947"/>
      <c r="BX148" s="945"/>
      <c r="BY148" s="947"/>
      <c r="BZ148" s="946"/>
      <c r="CA148" s="947"/>
      <c r="CB148" s="946"/>
      <c r="CC148" s="947"/>
      <c r="CD148" s="947"/>
      <c r="CE148" s="947"/>
      <c r="CF148" s="948"/>
      <c r="CG148" s="949"/>
      <c r="CH148" s="949"/>
      <c r="CI148" s="950"/>
      <c r="CJ148" s="951"/>
      <c r="CK148" s="951"/>
      <c r="CL148" s="952"/>
      <c r="CM148" s="951"/>
      <c r="CN148" s="951"/>
      <c r="CO148" s="952"/>
      <c r="CP148" s="951"/>
      <c r="CQ148" s="951"/>
      <c r="CR148" s="952"/>
      <c r="CS148" s="946"/>
      <c r="CT148" s="953"/>
      <c r="CU148" s="953"/>
      <c r="CV148" s="953"/>
      <c r="CX148" s="951"/>
      <c r="CY148" s="951"/>
      <c r="CZ148" s="952"/>
      <c r="DB148" s="954"/>
      <c r="DC148" s="954"/>
      <c r="DD148" s="921"/>
      <c r="DE148" s="954"/>
      <c r="DF148" s="954"/>
      <c r="DG148" s="921"/>
      <c r="DH148" s="954"/>
      <c r="DI148" s="954"/>
      <c r="DJ148" s="921"/>
      <c r="DK148" s="954"/>
      <c r="DL148" s="954"/>
      <c r="DM148" s="921"/>
      <c r="DN148" s="954"/>
      <c r="DO148" s="954"/>
      <c r="DP148" s="921"/>
      <c r="DQ148" s="942"/>
      <c r="DR148" s="951"/>
      <c r="DS148" s="951"/>
      <c r="DT148" s="952"/>
      <c r="DV148" s="921"/>
      <c r="DW148" s="921"/>
      <c r="DX148" s="921"/>
      <c r="DY148" s="921"/>
      <c r="DZ148" s="921"/>
      <c r="EA148" s="921"/>
      <c r="EB148" s="921"/>
      <c r="EC148" s="921"/>
      <c r="ED148" s="921"/>
      <c r="EE148" s="921"/>
      <c r="EF148" s="921"/>
      <c r="EG148" s="921"/>
      <c r="EH148" s="921"/>
      <c r="EI148" s="921"/>
      <c r="EJ148" s="921"/>
      <c r="EK148" s="921"/>
      <c r="EL148" s="921"/>
      <c r="EM148" s="921"/>
      <c r="EN148" s="921"/>
      <c r="EO148" s="921"/>
      <c r="EP148" s="921"/>
      <c r="EQ148" s="954"/>
      <c r="ER148" s="954"/>
      <c r="ES148" s="954"/>
      <c r="ET148" s="954"/>
      <c r="EV148" s="942"/>
      <c r="EW148" s="951"/>
      <c r="EX148" s="951"/>
      <c r="EY148" s="952"/>
    </row>
    <row r="149" spans="1:155" s="927" customFormat="1" ht="15.75" x14ac:dyDescent="0.25">
      <c r="A149" s="931"/>
      <c r="B149" s="932" t="s">
        <v>404</v>
      </c>
      <c r="C149" s="933"/>
      <c r="D149" s="933"/>
      <c r="E149" s="934"/>
      <c r="F149" s="935"/>
      <c r="G149" s="934"/>
      <c r="H149" s="935"/>
      <c r="I149" s="936"/>
      <c r="J149" s="937"/>
      <c r="K149" s="938"/>
      <c r="L149" s="936"/>
      <c r="M149" s="937"/>
      <c r="N149" s="938"/>
      <c r="O149" s="936"/>
      <c r="P149" s="937"/>
      <c r="Q149" s="938"/>
      <c r="R149" s="936"/>
      <c r="S149" s="937"/>
      <c r="T149" s="938"/>
      <c r="U149" s="936"/>
      <c r="V149" s="937"/>
      <c r="W149" s="938"/>
      <c r="X149" s="936"/>
      <c r="Y149" s="937"/>
      <c r="Z149" s="938"/>
      <c r="AA149" s="936"/>
      <c r="AB149" s="937"/>
      <c r="AC149" s="938"/>
      <c r="AD149" s="936"/>
      <c r="AE149" s="937"/>
      <c r="AF149" s="938"/>
      <c r="AG149" s="936"/>
      <c r="AH149" s="937"/>
      <c r="AI149" s="938"/>
      <c r="AJ149" s="936"/>
      <c r="AK149" s="937"/>
      <c r="AL149" s="938"/>
      <c r="AM149" s="936"/>
      <c r="AN149" s="933"/>
      <c r="AO149" s="936"/>
      <c r="AP149" s="933"/>
      <c r="AQ149" s="935"/>
      <c r="AR149" s="936"/>
      <c r="AS149" s="935"/>
      <c r="AT149" s="939"/>
      <c r="AU149" s="933"/>
      <c r="AV149" s="940"/>
      <c r="AW149" s="338">
        <f>AW143/AW141</f>
        <v>0.66744000000000003</v>
      </c>
      <c r="AX149" s="939"/>
      <c r="AY149" s="939"/>
      <c r="AZ149" s="941"/>
      <c r="BA149" s="941"/>
      <c r="BB149" s="941"/>
      <c r="BC149" s="934"/>
      <c r="BD149" s="941"/>
      <c r="BE149" s="941"/>
      <c r="BF149" s="941"/>
      <c r="BG149" s="942"/>
      <c r="BH149" s="941"/>
      <c r="BI149" s="941"/>
      <c r="BJ149" s="941"/>
      <c r="BK149" s="943"/>
      <c r="BL149" s="943"/>
      <c r="BM149" s="943"/>
      <c r="BN149" s="943"/>
      <c r="BO149" s="943"/>
      <c r="BP149" s="944"/>
      <c r="BQ149" s="943"/>
      <c r="BR149" s="943"/>
      <c r="BS149" s="943"/>
      <c r="BU149" s="945"/>
      <c r="BV149" s="946"/>
      <c r="BW149" s="947"/>
      <c r="BX149" s="945"/>
      <c r="BY149" s="947"/>
      <c r="BZ149" s="946"/>
      <c r="CA149" s="947"/>
      <c r="CB149" s="946"/>
      <c r="CC149" s="947"/>
      <c r="CD149" s="947"/>
      <c r="CE149" s="947"/>
      <c r="CF149" s="948"/>
      <c r="CG149" s="949"/>
      <c r="CH149" s="949"/>
      <c r="CI149" s="950"/>
      <c r="CJ149" s="951"/>
      <c r="CK149" s="951"/>
      <c r="CL149" s="952"/>
      <c r="CM149" s="951"/>
      <c r="CN149" s="951"/>
      <c r="CO149" s="952"/>
      <c r="CP149" s="951"/>
      <c r="CQ149" s="951"/>
      <c r="CR149" s="952"/>
      <c r="CS149" s="946"/>
      <c r="CT149" s="953"/>
      <c r="CU149" s="953"/>
      <c r="CV149" s="953"/>
      <c r="CX149" s="951"/>
      <c r="CY149" s="951"/>
      <c r="CZ149" s="952"/>
      <c r="DB149" s="954"/>
      <c r="DC149" s="954"/>
      <c r="DD149" s="921"/>
      <c r="DE149" s="954"/>
      <c r="DF149" s="954"/>
      <c r="DG149" s="921"/>
      <c r="DH149" s="954"/>
      <c r="DI149" s="954"/>
      <c r="DJ149" s="921"/>
      <c r="DK149" s="954"/>
      <c r="DL149" s="954"/>
      <c r="DM149" s="921"/>
      <c r="DN149" s="954"/>
      <c r="DO149" s="954"/>
      <c r="DP149" s="921"/>
      <c r="DQ149" s="942"/>
      <c r="DR149" s="951"/>
      <c r="DS149" s="951"/>
      <c r="DT149" s="952"/>
      <c r="DV149" s="921"/>
      <c r="DW149" s="921"/>
      <c r="DX149" s="921"/>
      <c r="DY149" s="921"/>
      <c r="DZ149" s="921"/>
      <c r="EA149" s="921"/>
      <c r="EB149" s="921"/>
      <c r="EC149" s="921"/>
      <c r="ED149" s="921"/>
      <c r="EE149" s="921"/>
      <c r="EF149" s="921"/>
      <c r="EG149" s="921"/>
      <c r="EH149" s="921"/>
      <c r="EI149" s="921"/>
      <c r="EJ149" s="921"/>
      <c r="EK149" s="921"/>
      <c r="EL149" s="921"/>
      <c r="EM149" s="921"/>
      <c r="EN149" s="921"/>
      <c r="EO149" s="921"/>
      <c r="EP149" s="921"/>
      <c r="EQ149" s="954"/>
      <c r="ER149" s="954"/>
      <c r="ES149" s="954"/>
      <c r="ET149" s="954"/>
      <c r="EV149" s="942"/>
      <c r="EW149" s="951"/>
      <c r="EX149" s="951"/>
      <c r="EY149" s="952"/>
    </row>
    <row r="150" spans="1:155" s="927" customFormat="1" ht="15.75" x14ac:dyDescent="0.25">
      <c r="A150" s="931"/>
      <c r="B150" s="932" t="s">
        <v>405</v>
      </c>
      <c r="C150" s="933"/>
      <c r="D150" s="933"/>
      <c r="E150" s="934"/>
      <c r="F150" s="935"/>
      <c r="G150" s="934"/>
      <c r="H150" s="935"/>
      <c r="I150" s="936"/>
      <c r="J150" s="937"/>
      <c r="K150" s="938"/>
      <c r="L150" s="936"/>
      <c r="M150" s="937"/>
      <c r="N150" s="938"/>
      <c r="O150" s="936"/>
      <c r="P150" s="937"/>
      <c r="Q150" s="938"/>
      <c r="R150" s="936"/>
      <c r="S150" s="937"/>
      <c r="T150" s="938"/>
      <c r="U150" s="936"/>
      <c r="V150" s="937"/>
      <c r="W150" s="938"/>
      <c r="X150" s="936"/>
      <c r="Y150" s="937"/>
      <c r="Z150" s="938"/>
      <c r="AA150" s="936"/>
      <c r="AB150" s="937"/>
      <c r="AC150" s="938"/>
      <c r="AD150" s="936"/>
      <c r="AE150" s="937"/>
      <c r="AF150" s="938"/>
      <c r="AG150" s="936"/>
      <c r="AH150" s="937"/>
      <c r="AI150" s="938"/>
      <c r="AJ150" s="936"/>
      <c r="AK150" s="937"/>
      <c r="AL150" s="938"/>
      <c r="AM150" s="936"/>
      <c r="AN150" s="933"/>
      <c r="AO150" s="936"/>
      <c r="AP150" s="933"/>
      <c r="AQ150" s="935"/>
      <c r="AR150" s="936"/>
      <c r="AS150" s="935"/>
      <c r="AT150" s="939"/>
      <c r="AU150" s="933"/>
      <c r="AV150" s="940"/>
      <c r="AW150" s="339">
        <f>AW144/AW141</f>
        <v>0.10267</v>
      </c>
      <c r="AX150" s="939"/>
      <c r="AY150" s="939"/>
      <c r="AZ150" s="941"/>
      <c r="BA150" s="941"/>
      <c r="BB150" s="941"/>
      <c r="BC150" s="934"/>
      <c r="BD150" s="941"/>
      <c r="BE150" s="941"/>
      <c r="BF150" s="941"/>
      <c r="BG150" s="942"/>
      <c r="BH150" s="941"/>
      <c r="BI150" s="941"/>
      <c r="BJ150" s="941"/>
      <c r="BK150" s="943"/>
      <c r="BL150" s="943"/>
      <c r="BM150" s="943"/>
      <c r="BN150" s="943"/>
      <c r="BO150" s="943"/>
      <c r="BP150" s="944"/>
      <c r="BQ150" s="943"/>
      <c r="BR150" s="943"/>
      <c r="BS150" s="943"/>
      <c r="BU150" s="945"/>
      <c r="BV150" s="946"/>
      <c r="BW150" s="947"/>
      <c r="BX150" s="945"/>
      <c r="BY150" s="947"/>
      <c r="BZ150" s="946"/>
      <c r="CA150" s="947"/>
      <c r="CB150" s="946"/>
      <c r="CC150" s="947"/>
      <c r="CD150" s="947"/>
      <c r="CE150" s="947"/>
      <c r="CF150" s="948"/>
      <c r="CG150" s="949"/>
      <c r="CH150" s="949"/>
      <c r="CI150" s="950"/>
      <c r="CJ150" s="951"/>
      <c r="CK150" s="951"/>
      <c r="CL150" s="952"/>
      <c r="CM150" s="951"/>
      <c r="CN150" s="951"/>
      <c r="CO150" s="952"/>
      <c r="CP150" s="951"/>
      <c r="CQ150" s="951"/>
      <c r="CR150" s="952"/>
      <c r="CS150" s="946"/>
      <c r="CT150" s="953"/>
      <c r="CU150" s="953"/>
      <c r="CV150" s="953"/>
      <c r="CX150" s="951"/>
      <c r="CY150" s="951"/>
      <c r="CZ150" s="952"/>
      <c r="DB150" s="954"/>
      <c r="DC150" s="954"/>
      <c r="DD150" s="921"/>
      <c r="DE150" s="954"/>
      <c r="DF150" s="954"/>
      <c r="DG150" s="921"/>
      <c r="DH150" s="954"/>
      <c r="DI150" s="954"/>
      <c r="DJ150" s="921"/>
      <c r="DK150" s="954"/>
      <c r="DL150" s="954"/>
      <c r="DM150" s="921"/>
      <c r="DN150" s="954"/>
      <c r="DO150" s="954"/>
      <c r="DP150" s="921"/>
      <c r="DQ150" s="942"/>
      <c r="DR150" s="951"/>
      <c r="DS150" s="951"/>
      <c r="DT150" s="952"/>
      <c r="DV150" s="921"/>
      <c r="DW150" s="921"/>
      <c r="DX150" s="921"/>
      <c r="DY150" s="921"/>
      <c r="DZ150" s="921"/>
      <c r="EA150" s="921"/>
      <c r="EB150" s="921"/>
      <c r="EC150" s="921"/>
      <c r="ED150" s="921"/>
      <c r="EE150" s="921"/>
      <c r="EF150" s="921"/>
      <c r="EG150" s="921"/>
      <c r="EH150" s="921"/>
      <c r="EI150" s="921"/>
      <c r="EJ150" s="921"/>
      <c r="EK150" s="921"/>
      <c r="EL150" s="921"/>
      <c r="EM150" s="921"/>
      <c r="EN150" s="921"/>
      <c r="EO150" s="921"/>
      <c r="EP150" s="921"/>
      <c r="EQ150" s="954"/>
      <c r="ER150" s="954"/>
      <c r="ES150" s="954"/>
      <c r="ET150" s="954"/>
      <c r="EV150" s="942"/>
      <c r="EW150" s="951"/>
      <c r="EX150" s="951"/>
      <c r="EY150" s="952"/>
    </row>
    <row r="151" spans="1:155" s="927" customFormat="1" ht="15.75" x14ac:dyDescent="0.25">
      <c r="A151" s="931"/>
      <c r="B151" s="932" t="s">
        <v>807</v>
      </c>
      <c r="C151" s="933"/>
      <c r="D151" s="933"/>
      <c r="E151" s="934"/>
      <c r="F151" s="935"/>
      <c r="G151" s="934"/>
      <c r="H151" s="935"/>
      <c r="I151" s="936"/>
      <c r="J151" s="937"/>
      <c r="K151" s="938"/>
      <c r="L151" s="936"/>
      <c r="M151" s="937"/>
      <c r="N151" s="938"/>
      <c r="O151" s="936"/>
      <c r="P151" s="937"/>
      <c r="Q151" s="938"/>
      <c r="R151" s="936"/>
      <c r="S151" s="937"/>
      <c r="T151" s="938"/>
      <c r="U151" s="936"/>
      <c r="V151" s="937"/>
      <c r="W151" s="938"/>
      <c r="X151" s="936"/>
      <c r="Y151" s="937"/>
      <c r="Z151" s="938"/>
      <c r="AA151" s="936"/>
      <c r="AB151" s="937"/>
      <c r="AC151" s="938"/>
      <c r="AD151" s="936"/>
      <c r="AE151" s="937"/>
      <c r="AF151" s="938"/>
      <c r="AG151" s="936"/>
      <c r="AH151" s="937"/>
      <c r="AI151" s="938"/>
      <c r="AJ151" s="936"/>
      <c r="AK151" s="937"/>
      <c r="AL151" s="938"/>
      <c r="AM151" s="936"/>
      <c r="AN151" s="933"/>
      <c r="AO151" s="936"/>
      <c r="AP151" s="933"/>
      <c r="AQ151" s="935"/>
      <c r="AR151" s="936"/>
      <c r="AS151" s="935"/>
      <c r="AT151" s="939"/>
      <c r="AU151" s="933"/>
      <c r="AV151" s="940"/>
      <c r="AW151" s="335">
        <f>(AW134/12)/AW140</f>
        <v>1.22112</v>
      </c>
      <c r="AX151" s="939"/>
      <c r="AY151" s="939"/>
      <c r="AZ151" s="941"/>
      <c r="BA151" s="941"/>
      <c r="BB151" s="941"/>
      <c r="BC151" s="934"/>
      <c r="BD151" s="941"/>
      <c r="BE151" s="941"/>
      <c r="BF151" s="941"/>
      <c r="BG151" s="942"/>
      <c r="BH151" s="941"/>
      <c r="BI151" s="941"/>
      <c r="BJ151" s="941"/>
      <c r="BK151" s="943"/>
      <c r="BL151" s="943"/>
      <c r="BM151" s="943"/>
      <c r="BN151" s="943"/>
      <c r="BO151" s="943"/>
      <c r="BP151" s="944"/>
      <c r="BQ151" s="943"/>
      <c r="BR151" s="943"/>
      <c r="BS151" s="943"/>
      <c r="BU151" s="945"/>
      <c r="BV151" s="946"/>
      <c r="BW151" s="947"/>
      <c r="BX151" s="945"/>
      <c r="BY151" s="947"/>
      <c r="BZ151" s="946"/>
      <c r="CA151" s="947"/>
      <c r="CB151" s="946"/>
      <c r="CC151" s="947"/>
      <c r="CD151" s="947"/>
      <c r="CE151" s="947"/>
      <c r="CF151" s="948"/>
      <c r="CG151" s="949"/>
      <c r="CH151" s="949"/>
      <c r="CI151" s="950"/>
      <c r="CJ151" s="951"/>
      <c r="CK151" s="951"/>
      <c r="CL151" s="952"/>
      <c r="CM151" s="951"/>
      <c r="CN151" s="951"/>
      <c r="CO151" s="952"/>
      <c r="CP151" s="951"/>
      <c r="CQ151" s="951"/>
      <c r="CR151" s="952"/>
      <c r="CS151" s="946"/>
      <c r="CT151" s="953"/>
      <c r="CU151" s="953"/>
      <c r="CV151" s="953"/>
      <c r="CX151" s="951"/>
      <c r="CY151" s="951"/>
      <c r="CZ151" s="952"/>
      <c r="DB151" s="954"/>
      <c r="DC151" s="954"/>
      <c r="DD151" s="921"/>
      <c r="DE151" s="954"/>
      <c r="DF151" s="954"/>
      <c r="DG151" s="921"/>
      <c r="DH151" s="954"/>
      <c r="DI151" s="954"/>
      <c r="DJ151" s="921"/>
      <c r="DK151" s="954"/>
      <c r="DL151" s="954"/>
      <c r="DM151" s="921"/>
      <c r="DN151" s="954"/>
      <c r="DO151" s="954"/>
      <c r="DP151" s="921"/>
      <c r="DQ151" s="942"/>
      <c r="DR151" s="951"/>
      <c r="DS151" s="951"/>
      <c r="DT151" s="952"/>
      <c r="DV151" s="921"/>
      <c r="DW151" s="921"/>
      <c r="DX151" s="921"/>
      <c r="DY151" s="921"/>
      <c r="DZ151" s="921"/>
      <c r="EA151" s="921"/>
      <c r="EB151" s="921"/>
      <c r="EC151" s="921"/>
      <c r="ED151" s="921"/>
      <c r="EE151" s="921"/>
      <c r="EF151" s="921"/>
      <c r="EG151" s="921"/>
      <c r="EH151" s="921"/>
      <c r="EI151" s="921"/>
      <c r="EJ151" s="921"/>
      <c r="EK151" s="921"/>
      <c r="EL151" s="921"/>
      <c r="EM151" s="921"/>
      <c r="EN151" s="921"/>
      <c r="EO151" s="921"/>
      <c r="EP151" s="921"/>
      <c r="EQ151" s="954"/>
      <c r="ER151" s="954"/>
      <c r="ES151" s="954"/>
      <c r="ET151" s="954"/>
      <c r="EV151" s="942"/>
      <c r="EW151" s="951"/>
      <c r="EX151" s="951"/>
      <c r="EY151" s="952"/>
    </row>
    <row r="152" spans="1:155" s="927" customFormat="1" ht="15.75" x14ac:dyDescent="0.25">
      <c r="A152" s="931"/>
      <c r="B152" s="932"/>
      <c r="C152" s="933"/>
      <c r="D152" s="933"/>
      <c r="E152" s="934"/>
      <c r="F152" s="935"/>
      <c r="G152" s="934"/>
      <c r="H152" s="935"/>
      <c r="I152" s="936"/>
      <c r="J152" s="937"/>
      <c r="K152" s="938"/>
      <c r="L152" s="936"/>
      <c r="M152" s="937"/>
      <c r="N152" s="938"/>
      <c r="O152" s="936"/>
      <c r="P152" s="937"/>
      <c r="Q152" s="938"/>
      <c r="R152" s="936"/>
      <c r="S152" s="937"/>
      <c r="T152" s="938"/>
      <c r="U152" s="936"/>
      <c r="V152" s="937"/>
      <c r="W152" s="938"/>
      <c r="X152" s="936"/>
      <c r="Y152" s="937"/>
      <c r="Z152" s="938"/>
      <c r="AA152" s="936"/>
      <c r="AB152" s="937"/>
      <c r="AC152" s="938"/>
      <c r="AD152" s="936"/>
      <c r="AE152" s="937"/>
      <c r="AF152" s="938"/>
      <c r="AG152" s="936"/>
      <c r="AH152" s="937"/>
      <c r="AI152" s="938"/>
      <c r="AJ152" s="936"/>
      <c r="AK152" s="937"/>
      <c r="AL152" s="938"/>
      <c r="AM152" s="936"/>
      <c r="AN152" s="933"/>
      <c r="AO152" s="936"/>
      <c r="AP152" s="933"/>
      <c r="AQ152" s="935"/>
      <c r="AR152" s="936"/>
      <c r="AS152" s="935"/>
      <c r="AT152" s="939"/>
      <c r="AU152" s="933"/>
      <c r="AV152" s="940"/>
      <c r="AW152" s="939"/>
      <c r="AX152" s="939"/>
      <c r="AY152" s="939"/>
      <c r="AZ152" s="941"/>
      <c r="BA152" s="941"/>
      <c r="BB152" s="941"/>
      <c r="BC152" s="934"/>
      <c r="BD152" s="941"/>
      <c r="BE152" s="941"/>
      <c r="BF152" s="941"/>
      <c r="BG152" s="942"/>
      <c r="BH152" s="941"/>
      <c r="BI152" s="941"/>
      <c r="BJ152" s="941"/>
      <c r="BK152" s="943"/>
      <c r="BL152" s="943"/>
      <c r="BM152" s="943"/>
      <c r="BN152" s="943"/>
      <c r="BO152" s="943"/>
      <c r="BP152" s="944"/>
      <c r="BQ152" s="943"/>
      <c r="BR152" s="943"/>
      <c r="BS152" s="943"/>
      <c r="BU152" s="945"/>
      <c r="BV152" s="946"/>
      <c r="BW152" s="947"/>
      <c r="BX152" s="945"/>
      <c r="BY152" s="947"/>
      <c r="BZ152" s="946"/>
      <c r="CA152" s="947"/>
      <c r="CB152" s="946"/>
      <c r="CC152" s="947"/>
      <c r="CD152" s="947"/>
      <c r="CE152" s="947"/>
      <c r="CF152" s="948"/>
      <c r="CG152" s="949"/>
      <c r="CH152" s="949"/>
      <c r="CI152" s="950"/>
      <c r="CJ152" s="951"/>
      <c r="CK152" s="951"/>
      <c r="CL152" s="952"/>
      <c r="CM152" s="951"/>
      <c r="CN152" s="951"/>
      <c r="CO152" s="952"/>
      <c r="CP152" s="951"/>
      <c r="CQ152" s="951"/>
      <c r="CR152" s="952"/>
      <c r="CS152" s="946"/>
      <c r="CT152" s="953"/>
      <c r="CU152" s="953"/>
      <c r="CV152" s="953"/>
      <c r="CX152" s="951"/>
      <c r="CY152" s="951"/>
      <c r="CZ152" s="952"/>
      <c r="DB152" s="954"/>
      <c r="DC152" s="954"/>
      <c r="DD152" s="921"/>
      <c r="DE152" s="954"/>
      <c r="DF152" s="954"/>
      <c r="DG152" s="921"/>
      <c r="DH152" s="954"/>
      <c r="DI152" s="954"/>
      <c r="DJ152" s="921"/>
      <c r="DK152" s="954"/>
      <c r="DL152" s="954"/>
      <c r="DM152" s="921"/>
      <c r="DN152" s="954"/>
      <c r="DO152" s="954"/>
      <c r="DP152" s="921"/>
      <c r="DQ152" s="942"/>
      <c r="DR152" s="951"/>
      <c r="DS152" s="951"/>
      <c r="DT152" s="952"/>
      <c r="DV152" s="921"/>
      <c r="DW152" s="921"/>
      <c r="DX152" s="921"/>
      <c r="DY152" s="921"/>
      <c r="DZ152" s="921"/>
      <c r="EA152" s="921"/>
      <c r="EB152" s="921"/>
      <c r="EC152" s="921"/>
      <c r="ED152" s="921"/>
      <c r="EE152" s="921"/>
      <c r="EF152" s="921"/>
      <c r="EG152" s="921"/>
      <c r="EH152" s="921"/>
      <c r="EI152" s="921"/>
      <c r="EJ152" s="921"/>
      <c r="EK152" s="921"/>
      <c r="EL152" s="921"/>
      <c r="EM152" s="921"/>
      <c r="EN152" s="921"/>
      <c r="EO152" s="921"/>
      <c r="EP152" s="921"/>
      <c r="EQ152" s="954"/>
      <c r="ER152" s="954"/>
      <c r="ES152" s="954"/>
      <c r="ET152" s="954"/>
      <c r="EV152" s="942"/>
      <c r="EW152" s="951"/>
      <c r="EX152" s="951"/>
      <c r="EY152" s="952"/>
    </row>
    <row r="153" spans="1:155" s="927" customFormat="1" ht="15.75" x14ac:dyDescent="0.25">
      <c r="A153" s="912" t="s">
        <v>360</v>
      </c>
      <c r="B153" s="913" t="s">
        <v>1378</v>
      </c>
      <c r="C153" s="914">
        <v>2</v>
      </c>
      <c r="D153" s="914">
        <v>7755</v>
      </c>
      <c r="E153" s="915">
        <v>1.0549999999999999</v>
      </c>
      <c r="F153" s="916">
        <f t="shared" si="77"/>
        <v>8182</v>
      </c>
      <c r="G153" s="915">
        <v>1.01</v>
      </c>
      <c r="H153" s="916">
        <f t="shared" si="78"/>
        <v>8264</v>
      </c>
      <c r="I153" s="917">
        <f t="shared" si="79"/>
        <v>16528</v>
      </c>
      <c r="J153" s="918">
        <f t="shared" si="80"/>
        <v>0</v>
      </c>
      <c r="K153" s="919"/>
      <c r="L153" s="917">
        <f t="shared" si="81"/>
        <v>0</v>
      </c>
      <c r="M153" s="918">
        <f t="shared" si="82"/>
        <v>0</v>
      </c>
      <c r="N153" s="919"/>
      <c r="O153" s="917">
        <f t="shared" si="83"/>
        <v>0</v>
      </c>
      <c r="P153" s="918">
        <f t="shared" si="84"/>
        <v>0</v>
      </c>
      <c r="Q153" s="919"/>
      <c r="R153" s="917">
        <f t="shared" si="85"/>
        <v>0</v>
      </c>
      <c r="S153" s="918">
        <f t="shared" si="86"/>
        <v>0</v>
      </c>
      <c r="T153" s="919"/>
      <c r="U153" s="917">
        <f t="shared" si="87"/>
        <v>0</v>
      </c>
      <c r="V153" s="918">
        <f t="shared" si="88"/>
        <v>0</v>
      </c>
      <c r="W153" s="919"/>
      <c r="X153" s="917">
        <f t="shared" si="89"/>
        <v>0</v>
      </c>
      <c r="Y153" s="918">
        <f t="shared" si="90"/>
        <v>0.8</v>
      </c>
      <c r="Z153" s="919">
        <v>12408</v>
      </c>
      <c r="AA153" s="917">
        <f t="shared" si="91"/>
        <v>13222.4</v>
      </c>
      <c r="AB153" s="918">
        <f t="shared" si="92"/>
        <v>0.45</v>
      </c>
      <c r="AC153" s="919">
        <v>6979.5</v>
      </c>
      <c r="AD153" s="917">
        <f t="shared" si="93"/>
        <v>7437.6</v>
      </c>
      <c r="AE153" s="918">
        <f t="shared" si="94"/>
        <v>0</v>
      </c>
      <c r="AF153" s="919"/>
      <c r="AG153" s="917">
        <f t="shared" si="95"/>
        <v>0</v>
      </c>
      <c r="AH153" s="918">
        <f t="shared" si="96"/>
        <v>0</v>
      </c>
      <c r="AI153" s="919"/>
      <c r="AJ153" s="917">
        <f t="shared" si="97"/>
        <v>0</v>
      </c>
      <c r="AK153" s="918">
        <f t="shared" si="98"/>
        <v>0</v>
      </c>
      <c r="AL153" s="919"/>
      <c r="AM153" s="917">
        <f t="shared" si="99"/>
        <v>0</v>
      </c>
      <c r="AN153" s="920">
        <v>19242</v>
      </c>
      <c r="AO153" s="917">
        <f t="shared" si="100"/>
        <v>1296</v>
      </c>
      <c r="AP153" s="920"/>
      <c r="AQ153" s="916">
        <f t="shared" si="101"/>
        <v>0</v>
      </c>
      <c r="AR153" s="917">
        <f t="shared" si="102"/>
        <v>38484</v>
      </c>
      <c r="AS153" s="916">
        <v>12</v>
      </c>
      <c r="AT153" s="921">
        <f t="shared" si="103"/>
        <v>461808</v>
      </c>
      <c r="AU153" s="920"/>
      <c r="AV153" s="922">
        <f t="shared" si="104"/>
        <v>4618.08</v>
      </c>
      <c r="AW153" s="921">
        <f t="shared" si="105"/>
        <v>466426.08</v>
      </c>
      <c r="AX153" s="921">
        <f t="shared" si="106"/>
        <v>140860.68</v>
      </c>
      <c r="AY153" s="921">
        <f t="shared" si="107"/>
        <v>607286.76</v>
      </c>
      <c r="AZ153" s="923">
        <f t="shared" si="108"/>
        <v>466.4</v>
      </c>
      <c r="BA153" s="923">
        <f t="shared" si="109"/>
        <v>140.9</v>
      </c>
      <c r="BB153" s="923">
        <f t="shared" si="110"/>
        <v>607.29999999999995</v>
      </c>
      <c r="BC153" s="915">
        <v>0.95</v>
      </c>
      <c r="BD153" s="923">
        <f t="shared" si="111"/>
        <v>443.1</v>
      </c>
      <c r="BE153" s="923">
        <f t="shared" si="112"/>
        <v>133.80000000000001</v>
      </c>
      <c r="BF153" s="923">
        <f t="shared" si="113"/>
        <v>576.9</v>
      </c>
      <c r="BG153" s="924">
        <f>'[3]свод (2024)'!$B$116</f>
        <v>0.99758349999999996</v>
      </c>
      <c r="BH153" s="923">
        <f t="shared" si="114"/>
        <v>442</v>
      </c>
      <c r="BI153" s="923">
        <f t="shared" si="115"/>
        <v>133.5</v>
      </c>
      <c r="BJ153" s="923">
        <f t="shared" si="116"/>
        <v>575.5</v>
      </c>
      <c r="BK153" s="925">
        <f t="shared" si="117"/>
        <v>-24.4</v>
      </c>
      <c r="BL153" s="925">
        <f t="shared" si="117"/>
        <v>-7.4</v>
      </c>
      <c r="BM153" s="925">
        <f t="shared" si="118"/>
        <v>-31.8</v>
      </c>
      <c r="BN153" s="925">
        <f t="shared" si="119"/>
        <v>0</v>
      </c>
      <c r="BO153" s="925">
        <f t="shared" si="120"/>
        <v>0</v>
      </c>
      <c r="BP153" s="926"/>
      <c r="BQ153" s="925">
        <f t="shared" si="121"/>
        <v>442</v>
      </c>
      <c r="BR153" s="925">
        <f t="shared" si="121"/>
        <v>133.5</v>
      </c>
      <c r="BS153" s="925">
        <f t="shared" si="122"/>
        <v>575.5</v>
      </c>
      <c r="BU153" s="928"/>
      <c r="BV153" s="917"/>
      <c r="BW153" s="928"/>
      <c r="BX153" s="928"/>
      <c r="BY153" s="928"/>
      <c r="BZ153" s="917"/>
      <c r="CA153" s="928"/>
      <c r="CB153" s="917"/>
      <c r="CC153" s="928"/>
      <c r="CD153" s="928"/>
      <c r="CE153" s="928"/>
      <c r="CF153" s="929"/>
      <c r="CG153" s="928"/>
      <c r="CH153" s="928"/>
      <c r="CI153" s="928"/>
      <c r="CJ153" s="925"/>
      <c r="CK153" s="925"/>
      <c r="CL153" s="925"/>
      <c r="CM153" s="925"/>
      <c r="CN153" s="925"/>
      <c r="CO153" s="925"/>
      <c r="CP153" s="925"/>
      <c r="CQ153" s="925"/>
      <c r="CR153" s="925"/>
      <c r="CS153" s="917"/>
      <c r="CT153" s="928"/>
      <c r="CU153" s="928"/>
      <c r="CV153" s="928"/>
      <c r="CX153" s="925"/>
      <c r="CY153" s="925"/>
      <c r="CZ153" s="925"/>
      <c r="DB153" s="925"/>
      <c r="DC153" s="925"/>
      <c r="DD153" s="925"/>
      <c r="DE153" s="925"/>
      <c r="DF153" s="925"/>
      <c r="DG153" s="925"/>
      <c r="DH153" s="925"/>
      <c r="DI153" s="925"/>
      <c r="DJ153" s="925"/>
      <c r="DK153" s="925"/>
      <c r="DL153" s="925"/>
      <c r="DM153" s="925"/>
      <c r="DN153" s="925"/>
      <c r="DO153" s="925"/>
      <c r="DP153" s="925"/>
      <c r="DQ153" s="924"/>
      <c r="DR153" s="925"/>
      <c r="DS153" s="925"/>
      <c r="DT153" s="925"/>
      <c r="DV153" s="925"/>
      <c r="DW153" s="925"/>
      <c r="DX153" s="925"/>
      <c r="DY153" s="925"/>
      <c r="DZ153" s="925"/>
      <c r="EA153" s="925"/>
      <c r="EB153" s="925"/>
      <c r="EC153" s="925"/>
      <c r="ED153" s="925"/>
      <c r="EE153" s="925"/>
      <c r="EF153" s="925"/>
      <c r="EG153" s="925"/>
      <c r="EH153" s="925"/>
      <c r="EI153" s="925"/>
      <c r="EJ153" s="925"/>
      <c r="EK153" s="925"/>
      <c r="EL153" s="925"/>
      <c r="EM153" s="925"/>
      <c r="EN153" s="925"/>
      <c r="EO153" s="925"/>
      <c r="EP153" s="925"/>
      <c r="EQ153" s="925"/>
      <c r="ER153" s="925"/>
      <c r="ES153" s="925"/>
      <c r="ET153" s="925"/>
      <c r="EV153" s="924"/>
      <c r="EW153" s="925"/>
      <c r="EX153" s="925"/>
      <c r="EY153" s="925"/>
    </row>
    <row r="154" spans="1:155" s="927" customFormat="1" ht="15.75" x14ac:dyDescent="0.25">
      <c r="A154" s="912" t="s">
        <v>360</v>
      </c>
      <c r="B154" s="913" t="s">
        <v>1408</v>
      </c>
      <c r="C154" s="914">
        <v>1</v>
      </c>
      <c r="D154" s="914">
        <v>4588</v>
      </c>
      <c r="E154" s="915">
        <v>1.0549999999999999</v>
      </c>
      <c r="F154" s="916">
        <f t="shared" si="77"/>
        <v>4841</v>
      </c>
      <c r="G154" s="915">
        <v>1.01</v>
      </c>
      <c r="H154" s="916">
        <f t="shared" si="78"/>
        <v>4890</v>
      </c>
      <c r="I154" s="917">
        <f t="shared" si="79"/>
        <v>4890</v>
      </c>
      <c r="J154" s="918">
        <f t="shared" si="80"/>
        <v>0</v>
      </c>
      <c r="K154" s="919"/>
      <c r="L154" s="917">
        <f t="shared" si="81"/>
        <v>0</v>
      </c>
      <c r="M154" s="918">
        <f t="shared" si="82"/>
        <v>0</v>
      </c>
      <c r="N154" s="919"/>
      <c r="O154" s="917">
        <f t="shared" si="83"/>
        <v>0</v>
      </c>
      <c r="P154" s="918">
        <f t="shared" si="84"/>
        <v>0</v>
      </c>
      <c r="Q154" s="919"/>
      <c r="R154" s="917">
        <f t="shared" si="85"/>
        <v>0</v>
      </c>
      <c r="S154" s="918">
        <f t="shared" si="86"/>
        <v>0</v>
      </c>
      <c r="T154" s="919"/>
      <c r="U154" s="917">
        <f t="shared" si="87"/>
        <v>0</v>
      </c>
      <c r="V154" s="918">
        <f t="shared" si="88"/>
        <v>0</v>
      </c>
      <c r="W154" s="919"/>
      <c r="X154" s="917">
        <f t="shared" si="89"/>
        <v>0</v>
      </c>
      <c r="Y154" s="918">
        <f t="shared" si="90"/>
        <v>0</v>
      </c>
      <c r="Z154" s="919"/>
      <c r="AA154" s="917">
        <f t="shared" si="91"/>
        <v>0</v>
      </c>
      <c r="AB154" s="918">
        <f t="shared" si="92"/>
        <v>0</v>
      </c>
      <c r="AC154" s="919"/>
      <c r="AD154" s="917">
        <f t="shared" si="93"/>
        <v>0</v>
      </c>
      <c r="AE154" s="918">
        <f t="shared" si="94"/>
        <v>0</v>
      </c>
      <c r="AF154" s="919"/>
      <c r="AG154" s="917">
        <f t="shared" si="95"/>
        <v>0</v>
      </c>
      <c r="AH154" s="918">
        <f t="shared" si="96"/>
        <v>0</v>
      </c>
      <c r="AI154" s="919"/>
      <c r="AJ154" s="917">
        <f t="shared" si="97"/>
        <v>0</v>
      </c>
      <c r="AK154" s="918">
        <f t="shared" si="98"/>
        <v>0</v>
      </c>
      <c r="AL154" s="919"/>
      <c r="AM154" s="917">
        <f t="shared" si="99"/>
        <v>0</v>
      </c>
      <c r="AN154" s="920">
        <v>19242</v>
      </c>
      <c r="AO154" s="917">
        <f t="shared" si="100"/>
        <v>14352</v>
      </c>
      <c r="AP154" s="920"/>
      <c r="AQ154" s="916">
        <f t="shared" si="101"/>
        <v>0</v>
      </c>
      <c r="AR154" s="917">
        <f t="shared" si="102"/>
        <v>19242</v>
      </c>
      <c r="AS154" s="916">
        <v>12</v>
      </c>
      <c r="AT154" s="921">
        <f t="shared" si="103"/>
        <v>230904</v>
      </c>
      <c r="AU154" s="920"/>
      <c r="AV154" s="922">
        <f t="shared" si="104"/>
        <v>2309.04</v>
      </c>
      <c r="AW154" s="921">
        <f t="shared" si="105"/>
        <v>233213.04</v>
      </c>
      <c r="AX154" s="921">
        <f t="shared" si="106"/>
        <v>70430.34</v>
      </c>
      <c r="AY154" s="921">
        <f t="shared" si="107"/>
        <v>303643.38</v>
      </c>
      <c r="AZ154" s="923">
        <f t="shared" si="108"/>
        <v>233.2</v>
      </c>
      <c r="BA154" s="923">
        <f t="shared" si="109"/>
        <v>70.400000000000006</v>
      </c>
      <c r="BB154" s="923">
        <f t="shared" si="110"/>
        <v>303.60000000000002</v>
      </c>
      <c r="BC154" s="915">
        <v>0.95</v>
      </c>
      <c r="BD154" s="923">
        <f t="shared" si="111"/>
        <v>221.5</v>
      </c>
      <c r="BE154" s="923">
        <f t="shared" si="112"/>
        <v>66.900000000000006</v>
      </c>
      <c r="BF154" s="923">
        <f t="shared" si="113"/>
        <v>288.39999999999998</v>
      </c>
      <c r="BG154" s="924">
        <f>'[3]свод (2024)'!$B$116</f>
        <v>0.99758349999999996</v>
      </c>
      <c r="BH154" s="923">
        <f t="shared" si="114"/>
        <v>221</v>
      </c>
      <c r="BI154" s="923">
        <f t="shared" si="115"/>
        <v>66.7</v>
      </c>
      <c r="BJ154" s="923">
        <f t="shared" si="116"/>
        <v>287.7</v>
      </c>
      <c r="BK154" s="925">
        <f t="shared" si="117"/>
        <v>-12.2</v>
      </c>
      <c r="BL154" s="925">
        <f t="shared" si="117"/>
        <v>-3.7</v>
      </c>
      <c r="BM154" s="925">
        <f t="shared" si="118"/>
        <v>-15.9</v>
      </c>
      <c r="BN154" s="925">
        <f t="shared" si="119"/>
        <v>0</v>
      </c>
      <c r="BO154" s="925">
        <f t="shared" si="120"/>
        <v>0</v>
      </c>
      <c r="BP154" s="926"/>
      <c r="BQ154" s="925">
        <f t="shared" si="121"/>
        <v>221</v>
      </c>
      <c r="BR154" s="925">
        <f t="shared" si="121"/>
        <v>66.7</v>
      </c>
      <c r="BS154" s="925">
        <f t="shared" si="122"/>
        <v>287.7</v>
      </c>
      <c r="BU154" s="928"/>
      <c r="BV154" s="917"/>
      <c r="BW154" s="928"/>
      <c r="BX154" s="928"/>
      <c r="BY154" s="928"/>
      <c r="BZ154" s="917"/>
      <c r="CA154" s="928"/>
      <c r="CB154" s="917"/>
      <c r="CC154" s="928"/>
      <c r="CD154" s="928"/>
      <c r="CE154" s="928"/>
      <c r="CF154" s="929"/>
      <c r="CG154" s="928"/>
      <c r="CH154" s="928"/>
      <c r="CI154" s="928"/>
      <c r="CJ154" s="925"/>
      <c r="CK154" s="925"/>
      <c r="CL154" s="925"/>
      <c r="CM154" s="925"/>
      <c r="CN154" s="925"/>
      <c r="CO154" s="925"/>
      <c r="CP154" s="925"/>
      <c r="CQ154" s="925"/>
      <c r="CR154" s="925"/>
      <c r="CS154" s="917"/>
      <c r="CT154" s="928"/>
      <c r="CU154" s="928"/>
      <c r="CV154" s="928"/>
      <c r="CX154" s="925"/>
      <c r="CY154" s="925"/>
      <c r="CZ154" s="925"/>
      <c r="DB154" s="925"/>
      <c r="DC154" s="925"/>
      <c r="DD154" s="925"/>
      <c r="DE154" s="925"/>
      <c r="DF154" s="925"/>
      <c r="DG154" s="925"/>
      <c r="DH154" s="925"/>
      <c r="DI154" s="925"/>
      <c r="DJ154" s="925"/>
      <c r="DK154" s="925"/>
      <c r="DL154" s="925"/>
      <c r="DM154" s="925"/>
      <c r="DN154" s="925"/>
      <c r="DO154" s="925"/>
      <c r="DP154" s="925"/>
      <c r="DQ154" s="924"/>
      <c r="DR154" s="925"/>
      <c r="DS154" s="925"/>
      <c r="DT154" s="925"/>
      <c r="DV154" s="925"/>
      <c r="DW154" s="925"/>
      <c r="DX154" s="925"/>
      <c r="DY154" s="925"/>
      <c r="DZ154" s="925"/>
      <c r="EA154" s="925"/>
      <c r="EB154" s="925"/>
      <c r="EC154" s="925"/>
      <c r="ED154" s="925"/>
      <c r="EE154" s="925"/>
      <c r="EF154" s="925"/>
      <c r="EG154" s="925"/>
      <c r="EH154" s="925"/>
      <c r="EI154" s="925"/>
      <c r="EJ154" s="925"/>
      <c r="EK154" s="925"/>
      <c r="EL154" s="925"/>
      <c r="EM154" s="925"/>
      <c r="EN154" s="925"/>
      <c r="EO154" s="925"/>
      <c r="EP154" s="925"/>
      <c r="EQ154" s="925"/>
      <c r="ER154" s="925"/>
      <c r="ES154" s="925"/>
      <c r="ET154" s="925"/>
      <c r="EV154" s="924"/>
      <c r="EW154" s="925"/>
      <c r="EX154" s="925"/>
      <c r="EY154" s="925"/>
    </row>
    <row r="155" spans="1:155" s="927" customFormat="1" ht="15.75" x14ac:dyDescent="0.25">
      <c r="A155" s="912" t="s">
        <v>360</v>
      </c>
      <c r="B155" s="913" t="s">
        <v>32</v>
      </c>
      <c r="C155" s="914">
        <v>1</v>
      </c>
      <c r="D155" s="914">
        <v>22544</v>
      </c>
      <c r="E155" s="915">
        <v>1.0549999999999999</v>
      </c>
      <c r="F155" s="916">
        <f t="shared" si="77"/>
        <v>23784</v>
      </c>
      <c r="G155" s="915">
        <v>1.01</v>
      </c>
      <c r="H155" s="916">
        <f t="shared" si="78"/>
        <v>24022</v>
      </c>
      <c r="I155" s="917">
        <f t="shared" si="79"/>
        <v>24022</v>
      </c>
      <c r="J155" s="918">
        <f t="shared" si="80"/>
        <v>0</v>
      </c>
      <c r="K155" s="919"/>
      <c r="L155" s="917">
        <f t="shared" si="81"/>
        <v>0</v>
      </c>
      <c r="M155" s="918">
        <f t="shared" si="82"/>
        <v>0</v>
      </c>
      <c r="N155" s="919"/>
      <c r="O155" s="917">
        <f t="shared" si="83"/>
        <v>0</v>
      </c>
      <c r="P155" s="918">
        <f t="shared" si="84"/>
        <v>0</v>
      </c>
      <c r="Q155" s="919"/>
      <c r="R155" s="917">
        <f t="shared" si="85"/>
        <v>0</v>
      </c>
      <c r="S155" s="918">
        <f t="shared" si="86"/>
        <v>0</v>
      </c>
      <c r="T155" s="919"/>
      <c r="U155" s="917">
        <f t="shared" si="87"/>
        <v>0</v>
      </c>
      <c r="V155" s="918">
        <f t="shared" si="88"/>
        <v>0</v>
      </c>
      <c r="W155" s="919"/>
      <c r="X155" s="917">
        <f t="shared" si="89"/>
        <v>0</v>
      </c>
      <c r="Y155" s="918">
        <f t="shared" si="90"/>
        <v>0</v>
      </c>
      <c r="Z155" s="919"/>
      <c r="AA155" s="917">
        <f t="shared" si="91"/>
        <v>0</v>
      </c>
      <c r="AB155" s="918">
        <f t="shared" si="92"/>
        <v>0.2</v>
      </c>
      <c r="AC155" s="919">
        <v>4508.8</v>
      </c>
      <c r="AD155" s="917">
        <f t="shared" si="93"/>
        <v>4804.3999999999996</v>
      </c>
      <c r="AE155" s="918">
        <f t="shared" si="94"/>
        <v>0</v>
      </c>
      <c r="AF155" s="919"/>
      <c r="AG155" s="917">
        <f t="shared" si="95"/>
        <v>0</v>
      </c>
      <c r="AH155" s="918">
        <f t="shared" si="96"/>
        <v>0</v>
      </c>
      <c r="AI155" s="919"/>
      <c r="AJ155" s="917">
        <f t="shared" si="97"/>
        <v>0</v>
      </c>
      <c r="AK155" s="918">
        <f t="shared" si="98"/>
        <v>0</v>
      </c>
      <c r="AL155" s="919"/>
      <c r="AM155" s="917">
        <f t="shared" si="99"/>
        <v>0</v>
      </c>
      <c r="AN155" s="920">
        <v>19242</v>
      </c>
      <c r="AO155" s="917">
        <f t="shared" si="100"/>
        <v>0</v>
      </c>
      <c r="AP155" s="920"/>
      <c r="AQ155" s="916">
        <f t="shared" si="101"/>
        <v>0</v>
      </c>
      <c r="AR155" s="917">
        <f t="shared" si="102"/>
        <v>28826.400000000001</v>
      </c>
      <c r="AS155" s="916">
        <v>12</v>
      </c>
      <c r="AT155" s="921">
        <f t="shared" si="103"/>
        <v>345916.8</v>
      </c>
      <c r="AU155" s="920"/>
      <c r="AV155" s="922">
        <f t="shared" si="104"/>
        <v>3459.17</v>
      </c>
      <c r="AW155" s="921">
        <f t="shared" si="105"/>
        <v>349375.97</v>
      </c>
      <c r="AX155" s="921">
        <f t="shared" si="106"/>
        <v>105511.54</v>
      </c>
      <c r="AY155" s="921">
        <f t="shared" si="107"/>
        <v>454887.51</v>
      </c>
      <c r="AZ155" s="923">
        <f t="shared" si="108"/>
        <v>349.4</v>
      </c>
      <c r="BA155" s="923">
        <f t="shared" si="109"/>
        <v>105.5</v>
      </c>
      <c r="BB155" s="923">
        <f t="shared" si="110"/>
        <v>454.9</v>
      </c>
      <c r="BC155" s="915">
        <v>0.95</v>
      </c>
      <c r="BD155" s="923">
        <f t="shared" si="111"/>
        <v>331.9</v>
      </c>
      <c r="BE155" s="923">
        <f t="shared" si="112"/>
        <v>100.2</v>
      </c>
      <c r="BF155" s="923">
        <f t="shared" si="113"/>
        <v>432.1</v>
      </c>
      <c r="BG155" s="924">
        <f>'[3]свод (2024)'!$B$116</f>
        <v>0.99758349999999996</v>
      </c>
      <c r="BH155" s="923">
        <f t="shared" si="114"/>
        <v>331.1</v>
      </c>
      <c r="BI155" s="923">
        <f t="shared" si="115"/>
        <v>100</v>
      </c>
      <c r="BJ155" s="923">
        <f t="shared" si="116"/>
        <v>431.1</v>
      </c>
      <c r="BK155" s="925">
        <f t="shared" si="117"/>
        <v>-18.3</v>
      </c>
      <c r="BL155" s="925">
        <f t="shared" si="117"/>
        <v>-5.5</v>
      </c>
      <c r="BM155" s="925">
        <f t="shared" si="118"/>
        <v>-23.8</v>
      </c>
      <c r="BN155" s="925">
        <f t="shared" si="119"/>
        <v>0</v>
      </c>
      <c r="BO155" s="925">
        <f t="shared" si="120"/>
        <v>0</v>
      </c>
      <c r="BP155" s="926"/>
      <c r="BQ155" s="925">
        <f t="shared" si="121"/>
        <v>331.1</v>
      </c>
      <c r="BR155" s="925">
        <f t="shared" si="121"/>
        <v>100</v>
      </c>
      <c r="BS155" s="925">
        <f t="shared" si="122"/>
        <v>431.1</v>
      </c>
      <c r="BU155" s="928"/>
      <c r="BV155" s="917"/>
      <c r="BW155" s="928"/>
      <c r="BX155" s="928"/>
      <c r="BY155" s="928"/>
      <c r="BZ155" s="917"/>
      <c r="CA155" s="928"/>
      <c r="CB155" s="917"/>
      <c r="CC155" s="928"/>
      <c r="CD155" s="928"/>
      <c r="CE155" s="928"/>
      <c r="CF155" s="929"/>
      <c r="CG155" s="928"/>
      <c r="CH155" s="928"/>
      <c r="CI155" s="928"/>
      <c r="CJ155" s="925"/>
      <c r="CK155" s="925"/>
      <c r="CL155" s="925"/>
      <c r="CM155" s="925"/>
      <c r="CN155" s="925"/>
      <c r="CO155" s="925"/>
      <c r="CP155" s="925"/>
      <c r="CQ155" s="925"/>
      <c r="CR155" s="925"/>
      <c r="CS155" s="917"/>
      <c r="CT155" s="928"/>
      <c r="CU155" s="928"/>
      <c r="CV155" s="928"/>
      <c r="CX155" s="925"/>
      <c r="CY155" s="925"/>
      <c r="CZ155" s="925"/>
      <c r="DB155" s="925"/>
      <c r="DC155" s="925"/>
      <c r="DD155" s="925"/>
      <c r="DE155" s="925"/>
      <c r="DF155" s="925"/>
      <c r="DG155" s="925"/>
      <c r="DH155" s="925"/>
      <c r="DI155" s="925"/>
      <c r="DJ155" s="925"/>
      <c r="DK155" s="925"/>
      <c r="DL155" s="925"/>
      <c r="DM155" s="925"/>
      <c r="DN155" s="925"/>
      <c r="DO155" s="925"/>
      <c r="DP155" s="925"/>
      <c r="DQ155" s="924"/>
      <c r="DR155" s="925"/>
      <c r="DS155" s="925"/>
      <c r="DT155" s="925"/>
      <c r="DV155" s="925"/>
      <c r="DW155" s="925"/>
      <c r="DX155" s="925"/>
      <c r="DY155" s="925"/>
      <c r="DZ155" s="925"/>
      <c r="EA155" s="925"/>
      <c r="EB155" s="925"/>
      <c r="EC155" s="925"/>
      <c r="ED155" s="925"/>
      <c r="EE155" s="925"/>
      <c r="EF155" s="925"/>
      <c r="EG155" s="925"/>
      <c r="EH155" s="925"/>
      <c r="EI155" s="925"/>
      <c r="EJ155" s="925"/>
      <c r="EK155" s="925"/>
      <c r="EL155" s="925"/>
      <c r="EM155" s="925"/>
      <c r="EN155" s="925"/>
      <c r="EO155" s="925"/>
      <c r="EP155" s="925"/>
      <c r="EQ155" s="925"/>
      <c r="ER155" s="925"/>
      <c r="ES155" s="925"/>
      <c r="ET155" s="925"/>
      <c r="EV155" s="924"/>
      <c r="EW155" s="925"/>
      <c r="EX155" s="925"/>
      <c r="EY155" s="925"/>
    </row>
    <row r="156" spans="1:155" s="927" customFormat="1" ht="15.75" x14ac:dyDescent="0.25">
      <c r="A156" s="912" t="s">
        <v>360</v>
      </c>
      <c r="B156" s="913" t="s">
        <v>1379</v>
      </c>
      <c r="C156" s="914">
        <v>1</v>
      </c>
      <c r="D156" s="914">
        <v>4336</v>
      </c>
      <c r="E156" s="915">
        <v>1.0549999999999999</v>
      </c>
      <c r="F156" s="916">
        <f t="shared" si="77"/>
        <v>4575</v>
      </c>
      <c r="G156" s="915">
        <v>1.01</v>
      </c>
      <c r="H156" s="916">
        <f t="shared" si="78"/>
        <v>4621</v>
      </c>
      <c r="I156" s="917">
        <f t="shared" si="79"/>
        <v>4621</v>
      </c>
      <c r="J156" s="918">
        <f t="shared" si="80"/>
        <v>0</v>
      </c>
      <c r="K156" s="919"/>
      <c r="L156" s="917">
        <f t="shared" si="81"/>
        <v>0</v>
      </c>
      <c r="M156" s="918">
        <f t="shared" si="82"/>
        <v>0</v>
      </c>
      <c r="N156" s="919"/>
      <c r="O156" s="917">
        <f t="shared" si="83"/>
        <v>0</v>
      </c>
      <c r="P156" s="918">
        <f t="shared" si="84"/>
        <v>0</v>
      </c>
      <c r="Q156" s="919"/>
      <c r="R156" s="917">
        <f t="shared" si="85"/>
        <v>0</v>
      </c>
      <c r="S156" s="918">
        <f t="shared" si="86"/>
        <v>0</v>
      </c>
      <c r="T156" s="919"/>
      <c r="U156" s="917">
        <f t="shared" si="87"/>
        <v>0</v>
      </c>
      <c r="V156" s="918">
        <f t="shared" si="88"/>
        <v>0</v>
      </c>
      <c r="W156" s="919"/>
      <c r="X156" s="917">
        <f t="shared" si="89"/>
        <v>0</v>
      </c>
      <c r="Y156" s="918">
        <f t="shared" si="90"/>
        <v>0</v>
      </c>
      <c r="Z156" s="919"/>
      <c r="AA156" s="917">
        <f t="shared" si="91"/>
        <v>0</v>
      </c>
      <c r="AB156" s="918">
        <f t="shared" si="92"/>
        <v>0</v>
      </c>
      <c r="AC156" s="919"/>
      <c r="AD156" s="917">
        <f t="shared" si="93"/>
        <v>0</v>
      </c>
      <c r="AE156" s="918">
        <f t="shared" si="94"/>
        <v>0</v>
      </c>
      <c r="AF156" s="919"/>
      <c r="AG156" s="917">
        <f t="shared" si="95"/>
        <v>0</v>
      </c>
      <c r="AH156" s="918">
        <f t="shared" si="96"/>
        <v>0</v>
      </c>
      <c r="AI156" s="919"/>
      <c r="AJ156" s="917">
        <f t="shared" si="97"/>
        <v>0</v>
      </c>
      <c r="AK156" s="918">
        <f t="shared" si="98"/>
        <v>0</v>
      </c>
      <c r="AL156" s="919"/>
      <c r="AM156" s="917">
        <f t="shared" si="99"/>
        <v>0</v>
      </c>
      <c r="AN156" s="920">
        <v>19242</v>
      </c>
      <c r="AO156" s="917">
        <f t="shared" si="100"/>
        <v>14621</v>
      </c>
      <c r="AP156" s="920"/>
      <c r="AQ156" s="916">
        <f t="shared" si="101"/>
        <v>0</v>
      </c>
      <c r="AR156" s="917">
        <f t="shared" si="102"/>
        <v>19242</v>
      </c>
      <c r="AS156" s="916">
        <v>12</v>
      </c>
      <c r="AT156" s="921">
        <f t="shared" si="103"/>
        <v>230904</v>
      </c>
      <c r="AU156" s="920">
        <f>AT156*0.085</f>
        <v>19626.84</v>
      </c>
      <c r="AV156" s="922">
        <f t="shared" si="104"/>
        <v>2309.04</v>
      </c>
      <c r="AW156" s="921">
        <f t="shared" si="105"/>
        <v>252839.88</v>
      </c>
      <c r="AX156" s="921">
        <f t="shared" si="106"/>
        <v>76357.64</v>
      </c>
      <c r="AY156" s="921">
        <f t="shared" si="107"/>
        <v>329197.52</v>
      </c>
      <c r="AZ156" s="923">
        <f t="shared" si="108"/>
        <v>252.8</v>
      </c>
      <c r="BA156" s="923">
        <f t="shared" si="109"/>
        <v>76.3</v>
      </c>
      <c r="BB156" s="923">
        <f t="shared" si="110"/>
        <v>329.1</v>
      </c>
      <c r="BC156" s="915">
        <v>0.95</v>
      </c>
      <c r="BD156" s="923">
        <f t="shared" si="111"/>
        <v>240.2</v>
      </c>
      <c r="BE156" s="923">
        <f t="shared" si="112"/>
        <v>72.5</v>
      </c>
      <c r="BF156" s="923">
        <f t="shared" si="113"/>
        <v>312.7</v>
      </c>
      <c r="BG156" s="924">
        <f>'[3]свод (2024)'!$B$116</f>
        <v>0.99758349999999996</v>
      </c>
      <c r="BH156" s="923">
        <f t="shared" si="114"/>
        <v>239.6</v>
      </c>
      <c r="BI156" s="923">
        <f t="shared" si="115"/>
        <v>72.400000000000006</v>
      </c>
      <c r="BJ156" s="923">
        <f t="shared" si="116"/>
        <v>312</v>
      </c>
      <c r="BK156" s="925">
        <f t="shared" si="117"/>
        <v>-13.2</v>
      </c>
      <c r="BL156" s="925">
        <f t="shared" si="117"/>
        <v>-3.9</v>
      </c>
      <c r="BM156" s="925">
        <f t="shared" si="118"/>
        <v>-17.100000000000001</v>
      </c>
      <c r="BN156" s="925">
        <f t="shared" si="119"/>
        <v>0</v>
      </c>
      <c r="BO156" s="925">
        <f t="shared" si="120"/>
        <v>0</v>
      </c>
      <c r="BP156" s="926"/>
      <c r="BQ156" s="925">
        <f t="shared" si="121"/>
        <v>239.6</v>
      </c>
      <c r="BR156" s="925">
        <f t="shared" si="121"/>
        <v>72.400000000000006</v>
      </c>
      <c r="BS156" s="925">
        <f t="shared" si="122"/>
        <v>312</v>
      </c>
      <c r="BU156" s="928"/>
      <c r="BV156" s="917"/>
      <c r="BW156" s="928"/>
      <c r="BX156" s="928"/>
      <c r="BY156" s="928"/>
      <c r="BZ156" s="917"/>
      <c r="CA156" s="928"/>
      <c r="CB156" s="917"/>
      <c r="CC156" s="928"/>
      <c r="CD156" s="928"/>
      <c r="CE156" s="928"/>
      <c r="CF156" s="929"/>
      <c r="CG156" s="928"/>
      <c r="CH156" s="928"/>
      <c r="CI156" s="928"/>
      <c r="CJ156" s="925"/>
      <c r="CK156" s="925"/>
      <c r="CL156" s="925"/>
      <c r="CM156" s="925"/>
      <c r="CN156" s="925"/>
      <c r="CO156" s="925"/>
      <c r="CP156" s="925"/>
      <c r="CQ156" s="925"/>
      <c r="CR156" s="925"/>
      <c r="CS156" s="917"/>
      <c r="CT156" s="928"/>
      <c r="CU156" s="928"/>
      <c r="CV156" s="928"/>
      <c r="CX156" s="925"/>
      <c r="CY156" s="925"/>
      <c r="CZ156" s="925"/>
      <c r="DB156" s="925"/>
      <c r="DC156" s="925"/>
      <c r="DD156" s="925"/>
      <c r="DE156" s="925"/>
      <c r="DF156" s="925"/>
      <c r="DG156" s="925"/>
      <c r="DH156" s="925"/>
      <c r="DI156" s="925"/>
      <c r="DJ156" s="925"/>
      <c r="DK156" s="925"/>
      <c r="DL156" s="925"/>
      <c r="DM156" s="925"/>
      <c r="DN156" s="925"/>
      <c r="DO156" s="925"/>
      <c r="DP156" s="925"/>
      <c r="DQ156" s="924"/>
      <c r="DR156" s="925"/>
      <c r="DS156" s="925"/>
      <c r="DT156" s="925"/>
      <c r="DV156" s="925"/>
      <c r="DW156" s="925"/>
      <c r="DX156" s="925"/>
      <c r="DY156" s="925"/>
      <c r="DZ156" s="925"/>
      <c r="EA156" s="925"/>
      <c r="EB156" s="925"/>
      <c r="EC156" s="925"/>
      <c r="ED156" s="925"/>
      <c r="EE156" s="925"/>
      <c r="EF156" s="925"/>
      <c r="EG156" s="925"/>
      <c r="EH156" s="925"/>
      <c r="EI156" s="925"/>
      <c r="EJ156" s="925"/>
      <c r="EK156" s="925"/>
      <c r="EL156" s="925"/>
      <c r="EM156" s="925"/>
      <c r="EN156" s="925"/>
      <c r="EO156" s="925"/>
      <c r="EP156" s="925"/>
      <c r="EQ156" s="925"/>
      <c r="ER156" s="925"/>
      <c r="ES156" s="925"/>
      <c r="ET156" s="925"/>
      <c r="EV156" s="924"/>
      <c r="EW156" s="925"/>
      <c r="EX156" s="925"/>
      <c r="EY156" s="925"/>
    </row>
    <row r="157" spans="1:155" s="927" customFormat="1" ht="15.75" x14ac:dyDescent="0.25">
      <c r="A157" s="912" t="s">
        <v>360</v>
      </c>
      <c r="B157" s="913" t="s">
        <v>358</v>
      </c>
      <c r="C157" s="914">
        <v>0.5</v>
      </c>
      <c r="D157" s="914">
        <v>5274</v>
      </c>
      <c r="E157" s="915">
        <v>1.0549999999999999</v>
      </c>
      <c r="F157" s="916">
        <f t="shared" si="77"/>
        <v>5565</v>
      </c>
      <c r="G157" s="915">
        <v>1.01</v>
      </c>
      <c r="H157" s="916">
        <f t="shared" si="78"/>
        <v>5621</v>
      </c>
      <c r="I157" s="917">
        <f t="shared" si="79"/>
        <v>2810.5</v>
      </c>
      <c r="J157" s="918">
        <f t="shared" si="80"/>
        <v>0</v>
      </c>
      <c r="K157" s="919"/>
      <c r="L157" s="917">
        <f t="shared" si="81"/>
        <v>0</v>
      </c>
      <c r="M157" s="918">
        <f t="shared" si="82"/>
        <v>0</v>
      </c>
      <c r="N157" s="919"/>
      <c r="O157" s="917">
        <f t="shared" si="83"/>
        <v>0</v>
      </c>
      <c r="P157" s="918">
        <f t="shared" si="84"/>
        <v>0</v>
      </c>
      <c r="Q157" s="919"/>
      <c r="R157" s="917">
        <f t="shared" si="85"/>
        <v>0</v>
      </c>
      <c r="S157" s="918">
        <f t="shared" si="86"/>
        <v>0</v>
      </c>
      <c r="T157" s="919"/>
      <c r="U157" s="917">
        <f t="shared" si="87"/>
        <v>0</v>
      </c>
      <c r="V157" s="918">
        <f t="shared" si="88"/>
        <v>0</v>
      </c>
      <c r="W157" s="919"/>
      <c r="X157" s="917">
        <f t="shared" si="89"/>
        <v>0</v>
      </c>
      <c r="Y157" s="918">
        <f t="shared" si="90"/>
        <v>0</v>
      </c>
      <c r="Z157" s="919"/>
      <c r="AA157" s="917">
        <f t="shared" si="91"/>
        <v>0</v>
      </c>
      <c r="AB157" s="918">
        <f t="shared" si="92"/>
        <v>0</v>
      </c>
      <c r="AC157" s="919"/>
      <c r="AD157" s="917">
        <f t="shared" si="93"/>
        <v>0</v>
      </c>
      <c r="AE157" s="918">
        <f t="shared" si="94"/>
        <v>0</v>
      </c>
      <c r="AF157" s="919"/>
      <c r="AG157" s="917">
        <f t="shared" si="95"/>
        <v>0</v>
      </c>
      <c r="AH157" s="918">
        <f t="shared" si="96"/>
        <v>0</v>
      </c>
      <c r="AI157" s="919"/>
      <c r="AJ157" s="917">
        <f t="shared" si="97"/>
        <v>0</v>
      </c>
      <c r="AK157" s="918">
        <f t="shared" si="98"/>
        <v>0</v>
      </c>
      <c r="AL157" s="919"/>
      <c r="AM157" s="917">
        <f t="shared" si="99"/>
        <v>0</v>
      </c>
      <c r="AN157" s="920">
        <v>19242</v>
      </c>
      <c r="AO157" s="917">
        <f t="shared" si="100"/>
        <v>6810.5</v>
      </c>
      <c r="AP157" s="920"/>
      <c r="AQ157" s="916">
        <f t="shared" si="101"/>
        <v>0</v>
      </c>
      <c r="AR157" s="917">
        <f t="shared" si="102"/>
        <v>9621</v>
      </c>
      <c r="AS157" s="916">
        <v>12</v>
      </c>
      <c r="AT157" s="921">
        <f t="shared" si="103"/>
        <v>115452</v>
      </c>
      <c r="AU157" s="920"/>
      <c r="AV157" s="922">
        <f t="shared" si="104"/>
        <v>1154.52</v>
      </c>
      <c r="AW157" s="921">
        <f t="shared" si="105"/>
        <v>116606.52</v>
      </c>
      <c r="AX157" s="921">
        <f t="shared" si="106"/>
        <v>35215.17</v>
      </c>
      <c r="AY157" s="921">
        <f t="shared" si="107"/>
        <v>151821.69</v>
      </c>
      <c r="AZ157" s="923">
        <f t="shared" si="108"/>
        <v>116.6</v>
      </c>
      <c r="BA157" s="923">
        <f t="shared" si="109"/>
        <v>35.200000000000003</v>
      </c>
      <c r="BB157" s="923">
        <f t="shared" si="110"/>
        <v>151.80000000000001</v>
      </c>
      <c r="BC157" s="915">
        <v>0.95</v>
      </c>
      <c r="BD157" s="923">
        <f t="shared" si="111"/>
        <v>110.8</v>
      </c>
      <c r="BE157" s="923">
        <f t="shared" si="112"/>
        <v>33.5</v>
      </c>
      <c r="BF157" s="923">
        <f t="shared" si="113"/>
        <v>144.30000000000001</v>
      </c>
      <c r="BG157" s="924">
        <f>'[3]свод (2024)'!$B$116</f>
        <v>0.99758349999999996</v>
      </c>
      <c r="BH157" s="923">
        <f t="shared" si="114"/>
        <v>110.5</v>
      </c>
      <c r="BI157" s="923">
        <f t="shared" si="115"/>
        <v>33.4</v>
      </c>
      <c r="BJ157" s="923">
        <f t="shared" si="116"/>
        <v>143.9</v>
      </c>
      <c r="BK157" s="925">
        <f t="shared" si="117"/>
        <v>-6.1</v>
      </c>
      <c r="BL157" s="925">
        <f t="shared" si="117"/>
        <v>-1.8</v>
      </c>
      <c r="BM157" s="925">
        <f t="shared" si="118"/>
        <v>-7.9</v>
      </c>
      <c r="BN157" s="925">
        <f t="shared" si="119"/>
        <v>0</v>
      </c>
      <c r="BO157" s="925">
        <f t="shared" si="120"/>
        <v>0</v>
      </c>
      <c r="BP157" s="926"/>
      <c r="BQ157" s="925">
        <f t="shared" si="121"/>
        <v>110.5</v>
      </c>
      <c r="BR157" s="925">
        <f t="shared" si="121"/>
        <v>33.4</v>
      </c>
      <c r="BS157" s="925">
        <f t="shared" si="122"/>
        <v>143.9</v>
      </c>
      <c r="BU157" s="928"/>
      <c r="BV157" s="917"/>
      <c r="BW157" s="928"/>
      <c r="BX157" s="928"/>
      <c r="BY157" s="928"/>
      <c r="BZ157" s="917"/>
      <c r="CA157" s="928"/>
      <c r="CB157" s="917"/>
      <c r="CC157" s="928"/>
      <c r="CD157" s="928"/>
      <c r="CE157" s="928"/>
      <c r="CF157" s="929"/>
      <c r="CG157" s="928"/>
      <c r="CH157" s="928"/>
      <c r="CI157" s="928"/>
      <c r="CJ157" s="925"/>
      <c r="CK157" s="925"/>
      <c r="CL157" s="925"/>
      <c r="CM157" s="925"/>
      <c r="CN157" s="925"/>
      <c r="CO157" s="925"/>
      <c r="CP157" s="925"/>
      <c r="CQ157" s="925"/>
      <c r="CR157" s="925"/>
      <c r="CS157" s="917"/>
      <c r="CT157" s="928"/>
      <c r="CU157" s="928"/>
      <c r="CV157" s="928"/>
      <c r="CX157" s="925"/>
      <c r="CY157" s="925"/>
      <c r="CZ157" s="925"/>
      <c r="DB157" s="925"/>
      <c r="DC157" s="925"/>
      <c r="DD157" s="925"/>
      <c r="DE157" s="925"/>
      <c r="DF157" s="925"/>
      <c r="DG157" s="925"/>
      <c r="DH157" s="925"/>
      <c r="DI157" s="925"/>
      <c r="DJ157" s="925"/>
      <c r="DK157" s="925"/>
      <c r="DL157" s="925"/>
      <c r="DM157" s="925"/>
      <c r="DN157" s="925"/>
      <c r="DO157" s="925"/>
      <c r="DP157" s="925"/>
      <c r="DQ157" s="924"/>
      <c r="DR157" s="925"/>
      <c r="DS157" s="925"/>
      <c r="DT157" s="925"/>
      <c r="DV157" s="925"/>
      <c r="DW157" s="925"/>
      <c r="DX157" s="925"/>
      <c r="DY157" s="925"/>
      <c r="DZ157" s="925"/>
      <c r="EA157" s="925"/>
      <c r="EB157" s="925"/>
      <c r="EC157" s="925"/>
      <c r="ED157" s="925"/>
      <c r="EE157" s="925"/>
      <c r="EF157" s="925"/>
      <c r="EG157" s="925"/>
      <c r="EH157" s="925"/>
      <c r="EI157" s="925"/>
      <c r="EJ157" s="925"/>
      <c r="EK157" s="925"/>
      <c r="EL157" s="925"/>
      <c r="EM157" s="925"/>
      <c r="EN157" s="925"/>
      <c r="EO157" s="925"/>
      <c r="EP157" s="925"/>
      <c r="EQ157" s="925"/>
      <c r="ER157" s="925"/>
      <c r="ES157" s="925"/>
      <c r="ET157" s="925"/>
      <c r="EV157" s="924"/>
      <c r="EW157" s="925"/>
      <c r="EX157" s="925"/>
      <c r="EY157" s="925"/>
    </row>
    <row r="158" spans="1:155" s="927" customFormat="1" ht="15.75" x14ac:dyDescent="0.25">
      <c r="A158" s="912" t="s">
        <v>360</v>
      </c>
      <c r="B158" s="913" t="s">
        <v>1380</v>
      </c>
      <c r="C158" s="914">
        <v>1</v>
      </c>
      <c r="D158" s="914">
        <v>25048</v>
      </c>
      <c r="E158" s="915">
        <v>1.0549999999999999</v>
      </c>
      <c r="F158" s="916">
        <f t="shared" si="77"/>
        <v>26426</v>
      </c>
      <c r="G158" s="915">
        <v>1.01</v>
      </c>
      <c r="H158" s="916">
        <f t="shared" si="78"/>
        <v>26691</v>
      </c>
      <c r="I158" s="917">
        <f t="shared" si="79"/>
        <v>26691</v>
      </c>
      <c r="J158" s="918">
        <f t="shared" si="80"/>
        <v>0</v>
      </c>
      <c r="K158" s="919"/>
      <c r="L158" s="917">
        <f t="shared" si="81"/>
        <v>0</v>
      </c>
      <c r="M158" s="918">
        <f t="shared" si="82"/>
        <v>0</v>
      </c>
      <c r="N158" s="919"/>
      <c r="O158" s="917">
        <f t="shared" si="83"/>
        <v>0</v>
      </c>
      <c r="P158" s="918">
        <f t="shared" si="84"/>
        <v>0.1</v>
      </c>
      <c r="Q158" s="919">
        <f>D158*C158*0.1</f>
        <v>2504.8000000000002</v>
      </c>
      <c r="R158" s="917">
        <f t="shared" si="85"/>
        <v>2669.1</v>
      </c>
      <c r="S158" s="918">
        <f t="shared" si="86"/>
        <v>0.23068</v>
      </c>
      <c r="T158" s="919">
        <v>5778.08</v>
      </c>
      <c r="U158" s="917">
        <f t="shared" si="87"/>
        <v>6157.08</v>
      </c>
      <c r="V158" s="918">
        <f t="shared" si="88"/>
        <v>0</v>
      </c>
      <c r="W158" s="919"/>
      <c r="X158" s="917">
        <f t="shared" si="89"/>
        <v>0</v>
      </c>
      <c r="Y158" s="918">
        <f t="shared" si="90"/>
        <v>0.24</v>
      </c>
      <c r="Z158" s="919">
        <v>6011.52</v>
      </c>
      <c r="AA158" s="917">
        <f t="shared" si="91"/>
        <v>6405.84</v>
      </c>
      <c r="AB158" s="918">
        <f t="shared" si="92"/>
        <v>0.1</v>
      </c>
      <c r="AC158" s="919">
        <v>2504.8000000000002</v>
      </c>
      <c r="AD158" s="917">
        <f t="shared" si="93"/>
        <v>2669.1</v>
      </c>
      <c r="AE158" s="918">
        <f t="shared" si="94"/>
        <v>0</v>
      </c>
      <c r="AF158" s="919"/>
      <c r="AG158" s="917">
        <f t="shared" si="95"/>
        <v>0</v>
      </c>
      <c r="AH158" s="918">
        <f t="shared" si="96"/>
        <v>0</v>
      </c>
      <c r="AI158" s="919"/>
      <c r="AJ158" s="917">
        <f t="shared" si="97"/>
        <v>0</v>
      </c>
      <c r="AK158" s="918">
        <f t="shared" si="98"/>
        <v>0</v>
      </c>
      <c r="AL158" s="919"/>
      <c r="AM158" s="917">
        <f t="shared" si="99"/>
        <v>0</v>
      </c>
      <c r="AN158" s="920">
        <v>19242</v>
      </c>
      <c r="AO158" s="917">
        <f t="shared" si="100"/>
        <v>0</v>
      </c>
      <c r="AP158" s="920"/>
      <c r="AQ158" s="916">
        <f t="shared" si="101"/>
        <v>0</v>
      </c>
      <c r="AR158" s="917">
        <f t="shared" si="102"/>
        <v>44592.12</v>
      </c>
      <c r="AS158" s="916">
        <v>12</v>
      </c>
      <c r="AT158" s="921">
        <f t="shared" si="103"/>
        <v>535105.43999999994</v>
      </c>
      <c r="AU158" s="920"/>
      <c r="AV158" s="922">
        <f t="shared" si="104"/>
        <v>5351.05</v>
      </c>
      <c r="AW158" s="921">
        <f t="shared" si="105"/>
        <v>540456.49</v>
      </c>
      <c r="AX158" s="921">
        <f t="shared" si="106"/>
        <v>163217.85999999999</v>
      </c>
      <c r="AY158" s="921">
        <f t="shared" si="107"/>
        <v>703674.35</v>
      </c>
      <c r="AZ158" s="923">
        <f t="shared" si="108"/>
        <v>540.5</v>
      </c>
      <c r="BA158" s="923">
        <f t="shared" si="109"/>
        <v>163.19999999999999</v>
      </c>
      <c r="BB158" s="923">
        <f t="shared" si="110"/>
        <v>703.7</v>
      </c>
      <c r="BC158" s="915">
        <v>0.95</v>
      </c>
      <c r="BD158" s="923">
        <f t="shared" si="111"/>
        <v>513.5</v>
      </c>
      <c r="BE158" s="923">
        <f t="shared" si="112"/>
        <v>155.1</v>
      </c>
      <c r="BF158" s="923">
        <f t="shared" si="113"/>
        <v>668.6</v>
      </c>
      <c r="BG158" s="924">
        <f>'[3]свод (2024)'!$B$116</f>
        <v>0.99758349999999996</v>
      </c>
      <c r="BH158" s="923">
        <f t="shared" si="114"/>
        <v>512.29999999999995</v>
      </c>
      <c r="BI158" s="923">
        <f t="shared" si="115"/>
        <v>154.69999999999999</v>
      </c>
      <c r="BJ158" s="923">
        <f t="shared" si="116"/>
        <v>667</v>
      </c>
      <c r="BK158" s="925">
        <f t="shared" si="117"/>
        <v>-28.2</v>
      </c>
      <c r="BL158" s="925">
        <f t="shared" si="117"/>
        <v>-8.5</v>
      </c>
      <c r="BM158" s="925">
        <f t="shared" si="118"/>
        <v>-36.700000000000003</v>
      </c>
      <c r="BN158" s="925">
        <f t="shared" si="119"/>
        <v>0</v>
      </c>
      <c r="BO158" s="925">
        <f t="shared" si="120"/>
        <v>0</v>
      </c>
      <c r="BP158" s="926"/>
      <c r="BQ158" s="925">
        <f t="shared" si="121"/>
        <v>512.29999999999995</v>
      </c>
      <c r="BR158" s="925">
        <f t="shared" si="121"/>
        <v>154.69999999999999</v>
      </c>
      <c r="BS158" s="925">
        <f t="shared" si="122"/>
        <v>667</v>
      </c>
      <c r="BU158" s="928"/>
      <c r="BV158" s="917"/>
      <c r="BW158" s="928"/>
      <c r="BX158" s="928"/>
      <c r="BY158" s="928"/>
      <c r="BZ158" s="917"/>
      <c r="CA158" s="928"/>
      <c r="CB158" s="917"/>
      <c r="CC158" s="928"/>
      <c r="CD158" s="928"/>
      <c r="CE158" s="928"/>
      <c r="CF158" s="929"/>
      <c r="CG158" s="928"/>
      <c r="CH158" s="928"/>
      <c r="CI158" s="928"/>
      <c r="CJ158" s="925"/>
      <c r="CK158" s="925"/>
      <c r="CL158" s="925"/>
      <c r="CM158" s="925"/>
      <c r="CN158" s="925"/>
      <c r="CO158" s="925"/>
      <c r="CP158" s="925"/>
      <c r="CQ158" s="925"/>
      <c r="CR158" s="925"/>
      <c r="CS158" s="917"/>
      <c r="CT158" s="928"/>
      <c r="CU158" s="928"/>
      <c r="CV158" s="928"/>
      <c r="CX158" s="925"/>
      <c r="CY158" s="925"/>
      <c r="CZ158" s="925"/>
      <c r="DB158" s="925"/>
      <c r="DC158" s="925"/>
      <c r="DD158" s="925"/>
      <c r="DE158" s="925"/>
      <c r="DF158" s="925"/>
      <c r="DG158" s="925"/>
      <c r="DH158" s="925"/>
      <c r="DI158" s="925"/>
      <c r="DJ158" s="925"/>
      <c r="DK158" s="925"/>
      <c r="DL158" s="925"/>
      <c r="DM158" s="925"/>
      <c r="DN158" s="925"/>
      <c r="DO158" s="925"/>
      <c r="DP158" s="925"/>
      <c r="DQ158" s="924"/>
      <c r="DR158" s="925"/>
      <c r="DS158" s="925"/>
      <c r="DT158" s="925"/>
      <c r="DV158" s="925"/>
      <c r="DW158" s="925"/>
      <c r="DX158" s="925"/>
      <c r="DY158" s="925"/>
      <c r="DZ158" s="925"/>
      <c r="EA158" s="925"/>
      <c r="EB158" s="925"/>
      <c r="EC158" s="925"/>
      <c r="ED158" s="925"/>
      <c r="EE158" s="925"/>
      <c r="EF158" s="925"/>
      <c r="EG158" s="925"/>
      <c r="EH158" s="925"/>
      <c r="EI158" s="925"/>
      <c r="EJ158" s="925"/>
      <c r="EK158" s="925"/>
      <c r="EL158" s="925"/>
      <c r="EM158" s="925"/>
      <c r="EN158" s="925"/>
      <c r="EO158" s="925"/>
      <c r="EP158" s="925"/>
      <c r="EQ158" s="925"/>
      <c r="ER158" s="925"/>
      <c r="ES158" s="925"/>
      <c r="ET158" s="925"/>
      <c r="EV158" s="924"/>
      <c r="EW158" s="925"/>
      <c r="EX158" s="925"/>
      <c r="EY158" s="925"/>
    </row>
    <row r="159" spans="1:155" s="927" customFormat="1" ht="15.75" x14ac:dyDescent="0.25">
      <c r="A159" s="912" t="s">
        <v>360</v>
      </c>
      <c r="B159" s="913" t="s">
        <v>33</v>
      </c>
      <c r="C159" s="914">
        <v>4</v>
      </c>
      <c r="D159" s="914">
        <v>13466</v>
      </c>
      <c r="E159" s="915">
        <v>1.0549999999999999</v>
      </c>
      <c r="F159" s="916">
        <f t="shared" si="77"/>
        <v>14207</v>
      </c>
      <c r="G159" s="915">
        <v>1.01</v>
      </c>
      <c r="H159" s="916">
        <f t="shared" si="78"/>
        <v>14350</v>
      </c>
      <c r="I159" s="917">
        <f t="shared" si="79"/>
        <v>57400</v>
      </c>
      <c r="J159" s="918">
        <f t="shared" si="80"/>
        <v>0</v>
      </c>
      <c r="K159" s="919"/>
      <c r="L159" s="917">
        <f t="shared" si="81"/>
        <v>0</v>
      </c>
      <c r="M159" s="918">
        <f t="shared" si="82"/>
        <v>0</v>
      </c>
      <c r="N159" s="919"/>
      <c r="O159" s="917">
        <f t="shared" si="83"/>
        <v>0</v>
      </c>
      <c r="P159" s="918">
        <f t="shared" si="84"/>
        <v>2.5000000000000001E-2</v>
      </c>
      <c r="Q159" s="988">
        <f>D159*C159/C159*0.1</f>
        <v>1346.6</v>
      </c>
      <c r="R159" s="917">
        <f t="shared" si="85"/>
        <v>1435</v>
      </c>
      <c r="S159" s="918">
        <f t="shared" si="86"/>
        <v>0.1598</v>
      </c>
      <c r="T159" s="919">
        <v>8607.5</v>
      </c>
      <c r="U159" s="917">
        <f t="shared" si="87"/>
        <v>9172.52</v>
      </c>
      <c r="V159" s="918">
        <f t="shared" si="88"/>
        <v>0</v>
      </c>
      <c r="W159" s="919"/>
      <c r="X159" s="917">
        <f t="shared" si="89"/>
        <v>0</v>
      </c>
      <c r="Y159" s="918">
        <f t="shared" si="90"/>
        <v>0</v>
      </c>
      <c r="Z159" s="919"/>
      <c r="AA159" s="917">
        <f t="shared" si="91"/>
        <v>0</v>
      </c>
      <c r="AB159" s="918">
        <f t="shared" si="92"/>
        <v>0.18124999999999999</v>
      </c>
      <c r="AC159" s="919">
        <v>9762.85</v>
      </c>
      <c r="AD159" s="917">
        <f t="shared" si="93"/>
        <v>10403.75</v>
      </c>
      <c r="AE159" s="918">
        <f t="shared" si="94"/>
        <v>2.5000000000000001E-2</v>
      </c>
      <c r="AF159" s="919">
        <v>1346.6</v>
      </c>
      <c r="AG159" s="917">
        <f t="shared" si="95"/>
        <v>1435</v>
      </c>
      <c r="AH159" s="918">
        <f t="shared" si="96"/>
        <v>0</v>
      </c>
      <c r="AI159" s="919"/>
      <c r="AJ159" s="917">
        <f t="shared" si="97"/>
        <v>0</v>
      </c>
      <c r="AK159" s="918">
        <f t="shared" si="98"/>
        <v>0</v>
      </c>
      <c r="AL159" s="919"/>
      <c r="AM159" s="917">
        <f t="shared" si="99"/>
        <v>0</v>
      </c>
      <c r="AN159" s="920">
        <v>19242</v>
      </c>
      <c r="AO159" s="917">
        <f t="shared" si="100"/>
        <v>0</v>
      </c>
      <c r="AP159" s="920"/>
      <c r="AQ159" s="916">
        <f t="shared" si="101"/>
        <v>0</v>
      </c>
      <c r="AR159" s="917">
        <f t="shared" si="102"/>
        <v>79846.27</v>
      </c>
      <c r="AS159" s="916">
        <v>12</v>
      </c>
      <c r="AT159" s="921">
        <f t="shared" si="103"/>
        <v>958155.24</v>
      </c>
      <c r="AU159" s="920"/>
      <c r="AV159" s="922">
        <f t="shared" si="104"/>
        <v>9581.5499999999993</v>
      </c>
      <c r="AW159" s="921">
        <f t="shared" si="105"/>
        <v>967736.79</v>
      </c>
      <c r="AX159" s="921">
        <f t="shared" si="106"/>
        <v>292256.51</v>
      </c>
      <c r="AY159" s="921">
        <f t="shared" si="107"/>
        <v>1259993.3</v>
      </c>
      <c r="AZ159" s="923">
        <f t="shared" si="108"/>
        <v>967.7</v>
      </c>
      <c r="BA159" s="923">
        <f t="shared" si="109"/>
        <v>292.2</v>
      </c>
      <c r="BB159" s="923">
        <f t="shared" si="110"/>
        <v>1259.9000000000001</v>
      </c>
      <c r="BC159" s="915">
        <v>0.95</v>
      </c>
      <c r="BD159" s="923">
        <f t="shared" si="111"/>
        <v>919.3</v>
      </c>
      <c r="BE159" s="923">
        <f t="shared" si="112"/>
        <v>277.60000000000002</v>
      </c>
      <c r="BF159" s="923">
        <f t="shared" si="113"/>
        <v>1196.9000000000001</v>
      </c>
      <c r="BG159" s="924">
        <f>'[3]свод (2024)'!$B$116</f>
        <v>0.99758349999999996</v>
      </c>
      <c r="BH159" s="923">
        <f t="shared" si="114"/>
        <v>917.1</v>
      </c>
      <c r="BI159" s="923">
        <f t="shared" si="115"/>
        <v>277</v>
      </c>
      <c r="BJ159" s="923">
        <f t="shared" si="116"/>
        <v>1194.0999999999999</v>
      </c>
      <c r="BK159" s="925">
        <f t="shared" si="117"/>
        <v>-50.6</v>
      </c>
      <c r="BL159" s="925">
        <f t="shared" si="117"/>
        <v>-15.2</v>
      </c>
      <c r="BM159" s="925">
        <f t="shared" si="118"/>
        <v>-65.8</v>
      </c>
      <c r="BN159" s="925">
        <f t="shared" si="119"/>
        <v>0</v>
      </c>
      <c r="BO159" s="925">
        <f t="shared" si="120"/>
        <v>0</v>
      </c>
      <c r="BP159" s="926"/>
      <c r="BQ159" s="925">
        <f t="shared" si="121"/>
        <v>917.1</v>
      </c>
      <c r="BR159" s="925">
        <f t="shared" si="121"/>
        <v>277</v>
      </c>
      <c r="BS159" s="925">
        <f t="shared" si="122"/>
        <v>1194.0999999999999</v>
      </c>
      <c r="BU159" s="928"/>
      <c r="BV159" s="917"/>
      <c r="BW159" s="928"/>
      <c r="BX159" s="928"/>
      <c r="BY159" s="928"/>
      <c r="BZ159" s="917"/>
      <c r="CA159" s="928"/>
      <c r="CB159" s="917"/>
      <c r="CC159" s="928"/>
      <c r="CD159" s="928"/>
      <c r="CE159" s="928"/>
      <c r="CF159" s="929"/>
      <c r="CG159" s="928"/>
      <c r="CH159" s="928"/>
      <c r="CI159" s="928"/>
      <c r="CJ159" s="925"/>
      <c r="CK159" s="925"/>
      <c r="CL159" s="925"/>
      <c r="CM159" s="925"/>
      <c r="CN159" s="925"/>
      <c r="CO159" s="925"/>
      <c r="CP159" s="925"/>
      <c r="CQ159" s="925"/>
      <c r="CR159" s="925"/>
      <c r="CS159" s="917"/>
      <c r="CT159" s="928"/>
      <c r="CU159" s="928"/>
      <c r="CV159" s="928"/>
      <c r="CX159" s="925"/>
      <c r="CY159" s="925"/>
      <c r="CZ159" s="925"/>
      <c r="DB159" s="925"/>
      <c r="DC159" s="925"/>
      <c r="DD159" s="925"/>
      <c r="DE159" s="925"/>
      <c r="DF159" s="925"/>
      <c r="DG159" s="925"/>
      <c r="DH159" s="925"/>
      <c r="DI159" s="925"/>
      <c r="DJ159" s="925"/>
      <c r="DK159" s="925"/>
      <c r="DL159" s="925"/>
      <c r="DM159" s="925"/>
      <c r="DN159" s="925"/>
      <c r="DO159" s="925"/>
      <c r="DP159" s="925"/>
      <c r="DQ159" s="924"/>
      <c r="DR159" s="925"/>
      <c r="DS159" s="925"/>
      <c r="DT159" s="925"/>
      <c r="DV159" s="925"/>
      <c r="DW159" s="925"/>
      <c r="DX159" s="925"/>
      <c r="DY159" s="925"/>
      <c r="DZ159" s="925"/>
      <c r="EA159" s="925"/>
      <c r="EB159" s="925"/>
      <c r="EC159" s="925"/>
      <c r="ED159" s="925"/>
      <c r="EE159" s="925"/>
      <c r="EF159" s="925"/>
      <c r="EG159" s="925"/>
      <c r="EH159" s="925"/>
      <c r="EI159" s="925"/>
      <c r="EJ159" s="925"/>
      <c r="EK159" s="925"/>
      <c r="EL159" s="925"/>
      <c r="EM159" s="925"/>
      <c r="EN159" s="925"/>
      <c r="EO159" s="925"/>
      <c r="EP159" s="925"/>
      <c r="EQ159" s="925"/>
      <c r="ER159" s="925"/>
      <c r="ES159" s="925"/>
      <c r="ET159" s="925"/>
      <c r="EV159" s="924"/>
      <c r="EW159" s="925"/>
      <c r="EX159" s="925"/>
      <c r="EY159" s="925"/>
    </row>
    <row r="160" spans="1:155" s="927" customFormat="1" ht="15.75" x14ac:dyDescent="0.25">
      <c r="A160" s="912" t="s">
        <v>360</v>
      </c>
      <c r="B160" s="913" t="s">
        <v>39</v>
      </c>
      <c r="C160" s="914">
        <v>1</v>
      </c>
      <c r="D160" s="914">
        <v>6097</v>
      </c>
      <c r="E160" s="915">
        <v>1.0549999999999999</v>
      </c>
      <c r="F160" s="916">
        <f t="shared" si="77"/>
        <v>6433</v>
      </c>
      <c r="G160" s="915">
        <v>1.01</v>
      </c>
      <c r="H160" s="916">
        <f t="shared" si="78"/>
        <v>6498</v>
      </c>
      <c r="I160" s="917">
        <f t="shared" si="79"/>
        <v>6498</v>
      </c>
      <c r="J160" s="918">
        <f t="shared" si="80"/>
        <v>0</v>
      </c>
      <c r="K160" s="919"/>
      <c r="L160" s="917">
        <f t="shared" si="81"/>
        <v>0</v>
      </c>
      <c r="M160" s="918">
        <f t="shared" si="82"/>
        <v>0</v>
      </c>
      <c r="N160" s="919"/>
      <c r="O160" s="917">
        <f t="shared" si="83"/>
        <v>0</v>
      </c>
      <c r="P160" s="918">
        <f t="shared" si="84"/>
        <v>0</v>
      </c>
      <c r="Q160" s="919"/>
      <c r="R160" s="917">
        <f t="shared" si="85"/>
        <v>0</v>
      </c>
      <c r="S160" s="918">
        <f t="shared" si="86"/>
        <v>0</v>
      </c>
      <c r="T160" s="919"/>
      <c r="U160" s="917">
        <f t="shared" si="87"/>
        <v>0</v>
      </c>
      <c r="V160" s="918">
        <f t="shared" si="88"/>
        <v>0</v>
      </c>
      <c r="W160" s="919"/>
      <c r="X160" s="917">
        <f t="shared" si="89"/>
        <v>0</v>
      </c>
      <c r="Y160" s="918">
        <f t="shared" si="90"/>
        <v>0</v>
      </c>
      <c r="Z160" s="919"/>
      <c r="AA160" s="917">
        <f t="shared" si="91"/>
        <v>0</v>
      </c>
      <c r="AB160" s="918">
        <f t="shared" si="92"/>
        <v>0</v>
      </c>
      <c r="AC160" s="919"/>
      <c r="AD160" s="917">
        <f t="shared" si="93"/>
        <v>0</v>
      </c>
      <c r="AE160" s="918">
        <f t="shared" si="94"/>
        <v>0</v>
      </c>
      <c r="AF160" s="919"/>
      <c r="AG160" s="917">
        <f t="shared" si="95"/>
        <v>0</v>
      </c>
      <c r="AH160" s="918">
        <f t="shared" si="96"/>
        <v>0</v>
      </c>
      <c r="AI160" s="919"/>
      <c r="AJ160" s="917">
        <f t="shared" si="97"/>
        <v>0</v>
      </c>
      <c r="AK160" s="918">
        <f t="shared" si="98"/>
        <v>0</v>
      </c>
      <c r="AL160" s="919"/>
      <c r="AM160" s="917">
        <f t="shared" si="99"/>
        <v>0</v>
      </c>
      <c r="AN160" s="920">
        <v>19242</v>
      </c>
      <c r="AO160" s="917">
        <f t="shared" si="100"/>
        <v>12744</v>
      </c>
      <c r="AP160" s="920"/>
      <c r="AQ160" s="916">
        <f t="shared" si="101"/>
        <v>0</v>
      </c>
      <c r="AR160" s="917">
        <f t="shared" si="102"/>
        <v>19242</v>
      </c>
      <c r="AS160" s="916">
        <v>12</v>
      </c>
      <c r="AT160" s="921">
        <f t="shared" si="103"/>
        <v>230904</v>
      </c>
      <c r="AU160" s="920"/>
      <c r="AV160" s="922">
        <f t="shared" si="104"/>
        <v>2309.04</v>
      </c>
      <c r="AW160" s="921">
        <f t="shared" si="105"/>
        <v>233213.04</v>
      </c>
      <c r="AX160" s="921">
        <f t="shared" si="106"/>
        <v>70430.34</v>
      </c>
      <c r="AY160" s="921">
        <f t="shared" si="107"/>
        <v>303643.38</v>
      </c>
      <c r="AZ160" s="923">
        <f t="shared" si="108"/>
        <v>233.2</v>
      </c>
      <c r="BA160" s="923">
        <f t="shared" si="109"/>
        <v>70.400000000000006</v>
      </c>
      <c r="BB160" s="923">
        <f t="shared" si="110"/>
        <v>303.60000000000002</v>
      </c>
      <c r="BC160" s="915">
        <v>0.95</v>
      </c>
      <c r="BD160" s="923">
        <f t="shared" si="111"/>
        <v>221.5</v>
      </c>
      <c r="BE160" s="923">
        <f t="shared" si="112"/>
        <v>66.900000000000006</v>
      </c>
      <c r="BF160" s="923">
        <f t="shared" si="113"/>
        <v>288.39999999999998</v>
      </c>
      <c r="BG160" s="924">
        <f>'[3]свод (2024)'!$B$116</f>
        <v>0.99758349999999996</v>
      </c>
      <c r="BH160" s="923">
        <f t="shared" si="114"/>
        <v>221</v>
      </c>
      <c r="BI160" s="923">
        <f t="shared" si="115"/>
        <v>66.7</v>
      </c>
      <c r="BJ160" s="923">
        <f t="shared" si="116"/>
        <v>287.7</v>
      </c>
      <c r="BK160" s="925">
        <f t="shared" si="117"/>
        <v>-12.2</v>
      </c>
      <c r="BL160" s="925">
        <f t="shared" si="117"/>
        <v>-3.7</v>
      </c>
      <c r="BM160" s="925">
        <f t="shared" si="118"/>
        <v>-15.9</v>
      </c>
      <c r="BN160" s="925">
        <f t="shared" si="119"/>
        <v>0</v>
      </c>
      <c r="BO160" s="925">
        <f t="shared" si="120"/>
        <v>0</v>
      </c>
      <c r="BP160" s="926"/>
      <c r="BQ160" s="925">
        <f t="shared" si="121"/>
        <v>221</v>
      </c>
      <c r="BR160" s="925">
        <f t="shared" si="121"/>
        <v>66.7</v>
      </c>
      <c r="BS160" s="925">
        <f t="shared" si="122"/>
        <v>287.7</v>
      </c>
      <c r="BU160" s="928"/>
      <c r="BV160" s="917"/>
      <c r="BW160" s="928"/>
      <c r="BX160" s="928"/>
      <c r="BY160" s="928"/>
      <c r="BZ160" s="917"/>
      <c r="CA160" s="928"/>
      <c r="CB160" s="917"/>
      <c r="CC160" s="928"/>
      <c r="CD160" s="928"/>
      <c r="CE160" s="928"/>
      <c r="CF160" s="929"/>
      <c r="CG160" s="928"/>
      <c r="CH160" s="928"/>
      <c r="CI160" s="928"/>
      <c r="CJ160" s="925"/>
      <c r="CK160" s="925"/>
      <c r="CL160" s="925"/>
      <c r="CM160" s="925"/>
      <c r="CN160" s="925"/>
      <c r="CO160" s="925"/>
      <c r="CP160" s="925"/>
      <c r="CQ160" s="925"/>
      <c r="CR160" s="925"/>
      <c r="CS160" s="917"/>
      <c r="CT160" s="928"/>
      <c r="CU160" s="928"/>
      <c r="CV160" s="928"/>
      <c r="CX160" s="925"/>
      <c r="CY160" s="925"/>
      <c r="CZ160" s="925"/>
      <c r="DB160" s="925"/>
      <c r="DC160" s="925"/>
      <c r="DD160" s="925"/>
      <c r="DE160" s="925"/>
      <c r="DF160" s="925"/>
      <c r="DG160" s="925"/>
      <c r="DH160" s="925"/>
      <c r="DI160" s="925"/>
      <c r="DJ160" s="925"/>
      <c r="DK160" s="925"/>
      <c r="DL160" s="925"/>
      <c r="DM160" s="925"/>
      <c r="DN160" s="925"/>
      <c r="DO160" s="925"/>
      <c r="DP160" s="925"/>
      <c r="DQ160" s="924"/>
      <c r="DR160" s="925"/>
      <c r="DS160" s="925"/>
      <c r="DT160" s="925"/>
      <c r="DV160" s="925"/>
      <c r="DW160" s="925"/>
      <c r="DX160" s="925"/>
      <c r="DY160" s="925"/>
      <c r="DZ160" s="925"/>
      <c r="EA160" s="925"/>
      <c r="EB160" s="925"/>
      <c r="EC160" s="925"/>
      <c r="ED160" s="925"/>
      <c r="EE160" s="925"/>
      <c r="EF160" s="925"/>
      <c r="EG160" s="925"/>
      <c r="EH160" s="925"/>
      <c r="EI160" s="925"/>
      <c r="EJ160" s="925"/>
      <c r="EK160" s="925"/>
      <c r="EL160" s="925"/>
      <c r="EM160" s="925"/>
      <c r="EN160" s="925"/>
      <c r="EO160" s="925"/>
      <c r="EP160" s="925"/>
      <c r="EQ160" s="925"/>
      <c r="ER160" s="925"/>
      <c r="ES160" s="925"/>
      <c r="ET160" s="925"/>
      <c r="EV160" s="924"/>
      <c r="EW160" s="925"/>
      <c r="EX160" s="925"/>
      <c r="EY160" s="925"/>
    </row>
    <row r="161" spans="1:155" s="927" customFormat="1" ht="24" x14ac:dyDescent="0.25">
      <c r="A161" s="912" t="s">
        <v>360</v>
      </c>
      <c r="B161" s="913" t="s">
        <v>1395</v>
      </c>
      <c r="C161" s="914">
        <v>1</v>
      </c>
      <c r="D161" s="914">
        <v>22544</v>
      </c>
      <c r="E161" s="915">
        <v>1.0549999999999999</v>
      </c>
      <c r="F161" s="916">
        <f t="shared" si="77"/>
        <v>23784</v>
      </c>
      <c r="G161" s="915">
        <v>1.01</v>
      </c>
      <c r="H161" s="916">
        <f t="shared" si="78"/>
        <v>24022</v>
      </c>
      <c r="I161" s="917">
        <f t="shared" si="79"/>
        <v>24022</v>
      </c>
      <c r="J161" s="918">
        <f t="shared" si="80"/>
        <v>0</v>
      </c>
      <c r="K161" s="919"/>
      <c r="L161" s="917">
        <f t="shared" si="81"/>
        <v>0</v>
      </c>
      <c r="M161" s="918">
        <f t="shared" si="82"/>
        <v>0</v>
      </c>
      <c r="N161" s="919"/>
      <c r="O161" s="917">
        <f t="shared" si="83"/>
        <v>0</v>
      </c>
      <c r="P161" s="918">
        <f t="shared" si="84"/>
        <v>0</v>
      </c>
      <c r="Q161" s="919"/>
      <c r="R161" s="917">
        <f t="shared" si="85"/>
        <v>0</v>
      </c>
      <c r="S161" s="918">
        <f t="shared" si="86"/>
        <v>0.27045000000000002</v>
      </c>
      <c r="T161" s="919">
        <v>6097</v>
      </c>
      <c r="U161" s="917">
        <f t="shared" si="87"/>
        <v>6496.75</v>
      </c>
      <c r="V161" s="918">
        <f t="shared" si="88"/>
        <v>0</v>
      </c>
      <c r="W161" s="919"/>
      <c r="X161" s="917">
        <f t="shared" si="89"/>
        <v>0</v>
      </c>
      <c r="Y161" s="918">
        <f t="shared" si="90"/>
        <v>0</v>
      </c>
      <c r="Z161" s="919"/>
      <c r="AA161" s="917">
        <f t="shared" si="91"/>
        <v>0</v>
      </c>
      <c r="AB161" s="918">
        <f t="shared" si="92"/>
        <v>0.2</v>
      </c>
      <c r="AC161" s="919">
        <v>4508.8</v>
      </c>
      <c r="AD161" s="917">
        <f t="shared" si="93"/>
        <v>4804.3999999999996</v>
      </c>
      <c r="AE161" s="918">
        <f t="shared" si="94"/>
        <v>0.1</v>
      </c>
      <c r="AF161" s="919">
        <v>2254.4</v>
      </c>
      <c r="AG161" s="917">
        <f t="shared" si="95"/>
        <v>2402.1999999999998</v>
      </c>
      <c r="AH161" s="918">
        <f t="shared" si="96"/>
        <v>0</v>
      </c>
      <c r="AI161" s="919"/>
      <c r="AJ161" s="917">
        <f t="shared" si="97"/>
        <v>0</v>
      </c>
      <c r="AK161" s="918">
        <f t="shared" si="98"/>
        <v>0</v>
      </c>
      <c r="AL161" s="919"/>
      <c r="AM161" s="917">
        <f t="shared" si="99"/>
        <v>0</v>
      </c>
      <c r="AN161" s="920">
        <v>19242</v>
      </c>
      <c r="AO161" s="917">
        <f t="shared" si="100"/>
        <v>0</v>
      </c>
      <c r="AP161" s="920"/>
      <c r="AQ161" s="916">
        <f t="shared" si="101"/>
        <v>0</v>
      </c>
      <c r="AR161" s="917">
        <f t="shared" si="102"/>
        <v>37725.35</v>
      </c>
      <c r="AS161" s="916">
        <v>12</v>
      </c>
      <c r="AT161" s="921">
        <f t="shared" si="103"/>
        <v>452704.2</v>
      </c>
      <c r="AU161" s="920"/>
      <c r="AV161" s="922">
        <f t="shared" si="104"/>
        <v>4527.04</v>
      </c>
      <c r="AW161" s="921">
        <f t="shared" si="105"/>
        <v>457231.24</v>
      </c>
      <c r="AX161" s="921">
        <f t="shared" si="106"/>
        <v>138083.82999999999</v>
      </c>
      <c r="AY161" s="921">
        <f t="shared" si="107"/>
        <v>595315.06999999995</v>
      </c>
      <c r="AZ161" s="923">
        <f t="shared" si="108"/>
        <v>457.2</v>
      </c>
      <c r="BA161" s="923">
        <f t="shared" si="109"/>
        <v>138.1</v>
      </c>
      <c r="BB161" s="923">
        <f t="shared" si="110"/>
        <v>595.29999999999995</v>
      </c>
      <c r="BC161" s="915">
        <v>0.95</v>
      </c>
      <c r="BD161" s="923">
        <f t="shared" si="111"/>
        <v>434.3</v>
      </c>
      <c r="BE161" s="923">
        <f t="shared" si="112"/>
        <v>131.19999999999999</v>
      </c>
      <c r="BF161" s="923">
        <f t="shared" si="113"/>
        <v>565.5</v>
      </c>
      <c r="BG161" s="924">
        <f>'[3]свод (2024)'!$B$116</f>
        <v>0.99758349999999996</v>
      </c>
      <c r="BH161" s="923">
        <f t="shared" si="114"/>
        <v>433.3</v>
      </c>
      <c r="BI161" s="923">
        <f t="shared" si="115"/>
        <v>130.9</v>
      </c>
      <c r="BJ161" s="923">
        <f t="shared" si="116"/>
        <v>564.20000000000005</v>
      </c>
      <c r="BK161" s="925">
        <f t="shared" si="117"/>
        <v>-23.9</v>
      </c>
      <c r="BL161" s="925">
        <f t="shared" si="117"/>
        <v>-7.2</v>
      </c>
      <c r="BM161" s="925">
        <f t="shared" si="118"/>
        <v>-31.1</v>
      </c>
      <c r="BN161" s="925">
        <f t="shared" si="119"/>
        <v>0</v>
      </c>
      <c r="BO161" s="925">
        <f t="shared" si="120"/>
        <v>0</v>
      </c>
      <c r="BP161" s="926"/>
      <c r="BQ161" s="925">
        <f t="shared" si="121"/>
        <v>433.3</v>
      </c>
      <c r="BR161" s="925">
        <f t="shared" si="121"/>
        <v>130.9</v>
      </c>
      <c r="BS161" s="925">
        <f t="shared" si="122"/>
        <v>564.20000000000005</v>
      </c>
      <c r="BU161" s="928"/>
      <c r="BV161" s="917"/>
      <c r="BW161" s="928"/>
      <c r="BX161" s="928"/>
      <c r="BY161" s="928"/>
      <c r="BZ161" s="917"/>
      <c r="CA161" s="928"/>
      <c r="CB161" s="917"/>
      <c r="CC161" s="928"/>
      <c r="CD161" s="928"/>
      <c r="CE161" s="928"/>
      <c r="CF161" s="929"/>
      <c r="CG161" s="928"/>
      <c r="CH161" s="928"/>
      <c r="CI161" s="928"/>
      <c r="CJ161" s="925"/>
      <c r="CK161" s="925"/>
      <c r="CL161" s="925"/>
      <c r="CM161" s="925"/>
      <c r="CN161" s="925"/>
      <c r="CO161" s="925"/>
      <c r="CP161" s="925"/>
      <c r="CQ161" s="925"/>
      <c r="CR161" s="925"/>
      <c r="CS161" s="917"/>
      <c r="CT161" s="928"/>
      <c r="CU161" s="928"/>
      <c r="CV161" s="928"/>
      <c r="CX161" s="925"/>
      <c r="CY161" s="925"/>
      <c r="CZ161" s="925"/>
      <c r="DB161" s="925"/>
      <c r="DC161" s="925"/>
      <c r="DD161" s="925"/>
      <c r="DE161" s="925"/>
      <c r="DF161" s="925"/>
      <c r="DG161" s="925"/>
      <c r="DH161" s="925"/>
      <c r="DI161" s="925"/>
      <c r="DJ161" s="925"/>
      <c r="DK161" s="925"/>
      <c r="DL161" s="925"/>
      <c r="DM161" s="925"/>
      <c r="DN161" s="925"/>
      <c r="DO161" s="925"/>
      <c r="DP161" s="925"/>
      <c r="DQ161" s="924"/>
      <c r="DR161" s="925"/>
      <c r="DS161" s="925"/>
      <c r="DT161" s="925"/>
      <c r="DV161" s="925"/>
      <c r="DW161" s="925"/>
      <c r="DX161" s="925"/>
      <c r="DY161" s="925"/>
      <c r="DZ161" s="925"/>
      <c r="EA161" s="925"/>
      <c r="EB161" s="925"/>
      <c r="EC161" s="925"/>
      <c r="ED161" s="925"/>
      <c r="EE161" s="925"/>
      <c r="EF161" s="925"/>
      <c r="EG161" s="925"/>
      <c r="EH161" s="925"/>
      <c r="EI161" s="925"/>
      <c r="EJ161" s="925"/>
      <c r="EK161" s="925"/>
      <c r="EL161" s="925"/>
      <c r="EM161" s="925"/>
      <c r="EN161" s="925"/>
      <c r="EO161" s="925"/>
      <c r="EP161" s="925"/>
      <c r="EQ161" s="925"/>
      <c r="ER161" s="925"/>
      <c r="ES161" s="925"/>
      <c r="ET161" s="925"/>
      <c r="EV161" s="924"/>
      <c r="EW161" s="925"/>
      <c r="EX161" s="925"/>
      <c r="EY161" s="925"/>
    </row>
    <row r="162" spans="1:155" s="927" customFormat="1" ht="24" x14ac:dyDescent="0.25">
      <c r="A162" s="912" t="s">
        <v>360</v>
      </c>
      <c r="B162" s="913" t="s">
        <v>1409</v>
      </c>
      <c r="C162" s="914">
        <v>1</v>
      </c>
      <c r="D162" s="914">
        <v>22544</v>
      </c>
      <c r="E162" s="915">
        <v>1.0549999999999999</v>
      </c>
      <c r="F162" s="916">
        <f t="shared" si="77"/>
        <v>23784</v>
      </c>
      <c r="G162" s="915">
        <v>1.01</v>
      </c>
      <c r="H162" s="916">
        <f t="shared" si="78"/>
        <v>24022</v>
      </c>
      <c r="I162" s="917">
        <f t="shared" si="79"/>
        <v>24022</v>
      </c>
      <c r="J162" s="918">
        <f t="shared" si="80"/>
        <v>0</v>
      </c>
      <c r="K162" s="919"/>
      <c r="L162" s="917">
        <f t="shared" si="81"/>
        <v>0</v>
      </c>
      <c r="M162" s="918">
        <f t="shared" si="82"/>
        <v>0</v>
      </c>
      <c r="N162" s="919"/>
      <c r="O162" s="917">
        <f t="shared" si="83"/>
        <v>0</v>
      </c>
      <c r="P162" s="918">
        <f t="shared" si="84"/>
        <v>0</v>
      </c>
      <c r="Q162" s="919"/>
      <c r="R162" s="917">
        <f t="shared" si="85"/>
        <v>0</v>
      </c>
      <c r="S162" s="918">
        <f t="shared" si="86"/>
        <v>0</v>
      </c>
      <c r="T162" s="919"/>
      <c r="U162" s="917">
        <f t="shared" si="87"/>
        <v>0</v>
      </c>
      <c r="V162" s="918">
        <f t="shared" si="88"/>
        <v>0</v>
      </c>
      <c r="W162" s="919"/>
      <c r="X162" s="917">
        <f t="shared" si="89"/>
        <v>0</v>
      </c>
      <c r="Y162" s="918">
        <f t="shared" si="90"/>
        <v>0</v>
      </c>
      <c r="Z162" s="919"/>
      <c r="AA162" s="917">
        <f t="shared" si="91"/>
        <v>0</v>
      </c>
      <c r="AB162" s="918">
        <f t="shared" si="92"/>
        <v>0.2</v>
      </c>
      <c r="AC162" s="919">
        <v>4508.8</v>
      </c>
      <c r="AD162" s="917">
        <f t="shared" si="93"/>
        <v>4804.3999999999996</v>
      </c>
      <c r="AE162" s="918">
        <f t="shared" si="94"/>
        <v>0.1</v>
      </c>
      <c r="AF162" s="919">
        <v>2254.4</v>
      </c>
      <c r="AG162" s="917">
        <f t="shared" si="95"/>
        <v>2402.1999999999998</v>
      </c>
      <c r="AH162" s="918">
        <f t="shared" si="96"/>
        <v>0</v>
      </c>
      <c r="AI162" s="919"/>
      <c r="AJ162" s="917">
        <f t="shared" si="97"/>
        <v>0</v>
      </c>
      <c r="AK162" s="918">
        <f t="shared" si="98"/>
        <v>0</v>
      </c>
      <c r="AL162" s="919"/>
      <c r="AM162" s="917">
        <f t="shared" si="99"/>
        <v>0</v>
      </c>
      <c r="AN162" s="920">
        <v>19242</v>
      </c>
      <c r="AO162" s="917">
        <f t="shared" si="100"/>
        <v>0</v>
      </c>
      <c r="AP162" s="920"/>
      <c r="AQ162" s="916">
        <f t="shared" si="101"/>
        <v>0</v>
      </c>
      <c r="AR162" s="917">
        <f t="shared" si="102"/>
        <v>31228.6</v>
      </c>
      <c r="AS162" s="916">
        <v>12</v>
      </c>
      <c r="AT162" s="921">
        <f t="shared" si="103"/>
        <v>374743.2</v>
      </c>
      <c r="AU162" s="920"/>
      <c r="AV162" s="922">
        <f t="shared" si="104"/>
        <v>3747.43</v>
      </c>
      <c r="AW162" s="921">
        <f t="shared" si="105"/>
        <v>378490.63</v>
      </c>
      <c r="AX162" s="921">
        <f t="shared" si="106"/>
        <v>114304.17</v>
      </c>
      <c r="AY162" s="921">
        <f t="shared" si="107"/>
        <v>492794.8</v>
      </c>
      <c r="AZ162" s="923">
        <f t="shared" si="108"/>
        <v>378.5</v>
      </c>
      <c r="BA162" s="923">
        <f t="shared" si="109"/>
        <v>114.3</v>
      </c>
      <c r="BB162" s="923">
        <f t="shared" si="110"/>
        <v>492.8</v>
      </c>
      <c r="BC162" s="915">
        <v>0.95</v>
      </c>
      <c r="BD162" s="923">
        <f t="shared" si="111"/>
        <v>359.6</v>
      </c>
      <c r="BE162" s="923">
        <f t="shared" si="112"/>
        <v>108.6</v>
      </c>
      <c r="BF162" s="923">
        <f t="shared" si="113"/>
        <v>468.2</v>
      </c>
      <c r="BG162" s="924">
        <f>'[3]свод (2024)'!$B$116</f>
        <v>0.99758349999999996</v>
      </c>
      <c r="BH162" s="923">
        <f t="shared" si="114"/>
        <v>358.7</v>
      </c>
      <c r="BI162" s="923">
        <f t="shared" si="115"/>
        <v>108.3</v>
      </c>
      <c r="BJ162" s="923">
        <f t="shared" si="116"/>
        <v>467</v>
      </c>
      <c r="BK162" s="925">
        <f t="shared" si="117"/>
        <v>-19.8</v>
      </c>
      <c r="BL162" s="925">
        <f t="shared" si="117"/>
        <v>-6</v>
      </c>
      <c r="BM162" s="925">
        <f t="shared" si="118"/>
        <v>-25.8</v>
      </c>
      <c r="BN162" s="925">
        <f t="shared" si="119"/>
        <v>0</v>
      </c>
      <c r="BO162" s="925">
        <f t="shared" si="120"/>
        <v>0</v>
      </c>
      <c r="BP162" s="926"/>
      <c r="BQ162" s="925">
        <f t="shared" si="121"/>
        <v>358.7</v>
      </c>
      <c r="BR162" s="925">
        <f t="shared" si="121"/>
        <v>108.3</v>
      </c>
      <c r="BS162" s="925">
        <f t="shared" si="122"/>
        <v>467</v>
      </c>
      <c r="BU162" s="928"/>
      <c r="BV162" s="917"/>
      <c r="BW162" s="928"/>
      <c r="BX162" s="928"/>
      <c r="BY162" s="928"/>
      <c r="BZ162" s="917"/>
      <c r="CA162" s="928"/>
      <c r="CB162" s="917"/>
      <c r="CC162" s="928"/>
      <c r="CD162" s="928"/>
      <c r="CE162" s="928"/>
      <c r="CF162" s="929"/>
      <c r="CG162" s="928"/>
      <c r="CH162" s="928"/>
      <c r="CI162" s="928"/>
      <c r="CJ162" s="925"/>
      <c r="CK162" s="925"/>
      <c r="CL162" s="925"/>
      <c r="CM162" s="925"/>
      <c r="CN162" s="925"/>
      <c r="CO162" s="925"/>
      <c r="CP162" s="925"/>
      <c r="CQ162" s="925"/>
      <c r="CR162" s="925"/>
      <c r="CS162" s="917"/>
      <c r="CT162" s="928"/>
      <c r="CU162" s="928"/>
      <c r="CV162" s="928"/>
      <c r="CX162" s="925"/>
      <c r="CY162" s="925"/>
      <c r="CZ162" s="925"/>
      <c r="DB162" s="925"/>
      <c r="DC162" s="925"/>
      <c r="DD162" s="925"/>
      <c r="DE162" s="925"/>
      <c r="DF162" s="925"/>
      <c r="DG162" s="925"/>
      <c r="DH162" s="925"/>
      <c r="DI162" s="925"/>
      <c r="DJ162" s="925"/>
      <c r="DK162" s="925"/>
      <c r="DL162" s="925"/>
      <c r="DM162" s="925"/>
      <c r="DN162" s="925"/>
      <c r="DO162" s="925"/>
      <c r="DP162" s="925"/>
      <c r="DQ162" s="924"/>
      <c r="DR162" s="925"/>
      <c r="DS162" s="925"/>
      <c r="DT162" s="925"/>
      <c r="DV162" s="925"/>
      <c r="DW162" s="925"/>
      <c r="DX162" s="925"/>
      <c r="DY162" s="925"/>
      <c r="DZ162" s="925"/>
      <c r="EA162" s="925"/>
      <c r="EB162" s="925"/>
      <c r="EC162" s="925"/>
      <c r="ED162" s="925"/>
      <c r="EE162" s="925"/>
      <c r="EF162" s="925"/>
      <c r="EG162" s="925"/>
      <c r="EH162" s="925"/>
      <c r="EI162" s="925"/>
      <c r="EJ162" s="925"/>
      <c r="EK162" s="925"/>
      <c r="EL162" s="925"/>
      <c r="EM162" s="925"/>
      <c r="EN162" s="925"/>
      <c r="EO162" s="925"/>
      <c r="EP162" s="925"/>
      <c r="EQ162" s="925"/>
      <c r="ER162" s="925"/>
      <c r="ES162" s="925"/>
      <c r="ET162" s="925"/>
      <c r="EV162" s="924"/>
      <c r="EW162" s="925"/>
      <c r="EX162" s="925"/>
      <c r="EY162" s="925"/>
    </row>
    <row r="163" spans="1:155" s="927" customFormat="1" ht="24" x14ac:dyDescent="0.25">
      <c r="A163" s="912" t="s">
        <v>360</v>
      </c>
      <c r="B163" s="913" t="s">
        <v>1384</v>
      </c>
      <c r="C163" s="914">
        <v>1</v>
      </c>
      <c r="D163" s="914">
        <v>22544</v>
      </c>
      <c r="E163" s="915">
        <v>1.0549999999999999</v>
      </c>
      <c r="F163" s="916">
        <f t="shared" si="77"/>
        <v>23784</v>
      </c>
      <c r="G163" s="915">
        <v>1.01</v>
      </c>
      <c r="H163" s="916">
        <f t="shared" si="78"/>
        <v>24022</v>
      </c>
      <c r="I163" s="917">
        <f t="shared" si="79"/>
        <v>24022</v>
      </c>
      <c r="J163" s="918">
        <f t="shared" si="80"/>
        <v>0</v>
      </c>
      <c r="K163" s="919"/>
      <c r="L163" s="917">
        <f t="shared" si="81"/>
        <v>0</v>
      </c>
      <c r="M163" s="918">
        <f t="shared" si="82"/>
        <v>0</v>
      </c>
      <c r="N163" s="919"/>
      <c r="O163" s="917">
        <f t="shared" si="83"/>
        <v>0</v>
      </c>
      <c r="P163" s="918">
        <f t="shared" si="84"/>
        <v>0.1</v>
      </c>
      <c r="Q163" s="988">
        <f>D163*C163/C163*0.1</f>
        <v>2254.4</v>
      </c>
      <c r="R163" s="917">
        <f t="shared" si="85"/>
        <v>2402.1999999999998</v>
      </c>
      <c r="S163" s="918">
        <f t="shared" si="86"/>
        <v>0</v>
      </c>
      <c r="T163" s="919"/>
      <c r="U163" s="917">
        <f t="shared" si="87"/>
        <v>0</v>
      </c>
      <c r="V163" s="918">
        <f t="shared" si="88"/>
        <v>0</v>
      </c>
      <c r="W163" s="919"/>
      <c r="X163" s="917">
        <f t="shared" si="89"/>
        <v>0</v>
      </c>
      <c r="Y163" s="918">
        <f t="shared" si="90"/>
        <v>0.14000000000000001</v>
      </c>
      <c r="Z163" s="919">
        <v>3156.16</v>
      </c>
      <c r="AA163" s="917">
        <f t="shared" si="91"/>
        <v>3363.08</v>
      </c>
      <c r="AB163" s="918">
        <f t="shared" si="92"/>
        <v>0.2</v>
      </c>
      <c r="AC163" s="919">
        <v>4508.8</v>
      </c>
      <c r="AD163" s="917">
        <f t="shared" si="93"/>
        <v>4804.3999999999996</v>
      </c>
      <c r="AE163" s="918">
        <f t="shared" si="94"/>
        <v>0</v>
      </c>
      <c r="AF163" s="919"/>
      <c r="AG163" s="917">
        <f t="shared" si="95"/>
        <v>0</v>
      </c>
      <c r="AH163" s="918">
        <f t="shared" si="96"/>
        <v>0</v>
      </c>
      <c r="AI163" s="919"/>
      <c r="AJ163" s="917">
        <f t="shared" si="97"/>
        <v>0</v>
      </c>
      <c r="AK163" s="918">
        <f t="shared" si="98"/>
        <v>0</v>
      </c>
      <c r="AL163" s="919"/>
      <c r="AM163" s="917">
        <f t="shared" si="99"/>
        <v>0</v>
      </c>
      <c r="AN163" s="920">
        <v>19242</v>
      </c>
      <c r="AO163" s="917">
        <f t="shared" si="100"/>
        <v>0</v>
      </c>
      <c r="AP163" s="920"/>
      <c r="AQ163" s="916">
        <f t="shared" si="101"/>
        <v>0</v>
      </c>
      <c r="AR163" s="917">
        <f t="shared" si="102"/>
        <v>34591.68</v>
      </c>
      <c r="AS163" s="916">
        <v>12</v>
      </c>
      <c r="AT163" s="921">
        <f t="shared" si="103"/>
        <v>415100.15999999997</v>
      </c>
      <c r="AU163" s="920"/>
      <c r="AV163" s="922">
        <f t="shared" si="104"/>
        <v>4151</v>
      </c>
      <c r="AW163" s="921">
        <f t="shared" si="105"/>
        <v>419251.16</v>
      </c>
      <c r="AX163" s="921">
        <f t="shared" si="106"/>
        <v>126613.85</v>
      </c>
      <c r="AY163" s="921">
        <f t="shared" si="107"/>
        <v>545865.01</v>
      </c>
      <c r="AZ163" s="923">
        <f t="shared" si="108"/>
        <v>419.3</v>
      </c>
      <c r="BA163" s="923">
        <f t="shared" si="109"/>
        <v>126.6</v>
      </c>
      <c r="BB163" s="923">
        <f t="shared" si="110"/>
        <v>545.9</v>
      </c>
      <c r="BC163" s="915">
        <v>0.95</v>
      </c>
      <c r="BD163" s="923">
        <f t="shared" si="111"/>
        <v>398.3</v>
      </c>
      <c r="BE163" s="923">
        <f t="shared" si="112"/>
        <v>120.3</v>
      </c>
      <c r="BF163" s="923">
        <f t="shared" si="113"/>
        <v>518.6</v>
      </c>
      <c r="BG163" s="924">
        <f>'[3]свод (2024)'!$B$116</f>
        <v>0.99758349999999996</v>
      </c>
      <c r="BH163" s="923">
        <f t="shared" si="114"/>
        <v>397.3</v>
      </c>
      <c r="BI163" s="923">
        <f t="shared" si="115"/>
        <v>120</v>
      </c>
      <c r="BJ163" s="923">
        <f t="shared" si="116"/>
        <v>517.29999999999995</v>
      </c>
      <c r="BK163" s="925">
        <f t="shared" si="117"/>
        <v>-22</v>
      </c>
      <c r="BL163" s="925">
        <f t="shared" si="117"/>
        <v>-6.6</v>
      </c>
      <c r="BM163" s="925">
        <f t="shared" si="118"/>
        <v>-28.6</v>
      </c>
      <c r="BN163" s="925">
        <f t="shared" si="119"/>
        <v>0</v>
      </c>
      <c r="BO163" s="925">
        <f t="shared" si="120"/>
        <v>0</v>
      </c>
      <c r="BP163" s="926"/>
      <c r="BQ163" s="925">
        <f t="shared" si="121"/>
        <v>397.3</v>
      </c>
      <c r="BR163" s="925">
        <f t="shared" si="121"/>
        <v>120</v>
      </c>
      <c r="BS163" s="925">
        <f t="shared" si="122"/>
        <v>517.29999999999995</v>
      </c>
      <c r="BU163" s="928"/>
      <c r="BV163" s="917"/>
      <c r="BW163" s="928"/>
      <c r="BX163" s="928"/>
      <c r="BY163" s="928"/>
      <c r="BZ163" s="917"/>
      <c r="CA163" s="928"/>
      <c r="CB163" s="917"/>
      <c r="CC163" s="928"/>
      <c r="CD163" s="928"/>
      <c r="CE163" s="928"/>
      <c r="CF163" s="929"/>
      <c r="CG163" s="928"/>
      <c r="CH163" s="928"/>
      <c r="CI163" s="928"/>
      <c r="CJ163" s="925"/>
      <c r="CK163" s="925"/>
      <c r="CL163" s="925"/>
      <c r="CM163" s="925"/>
      <c r="CN163" s="925"/>
      <c r="CO163" s="925"/>
      <c r="CP163" s="925"/>
      <c r="CQ163" s="925"/>
      <c r="CR163" s="925"/>
      <c r="CS163" s="917"/>
      <c r="CT163" s="928"/>
      <c r="CU163" s="928"/>
      <c r="CV163" s="928"/>
      <c r="CX163" s="925"/>
      <c r="CY163" s="925"/>
      <c r="CZ163" s="925"/>
      <c r="DB163" s="925"/>
      <c r="DC163" s="925"/>
      <c r="DD163" s="925"/>
      <c r="DE163" s="925"/>
      <c r="DF163" s="925"/>
      <c r="DG163" s="925"/>
      <c r="DH163" s="925"/>
      <c r="DI163" s="925"/>
      <c r="DJ163" s="925"/>
      <c r="DK163" s="925"/>
      <c r="DL163" s="925"/>
      <c r="DM163" s="925"/>
      <c r="DN163" s="925"/>
      <c r="DO163" s="925"/>
      <c r="DP163" s="925"/>
      <c r="DQ163" s="924"/>
      <c r="DR163" s="925"/>
      <c r="DS163" s="925"/>
      <c r="DT163" s="925"/>
      <c r="DV163" s="925"/>
      <c r="DW163" s="925"/>
      <c r="DX163" s="925"/>
      <c r="DY163" s="925"/>
      <c r="DZ163" s="925"/>
      <c r="EA163" s="925"/>
      <c r="EB163" s="925"/>
      <c r="EC163" s="925"/>
      <c r="ED163" s="925"/>
      <c r="EE163" s="925"/>
      <c r="EF163" s="925"/>
      <c r="EG163" s="925"/>
      <c r="EH163" s="925"/>
      <c r="EI163" s="925"/>
      <c r="EJ163" s="925"/>
      <c r="EK163" s="925"/>
      <c r="EL163" s="925"/>
      <c r="EM163" s="925"/>
      <c r="EN163" s="925"/>
      <c r="EO163" s="925"/>
      <c r="EP163" s="925"/>
      <c r="EQ163" s="925"/>
      <c r="ER163" s="925"/>
      <c r="ES163" s="925"/>
      <c r="ET163" s="925"/>
      <c r="EV163" s="924"/>
      <c r="EW163" s="925"/>
      <c r="EX163" s="925"/>
      <c r="EY163" s="925"/>
    </row>
    <row r="164" spans="1:155" s="927" customFormat="1" ht="24" x14ac:dyDescent="0.25">
      <c r="A164" s="912" t="s">
        <v>360</v>
      </c>
      <c r="B164" s="913" t="s">
        <v>30</v>
      </c>
      <c r="C164" s="914">
        <v>1</v>
      </c>
      <c r="D164" s="914">
        <v>22544</v>
      </c>
      <c r="E164" s="915">
        <v>1.0549999999999999</v>
      </c>
      <c r="F164" s="916">
        <f t="shared" si="77"/>
        <v>23784</v>
      </c>
      <c r="G164" s="915">
        <v>1.01</v>
      </c>
      <c r="H164" s="916">
        <f t="shared" si="78"/>
        <v>24022</v>
      </c>
      <c r="I164" s="917">
        <f t="shared" si="79"/>
        <v>24022</v>
      </c>
      <c r="J164" s="918">
        <f t="shared" si="80"/>
        <v>0</v>
      </c>
      <c r="K164" s="919"/>
      <c r="L164" s="917">
        <f t="shared" si="81"/>
        <v>0</v>
      </c>
      <c r="M164" s="918">
        <f t="shared" si="82"/>
        <v>0</v>
      </c>
      <c r="N164" s="919"/>
      <c r="O164" s="917">
        <f t="shared" si="83"/>
        <v>0</v>
      </c>
      <c r="P164" s="918">
        <f t="shared" si="84"/>
        <v>0.1</v>
      </c>
      <c r="Q164" s="988">
        <f>D164*C164/C164*0.1</f>
        <v>2254.4</v>
      </c>
      <c r="R164" s="917">
        <f t="shared" si="85"/>
        <v>2402.1999999999998</v>
      </c>
      <c r="S164" s="918">
        <f t="shared" si="86"/>
        <v>0</v>
      </c>
      <c r="T164" s="919"/>
      <c r="U164" s="917">
        <f t="shared" si="87"/>
        <v>0</v>
      </c>
      <c r="V164" s="918">
        <f t="shared" si="88"/>
        <v>0</v>
      </c>
      <c r="W164" s="919"/>
      <c r="X164" s="917">
        <f t="shared" si="89"/>
        <v>0</v>
      </c>
      <c r="Y164" s="918">
        <f t="shared" si="90"/>
        <v>0.1</v>
      </c>
      <c r="Z164" s="919">
        <v>2254.4</v>
      </c>
      <c r="AA164" s="917">
        <f t="shared" si="91"/>
        <v>2402.1999999999998</v>
      </c>
      <c r="AB164" s="918">
        <f t="shared" si="92"/>
        <v>0.2</v>
      </c>
      <c r="AC164" s="919">
        <v>4508.8</v>
      </c>
      <c r="AD164" s="917">
        <f t="shared" si="93"/>
        <v>4804.3999999999996</v>
      </c>
      <c r="AE164" s="918">
        <f t="shared" si="94"/>
        <v>0</v>
      </c>
      <c r="AF164" s="919"/>
      <c r="AG164" s="917">
        <f t="shared" si="95"/>
        <v>0</v>
      </c>
      <c r="AH164" s="918">
        <f t="shared" si="96"/>
        <v>0</v>
      </c>
      <c r="AI164" s="919"/>
      <c r="AJ164" s="917">
        <f t="shared" si="97"/>
        <v>0</v>
      </c>
      <c r="AK164" s="918">
        <f t="shared" si="98"/>
        <v>0</v>
      </c>
      <c r="AL164" s="919"/>
      <c r="AM164" s="917">
        <f t="shared" si="99"/>
        <v>0</v>
      </c>
      <c r="AN164" s="920">
        <v>19242</v>
      </c>
      <c r="AO164" s="917">
        <f t="shared" si="100"/>
        <v>0</v>
      </c>
      <c r="AP164" s="920"/>
      <c r="AQ164" s="916">
        <f t="shared" si="101"/>
        <v>0</v>
      </c>
      <c r="AR164" s="917">
        <f t="shared" si="102"/>
        <v>33630.800000000003</v>
      </c>
      <c r="AS164" s="916">
        <v>12</v>
      </c>
      <c r="AT164" s="921">
        <f t="shared" si="103"/>
        <v>403569.6</v>
      </c>
      <c r="AU164" s="920"/>
      <c r="AV164" s="922">
        <f t="shared" si="104"/>
        <v>4035.7</v>
      </c>
      <c r="AW164" s="921">
        <f t="shared" si="105"/>
        <v>407605.3</v>
      </c>
      <c r="AX164" s="921">
        <f t="shared" si="106"/>
        <v>123096.8</v>
      </c>
      <c r="AY164" s="921">
        <f t="shared" si="107"/>
        <v>530702.1</v>
      </c>
      <c r="AZ164" s="923">
        <f t="shared" si="108"/>
        <v>407.6</v>
      </c>
      <c r="BA164" s="923">
        <f t="shared" si="109"/>
        <v>123.1</v>
      </c>
      <c r="BB164" s="923">
        <f t="shared" si="110"/>
        <v>530.70000000000005</v>
      </c>
      <c r="BC164" s="915">
        <v>0.95</v>
      </c>
      <c r="BD164" s="923">
        <f t="shared" si="111"/>
        <v>387.2</v>
      </c>
      <c r="BE164" s="923">
        <f t="shared" si="112"/>
        <v>116.9</v>
      </c>
      <c r="BF164" s="923">
        <f t="shared" si="113"/>
        <v>504.1</v>
      </c>
      <c r="BG164" s="924">
        <f>'[3]свод (2024)'!$B$116</f>
        <v>0.99758349999999996</v>
      </c>
      <c r="BH164" s="923">
        <f t="shared" si="114"/>
        <v>386.3</v>
      </c>
      <c r="BI164" s="923">
        <f t="shared" si="115"/>
        <v>116.7</v>
      </c>
      <c r="BJ164" s="923">
        <f t="shared" si="116"/>
        <v>503</v>
      </c>
      <c r="BK164" s="925">
        <f t="shared" si="117"/>
        <v>-21.3</v>
      </c>
      <c r="BL164" s="925">
        <f t="shared" si="117"/>
        <v>-6.4</v>
      </c>
      <c r="BM164" s="925">
        <f t="shared" si="118"/>
        <v>-27.7</v>
      </c>
      <c r="BN164" s="925">
        <f t="shared" si="119"/>
        <v>0</v>
      </c>
      <c r="BO164" s="925">
        <f t="shared" si="120"/>
        <v>0</v>
      </c>
      <c r="BP164" s="926"/>
      <c r="BQ164" s="925">
        <f t="shared" si="121"/>
        <v>386.3</v>
      </c>
      <c r="BR164" s="925">
        <f t="shared" si="121"/>
        <v>116.7</v>
      </c>
      <c r="BS164" s="925">
        <f t="shared" si="122"/>
        <v>503</v>
      </c>
      <c r="BU164" s="928"/>
      <c r="BV164" s="917"/>
      <c r="BW164" s="928"/>
      <c r="BX164" s="928"/>
      <c r="BY164" s="928"/>
      <c r="BZ164" s="917"/>
      <c r="CA164" s="928"/>
      <c r="CB164" s="917"/>
      <c r="CC164" s="928"/>
      <c r="CD164" s="928"/>
      <c r="CE164" s="928"/>
      <c r="CF164" s="929"/>
      <c r="CG164" s="928"/>
      <c r="CH164" s="928"/>
      <c r="CI164" s="928"/>
      <c r="CJ164" s="925"/>
      <c r="CK164" s="925"/>
      <c r="CL164" s="925"/>
      <c r="CM164" s="925"/>
      <c r="CN164" s="925"/>
      <c r="CO164" s="925"/>
      <c r="CP164" s="925"/>
      <c r="CQ164" s="925"/>
      <c r="CR164" s="925"/>
      <c r="CS164" s="917"/>
      <c r="CT164" s="928"/>
      <c r="CU164" s="928"/>
      <c r="CV164" s="928"/>
      <c r="CX164" s="925"/>
      <c r="CY164" s="925"/>
      <c r="CZ164" s="925"/>
      <c r="DB164" s="925"/>
      <c r="DC164" s="925"/>
      <c r="DD164" s="925"/>
      <c r="DE164" s="925"/>
      <c r="DF164" s="925"/>
      <c r="DG164" s="925"/>
      <c r="DH164" s="925"/>
      <c r="DI164" s="925"/>
      <c r="DJ164" s="925"/>
      <c r="DK164" s="925"/>
      <c r="DL164" s="925"/>
      <c r="DM164" s="925"/>
      <c r="DN164" s="925"/>
      <c r="DO164" s="925"/>
      <c r="DP164" s="925"/>
      <c r="DQ164" s="924"/>
      <c r="DR164" s="925"/>
      <c r="DS164" s="925"/>
      <c r="DT164" s="925"/>
      <c r="DV164" s="925"/>
      <c r="DW164" s="925"/>
      <c r="DX164" s="925"/>
      <c r="DY164" s="925"/>
      <c r="DZ164" s="925"/>
      <c r="EA164" s="925"/>
      <c r="EB164" s="925"/>
      <c r="EC164" s="925"/>
      <c r="ED164" s="925"/>
      <c r="EE164" s="925"/>
      <c r="EF164" s="925"/>
      <c r="EG164" s="925"/>
      <c r="EH164" s="925"/>
      <c r="EI164" s="925"/>
      <c r="EJ164" s="925"/>
      <c r="EK164" s="925"/>
      <c r="EL164" s="925"/>
      <c r="EM164" s="925"/>
      <c r="EN164" s="925"/>
      <c r="EO164" s="925"/>
      <c r="EP164" s="925"/>
      <c r="EQ164" s="925"/>
      <c r="ER164" s="925"/>
      <c r="ES164" s="925"/>
      <c r="ET164" s="925"/>
      <c r="EV164" s="924"/>
      <c r="EW164" s="925"/>
      <c r="EX164" s="925"/>
      <c r="EY164" s="925"/>
    </row>
    <row r="165" spans="1:155" s="927" customFormat="1" ht="15.75" x14ac:dyDescent="0.25">
      <c r="A165" s="912" t="s">
        <v>360</v>
      </c>
      <c r="B165" s="913" t="s">
        <v>495</v>
      </c>
      <c r="C165" s="914">
        <v>1</v>
      </c>
      <c r="D165" s="914">
        <v>6707</v>
      </c>
      <c r="E165" s="915">
        <v>1.0549999999999999</v>
      </c>
      <c r="F165" s="916">
        <f t="shared" si="77"/>
        <v>7076</v>
      </c>
      <c r="G165" s="915">
        <v>1.01</v>
      </c>
      <c r="H165" s="916">
        <f t="shared" si="78"/>
        <v>7147</v>
      </c>
      <c r="I165" s="917">
        <f t="shared" si="79"/>
        <v>7147</v>
      </c>
      <c r="J165" s="918">
        <f t="shared" si="80"/>
        <v>0</v>
      </c>
      <c r="K165" s="919"/>
      <c r="L165" s="917">
        <f t="shared" si="81"/>
        <v>0</v>
      </c>
      <c r="M165" s="918">
        <f t="shared" si="82"/>
        <v>0</v>
      </c>
      <c r="N165" s="919"/>
      <c r="O165" s="917">
        <f t="shared" si="83"/>
        <v>0</v>
      </c>
      <c r="P165" s="918">
        <f t="shared" si="84"/>
        <v>0</v>
      </c>
      <c r="Q165" s="919"/>
      <c r="R165" s="917">
        <f t="shared" si="85"/>
        <v>0</v>
      </c>
      <c r="S165" s="918">
        <f t="shared" si="86"/>
        <v>1</v>
      </c>
      <c r="T165" s="919">
        <v>6707</v>
      </c>
      <c r="U165" s="917">
        <f t="shared" si="87"/>
        <v>7147</v>
      </c>
      <c r="V165" s="918">
        <f t="shared" si="88"/>
        <v>0</v>
      </c>
      <c r="W165" s="919"/>
      <c r="X165" s="917">
        <f t="shared" si="89"/>
        <v>0</v>
      </c>
      <c r="Y165" s="918">
        <f t="shared" si="90"/>
        <v>0</v>
      </c>
      <c r="Z165" s="919"/>
      <c r="AA165" s="917">
        <f t="shared" si="91"/>
        <v>0</v>
      </c>
      <c r="AB165" s="918">
        <f t="shared" si="92"/>
        <v>0.3</v>
      </c>
      <c r="AC165" s="919">
        <v>2012.1</v>
      </c>
      <c r="AD165" s="917">
        <f t="shared" si="93"/>
        <v>2144.1</v>
      </c>
      <c r="AE165" s="918">
        <f t="shared" si="94"/>
        <v>0</v>
      </c>
      <c r="AF165" s="919"/>
      <c r="AG165" s="917">
        <f t="shared" si="95"/>
        <v>0</v>
      </c>
      <c r="AH165" s="918">
        <f t="shared" si="96"/>
        <v>0</v>
      </c>
      <c r="AI165" s="919"/>
      <c r="AJ165" s="917">
        <f t="shared" si="97"/>
        <v>0</v>
      </c>
      <c r="AK165" s="918">
        <f t="shared" si="98"/>
        <v>0</v>
      </c>
      <c r="AL165" s="919"/>
      <c r="AM165" s="917">
        <f t="shared" si="99"/>
        <v>0</v>
      </c>
      <c r="AN165" s="920">
        <v>19242</v>
      </c>
      <c r="AO165" s="917">
        <f t="shared" si="100"/>
        <v>2803.9</v>
      </c>
      <c r="AP165" s="920"/>
      <c r="AQ165" s="916">
        <f t="shared" si="101"/>
        <v>0</v>
      </c>
      <c r="AR165" s="917">
        <f t="shared" si="102"/>
        <v>19242</v>
      </c>
      <c r="AS165" s="916">
        <v>12</v>
      </c>
      <c r="AT165" s="921">
        <f t="shared" si="103"/>
        <v>230904</v>
      </c>
      <c r="AU165" s="920"/>
      <c r="AV165" s="922">
        <f t="shared" si="104"/>
        <v>2309.04</v>
      </c>
      <c r="AW165" s="921">
        <f t="shared" si="105"/>
        <v>233213.04</v>
      </c>
      <c r="AX165" s="921">
        <f t="shared" si="106"/>
        <v>70430.34</v>
      </c>
      <c r="AY165" s="921">
        <f t="shared" si="107"/>
        <v>303643.38</v>
      </c>
      <c r="AZ165" s="923">
        <f t="shared" si="108"/>
        <v>233.2</v>
      </c>
      <c r="BA165" s="923">
        <f t="shared" si="109"/>
        <v>70.400000000000006</v>
      </c>
      <c r="BB165" s="923">
        <f t="shared" si="110"/>
        <v>303.60000000000002</v>
      </c>
      <c r="BC165" s="915">
        <v>0.95</v>
      </c>
      <c r="BD165" s="923">
        <f t="shared" si="111"/>
        <v>221.5</v>
      </c>
      <c r="BE165" s="923">
        <f t="shared" si="112"/>
        <v>66.900000000000006</v>
      </c>
      <c r="BF165" s="923">
        <f t="shared" si="113"/>
        <v>288.39999999999998</v>
      </c>
      <c r="BG165" s="924">
        <f>'[3]свод (2024)'!$B$116</f>
        <v>0.99758349999999996</v>
      </c>
      <c r="BH165" s="923">
        <f t="shared" si="114"/>
        <v>221</v>
      </c>
      <c r="BI165" s="923">
        <f t="shared" si="115"/>
        <v>66.7</v>
      </c>
      <c r="BJ165" s="923">
        <f t="shared" si="116"/>
        <v>287.7</v>
      </c>
      <c r="BK165" s="925">
        <f t="shared" si="117"/>
        <v>-12.2</v>
      </c>
      <c r="BL165" s="925">
        <f t="shared" si="117"/>
        <v>-3.7</v>
      </c>
      <c r="BM165" s="925">
        <f t="shared" si="118"/>
        <v>-15.9</v>
      </c>
      <c r="BN165" s="925">
        <f t="shared" si="119"/>
        <v>0</v>
      </c>
      <c r="BO165" s="925">
        <f t="shared" si="120"/>
        <v>0</v>
      </c>
      <c r="BP165" s="926"/>
      <c r="BQ165" s="925">
        <f t="shared" si="121"/>
        <v>221</v>
      </c>
      <c r="BR165" s="925">
        <f t="shared" si="121"/>
        <v>66.7</v>
      </c>
      <c r="BS165" s="925">
        <f t="shared" si="122"/>
        <v>287.7</v>
      </c>
      <c r="BU165" s="928"/>
      <c r="BV165" s="917"/>
      <c r="BW165" s="928"/>
      <c r="BX165" s="928"/>
      <c r="BY165" s="928"/>
      <c r="BZ165" s="917"/>
      <c r="CA165" s="928"/>
      <c r="CB165" s="917"/>
      <c r="CC165" s="928"/>
      <c r="CD165" s="928"/>
      <c r="CE165" s="928"/>
      <c r="CF165" s="929"/>
      <c r="CG165" s="928"/>
      <c r="CH165" s="928"/>
      <c r="CI165" s="928"/>
      <c r="CJ165" s="925"/>
      <c r="CK165" s="925"/>
      <c r="CL165" s="925"/>
      <c r="CM165" s="925"/>
      <c r="CN165" s="925"/>
      <c r="CO165" s="925"/>
      <c r="CP165" s="925"/>
      <c r="CQ165" s="925"/>
      <c r="CR165" s="925"/>
      <c r="CS165" s="917"/>
      <c r="CT165" s="928"/>
      <c r="CU165" s="928"/>
      <c r="CV165" s="928"/>
      <c r="CX165" s="925"/>
      <c r="CY165" s="925"/>
      <c r="CZ165" s="925"/>
      <c r="DB165" s="925"/>
      <c r="DC165" s="925"/>
      <c r="DD165" s="925"/>
      <c r="DE165" s="925"/>
      <c r="DF165" s="925"/>
      <c r="DG165" s="925"/>
      <c r="DH165" s="925"/>
      <c r="DI165" s="925"/>
      <c r="DJ165" s="925"/>
      <c r="DK165" s="925"/>
      <c r="DL165" s="925"/>
      <c r="DM165" s="925"/>
      <c r="DN165" s="925"/>
      <c r="DO165" s="925"/>
      <c r="DP165" s="925"/>
      <c r="DQ165" s="924"/>
      <c r="DR165" s="925"/>
      <c r="DS165" s="925"/>
      <c r="DT165" s="925"/>
      <c r="DV165" s="925"/>
      <c r="DW165" s="925"/>
      <c r="DX165" s="925"/>
      <c r="DY165" s="925"/>
      <c r="DZ165" s="925"/>
      <c r="EA165" s="925"/>
      <c r="EB165" s="925"/>
      <c r="EC165" s="925"/>
      <c r="ED165" s="925"/>
      <c r="EE165" s="925"/>
      <c r="EF165" s="925"/>
      <c r="EG165" s="925"/>
      <c r="EH165" s="925"/>
      <c r="EI165" s="925"/>
      <c r="EJ165" s="925"/>
      <c r="EK165" s="925"/>
      <c r="EL165" s="925"/>
      <c r="EM165" s="925"/>
      <c r="EN165" s="925"/>
      <c r="EO165" s="925"/>
      <c r="EP165" s="925"/>
      <c r="EQ165" s="925"/>
      <c r="ER165" s="925"/>
      <c r="ES165" s="925"/>
      <c r="ET165" s="925"/>
      <c r="EV165" s="924"/>
      <c r="EW165" s="925"/>
      <c r="EX165" s="925"/>
      <c r="EY165" s="925"/>
    </row>
    <row r="166" spans="1:155" s="927" customFormat="1" ht="15.75" x14ac:dyDescent="0.25">
      <c r="A166" s="912" t="s">
        <v>360</v>
      </c>
      <c r="B166" s="913" t="s">
        <v>1410</v>
      </c>
      <c r="C166" s="914">
        <v>1</v>
      </c>
      <c r="D166" s="914">
        <v>6707</v>
      </c>
      <c r="E166" s="915">
        <v>1.0549999999999999</v>
      </c>
      <c r="F166" s="916">
        <f t="shared" si="77"/>
        <v>7076</v>
      </c>
      <c r="G166" s="915">
        <v>1.01</v>
      </c>
      <c r="H166" s="916">
        <f t="shared" si="78"/>
        <v>7147</v>
      </c>
      <c r="I166" s="917">
        <f t="shared" si="79"/>
        <v>7147</v>
      </c>
      <c r="J166" s="918">
        <f t="shared" si="80"/>
        <v>0</v>
      </c>
      <c r="K166" s="919"/>
      <c r="L166" s="917">
        <f t="shared" si="81"/>
        <v>0</v>
      </c>
      <c r="M166" s="918">
        <f t="shared" si="82"/>
        <v>0</v>
      </c>
      <c r="N166" s="919"/>
      <c r="O166" s="917">
        <f t="shared" si="83"/>
        <v>0</v>
      </c>
      <c r="P166" s="918">
        <f t="shared" si="84"/>
        <v>0</v>
      </c>
      <c r="Q166" s="919"/>
      <c r="R166" s="917">
        <f t="shared" si="85"/>
        <v>0</v>
      </c>
      <c r="S166" s="918">
        <f t="shared" si="86"/>
        <v>0</v>
      </c>
      <c r="T166" s="919"/>
      <c r="U166" s="917">
        <f t="shared" si="87"/>
        <v>0</v>
      </c>
      <c r="V166" s="918">
        <f t="shared" si="88"/>
        <v>0</v>
      </c>
      <c r="W166" s="919"/>
      <c r="X166" s="917">
        <f t="shared" si="89"/>
        <v>0</v>
      </c>
      <c r="Y166" s="918">
        <f t="shared" si="90"/>
        <v>0</v>
      </c>
      <c r="Z166" s="919"/>
      <c r="AA166" s="917">
        <f t="shared" si="91"/>
        <v>0</v>
      </c>
      <c r="AB166" s="918">
        <f t="shared" si="92"/>
        <v>0</v>
      </c>
      <c r="AC166" s="919"/>
      <c r="AD166" s="917">
        <f t="shared" si="93"/>
        <v>0</v>
      </c>
      <c r="AE166" s="918">
        <f t="shared" si="94"/>
        <v>0</v>
      </c>
      <c r="AF166" s="919"/>
      <c r="AG166" s="917">
        <f t="shared" si="95"/>
        <v>0</v>
      </c>
      <c r="AH166" s="918">
        <f t="shared" si="96"/>
        <v>0</v>
      </c>
      <c r="AI166" s="919"/>
      <c r="AJ166" s="917">
        <f t="shared" si="97"/>
        <v>0</v>
      </c>
      <c r="AK166" s="918">
        <f t="shared" si="98"/>
        <v>0</v>
      </c>
      <c r="AL166" s="919"/>
      <c r="AM166" s="917">
        <f t="shared" si="99"/>
        <v>0</v>
      </c>
      <c r="AN166" s="920">
        <v>19242</v>
      </c>
      <c r="AO166" s="917">
        <f t="shared" si="100"/>
        <v>12095</v>
      </c>
      <c r="AP166" s="920"/>
      <c r="AQ166" s="916">
        <f t="shared" si="101"/>
        <v>0</v>
      </c>
      <c r="AR166" s="917">
        <f t="shared" si="102"/>
        <v>19242</v>
      </c>
      <c r="AS166" s="916">
        <v>12</v>
      </c>
      <c r="AT166" s="921">
        <f t="shared" si="103"/>
        <v>230904</v>
      </c>
      <c r="AU166" s="920"/>
      <c r="AV166" s="922">
        <f t="shared" si="104"/>
        <v>2309.04</v>
      </c>
      <c r="AW166" s="921">
        <f t="shared" si="105"/>
        <v>233213.04</v>
      </c>
      <c r="AX166" s="921">
        <f t="shared" si="106"/>
        <v>70430.34</v>
      </c>
      <c r="AY166" s="921">
        <f t="shared" si="107"/>
        <v>303643.38</v>
      </c>
      <c r="AZ166" s="923">
        <f t="shared" si="108"/>
        <v>233.2</v>
      </c>
      <c r="BA166" s="923">
        <f t="shared" si="109"/>
        <v>70.400000000000006</v>
      </c>
      <c r="BB166" s="923">
        <f t="shared" si="110"/>
        <v>303.60000000000002</v>
      </c>
      <c r="BC166" s="915">
        <v>0.95</v>
      </c>
      <c r="BD166" s="923">
        <f t="shared" si="111"/>
        <v>221.5</v>
      </c>
      <c r="BE166" s="923">
        <f t="shared" si="112"/>
        <v>66.900000000000006</v>
      </c>
      <c r="BF166" s="923">
        <f t="shared" si="113"/>
        <v>288.39999999999998</v>
      </c>
      <c r="BG166" s="924">
        <f>'[3]свод (2024)'!$B$116</f>
        <v>0.99758349999999996</v>
      </c>
      <c r="BH166" s="923">
        <f t="shared" si="114"/>
        <v>221</v>
      </c>
      <c r="BI166" s="923">
        <f t="shared" si="115"/>
        <v>66.7</v>
      </c>
      <c r="BJ166" s="923">
        <f t="shared" si="116"/>
        <v>287.7</v>
      </c>
      <c r="BK166" s="925">
        <f t="shared" si="117"/>
        <v>-12.2</v>
      </c>
      <c r="BL166" s="925">
        <f t="shared" si="117"/>
        <v>-3.7</v>
      </c>
      <c r="BM166" s="925">
        <f t="shared" si="118"/>
        <v>-15.9</v>
      </c>
      <c r="BN166" s="925">
        <f t="shared" si="119"/>
        <v>0</v>
      </c>
      <c r="BO166" s="925">
        <f t="shared" si="120"/>
        <v>0</v>
      </c>
      <c r="BP166" s="926"/>
      <c r="BQ166" s="925">
        <f t="shared" si="121"/>
        <v>221</v>
      </c>
      <c r="BR166" s="925">
        <f t="shared" si="121"/>
        <v>66.7</v>
      </c>
      <c r="BS166" s="925">
        <f t="shared" si="122"/>
        <v>287.7</v>
      </c>
      <c r="BU166" s="928"/>
      <c r="BV166" s="917"/>
      <c r="BW166" s="928"/>
      <c r="BX166" s="928"/>
      <c r="BY166" s="928"/>
      <c r="BZ166" s="917"/>
      <c r="CA166" s="928"/>
      <c r="CB166" s="917"/>
      <c r="CC166" s="928"/>
      <c r="CD166" s="928"/>
      <c r="CE166" s="928"/>
      <c r="CF166" s="929"/>
      <c r="CG166" s="928"/>
      <c r="CH166" s="928"/>
      <c r="CI166" s="928"/>
      <c r="CJ166" s="925"/>
      <c r="CK166" s="925"/>
      <c r="CL166" s="925"/>
      <c r="CM166" s="925"/>
      <c r="CN166" s="925"/>
      <c r="CO166" s="925"/>
      <c r="CP166" s="925"/>
      <c r="CQ166" s="925"/>
      <c r="CR166" s="925"/>
      <c r="CS166" s="917"/>
      <c r="CT166" s="928"/>
      <c r="CU166" s="928"/>
      <c r="CV166" s="928"/>
      <c r="CX166" s="925"/>
      <c r="CY166" s="925"/>
      <c r="CZ166" s="925"/>
      <c r="DB166" s="925"/>
      <c r="DC166" s="925"/>
      <c r="DD166" s="925"/>
      <c r="DE166" s="925"/>
      <c r="DF166" s="925"/>
      <c r="DG166" s="925"/>
      <c r="DH166" s="925"/>
      <c r="DI166" s="925"/>
      <c r="DJ166" s="925"/>
      <c r="DK166" s="925"/>
      <c r="DL166" s="925"/>
      <c r="DM166" s="925"/>
      <c r="DN166" s="925"/>
      <c r="DO166" s="925"/>
      <c r="DP166" s="925"/>
      <c r="DQ166" s="924"/>
      <c r="DR166" s="925"/>
      <c r="DS166" s="925"/>
      <c r="DT166" s="925"/>
      <c r="DV166" s="925"/>
      <c r="DW166" s="925"/>
      <c r="DX166" s="925"/>
      <c r="DY166" s="925"/>
      <c r="DZ166" s="925"/>
      <c r="EA166" s="925"/>
      <c r="EB166" s="925"/>
      <c r="EC166" s="925"/>
      <c r="ED166" s="925"/>
      <c r="EE166" s="925"/>
      <c r="EF166" s="925"/>
      <c r="EG166" s="925"/>
      <c r="EH166" s="925"/>
      <c r="EI166" s="925"/>
      <c r="EJ166" s="925"/>
      <c r="EK166" s="925"/>
      <c r="EL166" s="925"/>
      <c r="EM166" s="925"/>
      <c r="EN166" s="925"/>
      <c r="EO166" s="925"/>
      <c r="EP166" s="925"/>
      <c r="EQ166" s="925"/>
      <c r="ER166" s="925"/>
      <c r="ES166" s="925"/>
      <c r="ET166" s="925"/>
      <c r="EV166" s="924"/>
      <c r="EW166" s="925"/>
      <c r="EX166" s="925"/>
      <c r="EY166" s="925"/>
    </row>
    <row r="167" spans="1:155" s="927" customFormat="1" ht="15.75" x14ac:dyDescent="0.25">
      <c r="A167" s="912" t="s">
        <v>360</v>
      </c>
      <c r="B167" s="913" t="s">
        <v>1385</v>
      </c>
      <c r="C167" s="914">
        <v>0.5</v>
      </c>
      <c r="D167" s="914">
        <v>7038</v>
      </c>
      <c r="E167" s="915">
        <v>1.0549999999999999</v>
      </c>
      <c r="F167" s="916">
        <f t="shared" si="77"/>
        <v>7426</v>
      </c>
      <c r="G167" s="915">
        <v>1.01</v>
      </c>
      <c r="H167" s="916">
        <f t="shared" si="78"/>
        <v>7501</v>
      </c>
      <c r="I167" s="917">
        <f t="shared" si="79"/>
        <v>3750.5</v>
      </c>
      <c r="J167" s="918">
        <f t="shared" si="80"/>
        <v>0</v>
      </c>
      <c r="K167" s="919"/>
      <c r="L167" s="917">
        <f t="shared" si="81"/>
        <v>0</v>
      </c>
      <c r="M167" s="918">
        <f t="shared" si="82"/>
        <v>0</v>
      </c>
      <c r="N167" s="919"/>
      <c r="O167" s="917">
        <f t="shared" si="83"/>
        <v>0</v>
      </c>
      <c r="P167" s="918">
        <f t="shared" si="84"/>
        <v>0</v>
      </c>
      <c r="Q167" s="919"/>
      <c r="R167" s="917">
        <f t="shared" si="85"/>
        <v>0</v>
      </c>
      <c r="S167" s="918">
        <f t="shared" si="86"/>
        <v>0</v>
      </c>
      <c r="T167" s="919"/>
      <c r="U167" s="917">
        <f t="shared" si="87"/>
        <v>0</v>
      </c>
      <c r="V167" s="918">
        <f t="shared" si="88"/>
        <v>0</v>
      </c>
      <c r="W167" s="919"/>
      <c r="X167" s="917">
        <f t="shared" si="89"/>
        <v>0</v>
      </c>
      <c r="Y167" s="918">
        <f t="shared" si="90"/>
        <v>0</v>
      </c>
      <c r="Z167" s="919"/>
      <c r="AA167" s="917">
        <f t="shared" si="91"/>
        <v>0</v>
      </c>
      <c r="AB167" s="918">
        <f t="shared" si="92"/>
        <v>0.2</v>
      </c>
      <c r="AC167" s="919">
        <v>703.8</v>
      </c>
      <c r="AD167" s="917">
        <f t="shared" si="93"/>
        <v>750.1</v>
      </c>
      <c r="AE167" s="918">
        <f t="shared" si="94"/>
        <v>0</v>
      </c>
      <c r="AF167" s="919"/>
      <c r="AG167" s="917">
        <f t="shared" si="95"/>
        <v>0</v>
      </c>
      <c r="AH167" s="918">
        <f t="shared" si="96"/>
        <v>0</v>
      </c>
      <c r="AI167" s="919"/>
      <c r="AJ167" s="917">
        <f t="shared" si="97"/>
        <v>0</v>
      </c>
      <c r="AK167" s="918">
        <f t="shared" si="98"/>
        <v>0</v>
      </c>
      <c r="AL167" s="919"/>
      <c r="AM167" s="917">
        <f t="shared" si="99"/>
        <v>0</v>
      </c>
      <c r="AN167" s="920">
        <v>19242</v>
      </c>
      <c r="AO167" s="917">
        <f t="shared" si="100"/>
        <v>5120.3999999999996</v>
      </c>
      <c r="AP167" s="920"/>
      <c r="AQ167" s="916">
        <f t="shared" si="101"/>
        <v>0</v>
      </c>
      <c r="AR167" s="917">
        <f t="shared" si="102"/>
        <v>9621</v>
      </c>
      <c r="AS167" s="916">
        <v>12</v>
      </c>
      <c r="AT167" s="921">
        <f t="shared" si="103"/>
        <v>115452</v>
      </c>
      <c r="AU167" s="920"/>
      <c r="AV167" s="922">
        <f t="shared" si="104"/>
        <v>1154.52</v>
      </c>
      <c r="AW167" s="921">
        <f t="shared" si="105"/>
        <v>116606.52</v>
      </c>
      <c r="AX167" s="921">
        <f t="shared" si="106"/>
        <v>35215.17</v>
      </c>
      <c r="AY167" s="921">
        <f t="shared" si="107"/>
        <v>151821.69</v>
      </c>
      <c r="AZ167" s="923">
        <f t="shared" si="108"/>
        <v>116.6</v>
      </c>
      <c r="BA167" s="923">
        <f t="shared" si="109"/>
        <v>35.200000000000003</v>
      </c>
      <c r="BB167" s="923">
        <f t="shared" si="110"/>
        <v>151.80000000000001</v>
      </c>
      <c r="BC167" s="915">
        <v>0.95</v>
      </c>
      <c r="BD167" s="923">
        <f t="shared" si="111"/>
        <v>110.8</v>
      </c>
      <c r="BE167" s="923">
        <f t="shared" si="112"/>
        <v>33.5</v>
      </c>
      <c r="BF167" s="923">
        <f t="shared" si="113"/>
        <v>144.30000000000001</v>
      </c>
      <c r="BG167" s="924">
        <f>'[3]свод (2024)'!$B$116</f>
        <v>0.99758349999999996</v>
      </c>
      <c r="BH167" s="923">
        <f t="shared" si="114"/>
        <v>110.5</v>
      </c>
      <c r="BI167" s="923">
        <f t="shared" si="115"/>
        <v>33.4</v>
      </c>
      <c r="BJ167" s="923">
        <f t="shared" si="116"/>
        <v>143.9</v>
      </c>
      <c r="BK167" s="925">
        <f t="shared" si="117"/>
        <v>-6.1</v>
      </c>
      <c r="BL167" s="925">
        <f t="shared" si="117"/>
        <v>-1.8</v>
      </c>
      <c r="BM167" s="925">
        <f t="shared" si="118"/>
        <v>-7.9</v>
      </c>
      <c r="BN167" s="925">
        <f t="shared" si="119"/>
        <v>0</v>
      </c>
      <c r="BO167" s="925">
        <f t="shared" si="120"/>
        <v>0</v>
      </c>
      <c r="BP167" s="926"/>
      <c r="BQ167" s="925">
        <f t="shared" si="121"/>
        <v>110.5</v>
      </c>
      <c r="BR167" s="925">
        <f t="shared" si="121"/>
        <v>33.4</v>
      </c>
      <c r="BS167" s="925">
        <f t="shared" si="122"/>
        <v>143.9</v>
      </c>
      <c r="BU167" s="928"/>
      <c r="BV167" s="917"/>
      <c r="BW167" s="928"/>
      <c r="BX167" s="928"/>
      <c r="BY167" s="928"/>
      <c r="BZ167" s="917"/>
      <c r="CA167" s="928"/>
      <c r="CB167" s="917"/>
      <c r="CC167" s="928"/>
      <c r="CD167" s="928"/>
      <c r="CE167" s="928"/>
      <c r="CF167" s="929"/>
      <c r="CG167" s="928"/>
      <c r="CH167" s="928"/>
      <c r="CI167" s="928"/>
      <c r="CJ167" s="925"/>
      <c r="CK167" s="925"/>
      <c r="CL167" s="925"/>
      <c r="CM167" s="925"/>
      <c r="CN167" s="925"/>
      <c r="CO167" s="925"/>
      <c r="CP167" s="925"/>
      <c r="CQ167" s="925"/>
      <c r="CR167" s="925"/>
      <c r="CS167" s="917"/>
      <c r="CT167" s="928"/>
      <c r="CU167" s="928"/>
      <c r="CV167" s="928"/>
      <c r="CX167" s="925"/>
      <c r="CY167" s="925"/>
      <c r="CZ167" s="925"/>
      <c r="DB167" s="925"/>
      <c r="DC167" s="925"/>
      <c r="DD167" s="925"/>
      <c r="DE167" s="925"/>
      <c r="DF167" s="925"/>
      <c r="DG167" s="925"/>
      <c r="DH167" s="925"/>
      <c r="DI167" s="925"/>
      <c r="DJ167" s="925"/>
      <c r="DK167" s="925"/>
      <c r="DL167" s="925"/>
      <c r="DM167" s="925"/>
      <c r="DN167" s="925"/>
      <c r="DO167" s="925"/>
      <c r="DP167" s="925"/>
      <c r="DQ167" s="924"/>
      <c r="DR167" s="925"/>
      <c r="DS167" s="925"/>
      <c r="DT167" s="925"/>
      <c r="DV167" s="925"/>
      <c r="DW167" s="925"/>
      <c r="DX167" s="925"/>
      <c r="DY167" s="925"/>
      <c r="DZ167" s="925"/>
      <c r="EA167" s="925"/>
      <c r="EB167" s="925"/>
      <c r="EC167" s="925"/>
      <c r="ED167" s="925"/>
      <c r="EE167" s="925"/>
      <c r="EF167" s="925"/>
      <c r="EG167" s="925"/>
      <c r="EH167" s="925"/>
      <c r="EI167" s="925"/>
      <c r="EJ167" s="925"/>
      <c r="EK167" s="925"/>
      <c r="EL167" s="925"/>
      <c r="EM167" s="925"/>
      <c r="EN167" s="925"/>
      <c r="EO167" s="925"/>
      <c r="EP167" s="925"/>
      <c r="EQ167" s="925"/>
      <c r="ER167" s="925"/>
      <c r="ES167" s="925"/>
      <c r="ET167" s="925"/>
      <c r="EV167" s="924"/>
      <c r="EW167" s="925"/>
      <c r="EX167" s="925"/>
      <c r="EY167" s="925"/>
    </row>
    <row r="168" spans="1:155" s="927" customFormat="1" ht="15.75" x14ac:dyDescent="0.25">
      <c r="A168" s="912" t="s">
        <v>360</v>
      </c>
      <c r="B168" s="913" t="s">
        <v>36</v>
      </c>
      <c r="C168" s="914">
        <v>3.5</v>
      </c>
      <c r="D168" s="914">
        <v>13772</v>
      </c>
      <c r="E168" s="915">
        <v>1.0549999999999999</v>
      </c>
      <c r="F168" s="916">
        <f t="shared" si="77"/>
        <v>14530</v>
      </c>
      <c r="G168" s="915">
        <v>1.01</v>
      </c>
      <c r="H168" s="916">
        <f t="shared" si="78"/>
        <v>14676</v>
      </c>
      <c r="I168" s="917">
        <f t="shared" si="79"/>
        <v>51366</v>
      </c>
      <c r="J168" s="918">
        <f t="shared" si="80"/>
        <v>0.10714</v>
      </c>
      <c r="K168" s="919">
        <v>5164.5</v>
      </c>
      <c r="L168" s="917">
        <f t="shared" si="81"/>
        <v>5503.35</v>
      </c>
      <c r="M168" s="918">
        <f t="shared" si="82"/>
        <v>0</v>
      </c>
      <c r="N168" s="919"/>
      <c r="O168" s="917">
        <f t="shared" si="83"/>
        <v>0</v>
      </c>
      <c r="P168" s="918">
        <f t="shared" si="84"/>
        <v>0</v>
      </c>
      <c r="Q168" s="919"/>
      <c r="R168" s="917">
        <f t="shared" si="85"/>
        <v>0</v>
      </c>
      <c r="S168" s="918">
        <f t="shared" si="86"/>
        <v>0</v>
      </c>
      <c r="T168" s="919"/>
      <c r="U168" s="917">
        <f t="shared" si="87"/>
        <v>0</v>
      </c>
      <c r="V168" s="918">
        <f t="shared" si="88"/>
        <v>0</v>
      </c>
      <c r="W168" s="919"/>
      <c r="X168" s="917">
        <f t="shared" si="89"/>
        <v>0</v>
      </c>
      <c r="Y168" s="918">
        <f t="shared" si="90"/>
        <v>0</v>
      </c>
      <c r="Z168" s="919"/>
      <c r="AA168" s="917">
        <f t="shared" si="91"/>
        <v>0</v>
      </c>
      <c r="AB168" s="918">
        <f t="shared" si="92"/>
        <v>0.15714</v>
      </c>
      <c r="AC168" s="919">
        <v>7574.6</v>
      </c>
      <c r="AD168" s="917">
        <f t="shared" si="93"/>
        <v>8071.65</v>
      </c>
      <c r="AE168" s="918">
        <f t="shared" si="94"/>
        <v>0</v>
      </c>
      <c r="AF168" s="919"/>
      <c r="AG168" s="917">
        <f t="shared" si="95"/>
        <v>0</v>
      </c>
      <c r="AH168" s="918">
        <f t="shared" si="96"/>
        <v>0</v>
      </c>
      <c r="AI168" s="919"/>
      <c r="AJ168" s="917">
        <f t="shared" si="97"/>
        <v>0</v>
      </c>
      <c r="AK168" s="918">
        <f t="shared" si="98"/>
        <v>0</v>
      </c>
      <c r="AL168" s="919"/>
      <c r="AM168" s="917">
        <f t="shared" si="99"/>
        <v>0</v>
      </c>
      <c r="AN168" s="920">
        <v>19242</v>
      </c>
      <c r="AO168" s="917">
        <f t="shared" si="100"/>
        <v>2406</v>
      </c>
      <c r="AP168" s="920"/>
      <c r="AQ168" s="916">
        <f t="shared" si="101"/>
        <v>0</v>
      </c>
      <c r="AR168" s="917">
        <f t="shared" si="102"/>
        <v>67347</v>
      </c>
      <c r="AS168" s="916">
        <v>12</v>
      </c>
      <c r="AT168" s="921">
        <f t="shared" si="103"/>
        <v>808164</v>
      </c>
      <c r="AU168" s="920"/>
      <c r="AV168" s="922">
        <f t="shared" si="104"/>
        <v>8081.64</v>
      </c>
      <c r="AW168" s="921">
        <f t="shared" si="105"/>
        <v>816245.64</v>
      </c>
      <c r="AX168" s="921">
        <f t="shared" si="106"/>
        <v>246506.18</v>
      </c>
      <c r="AY168" s="921">
        <f t="shared" si="107"/>
        <v>1062751.82</v>
      </c>
      <c r="AZ168" s="923">
        <f t="shared" si="108"/>
        <v>816.2</v>
      </c>
      <c r="BA168" s="923">
        <f t="shared" si="109"/>
        <v>246.5</v>
      </c>
      <c r="BB168" s="923">
        <f t="shared" si="110"/>
        <v>1062.7</v>
      </c>
      <c r="BC168" s="915">
        <v>0.95</v>
      </c>
      <c r="BD168" s="923">
        <f t="shared" si="111"/>
        <v>775.4</v>
      </c>
      <c r="BE168" s="923">
        <f t="shared" si="112"/>
        <v>234.2</v>
      </c>
      <c r="BF168" s="923">
        <f t="shared" si="113"/>
        <v>1009.6</v>
      </c>
      <c r="BG168" s="924">
        <f>'[3]свод (2024)'!$B$116</f>
        <v>0.99758349999999996</v>
      </c>
      <c r="BH168" s="923">
        <f t="shared" si="114"/>
        <v>773.5</v>
      </c>
      <c r="BI168" s="923">
        <f t="shared" si="115"/>
        <v>233.6</v>
      </c>
      <c r="BJ168" s="923">
        <f t="shared" si="116"/>
        <v>1007.1</v>
      </c>
      <c r="BK168" s="925">
        <f t="shared" si="117"/>
        <v>-42.7</v>
      </c>
      <c r="BL168" s="925">
        <f t="shared" si="117"/>
        <v>-12.9</v>
      </c>
      <c r="BM168" s="925">
        <f t="shared" si="118"/>
        <v>-55.6</v>
      </c>
      <c r="BN168" s="925">
        <f t="shared" si="119"/>
        <v>0</v>
      </c>
      <c r="BO168" s="925">
        <f t="shared" si="120"/>
        <v>0</v>
      </c>
      <c r="BP168" s="926"/>
      <c r="BQ168" s="925">
        <f t="shared" si="121"/>
        <v>773.5</v>
      </c>
      <c r="BR168" s="925">
        <f t="shared" si="121"/>
        <v>233.6</v>
      </c>
      <c r="BS168" s="925">
        <f t="shared" si="122"/>
        <v>1007.1</v>
      </c>
      <c r="BU168" s="928">
        <f t="shared" si="123"/>
        <v>3.5</v>
      </c>
      <c r="BV168" s="917"/>
      <c r="BW168" s="928"/>
      <c r="BX168" s="928">
        <f t="shared" si="124"/>
        <v>816245.64</v>
      </c>
      <c r="BY168" s="928"/>
      <c r="BZ168" s="917"/>
      <c r="CA168" s="928"/>
      <c r="CB168" s="917"/>
      <c r="CC168" s="928"/>
      <c r="CD168" s="928"/>
      <c r="CE168" s="928"/>
      <c r="CF168" s="929">
        <f>CC$184/BU$184*BU168</f>
        <v>275905.40000000002</v>
      </c>
      <c r="CG168" s="928"/>
      <c r="CH168" s="928"/>
      <c r="CI168" s="928"/>
      <c r="CJ168" s="925"/>
      <c r="CK168" s="925"/>
      <c r="CL168" s="925"/>
      <c r="CM168" s="925"/>
      <c r="CN168" s="925"/>
      <c r="CO168" s="925"/>
      <c r="CP168" s="925"/>
      <c r="CQ168" s="925"/>
      <c r="CR168" s="925"/>
      <c r="CS168" s="917"/>
      <c r="CT168" s="928"/>
      <c r="CU168" s="928"/>
      <c r="CV168" s="928"/>
      <c r="CX168" s="925"/>
      <c r="CY168" s="925"/>
      <c r="CZ168" s="925"/>
      <c r="DB168" s="925"/>
      <c r="DC168" s="925"/>
      <c r="DD168" s="925"/>
      <c r="DE168" s="925"/>
      <c r="DF168" s="925"/>
      <c r="DG168" s="925"/>
      <c r="DH168" s="925"/>
      <c r="DI168" s="925"/>
      <c r="DJ168" s="925"/>
      <c r="DK168" s="925"/>
      <c r="DL168" s="925"/>
      <c r="DM168" s="925"/>
      <c r="DN168" s="925"/>
      <c r="DO168" s="925"/>
      <c r="DP168" s="925"/>
      <c r="DQ168" s="924"/>
      <c r="DR168" s="925"/>
      <c r="DS168" s="925"/>
      <c r="DT168" s="925"/>
      <c r="DV168" s="925"/>
      <c r="DW168" s="925"/>
      <c r="DX168" s="925"/>
      <c r="DY168" s="925"/>
      <c r="DZ168" s="925"/>
      <c r="EA168" s="925"/>
      <c r="EB168" s="925"/>
      <c r="EC168" s="925"/>
      <c r="ED168" s="925"/>
      <c r="EE168" s="925"/>
      <c r="EF168" s="925"/>
      <c r="EG168" s="925"/>
      <c r="EH168" s="925"/>
      <c r="EI168" s="925"/>
      <c r="EJ168" s="925"/>
      <c r="EK168" s="925"/>
      <c r="EL168" s="925"/>
      <c r="EM168" s="925"/>
      <c r="EN168" s="925"/>
      <c r="EO168" s="925"/>
      <c r="EP168" s="925"/>
      <c r="EQ168" s="925"/>
      <c r="ER168" s="925"/>
      <c r="ES168" s="925"/>
      <c r="ET168" s="925"/>
      <c r="EV168" s="924"/>
      <c r="EW168" s="925"/>
      <c r="EX168" s="925"/>
      <c r="EY168" s="925"/>
    </row>
    <row r="169" spans="1:155" s="927" customFormat="1" ht="15.75" x14ac:dyDescent="0.25">
      <c r="A169" s="912" t="s">
        <v>360</v>
      </c>
      <c r="B169" s="913" t="s">
        <v>43</v>
      </c>
      <c r="C169" s="914">
        <v>2.5</v>
      </c>
      <c r="D169" s="914">
        <v>6707</v>
      </c>
      <c r="E169" s="915">
        <v>1.0549999999999999</v>
      </c>
      <c r="F169" s="916">
        <f t="shared" si="77"/>
        <v>7076</v>
      </c>
      <c r="G169" s="915">
        <v>1.01</v>
      </c>
      <c r="H169" s="916">
        <f t="shared" si="78"/>
        <v>7147</v>
      </c>
      <c r="I169" s="917">
        <f t="shared" si="79"/>
        <v>17867.5</v>
      </c>
      <c r="J169" s="918">
        <f t="shared" si="80"/>
        <v>0</v>
      </c>
      <c r="K169" s="919"/>
      <c r="L169" s="917">
        <f t="shared" si="81"/>
        <v>0</v>
      </c>
      <c r="M169" s="918">
        <f t="shared" si="82"/>
        <v>0</v>
      </c>
      <c r="N169" s="919"/>
      <c r="O169" s="917">
        <f t="shared" si="83"/>
        <v>0</v>
      </c>
      <c r="P169" s="918">
        <f t="shared" si="84"/>
        <v>0</v>
      </c>
      <c r="Q169" s="919"/>
      <c r="R169" s="917">
        <f t="shared" si="85"/>
        <v>0</v>
      </c>
      <c r="S169" s="918">
        <f t="shared" si="86"/>
        <v>0</v>
      </c>
      <c r="T169" s="919"/>
      <c r="U169" s="917">
        <f t="shared" si="87"/>
        <v>0</v>
      </c>
      <c r="V169" s="918">
        <f t="shared" si="88"/>
        <v>0</v>
      </c>
      <c r="W169" s="919"/>
      <c r="X169" s="917">
        <f t="shared" si="89"/>
        <v>0</v>
      </c>
      <c r="Y169" s="918">
        <f t="shared" si="90"/>
        <v>0</v>
      </c>
      <c r="Z169" s="919"/>
      <c r="AA169" s="917">
        <f t="shared" si="91"/>
        <v>0</v>
      </c>
      <c r="AB169" s="918">
        <f t="shared" si="92"/>
        <v>0.15</v>
      </c>
      <c r="AC169" s="919">
        <v>2515.13</v>
      </c>
      <c r="AD169" s="917">
        <f t="shared" si="93"/>
        <v>2680.13</v>
      </c>
      <c r="AE169" s="918">
        <f t="shared" si="94"/>
        <v>0</v>
      </c>
      <c r="AF169" s="919"/>
      <c r="AG169" s="917">
        <f t="shared" si="95"/>
        <v>0</v>
      </c>
      <c r="AH169" s="918">
        <f t="shared" si="96"/>
        <v>0</v>
      </c>
      <c r="AI169" s="919"/>
      <c r="AJ169" s="917">
        <f t="shared" si="97"/>
        <v>0</v>
      </c>
      <c r="AK169" s="918">
        <f t="shared" si="98"/>
        <v>0</v>
      </c>
      <c r="AL169" s="919"/>
      <c r="AM169" s="917">
        <f t="shared" si="99"/>
        <v>0</v>
      </c>
      <c r="AN169" s="920">
        <v>19242</v>
      </c>
      <c r="AO169" s="917">
        <f t="shared" si="100"/>
        <v>27557.37</v>
      </c>
      <c r="AP169" s="920"/>
      <c r="AQ169" s="916">
        <f t="shared" si="101"/>
        <v>0</v>
      </c>
      <c r="AR169" s="917">
        <f t="shared" si="102"/>
        <v>48105</v>
      </c>
      <c r="AS169" s="916">
        <v>12</v>
      </c>
      <c r="AT169" s="921">
        <f t="shared" si="103"/>
        <v>577260</v>
      </c>
      <c r="AU169" s="920"/>
      <c r="AV169" s="922">
        <f t="shared" si="104"/>
        <v>5772.6</v>
      </c>
      <c r="AW169" s="921">
        <f t="shared" si="105"/>
        <v>583032.6</v>
      </c>
      <c r="AX169" s="921">
        <f t="shared" si="106"/>
        <v>176075.85</v>
      </c>
      <c r="AY169" s="921">
        <f t="shared" si="107"/>
        <v>759108.45</v>
      </c>
      <c r="AZ169" s="923">
        <f t="shared" si="108"/>
        <v>583</v>
      </c>
      <c r="BA169" s="923">
        <f t="shared" si="109"/>
        <v>176.1</v>
      </c>
      <c r="BB169" s="923">
        <f t="shared" si="110"/>
        <v>759.1</v>
      </c>
      <c r="BC169" s="915">
        <v>0.95</v>
      </c>
      <c r="BD169" s="923">
        <f t="shared" si="111"/>
        <v>553.9</v>
      </c>
      <c r="BE169" s="923">
        <f t="shared" si="112"/>
        <v>167.3</v>
      </c>
      <c r="BF169" s="923">
        <f t="shared" si="113"/>
        <v>721.2</v>
      </c>
      <c r="BG169" s="924">
        <f>'[3]свод (2024)'!$B$116</f>
        <v>0.99758349999999996</v>
      </c>
      <c r="BH169" s="923">
        <f t="shared" si="114"/>
        <v>552.6</v>
      </c>
      <c r="BI169" s="923">
        <f t="shared" si="115"/>
        <v>166.9</v>
      </c>
      <c r="BJ169" s="923">
        <f t="shared" si="116"/>
        <v>719.5</v>
      </c>
      <c r="BK169" s="925">
        <f t="shared" si="117"/>
        <v>-30.4</v>
      </c>
      <c r="BL169" s="925">
        <f t="shared" si="117"/>
        <v>-9.1999999999999993</v>
      </c>
      <c r="BM169" s="925">
        <f t="shared" si="118"/>
        <v>-39.6</v>
      </c>
      <c r="BN169" s="925">
        <f t="shared" si="119"/>
        <v>0</v>
      </c>
      <c r="BO169" s="925">
        <f t="shared" si="120"/>
        <v>0</v>
      </c>
      <c r="BP169" s="926"/>
      <c r="BQ169" s="925">
        <f t="shared" si="121"/>
        <v>552.6</v>
      </c>
      <c r="BR169" s="925">
        <f t="shared" si="121"/>
        <v>166.9</v>
      </c>
      <c r="BS169" s="925">
        <f t="shared" si="122"/>
        <v>719.5</v>
      </c>
      <c r="BU169" s="928"/>
      <c r="BV169" s="917"/>
      <c r="BW169" s="928"/>
      <c r="BX169" s="928"/>
      <c r="BY169" s="928"/>
      <c r="BZ169" s="917"/>
      <c r="CA169" s="928"/>
      <c r="CB169" s="917"/>
      <c r="CC169" s="928"/>
      <c r="CD169" s="928"/>
      <c r="CE169" s="928"/>
      <c r="CF169" s="929"/>
      <c r="CG169" s="928"/>
      <c r="CH169" s="928"/>
      <c r="CI169" s="928"/>
      <c r="CJ169" s="925"/>
      <c r="CK169" s="925"/>
      <c r="CL169" s="925"/>
      <c r="CM169" s="925"/>
      <c r="CN169" s="925"/>
      <c r="CO169" s="925"/>
      <c r="CP169" s="925"/>
      <c r="CQ169" s="925"/>
      <c r="CR169" s="925"/>
      <c r="CS169" s="917"/>
      <c r="CT169" s="928"/>
      <c r="CU169" s="928"/>
      <c r="CV169" s="928"/>
      <c r="CX169" s="925"/>
      <c r="CY169" s="925"/>
      <c r="CZ169" s="925"/>
      <c r="DB169" s="925"/>
      <c r="DC169" s="925"/>
      <c r="DD169" s="925"/>
      <c r="DE169" s="925"/>
      <c r="DF169" s="925"/>
      <c r="DG169" s="925"/>
      <c r="DH169" s="925"/>
      <c r="DI169" s="925"/>
      <c r="DJ169" s="925"/>
      <c r="DK169" s="925"/>
      <c r="DL169" s="925"/>
      <c r="DM169" s="925"/>
      <c r="DN169" s="925"/>
      <c r="DO169" s="925"/>
      <c r="DP169" s="925"/>
      <c r="DQ169" s="924"/>
      <c r="DR169" s="925"/>
      <c r="DS169" s="925"/>
      <c r="DT169" s="925"/>
      <c r="DV169" s="925"/>
      <c r="DW169" s="925"/>
      <c r="DX169" s="925"/>
      <c r="DY169" s="925"/>
      <c r="DZ169" s="925"/>
      <c r="EA169" s="925"/>
      <c r="EB169" s="925"/>
      <c r="EC169" s="925"/>
      <c r="ED169" s="925"/>
      <c r="EE169" s="925"/>
      <c r="EF169" s="925"/>
      <c r="EG169" s="925"/>
      <c r="EH169" s="925"/>
      <c r="EI169" s="925"/>
      <c r="EJ169" s="925"/>
      <c r="EK169" s="925"/>
      <c r="EL169" s="925"/>
      <c r="EM169" s="925"/>
      <c r="EN169" s="925"/>
      <c r="EO169" s="925"/>
      <c r="EP169" s="925"/>
      <c r="EQ169" s="925"/>
      <c r="ER169" s="925"/>
      <c r="ES169" s="925"/>
      <c r="ET169" s="925"/>
      <c r="EV169" s="924"/>
      <c r="EW169" s="925"/>
      <c r="EX169" s="925"/>
      <c r="EY169" s="925"/>
    </row>
    <row r="170" spans="1:155" s="927" customFormat="1" ht="15.75" x14ac:dyDescent="0.25">
      <c r="A170" s="912" t="s">
        <v>360</v>
      </c>
      <c r="B170" s="913" t="s">
        <v>1411</v>
      </c>
      <c r="C170" s="914">
        <v>1</v>
      </c>
      <c r="D170" s="914">
        <v>4588</v>
      </c>
      <c r="E170" s="915">
        <v>1.0549999999999999</v>
      </c>
      <c r="F170" s="916">
        <f t="shared" si="77"/>
        <v>4841</v>
      </c>
      <c r="G170" s="915">
        <v>1.01</v>
      </c>
      <c r="H170" s="916">
        <f t="shared" si="78"/>
        <v>4890</v>
      </c>
      <c r="I170" s="917">
        <f t="shared" si="79"/>
        <v>4890</v>
      </c>
      <c r="J170" s="918">
        <f t="shared" si="80"/>
        <v>0</v>
      </c>
      <c r="K170" s="919"/>
      <c r="L170" s="917">
        <f t="shared" si="81"/>
        <v>0</v>
      </c>
      <c r="M170" s="918">
        <f t="shared" si="82"/>
        <v>0</v>
      </c>
      <c r="N170" s="919"/>
      <c r="O170" s="917">
        <f t="shared" si="83"/>
        <v>0</v>
      </c>
      <c r="P170" s="918">
        <f t="shared" si="84"/>
        <v>0</v>
      </c>
      <c r="Q170" s="919"/>
      <c r="R170" s="917">
        <f t="shared" si="85"/>
        <v>0</v>
      </c>
      <c r="S170" s="918">
        <f t="shared" si="86"/>
        <v>0</v>
      </c>
      <c r="T170" s="919"/>
      <c r="U170" s="917">
        <f t="shared" si="87"/>
        <v>0</v>
      </c>
      <c r="V170" s="918">
        <f t="shared" si="88"/>
        <v>0</v>
      </c>
      <c r="W170" s="919"/>
      <c r="X170" s="917">
        <f t="shared" si="89"/>
        <v>0</v>
      </c>
      <c r="Y170" s="918">
        <f t="shared" si="90"/>
        <v>0</v>
      </c>
      <c r="Z170" s="919"/>
      <c r="AA170" s="917">
        <f t="shared" si="91"/>
        <v>0</v>
      </c>
      <c r="AB170" s="918">
        <f t="shared" si="92"/>
        <v>0</v>
      </c>
      <c r="AC170" s="919"/>
      <c r="AD170" s="917">
        <f t="shared" si="93"/>
        <v>0</v>
      </c>
      <c r="AE170" s="918">
        <f t="shared" si="94"/>
        <v>0</v>
      </c>
      <c r="AF170" s="919"/>
      <c r="AG170" s="917">
        <f t="shared" si="95"/>
        <v>0</v>
      </c>
      <c r="AH170" s="918">
        <f t="shared" si="96"/>
        <v>0</v>
      </c>
      <c r="AI170" s="919"/>
      <c r="AJ170" s="917">
        <f t="shared" si="97"/>
        <v>0</v>
      </c>
      <c r="AK170" s="918">
        <f t="shared" si="98"/>
        <v>0</v>
      </c>
      <c r="AL170" s="919"/>
      <c r="AM170" s="917">
        <f t="shared" si="99"/>
        <v>0</v>
      </c>
      <c r="AN170" s="920">
        <v>19242</v>
      </c>
      <c r="AO170" s="917">
        <f t="shared" si="100"/>
        <v>14352</v>
      </c>
      <c r="AP170" s="920">
        <v>1060.29</v>
      </c>
      <c r="AQ170" s="916">
        <f t="shared" si="101"/>
        <v>1060.29</v>
      </c>
      <c r="AR170" s="917">
        <f t="shared" si="102"/>
        <v>20302.29</v>
      </c>
      <c r="AS170" s="916">
        <v>12</v>
      </c>
      <c r="AT170" s="921">
        <f t="shared" si="103"/>
        <v>243627.48</v>
      </c>
      <c r="AU170" s="920">
        <f t="shared" ref="AU170:AU171" si="144">AT170*0.085</f>
        <v>20708.34</v>
      </c>
      <c r="AV170" s="922">
        <f t="shared" si="104"/>
        <v>2436.27</v>
      </c>
      <c r="AW170" s="921">
        <f t="shared" si="105"/>
        <v>266772.09000000003</v>
      </c>
      <c r="AX170" s="921">
        <f t="shared" si="106"/>
        <v>80565.17</v>
      </c>
      <c r="AY170" s="921">
        <f t="shared" si="107"/>
        <v>347337.26</v>
      </c>
      <c r="AZ170" s="923">
        <f t="shared" si="108"/>
        <v>266.8</v>
      </c>
      <c r="BA170" s="923">
        <f t="shared" si="109"/>
        <v>80.599999999999994</v>
      </c>
      <c r="BB170" s="923">
        <f t="shared" si="110"/>
        <v>347.4</v>
      </c>
      <c r="BC170" s="915">
        <v>0.95</v>
      </c>
      <c r="BD170" s="923">
        <f t="shared" si="111"/>
        <v>253.5</v>
      </c>
      <c r="BE170" s="923">
        <f t="shared" si="112"/>
        <v>76.599999999999994</v>
      </c>
      <c r="BF170" s="923">
        <f t="shared" si="113"/>
        <v>330.1</v>
      </c>
      <c r="BG170" s="924">
        <f>'[3]свод (2024)'!$B$116</f>
        <v>0.99758349999999996</v>
      </c>
      <c r="BH170" s="923">
        <f t="shared" si="114"/>
        <v>252.9</v>
      </c>
      <c r="BI170" s="923">
        <f t="shared" si="115"/>
        <v>76.400000000000006</v>
      </c>
      <c r="BJ170" s="923">
        <f t="shared" si="116"/>
        <v>329.3</v>
      </c>
      <c r="BK170" s="925">
        <f t="shared" si="117"/>
        <v>-13.9</v>
      </c>
      <c r="BL170" s="925">
        <f t="shared" si="117"/>
        <v>-4.2</v>
      </c>
      <c r="BM170" s="925">
        <f t="shared" si="118"/>
        <v>-18.100000000000001</v>
      </c>
      <c r="BN170" s="925">
        <f t="shared" si="119"/>
        <v>0</v>
      </c>
      <c r="BO170" s="925">
        <f t="shared" si="120"/>
        <v>0</v>
      </c>
      <c r="BP170" s="926"/>
      <c r="BQ170" s="925">
        <f t="shared" si="121"/>
        <v>252.9</v>
      </c>
      <c r="BR170" s="925">
        <f t="shared" si="121"/>
        <v>76.400000000000006</v>
      </c>
      <c r="BS170" s="925">
        <f t="shared" si="122"/>
        <v>329.3</v>
      </c>
      <c r="BU170" s="928"/>
      <c r="BV170" s="917"/>
      <c r="BW170" s="928"/>
      <c r="BX170" s="928"/>
      <c r="BY170" s="928"/>
      <c r="BZ170" s="917"/>
      <c r="CA170" s="928"/>
      <c r="CB170" s="917"/>
      <c r="CC170" s="928"/>
      <c r="CD170" s="928"/>
      <c r="CE170" s="928"/>
      <c r="CF170" s="929"/>
      <c r="CG170" s="928"/>
      <c r="CH170" s="928"/>
      <c r="CI170" s="928"/>
      <c r="CJ170" s="925"/>
      <c r="CK170" s="925"/>
      <c r="CL170" s="925"/>
      <c r="CM170" s="925"/>
      <c r="CN170" s="925"/>
      <c r="CO170" s="925"/>
      <c r="CP170" s="925"/>
      <c r="CQ170" s="925"/>
      <c r="CR170" s="925"/>
      <c r="CS170" s="917"/>
      <c r="CT170" s="928"/>
      <c r="CU170" s="928"/>
      <c r="CV170" s="928"/>
      <c r="CX170" s="925"/>
      <c r="CY170" s="925"/>
      <c r="CZ170" s="925"/>
      <c r="DB170" s="925"/>
      <c r="DC170" s="925"/>
      <c r="DD170" s="925"/>
      <c r="DE170" s="925"/>
      <c r="DF170" s="925"/>
      <c r="DG170" s="925"/>
      <c r="DH170" s="925"/>
      <c r="DI170" s="925"/>
      <c r="DJ170" s="925"/>
      <c r="DK170" s="925"/>
      <c r="DL170" s="925"/>
      <c r="DM170" s="925"/>
      <c r="DN170" s="925"/>
      <c r="DO170" s="925"/>
      <c r="DP170" s="925"/>
      <c r="DQ170" s="924"/>
      <c r="DR170" s="925"/>
      <c r="DS170" s="925"/>
      <c r="DT170" s="925"/>
      <c r="DV170" s="925"/>
      <c r="DW170" s="925"/>
      <c r="DX170" s="925"/>
      <c r="DY170" s="925"/>
      <c r="DZ170" s="925"/>
      <c r="EA170" s="925"/>
      <c r="EB170" s="925"/>
      <c r="EC170" s="925"/>
      <c r="ED170" s="925"/>
      <c r="EE170" s="925"/>
      <c r="EF170" s="925"/>
      <c r="EG170" s="925"/>
      <c r="EH170" s="925"/>
      <c r="EI170" s="925"/>
      <c r="EJ170" s="925"/>
      <c r="EK170" s="925"/>
      <c r="EL170" s="925"/>
      <c r="EM170" s="925"/>
      <c r="EN170" s="925"/>
      <c r="EO170" s="925"/>
      <c r="EP170" s="925"/>
      <c r="EQ170" s="925"/>
      <c r="ER170" s="925"/>
      <c r="ES170" s="925"/>
      <c r="ET170" s="925"/>
      <c r="EV170" s="924"/>
      <c r="EW170" s="925"/>
      <c r="EX170" s="925"/>
      <c r="EY170" s="925"/>
    </row>
    <row r="171" spans="1:155" s="927" customFormat="1" ht="15.75" x14ac:dyDescent="0.25">
      <c r="A171" s="912" t="s">
        <v>360</v>
      </c>
      <c r="B171" s="913" t="s">
        <v>1412</v>
      </c>
      <c r="C171" s="914">
        <v>4</v>
      </c>
      <c r="D171" s="914">
        <v>4856</v>
      </c>
      <c r="E171" s="915">
        <v>1.0549999999999999</v>
      </c>
      <c r="F171" s="916">
        <f t="shared" si="77"/>
        <v>5124</v>
      </c>
      <c r="G171" s="915">
        <v>1.01</v>
      </c>
      <c r="H171" s="916">
        <f t="shared" si="78"/>
        <v>5176</v>
      </c>
      <c r="I171" s="917">
        <f t="shared" si="79"/>
        <v>20704</v>
      </c>
      <c r="J171" s="918">
        <f t="shared" si="80"/>
        <v>0</v>
      </c>
      <c r="K171" s="919"/>
      <c r="L171" s="917">
        <f t="shared" si="81"/>
        <v>0</v>
      </c>
      <c r="M171" s="918">
        <f t="shared" si="82"/>
        <v>0</v>
      </c>
      <c r="N171" s="919"/>
      <c r="O171" s="917">
        <f t="shared" si="83"/>
        <v>0</v>
      </c>
      <c r="P171" s="918">
        <f t="shared" si="84"/>
        <v>0</v>
      </c>
      <c r="Q171" s="919"/>
      <c r="R171" s="917">
        <f t="shared" si="85"/>
        <v>0</v>
      </c>
      <c r="S171" s="918">
        <f t="shared" si="86"/>
        <v>0</v>
      </c>
      <c r="T171" s="919"/>
      <c r="U171" s="917">
        <f t="shared" si="87"/>
        <v>0</v>
      </c>
      <c r="V171" s="918">
        <f t="shared" si="88"/>
        <v>0</v>
      </c>
      <c r="W171" s="919"/>
      <c r="X171" s="917">
        <f t="shared" si="89"/>
        <v>0</v>
      </c>
      <c r="Y171" s="918">
        <f t="shared" si="90"/>
        <v>0</v>
      </c>
      <c r="Z171" s="919"/>
      <c r="AA171" s="917">
        <f t="shared" si="91"/>
        <v>0</v>
      </c>
      <c r="AB171" s="918">
        <f t="shared" si="92"/>
        <v>0</v>
      </c>
      <c r="AC171" s="919"/>
      <c r="AD171" s="917">
        <f t="shared" si="93"/>
        <v>0</v>
      </c>
      <c r="AE171" s="918">
        <f t="shared" si="94"/>
        <v>0</v>
      </c>
      <c r="AF171" s="919"/>
      <c r="AG171" s="917">
        <f t="shared" si="95"/>
        <v>0</v>
      </c>
      <c r="AH171" s="918">
        <f t="shared" si="96"/>
        <v>0</v>
      </c>
      <c r="AI171" s="919"/>
      <c r="AJ171" s="917">
        <f t="shared" si="97"/>
        <v>0</v>
      </c>
      <c r="AK171" s="918">
        <f t="shared" si="98"/>
        <v>0</v>
      </c>
      <c r="AL171" s="919"/>
      <c r="AM171" s="917">
        <f t="shared" si="99"/>
        <v>0</v>
      </c>
      <c r="AN171" s="920">
        <v>19242</v>
      </c>
      <c r="AO171" s="917">
        <f t="shared" si="100"/>
        <v>56264</v>
      </c>
      <c r="AP171" s="920">
        <v>1060.29</v>
      </c>
      <c r="AQ171" s="916">
        <f t="shared" si="101"/>
        <v>4241.16</v>
      </c>
      <c r="AR171" s="917">
        <f t="shared" si="102"/>
        <v>81209.16</v>
      </c>
      <c r="AS171" s="916">
        <v>12</v>
      </c>
      <c r="AT171" s="921">
        <f t="shared" si="103"/>
        <v>974509.92</v>
      </c>
      <c r="AU171" s="920">
        <f t="shared" si="144"/>
        <v>82833.34</v>
      </c>
      <c r="AV171" s="922">
        <f t="shared" si="104"/>
        <v>9745.1</v>
      </c>
      <c r="AW171" s="921">
        <f t="shared" si="105"/>
        <v>1067088.3600000001</v>
      </c>
      <c r="AX171" s="921">
        <f t="shared" si="106"/>
        <v>322260.68</v>
      </c>
      <c r="AY171" s="921">
        <f t="shared" si="107"/>
        <v>1389349.04</v>
      </c>
      <c r="AZ171" s="923">
        <f t="shared" si="108"/>
        <v>1067.0999999999999</v>
      </c>
      <c r="BA171" s="923">
        <f t="shared" si="109"/>
        <v>322.3</v>
      </c>
      <c r="BB171" s="923">
        <f t="shared" si="110"/>
        <v>1389.4</v>
      </c>
      <c r="BC171" s="915">
        <v>0.95</v>
      </c>
      <c r="BD171" s="923">
        <f t="shared" si="111"/>
        <v>1013.7</v>
      </c>
      <c r="BE171" s="923">
        <f t="shared" si="112"/>
        <v>306.10000000000002</v>
      </c>
      <c r="BF171" s="923">
        <f t="shared" si="113"/>
        <v>1319.8</v>
      </c>
      <c r="BG171" s="924">
        <f>'[3]свод (2024)'!$B$116</f>
        <v>0.99758349999999996</v>
      </c>
      <c r="BH171" s="923">
        <f t="shared" si="114"/>
        <v>1011.3</v>
      </c>
      <c r="BI171" s="923">
        <f t="shared" si="115"/>
        <v>305.39999999999998</v>
      </c>
      <c r="BJ171" s="923">
        <f t="shared" si="116"/>
        <v>1316.7</v>
      </c>
      <c r="BK171" s="925">
        <f t="shared" si="117"/>
        <v>-55.8</v>
      </c>
      <c r="BL171" s="925">
        <f t="shared" si="117"/>
        <v>-16.899999999999999</v>
      </c>
      <c r="BM171" s="925">
        <f t="shared" si="118"/>
        <v>-72.7</v>
      </c>
      <c r="BN171" s="925">
        <f t="shared" si="119"/>
        <v>0</v>
      </c>
      <c r="BO171" s="925">
        <f t="shared" si="120"/>
        <v>0</v>
      </c>
      <c r="BP171" s="926"/>
      <c r="BQ171" s="925">
        <f t="shared" si="121"/>
        <v>1011.3</v>
      </c>
      <c r="BR171" s="925">
        <f t="shared" si="121"/>
        <v>305.39999999999998</v>
      </c>
      <c r="BS171" s="925">
        <f t="shared" si="122"/>
        <v>1316.7</v>
      </c>
      <c r="BU171" s="928"/>
      <c r="BV171" s="917"/>
      <c r="BW171" s="928"/>
      <c r="BX171" s="928"/>
      <c r="BY171" s="928"/>
      <c r="BZ171" s="917"/>
      <c r="CA171" s="928"/>
      <c r="CB171" s="917"/>
      <c r="CC171" s="928"/>
      <c r="CD171" s="928"/>
      <c r="CE171" s="928"/>
      <c r="CF171" s="929"/>
      <c r="CG171" s="928"/>
      <c r="CH171" s="928"/>
      <c r="CI171" s="928"/>
      <c r="CJ171" s="925"/>
      <c r="CK171" s="925"/>
      <c r="CL171" s="925"/>
      <c r="CM171" s="925"/>
      <c r="CN171" s="925"/>
      <c r="CO171" s="925"/>
      <c r="CP171" s="925"/>
      <c r="CQ171" s="925"/>
      <c r="CR171" s="925"/>
      <c r="CS171" s="917"/>
      <c r="CT171" s="928"/>
      <c r="CU171" s="928"/>
      <c r="CV171" s="928"/>
      <c r="CX171" s="925"/>
      <c r="CY171" s="925"/>
      <c r="CZ171" s="925"/>
      <c r="DB171" s="925"/>
      <c r="DC171" s="925"/>
      <c r="DD171" s="925"/>
      <c r="DE171" s="925"/>
      <c r="DF171" s="925"/>
      <c r="DG171" s="925"/>
      <c r="DH171" s="925"/>
      <c r="DI171" s="925"/>
      <c r="DJ171" s="925"/>
      <c r="DK171" s="925"/>
      <c r="DL171" s="925"/>
      <c r="DM171" s="925"/>
      <c r="DN171" s="925"/>
      <c r="DO171" s="925"/>
      <c r="DP171" s="925"/>
      <c r="DQ171" s="924"/>
      <c r="DR171" s="925"/>
      <c r="DS171" s="925"/>
      <c r="DT171" s="925"/>
      <c r="DV171" s="925"/>
      <c r="DW171" s="925"/>
      <c r="DX171" s="925"/>
      <c r="DY171" s="925"/>
      <c r="DZ171" s="925"/>
      <c r="EA171" s="925"/>
      <c r="EB171" s="925"/>
      <c r="EC171" s="925"/>
      <c r="ED171" s="925"/>
      <c r="EE171" s="925"/>
      <c r="EF171" s="925"/>
      <c r="EG171" s="925"/>
      <c r="EH171" s="925"/>
      <c r="EI171" s="925"/>
      <c r="EJ171" s="925"/>
      <c r="EK171" s="925"/>
      <c r="EL171" s="925"/>
      <c r="EM171" s="925"/>
      <c r="EN171" s="925"/>
      <c r="EO171" s="925"/>
      <c r="EP171" s="925"/>
      <c r="EQ171" s="925"/>
      <c r="ER171" s="925"/>
      <c r="ES171" s="925"/>
      <c r="ET171" s="925"/>
      <c r="EV171" s="924"/>
      <c r="EW171" s="925"/>
      <c r="EX171" s="925"/>
      <c r="EY171" s="925"/>
    </row>
    <row r="172" spans="1:155" s="927" customFormat="1" ht="15.75" x14ac:dyDescent="0.25">
      <c r="A172" s="912" t="s">
        <v>360</v>
      </c>
      <c r="B172" s="913" t="s">
        <v>35</v>
      </c>
      <c r="C172" s="914">
        <v>37.979999999999997</v>
      </c>
      <c r="D172" s="914">
        <v>13132</v>
      </c>
      <c r="E172" s="915">
        <v>1.0549999999999999</v>
      </c>
      <c r="F172" s="916">
        <f t="shared" si="77"/>
        <v>13855</v>
      </c>
      <c r="G172" s="915">
        <v>1.01</v>
      </c>
      <c r="H172" s="916">
        <f t="shared" si="78"/>
        <v>13994</v>
      </c>
      <c r="I172" s="917">
        <f t="shared" si="79"/>
        <v>531492.12</v>
      </c>
      <c r="J172" s="918">
        <f t="shared" si="80"/>
        <v>0.16883999999999999</v>
      </c>
      <c r="K172" s="919">
        <v>84208.95</v>
      </c>
      <c r="L172" s="917">
        <f t="shared" si="81"/>
        <v>89737.13</v>
      </c>
      <c r="M172" s="918">
        <f t="shared" si="82"/>
        <v>0</v>
      </c>
      <c r="N172" s="919"/>
      <c r="O172" s="917">
        <f t="shared" si="83"/>
        <v>0</v>
      </c>
      <c r="P172" s="918">
        <f t="shared" si="84"/>
        <v>1.7799999999999999E-3</v>
      </c>
      <c r="Q172" s="995">
        <f>D172*C172*0.15/C172*(0.45)</f>
        <v>886.41</v>
      </c>
      <c r="R172" s="917">
        <f t="shared" si="85"/>
        <v>946.06</v>
      </c>
      <c r="S172" s="918">
        <f t="shared" si="86"/>
        <v>0</v>
      </c>
      <c r="T172" s="919"/>
      <c r="U172" s="917">
        <f t="shared" si="87"/>
        <v>0</v>
      </c>
      <c r="V172" s="918">
        <f t="shared" si="88"/>
        <v>0</v>
      </c>
      <c r="W172" s="919"/>
      <c r="X172" s="917">
        <f t="shared" si="89"/>
        <v>0</v>
      </c>
      <c r="Y172" s="918">
        <f t="shared" si="90"/>
        <v>0</v>
      </c>
      <c r="Z172" s="919"/>
      <c r="AA172" s="917">
        <f t="shared" si="91"/>
        <v>0</v>
      </c>
      <c r="AB172" s="918">
        <f t="shared" si="92"/>
        <v>0.14965999999999999</v>
      </c>
      <c r="AC172" s="919">
        <v>74642.289999999994</v>
      </c>
      <c r="AD172" s="917">
        <f t="shared" si="93"/>
        <v>79543.11</v>
      </c>
      <c r="AE172" s="918">
        <f t="shared" si="94"/>
        <v>1.618E-2</v>
      </c>
      <c r="AF172" s="919">
        <v>8069.61</v>
      </c>
      <c r="AG172" s="917">
        <f t="shared" si="95"/>
        <v>8599.5400000000009</v>
      </c>
      <c r="AH172" s="918">
        <f t="shared" si="96"/>
        <v>0</v>
      </c>
      <c r="AI172" s="919"/>
      <c r="AJ172" s="917">
        <f t="shared" si="97"/>
        <v>0</v>
      </c>
      <c r="AK172" s="918">
        <f t="shared" si="98"/>
        <v>0</v>
      </c>
      <c r="AL172" s="919"/>
      <c r="AM172" s="917">
        <f t="shared" si="99"/>
        <v>0</v>
      </c>
      <c r="AN172" s="920">
        <v>19242</v>
      </c>
      <c r="AO172" s="917">
        <f t="shared" si="100"/>
        <v>20493.2</v>
      </c>
      <c r="AP172" s="920"/>
      <c r="AQ172" s="916">
        <f t="shared" si="101"/>
        <v>0</v>
      </c>
      <c r="AR172" s="917">
        <f t="shared" si="102"/>
        <v>730811.16</v>
      </c>
      <c r="AS172" s="916">
        <v>12</v>
      </c>
      <c r="AT172" s="921">
        <f t="shared" si="103"/>
        <v>8769733.9199999999</v>
      </c>
      <c r="AU172" s="920"/>
      <c r="AV172" s="922">
        <f t="shared" si="104"/>
        <v>87697.34</v>
      </c>
      <c r="AW172" s="921">
        <f t="shared" si="105"/>
        <v>8857431.2599999998</v>
      </c>
      <c r="AX172" s="921">
        <f t="shared" si="106"/>
        <v>2674944.2400000002</v>
      </c>
      <c r="AY172" s="921">
        <f t="shared" si="107"/>
        <v>11532375.5</v>
      </c>
      <c r="AZ172" s="923">
        <f t="shared" si="108"/>
        <v>8857.4</v>
      </c>
      <c r="BA172" s="923">
        <f t="shared" si="109"/>
        <v>2674.9</v>
      </c>
      <c r="BB172" s="923">
        <f t="shared" si="110"/>
        <v>11532.3</v>
      </c>
      <c r="BC172" s="915">
        <v>0.95</v>
      </c>
      <c r="BD172" s="923">
        <f t="shared" si="111"/>
        <v>8414.5</v>
      </c>
      <c r="BE172" s="923">
        <f t="shared" si="112"/>
        <v>2541.1999999999998</v>
      </c>
      <c r="BF172" s="923">
        <f t="shared" si="113"/>
        <v>10955.7</v>
      </c>
      <c r="BG172" s="924">
        <f>'[3]свод (2024)'!$B$116</f>
        <v>0.99758349999999996</v>
      </c>
      <c r="BH172" s="923">
        <f t="shared" si="114"/>
        <v>8394.2000000000007</v>
      </c>
      <c r="BI172" s="923">
        <f t="shared" si="115"/>
        <v>2535</v>
      </c>
      <c r="BJ172" s="923">
        <f t="shared" si="116"/>
        <v>10929.2</v>
      </c>
      <c r="BK172" s="925">
        <f t="shared" si="117"/>
        <v>-463.2</v>
      </c>
      <c r="BL172" s="925">
        <f t="shared" si="117"/>
        <v>-139.9</v>
      </c>
      <c r="BM172" s="925">
        <f t="shared" si="118"/>
        <v>-603.1</v>
      </c>
      <c r="BN172" s="925">
        <f t="shared" si="119"/>
        <v>0</v>
      </c>
      <c r="BO172" s="925">
        <f t="shared" si="120"/>
        <v>0</v>
      </c>
      <c r="BP172" s="926"/>
      <c r="BQ172" s="925">
        <f t="shared" si="121"/>
        <v>8394.2000000000007</v>
      </c>
      <c r="BR172" s="925">
        <f t="shared" si="121"/>
        <v>2535</v>
      </c>
      <c r="BS172" s="925">
        <f t="shared" si="122"/>
        <v>10929.2</v>
      </c>
      <c r="BU172" s="928">
        <f t="shared" si="123"/>
        <v>37.979999999999997</v>
      </c>
      <c r="BV172" s="917"/>
      <c r="BW172" s="928"/>
      <c r="BX172" s="928">
        <f t="shared" si="124"/>
        <v>8857431.2599999998</v>
      </c>
      <c r="BY172" s="928"/>
      <c r="BZ172" s="917"/>
      <c r="CA172" s="928"/>
      <c r="CB172" s="917"/>
      <c r="CC172" s="928"/>
      <c r="CD172" s="928"/>
      <c r="CE172" s="928"/>
      <c r="CF172" s="929">
        <f t="shared" ref="CF172:CF174" si="145">CC$184/BU$184*BU172</f>
        <v>2993967.73</v>
      </c>
      <c r="CG172" s="928"/>
      <c r="CH172" s="928"/>
      <c r="CI172" s="928"/>
      <c r="CJ172" s="925"/>
      <c r="CK172" s="925"/>
      <c r="CL172" s="925"/>
      <c r="CM172" s="925"/>
      <c r="CN172" s="925"/>
      <c r="CO172" s="925"/>
      <c r="CP172" s="925"/>
      <c r="CQ172" s="925"/>
      <c r="CR172" s="925"/>
      <c r="CS172" s="917"/>
      <c r="CT172" s="928"/>
      <c r="CU172" s="928"/>
      <c r="CV172" s="928"/>
      <c r="CX172" s="925"/>
      <c r="CY172" s="925"/>
      <c r="CZ172" s="925"/>
      <c r="DB172" s="925"/>
      <c r="DC172" s="925"/>
      <c r="DD172" s="925"/>
      <c r="DE172" s="925"/>
      <c r="DF172" s="925"/>
      <c r="DG172" s="925"/>
      <c r="DH172" s="925"/>
      <c r="DI172" s="925"/>
      <c r="DJ172" s="925"/>
      <c r="DK172" s="925"/>
      <c r="DL172" s="925"/>
      <c r="DM172" s="925"/>
      <c r="DN172" s="925"/>
      <c r="DO172" s="925"/>
      <c r="DP172" s="925"/>
      <c r="DQ172" s="924"/>
      <c r="DR172" s="925"/>
      <c r="DS172" s="925"/>
      <c r="DT172" s="925"/>
      <c r="DV172" s="925"/>
      <c r="DW172" s="925"/>
      <c r="DX172" s="925"/>
      <c r="DY172" s="925"/>
      <c r="DZ172" s="925"/>
      <c r="EA172" s="925"/>
      <c r="EB172" s="925"/>
      <c r="EC172" s="925"/>
      <c r="ED172" s="925"/>
      <c r="EE172" s="925"/>
      <c r="EF172" s="925"/>
      <c r="EG172" s="925"/>
      <c r="EH172" s="925"/>
      <c r="EI172" s="925"/>
      <c r="EJ172" s="925"/>
      <c r="EK172" s="925"/>
      <c r="EL172" s="925"/>
      <c r="EM172" s="925"/>
      <c r="EN172" s="925"/>
      <c r="EO172" s="925"/>
      <c r="EP172" s="925"/>
      <c r="EQ172" s="925"/>
      <c r="ER172" s="925"/>
      <c r="ES172" s="925"/>
      <c r="ET172" s="925"/>
      <c r="EV172" s="924"/>
      <c r="EW172" s="925"/>
      <c r="EX172" s="925"/>
      <c r="EY172" s="925"/>
    </row>
    <row r="173" spans="1:155" s="927" customFormat="1" ht="15.75" x14ac:dyDescent="0.25">
      <c r="A173" s="912" t="s">
        <v>360</v>
      </c>
      <c r="B173" s="913" t="s">
        <v>37</v>
      </c>
      <c r="C173" s="914">
        <v>6.5</v>
      </c>
      <c r="D173" s="914">
        <v>13132</v>
      </c>
      <c r="E173" s="915">
        <v>1.0549999999999999</v>
      </c>
      <c r="F173" s="916">
        <f t="shared" si="77"/>
        <v>13855</v>
      </c>
      <c r="G173" s="915">
        <v>1.01</v>
      </c>
      <c r="H173" s="916">
        <f t="shared" si="78"/>
        <v>13994</v>
      </c>
      <c r="I173" s="917">
        <f t="shared" si="79"/>
        <v>90961</v>
      </c>
      <c r="J173" s="918">
        <f t="shared" si="80"/>
        <v>0.13461999999999999</v>
      </c>
      <c r="K173" s="919">
        <v>11490.5</v>
      </c>
      <c r="L173" s="917">
        <f t="shared" si="81"/>
        <v>12245.17</v>
      </c>
      <c r="M173" s="918">
        <f t="shared" si="82"/>
        <v>0</v>
      </c>
      <c r="N173" s="919"/>
      <c r="O173" s="917">
        <f t="shared" si="83"/>
        <v>0</v>
      </c>
      <c r="P173" s="918">
        <f t="shared" si="84"/>
        <v>0</v>
      </c>
      <c r="Q173" s="919"/>
      <c r="R173" s="917">
        <f t="shared" si="85"/>
        <v>0</v>
      </c>
      <c r="S173" s="918">
        <f t="shared" si="86"/>
        <v>0</v>
      </c>
      <c r="T173" s="919"/>
      <c r="U173" s="917">
        <f t="shared" si="87"/>
        <v>0</v>
      </c>
      <c r="V173" s="918">
        <f t="shared" si="88"/>
        <v>0</v>
      </c>
      <c r="W173" s="919"/>
      <c r="X173" s="917">
        <f t="shared" si="89"/>
        <v>0</v>
      </c>
      <c r="Y173" s="918">
        <f t="shared" si="90"/>
        <v>0</v>
      </c>
      <c r="Z173" s="919"/>
      <c r="AA173" s="917">
        <f t="shared" si="91"/>
        <v>0</v>
      </c>
      <c r="AB173" s="918">
        <f t="shared" si="92"/>
        <v>0.12307999999999999</v>
      </c>
      <c r="AC173" s="919">
        <v>10505.6</v>
      </c>
      <c r="AD173" s="917">
        <f t="shared" si="93"/>
        <v>11195.48</v>
      </c>
      <c r="AE173" s="918">
        <f t="shared" si="94"/>
        <v>7.6899999999999998E-3</v>
      </c>
      <c r="AF173" s="919">
        <v>656.6</v>
      </c>
      <c r="AG173" s="917">
        <f t="shared" si="95"/>
        <v>699.49</v>
      </c>
      <c r="AH173" s="918">
        <f t="shared" si="96"/>
        <v>0</v>
      </c>
      <c r="AI173" s="919"/>
      <c r="AJ173" s="917">
        <f t="shared" si="97"/>
        <v>0</v>
      </c>
      <c r="AK173" s="918">
        <f t="shared" si="98"/>
        <v>0</v>
      </c>
      <c r="AL173" s="919"/>
      <c r="AM173" s="917">
        <f t="shared" si="99"/>
        <v>0</v>
      </c>
      <c r="AN173" s="920">
        <v>19242</v>
      </c>
      <c r="AO173" s="917">
        <f t="shared" si="100"/>
        <v>9971.86</v>
      </c>
      <c r="AP173" s="920"/>
      <c r="AQ173" s="916">
        <f t="shared" si="101"/>
        <v>0</v>
      </c>
      <c r="AR173" s="917">
        <f t="shared" si="102"/>
        <v>125073</v>
      </c>
      <c r="AS173" s="916">
        <v>12</v>
      </c>
      <c r="AT173" s="921">
        <f t="shared" si="103"/>
        <v>1500876</v>
      </c>
      <c r="AU173" s="920"/>
      <c r="AV173" s="922">
        <f t="shared" si="104"/>
        <v>15008.76</v>
      </c>
      <c r="AW173" s="921">
        <f t="shared" si="105"/>
        <v>1515884.76</v>
      </c>
      <c r="AX173" s="921">
        <f t="shared" si="106"/>
        <v>457797.2</v>
      </c>
      <c r="AY173" s="921">
        <f t="shared" si="107"/>
        <v>1973681.96</v>
      </c>
      <c r="AZ173" s="923">
        <f t="shared" si="108"/>
        <v>1515.9</v>
      </c>
      <c r="BA173" s="923">
        <f t="shared" si="109"/>
        <v>457.8</v>
      </c>
      <c r="BB173" s="923">
        <f t="shared" si="110"/>
        <v>1973.7</v>
      </c>
      <c r="BC173" s="915">
        <v>0.95</v>
      </c>
      <c r="BD173" s="923">
        <f t="shared" si="111"/>
        <v>1440.1</v>
      </c>
      <c r="BE173" s="923">
        <f t="shared" si="112"/>
        <v>434.9</v>
      </c>
      <c r="BF173" s="923">
        <f t="shared" si="113"/>
        <v>1875</v>
      </c>
      <c r="BG173" s="924">
        <f>'[3]свод (2024)'!$B$116</f>
        <v>0.99758349999999996</v>
      </c>
      <c r="BH173" s="923">
        <f t="shared" si="114"/>
        <v>1436.6</v>
      </c>
      <c r="BI173" s="923">
        <f t="shared" si="115"/>
        <v>433.9</v>
      </c>
      <c r="BJ173" s="923">
        <f t="shared" si="116"/>
        <v>1870.5</v>
      </c>
      <c r="BK173" s="925">
        <f t="shared" si="117"/>
        <v>-79.3</v>
      </c>
      <c r="BL173" s="925">
        <f t="shared" si="117"/>
        <v>-23.9</v>
      </c>
      <c r="BM173" s="925">
        <f t="shared" si="118"/>
        <v>-103.2</v>
      </c>
      <c r="BN173" s="925">
        <f t="shared" si="119"/>
        <v>0</v>
      </c>
      <c r="BO173" s="925">
        <f t="shared" si="120"/>
        <v>0</v>
      </c>
      <c r="BP173" s="926"/>
      <c r="BQ173" s="925">
        <f t="shared" si="121"/>
        <v>1436.6</v>
      </c>
      <c r="BR173" s="925">
        <f t="shared" si="121"/>
        <v>433.9</v>
      </c>
      <c r="BS173" s="925">
        <f t="shared" si="122"/>
        <v>1870.5</v>
      </c>
      <c r="BU173" s="928">
        <f t="shared" si="123"/>
        <v>6.5</v>
      </c>
      <c r="BV173" s="917"/>
      <c r="BW173" s="928"/>
      <c r="BX173" s="928">
        <f t="shared" si="124"/>
        <v>1515884.76</v>
      </c>
      <c r="BY173" s="928"/>
      <c r="BZ173" s="917"/>
      <c r="CA173" s="928"/>
      <c r="CB173" s="917"/>
      <c r="CC173" s="928"/>
      <c r="CD173" s="928"/>
      <c r="CE173" s="928"/>
      <c r="CF173" s="929">
        <f t="shared" si="145"/>
        <v>512395.74</v>
      </c>
      <c r="CG173" s="928"/>
      <c r="CH173" s="928"/>
      <c r="CI173" s="928"/>
      <c r="CJ173" s="925"/>
      <c r="CK173" s="925"/>
      <c r="CL173" s="925"/>
      <c r="CM173" s="925"/>
      <c r="CN173" s="925"/>
      <c r="CO173" s="925"/>
      <c r="CP173" s="925"/>
      <c r="CQ173" s="925"/>
      <c r="CR173" s="925"/>
      <c r="CS173" s="917"/>
      <c r="CT173" s="928"/>
      <c r="CU173" s="928"/>
      <c r="CV173" s="928"/>
      <c r="CX173" s="925"/>
      <c r="CY173" s="925"/>
      <c r="CZ173" s="925"/>
      <c r="DB173" s="925"/>
      <c r="DC173" s="925"/>
      <c r="DD173" s="925"/>
      <c r="DE173" s="925"/>
      <c r="DF173" s="925"/>
      <c r="DG173" s="925"/>
      <c r="DH173" s="925"/>
      <c r="DI173" s="925"/>
      <c r="DJ173" s="925"/>
      <c r="DK173" s="925"/>
      <c r="DL173" s="925"/>
      <c r="DM173" s="925"/>
      <c r="DN173" s="925"/>
      <c r="DO173" s="925"/>
      <c r="DP173" s="925"/>
      <c r="DQ173" s="924"/>
      <c r="DR173" s="925"/>
      <c r="DS173" s="925"/>
      <c r="DT173" s="925"/>
      <c r="DV173" s="925"/>
      <c r="DW173" s="925"/>
      <c r="DX173" s="925"/>
      <c r="DY173" s="925"/>
      <c r="DZ173" s="925"/>
      <c r="EA173" s="925"/>
      <c r="EB173" s="925"/>
      <c r="EC173" s="925"/>
      <c r="ED173" s="925"/>
      <c r="EE173" s="925"/>
      <c r="EF173" s="925"/>
      <c r="EG173" s="925"/>
      <c r="EH173" s="925"/>
      <c r="EI173" s="925"/>
      <c r="EJ173" s="925"/>
      <c r="EK173" s="925"/>
      <c r="EL173" s="925"/>
      <c r="EM173" s="925"/>
      <c r="EN173" s="925"/>
      <c r="EO173" s="925"/>
      <c r="EP173" s="925"/>
      <c r="EQ173" s="925"/>
      <c r="ER173" s="925"/>
      <c r="ES173" s="925"/>
      <c r="ET173" s="925"/>
      <c r="EV173" s="924"/>
      <c r="EW173" s="925"/>
      <c r="EX173" s="925"/>
      <c r="EY173" s="925"/>
    </row>
    <row r="174" spans="1:155" s="927" customFormat="1" ht="15.75" x14ac:dyDescent="0.25">
      <c r="A174" s="912" t="s">
        <v>360</v>
      </c>
      <c r="B174" s="913" t="s">
        <v>1386</v>
      </c>
      <c r="C174" s="914">
        <v>2</v>
      </c>
      <c r="D174" s="914">
        <v>13772</v>
      </c>
      <c r="E174" s="915">
        <v>1.0549999999999999</v>
      </c>
      <c r="F174" s="916">
        <f t="shared" si="77"/>
        <v>14530</v>
      </c>
      <c r="G174" s="915">
        <v>1.01</v>
      </c>
      <c r="H174" s="916">
        <f t="shared" si="78"/>
        <v>14676</v>
      </c>
      <c r="I174" s="917">
        <f t="shared" si="79"/>
        <v>29352</v>
      </c>
      <c r="J174" s="918">
        <f t="shared" si="80"/>
        <v>0.17499999999999999</v>
      </c>
      <c r="K174" s="919">
        <v>4820.2</v>
      </c>
      <c r="L174" s="917">
        <f t="shared" si="81"/>
        <v>5136.6000000000004</v>
      </c>
      <c r="M174" s="918">
        <f t="shared" si="82"/>
        <v>0</v>
      </c>
      <c r="N174" s="919"/>
      <c r="O174" s="917">
        <f t="shared" si="83"/>
        <v>0</v>
      </c>
      <c r="P174" s="918">
        <f t="shared" si="84"/>
        <v>0</v>
      </c>
      <c r="Q174" s="919"/>
      <c r="R174" s="917">
        <f t="shared" si="85"/>
        <v>0</v>
      </c>
      <c r="S174" s="918">
        <f t="shared" si="86"/>
        <v>0</v>
      </c>
      <c r="T174" s="919"/>
      <c r="U174" s="917">
        <f t="shared" si="87"/>
        <v>0</v>
      </c>
      <c r="V174" s="918">
        <f t="shared" si="88"/>
        <v>0</v>
      </c>
      <c r="W174" s="919"/>
      <c r="X174" s="917">
        <f t="shared" si="89"/>
        <v>0</v>
      </c>
      <c r="Y174" s="918">
        <f t="shared" si="90"/>
        <v>0</v>
      </c>
      <c r="Z174" s="919"/>
      <c r="AA174" s="917">
        <f t="shared" si="91"/>
        <v>0</v>
      </c>
      <c r="AB174" s="918">
        <f t="shared" si="92"/>
        <v>0.17499999999999999</v>
      </c>
      <c r="AC174" s="919">
        <v>4820.2</v>
      </c>
      <c r="AD174" s="917">
        <f t="shared" si="93"/>
        <v>5136.6000000000004</v>
      </c>
      <c r="AE174" s="918">
        <f t="shared" si="94"/>
        <v>0</v>
      </c>
      <c r="AF174" s="919"/>
      <c r="AG174" s="917">
        <f t="shared" si="95"/>
        <v>0</v>
      </c>
      <c r="AH174" s="918">
        <f t="shared" si="96"/>
        <v>0</v>
      </c>
      <c r="AI174" s="919"/>
      <c r="AJ174" s="917">
        <f t="shared" si="97"/>
        <v>0</v>
      </c>
      <c r="AK174" s="918">
        <f t="shared" si="98"/>
        <v>0</v>
      </c>
      <c r="AL174" s="919"/>
      <c r="AM174" s="917">
        <f t="shared" si="99"/>
        <v>0</v>
      </c>
      <c r="AN174" s="920">
        <v>19242</v>
      </c>
      <c r="AO174" s="917">
        <f t="shared" si="100"/>
        <v>0</v>
      </c>
      <c r="AP174" s="920"/>
      <c r="AQ174" s="916">
        <f t="shared" si="101"/>
        <v>0</v>
      </c>
      <c r="AR174" s="917">
        <f t="shared" si="102"/>
        <v>39625.199999999997</v>
      </c>
      <c r="AS174" s="916">
        <v>12</v>
      </c>
      <c r="AT174" s="921">
        <f t="shared" si="103"/>
        <v>475502.4</v>
      </c>
      <c r="AU174" s="920"/>
      <c r="AV174" s="922">
        <f t="shared" si="104"/>
        <v>4755.0200000000004</v>
      </c>
      <c r="AW174" s="921">
        <f t="shared" si="105"/>
        <v>480257.42</v>
      </c>
      <c r="AX174" s="921">
        <f t="shared" si="106"/>
        <v>145037.74</v>
      </c>
      <c r="AY174" s="921">
        <f t="shared" si="107"/>
        <v>625295.16</v>
      </c>
      <c r="AZ174" s="923">
        <f t="shared" si="108"/>
        <v>480.3</v>
      </c>
      <c r="BA174" s="923">
        <f t="shared" si="109"/>
        <v>145.1</v>
      </c>
      <c r="BB174" s="923">
        <f t="shared" si="110"/>
        <v>625.4</v>
      </c>
      <c r="BC174" s="915">
        <v>0.95</v>
      </c>
      <c r="BD174" s="923">
        <f t="shared" si="111"/>
        <v>456.3</v>
      </c>
      <c r="BE174" s="923">
        <f t="shared" si="112"/>
        <v>137.80000000000001</v>
      </c>
      <c r="BF174" s="923">
        <f t="shared" si="113"/>
        <v>594.1</v>
      </c>
      <c r="BG174" s="924">
        <f>'[3]свод (2024)'!$B$116</f>
        <v>0.99758349999999996</v>
      </c>
      <c r="BH174" s="923">
        <f t="shared" si="114"/>
        <v>455.2</v>
      </c>
      <c r="BI174" s="923">
        <f t="shared" si="115"/>
        <v>137.5</v>
      </c>
      <c r="BJ174" s="923">
        <f t="shared" si="116"/>
        <v>592.70000000000005</v>
      </c>
      <c r="BK174" s="925">
        <f t="shared" si="117"/>
        <v>-25.1</v>
      </c>
      <c r="BL174" s="925">
        <f t="shared" si="117"/>
        <v>-7.6</v>
      </c>
      <c r="BM174" s="925">
        <f t="shared" si="118"/>
        <v>-32.700000000000003</v>
      </c>
      <c r="BN174" s="925">
        <f t="shared" si="119"/>
        <v>0</v>
      </c>
      <c r="BO174" s="925">
        <f t="shared" si="120"/>
        <v>0</v>
      </c>
      <c r="BP174" s="926"/>
      <c r="BQ174" s="925">
        <f t="shared" si="121"/>
        <v>455.2</v>
      </c>
      <c r="BR174" s="925">
        <f t="shared" si="121"/>
        <v>137.5</v>
      </c>
      <c r="BS174" s="925">
        <f t="shared" si="122"/>
        <v>592.70000000000005</v>
      </c>
      <c r="BU174" s="928">
        <f t="shared" si="123"/>
        <v>2</v>
      </c>
      <c r="BV174" s="917"/>
      <c r="BW174" s="928"/>
      <c r="BX174" s="928">
        <f t="shared" si="124"/>
        <v>480257.42</v>
      </c>
      <c r="BY174" s="928"/>
      <c r="BZ174" s="917"/>
      <c r="CA174" s="928"/>
      <c r="CB174" s="917"/>
      <c r="CC174" s="928"/>
      <c r="CD174" s="928"/>
      <c r="CE174" s="928"/>
      <c r="CF174" s="929">
        <f t="shared" si="145"/>
        <v>157660.23000000001</v>
      </c>
      <c r="CG174" s="928"/>
      <c r="CH174" s="928"/>
      <c r="CI174" s="928"/>
      <c r="CJ174" s="925"/>
      <c r="CK174" s="925"/>
      <c r="CL174" s="925"/>
      <c r="CM174" s="925"/>
      <c r="CN174" s="925"/>
      <c r="CO174" s="925"/>
      <c r="CP174" s="925"/>
      <c r="CQ174" s="925"/>
      <c r="CR174" s="925"/>
      <c r="CS174" s="917"/>
      <c r="CT174" s="928"/>
      <c r="CU174" s="928"/>
      <c r="CV174" s="928"/>
      <c r="CX174" s="925"/>
      <c r="CY174" s="925"/>
      <c r="CZ174" s="925"/>
      <c r="DB174" s="925"/>
      <c r="DC174" s="925"/>
      <c r="DD174" s="925"/>
      <c r="DE174" s="925"/>
      <c r="DF174" s="925"/>
      <c r="DG174" s="925"/>
      <c r="DH174" s="925"/>
      <c r="DI174" s="925"/>
      <c r="DJ174" s="925"/>
      <c r="DK174" s="925"/>
      <c r="DL174" s="925"/>
      <c r="DM174" s="925"/>
      <c r="DN174" s="925"/>
      <c r="DO174" s="925"/>
      <c r="DP174" s="925"/>
      <c r="DQ174" s="924"/>
      <c r="DR174" s="925"/>
      <c r="DS174" s="925"/>
      <c r="DT174" s="925"/>
      <c r="DV174" s="925"/>
      <c r="DW174" s="925"/>
      <c r="DX174" s="925"/>
      <c r="DY174" s="925"/>
      <c r="DZ174" s="925"/>
      <c r="EA174" s="925"/>
      <c r="EB174" s="925"/>
      <c r="EC174" s="925"/>
      <c r="ED174" s="925"/>
      <c r="EE174" s="925"/>
      <c r="EF174" s="925"/>
      <c r="EG174" s="925"/>
      <c r="EH174" s="925"/>
      <c r="EI174" s="925"/>
      <c r="EJ174" s="925"/>
      <c r="EK174" s="925"/>
      <c r="EL174" s="925"/>
      <c r="EM174" s="925"/>
      <c r="EN174" s="925"/>
      <c r="EO174" s="925"/>
      <c r="EP174" s="925"/>
      <c r="EQ174" s="925"/>
      <c r="ER174" s="925"/>
      <c r="ES174" s="925"/>
      <c r="ET174" s="925"/>
      <c r="EV174" s="924"/>
      <c r="EW174" s="925"/>
      <c r="EX174" s="925"/>
      <c r="EY174" s="925"/>
    </row>
    <row r="175" spans="1:155" s="927" customFormat="1" ht="24" x14ac:dyDescent="0.25">
      <c r="A175" s="912" t="s">
        <v>360</v>
      </c>
      <c r="B175" s="913" t="s">
        <v>494</v>
      </c>
      <c r="C175" s="914">
        <v>4</v>
      </c>
      <c r="D175" s="914">
        <v>4588</v>
      </c>
      <c r="E175" s="915">
        <v>1.0549999999999999</v>
      </c>
      <c r="F175" s="916">
        <f t="shared" si="77"/>
        <v>4841</v>
      </c>
      <c r="G175" s="915">
        <v>1.01</v>
      </c>
      <c r="H175" s="916">
        <f t="shared" si="78"/>
        <v>4890</v>
      </c>
      <c r="I175" s="917">
        <f t="shared" si="79"/>
        <v>19560</v>
      </c>
      <c r="J175" s="918">
        <f t="shared" si="80"/>
        <v>0</v>
      </c>
      <c r="K175" s="919"/>
      <c r="L175" s="917">
        <f t="shared" si="81"/>
        <v>0</v>
      </c>
      <c r="M175" s="918">
        <f t="shared" si="82"/>
        <v>0</v>
      </c>
      <c r="N175" s="919"/>
      <c r="O175" s="917">
        <f t="shared" si="83"/>
        <v>0</v>
      </c>
      <c r="P175" s="918">
        <f t="shared" si="84"/>
        <v>0</v>
      </c>
      <c r="Q175" s="919"/>
      <c r="R175" s="917">
        <f t="shared" si="85"/>
        <v>0</v>
      </c>
      <c r="S175" s="918">
        <f t="shared" si="86"/>
        <v>0</v>
      </c>
      <c r="T175" s="919"/>
      <c r="U175" s="917">
        <f t="shared" si="87"/>
        <v>0</v>
      </c>
      <c r="V175" s="918">
        <f t="shared" si="88"/>
        <v>0</v>
      </c>
      <c r="W175" s="919"/>
      <c r="X175" s="917">
        <f t="shared" si="89"/>
        <v>0</v>
      </c>
      <c r="Y175" s="918">
        <f t="shared" si="90"/>
        <v>0</v>
      </c>
      <c r="Z175" s="919"/>
      <c r="AA175" s="917">
        <f t="shared" si="91"/>
        <v>0</v>
      </c>
      <c r="AB175" s="918">
        <f t="shared" si="92"/>
        <v>0</v>
      </c>
      <c r="AC175" s="919"/>
      <c r="AD175" s="917">
        <f t="shared" si="93"/>
        <v>0</v>
      </c>
      <c r="AE175" s="918">
        <f t="shared" si="94"/>
        <v>0</v>
      </c>
      <c r="AF175" s="919"/>
      <c r="AG175" s="917">
        <f t="shared" si="95"/>
        <v>0</v>
      </c>
      <c r="AH175" s="918">
        <f t="shared" si="96"/>
        <v>0</v>
      </c>
      <c r="AI175" s="919"/>
      <c r="AJ175" s="917">
        <f t="shared" si="97"/>
        <v>0</v>
      </c>
      <c r="AK175" s="918">
        <f t="shared" si="98"/>
        <v>0</v>
      </c>
      <c r="AL175" s="919"/>
      <c r="AM175" s="917">
        <f t="shared" si="99"/>
        <v>0</v>
      </c>
      <c r="AN175" s="920">
        <v>19242</v>
      </c>
      <c r="AO175" s="917">
        <f t="shared" si="100"/>
        <v>57408</v>
      </c>
      <c r="AP175" s="920"/>
      <c r="AQ175" s="916">
        <f t="shared" si="101"/>
        <v>0</v>
      </c>
      <c r="AR175" s="917">
        <f t="shared" si="102"/>
        <v>76968</v>
      </c>
      <c r="AS175" s="916">
        <v>12</v>
      </c>
      <c r="AT175" s="921">
        <f t="shared" si="103"/>
        <v>923616</v>
      </c>
      <c r="AU175" s="920"/>
      <c r="AV175" s="922">
        <f t="shared" si="104"/>
        <v>9236.16</v>
      </c>
      <c r="AW175" s="921">
        <f t="shared" si="105"/>
        <v>932852.16</v>
      </c>
      <c r="AX175" s="921">
        <f t="shared" si="106"/>
        <v>281721.34999999998</v>
      </c>
      <c r="AY175" s="921">
        <f t="shared" si="107"/>
        <v>1214573.51</v>
      </c>
      <c r="AZ175" s="923">
        <f t="shared" si="108"/>
        <v>932.9</v>
      </c>
      <c r="BA175" s="923">
        <f t="shared" si="109"/>
        <v>281.7</v>
      </c>
      <c r="BB175" s="923">
        <f t="shared" si="110"/>
        <v>1214.5999999999999</v>
      </c>
      <c r="BC175" s="915">
        <v>0.95</v>
      </c>
      <c r="BD175" s="923">
        <f t="shared" si="111"/>
        <v>886.3</v>
      </c>
      <c r="BE175" s="923">
        <f t="shared" si="112"/>
        <v>267.7</v>
      </c>
      <c r="BF175" s="923">
        <f t="shared" si="113"/>
        <v>1154</v>
      </c>
      <c r="BG175" s="924">
        <f>'[3]свод (2024)'!$B$116</f>
        <v>0.99758349999999996</v>
      </c>
      <c r="BH175" s="923">
        <f t="shared" si="114"/>
        <v>884.2</v>
      </c>
      <c r="BI175" s="923">
        <f t="shared" si="115"/>
        <v>267</v>
      </c>
      <c r="BJ175" s="923">
        <f t="shared" si="116"/>
        <v>1151.2</v>
      </c>
      <c r="BK175" s="925">
        <f t="shared" si="117"/>
        <v>-48.7</v>
      </c>
      <c r="BL175" s="925">
        <f t="shared" si="117"/>
        <v>-14.7</v>
      </c>
      <c r="BM175" s="925">
        <f t="shared" si="118"/>
        <v>-63.4</v>
      </c>
      <c r="BN175" s="925">
        <f t="shared" si="119"/>
        <v>0</v>
      </c>
      <c r="BO175" s="925">
        <f t="shared" si="120"/>
        <v>0</v>
      </c>
      <c r="BP175" s="926"/>
      <c r="BQ175" s="925">
        <f t="shared" si="121"/>
        <v>884.2</v>
      </c>
      <c r="BR175" s="925">
        <f t="shared" si="121"/>
        <v>267</v>
      </c>
      <c r="BS175" s="925">
        <f t="shared" si="122"/>
        <v>1151.2</v>
      </c>
      <c r="BU175" s="928"/>
      <c r="BV175" s="917"/>
      <c r="BW175" s="928"/>
      <c r="BX175" s="928"/>
      <c r="BY175" s="928"/>
      <c r="BZ175" s="917"/>
      <c r="CA175" s="928"/>
      <c r="CB175" s="917"/>
      <c r="CC175" s="928"/>
      <c r="CD175" s="928"/>
      <c r="CE175" s="928"/>
      <c r="CF175" s="929"/>
      <c r="CG175" s="928"/>
      <c r="CH175" s="928"/>
      <c r="CI175" s="928"/>
      <c r="CJ175" s="925"/>
      <c r="CK175" s="925"/>
      <c r="CL175" s="925"/>
      <c r="CM175" s="925"/>
      <c r="CN175" s="925"/>
      <c r="CO175" s="925"/>
      <c r="CP175" s="925"/>
      <c r="CQ175" s="925"/>
      <c r="CR175" s="925"/>
      <c r="CS175" s="917"/>
      <c r="CT175" s="928"/>
      <c r="CU175" s="928"/>
      <c r="CV175" s="928"/>
      <c r="CX175" s="925"/>
      <c r="CY175" s="925"/>
      <c r="CZ175" s="925"/>
      <c r="DB175" s="925"/>
      <c r="DC175" s="925"/>
      <c r="DD175" s="925"/>
      <c r="DE175" s="925"/>
      <c r="DF175" s="925"/>
      <c r="DG175" s="925"/>
      <c r="DH175" s="925"/>
      <c r="DI175" s="925"/>
      <c r="DJ175" s="925"/>
      <c r="DK175" s="925"/>
      <c r="DL175" s="925"/>
      <c r="DM175" s="925"/>
      <c r="DN175" s="925"/>
      <c r="DO175" s="925"/>
      <c r="DP175" s="925"/>
      <c r="DQ175" s="924"/>
      <c r="DR175" s="925"/>
      <c r="DS175" s="925"/>
      <c r="DT175" s="925"/>
      <c r="DV175" s="925"/>
      <c r="DW175" s="925"/>
      <c r="DX175" s="925"/>
      <c r="DY175" s="925"/>
      <c r="DZ175" s="925"/>
      <c r="EA175" s="925"/>
      <c r="EB175" s="925"/>
      <c r="EC175" s="925"/>
      <c r="ED175" s="925"/>
      <c r="EE175" s="925"/>
      <c r="EF175" s="925"/>
      <c r="EG175" s="925"/>
      <c r="EH175" s="925"/>
      <c r="EI175" s="925"/>
      <c r="EJ175" s="925"/>
      <c r="EK175" s="925"/>
      <c r="EL175" s="925"/>
      <c r="EM175" s="925"/>
      <c r="EN175" s="925"/>
      <c r="EO175" s="925"/>
      <c r="EP175" s="925"/>
      <c r="EQ175" s="925"/>
      <c r="ER175" s="925"/>
      <c r="ES175" s="925"/>
      <c r="ET175" s="925"/>
      <c r="EV175" s="924"/>
      <c r="EW175" s="925"/>
      <c r="EX175" s="925"/>
      <c r="EY175" s="925"/>
    </row>
    <row r="176" spans="1:155" s="927" customFormat="1" ht="15.75" x14ac:dyDescent="0.25">
      <c r="A176" s="912" t="s">
        <v>360</v>
      </c>
      <c r="B176" s="913" t="s">
        <v>41</v>
      </c>
      <c r="C176" s="914">
        <v>1</v>
      </c>
      <c r="D176" s="914">
        <v>7912</v>
      </c>
      <c r="E176" s="915">
        <v>1.0549999999999999</v>
      </c>
      <c r="F176" s="916">
        <f t="shared" si="77"/>
        <v>8348</v>
      </c>
      <c r="G176" s="915">
        <v>1.01</v>
      </c>
      <c r="H176" s="916">
        <f t="shared" si="78"/>
        <v>8432</v>
      </c>
      <c r="I176" s="917">
        <f t="shared" si="79"/>
        <v>8432</v>
      </c>
      <c r="J176" s="918">
        <f t="shared" si="80"/>
        <v>0</v>
      </c>
      <c r="K176" s="919"/>
      <c r="L176" s="917">
        <f t="shared" si="81"/>
        <v>0</v>
      </c>
      <c r="M176" s="918">
        <f t="shared" si="82"/>
        <v>0</v>
      </c>
      <c r="N176" s="919"/>
      <c r="O176" s="917">
        <f t="shared" si="83"/>
        <v>0</v>
      </c>
      <c r="P176" s="918">
        <f t="shared" si="84"/>
        <v>0</v>
      </c>
      <c r="Q176" s="919"/>
      <c r="R176" s="917">
        <f t="shared" si="85"/>
        <v>0</v>
      </c>
      <c r="S176" s="918">
        <f t="shared" si="86"/>
        <v>0</v>
      </c>
      <c r="T176" s="919"/>
      <c r="U176" s="917">
        <f t="shared" si="87"/>
        <v>0</v>
      </c>
      <c r="V176" s="918">
        <f t="shared" si="88"/>
        <v>0</v>
      </c>
      <c r="W176" s="919"/>
      <c r="X176" s="917">
        <f t="shared" si="89"/>
        <v>0</v>
      </c>
      <c r="Y176" s="918">
        <f t="shared" si="90"/>
        <v>1.4</v>
      </c>
      <c r="Z176" s="919">
        <v>11076.8</v>
      </c>
      <c r="AA176" s="917">
        <f t="shared" si="91"/>
        <v>11804.8</v>
      </c>
      <c r="AB176" s="918">
        <f t="shared" si="92"/>
        <v>0</v>
      </c>
      <c r="AC176" s="919"/>
      <c r="AD176" s="917">
        <f t="shared" si="93"/>
        <v>0</v>
      </c>
      <c r="AE176" s="918">
        <f t="shared" si="94"/>
        <v>0</v>
      </c>
      <c r="AF176" s="919"/>
      <c r="AG176" s="917">
        <f t="shared" si="95"/>
        <v>0</v>
      </c>
      <c r="AH176" s="918">
        <f t="shared" si="96"/>
        <v>0</v>
      </c>
      <c r="AI176" s="919"/>
      <c r="AJ176" s="917">
        <f t="shared" si="97"/>
        <v>0</v>
      </c>
      <c r="AK176" s="918">
        <f t="shared" si="98"/>
        <v>0</v>
      </c>
      <c r="AL176" s="919"/>
      <c r="AM176" s="917">
        <f t="shared" si="99"/>
        <v>0</v>
      </c>
      <c r="AN176" s="920">
        <v>19242</v>
      </c>
      <c r="AO176" s="917">
        <f t="shared" si="100"/>
        <v>0</v>
      </c>
      <c r="AP176" s="920"/>
      <c r="AQ176" s="916">
        <f t="shared" si="101"/>
        <v>0</v>
      </c>
      <c r="AR176" s="917">
        <f t="shared" si="102"/>
        <v>20236.8</v>
      </c>
      <c r="AS176" s="916">
        <v>12</v>
      </c>
      <c r="AT176" s="921">
        <f t="shared" si="103"/>
        <v>242841.60000000001</v>
      </c>
      <c r="AU176" s="920"/>
      <c r="AV176" s="922">
        <f t="shared" si="104"/>
        <v>2428.42</v>
      </c>
      <c r="AW176" s="921">
        <f t="shared" si="105"/>
        <v>245270.02</v>
      </c>
      <c r="AX176" s="921">
        <f t="shared" si="106"/>
        <v>74071.55</v>
      </c>
      <c r="AY176" s="921">
        <f t="shared" si="107"/>
        <v>319341.57</v>
      </c>
      <c r="AZ176" s="923">
        <f t="shared" si="108"/>
        <v>245.3</v>
      </c>
      <c r="BA176" s="923">
        <f t="shared" si="109"/>
        <v>74.099999999999994</v>
      </c>
      <c r="BB176" s="923">
        <f t="shared" si="110"/>
        <v>319.39999999999998</v>
      </c>
      <c r="BC176" s="915">
        <v>0.95</v>
      </c>
      <c r="BD176" s="923">
        <f t="shared" si="111"/>
        <v>233</v>
      </c>
      <c r="BE176" s="923">
        <f t="shared" si="112"/>
        <v>70.400000000000006</v>
      </c>
      <c r="BF176" s="923">
        <f t="shared" si="113"/>
        <v>303.39999999999998</v>
      </c>
      <c r="BG176" s="924">
        <f>'[3]свод (2024)'!$B$116</f>
        <v>0.99758349999999996</v>
      </c>
      <c r="BH176" s="923">
        <f t="shared" si="114"/>
        <v>232.4</v>
      </c>
      <c r="BI176" s="923">
        <f t="shared" si="115"/>
        <v>70.2</v>
      </c>
      <c r="BJ176" s="923">
        <f t="shared" si="116"/>
        <v>302.60000000000002</v>
      </c>
      <c r="BK176" s="925">
        <f t="shared" si="117"/>
        <v>-12.9</v>
      </c>
      <c r="BL176" s="925">
        <f t="shared" si="117"/>
        <v>-3.9</v>
      </c>
      <c r="BM176" s="925">
        <f t="shared" si="118"/>
        <v>-16.8</v>
      </c>
      <c r="BN176" s="925">
        <f t="shared" si="119"/>
        <v>0</v>
      </c>
      <c r="BO176" s="925">
        <f t="shared" si="120"/>
        <v>0</v>
      </c>
      <c r="BP176" s="926"/>
      <c r="BQ176" s="925">
        <f t="shared" si="121"/>
        <v>232.4</v>
      </c>
      <c r="BR176" s="925">
        <f t="shared" si="121"/>
        <v>70.2</v>
      </c>
      <c r="BS176" s="925">
        <f t="shared" si="122"/>
        <v>302.60000000000002</v>
      </c>
      <c r="BU176" s="928"/>
      <c r="BV176" s="917"/>
      <c r="BW176" s="928"/>
      <c r="BX176" s="928"/>
      <c r="BY176" s="928"/>
      <c r="BZ176" s="917"/>
      <c r="CA176" s="928"/>
      <c r="CB176" s="917"/>
      <c r="CC176" s="928"/>
      <c r="CD176" s="928"/>
      <c r="CE176" s="928"/>
      <c r="CF176" s="929"/>
      <c r="CG176" s="928"/>
      <c r="CH176" s="928"/>
      <c r="CI176" s="928"/>
      <c r="CJ176" s="925"/>
      <c r="CK176" s="925"/>
      <c r="CL176" s="925"/>
      <c r="CM176" s="925"/>
      <c r="CN176" s="925"/>
      <c r="CO176" s="925"/>
      <c r="CP176" s="925"/>
      <c r="CQ176" s="925"/>
      <c r="CR176" s="925"/>
      <c r="CS176" s="917"/>
      <c r="CT176" s="928"/>
      <c r="CU176" s="928"/>
      <c r="CV176" s="928"/>
      <c r="CX176" s="925"/>
      <c r="CY176" s="925"/>
      <c r="CZ176" s="925"/>
      <c r="DB176" s="925"/>
      <c r="DC176" s="925"/>
      <c r="DD176" s="925"/>
      <c r="DE176" s="925"/>
      <c r="DF176" s="925"/>
      <c r="DG176" s="925"/>
      <c r="DH176" s="925"/>
      <c r="DI176" s="925"/>
      <c r="DJ176" s="925"/>
      <c r="DK176" s="925"/>
      <c r="DL176" s="925"/>
      <c r="DM176" s="925"/>
      <c r="DN176" s="925"/>
      <c r="DO176" s="925"/>
      <c r="DP176" s="925"/>
      <c r="DQ176" s="924"/>
      <c r="DR176" s="925"/>
      <c r="DS176" s="925"/>
      <c r="DT176" s="925"/>
      <c r="DV176" s="925"/>
      <c r="DW176" s="925"/>
      <c r="DX176" s="925"/>
      <c r="DY176" s="925"/>
      <c r="DZ176" s="925"/>
      <c r="EA176" s="925"/>
      <c r="EB176" s="925"/>
      <c r="EC176" s="925"/>
      <c r="ED176" s="925"/>
      <c r="EE176" s="925"/>
      <c r="EF176" s="925"/>
      <c r="EG176" s="925"/>
      <c r="EH176" s="925"/>
      <c r="EI176" s="925"/>
      <c r="EJ176" s="925"/>
      <c r="EK176" s="925"/>
      <c r="EL176" s="925"/>
      <c r="EM176" s="925"/>
      <c r="EN176" s="925"/>
      <c r="EO176" s="925"/>
      <c r="EP176" s="925"/>
      <c r="EQ176" s="925"/>
      <c r="ER176" s="925"/>
      <c r="ES176" s="925"/>
      <c r="ET176" s="925"/>
      <c r="EV176" s="924"/>
      <c r="EW176" s="925"/>
      <c r="EX176" s="925"/>
      <c r="EY176" s="925"/>
    </row>
    <row r="177" spans="1:155" s="927" customFormat="1" ht="15.75" x14ac:dyDescent="0.25">
      <c r="A177" s="912" t="s">
        <v>360</v>
      </c>
      <c r="B177" s="913" t="s">
        <v>44</v>
      </c>
      <c r="C177" s="914">
        <v>2</v>
      </c>
      <c r="D177" s="914">
        <v>4588</v>
      </c>
      <c r="E177" s="915">
        <v>1.0549999999999999</v>
      </c>
      <c r="F177" s="916">
        <f t="shared" si="77"/>
        <v>4841</v>
      </c>
      <c r="G177" s="915">
        <v>1.01</v>
      </c>
      <c r="H177" s="916">
        <f t="shared" si="78"/>
        <v>4890</v>
      </c>
      <c r="I177" s="917">
        <f t="shared" si="79"/>
        <v>9780</v>
      </c>
      <c r="J177" s="918">
        <f t="shared" si="80"/>
        <v>0</v>
      </c>
      <c r="K177" s="919"/>
      <c r="L177" s="917">
        <f t="shared" si="81"/>
        <v>0</v>
      </c>
      <c r="M177" s="918">
        <f t="shared" si="82"/>
        <v>0</v>
      </c>
      <c r="N177" s="919"/>
      <c r="O177" s="917">
        <f t="shared" si="83"/>
        <v>0</v>
      </c>
      <c r="P177" s="918">
        <f t="shared" si="84"/>
        <v>0</v>
      </c>
      <c r="Q177" s="919"/>
      <c r="R177" s="917">
        <f t="shared" si="85"/>
        <v>0</v>
      </c>
      <c r="S177" s="918">
        <f t="shared" si="86"/>
        <v>0</v>
      </c>
      <c r="T177" s="919"/>
      <c r="U177" s="917">
        <f t="shared" si="87"/>
        <v>0</v>
      </c>
      <c r="V177" s="918">
        <f t="shared" si="88"/>
        <v>0</v>
      </c>
      <c r="W177" s="919"/>
      <c r="X177" s="917">
        <f t="shared" si="89"/>
        <v>0</v>
      </c>
      <c r="Y177" s="918">
        <f t="shared" si="90"/>
        <v>0</v>
      </c>
      <c r="Z177" s="919"/>
      <c r="AA177" s="917">
        <f t="shared" si="91"/>
        <v>0</v>
      </c>
      <c r="AB177" s="918">
        <f t="shared" si="92"/>
        <v>0</v>
      </c>
      <c r="AC177" s="919"/>
      <c r="AD177" s="917">
        <f t="shared" si="93"/>
        <v>0</v>
      </c>
      <c r="AE177" s="918">
        <f t="shared" si="94"/>
        <v>0</v>
      </c>
      <c r="AF177" s="919"/>
      <c r="AG177" s="917">
        <f t="shared" si="95"/>
        <v>0</v>
      </c>
      <c r="AH177" s="918">
        <f t="shared" si="96"/>
        <v>0</v>
      </c>
      <c r="AI177" s="919"/>
      <c r="AJ177" s="917">
        <f t="shared" si="97"/>
        <v>0</v>
      </c>
      <c r="AK177" s="918">
        <f t="shared" si="98"/>
        <v>0</v>
      </c>
      <c r="AL177" s="919"/>
      <c r="AM177" s="917">
        <f t="shared" si="99"/>
        <v>0</v>
      </c>
      <c r="AN177" s="920">
        <v>19242</v>
      </c>
      <c r="AO177" s="917">
        <f t="shared" si="100"/>
        <v>28704</v>
      </c>
      <c r="AP177" s="920"/>
      <c r="AQ177" s="916">
        <f t="shared" si="101"/>
        <v>0</v>
      </c>
      <c r="AR177" s="917">
        <f t="shared" si="102"/>
        <v>38484</v>
      </c>
      <c r="AS177" s="916">
        <v>12</v>
      </c>
      <c r="AT177" s="921">
        <f t="shared" si="103"/>
        <v>461808</v>
      </c>
      <c r="AU177" s="920"/>
      <c r="AV177" s="922">
        <f t="shared" si="104"/>
        <v>4618.08</v>
      </c>
      <c r="AW177" s="921">
        <f t="shared" si="105"/>
        <v>466426.08</v>
      </c>
      <c r="AX177" s="921">
        <f t="shared" si="106"/>
        <v>140860.68</v>
      </c>
      <c r="AY177" s="921">
        <f t="shared" si="107"/>
        <v>607286.76</v>
      </c>
      <c r="AZ177" s="923">
        <f t="shared" si="108"/>
        <v>466.4</v>
      </c>
      <c r="BA177" s="923">
        <f t="shared" si="109"/>
        <v>140.9</v>
      </c>
      <c r="BB177" s="923">
        <f t="shared" si="110"/>
        <v>607.29999999999995</v>
      </c>
      <c r="BC177" s="915">
        <v>0.95</v>
      </c>
      <c r="BD177" s="923">
        <f t="shared" si="111"/>
        <v>443.1</v>
      </c>
      <c r="BE177" s="923">
        <f t="shared" si="112"/>
        <v>133.80000000000001</v>
      </c>
      <c r="BF177" s="923">
        <f t="shared" si="113"/>
        <v>576.9</v>
      </c>
      <c r="BG177" s="924">
        <f>'[3]свод (2024)'!$B$116</f>
        <v>0.99758349999999996</v>
      </c>
      <c r="BH177" s="923">
        <f t="shared" si="114"/>
        <v>442</v>
      </c>
      <c r="BI177" s="923">
        <f t="shared" si="115"/>
        <v>133.5</v>
      </c>
      <c r="BJ177" s="923">
        <f t="shared" si="116"/>
        <v>575.5</v>
      </c>
      <c r="BK177" s="925">
        <f t="shared" si="117"/>
        <v>-24.4</v>
      </c>
      <c r="BL177" s="925">
        <f t="shared" si="117"/>
        <v>-7.4</v>
      </c>
      <c r="BM177" s="925">
        <f t="shared" si="118"/>
        <v>-31.8</v>
      </c>
      <c r="BN177" s="925">
        <f t="shared" si="119"/>
        <v>0</v>
      </c>
      <c r="BO177" s="925">
        <f t="shared" si="120"/>
        <v>0</v>
      </c>
      <c r="BP177" s="926"/>
      <c r="BQ177" s="925">
        <f t="shared" si="121"/>
        <v>442</v>
      </c>
      <c r="BR177" s="925">
        <f t="shared" si="121"/>
        <v>133.5</v>
      </c>
      <c r="BS177" s="925">
        <f t="shared" si="122"/>
        <v>575.5</v>
      </c>
      <c r="BU177" s="928"/>
      <c r="BV177" s="917"/>
      <c r="BW177" s="928"/>
      <c r="BX177" s="928"/>
      <c r="BY177" s="928"/>
      <c r="BZ177" s="917"/>
      <c r="CA177" s="928"/>
      <c r="CB177" s="917"/>
      <c r="CC177" s="928"/>
      <c r="CD177" s="928"/>
      <c r="CE177" s="928"/>
      <c r="CF177" s="929"/>
      <c r="CG177" s="928"/>
      <c r="CH177" s="928"/>
      <c r="CI177" s="928"/>
      <c r="CJ177" s="925"/>
      <c r="CK177" s="925"/>
      <c r="CL177" s="925"/>
      <c r="CM177" s="925"/>
      <c r="CN177" s="925"/>
      <c r="CO177" s="925"/>
      <c r="CP177" s="925"/>
      <c r="CQ177" s="925"/>
      <c r="CR177" s="925"/>
      <c r="CS177" s="917"/>
      <c r="CT177" s="928"/>
      <c r="CU177" s="928"/>
      <c r="CV177" s="928"/>
      <c r="CX177" s="925"/>
      <c r="CY177" s="925"/>
      <c r="CZ177" s="925"/>
      <c r="DB177" s="925"/>
      <c r="DC177" s="925"/>
      <c r="DD177" s="925"/>
      <c r="DE177" s="925"/>
      <c r="DF177" s="925"/>
      <c r="DG177" s="925"/>
      <c r="DH177" s="925"/>
      <c r="DI177" s="925"/>
      <c r="DJ177" s="925"/>
      <c r="DK177" s="925"/>
      <c r="DL177" s="925"/>
      <c r="DM177" s="925"/>
      <c r="DN177" s="925"/>
      <c r="DO177" s="925"/>
      <c r="DP177" s="925"/>
      <c r="DQ177" s="924"/>
      <c r="DR177" s="925"/>
      <c r="DS177" s="925"/>
      <c r="DT177" s="925"/>
      <c r="DV177" s="925"/>
      <c r="DW177" s="925"/>
      <c r="DX177" s="925"/>
      <c r="DY177" s="925"/>
      <c r="DZ177" s="925"/>
      <c r="EA177" s="925"/>
      <c r="EB177" s="925"/>
      <c r="EC177" s="925"/>
      <c r="ED177" s="925"/>
      <c r="EE177" s="925"/>
      <c r="EF177" s="925"/>
      <c r="EG177" s="925"/>
      <c r="EH177" s="925"/>
      <c r="EI177" s="925"/>
      <c r="EJ177" s="925"/>
      <c r="EK177" s="925"/>
      <c r="EL177" s="925"/>
      <c r="EM177" s="925"/>
      <c r="EN177" s="925"/>
      <c r="EO177" s="925"/>
      <c r="EP177" s="925"/>
      <c r="EQ177" s="925"/>
      <c r="ER177" s="925"/>
      <c r="ES177" s="925"/>
      <c r="ET177" s="925"/>
      <c r="EV177" s="924"/>
      <c r="EW177" s="925"/>
      <c r="EX177" s="925"/>
      <c r="EY177" s="925"/>
    </row>
    <row r="178" spans="1:155" s="927" customFormat="1" ht="15.75" x14ac:dyDescent="0.25">
      <c r="A178" s="912" t="s">
        <v>360</v>
      </c>
      <c r="B178" s="913" t="s">
        <v>34</v>
      </c>
      <c r="C178" s="914">
        <v>1</v>
      </c>
      <c r="D178" s="914">
        <v>13132</v>
      </c>
      <c r="E178" s="915">
        <v>1.0549999999999999</v>
      </c>
      <c r="F178" s="916">
        <f t="shared" si="77"/>
        <v>13855</v>
      </c>
      <c r="G178" s="915">
        <v>1.01</v>
      </c>
      <c r="H178" s="916">
        <f t="shared" si="78"/>
        <v>13994</v>
      </c>
      <c r="I178" s="917">
        <f t="shared" si="79"/>
        <v>13994</v>
      </c>
      <c r="J178" s="918">
        <f t="shared" si="80"/>
        <v>0.1</v>
      </c>
      <c r="K178" s="919">
        <v>1313.2</v>
      </c>
      <c r="L178" s="917">
        <f t="shared" si="81"/>
        <v>1399.4</v>
      </c>
      <c r="M178" s="918">
        <f t="shared" si="82"/>
        <v>0</v>
      </c>
      <c r="N178" s="919"/>
      <c r="O178" s="917">
        <f t="shared" si="83"/>
        <v>0</v>
      </c>
      <c r="P178" s="918">
        <f t="shared" si="84"/>
        <v>0</v>
      </c>
      <c r="Q178" s="919"/>
      <c r="R178" s="917">
        <f t="shared" si="85"/>
        <v>0</v>
      </c>
      <c r="S178" s="918">
        <f t="shared" si="86"/>
        <v>0</v>
      </c>
      <c r="T178" s="919"/>
      <c r="U178" s="917">
        <f t="shared" si="87"/>
        <v>0</v>
      </c>
      <c r="V178" s="918">
        <f t="shared" si="88"/>
        <v>0</v>
      </c>
      <c r="W178" s="919"/>
      <c r="X178" s="917">
        <f t="shared" si="89"/>
        <v>0</v>
      </c>
      <c r="Y178" s="918">
        <f t="shared" si="90"/>
        <v>0</v>
      </c>
      <c r="Z178" s="919"/>
      <c r="AA178" s="917">
        <f t="shared" si="91"/>
        <v>0</v>
      </c>
      <c r="AB178" s="918">
        <f t="shared" si="92"/>
        <v>0.2</v>
      </c>
      <c r="AC178" s="919">
        <v>2626.4</v>
      </c>
      <c r="AD178" s="917">
        <f t="shared" si="93"/>
        <v>2798.8</v>
      </c>
      <c r="AE178" s="918">
        <f t="shared" si="94"/>
        <v>0.05</v>
      </c>
      <c r="AF178" s="919">
        <v>656.6</v>
      </c>
      <c r="AG178" s="917">
        <f t="shared" si="95"/>
        <v>699.7</v>
      </c>
      <c r="AH178" s="918">
        <f t="shared" si="96"/>
        <v>0</v>
      </c>
      <c r="AI178" s="919"/>
      <c r="AJ178" s="917">
        <f t="shared" si="97"/>
        <v>0</v>
      </c>
      <c r="AK178" s="918">
        <f t="shared" si="98"/>
        <v>0</v>
      </c>
      <c r="AL178" s="919"/>
      <c r="AM178" s="917">
        <f t="shared" si="99"/>
        <v>0</v>
      </c>
      <c r="AN178" s="920">
        <v>19242</v>
      </c>
      <c r="AO178" s="917">
        <f t="shared" si="100"/>
        <v>350.1</v>
      </c>
      <c r="AP178" s="920"/>
      <c r="AQ178" s="916">
        <f t="shared" si="101"/>
        <v>0</v>
      </c>
      <c r="AR178" s="917">
        <f t="shared" si="102"/>
        <v>19242</v>
      </c>
      <c r="AS178" s="916">
        <v>12</v>
      </c>
      <c r="AT178" s="921">
        <f t="shared" si="103"/>
        <v>230904</v>
      </c>
      <c r="AU178" s="920"/>
      <c r="AV178" s="922">
        <f t="shared" si="104"/>
        <v>2309.04</v>
      </c>
      <c r="AW178" s="921">
        <f t="shared" si="105"/>
        <v>233213.04</v>
      </c>
      <c r="AX178" s="921">
        <f t="shared" si="106"/>
        <v>70430.34</v>
      </c>
      <c r="AY178" s="921">
        <f t="shared" si="107"/>
        <v>303643.38</v>
      </c>
      <c r="AZ178" s="923">
        <f t="shared" si="108"/>
        <v>233.2</v>
      </c>
      <c r="BA178" s="923">
        <f t="shared" si="109"/>
        <v>70.400000000000006</v>
      </c>
      <c r="BB178" s="923">
        <f t="shared" si="110"/>
        <v>303.60000000000002</v>
      </c>
      <c r="BC178" s="915">
        <v>0.95</v>
      </c>
      <c r="BD178" s="923">
        <f t="shared" si="111"/>
        <v>221.5</v>
      </c>
      <c r="BE178" s="923">
        <f t="shared" si="112"/>
        <v>66.900000000000006</v>
      </c>
      <c r="BF178" s="923">
        <f t="shared" si="113"/>
        <v>288.39999999999998</v>
      </c>
      <c r="BG178" s="924">
        <f>'[3]свод (2024)'!$B$116</f>
        <v>0.99758349999999996</v>
      </c>
      <c r="BH178" s="923">
        <f t="shared" si="114"/>
        <v>221</v>
      </c>
      <c r="BI178" s="923">
        <f t="shared" si="115"/>
        <v>66.7</v>
      </c>
      <c r="BJ178" s="923">
        <f t="shared" si="116"/>
        <v>287.7</v>
      </c>
      <c r="BK178" s="925">
        <f t="shared" si="117"/>
        <v>-12.2</v>
      </c>
      <c r="BL178" s="925">
        <f t="shared" si="117"/>
        <v>-3.7</v>
      </c>
      <c r="BM178" s="925">
        <f t="shared" si="118"/>
        <v>-15.9</v>
      </c>
      <c r="BN178" s="925">
        <f t="shared" si="119"/>
        <v>0</v>
      </c>
      <c r="BO178" s="925">
        <f t="shared" si="120"/>
        <v>0</v>
      </c>
      <c r="BP178" s="926"/>
      <c r="BQ178" s="925">
        <f t="shared" si="121"/>
        <v>221</v>
      </c>
      <c r="BR178" s="925">
        <f t="shared" si="121"/>
        <v>66.7</v>
      </c>
      <c r="BS178" s="925">
        <f t="shared" si="122"/>
        <v>287.7</v>
      </c>
      <c r="BU178" s="928">
        <f t="shared" si="123"/>
        <v>1</v>
      </c>
      <c r="BV178" s="917"/>
      <c r="BW178" s="928"/>
      <c r="BX178" s="928">
        <f t="shared" si="124"/>
        <v>233213.04</v>
      </c>
      <c r="BY178" s="928"/>
      <c r="BZ178" s="917"/>
      <c r="CA178" s="928"/>
      <c r="CB178" s="917"/>
      <c r="CC178" s="928"/>
      <c r="CD178" s="928"/>
      <c r="CE178" s="928"/>
      <c r="CF178" s="929">
        <f>CC$184/BU$184*BU178</f>
        <v>78830.11</v>
      </c>
      <c r="CG178" s="928"/>
      <c r="CH178" s="928"/>
      <c r="CI178" s="928"/>
      <c r="CJ178" s="925"/>
      <c r="CK178" s="925"/>
      <c r="CL178" s="925"/>
      <c r="CM178" s="925"/>
      <c r="CN178" s="925"/>
      <c r="CO178" s="925"/>
      <c r="CP178" s="925"/>
      <c r="CQ178" s="925"/>
      <c r="CR178" s="925"/>
      <c r="CS178" s="917"/>
      <c r="CT178" s="928"/>
      <c r="CU178" s="928"/>
      <c r="CV178" s="928"/>
      <c r="CX178" s="925"/>
      <c r="CY178" s="925"/>
      <c r="CZ178" s="925"/>
      <c r="DB178" s="925"/>
      <c r="DC178" s="925"/>
      <c r="DD178" s="925"/>
      <c r="DE178" s="925"/>
      <c r="DF178" s="925"/>
      <c r="DG178" s="925"/>
      <c r="DH178" s="925"/>
      <c r="DI178" s="925"/>
      <c r="DJ178" s="925"/>
      <c r="DK178" s="925"/>
      <c r="DL178" s="925"/>
      <c r="DM178" s="925"/>
      <c r="DN178" s="925"/>
      <c r="DO178" s="925"/>
      <c r="DP178" s="925"/>
      <c r="DQ178" s="924"/>
      <c r="DR178" s="925"/>
      <c r="DS178" s="925"/>
      <c r="DT178" s="925"/>
      <c r="DV178" s="925"/>
      <c r="DW178" s="925"/>
      <c r="DX178" s="925"/>
      <c r="DY178" s="925"/>
      <c r="DZ178" s="925"/>
      <c r="EA178" s="925"/>
      <c r="EB178" s="925"/>
      <c r="EC178" s="925"/>
      <c r="ED178" s="925"/>
      <c r="EE178" s="925"/>
      <c r="EF178" s="925"/>
      <c r="EG178" s="925"/>
      <c r="EH178" s="925"/>
      <c r="EI178" s="925"/>
      <c r="EJ178" s="925"/>
      <c r="EK178" s="925"/>
      <c r="EL178" s="925"/>
      <c r="EM178" s="925"/>
      <c r="EN178" s="925"/>
      <c r="EO178" s="925"/>
      <c r="EP178" s="925"/>
      <c r="EQ178" s="925"/>
      <c r="ER178" s="925"/>
      <c r="ES178" s="925"/>
      <c r="ET178" s="925"/>
      <c r="EV178" s="924"/>
      <c r="EW178" s="925"/>
      <c r="EX178" s="925"/>
      <c r="EY178" s="925"/>
    </row>
    <row r="179" spans="1:155" s="927" customFormat="1" ht="15.75" x14ac:dyDescent="0.25">
      <c r="A179" s="912" t="s">
        <v>360</v>
      </c>
      <c r="B179" s="913" t="s">
        <v>1413</v>
      </c>
      <c r="C179" s="914">
        <v>1</v>
      </c>
      <c r="D179" s="914">
        <v>6707</v>
      </c>
      <c r="E179" s="915">
        <v>1.0549999999999999</v>
      </c>
      <c r="F179" s="916">
        <f t="shared" si="77"/>
        <v>7076</v>
      </c>
      <c r="G179" s="915">
        <v>1.01</v>
      </c>
      <c r="H179" s="916">
        <f t="shared" si="78"/>
        <v>7147</v>
      </c>
      <c r="I179" s="917">
        <f t="shared" si="79"/>
        <v>7147</v>
      </c>
      <c r="J179" s="918">
        <f t="shared" si="80"/>
        <v>0</v>
      </c>
      <c r="K179" s="919"/>
      <c r="L179" s="917">
        <f t="shared" si="81"/>
        <v>0</v>
      </c>
      <c r="M179" s="918">
        <f t="shared" si="82"/>
        <v>0</v>
      </c>
      <c r="N179" s="919"/>
      <c r="O179" s="917">
        <f t="shared" si="83"/>
        <v>0</v>
      </c>
      <c r="P179" s="918">
        <f t="shared" si="84"/>
        <v>0</v>
      </c>
      <c r="Q179" s="919"/>
      <c r="R179" s="917">
        <f t="shared" si="85"/>
        <v>0</v>
      </c>
      <c r="S179" s="918">
        <f t="shared" si="86"/>
        <v>1</v>
      </c>
      <c r="T179" s="919">
        <v>6707</v>
      </c>
      <c r="U179" s="917">
        <f t="shared" si="87"/>
        <v>7147</v>
      </c>
      <c r="V179" s="918">
        <f t="shared" si="88"/>
        <v>0</v>
      </c>
      <c r="W179" s="919"/>
      <c r="X179" s="917">
        <f t="shared" si="89"/>
        <v>0</v>
      </c>
      <c r="Y179" s="918">
        <f t="shared" si="90"/>
        <v>0</v>
      </c>
      <c r="Z179" s="919"/>
      <c r="AA179" s="917">
        <f t="shared" si="91"/>
        <v>0</v>
      </c>
      <c r="AB179" s="918">
        <f t="shared" si="92"/>
        <v>0.15</v>
      </c>
      <c r="AC179" s="919">
        <v>1006.05</v>
      </c>
      <c r="AD179" s="917">
        <f t="shared" si="93"/>
        <v>1072.05</v>
      </c>
      <c r="AE179" s="918">
        <f t="shared" si="94"/>
        <v>0</v>
      </c>
      <c r="AF179" s="919"/>
      <c r="AG179" s="917">
        <f t="shared" si="95"/>
        <v>0</v>
      </c>
      <c r="AH179" s="918">
        <f t="shared" si="96"/>
        <v>0</v>
      </c>
      <c r="AI179" s="919"/>
      <c r="AJ179" s="917">
        <f t="shared" si="97"/>
        <v>0</v>
      </c>
      <c r="AK179" s="918">
        <f t="shared" si="98"/>
        <v>0</v>
      </c>
      <c r="AL179" s="919"/>
      <c r="AM179" s="917">
        <f t="shared" si="99"/>
        <v>0</v>
      </c>
      <c r="AN179" s="920">
        <v>19242</v>
      </c>
      <c r="AO179" s="917">
        <f t="shared" si="100"/>
        <v>3875.95</v>
      </c>
      <c r="AP179" s="920"/>
      <c r="AQ179" s="916">
        <f t="shared" si="101"/>
        <v>0</v>
      </c>
      <c r="AR179" s="917">
        <f t="shared" si="102"/>
        <v>19242</v>
      </c>
      <c r="AS179" s="916">
        <v>12</v>
      </c>
      <c r="AT179" s="921">
        <f t="shared" si="103"/>
        <v>230904</v>
      </c>
      <c r="AU179" s="920"/>
      <c r="AV179" s="922">
        <f t="shared" si="104"/>
        <v>2309.04</v>
      </c>
      <c r="AW179" s="921">
        <f t="shared" si="105"/>
        <v>233213.04</v>
      </c>
      <c r="AX179" s="921">
        <f t="shared" si="106"/>
        <v>70430.34</v>
      </c>
      <c r="AY179" s="921">
        <f t="shared" si="107"/>
        <v>303643.38</v>
      </c>
      <c r="AZ179" s="923">
        <f t="shared" si="108"/>
        <v>233.2</v>
      </c>
      <c r="BA179" s="923">
        <f t="shared" si="109"/>
        <v>70.400000000000006</v>
      </c>
      <c r="BB179" s="923">
        <f t="shared" si="110"/>
        <v>303.60000000000002</v>
      </c>
      <c r="BC179" s="915">
        <v>0.95</v>
      </c>
      <c r="BD179" s="923">
        <f t="shared" si="111"/>
        <v>221.5</v>
      </c>
      <c r="BE179" s="923">
        <f t="shared" si="112"/>
        <v>66.900000000000006</v>
      </c>
      <c r="BF179" s="923">
        <f t="shared" si="113"/>
        <v>288.39999999999998</v>
      </c>
      <c r="BG179" s="924">
        <f>'[3]свод (2024)'!$B$116</f>
        <v>0.99758349999999996</v>
      </c>
      <c r="BH179" s="923">
        <f t="shared" si="114"/>
        <v>221</v>
      </c>
      <c r="BI179" s="923">
        <f t="shared" si="115"/>
        <v>66.7</v>
      </c>
      <c r="BJ179" s="923">
        <f t="shared" si="116"/>
        <v>287.7</v>
      </c>
      <c r="BK179" s="925">
        <f t="shared" si="117"/>
        <v>-12.2</v>
      </c>
      <c r="BL179" s="925">
        <f t="shared" si="117"/>
        <v>-3.7</v>
      </c>
      <c r="BM179" s="925">
        <f t="shared" si="118"/>
        <v>-15.9</v>
      </c>
      <c r="BN179" s="925">
        <f t="shared" si="119"/>
        <v>0</v>
      </c>
      <c r="BO179" s="925">
        <f t="shared" si="120"/>
        <v>0</v>
      </c>
      <c r="BP179" s="926"/>
      <c r="BQ179" s="925">
        <f t="shared" si="121"/>
        <v>221</v>
      </c>
      <c r="BR179" s="925">
        <f t="shared" si="121"/>
        <v>66.7</v>
      </c>
      <c r="BS179" s="925">
        <f t="shared" si="122"/>
        <v>287.7</v>
      </c>
      <c r="BU179" s="928"/>
      <c r="BV179" s="917"/>
      <c r="BW179" s="928"/>
      <c r="BX179" s="928"/>
      <c r="BY179" s="928"/>
      <c r="BZ179" s="917"/>
      <c r="CA179" s="928"/>
      <c r="CB179" s="917"/>
      <c r="CC179" s="928"/>
      <c r="CD179" s="928"/>
      <c r="CE179" s="928"/>
      <c r="CF179" s="929"/>
      <c r="CG179" s="928"/>
      <c r="CH179" s="928"/>
      <c r="CI179" s="928"/>
      <c r="CJ179" s="925"/>
      <c r="CK179" s="925"/>
      <c r="CL179" s="925"/>
      <c r="CM179" s="925"/>
      <c r="CN179" s="925"/>
      <c r="CO179" s="925"/>
      <c r="CP179" s="925"/>
      <c r="CQ179" s="925"/>
      <c r="CR179" s="925"/>
      <c r="CS179" s="917"/>
      <c r="CT179" s="928"/>
      <c r="CU179" s="928"/>
      <c r="CV179" s="928"/>
      <c r="CX179" s="925"/>
      <c r="CY179" s="925"/>
      <c r="CZ179" s="925"/>
      <c r="DB179" s="925"/>
      <c r="DC179" s="925"/>
      <c r="DD179" s="925"/>
      <c r="DE179" s="925"/>
      <c r="DF179" s="925"/>
      <c r="DG179" s="925"/>
      <c r="DH179" s="925"/>
      <c r="DI179" s="925"/>
      <c r="DJ179" s="925"/>
      <c r="DK179" s="925"/>
      <c r="DL179" s="925"/>
      <c r="DM179" s="925"/>
      <c r="DN179" s="925"/>
      <c r="DO179" s="925"/>
      <c r="DP179" s="925"/>
      <c r="DQ179" s="924"/>
      <c r="DR179" s="925"/>
      <c r="DS179" s="925"/>
      <c r="DT179" s="925"/>
      <c r="DV179" s="925"/>
      <c r="DW179" s="925"/>
      <c r="DX179" s="925"/>
      <c r="DY179" s="925"/>
      <c r="DZ179" s="925"/>
      <c r="EA179" s="925"/>
      <c r="EB179" s="925"/>
      <c r="EC179" s="925"/>
      <c r="ED179" s="925"/>
      <c r="EE179" s="925"/>
      <c r="EF179" s="925"/>
      <c r="EG179" s="925"/>
      <c r="EH179" s="925"/>
      <c r="EI179" s="925"/>
      <c r="EJ179" s="925"/>
      <c r="EK179" s="925"/>
      <c r="EL179" s="925"/>
      <c r="EM179" s="925"/>
      <c r="EN179" s="925"/>
      <c r="EO179" s="925"/>
      <c r="EP179" s="925"/>
      <c r="EQ179" s="925"/>
      <c r="ER179" s="925"/>
      <c r="ES179" s="925"/>
      <c r="ET179" s="925"/>
      <c r="EV179" s="924"/>
      <c r="EW179" s="925"/>
      <c r="EX179" s="925"/>
      <c r="EY179" s="925"/>
    </row>
    <row r="180" spans="1:155" s="927" customFormat="1" ht="15.75" x14ac:dyDescent="0.25">
      <c r="A180" s="912" t="s">
        <v>360</v>
      </c>
      <c r="B180" s="913" t="s">
        <v>1389</v>
      </c>
      <c r="C180" s="914">
        <v>20</v>
      </c>
      <c r="D180" s="914">
        <v>4336</v>
      </c>
      <c r="E180" s="915">
        <v>1.0549999999999999</v>
      </c>
      <c r="F180" s="916">
        <f t="shared" si="77"/>
        <v>4575</v>
      </c>
      <c r="G180" s="915">
        <v>1.01</v>
      </c>
      <c r="H180" s="916">
        <f t="shared" si="78"/>
        <v>4621</v>
      </c>
      <c r="I180" s="917">
        <f t="shared" si="79"/>
        <v>92420</v>
      </c>
      <c r="J180" s="918">
        <f t="shared" si="80"/>
        <v>0</v>
      </c>
      <c r="K180" s="919"/>
      <c r="L180" s="917">
        <f t="shared" si="81"/>
        <v>0</v>
      </c>
      <c r="M180" s="918">
        <f t="shared" si="82"/>
        <v>0</v>
      </c>
      <c r="N180" s="919"/>
      <c r="O180" s="917">
        <f t="shared" si="83"/>
        <v>0</v>
      </c>
      <c r="P180" s="918">
        <f t="shared" si="84"/>
        <v>0</v>
      </c>
      <c r="Q180" s="919"/>
      <c r="R180" s="917">
        <f t="shared" si="85"/>
        <v>0</v>
      </c>
      <c r="S180" s="918">
        <f t="shared" si="86"/>
        <v>0</v>
      </c>
      <c r="T180" s="919"/>
      <c r="U180" s="917">
        <f t="shared" si="87"/>
        <v>0</v>
      </c>
      <c r="V180" s="918">
        <f t="shared" si="88"/>
        <v>0</v>
      </c>
      <c r="W180" s="919"/>
      <c r="X180" s="917">
        <f t="shared" si="89"/>
        <v>0</v>
      </c>
      <c r="Y180" s="918">
        <f t="shared" si="90"/>
        <v>0</v>
      </c>
      <c r="Z180" s="919"/>
      <c r="AA180" s="917">
        <f t="shared" si="91"/>
        <v>0</v>
      </c>
      <c r="AB180" s="918">
        <f t="shared" si="92"/>
        <v>0</v>
      </c>
      <c r="AC180" s="919"/>
      <c r="AD180" s="917">
        <f t="shared" si="93"/>
        <v>0</v>
      </c>
      <c r="AE180" s="918">
        <f t="shared" si="94"/>
        <v>0</v>
      </c>
      <c r="AF180" s="919"/>
      <c r="AG180" s="917">
        <f t="shared" si="95"/>
        <v>0</v>
      </c>
      <c r="AH180" s="918">
        <f t="shared" si="96"/>
        <v>0</v>
      </c>
      <c r="AI180" s="919"/>
      <c r="AJ180" s="917">
        <f t="shared" si="97"/>
        <v>0</v>
      </c>
      <c r="AK180" s="918">
        <f t="shared" si="98"/>
        <v>0</v>
      </c>
      <c r="AL180" s="919"/>
      <c r="AM180" s="917">
        <f t="shared" si="99"/>
        <v>0</v>
      </c>
      <c r="AN180" s="920">
        <v>19242</v>
      </c>
      <c r="AO180" s="917">
        <f t="shared" si="100"/>
        <v>292420</v>
      </c>
      <c r="AP180" s="920">
        <v>1060.29</v>
      </c>
      <c r="AQ180" s="916">
        <f t="shared" si="101"/>
        <v>21205.8</v>
      </c>
      <c r="AR180" s="917">
        <f t="shared" si="102"/>
        <v>406045.8</v>
      </c>
      <c r="AS180" s="916">
        <v>12</v>
      </c>
      <c r="AT180" s="921">
        <f t="shared" si="103"/>
        <v>4872549.5999999996</v>
      </c>
      <c r="AU180" s="920">
        <f t="shared" ref="AU180:AU181" si="146">AT180*0.085</f>
        <v>414166.72</v>
      </c>
      <c r="AV180" s="922">
        <f t="shared" si="104"/>
        <v>48725.5</v>
      </c>
      <c r="AW180" s="921">
        <f t="shared" si="105"/>
        <v>5335441.82</v>
      </c>
      <c r="AX180" s="921">
        <f t="shared" si="106"/>
        <v>1611303.43</v>
      </c>
      <c r="AY180" s="921">
        <f t="shared" si="107"/>
        <v>6946745.25</v>
      </c>
      <c r="AZ180" s="923">
        <f t="shared" si="108"/>
        <v>5335.4</v>
      </c>
      <c r="BA180" s="923">
        <f t="shared" si="109"/>
        <v>1611.3</v>
      </c>
      <c r="BB180" s="923">
        <f t="shared" si="110"/>
        <v>6946.7</v>
      </c>
      <c r="BC180" s="915">
        <v>0.95</v>
      </c>
      <c r="BD180" s="923">
        <f t="shared" si="111"/>
        <v>5068.6000000000004</v>
      </c>
      <c r="BE180" s="923">
        <f t="shared" si="112"/>
        <v>1530.7</v>
      </c>
      <c r="BF180" s="923">
        <f t="shared" si="113"/>
        <v>6599.3</v>
      </c>
      <c r="BG180" s="924">
        <f>'[3]свод (2024)'!$B$116</f>
        <v>0.99758349999999996</v>
      </c>
      <c r="BH180" s="923">
        <f t="shared" si="114"/>
        <v>5056.3999999999996</v>
      </c>
      <c r="BI180" s="923">
        <f t="shared" si="115"/>
        <v>1527</v>
      </c>
      <c r="BJ180" s="923">
        <f t="shared" si="116"/>
        <v>6583.4</v>
      </c>
      <c r="BK180" s="925">
        <f t="shared" si="117"/>
        <v>-279</v>
      </c>
      <c r="BL180" s="925">
        <f t="shared" si="117"/>
        <v>-84.3</v>
      </c>
      <c r="BM180" s="925">
        <f t="shared" si="118"/>
        <v>-363.3</v>
      </c>
      <c r="BN180" s="925">
        <f t="shared" si="119"/>
        <v>0</v>
      </c>
      <c r="BO180" s="925">
        <f t="shared" si="120"/>
        <v>0</v>
      </c>
      <c r="BP180" s="926"/>
      <c r="BQ180" s="925">
        <f t="shared" si="121"/>
        <v>5056.3999999999996</v>
      </c>
      <c r="BR180" s="925">
        <f t="shared" si="121"/>
        <v>1527</v>
      </c>
      <c r="BS180" s="925">
        <f t="shared" si="122"/>
        <v>6583.4</v>
      </c>
      <c r="BU180" s="928"/>
      <c r="BV180" s="917"/>
      <c r="BW180" s="928"/>
      <c r="BX180" s="928"/>
      <c r="BY180" s="928"/>
      <c r="BZ180" s="917"/>
      <c r="CA180" s="928"/>
      <c r="CB180" s="917"/>
      <c r="CC180" s="928"/>
      <c r="CD180" s="928"/>
      <c r="CE180" s="928"/>
      <c r="CF180" s="929"/>
      <c r="CG180" s="928"/>
      <c r="CH180" s="928"/>
      <c r="CI180" s="928"/>
      <c r="CJ180" s="925"/>
      <c r="CK180" s="925"/>
      <c r="CL180" s="925"/>
      <c r="CM180" s="925"/>
      <c r="CN180" s="925"/>
      <c r="CO180" s="925"/>
      <c r="CP180" s="925"/>
      <c r="CQ180" s="925"/>
      <c r="CR180" s="925"/>
      <c r="CS180" s="917"/>
      <c r="CT180" s="928"/>
      <c r="CU180" s="928"/>
      <c r="CV180" s="928"/>
      <c r="CX180" s="925"/>
      <c r="CY180" s="925"/>
      <c r="CZ180" s="925"/>
      <c r="DB180" s="925"/>
      <c r="DC180" s="925"/>
      <c r="DD180" s="925"/>
      <c r="DE180" s="925"/>
      <c r="DF180" s="925"/>
      <c r="DG180" s="925"/>
      <c r="DH180" s="925"/>
      <c r="DI180" s="925"/>
      <c r="DJ180" s="925"/>
      <c r="DK180" s="925"/>
      <c r="DL180" s="925"/>
      <c r="DM180" s="925"/>
      <c r="DN180" s="925"/>
      <c r="DO180" s="925"/>
      <c r="DP180" s="925"/>
      <c r="DQ180" s="924"/>
      <c r="DR180" s="925"/>
      <c r="DS180" s="925"/>
      <c r="DT180" s="925"/>
      <c r="DV180" s="925"/>
      <c r="DW180" s="925"/>
      <c r="DX180" s="925"/>
      <c r="DY180" s="925"/>
      <c r="DZ180" s="925"/>
      <c r="EA180" s="925"/>
      <c r="EB180" s="925"/>
      <c r="EC180" s="925"/>
      <c r="ED180" s="925"/>
      <c r="EE180" s="925"/>
      <c r="EF180" s="925"/>
      <c r="EG180" s="925"/>
      <c r="EH180" s="925"/>
      <c r="EI180" s="925"/>
      <c r="EJ180" s="925"/>
      <c r="EK180" s="925"/>
      <c r="EL180" s="925"/>
      <c r="EM180" s="925"/>
      <c r="EN180" s="925"/>
      <c r="EO180" s="925"/>
      <c r="EP180" s="925"/>
      <c r="EQ180" s="925"/>
      <c r="ER180" s="925"/>
      <c r="ES180" s="925"/>
      <c r="ET180" s="925"/>
      <c r="EV180" s="924"/>
      <c r="EW180" s="925"/>
      <c r="EX180" s="925"/>
      <c r="EY180" s="925"/>
    </row>
    <row r="181" spans="1:155" s="927" customFormat="1" ht="15.75" x14ac:dyDescent="0.25">
      <c r="A181" s="912" t="s">
        <v>360</v>
      </c>
      <c r="B181" s="913" t="s">
        <v>1390</v>
      </c>
      <c r="C181" s="914">
        <v>6.75</v>
      </c>
      <c r="D181" s="914">
        <v>4336</v>
      </c>
      <c r="E181" s="915">
        <v>1.0549999999999999</v>
      </c>
      <c r="F181" s="916">
        <f t="shared" si="77"/>
        <v>4575</v>
      </c>
      <c r="G181" s="915">
        <v>1.01</v>
      </c>
      <c r="H181" s="916">
        <f t="shared" si="78"/>
        <v>4621</v>
      </c>
      <c r="I181" s="917">
        <f t="shared" si="79"/>
        <v>31191.75</v>
      </c>
      <c r="J181" s="918">
        <f t="shared" si="80"/>
        <v>0</v>
      </c>
      <c r="K181" s="919"/>
      <c r="L181" s="917">
        <f t="shared" si="81"/>
        <v>0</v>
      </c>
      <c r="M181" s="918">
        <f t="shared" si="82"/>
        <v>0</v>
      </c>
      <c r="N181" s="919"/>
      <c r="O181" s="917">
        <f t="shared" si="83"/>
        <v>0</v>
      </c>
      <c r="P181" s="918">
        <f t="shared" si="84"/>
        <v>0</v>
      </c>
      <c r="Q181" s="919"/>
      <c r="R181" s="917">
        <f t="shared" si="85"/>
        <v>0</v>
      </c>
      <c r="S181" s="918">
        <f t="shared" si="86"/>
        <v>0</v>
      </c>
      <c r="T181" s="919"/>
      <c r="U181" s="917">
        <f t="shared" si="87"/>
        <v>0</v>
      </c>
      <c r="V181" s="918">
        <f t="shared" si="88"/>
        <v>0</v>
      </c>
      <c r="W181" s="919"/>
      <c r="X181" s="917">
        <f t="shared" si="89"/>
        <v>0</v>
      </c>
      <c r="Y181" s="918">
        <f t="shared" si="90"/>
        <v>0</v>
      </c>
      <c r="Z181" s="919"/>
      <c r="AA181" s="917">
        <f t="shared" si="91"/>
        <v>0</v>
      </c>
      <c r="AB181" s="918">
        <f t="shared" si="92"/>
        <v>0</v>
      </c>
      <c r="AC181" s="919"/>
      <c r="AD181" s="917">
        <f t="shared" si="93"/>
        <v>0</v>
      </c>
      <c r="AE181" s="918">
        <f t="shared" si="94"/>
        <v>0</v>
      </c>
      <c r="AF181" s="919"/>
      <c r="AG181" s="917">
        <f t="shared" si="95"/>
        <v>0</v>
      </c>
      <c r="AH181" s="918">
        <f t="shared" si="96"/>
        <v>0</v>
      </c>
      <c r="AI181" s="919"/>
      <c r="AJ181" s="917">
        <f t="shared" si="97"/>
        <v>0</v>
      </c>
      <c r="AK181" s="918">
        <f t="shared" si="98"/>
        <v>0</v>
      </c>
      <c r="AL181" s="919"/>
      <c r="AM181" s="917">
        <f t="shared" si="99"/>
        <v>0</v>
      </c>
      <c r="AN181" s="920">
        <v>19242</v>
      </c>
      <c r="AO181" s="917">
        <f t="shared" si="100"/>
        <v>98691.75</v>
      </c>
      <c r="AP181" s="920"/>
      <c r="AQ181" s="916">
        <f t="shared" si="101"/>
        <v>0</v>
      </c>
      <c r="AR181" s="917">
        <f t="shared" si="102"/>
        <v>129883.5</v>
      </c>
      <c r="AS181" s="916">
        <v>12</v>
      </c>
      <c r="AT181" s="921">
        <f t="shared" si="103"/>
        <v>1558602</v>
      </c>
      <c r="AU181" s="920">
        <f t="shared" si="146"/>
        <v>132481.17000000001</v>
      </c>
      <c r="AV181" s="922">
        <f t="shared" si="104"/>
        <v>15586.02</v>
      </c>
      <c r="AW181" s="921">
        <f t="shared" si="105"/>
        <v>1706669.19</v>
      </c>
      <c r="AX181" s="921">
        <f t="shared" si="106"/>
        <v>515414.1</v>
      </c>
      <c r="AY181" s="921">
        <f t="shared" si="107"/>
        <v>2222083.29</v>
      </c>
      <c r="AZ181" s="923">
        <f t="shared" si="108"/>
        <v>1706.7</v>
      </c>
      <c r="BA181" s="923">
        <f t="shared" si="109"/>
        <v>515.4</v>
      </c>
      <c r="BB181" s="923">
        <f t="shared" si="110"/>
        <v>2222.1</v>
      </c>
      <c r="BC181" s="915">
        <v>0.95</v>
      </c>
      <c r="BD181" s="923">
        <f t="shared" si="111"/>
        <v>1621.4</v>
      </c>
      <c r="BE181" s="923">
        <f t="shared" si="112"/>
        <v>489.7</v>
      </c>
      <c r="BF181" s="923">
        <f t="shared" si="113"/>
        <v>2111.1</v>
      </c>
      <c r="BG181" s="924">
        <f>'[3]свод (2024)'!$B$116</f>
        <v>0.99758349999999996</v>
      </c>
      <c r="BH181" s="923">
        <f t="shared" si="114"/>
        <v>1617.5</v>
      </c>
      <c r="BI181" s="923">
        <f t="shared" si="115"/>
        <v>488.5</v>
      </c>
      <c r="BJ181" s="923">
        <f t="shared" si="116"/>
        <v>2106</v>
      </c>
      <c r="BK181" s="925">
        <f t="shared" si="117"/>
        <v>-89.2</v>
      </c>
      <c r="BL181" s="925">
        <f t="shared" si="117"/>
        <v>-26.9</v>
      </c>
      <c r="BM181" s="925">
        <f t="shared" si="118"/>
        <v>-116.1</v>
      </c>
      <c r="BN181" s="925">
        <f t="shared" si="119"/>
        <v>0</v>
      </c>
      <c r="BO181" s="925">
        <f t="shared" si="120"/>
        <v>0</v>
      </c>
      <c r="BP181" s="926"/>
      <c r="BQ181" s="925">
        <f t="shared" si="121"/>
        <v>1617.5</v>
      </c>
      <c r="BR181" s="925">
        <f t="shared" si="121"/>
        <v>488.5</v>
      </c>
      <c r="BS181" s="925">
        <f t="shared" si="122"/>
        <v>2106</v>
      </c>
      <c r="BU181" s="928"/>
      <c r="BV181" s="917"/>
      <c r="BW181" s="928"/>
      <c r="BX181" s="928"/>
      <c r="BY181" s="928"/>
      <c r="BZ181" s="917"/>
      <c r="CA181" s="928"/>
      <c r="CB181" s="917"/>
      <c r="CC181" s="928"/>
      <c r="CD181" s="928"/>
      <c r="CE181" s="928"/>
      <c r="CF181" s="929"/>
      <c r="CG181" s="928"/>
      <c r="CH181" s="928"/>
      <c r="CI181" s="928"/>
      <c r="CJ181" s="925"/>
      <c r="CK181" s="925"/>
      <c r="CL181" s="925"/>
      <c r="CM181" s="925"/>
      <c r="CN181" s="925"/>
      <c r="CO181" s="925"/>
      <c r="CP181" s="925"/>
      <c r="CQ181" s="925"/>
      <c r="CR181" s="925"/>
      <c r="CS181" s="917"/>
      <c r="CT181" s="928"/>
      <c r="CU181" s="928"/>
      <c r="CV181" s="928"/>
      <c r="CX181" s="925"/>
      <c r="CY181" s="925"/>
      <c r="CZ181" s="925"/>
      <c r="DB181" s="925"/>
      <c r="DC181" s="925"/>
      <c r="DD181" s="925"/>
      <c r="DE181" s="925"/>
      <c r="DF181" s="925"/>
      <c r="DG181" s="925"/>
      <c r="DH181" s="925"/>
      <c r="DI181" s="925"/>
      <c r="DJ181" s="925"/>
      <c r="DK181" s="925"/>
      <c r="DL181" s="925"/>
      <c r="DM181" s="925"/>
      <c r="DN181" s="925"/>
      <c r="DO181" s="925"/>
      <c r="DP181" s="925"/>
      <c r="DQ181" s="924"/>
      <c r="DR181" s="925"/>
      <c r="DS181" s="925"/>
      <c r="DT181" s="925"/>
      <c r="DV181" s="925"/>
      <c r="DW181" s="925"/>
      <c r="DX181" s="925"/>
      <c r="DY181" s="925"/>
      <c r="DZ181" s="925"/>
      <c r="EA181" s="925"/>
      <c r="EB181" s="925"/>
      <c r="EC181" s="925"/>
      <c r="ED181" s="925"/>
      <c r="EE181" s="925"/>
      <c r="EF181" s="925"/>
      <c r="EG181" s="925"/>
      <c r="EH181" s="925"/>
      <c r="EI181" s="925"/>
      <c r="EJ181" s="925"/>
      <c r="EK181" s="925"/>
      <c r="EL181" s="925"/>
      <c r="EM181" s="925"/>
      <c r="EN181" s="925"/>
      <c r="EO181" s="925"/>
      <c r="EP181" s="925"/>
      <c r="EQ181" s="925"/>
      <c r="ER181" s="925"/>
      <c r="ES181" s="925"/>
      <c r="ET181" s="925"/>
      <c r="EV181" s="924"/>
      <c r="EW181" s="925"/>
      <c r="EX181" s="925"/>
      <c r="EY181" s="925"/>
    </row>
    <row r="182" spans="1:155" s="927" customFormat="1" ht="36" x14ac:dyDescent="0.25">
      <c r="A182" s="912" t="s">
        <v>360</v>
      </c>
      <c r="B182" s="913" t="s">
        <v>1414</v>
      </c>
      <c r="C182" s="914">
        <v>0.75</v>
      </c>
      <c r="D182" s="914">
        <v>4856</v>
      </c>
      <c r="E182" s="915">
        <v>1.0549999999999999</v>
      </c>
      <c r="F182" s="916">
        <f t="shared" si="77"/>
        <v>5124</v>
      </c>
      <c r="G182" s="915">
        <v>1.01</v>
      </c>
      <c r="H182" s="916">
        <f t="shared" si="78"/>
        <v>5176</v>
      </c>
      <c r="I182" s="917">
        <f t="shared" si="79"/>
        <v>3882</v>
      </c>
      <c r="J182" s="918">
        <f t="shared" si="80"/>
        <v>0</v>
      </c>
      <c r="K182" s="919"/>
      <c r="L182" s="917">
        <f t="shared" si="81"/>
        <v>0</v>
      </c>
      <c r="M182" s="918">
        <f t="shared" si="82"/>
        <v>0</v>
      </c>
      <c r="N182" s="919"/>
      <c r="O182" s="917">
        <f t="shared" si="83"/>
        <v>0</v>
      </c>
      <c r="P182" s="918">
        <f t="shared" si="84"/>
        <v>0</v>
      </c>
      <c r="Q182" s="919"/>
      <c r="R182" s="917">
        <f t="shared" si="85"/>
        <v>0</v>
      </c>
      <c r="S182" s="918">
        <f t="shared" si="86"/>
        <v>0</v>
      </c>
      <c r="T182" s="919"/>
      <c r="U182" s="917">
        <f t="shared" si="87"/>
        <v>0</v>
      </c>
      <c r="V182" s="918">
        <f t="shared" si="88"/>
        <v>0</v>
      </c>
      <c r="W182" s="919"/>
      <c r="X182" s="917">
        <f t="shared" si="89"/>
        <v>0</v>
      </c>
      <c r="Y182" s="918">
        <f t="shared" si="90"/>
        <v>0</v>
      </c>
      <c r="Z182" s="919"/>
      <c r="AA182" s="917">
        <f t="shared" si="91"/>
        <v>0</v>
      </c>
      <c r="AB182" s="918">
        <f t="shared" si="92"/>
        <v>0</v>
      </c>
      <c r="AC182" s="919"/>
      <c r="AD182" s="917">
        <f t="shared" si="93"/>
        <v>0</v>
      </c>
      <c r="AE182" s="918">
        <f t="shared" si="94"/>
        <v>0</v>
      </c>
      <c r="AF182" s="919"/>
      <c r="AG182" s="917">
        <f t="shared" si="95"/>
        <v>0</v>
      </c>
      <c r="AH182" s="918">
        <f t="shared" si="96"/>
        <v>0</v>
      </c>
      <c r="AI182" s="919"/>
      <c r="AJ182" s="917">
        <f t="shared" si="97"/>
        <v>0</v>
      </c>
      <c r="AK182" s="918">
        <f t="shared" si="98"/>
        <v>0</v>
      </c>
      <c r="AL182" s="919"/>
      <c r="AM182" s="917">
        <f t="shared" si="99"/>
        <v>0</v>
      </c>
      <c r="AN182" s="920">
        <v>19242</v>
      </c>
      <c r="AO182" s="917">
        <f t="shared" si="100"/>
        <v>10549.5</v>
      </c>
      <c r="AP182" s="920"/>
      <c r="AQ182" s="916">
        <f t="shared" si="101"/>
        <v>0</v>
      </c>
      <c r="AR182" s="917">
        <f t="shared" si="102"/>
        <v>14431.5</v>
      </c>
      <c r="AS182" s="916">
        <v>12</v>
      </c>
      <c r="AT182" s="921">
        <f t="shared" si="103"/>
        <v>173178</v>
      </c>
      <c r="AU182" s="920"/>
      <c r="AV182" s="922">
        <f t="shared" si="104"/>
        <v>1731.78</v>
      </c>
      <c r="AW182" s="921">
        <f t="shared" si="105"/>
        <v>174909.78</v>
      </c>
      <c r="AX182" s="921">
        <f t="shared" si="106"/>
        <v>52822.75</v>
      </c>
      <c r="AY182" s="921">
        <f t="shared" si="107"/>
        <v>227732.53</v>
      </c>
      <c r="AZ182" s="923">
        <f t="shared" si="108"/>
        <v>174.9</v>
      </c>
      <c r="BA182" s="923">
        <f t="shared" si="109"/>
        <v>52.8</v>
      </c>
      <c r="BB182" s="923">
        <f t="shared" si="110"/>
        <v>227.7</v>
      </c>
      <c r="BC182" s="915">
        <v>0.95</v>
      </c>
      <c r="BD182" s="923">
        <f t="shared" si="111"/>
        <v>166.2</v>
      </c>
      <c r="BE182" s="923">
        <f t="shared" si="112"/>
        <v>50.2</v>
      </c>
      <c r="BF182" s="923">
        <f t="shared" si="113"/>
        <v>216.4</v>
      </c>
      <c r="BG182" s="924">
        <f>'[3]свод (2024)'!$B$116</f>
        <v>0.99758349999999996</v>
      </c>
      <c r="BH182" s="923">
        <f t="shared" si="114"/>
        <v>165.8</v>
      </c>
      <c r="BI182" s="923">
        <f t="shared" si="115"/>
        <v>50.1</v>
      </c>
      <c r="BJ182" s="923">
        <f t="shared" si="116"/>
        <v>215.9</v>
      </c>
      <c r="BK182" s="925">
        <f t="shared" si="117"/>
        <v>-9.1</v>
      </c>
      <c r="BL182" s="925">
        <f t="shared" si="117"/>
        <v>-2.7</v>
      </c>
      <c r="BM182" s="925">
        <f t="shared" si="118"/>
        <v>-11.8</v>
      </c>
      <c r="BN182" s="925">
        <f t="shared" si="119"/>
        <v>0</v>
      </c>
      <c r="BO182" s="925">
        <f t="shared" si="120"/>
        <v>0</v>
      </c>
      <c r="BP182" s="926"/>
      <c r="BQ182" s="925">
        <f t="shared" si="121"/>
        <v>165.8</v>
      </c>
      <c r="BR182" s="925">
        <f t="shared" si="121"/>
        <v>50.1</v>
      </c>
      <c r="BS182" s="925">
        <f t="shared" si="122"/>
        <v>215.9</v>
      </c>
      <c r="BU182" s="928"/>
      <c r="BV182" s="917"/>
      <c r="BW182" s="928"/>
      <c r="BX182" s="928"/>
      <c r="BY182" s="928"/>
      <c r="BZ182" s="917"/>
      <c r="CA182" s="928"/>
      <c r="CB182" s="917"/>
      <c r="CC182" s="928"/>
      <c r="CD182" s="928"/>
      <c r="CE182" s="928"/>
      <c r="CF182" s="929"/>
      <c r="CG182" s="928"/>
      <c r="CH182" s="928"/>
      <c r="CI182" s="928"/>
      <c r="CJ182" s="925"/>
      <c r="CK182" s="925"/>
      <c r="CL182" s="925"/>
      <c r="CM182" s="925"/>
      <c r="CN182" s="925"/>
      <c r="CO182" s="925"/>
      <c r="CP182" s="925"/>
      <c r="CQ182" s="925"/>
      <c r="CR182" s="925"/>
      <c r="CS182" s="917"/>
      <c r="CT182" s="928"/>
      <c r="CU182" s="928"/>
      <c r="CV182" s="928"/>
      <c r="CX182" s="925"/>
      <c r="CY182" s="925"/>
      <c r="CZ182" s="925"/>
      <c r="DB182" s="925"/>
      <c r="DC182" s="925"/>
      <c r="DD182" s="925"/>
      <c r="DE182" s="925"/>
      <c r="DF182" s="925"/>
      <c r="DG182" s="925"/>
      <c r="DH182" s="925"/>
      <c r="DI182" s="925"/>
      <c r="DJ182" s="925"/>
      <c r="DK182" s="925"/>
      <c r="DL182" s="925"/>
      <c r="DM182" s="925"/>
      <c r="DN182" s="925"/>
      <c r="DO182" s="925"/>
      <c r="DP182" s="925"/>
      <c r="DQ182" s="924"/>
      <c r="DR182" s="925"/>
      <c r="DS182" s="925"/>
      <c r="DT182" s="925"/>
      <c r="DV182" s="925"/>
      <c r="DW182" s="925"/>
      <c r="DX182" s="925"/>
      <c r="DY182" s="925"/>
      <c r="DZ182" s="925"/>
      <c r="EA182" s="925"/>
      <c r="EB182" s="925"/>
      <c r="EC182" s="925"/>
      <c r="ED182" s="925"/>
      <c r="EE182" s="925"/>
      <c r="EF182" s="925"/>
      <c r="EG182" s="925"/>
      <c r="EH182" s="925"/>
      <c r="EI182" s="925"/>
      <c r="EJ182" s="925"/>
      <c r="EK182" s="925"/>
      <c r="EL182" s="925"/>
      <c r="EM182" s="925"/>
      <c r="EN182" s="925"/>
      <c r="EO182" s="925"/>
      <c r="EP182" s="925"/>
      <c r="EQ182" s="925"/>
      <c r="ER182" s="925"/>
      <c r="ES182" s="925"/>
      <c r="ET182" s="925"/>
      <c r="EV182" s="924"/>
      <c r="EW182" s="925"/>
      <c r="EX182" s="925"/>
      <c r="EY182" s="925"/>
    </row>
    <row r="183" spans="1:155" s="927" customFormat="1" ht="36" x14ac:dyDescent="0.25">
      <c r="A183" s="912" t="s">
        <v>360</v>
      </c>
      <c r="B183" s="913" t="s">
        <v>1415</v>
      </c>
      <c r="C183" s="914">
        <v>0.5</v>
      </c>
      <c r="D183" s="914">
        <v>5156</v>
      </c>
      <c r="E183" s="915">
        <v>1.0549999999999999</v>
      </c>
      <c r="F183" s="916">
        <f t="shared" si="77"/>
        <v>5440</v>
      </c>
      <c r="G183" s="915">
        <v>1.01</v>
      </c>
      <c r="H183" s="916">
        <f t="shared" si="78"/>
        <v>5495</v>
      </c>
      <c r="I183" s="917">
        <f t="shared" si="79"/>
        <v>2747.5</v>
      </c>
      <c r="J183" s="918">
        <f t="shared" si="80"/>
        <v>0</v>
      </c>
      <c r="K183" s="919"/>
      <c r="L183" s="917">
        <f t="shared" si="81"/>
        <v>0</v>
      </c>
      <c r="M183" s="918">
        <f t="shared" si="82"/>
        <v>0</v>
      </c>
      <c r="N183" s="919"/>
      <c r="O183" s="917">
        <f t="shared" si="83"/>
        <v>0</v>
      </c>
      <c r="P183" s="918">
        <f t="shared" si="84"/>
        <v>0</v>
      </c>
      <c r="Q183" s="919"/>
      <c r="R183" s="917">
        <f t="shared" si="85"/>
        <v>0</v>
      </c>
      <c r="S183" s="918">
        <f t="shared" si="86"/>
        <v>0</v>
      </c>
      <c r="T183" s="919"/>
      <c r="U183" s="917">
        <f t="shared" si="87"/>
        <v>0</v>
      </c>
      <c r="V183" s="918">
        <f t="shared" si="88"/>
        <v>0</v>
      </c>
      <c r="W183" s="919"/>
      <c r="X183" s="917">
        <f t="shared" si="89"/>
        <v>0</v>
      </c>
      <c r="Y183" s="918">
        <f t="shared" si="90"/>
        <v>0</v>
      </c>
      <c r="Z183" s="919"/>
      <c r="AA183" s="917">
        <f t="shared" si="91"/>
        <v>0</v>
      </c>
      <c r="AB183" s="918">
        <f t="shared" si="92"/>
        <v>0</v>
      </c>
      <c r="AC183" s="919"/>
      <c r="AD183" s="917">
        <f t="shared" si="93"/>
        <v>0</v>
      </c>
      <c r="AE183" s="918">
        <f t="shared" si="94"/>
        <v>0</v>
      </c>
      <c r="AF183" s="919"/>
      <c r="AG183" s="917">
        <f t="shared" si="95"/>
        <v>0</v>
      </c>
      <c r="AH183" s="918">
        <f t="shared" si="96"/>
        <v>0</v>
      </c>
      <c r="AI183" s="919"/>
      <c r="AJ183" s="917">
        <f t="shared" si="97"/>
        <v>0</v>
      </c>
      <c r="AK183" s="918">
        <f t="shared" si="98"/>
        <v>0</v>
      </c>
      <c r="AL183" s="919"/>
      <c r="AM183" s="917">
        <f t="shared" si="99"/>
        <v>0</v>
      </c>
      <c r="AN183" s="920">
        <v>19242</v>
      </c>
      <c r="AO183" s="917">
        <f t="shared" si="100"/>
        <v>6873.5</v>
      </c>
      <c r="AP183" s="920"/>
      <c r="AQ183" s="916">
        <f t="shared" si="101"/>
        <v>0</v>
      </c>
      <c r="AR183" s="917">
        <f t="shared" si="102"/>
        <v>9621</v>
      </c>
      <c r="AS183" s="916">
        <v>12</v>
      </c>
      <c r="AT183" s="921">
        <f t="shared" si="103"/>
        <v>115452</v>
      </c>
      <c r="AU183" s="920"/>
      <c r="AV183" s="922">
        <f t="shared" si="104"/>
        <v>1154.52</v>
      </c>
      <c r="AW183" s="921">
        <f t="shared" si="105"/>
        <v>116606.52</v>
      </c>
      <c r="AX183" s="921">
        <f t="shared" si="106"/>
        <v>35215.17</v>
      </c>
      <c r="AY183" s="921">
        <f t="shared" si="107"/>
        <v>151821.69</v>
      </c>
      <c r="AZ183" s="923">
        <f t="shared" si="108"/>
        <v>116.6</v>
      </c>
      <c r="BA183" s="923">
        <f t="shared" si="109"/>
        <v>35.200000000000003</v>
      </c>
      <c r="BB183" s="923">
        <f t="shared" si="110"/>
        <v>151.80000000000001</v>
      </c>
      <c r="BC183" s="915">
        <v>0.95</v>
      </c>
      <c r="BD183" s="923">
        <f t="shared" si="111"/>
        <v>110.8</v>
      </c>
      <c r="BE183" s="923">
        <f t="shared" si="112"/>
        <v>33.5</v>
      </c>
      <c r="BF183" s="923">
        <f t="shared" si="113"/>
        <v>144.30000000000001</v>
      </c>
      <c r="BG183" s="924">
        <f>'[3]свод (2024)'!$B$116</f>
        <v>0.99758349999999996</v>
      </c>
      <c r="BH183" s="923">
        <f t="shared" si="114"/>
        <v>110.5</v>
      </c>
      <c r="BI183" s="923">
        <f t="shared" si="115"/>
        <v>33.4</v>
      </c>
      <c r="BJ183" s="923">
        <f t="shared" si="116"/>
        <v>143.9</v>
      </c>
      <c r="BK183" s="925">
        <f t="shared" si="117"/>
        <v>-6.1</v>
      </c>
      <c r="BL183" s="925">
        <f t="shared" si="117"/>
        <v>-1.8</v>
      </c>
      <c r="BM183" s="925">
        <f t="shared" si="118"/>
        <v>-7.9</v>
      </c>
      <c r="BN183" s="925">
        <f t="shared" si="119"/>
        <v>0</v>
      </c>
      <c r="BO183" s="925">
        <f t="shared" si="120"/>
        <v>0</v>
      </c>
      <c r="BP183" s="926"/>
      <c r="BQ183" s="925">
        <f t="shared" si="121"/>
        <v>110.5</v>
      </c>
      <c r="BR183" s="925">
        <f t="shared" si="121"/>
        <v>33.4</v>
      </c>
      <c r="BS183" s="925">
        <f t="shared" si="122"/>
        <v>143.9</v>
      </c>
      <c r="BU183" s="928"/>
      <c r="BV183" s="917"/>
      <c r="BW183" s="928"/>
      <c r="BX183" s="928"/>
      <c r="BY183" s="928"/>
      <c r="BZ183" s="917"/>
      <c r="CA183" s="928"/>
      <c r="CB183" s="917"/>
      <c r="CC183" s="928"/>
      <c r="CD183" s="928"/>
      <c r="CE183" s="928"/>
      <c r="CF183" s="929"/>
      <c r="CG183" s="928"/>
      <c r="CH183" s="928"/>
      <c r="CI183" s="928"/>
      <c r="CJ183" s="925"/>
      <c r="CK183" s="925"/>
      <c r="CL183" s="925"/>
      <c r="CM183" s="925"/>
      <c r="CN183" s="925"/>
      <c r="CO183" s="925"/>
      <c r="CP183" s="925"/>
      <c r="CQ183" s="925"/>
      <c r="CR183" s="925"/>
      <c r="CS183" s="917"/>
      <c r="CT183" s="928"/>
      <c r="CU183" s="928"/>
      <c r="CV183" s="928"/>
      <c r="CX183" s="925"/>
      <c r="CY183" s="925"/>
      <c r="CZ183" s="925"/>
      <c r="DB183" s="925"/>
      <c r="DC183" s="925"/>
      <c r="DD183" s="925"/>
      <c r="DE183" s="925"/>
      <c r="DF183" s="925"/>
      <c r="DG183" s="925"/>
      <c r="DH183" s="925"/>
      <c r="DI183" s="925"/>
      <c r="DJ183" s="925"/>
      <c r="DK183" s="925"/>
      <c r="DL183" s="925"/>
      <c r="DM183" s="925"/>
      <c r="DN183" s="925"/>
      <c r="DO183" s="925"/>
      <c r="DP183" s="925"/>
      <c r="DQ183" s="924"/>
      <c r="DR183" s="925"/>
      <c r="DS183" s="925"/>
      <c r="DT183" s="925"/>
      <c r="DV183" s="925"/>
      <c r="DW183" s="925"/>
      <c r="DX183" s="925"/>
      <c r="DY183" s="925"/>
      <c r="DZ183" s="925"/>
      <c r="EA183" s="925"/>
      <c r="EB183" s="925"/>
      <c r="EC183" s="925"/>
      <c r="ED183" s="925"/>
      <c r="EE183" s="925"/>
      <c r="EF183" s="925"/>
      <c r="EG183" s="925"/>
      <c r="EH183" s="925"/>
      <c r="EI183" s="925"/>
      <c r="EJ183" s="925"/>
      <c r="EK183" s="925"/>
      <c r="EL183" s="925"/>
      <c r="EM183" s="925"/>
      <c r="EN183" s="925"/>
      <c r="EO183" s="925"/>
      <c r="EP183" s="925"/>
      <c r="EQ183" s="925"/>
      <c r="ER183" s="925"/>
      <c r="ES183" s="925"/>
      <c r="ET183" s="925"/>
      <c r="EV183" s="924"/>
      <c r="EW183" s="925"/>
      <c r="EX183" s="925"/>
      <c r="EY183" s="925"/>
    </row>
    <row r="184" spans="1:155" s="927" customFormat="1" ht="15.75" x14ac:dyDescent="0.25">
      <c r="A184" s="931" t="s">
        <v>360</v>
      </c>
      <c r="B184" s="932"/>
      <c r="C184" s="933">
        <f>SUM(C153:C183)</f>
        <v>112.48</v>
      </c>
      <c r="D184" s="933">
        <f t="shared" ref="D184:BO184" si="147">SUM(D153:D183)</f>
        <v>325306</v>
      </c>
      <c r="E184" s="934">
        <f t="shared" si="147"/>
        <v>32.704999999999998</v>
      </c>
      <c r="F184" s="935">
        <f t="shared" si="147"/>
        <v>343213</v>
      </c>
      <c r="G184" s="934">
        <f t="shared" si="147"/>
        <v>31.31</v>
      </c>
      <c r="H184" s="935">
        <f t="shared" si="147"/>
        <v>346659</v>
      </c>
      <c r="I184" s="936">
        <f t="shared" si="147"/>
        <v>1193379.8700000001</v>
      </c>
      <c r="J184" s="937">
        <f t="shared" si="147"/>
        <v>0.68559999999999999</v>
      </c>
      <c r="K184" s="938">
        <f t="shared" si="147"/>
        <v>106997.35</v>
      </c>
      <c r="L184" s="936">
        <f t="shared" si="147"/>
        <v>114021.65</v>
      </c>
      <c r="M184" s="937">
        <f t="shared" si="147"/>
        <v>0</v>
      </c>
      <c r="N184" s="938">
        <f t="shared" si="147"/>
        <v>0</v>
      </c>
      <c r="O184" s="936">
        <f t="shared" si="147"/>
        <v>0</v>
      </c>
      <c r="P184" s="937">
        <f t="shared" si="147"/>
        <v>0.32678000000000001</v>
      </c>
      <c r="Q184" s="938">
        <f t="shared" si="147"/>
        <v>9246.61</v>
      </c>
      <c r="R184" s="936">
        <f t="shared" si="147"/>
        <v>9854.56</v>
      </c>
      <c r="S184" s="937">
        <f t="shared" si="147"/>
        <v>2.66093</v>
      </c>
      <c r="T184" s="938">
        <f t="shared" si="147"/>
        <v>33896.58</v>
      </c>
      <c r="U184" s="936">
        <f t="shared" si="147"/>
        <v>36120.35</v>
      </c>
      <c r="V184" s="937">
        <f t="shared" si="147"/>
        <v>0</v>
      </c>
      <c r="W184" s="938">
        <f t="shared" si="147"/>
        <v>0</v>
      </c>
      <c r="X184" s="936">
        <f t="shared" si="147"/>
        <v>0</v>
      </c>
      <c r="Y184" s="937">
        <f t="shared" si="147"/>
        <v>2.68</v>
      </c>
      <c r="Z184" s="938">
        <f t="shared" si="147"/>
        <v>34906.879999999997</v>
      </c>
      <c r="AA184" s="936">
        <f t="shared" si="147"/>
        <v>37198.32</v>
      </c>
      <c r="AB184" s="937">
        <f t="shared" si="147"/>
        <v>3.3361299999999998</v>
      </c>
      <c r="AC184" s="938">
        <f t="shared" si="147"/>
        <v>148197.32</v>
      </c>
      <c r="AD184" s="936">
        <f t="shared" si="147"/>
        <v>157924.47</v>
      </c>
      <c r="AE184" s="937">
        <f t="shared" si="147"/>
        <v>0.29887000000000002</v>
      </c>
      <c r="AF184" s="938">
        <f t="shared" si="147"/>
        <v>15238.21</v>
      </c>
      <c r="AG184" s="936">
        <f t="shared" si="147"/>
        <v>16238.13</v>
      </c>
      <c r="AH184" s="937">
        <f t="shared" si="147"/>
        <v>0</v>
      </c>
      <c r="AI184" s="938">
        <f t="shared" si="147"/>
        <v>0</v>
      </c>
      <c r="AJ184" s="936">
        <f t="shared" si="147"/>
        <v>0</v>
      </c>
      <c r="AK184" s="937">
        <f t="shared" si="147"/>
        <v>0</v>
      </c>
      <c r="AL184" s="938">
        <f t="shared" si="147"/>
        <v>0</v>
      </c>
      <c r="AM184" s="936">
        <f t="shared" si="147"/>
        <v>0</v>
      </c>
      <c r="AN184" s="933">
        <f t="shared" si="147"/>
        <v>596502</v>
      </c>
      <c r="AO184" s="936">
        <f t="shared" si="147"/>
        <v>699760.03</v>
      </c>
      <c r="AP184" s="933">
        <f t="shared" si="147"/>
        <v>3180.87</v>
      </c>
      <c r="AQ184" s="935">
        <f t="shared" si="147"/>
        <v>26507.25</v>
      </c>
      <c r="AR184" s="936">
        <f t="shared" si="147"/>
        <v>2291004.63</v>
      </c>
      <c r="AS184" s="935">
        <f t="shared" si="147"/>
        <v>372</v>
      </c>
      <c r="AT184" s="939">
        <f t="shared" si="147"/>
        <v>27492055.559999999</v>
      </c>
      <c r="AU184" s="933">
        <f t="shared" si="147"/>
        <v>669816.41</v>
      </c>
      <c r="AV184" s="940">
        <f t="shared" si="147"/>
        <v>274920.55</v>
      </c>
      <c r="AW184" s="939">
        <f t="shared" si="147"/>
        <v>28436792.52</v>
      </c>
      <c r="AX184" s="939">
        <f t="shared" si="147"/>
        <v>8587911.3499999996</v>
      </c>
      <c r="AY184" s="939">
        <f t="shared" si="147"/>
        <v>37024703.869999997</v>
      </c>
      <c r="AZ184" s="941">
        <f t="shared" si="147"/>
        <v>28436.7</v>
      </c>
      <c r="BA184" s="941">
        <f t="shared" si="147"/>
        <v>8587.7000000000007</v>
      </c>
      <c r="BB184" s="941">
        <f t="shared" si="147"/>
        <v>37024.400000000001</v>
      </c>
      <c r="BC184" s="934">
        <f t="shared" si="147"/>
        <v>29.45</v>
      </c>
      <c r="BD184" s="941">
        <f t="shared" si="147"/>
        <v>27014.799999999999</v>
      </c>
      <c r="BE184" s="941">
        <f t="shared" si="147"/>
        <v>8158.7</v>
      </c>
      <c r="BF184" s="941">
        <f t="shared" si="147"/>
        <v>35173.5</v>
      </c>
      <c r="BG184" s="942">
        <f>'[3]свод (2024)'!$B$116</f>
        <v>0.99758349999999996</v>
      </c>
      <c r="BH184" s="941">
        <f t="shared" si="147"/>
        <v>26949.8</v>
      </c>
      <c r="BI184" s="941">
        <f t="shared" si="147"/>
        <v>8138.9</v>
      </c>
      <c r="BJ184" s="941">
        <f t="shared" si="147"/>
        <v>35088.699999999997</v>
      </c>
      <c r="BK184" s="943">
        <f t="shared" si="147"/>
        <v>-1486.9</v>
      </c>
      <c r="BL184" s="943">
        <f t="shared" si="147"/>
        <v>-448.8</v>
      </c>
      <c r="BM184" s="943">
        <f t="shared" si="147"/>
        <v>-1935.7</v>
      </c>
      <c r="BN184" s="943">
        <f t="shared" si="147"/>
        <v>0</v>
      </c>
      <c r="BO184" s="943">
        <f t="shared" si="147"/>
        <v>0</v>
      </c>
      <c r="BP184" s="944">
        <f t="shared" ref="BP184:BS184" si="148">SUM(BP153:BP183)</f>
        <v>0</v>
      </c>
      <c r="BQ184" s="943">
        <f t="shared" si="148"/>
        <v>26949.8</v>
      </c>
      <c r="BR184" s="943">
        <f t="shared" si="148"/>
        <v>8138.9</v>
      </c>
      <c r="BS184" s="943">
        <f t="shared" si="148"/>
        <v>35088.699999999997</v>
      </c>
      <c r="BU184" s="945">
        <f>SUM(BU153:BU183)</f>
        <v>50.98</v>
      </c>
      <c r="BV184" s="946">
        <v>8.8000000000000007</v>
      </c>
      <c r="BW184" s="947">
        <f t="shared" ref="BW184" si="149">BU184-BV184</f>
        <v>42.18</v>
      </c>
      <c r="BX184" s="945">
        <f>SUM(BX153:BX183)</f>
        <v>11903032.119999999</v>
      </c>
      <c r="BY184" s="947">
        <f>BX184/BU184*BW184</f>
        <v>9848369.8499999996</v>
      </c>
      <c r="BZ184" s="946">
        <v>27.7</v>
      </c>
      <c r="CA184" s="947">
        <f t="shared" ref="CA184" si="150">BY184/BZ184/12</f>
        <v>29628.07</v>
      </c>
      <c r="CB184" s="946">
        <v>41718.199999999997</v>
      </c>
      <c r="CC184" s="947">
        <f t="shared" ref="CC184" si="151">(CB184-CA184)*BZ184*12</f>
        <v>4018759.21</v>
      </c>
      <c r="CD184" s="947">
        <f t="shared" ref="CD184" si="152">CC184*0.302</f>
        <v>1213665.28</v>
      </c>
      <c r="CE184" s="947">
        <f t="shared" ref="CE184" si="153">CC184+CD184</f>
        <v>5232424.49</v>
      </c>
      <c r="CF184" s="948">
        <f>SUM(CF153:CF183)</f>
        <v>4018759.21</v>
      </c>
      <c r="CG184" s="949">
        <f>ROUND(CC184/1000,1)</f>
        <v>4018.8</v>
      </c>
      <c r="CH184" s="949">
        <f>ROUND(CD184/1000,1)</f>
        <v>1213.7</v>
      </c>
      <c r="CI184" s="950">
        <f>CG184+CH184</f>
        <v>5232.5</v>
      </c>
      <c r="CJ184" s="951">
        <f>BQ184+CG184</f>
        <v>30968.6</v>
      </c>
      <c r="CK184" s="951">
        <f>BR184+CH184</f>
        <v>9352.6</v>
      </c>
      <c r="CL184" s="952">
        <f>CJ184+CK184</f>
        <v>40321.199999999997</v>
      </c>
      <c r="CM184" s="951">
        <f>0/6*12</f>
        <v>0</v>
      </c>
      <c r="CN184" s="951">
        <f>CM184*0.302</f>
        <v>0</v>
      </c>
      <c r="CO184" s="952">
        <f>CM184+CN184</f>
        <v>0</v>
      </c>
      <c r="CP184" s="951">
        <f>ROUND(CJ184-CM184,1)</f>
        <v>30968.6</v>
      </c>
      <c r="CQ184" s="951">
        <f>ROUND(CK184-CN184,1)</f>
        <v>9352.6</v>
      </c>
      <c r="CR184" s="952">
        <f>CP184+CQ184</f>
        <v>40321.199999999997</v>
      </c>
      <c r="CS184" s="946">
        <v>38663.800000000003</v>
      </c>
      <c r="CT184" s="953">
        <f>(CB184-CS184)*BZ184*12/1000</f>
        <v>1015.3</v>
      </c>
      <c r="CU184" s="953">
        <f>CT184*0.302</f>
        <v>306.60000000000002</v>
      </c>
      <c r="CV184" s="953">
        <f>CT184+CU184</f>
        <v>1321.9</v>
      </c>
      <c r="CX184" s="951">
        <f>(BY184+CC184)/1000-CM184</f>
        <v>13867.1</v>
      </c>
      <c r="CY184" s="951">
        <f>CX184*0.302</f>
        <v>4187.8999999999996</v>
      </c>
      <c r="CZ184" s="952">
        <f>CX184+CY184</f>
        <v>18055</v>
      </c>
      <c r="DB184" s="954"/>
      <c r="DC184" s="954"/>
      <c r="DD184" s="921"/>
      <c r="DE184" s="954"/>
      <c r="DF184" s="954"/>
      <c r="DG184" s="921"/>
      <c r="DH184" s="954"/>
      <c r="DI184" s="954"/>
      <c r="DJ184" s="921"/>
      <c r="DK184" s="954"/>
      <c r="DL184" s="954"/>
      <c r="DM184" s="921"/>
      <c r="DN184" s="954"/>
      <c r="DO184" s="954"/>
      <c r="DP184" s="921"/>
      <c r="DQ184" s="942">
        <f>$DQ$239</f>
        <v>0.978556019</v>
      </c>
      <c r="DR184" s="951">
        <f>ROUND(CP184*DQ184,1)</f>
        <v>30304.5</v>
      </c>
      <c r="DS184" s="951">
        <f>ROUND(CQ184*DQ184,1)</f>
        <v>9152</v>
      </c>
      <c r="DT184" s="952">
        <f>DR184+DS184</f>
        <v>39456.5</v>
      </c>
      <c r="DV184" s="921"/>
      <c r="DW184" s="921"/>
      <c r="DX184" s="921"/>
      <c r="DY184" s="921"/>
      <c r="DZ184" s="921"/>
      <c r="EA184" s="921"/>
      <c r="EB184" s="921"/>
      <c r="EC184" s="921"/>
      <c r="ED184" s="921"/>
      <c r="EE184" s="921"/>
      <c r="EF184" s="921"/>
      <c r="EG184" s="921"/>
      <c r="EH184" s="921"/>
      <c r="EI184" s="921"/>
      <c r="EJ184" s="921"/>
      <c r="EK184" s="921"/>
      <c r="EL184" s="921"/>
      <c r="EM184" s="921"/>
      <c r="EN184" s="921"/>
      <c r="EO184" s="921"/>
      <c r="EP184" s="921"/>
      <c r="EQ184" s="954"/>
      <c r="ER184" s="954"/>
      <c r="ES184" s="954"/>
      <c r="ET184" s="954"/>
      <c r="EV184" s="942">
        <f>EV239</f>
        <v>0.980787768</v>
      </c>
      <c r="EW184" s="951">
        <f>ROUND(CP184*EV184,1)</f>
        <v>30373.599999999999</v>
      </c>
      <c r="EX184" s="951">
        <f>ROUND(CQ184*EV184,1)</f>
        <v>9172.9</v>
      </c>
      <c r="EY184" s="952">
        <f>EW184+EX184</f>
        <v>39546.5</v>
      </c>
    </row>
    <row r="185" spans="1:155" s="927" customFormat="1" ht="15.75" x14ac:dyDescent="0.25">
      <c r="A185" s="931"/>
      <c r="B185" s="932" t="s">
        <v>406</v>
      </c>
      <c r="C185" s="981">
        <f>C172</f>
        <v>37.979999999999997</v>
      </c>
      <c r="D185" s="938"/>
      <c r="E185" s="983"/>
      <c r="F185" s="936"/>
      <c r="G185" s="983"/>
      <c r="H185" s="984">
        <f>H172</f>
        <v>13994</v>
      </c>
      <c r="I185" s="984">
        <f>I172</f>
        <v>531492.12</v>
      </c>
      <c r="J185" s="937"/>
      <c r="K185" s="938"/>
      <c r="L185" s="984">
        <f>L172</f>
        <v>89737.13</v>
      </c>
      <c r="M185" s="937"/>
      <c r="N185" s="938"/>
      <c r="O185" s="984">
        <f>O172</f>
        <v>0</v>
      </c>
      <c r="P185" s="937"/>
      <c r="Q185" s="938"/>
      <c r="R185" s="984">
        <f>R172</f>
        <v>946.06</v>
      </c>
      <c r="S185" s="937"/>
      <c r="T185" s="938"/>
      <c r="U185" s="984">
        <f>U172</f>
        <v>0</v>
      </c>
      <c r="V185" s="937"/>
      <c r="W185" s="938"/>
      <c r="X185" s="984">
        <f>X172</f>
        <v>0</v>
      </c>
      <c r="Y185" s="937"/>
      <c r="Z185" s="938"/>
      <c r="AA185" s="984">
        <f>AA172</f>
        <v>0</v>
      </c>
      <c r="AB185" s="937"/>
      <c r="AC185" s="938"/>
      <c r="AD185" s="984">
        <f>AD172</f>
        <v>79543.11</v>
      </c>
      <c r="AE185" s="937"/>
      <c r="AF185" s="938"/>
      <c r="AG185" s="984">
        <f>AG172</f>
        <v>8599.5400000000009</v>
      </c>
      <c r="AH185" s="937"/>
      <c r="AI185" s="938"/>
      <c r="AJ185" s="984">
        <f>AJ172</f>
        <v>0</v>
      </c>
      <c r="AK185" s="937"/>
      <c r="AL185" s="938"/>
      <c r="AM185" s="984">
        <f>AM172</f>
        <v>0</v>
      </c>
      <c r="AN185" s="938"/>
      <c r="AO185" s="984">
        <f>AO172</f>
        <v>20493.2</v>
      </c>
      <c r="AP185" s="938"/>
      <c r="AQ185" s="984">
        <f t="shared" ref="AQ185:AR185" si="154">AQ172</f>
        <v>0</v>
      </c>
      <c r="AR185" s="984">
        <f t="shared" si="154"/>
        <v>730811.16</v>
      </c>
      <c r="AS185" s="936"/>
      <c r="AT185" s="984">
        <f t="shared" ref="AT185:AW185" si="155">AT172</f>
        <v>8769733.9199999999</v>
      </c>
      <c r="AU185" s="984">
        <f t="shared" si="155"/>
        <v>0</v>
      </c>
      <c r="AV185" s="984">
        <f t="shared" si="155"/>
        <v>87697.34</v>
      </c>
      <c r="AW185" s="984">
        <f t="shared" si="155"/>
        <v>8857431.2599999998</v>
      </c>
      <c r="AX185" s="939"/>
      <c r="AY185" s="939"/>
      <c r="AZ185" s="941"/>
      <c r="BA185" s="941"/>
      <c r="BB185" s="941"/>
      <c r="BC185" s="934"/>
      <c r="BD185" s="941"/>
      <c r="BE185" s="941"/>
      <c r="BF185" s="941"/>
      <c r="BG185" s="942"/>
      <c r="BH185" s="941"/>
      <c r="BI185" s="941"/>
      <c r="BJ185" s="941"/>
      <c r="BK185" s="943"/>
      <c r="BL185" s="943"/>
      <c r="BM185" s="943"/>
      <c r="BN185" s="943"/>
      <c r="BO185" s="943"/>
      <c r="BP185" s="944"/>
      <c r="BQ185" s="943"/>
      <c r="BR185" s="943"/>
      <c r="BS185" s="943"/>
      <c r="BU185" s="945"/>
      <c r="BV185" s="946"/>
      <c r="BW185" s="947"/>
      <c r="BX185" s="945"/>
      <c r="BY185" s="947"/>
      <c r="BZ185" s="946"/>
      <c r="CA185" s="947"/>
      <c r="CB185" s="946"/>
      <c r="CC185" s="947"/>
      <c r="CD185" s="947"/>
      <c r="CE185" s="947"/>
      <c r="CF185" s="948"/>
      <c r="CG185" s="949"/>
      <c r="CH185" s="949"/>
      <c r="CI185" s="950"/>
      <c r="CJ185" s="951"/>
      <c r="CK185" s="951"/>
      <c r="CL185" s="952"/>
      <c r="CM185" s="951"/>
      <c r="CN185" s="951"/>
      <c r="CO185" s="952"/>
      <c r="CP185" s="951"/>
      <c r="CQ185" s="951"/>
      <c r="CR185" s="952"/>
      <c r="CS185" s="946"/>
      <c r="CT185" s="953"/>
      <c r="CU185" s="953"/>
      <c r="CV185" s="953"/>
      <c r="CX185" s="951"/>
      <c r="CY185" s="951"/>
      <c r="CZ185" s="952"/>
      <c r="DB185" s="954"/>
      <c r="DC185" s="954"/>
      <c r="DD185" s="921"/>
      <c r="DE185" s="954"/>
      <c r="DF185" s="954"/>
      <c r="DG185" s="921"/>
      <c r="DH185" s="954"/>
      <c r="DI185" s="954"/>
      <c r="DJ185" s="921"/>
      <c r="DK185" s="954"/>
      <c r="DL185" s="954"/>
      <c r="DM185" s="921"/>
      <c r="DN185" s="954"/>
      <c r="DO185" s="954"/>
      <c r="DP185" s="921"/>
      <c r="DQ185" s="942"/>
      <c r="DR185" s="951"/>
      <c r="DS185" s="951"/>
      <c r="DT185" s="952"/>
      <c r="DV185" s="921"/>
      <c r="DW185" s="921"/>
      <c r="DX185" s="921"/>
      <c r="DY185" s="921"/>
      <c r="DZ185" s="921"/>
      <c r="EA185" s="921"/>
      <c r="EB185" s="921"/>
      <c r="EC185" s="921"/>
      <c r="ED185" s="921"/>
      <c r="EE185" s="921"/>
      <c r="EF185" s="921"/>
      <c r="EG185" s="921"/>
      <c r="EH185" s="921"/>
      <c r="EI185" s="921"/>
      <c r="EJ185" s="921"/>
      <c r="EK185" s="921"/>
      <c r="EL185" s="921"/>
      <c r="EM185" s="921"/>
      <c r="EN185" s="921"/>
      <c r="EO185" s="921"/>
      <c r="EP185" s="921"/>
      <c r="EQ185" s="954"/>
      <c r="ER185" s="954"/>
      <c r="ES185" s="954"/>
      <c r="ET185" s="954"/>
      <c r="EV185" s="942"/>
      <c r="EW185" s="951"/>
      <c r="EX185" s="951"/>
      <c r="EY185" s="952"/>
    </row>
    <row r="186" spans="1:155" s="927" customFormat="1" ht="15.75" x14ac:dyDescent="0.25">
      <c r="A186" s="931"/>
      <c r="B186" s="932" t="s">
        <v>403</v>
      </c>
      <c r="C186" s="981">
        <f>C168+C173+C174+C178</f>
        <v>13</v>
      </c>
      <c r="D186" s="938"/>
      <c r="E186" s="983"/>
      <c r="F186" s="936"/>
      <c r="G186" s="983"/>
      <c r="H186" s="984">
        <f>H168+H173+H174+H178</f>
        <v>57340</v>
      </c>
      <c r="I186" s="984">
        <f>I168+I173+I174+I178</f>
        <v>185673</v>
      </c>
      <c r="J186" s="937"/>
      <c r="K186" s="938"/>
      <c r="L186" s="984">
        <f>L168+L173+L174+L178</f>
        <v>24284.52</v>
      </c>
      <c r="M186" s="937"/>
      <c r="N186" s="938"/>
      <c r="O186" s="984">
        <f>O168+O173+O174+O178</f>
        <v>0</v>
      </c>
      <c r="P186" s="937"/>
      <c r="Q186" s="938"/>
      <c r="R186" s="984">
        <f>R168+R173+R174+R178</f>
        <v>0</v>
      </c>
      <c r="S186" s="937"/>
      <c r="T186" s="938"/>
      <c r="U186" s="984">
        <f>U168+U173+U174+U178</f>
        <v>0</v>
      </c>
      <c r="V186" s="937"/>
      <c r="W186" s="938"/>
      <c r="X186" s="984">
        <f>X168+X173+X174+X178</f>
        <v>0</v>
      </c>
      <c r="Y186" s="937"/>
      <c r="Z186" s="938"/>
      <c r="AA186" s="984">
        <f>AA168+AA173+AA174+AA178</f>
        <v>0</v>
      </c>
      <c r="AB186" s="937"/>
      <c r="AC186" s="938"/>
      <c r="AD186" s="984">
        <f>AD168+AD173+AD174+AD178</f>
        <v>27202.53</v>
      </c>
      <c r="AE186" s="937"/>
      <c r="AF186" s="938"/>
      <c r="AG186" s="984">
        <f>AG168+AG173+AG174+AG178</f>
        <v>1399.19</v>
      </c>
      <c r="AH186" s="937"/>
      <c r="AI186" s="938"/>
      <c r="AJ186" s="984">
        <f>AJ168+AJ173+AJ174+AJ178</f>
        <v>0</v>
      </c>
      <c r="AK186" s="937"/>
      <c r="AL186" s="938"/>
      <c r="AM186" s="984">
        <f>AM168+AM173+AM174+AM178</f>
        <v>0</v>
      </c>
      <c r="AN186" s="938"/>
      <c r="AO186" s="984">
        <f>AO168+AO173+AO174+AO178</f>
        <v>12727.96</v>
      </c>
      <c r="AP186" s="938"/>
      <c r="AQ186" s="984">
        <f t="shared" ref="AQ186:AR186" si="156">AQ168+AQ173+AQ174+AQ178</f>
        <v>0</v>
      </c>
      <c r="AR186" s="984">
        <f t="shared" si="156"/>
        <v>251287.2</v>
      </c>
      <c r="AS186" s="936"/>
      <c r="AT186" s="984">
        <f t="shared" ref="AT186:AW186" si="157">AT168+AT173+AT174+AT178</f>
        <v>3015446.4</v>
      </c>
      <c r="AU186" s="984">
        <f t="shared" si="157"/>
        <v>0</v>
      </c>
      <c r="AV186" s="984">
        <f t="shared" si="157"/>
        <v>30154.46</v>
      </c>
      <c r="AW186" s="984">
        <f t="shared" si="157"/>
        <v>3045600.86</v>
      </c>
      <c r="AX186" s="939"/>
      <c r="AY186" s="939"/>
      <c r="AZ186" s="941"/>
      <c r="BA186" s="941"/>
      <c r="BB186" s="941"/>
      <c r="BC186" s="934"/>
      <c r="BD186" s="941"/>
      <c r="BE186" s="941"/>
      <c r="BF186" s="941"/>
      <c r="BG186" s="942"/>
      <c r="BH186" s="941"/>
      <c r="BI186" s="941"/>
      <c r="BJ186" s="941"/>
      <c r="BK186" s="943"/>
      <c r="BL186" s="943"/>
      <c r="BM186" s="943"/>
      <c r="BN186" s="943"/>
      <c r="BO186" s="943"/>
      <c r="BP186" s="944"/>
      <c r="BQ186" s="943"/>
      <c r="BR186" s="943"/>
      <c r="BS186" s="943"/>
      <c r="BU186" s="945"/>
      <c r="BV186" s="946"/>
      <c r="BW186" s="947"/>
      <c r="BX186" s="945"/>
      <c r="BY186" s="947"/>
      <c r="BZ186" s="946"/>
      <c r="CA186" s="947"/>
      <c r="CB186" s="946"/>
      <c r="CC186" s="947"/>
      <c r="CD186" s="947"/>
      <c r="CE186" s="947"/>
      <c r="CF186" s="948"/>
      <c r="CG186" s="949"/>
      <c r="CH186" s="949"/>
      <c r="CI186" s="950"/>
      <c r="CJ186" s="951"/>
      <c r="CK186" s="951"/>
      <c r="CL186" s="952"/>
      <c r="CM186" s="951"/>
      <c r="CN186" s="951"/>
      <c r="CO186" s="952"/>
      <c r="CP186" s="951"/>
      <c r="CQ186" s="951"/>
      <c r="CR186" s="952"/>
      <c r="CS186" s="946"/>
      <c r="CT186" s="953"/>
      <c r="CU186" s="953"/>
      <c r="CV186" s="953"/>
      <c r="CX186" s="951"/>
      <c r="CY186" s="951"/>
      <c r="CZ186" s="952"/>
      <c r="DB186" s="954"/>
      <c r="DC186" s="954"/>
      <c r="DD186" s="921"/>
      <c r="DE186" s="954"/>
      <c r="DF186" s="954"/>
      <c r="DG186" s="921"/>
      <c r="DH186" s="954"/>
      <c r="DI186" s="954"/>
      <c r="DJ186" s="921"/>
      <c r="DK186" s="954"/>
      <c r="DL186" s="954"/>
      <c r="DM186" s="921"/>
      <c r="DN186" s="954"/>
      <c r="DO186" s="954"/>
      <c r="DP186" s="921"/>
      <c r="DQ186" s="942"/>
      <c r="DR186" s="951"/>
      <c r="DS186" s="951"/>
      <c r="DT186" s="952"/>
      <c r="DV186" s="921"/>
      <c r="DW186" s="921"/>
      <c r="DX186" s="921"/>
      <c r="DY186" s="921"/>
      <c r="DZ186" s="921"/>
      <c r="EA186" s="921"/>
      <c r="EB186" s="921"/>
      <c r="EC186" s="921"/>
      <c r="ED186" s="921"/>
      <c r="EE186" s="921"/>
      <c r="EF186" s="921"/>
      <c r="EG186" s="921"/>
      <c r="EH186" s="921"/>
      <c r="EI186" s="921"/>
      <c r="EJ186" s="921"/>
      <c r="EK186" s="921"/>
      <c r="EL186" s="921"/>
      <c r="EM186" s="921"/>
      <c r="EN186" s="921"/>
      <c r="EO186" s="921"/>
      <c r="EP186" s="921"/>
      <c r="EQ186" s="954"/>
      <c r="ER186" s="954"/>
      <c r="ES186" s="954"/>
      <c r="ET186" s="954"/>
      <c r="EV186" s="942"/>
      <c r="EW186" s="951"/>
      <c r="EX186" s="951"/>
      <c r="EY186" s="952"/>
    </row>
    <row r="187" spans="1:155" s="927" customFormat="1" ht="15.75" x14ac:dyDescent="0.25">
      <c r="A187" s="931"/>
      <c r="B187" s="932" t="s">
        <v>404</v>
      </c>
      <c r="C187" s="981">
        <f>C153+C154+C155+C156+C157+C158+C159+C160+C161+C162+C163+C164+C165+C166+C167+C169+C176+C179+C181</f>
        <v>29.25</v>
      </c>
      <c r="D187" s="938"/>
      <c r="E187" s="983"/>
      <c r="F187" s="936"/>
      <c r="G187" s="983"/>
      <c r="H187" s="984">
        <f>H153+H154+H155+H156+H157+H158+H159+H160+H161+H162+H163+H164+H165+H166+H167+H169+H176+H179+H181</f>
        <v>240187</v>
      </c>
      <c r="I187" s="984">
        <f>I153+I154+I155+I156+I157+I158+I159+I160+I161+I162+I163+I164+I165+I166+I167+I169+I176+I179+I181</f>
        <v>322231.25</v>
      </c>
      <c r="J187" s="937"/>
      <c r="K187" s="938"/>
      <c r="L187" s="984">
        <f>L153+L154+L155+L156+L157+L158+L159+L160+L161+L162+L163+L164+L165+L166+L167+L169+L176+L179+L181</f>
        <v>0</v>
      </c>
      <c r="M187" s="937"/>
      <c r="N187" s="938"/>
      <c r="O187" s="984">
        <f>O153+O154+O155+O156+O157+O158+O159+O160+O161+O162+O163+O164+O165+O166+O167+O169+O176+O179+O181</f>
        <v>0</v>
      </c>
      <c r="P187" s="937"/>
      <c r="Q187" s="938"/>
      <c r="R187" s="984">
        <f>R153+R154+R155+R156+R157+R158+R159+R160+R161+R162+R163+R164+R165+R166+R167+R169+R176+R179+R181</f>
        <v>8908.5</v>
      </c>
      <c r="S187" s="937"/>
      <c r="T187" s="938"/>
      <c r="U187" s="984">
        <f>U153+U154+U155+U156+U157+U158+U159+U160+U161+U162+U163+U164+U165+U166+U167+U169+U176+U179+U181</f>
        <v>36120.35</v>
      </c>
      <c r="V187" s="937"/>
      <c r="W187" s="938"/>
      <c r="X187" s="984">
        <f>X153+X154+X155+X156+X157+X158+X159+X160+X161+X162+X163+X164+X165+X166+X167+X169+X176+X179+X181</f>
        <v>0</v>
      </c>
      <c r="Y187" s="937"/>
      <c r="Z187" s="938"/>
      <c r="AA187" s="984">
        <f>AA153+AA154+AA155+AA156+AA157+AA158+AA159+AA160+AA161+AA162+AA163+AA164+AA165+AA166+AA167+AA169+AA176+AA179+AA181</f>
        <v>37198.32</v>
      </c>
      <c r="AB187" s="937"/>
      <c r="AC187" s="938"/>
      <c r="AD187" s="984">
        <f>AD153+AD154+AD155+AD156+AD157+AD158+AD159+AD160+AD161+AD162+AD163+AD164+AD165+AD166+AD167+AD169+AD176+AD179+AD181</f>
        <v>51178.83</v>
      </c>
      <c r="AE187" s="937"/>
      <c r="AF187" s="938"/>
      <c r="AG187" s="984">
        <f>AG153+AG154+AG155+AG156+AG157+AG158+AG159+AG160+AG161+AG162+AG163+AG164+AG165+AG166+AG167+AG169+AG176+AG179+AG181</f>
        <v>6239.4</v>
      </c>
      <c r="AH187" s="937"/>
      <c r="AI187" s="938"/>
      <c r="AJ187" s="984">
        <f>AJ153+AJ154+AJ155+AJ156+AJ157+AJ158+AJ159+AJ160+AJ161+AJ162+AJ163+AJ164+AJ165+AJ166+AJ167+AJ169+AJ176+AJ179+AJ181</f>
        <v>0</v>
      </c>
      <c r="AK187" s="937"/>
      <c r="AL187" s="938"/>
      <c r="AM187" s="984">
        <f>AM153+AM154+AM155+AM156+AM157+AM158+AM159+AM160+AM161+AM162+AM163+AM164+AM165+AM166+AM167+AM169+AM176+AM179+AM181</f>
        <v>0</v>
      </c>
      <c r="AN187" s="938"/>
      <c r="AO187" s="984">
        <f>AO153+AO154+AO155+AO156+AO157+AO158+AO159+AO160+AO161+AO162+AO163+AO164+AO165+AO166+AO167+AO169+AO176+AO179+AO181</f>
        <v>199967.87</v>
      </c>
      <c r="AP187" s="938"/>
      <c r="AQ187" s="984">
        <f t="shared" ref="AQ187:AR187" si="158">AQ153+AQ154+AQ155+AQ156+AQ157+AQ158+AQ159+AQ160+AQ161+AQ162+AQ163+AQ164+AQ165+AQ166+AQ167+AQ169+AQ176+AQ179+AQ181</f>
        <v>0</v>
      </c>
      <c r="AR187" s="984">
        <f t="shared" si="158"/>
        <v>661844.52</v>
      </c>
      <c r="AS187" s="936"/>
      <c r="AT187" s="984">
        <f t="shared" ref="AT187:AW187" si="159">AT153+AT154+AT155+AT156+AT157+AT158+AT159+AT160+AT161+AT162+AT163+AT164+AT165+AT166+AT167+AT169+AT176+AT179+AT181</f>
        <v>7942134.2400000002</v>
      </c>
      <c r="AU187" s="984">
        <f t="shared" si="159"/>
        <v>152108.01</v>
      </c>
      <c r="AV187" s="984">
        <f t="shared" si="159"/>
        <v>79421.34</v>
      </c>
      <c r="AW187" s="984">
        <f t="shared" si="159"/>
        <v>8173663.5899999999</v>
      </c>
      <c r="AX187" s="939"/>
      <c r="AY187" s="939"/>
      <c r="AZ187" s="941"/>
      <c r="BA187" s="941"/>
      <c r="BB187" s="941"/>
      <c r="BC187" s="934"/>
      <c r="BD187" s="941"/>
      <c r="BE187" s="941"/>
      <c r="BF187" s="941"/>
      <c r="BG187" s="942"/>
      <c r="BH187" s="941"/>
      <c r="BI187" s="941"/>
      <c r="BJ187" s="941"/>
      <c r="BK187" s="943"/>
      <c r="BL187" s="943"/>
      <c r="BM187" s="943"/>
      <c r="BN187" s="943"/>
      <c r="BO187" s="943"/>
      <c r="BP187" s="944"/>
      <c r="BQ187" s="943"/>
      <c r="BR187" s="943"/>
      <c r="BS187" s="943"/>
      <c r="BU187" s="945"/>
      <c r="BV187" s="946"/>
      <c r="BW187" s="947"/>
      <c r="BX187" s="945"/>
      <c r="BY187" s="947"/>
      <c r="BZ187" s="946"/>
      <c r="CA187" s="947"/>
      <c r="CB187" s="946"/>
      <c r="CC187" s="947"/>
      <c r="CD187" s="947"/>
      <c r="CE187" s="947"/>
      <c r="CF187" s="948"/>
      <c r="CG187" s="949"/>
      <c r="CH187" s="949"/>
      <c r="CI187" s="950"/>
      <c r="CJ187" s="951"/>
      <c r="CK187" s="951"/>
      <c r="CL187" s="952"/>
      <c r="CM187" s="951"/>
      <c r="CN187" s="951"/>
      <c r="CO187" s="952"/>
      <c r="CP187" s="951"/>
      <c r="CQ187" s="951"/>
      <c r="CR187" s="952"/>
      <c r="CS187" s="946"/>
      <c r="CT187" s="953"/>
      <c r="CU187" s="953"/>
      <c r="CV187" s="953"/>
      <c r="CX187" s="951"/>
      <c r="CY187" s="951"/>
      <c r="CZ187" s="952"/>
      <c r="DB187" s="954"/>
      <c r="DC187" s="954"/>
      <c r="DD187" s="921"/>
      <c r="DE187" s="954"/>
      <c r="DF187" s="954"/>
      <c r="DG187" s="921"/>
      <c r="DH187" s="954"/>
      <c r="DI187" s="954"/>
      <c r="DJ187" s="921"/>
      <c r="DK187" s="954"/>
      <c r="DL187" s="954"/>
      <c r="DM187" s="921"/>
      <c r="DN187" s="954"/>
      <c r="DO187" s="954"/>
      <c r="DP187" s="921"/>
      <c r="DQ187" s="942"/>
      <c r="DR187" s="951"/>
      <c r="DS187" s="951"/>
      <c r="DT187" s="952"/>
      <c r="DV187" s="921"/>
      <c r="DW187" s="921"/>
      <c r="DX187" s="921"/>
      <c r="DY187" s="921"/>
      <c r="DZ187" s="921"/>
      <c r="EA187" s="921"/>
      <c r="EB187" s="921"/>
      <c r="EC187" s="921"/>
      <c r="ED187" s="921"/>
      <c r="EE187" s="921"/>
      <c r="EF187" s="921"/>
      <c r="EG187" s="921"/>
      <c r="EH187" s="921"/>
      <c r="EI187" s="921"/>
      <c r="EJ187" s="921"/>
      <c r="EK187" s="921"/>
      <c r="EL187" s="921"/>
      <c r="EM187" s="921"/>
      <c r="EN187" s="921"/>
      <c r="EO187" s="921"/>
      <c r="EP187" s="921"/>
      <c r="EQ187" s="954"/>
      <c r="ER187" s="954"/>
      <c r="ES187" s="954"/>
      <c r="ET187" s="954"/>
      <c r="EV187" s="942"/>
      <c r="EW187" s="951"/>
      <c r="EX187" s="951"/>
      <c r="EY187" s="952"/>
    </row>
    <row r="188" spans="1:155" s="927" customFormat="1" ht="15.75" x14ac:dyDescent="0.25">
      <c r="A188" s="931"/>
      <c r="B188" s="932" t="s">
        <v>405</v>
      </c>
      <c r="C188" s="981">
        <f>C170+C171+C175+C177+C180+C182+C183</f>
        <v>32.25</v>
      </c>
      <c r="D188" s="938"/>
      <c r="E188" s="983"/>
      <c r="F188" s="936"/>
      <c r="G188" s="983"/>
      <c r="H188" s="984">
        <f>H170+H171+H175+H177+H180+H182+H183</f>
        <v>35138</v>
      </c>
      <c r="I188" s="984">
        <f>I170+I171+I175+I177+I180+I182+I183</f>
        <v>153983.5</v>
      </c>
      <c r="J188" s="937"/>
      <c r="K188" s="938"/>
      <c r="L188" s="984">
        <f>L170+L171+L175+L177+L180+L182+L183</f>
        <v>0</v>
      </c>
      <c r="M188" s="937"/>
      <c r="N188" s="938"/>
      <c r="O188" s="984">
        <f>O170+O171+O175+O177+O180+O182+O183</f>
        <v>0</v>
      </c>
      <c r="P188" s="937"/>
      <c r="Q188" s="938"/>
      <c r="R188" s="984">
        <f>R170+R171+R175+R177+R180+R182+R183</f>
        <v>0</v>
      </c>
      <c r="S188" s="937"/>
      <c r="T188" s="938"/>
      <c r="U188" s="984">
        <f>U170+U171+U175+U177+U180+U182+U183</f>
        <v>0</v>
      </c>
      <c r="V188" s="937"/>
      <c r="W188" s="938"/>
      <c r="X188" s="984">
        <f>X170+X171+X175+X177+X180+X182+X183</f>
        <v>0</v>
      </c>
      <c r="Y188" s="937"/>
      <c r="Z188" s="938"/>
      <c r="AA188" s="984">
        <f>AA170+AA171+AA175+AA177+AA180+AA182+AA183</f>
        <v>0</v>
      </c>
      <c r="AB188" s="937"/>
      <c r="AC188" s="938"/>
      <c r="AD188" s="984">
        <f>AD170+AD171+AD175+AD177+AD180+AD182+AD183</f>
        <v>0</v>
      </c>
      <c r="AE188" s="937"/>
      <c r="AF188" s="938"/>
      <c r="AG188" s="984">
        <f>AG170+AG171+AG175+AG177+AG180+AG182+AG183</f>
        <v>0</v>
      </c>
      <c r="AH188" s="937"/>
      <c r="AI188" s="938"/>
      <c r="AJ188" s="984">
        <f>AJ170+AJ171+AJ175+AJ177+AJ180+AJ182+AJ183</f>
        <v>0</v>
      </c>
      <c r="AK188" s="937"/>
      <c r="AL188" s="938"/>
      <c r="AM188" s="984">
        <f>AM170+AM171+AM175+AM177+AM180+AM182+AM183</f>
        <v>0</v>
      </c>
      <c r="AN188" s="938"/>
      <c r="AO188" s="984">
        <f>AO170+AO171+AO175+AO177+AO180+AO182+AO183</f>
        <v>466571</v>
      </c>
      <c r="AP188" s="938"/>
      <c r="AQ188" s="984">
        <f t="shared" ref="AQ188:AR188" si="160">AQ170+AQ171+AQ175+AQ177+AQ180+AQ182+AQ183</f>
        <v>26507.25</v>
      </c>
      <c r="AR188" s="984">
        <f t="shared" si="160"/>
        <v>647061.75</v>
      </c>
      <c r="AS188" s="936"/>
      <c r="AT188" s="984">
        <f t="shared" ref="AT188:AW188" si="161">AT170+AT171+AT175+AT177+AT180+AT182+AT183</f>
        <v>7764741</v>
      </c>
      <c r="AU188" s="984">
        <f t="shared" si="161"/>
        <v>517708.4</v>
      </c>
      <c r="AV188" s="984">
        <f t="shared" si="161"/>
        <v>77647.41</v>
      </c>
      <c r="AW188" s="984">
        <f t="shared" si="161"/>
        <v>8360096.8099999996</v>
      </c>
      <c r="AX188" s="939"/>
      <c r="AY188" s="939"/>
      <c r="AZ188" s="941"/>
      <c r="BA188" s="941"/>
      <c r="BB188" s="941"/>
      <c r="BC188" s="934"/>
      <c r="BD188" s="941"/>
      <c r="BE188" s="941"/>
      <c r="BF188" s="941"/>
      <c r="BG188" s="942"/>
      <c r="BH188" s="941"/>
      <c r="BI188" s="941"/>
      <c r="BJ188" s="941"/>
      <c r="BK188" s="943"/>
      <c r="BL188" s="943"/>
      <c r="BM188" s="943"/>
      <c r="BN188" s="943"/>
      <c r="BO188" s="943"/>
      <c r="BP188" s="944"/>
      <c r="BQ188" s="943"/>
      <c r="BR188" s="943"/>
      <c r="BS188" s="943"/>
      <c r="BU188" s="945"/>
      <c r="BV188" s="946"/>
      <c r="BW188" s="947"/>
      <c r="BX188" s="945"/>
      <c r="BY188" s="947"/>
      <c r="BZ188" s="946"/>
      <c r="CA188" s="947"/>
      <c r="CB188" s="946"/>
      <c r="CC188" s="947"/>
      <c r="CD188" s="947"/>
      <c r="CE188" s="947"/>
      <c r="CF188" s="948"/>
      <c r="CG188" s="949"/>
      <c r="CH188" s="949"/>
      <c r="CI188" s="950"/>
      <c r="CJ188" s="951"/>
      <c r="CK188" s="951"/>
      <c r="CL188" s="952"/>
      <c r="CM188" s="951"/>
      <c r="CN188" s="951"/>
      <c r="CO188" s="952"/>
      <c r="CP188" s="951"/>
      <c r="CQ188" s="951"/>
      <c r="CR188" s="952"/>
      <c r="CS188" s="946"/>
      <c r="CT188" s="953"/>
      <c r="CU188" s="953"/>
      <c r="CV188" s="953"/>
      <c r="CX188" s="951"/>
      <c r="CY188" s="951"/>
      <c r="CZ188" s="952"/>
      <c r="DB188" s="954"/>
      <c r="DC188" s="954"/>
      <c r="DD188" s="921"/>
      <c r="DE188" s="954"/>
      <c r="DF188" s="954"/>
      <c r="DG188" s="921"/>
      <c r="DH188" s="954"/>
      <c r="DI188" s="954"/>
      <c r="DJ188" s="921"/>
      <c r="DK188" s="954"/>
      <c r="DL188" s="954"/>
      <c r="DM188" s="921"/>
      <c r="DN188" s="954"/>
      <c r="DO188" s="954"/>
      <c r="DP188" s="921"/>
      <c r="DQ188" s="942"/>
      <c r="DR188" s="951"/>
      <c r="DS188" s="951"/>
      <c r="DT188" s="952"/>
      <c r="DV188" s="921"/>
      <c r="DW188" s="921"/>
      <c r="DX188" s="921"/>
      <c r="DY188" s="921"/>
      <c r="DZ188" s="921"/>
      <c r="EA188" s="921"/>
      <c r="EB188" s="921"/>
      <c r="EC188" s="921"/>
      <c r="ED188" s="921"/>
      <c r="EE188" s="921"/>
      <c r="EF188" s="921"/>
      <c r="EG188" s="921"/>
      <c r="EH188" s="921"/>
      <c r="EI188" s="921"/>
      <c r="EJ188" s="921"/>
      <c r="EK188" s="921"/>
      <c r="EL188" s="921"/>
      <c r="EM188" s="921"/>
      <c r="EN188" s="921"/>
      <c r="EO188" s="921"/>
      <c r="EP188" s="921"/>
      <c r="EQ188" s="954"/>
      <c r="ER188" s="954"/>
      <c r="ES188" s="954"/>
      <c r="ET188" s="954"/>
      <c r="EV188" s="942"/>
      <c r="EW188" s="951"/>
      <c r="EX188" s="951"/>
      <c r="EY188" s="952"/>
    </row>
    <row r="189" spans="1:155" s="927" customFormat="1" ht="15.75" x14ac:dyDescent="0.25">
      <c r="A189" s="931"/>
      <c r="B189" s="932"/>
      <c r="C189" s="982">
        <f>C184-C185-C186-C187-C188</f>
        <v>0</v>
      </c>
      <c r="D189" s="938"/>
      <c r="E189" s="983"/>
      <c r="F189" s="936"/>
      <c r="G189" s="983"/>
      <c r="H189" s="985">
        <f>H184-H185-H186-H187-H188</f>
        <v>0</v>
      </c>
      <c r="I189" s="985">
        <f>I184-I185-I186-I187-I188</f>
        <v>0</v>
      </c>
      <c r="J189" s="937"/>
      <c r="K189" s="938"/>
      <c r="L189" s="985">
        <f>L184-L185-L186-L187-L188</f>
        <v>0</v>
      </c>
      <c r="M189" s="937"/>
      <c r="N189" s="938"/>
      <c r="O189" s="985">
        <f>O184-O185-O186-O187-O188</f>
        <v>0</v>
      </c>
      <c r="P189" s="937"/>
      <c r="Q189" s="938"/>
      <c r="R189" s="985">
        <f>R184-R185-R186-R187-R188</f>
        <v>0</v>
      </c>
      <c r="S189" s="937"/>
      <c r="T189" s="938"/>
      <c r="U189" s="985">
        <f>U184-U185-U186-U187-U188</f>
        <v>0</v>
      </c>
      <c r="V189" s="937"/>
      <c r="W189" s="938"/>
      <c r="X189" s="985">
        <f>X184-X185-X186-X187-X188</f>
        <v>0</v>
      </c>
      <c r="Y189" s="937"/>
      <c r="Z189" s="938"/>
      <c r="AA189" s="985">
        <f>AA184-AA185-AA186-AA187-AA188</f>
        <v>0</v>
      </c>
      <c r="AB189" s="937"/>
      <c r="AC189" s="938"/>
      <c r="AD189" s="985">
        <f>AD184-AD185-AD186-AD187-AD188</f>
        <v>0</v>
      </c>
      <c r="AE189" s="937"/>
      <c r="AF189" s="938"/>
      <c r="AG189" s="985">
        <f>AG184-AG185-AG186-AG187-AG188</f>
        <v>0</v>
      </c>
      <c r="AH189" s="937"/>
      <c r="AI189" s="938"/>
      <c r="AJ189" s="985">
        <f>AJ184-AJ185-AJ186-AJ187-AJ188</f>
        <v>0</v>
      </c>
      <c r="AK189" s="937"/>
      <c r="AL189" s="938"/>
      <c r="AM189" s="985">
        <f>AM184-AM185-AM186-AM187-AM188</f>
        <v>0</v>
      </c>
      <c r="AN189" s="938"/>
      <c r="AO189" s="985">
        <f>AO184-AO185-AO186-AO187-AO188</f>
        <v>0</v>
      </c>
      <c r="AP189" s="938"/>
      <c r="AQ189" s="985">
        <f t="shared" ref="AQ189:AR189" si="162">AQ184-AQ185-AQ186-AQ187-AQ188</f>
        <v>0</v>
      </c>
      <c r="AR189" s="985">
        <f t="shared" si="162"/>
        <v>0</v>
      </c>
      <c r="AS189" s="936"/>
      <c r="AT189" s="985">
        <f t="shared" ref="AT189:AW189" si="163">AT184-AT185-AT186-AT187-AT188</f>
        <v>0</v>
      </c>
      <c r="AU189" s="985">
        <f t="shared" si="163"/>
        <v>0</v>
      </c>
      <c r="AV189" s="985">
        <f t="shared" si="163"/>
        <v>0</v>
      </c>
      <c r="AW189" s="985">
        <f t="shared" si="163"/>
        <v>0</v>
      </c>
      <c r="AX189" s="939"/>
      <c r="AY189" s="939"/>
      <c r="AZ189" s="941"/>
      <c r="BA189" s="941"/>
      <c r="BB189" s="941"/>
      <c r="BC189" s="934"/>
      <c r="BD189" s="941"/>
      <c r="BE189" s="941"/>
      <c r="BF189" s="941"/>
      <c r="BG189" s="942"/>
      <c r="BH189" s="941"/>
      <c r="BI189" s="941"/>
      <c r="BJ189" s="941"/>
      <c r="BK189" s="943"/>
      <c r="BL189" s="943"/>
      <c r="BM189" s="943"/>
      <c r="BN189" s="943"/>
      <c r="BO189" s="943"/>
      <c r="BP189" s="944"/>
      <c r="BQ189" s="943"/>
      <c r="BR189" s="943"/>
      <c r="BS189" s="943"/>
      <c r="BU189" s="945"/>
      <c r="BV189" s="946"/>
      <c r="BW189" s="947"/>
      <c r="BX189" s="945"/>
      <c r="BY189" s="947"/>
      <c r="BZ189" s="946"/>
      <c r="CA189" s="947"/>
      <c r="CB189" s="946"/>
      <c r="CC189" s="947"/>
      <c r="CD189" s="947"/>
      <c r="CE189" s="947"/>
      <c r="CF189" s="948"/>
      <c r="CG189" s="949"/>
      <c r="CH189" s="949"/>
      <c r="CI189" s="950"/>
      <c r="CJ189" s="951"/>
      <c r="CK189" s="951"/>
      <c r="CL189" s="952"/>
      <c r="CM189" s="951"/>
      <c r="CN189" s="951"/>
      <c r="CO189" s="952"/>
      <c r="CP189" s="951"/>
      <c r="CQ189" s="951"/>
      <c r="CR189" s="952"/>
      <c r="CS189" s="946"/>
      <c r="CT189" s="953"/>
      <c r="CU189" s="953"/>
      <c r="CV189" s="953"/>
      <c r="CX189" s="951"/>
      <c r="CY189" s="951"/>
      <c r="CZ189" s="952"/>
      <c r="DB189" s="954"/>
      <c r="DC189" s="954"/>
      <c r="DD189" s="921"/>
      <c r="DE189" s="954"/>
      <c r="DF189" s="954"/>
      <c r="DG189" s="921"/>
      <c r="DH189" s="954"/>
      <c r="DI189" s="954"/>
      <c r="DJ189" s="921"/>
      <c r="DK189" s="954"/>
      <c r="DL189" s="954"/>
      <c r="DM189" s="921"/>
      <c r="DN189" s="954"/>
      <c r="DO189" s="954"/>
      <c r="DP189" s="921"/>
      <c r="DQ189" s="942"/>
      <c r="DR189" s="951"/>
      <c r="DS189" s="951"/>
      <c r="DT189" s="952"/>
      <c r="DV189" s="921"/>
      <c r="DW189" s="921"/>
      <c r="DX189" s="921"/>
      <c r="DY189" s="921"/>
      <c r="DZ189" s="921"/>
      <c r="EA189" s="921"/>
      <c r="EB189" s="921"/>
      <c r="EC189" s="921"/>
      <c r="ED189" s="921"/>
      <c r="EE189" s="921"/>
      <c r="EF189" s="921"/>
      <c r="EG189" s="921"/>
      <c r="EH189" s="921"/>
      <c r="EI189" s="921"/>
      <c r="EJ189" s="921"/>
      <c r="EK189" s="921"/>
      <c r="EL189" s="921"/>
      <c r="EM189" s="921"/>
      <c r="EN189" s="921"/>
      <c r="EO189" s="921"/>
      <c r="EP189" s="921"/>
      <c r="EQ189" s="954"/>
      <c r="ER189" s="954"/>
      <c r="ES189" s="954"/>
      <c r="ET189" s="954"/>
      <c r="EV189" s="942"/>
      <c r="EW189" s="951"/>
      <c r="EX189" s="951"/>
      <c r="EY189" s="952"/>
    </row>
    <row r="190" spans="1:155" s="927" customFormat="1" ht="15.75" x14ac:dyDescent="0.25">
      <c r="A190" s="931"/>
      <c r="B190" s="932" t="s">
        <v>806</v>
      </c>
      <c r="C190" s="933"/>
      <c r="D190" s="933"/>
      <c r="E190" s="934"/>
      <c r="F190" s="935"/>
      <c r="G190" s="934"/>
      <c r="H190" s="935"/>
      <c r="I190" s="936"/>
      <c r="J190" s="937"/>
      <c r="K190" s="938"/>
      <c r="L190" s="936"/>
      <c r="M190" s="937"/>
      <c r="N190" s="938"/>
      <c r="O190" s="936"/>
      <c r="P190" s="937"/>
      <c r="Q190" s="938"/>
      <c r="R190" s="936"/>
      <c r="S190" s="937"/>
      <c r="T190" s="938"/>
      <c r="U190" s="936"/>
      <c r="V190" s="937"/>
      <c r="W190" s="938"/>
      <c r="X190" s="936"/>
      <c r="Y190" s="937"/>
      <c r="Z190" s="938"/>
      <c r="AA190" s="936"/>
      <c r="AB190" s="937"/>
      <c r="AC190" s="938"/>
      <c r="AD190" s="936"/>
      <c r="AE190" s="937"/>
      <c r="AF190" s="938"/>
      <c r="AG190" s="936"/>
      <c r="AH190" s="937"/>
      <c r="AI190" s="938"/>
      <c r="AJ190" s="936"/>
      <c r="AK190" s="937"/>
      <c r="AL190" s="938"/>
      <c r="AM190" s="936"/>
      <c r="AN190" s="933"/>
      <c r="AO190" s="936"/>
      <c r="AP190" s="933"/>
      <c r="AQ190" s="935"/>
      <c r="AR190" s="936"/>
      <c r="AS190" s="935"/>
      <c r="AT190" s="939"/>
      <c r="AU190" s="933"/>
      <c r="AV190" s="940"/>
      <c r="AW190" s="389">
        <f>AW184/12-AO184</f>
        <v>1669972.68</v>
      </c>
      <c r="AX190" s="939"/>
      <c r="AY190" s="939"/>
      <c r="AZ190" s="941"/>
      <c r="BA190" s="941"/>
      <c r="BB190" s="941"/>
      <c r="BC190" s="934"/>
      <c r="BD190" s="941"/>
      <c r="BE190" s="941"/>
      <c r="BF190" s="941"/>
      <c r="BG190" s="942"/>
      <c r="BH190" s="941"/>
      <c r="BI190" s="941"/>
      <c r="BJ190" s="941"/>
      <c r="BK190" s="943"/>
      <c r="BL190" s="943"/>
      <c r="BM190" s="943"/>
      <c r="BN190" s="943"/>
      <c r="BO190" s="943"/>
      <c r="BP190" s="944"/>
      <c r="BQ190" s="943"/>
      <c r="BR190" s="943"/>
      <c r="BS190" s="943"/>
      <c r="BU190" s="945"/>
      <c r="BV190" s="946"/>
      <c r="BW190" s="947"/>
      <c r="BX190" s="945"/>
      <c r="BY190" s="947"/>
      <c r="BZ190" s="946"/>
      <c r="CA190" s="947"/>
      <c r="CB190" s="946"/>
      <c r="CC190" s="947"/>
      <c r="CD190" s="947"/>
      <c r="CE190" s="947"/>
      <c r="CF190" s="948"/>
      <c r="CG190" s="949"/>
      <c r="CH190" s="949"/>
      <c r="CI190" s="950"/>
      <c r="CJ190" s="951"/>
      <c r="CK190" s="951"/>
      <c r="CL190" s="952"/>
      <c r="CM190" s="951"/>
      <c r="CN190" s="951"/>
      <c r="CO190" s="952"/>
      <c r="CP190" s="951"/>
      <c r="CQ190" s="951"/>
      <c r="CR190" s="952"/>
      <c r="CS190" s="946"/>
      <c r="CT190" s="953"/>
      <c r="CU190" s="953"/>
      <c r="CV190" s="953"/>
      <c r="CX190" s="951"/>
      <c r="CY190" s="951"/>
      <c r="CZ190" s="952"/>
      <c r="DB190" s="954"/>
      <c r="DC190" s="954"/>
      <c r="DD190" s="921"/>
      <c r="DE190" s="954"/>
      <c r="DF190" s="954"/>
      <c r="DG190" s="921"/>
      <c r="DH190" s="954"/>
      <c r="DI190" s="954"/>
      <c r="DJ190" s="921"/>
      <c r="DK190" s="954"/>
      <c r="DL190" s="954"/>
      <c r="DM190" s="921"/>
      <c r="DN190" s="954"/>
      <c r="DO190" s="954"/>
      <c r="DP190" s="921"/>
      <c r="DQ190" s="942"/>
      <c r="DR190" s="951"/>
      <c r="DS190" s="951"/>
      <c r="DT190" s="952"/>
      <c r="DV190" s="921"/>
      <c r="DW190" s="921"/>
      <c r="DX190" s="921"/>
      <c r="DY190" s="921"/>
      <c r="DZ190" s="921"/>
      <c r="EA190" s="921"/>
      <c r="EB190" s="921"/>
      <c r="EC190" s="921"/>
      <c r="ED190" s="921"/>
      <c r="EE190" s="921"/>
      <c r="EF190" s="921"/>
      <c r="EG190" s="921"/>
      <c r="EH190" s="921"/>
      <c r="EI190" s="921"/>
      <c r="EJ190" s="921"/>
      <c r="EK190" s="921"/>
      <c r="EL190" s="921"/>
      <c r="EM190" s="921"/>
      <c r="EN190" s="921"/>
      <c r="EO190" s="921"/>
      <c r="EP190" s="921"/>
      <c r="EQ190" s="954"/>
      <c r="ER190" s="954"/>
      <c r="ES190" s="954"/>
      <c r="ET190" s="954"/>
      <c r="EV190" s="942"/>
      <c r="EW190" s="951"/>
      <c r="EX190" s="951"/>
      <c r="EY190" s="952"/>
    </row>
    <row r="191" spans="1:155" s="927" customFormat="1" ht="15.75" x14ac:dyDescent="0.25">
      <c r="A191" s="931"/>
      <c r="B191" s="932" t="s">
        <v>406</v>
      </c>
      <c r="C191" s="933"/>
      <c r="D191" s="933"/>
      <c r="E191" s="934"/>
      <c r="F191" s="935"/>
      <c r="G191" s="934"/>
      <c r="H191" s="935"/>
      <c r="I191" s="936"/>
      <c r="J191" s="937"/>
      <c r="K191" s="938"/>
      <c r="L191" s="936"/>
      <c r="M191" s="937"/>
      <c r="N191" s="938"/>
      <c r="O191" s="936"/>
      <c r="P191" s="937"/>
      <c r="Q191" s="938"/>
      <c r="R191" s="936"/>
      <c r="S191" s="937"/>
      <c r="T191" s="938"/>
      <c r="U191" s="936"/>
      <c r="V191" s="937"/>
      <c r="W191" s="938"/>
      <c r="X191" s="936"/>
      <c r="Y191" s="937"/>
      <c r="Z191" s="938"/>
      <c r="AA191" s="936"/>
      <c r="AB191" s="937"/>
      <c r="AC191" s="938"/>
      <c r="AD191" s="936"/>
      <c r="AE191" s="937"/>
      <c r="AF191" s="938"/>
      <c r="AG191" s="936"/>
      <c r="AH191" s="937"/>
      <c r="AI191" s="938"/>
      <c r="AJ191" s="936"/>
      <c r="AK191" s="937"/>
      <c r="AL191" s="938"/>
      <c r="AM191" s="936"/>
      <c r="AN191" s="933"/>
      <c r="AO191" s="936"/>
      <c r="AP191" s="933"/>
      <c r="AQ191" s="935"/>
      <c r="AR191" s="936"/>
      <c r="AS191" s="935"/>
      <c r="AT191" s="939"/>
      <c r="AU191" s="933"/>
      <c r="AV191" s="940"/>
      <c r="AW191" s="389">
        <f>AW185/12-AO185</f>
        <v>717626.07</v>
      </c>
      <c r="AX191" s="939"/>
      <c r="AY191" s="939"/>
      <c r="AZ191" s="941"/>
      <c r="BA191" s="941"/>
      <c r="BB191" s="941"/>
      <c r="BC191" s="934"/>
      <c r="BD191" s="941"/>
      <c r="BE191" s="941"/>
      <c r="BF191" s="941"/>
      <c r="BG191" s="942"/>
      <c r="BH191" s="941"/>
      <c r="BI191" s="941"/>
      <c r="BJ191" s="941"/>
      <c r="BK191" s="943"/>
      <c r="BL191" s="943"/>
      <c r="BM191" s="943"/>
      <c r="BN191" s="943"/>
      <c r="BO191" s="943"/>
      <c r="BP191" s="944"/>
      <c r="BQ191" s="943"/>
      <c r="BR191" s="943"/>
      <c r="BS191" s="943"/>
      <c r="BU191" s="945"/>
      <c r="BV191" s="946"/>
      <c r="BW191" s="947"/>
      <c r="BX191" s="945"/>
      <c r="BY191" s="947"/>
      <c r="BZ191" s="946"/>
      <c r="CA191" s="947"/>
      <c r="CB191" s="946"/>
      <c r="CC191" s="947"/>
      <c r="CD191" s="947"/>
      <c r="CE191" s="947"/>
      <c r="CF191" s="948"/>
      <c r="CG191" s="949"/>
      <c r="CH191" s="949"/>
      <c r="CI191" s="950"/>
      <c r="CJ191" s="951"/>
      <c r="CK191" s="951"/>
      <c r="CL191" s="952"/>
      <c r="CM191" s="951"/>
      <c r="CN191" s="951"/>
      <c r="CO191" s="952"/>
      <c r="CP191" s="951"/>
      <c r="CQ191" s="951"/>
      <c r="CR191" s="952"/>
      <c r="CS191" s="946"/>
      <c r="CT191" s="953"/>
      <c r="CU191" s="953"/>
      <c r="CV191" s="953"/>
      <c r="CX191" s="951"/>
      <c r="CY191" s="951"/>
      <c r="CZ191" s="952"/>
      <c r="DB191" s="954"/>
      <c r="DC191" s="954"/>
      <c r="DD191" s="921"/>
      <c r="DE191" s="954"/>
      <c r="DF191" s="954"/>
      <c r="DG191" s="921"/>
      <c r="DH191" s="954"/>
      <c r="DI191" s="954"/>
      <c r="DJ191" s="921"/>
      <c r="DK191" s="954"/>
      <c r="DL191" s="954"/>
      <c r="DM191" s="921"/>
      <c r="DN191" s="954"/>
      <c r="DO191" s="954"/>
      <c r="DP191" s="921"/>
      <c r="DQ191" s="942"/>
      <c r="DR191" s="951"/>
      <c r="DS191" s="951"/>
      <c r="DT191" s="952"/>
      <c r="DV191" s="921"/>
      <c r="DW191" s="921"/>
      <c r="DX191" s="921"/>
      <c r="DY191" s="921"/>
      <c r="DZ191" s="921"/>
      <c r="EA191" s="921"/>
      <c r="EB191" s="921"/>
      <c r="EC191" s="921"/>
      <c r="ED191" s="921"/>
      <c r="EE191" s="921"/>
      <c r="EF191" s="921"/>
      <c r="EG191" s="921"/>
      <c r="EH191" s="921"/>
      <c r="EI191" s="921"/>
      <c r="EJ191" s="921"/>
      <c r="EK191" s="921"/>
      <c r="EL191" s="921"/>
      <c r="EM191" s="921"/>
      <c r="EN191" s="921"/>
      <c r="EO191" s="921"/>
      <c r="EP191" s="921"/>
      <c r="EQ191" s="954"/>
      <c r="ER191" s="954"/>
      <c r="ES191" s="954"/>
      <c r="ET191" s="954"/>
      <c r="EV191" s="942"/>
      <c r="EW191" s="951"/>
      <c r="EX191" s="951"/>
      <c r="EY191" s="952"/>
    </row>
    <row r="192" spans="1:155" s="927" customFormat="1" ht="15.75" x14ac:dyDescent="0.25">
      <c r="A192" s="931"/>
      <c r="B192" s="932" t="s">
        <v>403</v>
      </c>
      <c r="C192" s="933"/>
      <c r="D192" s="933"/>
      <c r="E192" s="934"/>
      <c r="F192" s="935"/>
      <c r="G192" s="934"/>
      <c r="H192" s="935"/>
      <c r="I192" s="936"/>
      <c r="J192" s="937"/>
      <c r="K192" s="938"/>
      <c r="L192" s="936"/>
      <c r="M192" s="937"/>
      <c r="N192" s="938"/>
      <c r="O192" s="936"/>
      <c r="P192" s="937"/>
      <c r="Q192" s="938"/>
      <c r="R192" s="936"/>
      <c r="S192" s="937"/>
      <c r="T192" s="938"/>
      <c r="U192" s="936"/>
      <c r="V192" s="937"/>
      <c r="W192" s="938"/>
      <c r="X192" s="936"/>
      <c r="Y192" s="937"/>
      <c r="Z192" s="938"/>
      <c r="AA192" s="936"/>
      <c r="AB192" s="937"/>
      <c r="AC192" s="938"/>
      <c r="AD192" s="936"/>
      <c r="AE192" s="937"/>
      <c r="AF192" s="938"/>
      <c r="AG192" s="936"/>
      <c r="AH192" s="937"/>
      <c r="AI192" s="938"/>
      <c r="AJ192" s="936"/>
      <c r="AK192" s="937"/>
      <c r="AL192" s="938"/>
      <c r="AM192" s="936"/>
      <c r="AN192" s="933"/>
      <c r="AO192" s="936"/>
      <c r="AP192" s="933"/>
      <c r="AQ192" s="935"/>
      <c r="AR192" s="936"/>
      <c r="AS192" s="935"/>
      <c r="AT192" s="939"/>
      <c r="AU192" s="933"/>
      <c r="AV192" s="940"/>
      <c r="AW192" s="389">
        <f>AW186/12-AO186</f>
        <v>241072.11</v>
      </c>
      <c r="AX192" s="939"/>
      <c r="AY192" s="939"/>
      <c r="AZ192" s="941"/>
      <c r="BA192" s="941"/>
      <c r="BB192" s="941"/>
      <c r="BC192" s="934"/>
      <c r="BD192" s="941"/>
      <c r="BE192" s="941"/>
      <c r="BF192" s="941"/>
      <c r="BG192" s="942"/>
      <c r="BH192" s="941"/>
      <c r="BI192" s="941"/>
      <c r="BJ192" s="941"/>
      <c r="BK192" s="943"/>
      <c r="BL192" s="943"/>
      <c r="BM192" s="943"/>
      <c r="BN192" s="943"/>
      <c r="BO192" s="943"/>
      <c r="BP192" s="944"/>
      <c r="BQ192" s="943"/>
      <c r="BR192" s="943"/>
      <c r="BS192" s="943"/>
      <c r="BU192" s="945"/>
      <c r="BV192" s="946"/>
      <c r="BW192" s="947"/>
      <c r="BX192" s="945"/>
      <c r="BY192" s="947"/>
      <c r="BZ192" s="946"/>
      <c r="CA192" s="947"/>
      <c r="CB192" s="946"/>
      <c r="CC192" s="947"/>
      <c r="CD192" s="947"/>
      <c r="CE192" s="947"/>
      <c r="CF192" s="948"/>
      <c r="CG192" s="949"/>
      <c r="CH192" s="949"/>
      <c r="CI192" s="950"/>
      <c r="CJ192" s="951"/>
      <c r="CK192" s="951"/>
      <c r="CL192" s="952"/>
      <c r="CM192" s="951"/>
      <c r="CN192" s="951"/>
      <c r="CO192" s="952"/>
      <c r="CP192" s="951"/>
      <c r="CQ192" s="951"/>
      <c r="CR192" s="952"/>
      <c r="CS192" s="946"/>
      <c r="CT192" s="953"/>
      <c r="CU192" s="953"/>
      <c r="CV192" s="953"/>
      <c r="CX192" s="951"/>
      <c r="CY192" s="951"/>
      <c r="CZ192" s="952"/>
      <c r="DB192" s="954"/>
      <c r="DC192" s="954"/>
      <c r="DD192" s="921"/>
      <c r="DE192" s="954"/>
      <c r="DF192" s="954"/>
      <c r="DG192" s="921"/>
      <c r="DH192" s="954"/>
      <c r="DI192" s="954"/>
      <c r="DJ192" s="921"/>
      <c r="DK192" s="954"/>
      <c r="DL192" s="954"/>
      <c r="DM192" s="921"/>
      <c r="DN192" s="954"/>
      <c r="DO192" s="954"/>
      <c r="DP192" s="921"/>
      <c r="DQ192" s="942"/>
      <c r="DR192" s="951"/>
      <c r="DS192" s="951"/>
      <c r="DT192" s="952"/>
      <c r="DV192" s="921"/>
      <c r="DW192" s="921"/>
      <c r="DX192" s="921"/>
      <c r="DY192" s="921"/>
      <c r="DZ192" s="921"/>
      <c r="EA192" s="921"/>
      <c r="EB192" s="921"/>
      <c r="EC192" s="921"/>
      <c r="ED192" s="921"/>
      <c r="EE192" s="921"/>
      <c r="EF192" s="921"/>
      <c r="EG192" s="921"/>
      <c r="EH192" s="921"/>
      <c r="EI192" s="921"/>
      <c r="EJ192" s="921"/>
      <c r="EK192" s="921"/>
      <c r="EL192" s="921"/>
      <c r="EM192" s="921"/>
      <c r="EN192" s="921"/>
      <c r="EO192" s="921"/>
      <c r="EP192" s="921"/>
      <c r="EQ192" s="954"/>
      <c r="ER192" s="954"/>
      <c r="ES192" s="954"/>
      <c r="ET192" s="954"/>
      <c r="EV192" s="942"/>
      <c r="EW192" s="951"/>
      <c r="EX192" s="951"/>
      <c r="EY192" s="952"/>
    </row>
    <row r="193" spans="1:155" s="927" customFormat="1" ht="15.75" x14ac:dyDescent="0.25">
      <c r="A193" s="931"/>
      <c r="B193" s="932" t="s">
        <v>404</v>
      </c>
      <c r="C193" s="933"/>
      <c r="D193" s="933"/>
      <c r="E193" s="934"/>
      <c r="F193" s="935"/>
      <c r="G193" s="934"/>
      <c r="H193" s="935"/>
      <c r="I193" s="936"/>
      <c r="J193" s="937"/>
      <c r="K193" s="938"/>
      <c r="L193" s="936"/>
      <c r="M193" s="937"/>
      <c r="N193" s="938"/>
      <c r="O193" s="936"/>
      <c r="P193" s="937"/>
      <c r="Q193" s="938"/>
      <c r="R193" s="936"/>
      <c r="S193" s="937"/>
      <c r="T193" s="938"/>
      <c r="U193" s="936"/>
      <c r="V193" s="937"/>
      <c r="W193" s="938"/>
      <c r="X193" s="936"/>
      <c r="Y193" s="937"/>
      <c r="Z193" s="938"/>
      <c r="AA193" s="936"/>
      <c r="AB193" s="937"/>
      <c r="AC193" s="938"/>
      <c r="AD193" s="936"/>
      <c r="AE193" s="937"/>
      <c r="AF193" s="938"/>
      <c r="AG193" s="936"/>
      <c r="AH193" s="937"/>
      <c r="AI193" s="938"/>
      <c r="AJ193" s="936"/>
      <c r="AK193" s="937"/>
      <c r="AL193" s="938"/>
      <c r="AM193" s="936"/>
      <c r="AN193" s="933"/>
      <c r="AO193" s="936"/>
      <c r="AP193" s="933"/>
      <c r="AQ193" s="935"/>
      <c r="AR193" s="936"/>
      <c r="AS193" s="935"/>
      <c r="AT193" s="939"/>
      <c r="AU193" s="933"/>
      <c r="AV193" s="940"/>
      <c r="AW193" s="389">
        <f>AW187/12-AO187</f>
        <v>481170.76</v>
      </c>
      <c r="AX193" s="939"/>
      <c r="AY193" s="939"/>
      <c r="AZ193" s="941"/>
      <c r="BA193" s="941"/>
      <c r="BB193" s="941"/>
      <c r="BC193" s="934"/>
      <c r="BD193" s="941"/>
      <c r="BE193" s="941"/>
      <c r="BF193" s="941"/>
      <c r="BG193" s="942"/>
      <c r="BH193" s="941"/>
      <c r="BI193" s="941"/>
      <c r="BJ193" s="941"/>
      <c r="BK193" s="943"/>
      <c r="BL193" s="943"/>
      <c r="BM193" s="943"/>
      <c r="BN193" s="943"/>
      <c r="BO193" s="943"/>
      <c r="BP193" s="944"/>
      <c r="BQ193" s="943"/>
      <c r="BR193" s="943"/>
      <c r="BS193" s="943"/>
      <c r="BU193" s="945"/>
      <c r="BV193" s="946"/>
      <c r="BW193" s="947"/>
      <c r="BX193" s="945"/>
      <c r="BY193" s="947"/>
      <c r="BZ193" s="946"/>
      <c r="CA193" s="947"/>
      <c r="CB193" s="946"/>
      <c r="CC193" s="947"/>
      <c r="CD193" s="947"/>
      <c r="CE193" s="947"/>
      <c r="CF193" s="948"/>
      <c r="CG193" s="949"/>
      <c r="CH193" s="949"/>
      <c r="CI193" s="950"/>
      <c r="CJ193" s="951"/>
      <c r="CK193" s="951"/>
      <c r="CL193" s="952"/>
      <c r="CM193" s="951"/>
      <c r="CN193" s="951"/>
      <c r="CO193" s="952"/>
      <c r="CP193" s="951"/>
      <c r="CQ193" s="951"/>
      <c r="CR193" s="952"/>
      <c r="CS193" s="946"/>
      <c r="CT193" s="953"/>
      <c r="CU193" s="953"/>
      <c r="CV193" s="953"/>
      <c r="CX193" s="951"/>
      <c r="CY193" s="951"/>
      <c r="CZ193" s="952"/>
      <c r="DB193" s="954"/>
      <c r="DC193" s="954"/>
      <c r="DD193" s="921"/>
      <c r="DE193" s="954"/>
      <c r="DF193" s="954"/>
      <c r="DG193" s="921"/>
      <c r="DH193" s="954"/>
      <c r="DI193" s="954"/>
      <c r="DJ193" s="921"/>
      <c r="DK193" s="954"/>
      <c r="DL193" s="954"/>
      <c r="DM193" s="921"/>
      <c r="DN193" s="954"/>
      <c r="DO193" s="954"/>
      <c r="DP193" s="921"/>
      <c r="DQ193" s="942"/>
      <c r="DR193" s="951"/>
      <c r="DS193" s="951"/>
      <c r="DT193" s="952"/>
      <c r="DV193" s="921"/>
      <c r="DW193" s="921"/>
      <c r="DX193" s="921"/>
      <c r="DY193" s="921"/>
      <c r="DZ193" s="921"/>
      <c r="EA193" s="921"/>
      <c r="EB193" s="921"/>
      <c r="EC193" s="921"/>
      <c r="ED193" s="921"/>
      <c r="EE193" s="921"/>
      <c r="EF193" s="921"/>
      <c r="EG193" s="921"/>
      <c r="EH193" s="921"/>
      <c r="EI193" s="921"/>
      <c r="EJ193" s="921"/>
      <c r="EK193" s="921"/>
      <c r="EL193" s="921"/>
      <c r="EM193" s="921"/>
      <c r="EN193" s="921"/>
      <c r="EO193" s="921"/>
      <c r="EP193" s="921"/>
      <c r="EQ193" s="954"/>
      <c r="ER193" s="954"/>
      <c r="ES193" s="954"/>
      <c r="ET193" s="954"/>
      <c r="EV193" s="942"/>
      <c r="EW193" s="951"/>
      <c r="EX193" s="951"/>
      <c r="EY193" s="952"/>
    </row>
    <row r="194" spans="1:155" s="927" customFormat="1" ht="15.75" x14ac:dyDescent="0.25">
      <c r="A194" s="931"/>
      <c r="B194" s="932" t="s">
        <v>405</v>
      </c>
      <c r="C194" s="933"/>
      <c r="D194" s="933"/>
      <c r="E194" s="934"/>
      <c r="F194" s="935"/>
      <c r="G194" s="934"/>
      <c r="H194" s="935"/>
      <c r="I194" s="936"/>
      <c r="J194" s="937"/>
      <c r="K194" s="938"/>
      <c r="L194" s="936"/>
      <c r="M194" s="937"/>
      <c r="N194" s="938"/>
      <c r="O194" s="936"/>
      <c r="P194" s="937"/>
      <c r="Q194" s="938"/>
      <c r="R194" s="936"/>
      <c r="S194" s="937"/>
      <c r="T194" s="938"/>
      <c r="U194" s="936"/>
      <c r="V194" s="937"/>
      <c r="W194" s="938"/>
      <c r="X194" s="936"/>
      <c r="Y194" s="937"/>
      <c r="Z194" s="938"/>
      <c r="AA194" s="936"/>
      <c r="AB194" s="937"/>
      <c r="AC194" s="938"/>
      <c r="AD194" s="936"/>
      <c r="AE194" s="937"/>
      <c r="AF194" s="938"/>
      <c r="AG194" s="936"/>
      <c r="AH194" s="937"/>
      <c r="AI194" s="938"/>
      <c r="AJ194" s="936"/>
      <c r="AK194" s="937"/>
      <c r="AL194" s="938"/>
      <c r="AM194" s="936"/>
      <c r="AN194" s="933"/>
      <c r="AO194" s="936"/>
      <c r="AP194" s="933"/>
      <c r="AQ194" s="935"/>
      <c r="AR194" s="936"/>
      <c r="AS194" s="935"/>
      <c r="AT194" s="939"/>
      <c r="AU194" s="933"/>
      <c r="AV194" s="940"/>
      <c r="AW194" s="389">
        <f>AW188/12-AO188</f>
        <v>230103.73</v>
      </c>
      <c r="AX194" s="939"/>
      <c r="AY194" s="939"/>
      <c r="AZ194" s="941"/>
      <c r="BA194" s="941"/>
      <c r="BB194" s="941"/>
      <c r="BC194" s="934"/>
      <c r="BD194" s="941"/>
      <c r="BE194" s="941"/>
      <c r="BF194" s="941"/>
      <c r="BG194" s="942"/>
      <c r="BH194" s="941"/>
      <c r="BI194" s="941"/>
      <c r="BJ194" s="941"/>
      <c r="BK194" s="943"/>
      <c r="BL194" s="943"/>
      <c r="BM194" s="943"/>
      <c r="BN194" s="943"/>
      <c r="BO194" s="943"/>
      <c r="BP194" s="944"/>
      <c r="BQ194" s="943"/>
      <c r="BR194" s="943"/>
      <c r="BS194" s="943"/>
      <c r="BU194" s="945"/>
      <c r="BV194" s="946"/>
      <c r="BW194" s="947"/>
      <c r="BX194" s="945"/>
      <c r="BY194" s="947"/>
      <c r="BZ194" s="946"/>
      <c r="CA194" s="947"/>
      <c r="CB194" s="946"/>
      <c r="CC194" s="947"/>
      <c r="CD194" s="947"/>
      <c r="CE194" s="947"/>
      <c r="CF194" s="948"/>
      <c r="CG194" s="949"/>
      <c r="CH194" s="949"/>
      <c r="CI194" s="950"/>
      <c r="CJ194" s="951"/>
      <c r="CK194" s="951"/>
      <c r="CL194" s="952"/>
      <c r="CM194" s="951"/>
      <c r="CN194" s="951"/>
      <c r="CO194" s="952"/>
      <c r="CP194" s="951"/>
      <c r="CQ194" s="951"/>
      <c r="CR194" s="952"/>
      <c r="CS194" s="946"/>
      <c r="CT194" s="953"/>
      <c r="CU194" s="953"/>
      <c r="CV194" s="953"/>
      <c r="CX194" s="951"/>
      <c r="CY194" s="951"/>
      <c r="CZ194" s="952"/>
      <c r="DB194" s="954"/>
      <c r="DC194" s="954"/>
      <c r="DD194" s="921"/>
      <c r="DE194" s="954"/>
      <c r="DF194" s="954"/>
      <c r="DG194" s="921"/>
      <c r="DH194" s="954"/>
      <c r="DI194" s="954"/>
      <c r="DJ194" s="921"/>
      <c r="DK194" s="954"/>
      <c r="DL194" s="954"/>
      <c r="DM194" s="921"/>
      <c r="DN194" s="954"/>
      <c r="DO194" s="954"/>
      <c r="DP194" s="921"/>
      <c r="DQ194" s="942"/>
      <c r="DR194" s="951"/>
      <c r="DS194" s="951"/>
      <c r="DT194" s="952"/>
      <c r="DV194" s="921"/>
      <c r="DW194" s="921"/>
      <c r="DX194" s="921"/>
      <c r="DY194" s="921"/>
      <c r="DZ194" s="921"/>
      <c r="EA194" s="921"/>
      <c r="EB194" s="921"/>
      <c r="EC194" s="921"/>
      <c r="ED194" s="921"/>
      <c r="EE194" s="921"/>
      <c r="EF194" s="921"/>
      <c r="EG194" s="921"/>
      <c r="EH194" s="921"/>
      <c r="EI194" s="921"/>
      <c r="EJ194" s="921"/>
      <c r="EK194" s="921"/>
      <c r="EL194" s="921"/>
      <c r="EM194" s="921"/>
      <c r="EN194" s="921"/>
      <c r="EO194" s="921"/>
      <c r="EP194" s="921"/>
      <c r="EQ194" s="954"/>
      <c r="ER194" s="954"/>
      <c r="ES194" s="954"/>
      <c r="ET194" s="954"/>
      <c r="EV194" s="942"/>
      <c r="EW194" s="951"/>
      <c r="EX194" s="951"/>
      <c r="EY194" s="952"/>
    </row>
    <row r="195" spans="1:155" s="927" customFormat="1" ht="15.75" x14ac:dyDescent="0.25">
      <c r="A195" s="931"/>
      <c r="B195" s="932" t="s">
        <v>499</v>
      </c>
      <c r="C195" s="933"/>
      <c r="D195" s="933"/>
      <c r="E195" s="934"/>
      <c r="F195" s="935"/>
      <c r="G195" s="934"/>
      <c r="H195" s="935"/>
      <c r="I195" s="936"/>
      <c r="J195" s="937"/>
      <c r="K195" s="938"/>
      <c r="L195" s="936"/>
      <c r="M195" s="937"/>
      <c r="N195" s="938"/>
      <c r="O195" s="936"/>
      <c r="P195" s="937"/>
      <c r="Q195" s="938"/>
      <c r="R195" s="936"/>
      <c r="S195" s="937"/>
      <c r="T195" s="938"/>
      <c r="U195" s="936"/>
      <c r="V195" s="937"/>
      <c r="W195" s="938"/>
      <c r="X195" s="936"/>
      <c r="Y195" s="937"/>
      <c r="Z195" s="938"/>
      <c r="AA195" s="936"/>
      <c r="AB195" s="937"/>
      <c r="AC195" s="938"/>
      <c r="AD195" s="936"/>
      <c r="AE195" s="937"/>
      <c r="AF195" s="938"/>
      <c r="AG195" s="936"/>
      <c r="AH195" s="937"/>
      <c r="AI195" s="938"/>
      <c r="AJ195" s="936"/>
      <c r="AK195" s="937"/>
      <c r="AL195" s="938"/>
      <c r="AM195" s="936"/>
      <c r="AN195" s="933"/>
      <c r="AO195" s="936"/>
      <c r="AP195" s="933"/>
      <c r="AQ195" s="935"/>
      <c r="AR195" s="936"/>
      <c r="AS195" s="935"/>
      <c r="AT195" s="939"/>
      <c r="AU195" s="933"/>
      <c r="AV195" s="940"/>
      <c r="AW195" s="986"/>
      <c r="AX195" s="939"/>
      <c r="AY195" s="939"/>
      <c r="AZ195" s="941"/>
      <c r="BA195" s="941"/>
      <c r="BB195" s="941"/>
      <c r="BC195" s="934"/>
      <c r="BD195" s="941"/>
      <c r="BE195" s="941"/>
      <c r="BF195" s="941"/>
      <c r="BG195" s="942"/>
      <c r="BH195" s="941"/>
      <c r="BI195" s="941"/>
      <c r="BJ195" s="941"/>
      <c r="BK195" s="943"/>
      <c r="BL195" s="943"/>
      <c r="BM195" s="943"/>
      <c r="BN195" s="943"/>
      <c r="BO195" s="943"/>
      <c r="BP195" s="944"/>
      <c r="BQ195" s="943"/>
      <c r="BR195" s="943"/>
      <c r="BS195" s="943"/>
      <c r="BU195" s="945"/>
      <c r="BV195" s="946"/>
      <c r="BW195" s="947"/>
      <c r="BX195" s="945"/>
      <c r="BY195" s="947"/>
      <c r="BZ195" s="946"/>
      <c r="CA195" s="947"/>
      <c r="CB195" s="946"/>
      <c r="CC195" s="947"/>
      <c r="CD195" s="947"/>
      <c r="CE195" s="947"/>
      <c r="CF195" s="948"/>
      <c r="CG195" s="949"/>
      <c r="CH195" s="949"/>
      <c r="CI195" s="950"/>
      <c r="CJ195" s="951"/>
      <c r="CK195" s="951"/>
      <c r="CL195" s="952"/>
      <c r="CM195" s="951"/>
      <c r="CN195" s="951"/>
      <c r="CO195" s="952"/>
      <c r="CP195" s="951"/>
      <c r="CQ195" s="951"/>
      <c r="CR195" s="952"/>
      <c r="CS195" s="946"/>
      <c r="CT195" s="953"/>
      <c r="CU195" s="953"/>
      <c r="CV195" s="953"/>
      <c r="CX195" s="951"/>
      <c r="CY195" s="951"/>
      <c r="CZ195" s="952"/>
      <c r="DB195" s="954"/>
      <c r="DC195" s="954"/>
      <c r="DD195" s="921"/>
      <c r="DE195" s="954"/>
      <c r="DF195" s="954"/>
      <c r="DG195" s="921"/>
      <c r="DH195" s="954"/>
      <c r="DI195" s="954"/>
      <c r="DJ195" s="921"/>
      <c r="DK195" s="954"/>
      <c r="DL195" s="954"/>
      <c r="DM195" s="921"/>
      <c r="DN195" s="954"/>
      <c r="DO195" s="954"/>
      <c r="DP195" s="921"/>
      <c r="DQ195" s="942"/>
      <c r="DR195" s="951"/>
      <c r="DS195" s="951"/>
      <c r="DT195" s="952"/>
      <c r="DV195" s="921"/>
      <c r="DW195" s="921"/>
      <c r="DX195" s="921"/>
      <c r="DY195" s="921"/>
      <c r="DZ195" s="921"/>
      <c r="EA195" s="921"/>
      <c r="EB195" s="921"/>
      <c r="EC195" s="921"/>
      <c r="ED195" s="921"/>
      <c r="EE195" s="921"/>
      <c r="EF195" s="921"/>
      <c r="EG195" s="921"/>
      <c r="EH195" s="921"/>
      <c r="EI195" s="921"/>
      <c r="EJ195" s="921"/>
      <c r="EK195" s="921"/>
      <c r="EL195" s="921"/>
      <c r="EM195" s="921"/>
      <c r="EN195" s="921"/>
      <c r="EO195" s="921"/>
      <c r="EP195" s="921"/>
      <c r="EQ195" s="954"/>
      <c r="ER195" s="954"/>
      <c r="ES195" s="954"/>
      <c r="ET195" s="954"/>
      <c r="EV195" s="942"/>
      <c r="EW195" s="951"/>
      <c r="EX195" s="951"/>
      <c r="EY195" s="952"/>
    </row>
    <row r="196" spans="1:155" s="927" customFormat="1" ht="15.75" x14ac:dyDescent="0.25">
      <c r="A196" s="931"/>
      <c r="B196" s="932" t="s">
        <v>406</v>
      </c>
      <c r="C196" s="933"/>
      <c r="D196" s="933"/>
      <c r="E196" s="934"/>
      <c r="F196" s="935"/>
      <c r="G196" s="934"/>
      <c r="H196" s="935"/>
      <c r="I196" s="936"/>
      <c r="J196" s="937"/>
      <c r="K196" s="938"/>
      <c r="L196" s="936"/>
      <c r="M196" s="937"/>
      <c r="N196" s="938"/>
      <c r="O196" s="936"/>
      <c r="P196" s="937"/>
      <c r="Q196" s="938"/>
      <c r="R196" s="936"/>
      <c r="S196" s="937"/>
      <c r="T196" s="938"/>
      <c r="U196" s="936"/>
      <c r="V196" s="937"/>
      <c r="W196" s="938"/>
      <c r="X196" s="936"/>
      <c r="Y196" s="937"/>
      <c r="Z196" s="938"/>
      <c r="AA196" s="936"/>
      <c r="AB196" s="937"/>
      <c r="AC196" s="938"/>
      <c r="AD196" s="936"/>
      <c r="AE196" s="937"/>
      <c r="AF196" s="938"/>
      <c r="AG196" s="936"/>
      <c r="AH196" s="937"/>
      <c r="AI196" s="938"/>
      <c r="AJ196" s="936"/>
      <c r="AK196" s="937"/>
      <c r="AL196" s="938"/>
      <c r="AM196" s="936"/>
      <c r="AN196" s="933"/>
      <c r="AO196" s="936"/>
      <c r="AP196" s="933"/>
      <c r="AQ196" s="935"/>
      <c r="AR196" s="936"/>
      <c r="AS196" s="935"/>
      <c r="AT196" s="939"/>
      <c r="AU196" s="933"/>
      <c r="AV196" s="940"/>
      <c r="AW196" s="336">
        <f>AW191/I185</f>
        <v>1.3502099999999999</v>
      </c>
      <c r="AX196" s="939"/>
      <c r="AY196" s="939"/>
      <c r="AZ196" s="941"/>
      <c r="BA196" s="941"/>
      <c r="BB196" s="941"/>
      <c r="BC196" s="934"/>
      <c r="BD196" s="941"/>
      <c r="BE196" s="941"/>
      <c r="BF196" s="941"/>
      <c r="BG196" s="942"/>
      <c r="BH196" s="941"/>
      <c r="BI196" s="941"/>
      <c r="BJ196" s="941"/>
      <c r="BK196" s="943"/>
      <c r="BL196" s="943"/>
      <c r="BM196" s="943"/>
      <c r="BN196" s="943"/>
      <c r="BO196" s="943"/>
      <c r="BP196" s="944"/>
      <c r="BQ196" s="943"/>
      <c r="BR196" s="943"/>
      <c r="BS196" s="943"/>
      <c r="BU196" s="945"/>
      <c r="BV196" s="946"/>
      <c r="BW196" s="947"/>
      <c r="BX196" s="945"/>
      <c r="BY196" s="947"/>
      <c r="BZ196" s="946"/>
      <c r="CA196" s="947"/>
      <c r="CB196" s="946"/>
      <c r="CC196" s="947"/>
      <c r="CD196" s="947"/>
      <c r="CE196" s="947"/>
      <c r="CF196" s="948"/>
      <c r="CG196" s="949"/>
      <c r="CH196" s="949"/>
      <c r="CI196" s="950"/>
      <c r="CJ196" s="951"/>
      <c r="CK196" s="951"/>
      <c r="CL196" s="952"/>
      <c r="CM196" s="951"/>
      <c r="CN196" s="951"/>
      <c r="CO196" s="952"/>
      <c r="CP196" s="951"/>
      <c r="CQ196" s="951"/>
      <c r="CR196" s="952"/>
      <c r="CS196" s="946"/>
      <c r="CT196" s="953"/>
      <c r="CU196" s="953"/>
      <c r="CV196" s="953"/>
      <c r="CX196" s="951"/>
      <c r="CY196" s="951"/>
      <c r="CZ196" s="952"/>
      <c r="DB196" s="954"/>
      <c r="DC196" s="954"/>
      <c r="DD196" s="921"/>
      <c r="DE196" s="954"/>
      <c r="DF196" s="954"/>
      <c r="DG196" s="921"/>
      <c r="DH196" s="954"/>
      <c r="DI196" s="954"/>
      <c r="DJ196" s="921"/>
      <c r="DK196" s="954"/>
      <c r="DL196" s="954"/>
      <c r="DM196" s="921"/>
      <c r="DN196" s="954"/>
      <c r="DO196" s="954"/>
      <c r="DP196" s="921"/>
      <c r="DQ196" s="942"/>
      <c r="DR196" s="951"/>
      <c r="DS196" s="951"/>
      <c r="DT196" s="952"/>
      <c r="DV196" s="921"/>
      <c r="DW196" s="921"/>
      <c r="DX196" s="921"/>
      <c r="DY196" s="921"/>
      <c r="DZ196" s="921"/>
      <c r="EA196" s="921"/>
      <c r="EB196" s="921"/>
      <c r="EC196" s="921"/>
      <c r="ED196" s="921"/>
      <c r="EE196" s="921"/>
      <c r="EF196" s="921"/>
      <c r="EG196" s="921"/>
      <c r="EH196" s="921"/>
      <c r="EI196" s="921"/>
      <c r="EJ196" s="921"/>
      <c r="EK196" s="921"/>
      <c r="EL196" s="921"/>
      <c r="EM196" s="921"/>
      <c r="EN196" s="921"/>
      <c r="EO196" s="921"/>
      <c r="EP196" s="921"/>
      <c r="EQ196" s="954"/>
      <c r="ER196" s="954"/>
      <c r="ES196" s="954"/>
      <c r="ET196" s="954"/>
      <c r="EV196" s="942"/>
      <c r="EW196" s="951"/>
      <c r="EX196" s="951"/>
      <c r="EY196" s="952"/>
    </row>
    <row r="197" spans="1:155" s="927" customFormat="1" ht="15.75" x14ac:dyDescent="0.25">
      <c r="A197" s="931"/>
      <c r="B197" s="932" t="s">
        <v>498</v>
      </c>
      <c r="C197" s="933"/>
      <c r="D197" s="933"/>
      <c r="E197" s="934"/>
      <c r="F197" s="935"/>
      <c r="G197" s="934"/>
      <c r="H197" s="935"/>
      <c r="I197" s="936"/>
      <c r="J197" s="937"/>
      <c r="K197" s="938"/>
      <c r="L197" s="936"/>
      <c r="M197" s="937"/>
      <c r="N197" s="938"/>
      <c r="O197" s="936"/>
      <c r="P197" s="937"/>
      <c r="Q197" s="938"/>
      <c r="R197" s="936"/>
      <c r="S197" s="937"/>
      <c r="T197" s="938"/>
      <c r="U197" s="936"/>
      <c r="V197" s="937"/>
      <c r="W197" s="938"/>
      <c r="X197" s="936"/>
      <c r="Y197" s="937"/>
      <c r="Z197" s="938"/>
      <c r="AA197" s="936"/>
      <c r="AB197" s="937"/>
      <c r="AC197" s="938"/>
      <c r="AD197" s="936"/>
      <c r="AE197" s="937"/>
      <c r="AF197" s="938"/>
      <c r="AG197" s="936"/>
      <c r="AH197" s="937"/>
      <c r="AI197" s="938"/>
      <c r="AJ197" s="936"/>
      <c r="AK197" s="937"/>
      <c r="AL197" s="938"/>
      <c r="AM197" s="936"/>
      <c r="AN197" s="933"/>
      <c r="AO197" s="936"/>
      <c r="AP197" s="933"/>
      <c r="AQ197" s="935"/>
      <c r="AR197" s="936"/>
      <c r="AS197" s="935"/>
      <c r="AT197" s="939"/>
      <c r="AU197" s="933"/>
      <c r="AV197" s="940"/>
      <c r="AW197" s="986"/>
      <c r="AX197" s="939"/>
      <c r="AY197" s="939"/>
      <c r="AZ197" s="941"/>
      <c r="BA197" s="941"/>
      <c r="BB197" s="941"/>
      <c r="BC197" s="934"/>
      <c r="BD197" s="941"/>
      <c r="BE197" s="941"/>
      <c r="BF197" s="941"/>
      <c r="BG197" s="942"/>
      <c r="BH197" s="941"/>
      <c r="BI197" s="941"/>
      <c r="BJ197" s="941"/>
      <c r="BK197" s="943"/>
      <c r="BL197" s="943"/>
      <c r="BM197" s="943"/>
      <c r="BN197" s="943"/>
      <c r="BO197" s="943"/>
      <c r="BP197" s="944"/>
      <c r="BQ197" s="943"/>
      <c r="BR197" s="943"/>
      <c r="BS197" s="943"/>
      <c r="BU197" s="945"/>
      <c r="BV197" s="946"/>
      <c r="BW197" s="947"/>
      <c r="BX197" s="945"/>
      <c r="BY197" s="947"/>
      <c r="BZ197" s="946"/>
      <c r="CA197" s="947"/>
      <c r="CB197" s="946"/>
      <c r="CC197" s="947"/>
      <c r="CD197" s="947"/>
      <c r="CE197" s="947"/>
      <c r="CF197" s="948"/>
      <c r="CG197" s="949"/>
      <c r="CH197" s="949"/>
      <c r="CI197" s="950"/>
      <c r="CJ197" s="951"/>
      <c r="CK197" s="951"/>
      <c r="CL197" s="952"/>
      <c r="CM197" s="951"/>
      <c r="CN197" s="951"/>
      <c r="CO197" s="952"/>
      <c r="CP197" s="951"/>
      <c r="CQ197" s="951"/>
      <c r="CR197" s="952"/>
      <c r="CS197" s="946"/>
      <c r="CT197" s="953"/>
      <c r="CU197" s="953"/>
      <c r="CV197" s="953"/>
      <c r="CX197" s="951"/>
      <c r="CY197" s="951"/>
      <c r="CZ197" s="952"/>
      <c r="DB197" s="954"/>
      <c r="DC197" s="954"/>
      <c r="DD197" s="921"/>
      <c r="DE197" s="954"/>
      <c r="DF197" s="954"/>
      <c r="DG197" s="921"/>
      <c r="DH197" s="954"/>
      <c r="DI197" s="954"/>
      <c r="DJ197" s="921"/>
      <c r="DK197" s="954"/>
      <c r="DL197" s="954"/>
      <c r="DM197" s="921"/>
      <c r="DN197" s="954"/>
      <c r="DO197" s="954"/>
      <c r="DP197" s="921"/>
      <c r="DQ197" s="942"/>
      <c r="DR197" s="951"/>
      <c r="DS197" s="951"/>
      <c r="DT197" s="952"/>
      <c r="DV197" s="921"/>
      <c r="DW197" s="921"/>
      <c r="DX197" s="921"/>
      <c r="DY197" s="921"/>
      <c r="DZ197" s="921"/>
      <c r="EA197" s="921"/>
      <c r="EB197" s="921"/>
      <c r="EC197" s="921"/>
      <c r="ED197" s="921"/>
      <c r="EE197" s="921"/>
      <c r="EF197" s="921"/>
      <c r="EG197" s="921"/>
      <c r="EH197" s="921"/>
      <c r="EI197" s="921"/>
      <c r="EJ197" s="921"/>
      <c r="EK197" s="921"/>
      <c r="EL197" s="921"/>
      <c r="EM197" s="921"/>
      <c r="EN197" s="921"/>
      <c r="EO197" s="921"/>
      <c r="EP197" s="921"/>
      <c r="EQ197" s="954"/>
      <c r="ER197" s="954"/>
      <c r="ES197" s="954"/>
      <c r="ET197" s="954"/>
      <c r="EV197" s="942"/>
      <c r="EW197" s="951"/>
      <c r="EX197" s="951"/>
      <c r="EY197" s="952"/>
    </row>
    <row r="198" spans="1:155" s="927" customFormat="1" ht="15.75" x14ac:dyDescent="0.25">
      <c r="A198" s="931"/>
      <c r="B198" s="932" t="s">
        <v>403</v>
      </c>
      <c r="C198" s="933"/>
      <c r="D198" s="933"/>
      <c r="E198" s="934"/>
      <c r="F198" s="935"/>
      <c r="G198" s="934"/>
      <c r="H198" s="935"/>
      <c r="I198" s="936"/>
      <c r="J198" s="937"/>
      <c r="K198" s="938"/>
      <c r="L198" s="936"/>
      <c r="M198" s="937"/>
      <c r="N198" s="938"/>
      <c r="O198" s="936"/>
      <c r="P198" s="937"/>
      <c r="Q198" s="938"/>
      <c r="R198" s="936"/>
      <c r="S198" s="937"/>
      <c r="T198" s="938"/>
      <c r="U198" s="936"/>
      <c r="V198" s="937"/>
      <c r="W198" s="938"/>
      <c r="X198" s="936"/>
      <c r="Y198" s="937"/>
      <c r="Z198" s="938"/>
      <c r="AA198" s="936"/>
      <c r="AB198" s="937"/>
      <c r="AC198" s="938"/>
      <c r="AD198" s="936"/>
      <c r="AE198" s="937"/>
      <c r="AF198" s="938"/>
      <c r="AG198" s="936"/>
      <c r="AH198" s="937"/>
      <c r="AI198" s="938"/>
      <c r="AJ198" s="936"/>
      <c r="AK198" s="937"/>
      <c r="AL198" s="938"/>
      <c r="AM198" s="936"/>
      <c r="AN198" s="933"/>
      <c r="AO198" s="936"/>
      <c r="AP198" s="933"/>
      <c r="AQ198" s="935"/>
      <c r="AR198" s="936"/>
      <c r="AS198" s="935"/>
      <c r="AT198" s="939"/>
      <c r="AU198" s="933"/>
      <c r="AV198" s="940"/>
      <c r="AW198" s="337">
        <f>AW192/AW191</f>
        <v>0.33593000000000001</v>
      </c>
      <c r="AX198" s="939"/>
      <c r="AY198" s="939"/>
      <c r="AZ198" s="941"/>
      <c r="BA198" s="941"/>
      <c r="BB198" s="941"/>
      <c r="BC198" s="934"/>
      <c r="BD198" s="941"/>
      <c r="BE198" s="941"/>
      <c r="BF198" s="941"/>
      <c r="BG198" s="942"/>
      <c r="BH198" s="941"/>
      <c r="BI198" s="941"/>
      <c r="BJ198" s="941"/>
      <c r="BK198" s="943"/>
      <c r="BL198" s="943"/>
      <c r="BM198" s="943"/>
      <c r="BN198" s="943"/>
      <c r="BO198" s="943"/>
      <c r="BP198" s="944"/>
      <c r="BQ198" s="943"/>
      <c r="BR198" s="943"/>
      <c r="BS198" s="943"/>
      <c r="BU198" s="945"/>
      <c r="BV198" s="946"/>
      <c r="BW198" s="947"/>
      <c r="BX198" s="945"/>
      <c r="BY198" s="947"/>
      <c r="BZ198" s="946"/>
      <c r="CA198" s="947"/>
      <c r="CB198" s="946"/>
      <c r="CC198" s="947"/>
      <c r="CD198" s="947"/>
      <c r="CE198" s="947"/>
      <c r="CF198" s="948"/>
      <c r="CG198" s="949"/>
      <c r="CH198" s="949"/>
      <c r="CI198" s="950"/>
      <c r="CJ198" s="951"/>
      <c r="CK198" s="951"/>
      <c r="CL198" s="952"/>
      <c r="CM198" s="951"/>
      <c r="CN198" s="951"/>
      <c r="CO198" s="952"/>
      <c r="CP198" s="951"/>
      <c r="CQ198" s="951"/>
      <c r="CR198" s="952"/>
      <c r="CS198" s="946"/>
      <c r="CT198" s="953"/>
      <c r="CU198" s="953"/>
      <c r="CV198" s="953"/>
      <c r="CX198" s="951"/>
      <c r="CY198" s="951"/>
      <c r="CZ198" s="952"/>
      <c r="DB198" s="954"/>
      <c r="DC198" s="954"/>
      <c r="DD198" s="921"/>
      <c r="DE198" s="954"/>
      <c r="DF198" s="954"/>
      <c r="DG198" s="921"/>
      <c r="DH198" s="954"/>
      <c r="DI198" s="954"/>
      <c r="DJ198" s="921"/>
      <c r="DK198" s="954"/>
      <c r="DL198" s="954"/>
      <c r="DM198" s="921"/>
      <c r="DN198" s="954"/>
      <c r="DO198" s="954"/>
      <c r="DP198" s="921"/>
      <c r="DQ198" s="942"/>
      <c r="DR198" s="951"/>
      <c r="DS198" s="951"/>
      <c r="DT198" s="952"/>
      <c r="DV198" s="921"/>
      <c r="DW198" s="921"/>
      <c r="DX198" s="921"/>
      <c r="DY198" s="921"/>
      <c r="DZ198" s="921"/>
      <c r="EA198" s="921"/>
      <c r="EB198" s="921"/>
      <c r="EC198" s="921"/>
      <c r="ED198" s="921"/>
      <c r="EE198" s="921"/>
      <c r="EF198" s="921"/>
      <c r="EG198" s="921"/>
      <c r="EH198" s="921"/>
      <c r="EI198" s="921"/>
      <c r="EJ198" s="921"/>
      <c r="EK198" s="921"/>
      <c r="EL198" s="921"/>
      <c r="EM198" s="921"/>
      <c r="EN198" s="921"/>
      <c r="EO198" s="921"/>
      <c r="EP198" s="921"/>
      <c r="EQ198" s="954"/>
      <c r="ER198" s="954"/>
      <c r="ES198" s="954"/>
      <c r="ET198" s="954"/>
      <c r="EV198" s="942"/>
      <c r="EW198" s="951"/>
      <c r="EX198" s="951"/>
      <c r="EY198" s="952"/>
    </row>
    <row r="199" spans="1:155" s="927" customFormat="1" ht="15.75" x14ac:dyDescent="0.25">
      <c r="A199" s="931"/>
      <c r="B199" s="932" t="s">
        <v>404</v>
      </c>
      <c r="C199" s="933"/>
      <c r="D199" s="933"/>
      <c r="E199" s="934"/>
      <c r="F199" s="935"/>
      <c r="G199" s="934"/>
      <c r="H199" s="935"/>
      <c r="I199" s="936"/>
      <c r="J199" s="937"/>
      <c r="K199" s="938"/>
      <c r="L199" s="936"/>
      <c r="M199" s="937"/>
      <c r="N199" s="938"/>
      <c r="O199" s="936"/>
      <c r="P199" s="937"/>
      <c r="Q199" s="938"/>
      <c r="R199" s="936"/>
      <c r="S199" s="937"/>
      <c r="T199" s="938"/>
      <c r="U199" s="936"/>
      <c r="V199" s="937"/>
      <c r="W199" s="938"/>
      <c r="X199" s="936"/>
      <c r="Y199" s="937"/>
      <c r="Z199" s="938"/>
      <c r="AA199" s="936"/>
      <c r="AB199" s="937"/>
      <c r="AC199" s="938"/>
      <c r="AD199" s="936"/>
      <c r="AE199" s="937"/>
      <c r="AF199" s="938"/>
      <c r="AG199" s="936"/>
      <c r="AH199" s="937"/>
      <c r="AI199" s="938"/>
      <c r="AJ199" s="936"/>
      <c r="AK199" s="937"/>
      <c r="AL199" s="938"/>
      <c r="AM199" s="936"/>
      <c r="AN199" s="933"/>
      <c r="AO199" s="936"/>
      <c r="AP199" s="933"/>
      <c r="AQ199" s="935"/>
      <c r="AR199" s="936"/>
      <c r="AS199" s="935"/>
      <c r="AT199" s="939"/>
      <c r="AU199" s="933"/>
      <c r="AV199" s="940"/>
      <c r="AW199" s="338">
        <f>AW193/AW191</f>
        <v>0.67049999999999998</v>
      </c>
      <c r="AX199" s="939"/>
      <c r="AY199" s="939"/>
      <c r="AZ199" s="941"/>
      <c r="BA199" s="941"/>
      <c r="BB199" s="941"/>
      <c r="BC199" s="934"/>
      <c r="BD199" s="941"/>
      <c r="BE199" s="941"/>
      <c r="BF199" s="941"/>
      <c r="BG199" s="942"/>
      <c r="BH199" s="941"/>
      <c r="BI199" s="941"/>
      <c r="BJ199" s="941"/>
      <c r="BK199" s="943"/>
      <c r="BL199" s="943"/>
      <c r="BM199" s="943"/>
      <c r="BN199" s="943"/>
      <c r="BO199" s="943"/>
      <c r="BP199" s="944"/>
      <c r="BQ199" s="943"/>
      <c r="BR199" s="943"/>
      <c r="BS199" s="943"/>
      <c r="BU199" s="945"/>
      <c r="BV199" s="946"/>
      <c r="BW199" s="947"/>
      <c r="BX199" s="945"/>
      <c r="BY199" s="947"/>
      <c r="BZ199" s="946"/>
      <c r="CA199" s="947"/>
      <c r="CB199" s="946"/>
      <c r="CC199" s="947"/>
      <c r="CD199" s="947"/>
      <c r="CE199" s="947"/>
      <c r="CF199" s="948"/>
      <c r="CG199" s="949"/>
      <c r="CH199" s="949"/>
      <c r="CI199" s="950"/>
      <c r="CJ199" s="951"/>
      <c r="CK199" s="951"/>
      <c r="CL199" s="952"/>
      <c r="CM199" s="951"/>
      <c r="CN199" s="951"/>
      <c r="CO199" s="952"/>
      <c r="CP199" s="951"/>
      <c r="CQ199" s="951"/>
      <c r="CR199" s="952"/>
      <c r="CS199" s="946"/>
      <c r="CT199" s="953"/>
      <c r="CU199" s="953"/>
      <c r="CV199" s="953"/>
      <c r="CX199" s="951"/>
      <c r="CY199" s="951"/>
      <c r="CZ199" s="952"/>
      <c r="DB199" s="954"/>
      <c r="DC199" s="954"/>
      <c r="DD199" s="921"/>
      <c r="DE199" s="954"/>
      <c r="DF199" s="954"/>
      <c r="DG199" s="921"/>
      <c r="DH199" s="954"/>
      <c r="DI199" s="954"/>
      <c r="DJ199" s="921"/>
      <c r="DK199" s="954"/>
      <c r="DL199" s="954"/>
      <c r="DM199" s="921"/>
      <c r="DN199" s="954"/>
      <c r="DO199" s="954"/>
      <c r="DP199" s="921"/>
      <c r="DQ199" s="942"/>
      <c r="DR199" s="951"/>
      <c r="DS199" s="951"/>
      <c r="DT199" s="952"/>
      <c r="DV199" s="921"/>
      <c r="DW199" s="921"/>
      <c r="DX199" s="921"/>
      <c r="DY199" s="921"/>
      <c r="DZ199" s="921"/>
      <c r="EA199" s="921"/>
      <c r="EB199" s="921"/>
      <c r="EC199" s="921"/>
      <c r="ED199" s="921"/>
      <c r="EE199" s="921"/>
      <c r="EF199" s="921"/>
      <c r="EG199" s="921"/>
      <c r="EH199" s="921"/>
      <c r="EI199" s="921"/>
      <c r="EJ199" s="921"/>
      <c r="EK199" s="921"/>
      <c r="EL199" s="921"/>
      <c r="EM199" s="921"/>
      <c r="EN199" s="921"/>
      <c r="EO199" s="921"/>
      <c r="EP199" s="921"/>
      <c r="EQ199" s="954"/>
      <c r="ER199" s="954"/>
      <c r="ES199" s="954"/>
      <c r="ET199" s="954"/>
      <c r="EV199" s="942"/>
      <c r="EW199" s="951"/>
      <c r="EX199" s="951"/>
      <c r="EY199" s="952"/>
    </row>
    <row r="200" spans="1:155" s="927" customFormat="1" ht="15.75" x14ac:dyDescent="0.25">
      <c r="A200" s="931"/>
      <c r="B200" s="932" t="s">
        <v>405</v>
      </c>
      <c r="C200" s="933"/>
      <c r="D200" s="933"/>
      <c r="E200" s="934"/>
      <c r="F200" s="935"/>
      <c r="G200" s="934"/>
      <c r="H200" s="935"/>
      <c r="I200" s="936"/>
      <c r="J200" s="937"/>
      <c r="K200" s="938"/>
      <c r="L200" s="936"/>
      <c r="M200" s="937"/>
      <c r="N200" s="938"/>
      <c r="O200" s="936"/>
      <c r="P200" s="937"/>
      <c r="Q200" s="938"/>
      <c r="R200" s="936"/>
      <c r="S200" s="937"/>
      <c r="T200" s="938"/>
      <c r="U200" s="936"/>
      <c r="V200" s="937"/>
      <c r="W200" s="938"/>
      <c r="X200" s="936"/>
      <c r="Y200" s="937"/>
      <c r="Z200" s="938"/>
      <c r="AA200" s="936"/>
      <c r="AB200" s="937"/>
      <c r="AC200" s="938"/>
      <c r="AD200" s="936"/>
      <c r="AE200" s="937"/>
      <c r="AF200" s="938"/>
      <c r="AG200" s="936"/>
      <c r="AH200" s="937"/>
      <c r="AI200" s="938"/>
      <c r="AJ200" s="936"/>
      <c r="AK200" s="937"/>
      <c r="AL200" s="938"/>
      <c r="AM200" s="936"/>
      <c r="AN200" s="933"/>
      <c r="AO200" s="936"/>
      <c r="AP200" s="933"/>
      <c r="AQ200" s="935"/>
      <c r="AR200" s="936"/>
      <c r="AS200" s="935"/>
      <c r="AT200" s="939"/>
      <c r="AU200" s="933"/>
      <c r="AV200" s="940"/>
      <c r="AW200" s="339">
        <f>AW194/AW191</f>
        <v>0.32064999999999999</v>
      </c>
      <c r="AX200" s="939"/>
      <c r="AY200" s="939"/>
      <c r="AZ200" s="941"/>
      <c r="BA200" s="941"/>
      <c r="BB200" s="941"/>
      <c r="BC200" s="934"/>
      <c r="BD200" s="941"/>
      <c r="BE200" s="941"/>
      <c r="BF200" s="941"/>
      <c r="BG200" s="942"/>
      <c r="BH200" s="941"/>
      <c r="BI200" s="941"/>
      <c r="BJ200" s="941"/>
      <c r="BK200" s="943"/>
      <c r="BL200" s="943"/>
      <c r="BM200" s="943"/>
      <c r="BN200" s="943"/>
      <c r="BO200" s="943"/>
      <c r="BP200" s="944"/>
      <c r="BQ200" s="943"/>
      <c r="BR200" s="943"/>
      <c r="BS200" s="943"/>
      <c r="BU200" s="945"/>
      <c r="BV200" s="946"/>
      <c r="BW200" s="947"/>
      <c r="BX200" s="945"/>
      <c r="BY200" s="947"/>
      <c r="BZ200" s="946"/>
      <c r="CA200" s="947"/>
      <c r="CB200" s="946"/>
      <c r="CC200" s="947"/>
      <c r="CD200" s="947"/>
      <c r="CE200" s="947"/>
      <c r="CF200" s="948"/>
      <c r="CG200" s="949"/>
      <c r="CH200" s="949"/>
      <c r="CI200" s="950"/>
      <c r="CJ200" s="951"/>
      <c r="CK200" s="951"/>
      <c r="CL200" s="952"/>
      <c r="CM200" s="951"/>
      <c r="CN200" s="951"/>
      <c r="CO200" s="952"/>
      <c r="CP200" s="951"/>
      <c r="CQ200" s="951"/>
      <c r="CR200" s="952"/>
      <c r="CS200" s="946"/>
      <c r="CT200" s="953"/>
      <c r="CU200" s="953"/>
      <c r="CV200" s="953"/>
      <c r="CX200" s="951"/>
      <c r="CY200" s="951"/>
      <c r="CZ200" s="952"/>
      <c r="DB200" s="954"/>
      <c r="DC200" s="954"/>
      <c r="DD200" s="921"/>
      <c r="DE200" s="954"/>
      <c r="DF200" s="954"/>
      <c r="DG200" s="921"/>
      <c r="DH200" s="954"/>
      <c r="DI200" s="954"/>
      <c r="DJ200" s="921"/>
      <c r="DK200" s="954"/>
      <c r="DL200" s="954"/>
      <c r="DM200" s="921"/>
      <c r="DN200" s="954"/>
      <c r="DO200" s="954"/>
      <c r="DP200" s="921"/>
      <c r="DQ200" s="942"/>
      <c r="DR200" s="951"/>
      <c r="DS200" s="951"/>
      <c r="DT200" s="952"/>
      <c r="DV200" s="921"/>
      <c r="DW200" s="921"/>
      <c r="DX200" s="921"/>
      <c r="DY200" s="921"/>
      <c r="DZ200" s="921"/>
      <c r="EA200" s="921"/>
      <c r="EB200" s="921"/>
      <c r="EC200" s="921"/>
      <c r="ED200" s="921"/>
      <c r="EE200" s="921"/>
      <c r="EF200" s="921"/>
      <c r="EG200" s="921"/>
      <c r="EH200" s="921"/>
      <c r="EI200" s="921"/>
      <c r="EJ200" s="921"/>
      <c r="EK200" s="921"/>
      <c r="EL200" s="921"/>
      <c r="EM200" s="921"/>
      <c r="EN200" s="921"/>
      <c r="EO200" s="921"/>
      <c r="EP200" s="921"/>
      <c r="EQ200" s="954"/>
      <c r="ER200" s="954"/>
      <c r="ES200" s="954"/>
      <c r="ET200" s="954"/>
      <c r="EV200" s="942"/>
      <c r="EW200" s="951"/>
      <c r="EX200" s="951"/>
      <c r="EY200" s="952"/>
    </row>
    <row r="201" spans="1:155" s="927" customFormat="1" ht="15.75" x14ac:dyDescent="0.25">
      <c r="A201" s="931"/>
      <c r="B201" s="932" t="s">
        <v>807</v>
      </c>
      <c r="C201" s="933"/>
      <c r="D201" s="933"/>
      <c r="E201" s="934"/>
      <c r="F201" s="935"/>
      <c r="G201" s="934"/>
      <c r="H201" s="935"/>
      <c r="I201" s="936"/>
      <c r="J201" s="937"/>
      <c r="K201" s="938"/>
      <c r="L201" s="936"/>
      <c r="M201" s="937"/>
      <c r="N201" s="938"/>
      <c r="O201" s="936"/>
      <c r="P201" s="937"/>
      <c r="Q201" s="938"/>
      <c r="R201" s="936"/>
      <c r="S201" s="937"/>
      <c r="T201" s="938"/>
      <c r="U201" s="936"/>
      <c r="V201" s="937"/>
      <c r="W201" s="938"/>
      <c r="X201" s="936"/>
      <c r="Y201" s="937"/>
      <c r="Z201" s="938"/>
      <c r="AA201" s="936"/>
      <c r="AB201" s="937"/>
      <c r="AC201" s="938"/>
      <c r="AD201" s="936"/>
      <c r="AE201" s="937"/>
      <c r="AF201" s="938"/>
      <c r="AG201" s="936"/>
      <c r="AH201" s="937"/>
      <c r="AI201" s="938"/>
      <c r="AJ201" s="936"/>
      <c r="AK201" s="937"/>
      <c r="AL201" s="938"/>
      <c r="AM201" s="936"/>
      <c r="AN201" s="933"/>
      <c r="AO201" s="936"/>
      <c r="AP201" s="933"/>
      <c r="AQ201" s="935"/>
      <c r="AR201" s="936"/>
      <c r="AS201" s="935"/>
      <c r="AT201" s="939"/>
      <c r="AU201" s="933"/>
      <c r="AV201" s="940"/>
      <c r="AW201" s="335">
        <f>(AW184/12)/AW190</f>
        <v>1.4190199999999999</v>
      </c>
      <c r="AX201" s="939"/>
      <c r="AY201" s="939"/>
      <c r="AZ201" s="941"/>
      <c r="BA201" s="941"/>
      <c r="BB201" s="941"/>
      <c r="BC201" s="934"/>
      <c r="BD201" s="941"/>
      <c r="BE201" s="941"/>
      <c r="BF201" s="941"/>
      <c r="BG201" s="942"/>
      <c r="BH201" s="941"/>
      <c r="BI201" s="941"/>
      <c r="BJ201" s="941"/>
      <c r="BK201" s="943"/>
      <c r="BL201" s="943"/>
      <c r="BM201" s="943"/>
      <c r="BN201" s="943"/>
      <c r="BO201" s="943"/>
      <c r="BP201" s="944"/>
      <c r="BQ201" s="943"/>
      <c r="BR201" s="943"/>
      <c r="BS201" s="943"/>
      <c r="BU201" s="945"/>
      <c r="BV201" s="946"/>
      <c r="BW201" s="947"/>
      <c r="BX201" s="945"/>
      <c r="BY201" s="947"/>
      <c r="BZ201" s="946"/>
      <c r="CA201" s="947"/>
      <c r="CB201" s="946"/>
      <c r="CC201" s="947"/>
      <c r="CD201" s="947"/>
      <c r="CE201" s="947"/>
      <c r="CF201" s="948"/>
      <c r="CG201" s="949"/>
      <c r="CH201" s="949"/>
      <c r="CI201" s="950"/>
      <c r="CJ201" s="951"/>
      <c r="CK201" s="951"/>
      <c r="CL201" s="952"/>
      <c r="CM201" s="951"/>
      <c r="CN201" s="951"/>
      <c r="CO201" s="952"/>
      <c r="CP201" s="951"/>
      <c r="CQ201" s="951"/>
      <c r="CR201" s="952"/>
      <c r="CS201" s="946"/>
      <c r="CT201" s="953"/>
      <c r="CU201" s="953"/>
      <c r="CV201" s="953"/>
      <c r="CX201" s="951"/>
      <c r="CY201" s="951"/>
      <c r="CZ201" s="952"/>
      <c r="DB201" s="954"/>
      <c r="DC201" s="954"/>
      <c r="DD201" s="921"/>
      <c r="DE201" s="954"/>
      <c r="DF201" s="954"/>
      <c r="DG201" s="921"/>
      <c r="DH201" s="954"/>
      <c r="DI201" s="954"/>
      <c r="DJ201" s="921"/>
      <c r="DK201" s="954"/>
      <c r="DL201" s="954"/>
      <c r="DM201" s="921"/>
      <c r="DN201" s="954"/>
      <c r="DO201" s="954"/>
      <c r="DP201" s="921"/>
      <c r="DQ201" s="942"/>
      <c r="DR201" s="951"/>
      <c r="DS201" s="951"/>
      <c r="DT201" s="952"/>
      <c r="DV201" s="921"/>
      <c r="DW201" s="921"/>
      <c r="DX201" s="921"/>
      <c r="DY201" s="921"/>
      <c r="DZ201" s="921"/>
      <c r="EA201" s="921"/>
      <c r="EB201" s="921"/>
      <c r="EC201" s="921"/>
      <c r="ED201" s="921"/>
      <c r="EE201" s="921"/>
      <c r="EF201" s="921"/>
      <c r="EG201" s="921"/>
      <c r="EH201" s="921"/>
      <c r="EI201" s="921"/>
      <c r="EJ201" s="921"/>
      <c r="EK201" s="921"/>
      <c r="EL201" s="921"/>
      <c r="EM201" s="921"/>
      <c r="EN201" s="921"/>
      <c r="EO201" s="921"/>
      <c r="EP201" s="921"/>
      <c r="EQ201" s="954"/>
      <c r="ER201" s="954"/>
      <c r="ES201" s="954"/>
      <c r="ET201" s="954"/>
      <c r="EV201" s="942"/>
      <c r="EW201" s="951"/>
      <c r="EX201" s="951"/>
      <c r="EY201" s="952"/>
    </row>
    <row r="202" spans="1:155" s="927" customFormat="1" ht="15.75" x14ac:dyDescent="0.25">
      <c r="A202" s="931"/>
      <c r="B202" s="932"/>
      <c r="C202" s="933"/>
      <c r="D202" s="933"/>
      <c r="E202" s="934"/>
      <c r="F202" s="935"/>
      <c r="G202" s="934"/>
      <c r="H202" s="935"/>
      <c r="I202" s="936"/>
      <c r="J202" s="937"/>
      <c r="K202" s="938"/>
      <c r="L202" s="936"/>
      <c r="M202" s="937"/>
      <c r="N202" s="938"/>
      <c r="O202" s="936"/>
      <c r="P202" s="937"/>
      <c r="Q202" s="938"/>
      <c r="R202" s="936"/>
      <c r="S202" s="937"/>
      <c r="T202" s="938"/>
      <c r="U202" s="936"/>
      <c r="V202" s="937"/>
      <c r="W202" s="938"/>
      <c r="X202" s="936"/>
      <c r="Y202" s="937"/>
      <c r="Z202" s="938"/>
      <c r="AA202" s="936"/>
      <c r="AB202" s="937"/>
      <c r="AC202" s="938"/>
      <c r="AD202" s="936"/>
      <c r="AE202" s="937"/>
      <c r="AF202" s="938"/>
      <c r="AG202" s="936"/>
      <c r="AH202" s="937"/>
      <c r="AI202" s="938"/>
      <c r="AJ202" s="936"/>
      <c r="AK202" s="937"/>
      <c r="AL202" s="938"/>
      <c r="AM202" s="936"/>
      <c r="AN202" s="933"/>
      <c r="AO202" s="936"/>
      <c r="AP202" s="933"/>
      <c r="AQ202" s="935"/>
      <c r="AR202" s="936"/>
      <c r="AS202" s="935"/>
      <c r="AT202" s="939"/>
      <c r="AU202" s="933"/>
      <c r="AV202" s="940"/>
      <c r="AW202" s="939"/>
      <c r="AX202" s="939"/>
      <c r="AY202" s="939"/>
      <c r="AZ202" s="941"/>
      <c r="BA202" s="941"/>
      <c r="BB202" s="941"/>
      <c r="BC202" s="934"/>
      <c r="BD202" s="941"/>
      <c r="BE202" s="941"/>
      <c r="BF202" s="941"/>
      <c r="BG202" s="942"/>
      <c r="BH202" s="941"/>
      <c r="BI202" s="941"/>
      <c r="BJ202" s="941"/>
      <c r="BK202" s="943"/>
      <c r="BL202" s="943"/>
      <c r="BM202" s="943"/>
      <c r="BN202" s="943"/>
      <c r="BO202" s="943"/>
      <c r="BP202" s="944"/>
      <c r="BQ202" s="943"/>
      <c r="BR202" s="943"/>
      <c r="BS202" s="943"/>
      <c r="BU202" s="945"/>
      <c r="BV202" s="946"/>
      <c r="BW202" s="947"/>
      <c r="BX202" s="945"/>
      <c r="BY202" s="947"/>
      <c r="BZ202" s="946"/>
      <c r="CA202" s="947"/>
      <c r="CB202" s="946"/>
      <c r="CC202" s="947"/>
      <c r="CD202" s="947"/>
      <c r="CE202" s="947"/>
      <c r="CF202" s="948"/>
      <c r="CG202" s="949"/>
      <c r="CH202" s="949"/>
      <c r="CI202" s="950"/>
      <c r="CJ202" s="951"/>
      <c r="CK202" s="951"/>
      <c r="CL202" s="952"/>
      <c r="CM202" s="951"/>
      <c r="CN202" s="951"/>
      <c r="CO202" s="952"/>
      <c r="CP202" s="951"/>
      <c r="CQ202" s="951"/>
      <c r="CR202" s="952"/>
      <c r="CS202" s="946"/>
      <c r="CT202" s="953"/>
      <c r="CU202" s="953"/>
      <c r="CV202" s="953"/>
      <c r="CX202" s="951"/>
      <c r="CY202" s="951"/>
      <c r="CZ202" s="952"/>
      <c r="DB202" s="954"/>
      <c r="DC202" s="954"/>
      <c r="DD202" s="921"/>
      <c r="DE202" s="954"/>
      <c r="DF202" s="954"/>
      <c r="DG202" s="921"/>
      <c r="DH202" s="954"/>
      <c r="DI202" s="954"/>
      <c r="DJ202" s="921"/>
      <c r="DK202" s="954"/>
      <c r="DL202" s="954"/>
      <c r="DM202" s="921"/>
      <c r="DN202" s="954"/>
      <c r="DO202" s="954"/>
      <c r="DP202" s="921"/>
      <c r="DQ202" s="942"/>
      <c r="DR202" s="951"/>
      <c r="DS202" s="951"/>
      <c r="DT202" s="952"/>
      <c r="DV202" s="921"/>
      <c r="DW202" s="921"/>
      <c r="DX202" s="921"/>
      <c r="DY202" s="921"/>
      <c r="DZ202" s="921"/>
      <c r="EA202" s="921"/>
      <c r="EB202" s="921"/>
      <c r="EC202" s="921"/>
      <c r="ED202" s="921"/>
      <c r="EE202" s="921"/>
      <c r="EF202" s="921"/>
      <c r="EG202" s="921"/>
      <c r="EH202" s="921"/>
      <c r="EI202" s="921"/>
      <c r="EJ202" s="921"/>
      <c r="EK202" s="921"/>
      <c r="EL202" s="921"/>
      <c r="EM202" s="921"/>
      <c r="EN202" s="921"/>
      <c r="EO202" s="921"/>
      <c r="EP202" s="921"/>
      <c r="EQ202" s="954"/>
      <c r="ER202" s="954"/>
      <c r="ES202" s="954"/>
      <c r="ET202" s="954"/>
      <c r="EV202" s="942"/>
      <c r="EW202" s="951"/>
      <c r="EX202" s="951"/>
      <c r="EY202" s="952"/>
    </row>
    <row r="203" spans="1:155" s="927" customFormat="1" ht="15.75" x14ac:dyDescent="0.25">
      <c r="A203" s="912" t="s">
        <v>62</v>
      </c>
      <c r="B203" s="913" t="s">
        <v>1378</v>
      </c>
      <c r="C203" s="914">
        <v>0.5</v>
      </c>
      <c r="D203" s="914">
        <v>7755</v>
      </c>
      <c r="E203" s="915">
        <v>1.0549999999999999</v>
      </c>
      <c r="F203" s="916">
        <f t="shared" si="77"/>
        <v>8182</v>
      </c>
      <c r="G203" s="915">
        <v>1.01</v>
      </c>
      <c r="H203" s="916">
        <f t="shared" si="78"/>
        <v>8264</v>
      </c>
      <c r="I203" s="917">
        <f t="shared" si="79"/>
        <v>4132</v>
      </c>
      <c r="J203" s="918">
        <f t="shared" si="80"/>
        <v>0</v>
      </c>
      <c r="K203" s="919"/>
      <c r="L203" s="917">
        <f t="shared" si="81"/>
        <v>0</v>
      </c>
      <c r="M203" s="918">
        <f t="shared" si="82"/>
        <v>0</v>
      </c>
      <c r="N203" s="919"/>
      <c r="O203" s="917">
        <f t="shared" si="83"/>
        <v>0</v>
      </c>
      <c r="P203" s="918">
        <f t="shared" si="84"/>
        <v>0</v>
      </c>
      <c r="Q203" s="919"/>
      <c r="R203" s="917">
        <f t="shared" si="85"/>
        <v>0</v>
      </c>
      <c r="S203" s="918">
        <f t="shared" si="86"/>
        <v>0</v>
      </c>
      <c r="T203" s="919"/>
      <c r="U203" s="917">
        <f t="shared" si="87"/>
        <v>0</v>
      </c>
      <c r="V203" s="918">
        <f t="shared" si="88"/>
        <v>0</v>
      </c>
      <c r="W203" s="919"/>
      <c r="X203" s="917">
        <f t="shared" si="89"/>
        <v>0</v>
      </c>
      <c r="Y203" s="918">
        <f t="shared" si="90"/>
        <v>0</v>
      </c>
      <c r="Z203" s="919"/>
      <c r="AA203" s="917">
        <f t="shared" si="91"/>
        <v>0</v>
      </c>
      <c r="AB203" s="918">
        <f t="shared" si="92"/>
        <v>0.3</v>
      </c>
      <c r="AC203" s="919">
        <v>1163.25</v>
      </c>
      <c r="AD203" s="917">
        <f t="shared" si="93"/>
        <v>1239.5999999999999</v>
      </c>
      <c r="AE203" s="918">
        <f t="shared" si="94"/>
        <v>0</v>
      </c>
      <c r="AF203" s="919"/>
      <c r="AG203" s="917">
        <f t="shared" si="95"/>
        <v>0</v>
      </c>
      <c r="AH203" s="918">
        <f t="shared" si="96"/>
        <v>0</v>
      </c>
      <c r="AI203" s="919"/>
      <c r="AJ203" s="917">
        <f t="shared" si="97"/>
        <v>0</v>
      </c>
      <c r="AK203" s="918">
        <f t="shared" si="98"/>
        <v>0</v>
      </c>
      <c r="AL203" s="919"/>
      <c r="AM203" s="917">
        <f t="shared" si="99"/>
        <v>0</v>
      </c>
      <c r="AN203" s="920">
        <v>19242</v>
      </c>
      <c r="AO203" s="917">
        <f t="shared" si="100"/>
        <v>4249.3999999999996</v>
      </c>
      <c r="AP203" s="920"/>
      <c r="AQ203" s="916">
        <f t="shared" si="101"/>
        <v>0</v>
      </c>
      <c r="AR203" s="917">
        <f t="shared" si="102"/>
        <v>9621</v>
      </c>
      <c r="AS203" s="916">
        <v>12</v>
      </c>
      <c r="AT203" s="921">
        <f t="shared" si="103"/>
        <v>115452</v>
      </c>
      <c r="AU203" s="920"/>
      <c r="AV203" s="922">
        <f t="shared" si="104"/>
        <v>1154.52</v>
      </c>
      <c r="AW203" s="921">
        <f t="shared" si="105"/>
        <v>116606.52</v>
      </c>
      <c r="AX203" s="921">
        <f t="shared" si="106"/>
        <v>35215.17</v>
      </c>
      <c r="AY203" s="921">
        <f t="shared" si="107"/>
        <v>151821.69</v>
      </c>
      <c r="AZ203" s="923">
        <f t="shared" si="108"/>
        <v>116.6</v>
      </c>
      <c r="BA203" s="923">
        <f t="shared" si="109"/>
        <v>35.200000000000003</v>
      </c>
      <c r="BB203" s="923">
        <f t="shared" si="110"/>
        <v>151.80000000000001</v>
      </c>
      <c r="BC203" s="915">
        <v>0.95</v>
      </c>
      <c r="BD203" s="923">
        <f t="shared" si="111"/>
        <v>110.8</v>
      </c>
      <c r="BE203" s="923">
        <f t="shared" si="112"/>
        <v>33.5</v>
      </c>
      <c r="BF203" s="923">
        <f t="shared" si="113"/>
        <v>144.30000000000001</v>
      </c>
      <c r="BG203" s="924">
        <f>'[3]свод (2024)'!$B$116</f>
        <v>0.99758349999999996</v>
      </c>
      <c r="BH203" s="923">
        <f t="shared" si="114"/>
        <v>110.5</v>
      </c>
      <c r="BI203" s="923">
        <f t="shared" si="115"/>
        <v>33.4</v>
      </c>
      <c r="BJ203" s="923">
        <f t="shared" si="116"/>
        <v>143.9</v>
      </c>
      <c r="BK203" s="925">
        <f t="shared" si="117"/>
        <v>-6.1</v>
      </c>
      <c r="BL203" s="925">
        <f t="shared" si="117"/>
        <v>-1.8</v>
      </c>
      <c r="BM203" s="925">
        <f t="shared" si="118"/>
        <v>-7.9</v>
      </c>
      <c r="BN203" s="925">
        <f t="shared" si="119"/>
        <v>0</v>
      </c>
      <c r="BO203" s="925">
        <f t="shared" si="120"/>
        <v>0</v>
      </c>
      <c r="BP203" s="926"/>
      <c r="BQ203" s="925">
        <f t="shared" si="121"/>
        <v>110.5</v>
      </c>
      <c r="BR203" s="925">
        <f t="shared" si="121"/>
        <v>33.4</v>
      </c>
      <c r="BS203" s="925">
        <f t="shared" si="122"/>
        <v>143.9</v>
      </c>
      <c r="BU203" s="928"/>
      <c r="BV203" s="917"/>
      <c r="BW203" s="928"/>
      <c r="BX203" s="928"/>
      <c r="BY203" s="928"/>
      <c r="BZ203" s="917"/>
      <c r="CA203" s="928"/>
      <c r="CB203" s="917"/>
      <c r="CC203" s="928"/>
      <c r="CD203" s="928"/>
      <c r="CE203" s="928"/>
      <c r="CF203" s="929"/>
      <c r="CG203" s="928"/>
      <c r="CH203" s="928"/>
      <c r="CI203" s="928"/>
      <c r="CJ203" s="925"/>
      <c r="CK203" s="925"/>
      <c r="CL203" s="925"/>
      <c r="CM203" s="925"/>
      <c r="CN203" s="925"/>
      <c r="CO203" s="925"/>
      <c r="CP203" s="925"/>
      <c r="CQ203" s="925"/>
      <c r="CR203" s="925"/>
      <c r="CS203" s="917"/>
      <c r="CT203" s="928"/>
      <c r="CU203" s="928"/>
      <c r="CV203" s="928"/>
      <c r="CX203" s="925"/>
      <c r="CY203" s="925"/>
      <c r="CZ203" s="925"/>
      <c r="DB203" s="925"/>
      <c r="DC203" s="925"/>
      <c r="DD203" s="925"/>
      <c r="DE203" s="925"/>
      <c r="DF203" s="925"/>
      <c r="DG203" s="925"/>
      <c r="DH203" s="925"/>
      <c r="DI203" s="925"/>
      <c r="DJ203" s="925"/>
      <c r="DK203" s="925"/>
      <c r="DL203" s="925"/>
      <c r="DM203" s="925"/>
      <c r="DN203" s="925"/>
      <c r="DO203" s="925"/>
      <c r="DP203" s="925"/>
      <c r="DQ203" s="924"/>
      <c r="DR203" s="925"/>
      <c r="DS203" s="925"/>
      <c r="DT203" s="925"/>
      <c r="DV203" s="925"/>
      <c r="DW203" s="925"/>
      <c r="DX203" s="925"/>
      <c r="DY203" s="925"/>
      <c r="DZ203" s="925"/>
      <c r="EA203" s="925"/>
      <c r="EB203" s="925"/>
      <c r="EC203" s="925"/>
      <c r="ED203" s="925"/>
      <c r="EE203" s="925"/>
      <c r="EF203" s="925"/>
      <c r="EG203" s="925"/>
      <c r="EH203" s="925"/>
      <c r="EI203" s="925"/>
      <c r="EJ203" s="925"/>
      <c r="EK203" s="925"/>
      <c r="EL203" s="925"/>
      <c r="EM203" s="925"/>
      <c r="EN203" s="925"/>
      <c r="EO203" s="925"/>
      <c r="EP203" s="925"/>
      <c r="EQ203" s="925"/>
      <c r="ER203" s="925"/>
      <c r="ES203" s="925"/>
      <c r="ET203" s="925"/>
      <c r="EV203" s="924"/>
      <c r="EW203" s="925"/>
      <c r="EX203" s="925"/>
      <c r="EY203" s="925"/>
    </row>
    <row r="204" spans="1:155" s="927" customFormat="1" ht="15.75" x14ac:dyDescent="0.25">
      <c r="A204" s="912" t="s">
        <v>62</v>
      </c>
      <c r="B204" s="913" t="s">
        <v>32</v>
      </c>
      <c r="C204" s="914">
        <v>1</v>
      </c>
      <c r="D204" s="914">
        <v>22544</v>
      </c>
      <c r="E204" s="915">
        <v>1.0549999999999999</v>
      </c>
      <c r="F204" s="916">
        <f t="shared" si="77"/>
        <v>23784</v>
      </c>
      <c r="G204" s="915">
        <v>1.01</v>
      </c>
      <c r="H204" s="916">
        <f t="shared" si="78"/>
        <v>24022</v>
      </c>
      <c r="I204" s="917">
        <f t="shared" si="79"/>
        <v>24022</v>
      </c>
      <c r="J204" s="918">
        <f t="shared" si="80"/>
        <v>0</v>
      </c>
      <c r="K204" s="919"/>
      <c r="L204" s="917">
        <f t="shared" si="81"/>
        <v>0</v>
      </c>
      <c r="M204" s="918">
        <f t="shared" si="82"/>
        <v>0</v>
      </c>
      <c r="N204" s="919"/>
      <c r="O204" s="917">
        <f t="shared" si="83"/>
        <v>0</v>
      </c>
      <c r="P204" s="918">
        <f t="shared" si="84"/>
        <v>0</v>
      </c>
      <c r="Q204" s="919"/>
      <c r="R204" s="917">
        <f t="shared" si="85"/>
        <v>0</v>
      </c>
      <c r="S204" s="918">
        <f t="shared" si="86"/>
        <v>0</v>
      </c>
      <c r="T204" s="919"/>
      <c r="U204" s="917">
        <f t="shared" si="87"/>
        <v>0</v>
      </c>
      <c r="V204" s="918">
        <f t="shared" si="88"/>
        <v>0</v>
      </c>
      <c r="W204" s="919"/>
      <c r="X204" s="917">
        <f t="shared" si="89"/>
        <v>0</v>
      </c>
      <c r="Y204" s="918">
        <f t="shared" si="90"/>
        <v>7.4999999999999997E-2</v>
      </c>
      <c r="Z204" s="919">
        <v>1690.8</v>
      </c>
      <c r="AA204" s="917">
        <f t="shared" si="91"/>
        <v>1801.65</v>
      </c>
      <c r="AB204" s="918">
        <f t="shared" si="92"/>
        <v>0.2</v>
      </c>
      <c r="AC204" s="919">
        <v>4508.8</v>
      </c>
      <c r="AD204" s="917">
        <f t="shared" si="93"/>
        <v>4804.3999999999996</v>
      </c>
      <c r="AE204" s="918">
        <f t="shared" si="94"/>
        <v>0</v>
      </c>
      <c r="AF204" s="919"/>
      <c r="AG204" s="917">
        <f t="shared" si="95"/>
        <v>0</v>
      </c>
      <c r="AH204" s="918">
        <f t="shared" si="96"/>
        <v>0</v>
      </c>
      <c r="AI204" s="919"/>
      <c r="AJ204" s="917">
        <f t="shared" si="97"/>
        <v>0</v>
      </c>
      <c r="AK204" s="918">
        <f t="shared" si="98"/>
        <v>0</v>
      </c>
      <c r="AL204" s="919"/>
      <c r="AM204" s="917">
        <f t="shared" si="99"/>
        <v>0</v>
      </c>
      <c r="AN204" s="920">
        <v>19242</v>
      </c>
      <c r="AO204" s="917">
        <f t="shared" si="100"/>
        <v>0</v>
      </c>
      <c r="AP204" s="920"/>
      <c r="AQ204" s="916">
        <f t="shared" si="101"/>
        <v>0</v>
      </c>
      <c r="AR204" s="917">
        <f t="shared" si="102"/>
        <v>30628.05</v>
      </c>
      <c r="AS204" s="916">
        <v>12</v>
      </c>
      <c r="AT204" s="921">
        <f t="shared" si="103"/>
        <v>367536.6</v>
      </c>
      <c r="AU204" s="920"/>
      <c r="AV204" s="922">
        <f t="shared" si="104"/>
        <v>3675.37</v>
      </c>
      <c r="AW204" s="921">
        <f t="shared" si="105"/>
        <v>371211.97</v>
      </c>
      <c r="AX204" s="921">
        <f t="shared" si="106"/>
        <v>112106.01</v>
      </c>
      <c r="AY204" s="921">
        <f t="shared" si="107"/>
        <v>483317.98</v>
      </c>
      <c r="AZ204" s="923">
        <f t="shared" si="108"/>
        <v>371.2</v>
      </c>
      <c r="BA204" s="923">
        <f t="shared" si="109"/>
        <v>112.1</v>
      </c>
      <c r="BB204" s="923">
        <f t="shared" si="110"/>
        <v>483.3</v>
      </c>
      <c r="BC204" s="915">
        <v>0.95</v>
      </c>
      <c r="BD204" s="923">
        <f t="shared" si="111"/>
        <v>352.6</v>
      </c>
      <c r="BE204" s="923">
        <f t="shared" si="112"/>
        <v>106.5</v>
      </c>
      <c r="BF204" s="923">
        <f t="shared" si="113"/>
        <v>459.1</v>
      </c>
      <c r="BG204" s="924">
        <f>'[3]свод (2024)'!$B$116</f>
        <v>0.99758349999999996</v>
      </c>
      <c r="BH204" s="923">
        <f t="shared" si="114"/>
        <v>351.7</v>
      </c>
      <c r="BI204" s="923">
        <f t="shared" si="115"/>
        <v>106.2</v>
      </c>
      <c r="BJ204" s="923">
        <f t="shared" si="116"/>
        <v>457.9</v>
      </c>
      <c r="BK204" s="925">
        <f t="shared" si="117"/>
        <v>-19.5</v>
      </c>
      <c r="BL204" s="925">
        <f t="shared" si="117"/>
        <v>-5.9</v>
      </c>
      <c r="BM204" s="925">
        <f t="shared" si="118"/>
        <v>-25.4</v>
      </c>
      <c r="BN204" s="925">
        <f t="shared" si="119"/>
        <v>0</v>
      </c>
      <c r="BO204" s="925">
        <f t="shared" si="120"/>
        <v>0</v>
      </c>
      <c r="BP204" s="926"/>
      <c r="BQ204" s="925">
        <f t="shared" si="121"/>
        <v>351.7</v>
      </c>
      <c r="BR204" s="925">
        <f t="shared" si="121"/>
        <v>106.2</v>
      </c>
      <c r="BS204" s="925">
        <f t="shared" si="122"/>
        <v>457.9</v>
      </c>
      <c r="BU204" s="928"/>
      <c r="BV204" s="917"/>
      <c r="BW204" s="928"/>
      <c r="BX204" s="928"/>
      <c r="BY204" s="928"/>
      <c r="BZ204" s="917"/>
      <c r="CA204" s="928"/>
      <c r="CB204" s="917"/>
      <c r="CC204" s="928"/>
      <c r="CD204" s="928"/>
      <c r="CE204" s="928"/>
      <c r="CF204" s="929"/>
      <c r="CG204" s="928"/>
      <c r="CH204" s="928"/>
      <c r="CI204" s="928"/>
      <c r="CJ204" s="925"/>
      <c r="CK204" s="925"/>
      <c r="CL204" s="925"/>
      <c r="CM204" s="925"/>
      <c r="CN204" s="925"/>
      <c r="CO204" s="925"/>
      <c r="CP204" s="925"/>
      <c r="CQ204" s="925"/>
      <c r="CR204" s="925"/>
      <c r="CS204" s="917"/>
      <c r="CT204" s="928"/>
      <c r="CU204" s="928"/>
      <c r="CV204" s="928"/>
      <c r="CX204" s="925"/>
      <c r="CY204" s="925"/>
      <c r="CZ204" s="925"/>
      <c r="DB204" s="925"/>
      <c r="DC204" s="925"/>
      <c r="DD204" s="925"/>
      <c r="DE204" s="925"/>
      <c r="DF204" s="925"/>
      <c r="DG204" s="925"/>
      <c r="DH204" s="925"/>
      <c r="DI204" s="925"/>
      <c r="DJ204" s="925"/>
      <c r="DK204" s="925"/>
      <c r="DL204" s="925"/>
      <c r="DM204" s="925"/>
      <c r="DN204" s="925"/>
      <c r="DO204" s="925"/>
      <c r="DP204" s="925"/>
      <c r="DQ204" s="924"/>
      <c r="DR204" s="925"/>
      <c r="DS204" s="925"/>
      <c r="DT204" s="925"/>
      <c r="DV204" s="925"/>
      <c r="DW204" s="925"/>
      <c r="DX204" s="925"/>
      <c r="DY204" s="925"/>
      <c r="DZ204" s="925"/>
      <c r="EA204" s="925"/>
      <c r="EB204" s="925"/>
      <c r="EC204" s="925"/>
      <c r="ED204" s="925"/>
      <c r="EE204" s="925"/>
      <c r="EF204" s="925"/>
      <c r="EG204" s="925"/>
      <c r="EH204" s="925"/>
      <c r="EI204" s="925"/>
      <c r="EJ204" s="925"/>
      <c r="EK204" s="925"/>
      <c r="EL204" s="925"/>
      <c r="EM204" s="925"/>
      <c r="EN204" s="925"/>
      <c r="EO204" s="925"/>
      <c r="EP204" s="925"/>
      <c r="EQ204" s="925"/>
      <c r="ER204" s="925"/>
      <c r="ES204" s="925"/>
      <c r="ET204" s="925"/>
      <c r="EV204" s="924"/>
      <c r="EW204" s="925"/>
      <c r="EX204" s="925"/>
      <c r="EY204" s="925"/>
    </row>
    <row r="205" spans="1:155" s="927" customFormat="1" ht="15.75" x14ac:dyDescent="0.25">
      <c r="A205" s="912" t="s">
        <v>62</v>
      </c>
      <c r="B205" s="913" t="s">
        <v>1379</v>
      </c>
      <c r="C205" s="914">
        <v>0.5</v>
      </c>
      <c r="D205" s="914">
        <v>4336</v>
      </c>
      <c r="E205" s="915">
        <v>1.0549999999999999</v>
      </c>
      <c r="F205" s="916">
        <f t="shared" si="77"/>
        <v>4575</v>
      </c>
      <c r="G205" s="915">
        <v>1.01</v>
      </c>
      <c r="H205" s="916">
        <f t="shared" si="78"/>
        <v>4621</v>
      </c>
      <c r="I205" s="917">
        <f t="shared" si="79"/>
        <v>2310.5</v>
      </c>
      <c r="J205" s="918">
        <f t="shared" si="80"/>
        <v>0</v>
      </c>
      <c r="K205" s="919"/>
      <c r="L205" s="917">
        <f t="shared" si="81"/>
        <v>0</v>
      </c>
      <c r="M205" s="918">
        <f t="shared" si="82"/>
        <v>0</v>
      </c>
      <c r="N205" s="919"/>
      <c r="O205" s="917">
        <f t="shared" si="83"/>
        <v>0</v>
      </c>
      <c r="P205" s="918">
        <f t="shared" si="84"/>
        <v>0</v>
      </c>
      <c r="Q205" s="919"/>
      <c r="R205" s="917">
        <f t="shared" si="85"/>
        <v>0</v>
      </c>
      <c r="S205" s="918">
        <f t="shared" si="86"/>
        <v>0</v>
      </c>
      <c r="T205" s="919"/>
      <c r="U205" s="917">
        <f t="shared" si="87"/>
        <v>0</v>
      </c>
      <c r="V205" s="918">
        <f t="shared" si="88"/>
        <v>0</v>
      </c>
      <c r="W205" s="919"/>
      <c r="X205" s="917">
        <f t="shared" si="89"/>
        <v>0</v>
      </c>
      <c r="Y205" s="918">
        <f t="shared" si="90"/>
        <v>0</v>
      </c>
      <c r="Z205" s="919"/>
      <c r="AA205" s="917">
        <f t="shared" si="91"/>
        <v>0</v>
      </c>
      <c r="AB205" s="918">
        <f t="shared" si="92"/>
        <v>0</v>
      </c>
      <c r="AC205" s="919"/>
      <c r="AD205" s="917">
        <f t="shared" si="93"/>
        <v>0</v>
      </c>
      <c r="AE205" s="918">
        <f t="shared" si="94"/>
        <v>0</v>
      </c>
      <c r="AF205" s="919"/>
      <c r="AG205" s="917">
        <f t="shared" si="95"/>
        <v>0</v>
      </c>
      <c r="AH205" s="918">
        <f t="shared" si="96"/>
        <v>0</v>
      </c>
      <c r="AI205" s="919"/>
      <c r="AJ205" s="917">
        <f t="shared" si="97"/>
        <v>0</v>
      </c>
      <c r="AK205" s="918">
        <f t="shared" si="98"/>
        <v>0</v>
      </c>
      <c r="AL205" s="919"/>
      <c r="AM205" s="917">
        <f t="shared" si="99"/>
        <v>0</v>
      </c>
      <c r="AN205" s="920">
        <v>19242</v>
      </c>
      <c r="AO205" s="917">
        <f t="shared" si="100"/>
        <v>7310.5</v>
      </c>
      <c r="AP205" s="920"/>
      <c r="AQ205" s="916">
        <f t="shared" si="101"/>
        <v>0</v>
      </c>
      <c r="AR205" s="917">
        <f t="shared" si="102"/>
        <v>9621</v>
      </c>
      <c r="AS205" s="916">
        <v>12</v>
      </c>
      <c r="AT205" s="921">
        <f t="shared" si="103"/>
        <v>115452</v>
      </c>
      <c r="AU205" s="920">
        <f>AT205*0.085</f>
        <v>9813.42</v>
      </c>
      <c r="AV205" s="922">
        <f t="shared" si="104"/>
        <v>1154.52</v>
      </c>
      <c r="AW205" s="921">
        <f t="shared" si="105"/>
        <v>126419.94</v>
      </c>
      <c r="AX205" s="921">
        <f t="shared" si="106"/>
        <v>38178.82</v>
      </c>
      <c r="AY205" s="921">
        <f t="shared" si="107"/>
        <v>164598.76</v>
      </c>
      <c r="AZ205" s="923">
        <f t="shared" si="108"/>
        <v>126.4</v>
      </c>
      <c r="BA205" s="923">
        <f t="shared" si="109"/>
        <v>38.200000000000003</v>
      </c>
      <c r="BB205" s="923">
        <f t="shared" si="110"/>
        <v>164.6</v>
      </c>
      <c r="BC205" s="915">
        <v>0.95</v>
      </c>
      <c r="BD205" s="923">
        <f t="shared" si="111"/>
        <v>120.1</v>
      </c>
      <c r="BE205" s="923">
        <f t="shared" si="112"/>
        <v>36.299999999999997</v>
      </c>
      <c r="BF205" s="923">
        <f t="shared" si="113"/>
        <v>156.4</v>
      </c>
      <c r="BG205" s="924">
        <f>'[3]свод (2024)'!$B$116</f>
        <v>0.99758349999999996</v>
      </c>
      <c r="BH205" s="923">
        <f t="shared" si="114"/>
        <v>119.8</v>
      </c>
      <c r="BI205" s="923">
        <f t="shared" si="115"/>
        <v>36.200000000000003</v>
      </c>
      <c r="BJ205" s="923">
        <f t="shared" si="116"/>
        <v>156</v>
      </c>
      <c r="BK205" s="925">
        <f t="shared" si="117"/>
        <v>-6.6</v>
      </c>
      <c r="BL205" s="925">
        <f t="shared" si="117"/>
        <v>-2</v>
      </c>
      <c r="BM205" s="925">
        <f t="shared" si="118"/>
        <v>-8.6</v>
      </c>
      <c r="BN205" s="925">
        <f t="shared" si="119"/>
        <v>0</v>
      </c>
      <c r="BO205" s="925">
        <f t="shared" si="120"/>
        <v>0</v>
      </c>
      <c r="BP205" s="926"/>
      <c r="BQ205" s="925">
        <f t="shared" si="121"/>
        <v>119.8</v>
      </c>
      <c r="BR205" s="925">
        <f t="shared" si="121"/>
        <v>36.200000000000003</v>
      </c>
      <c r="BS205" s="925">
        <f t="shared" si="122"/>
        <v>156</v>
      </c>
      <c r="BU205" s="928"/>
      <c r="BV205" s="917"/>
      <c r="BW205" s="928"/>
      <c r="BX205" s="928"/>
      <c r="BY205" s="928"/>
      <c r="BZ205" s="917"/>
      <c r="CA205" s="928"/>
      <c r="CB205" s="917"/>
      <c r="CC205" s="928"/>
      <c r="CD205" s="928"/>
      <c r="CE205" s="928"/>
      <c r="CF205" s="929"/>
      <c r="CG205" s="928"/>
      <c r="CH205" s="928"/>
      <c r="CI205" s="928"/>
      <c r="CJ205" s="925"/>
      <c r="CK205" s="925"/>
      <c r="CL205" s="925"/>
      <c r="CM205" s="925"/>
      <c r="CN205" s="925"/>
      <c r="CO205" s="925"/>
      <c r="CP205" s="925"/>
      <c r="CQ205" s="925"/>
      <c r="CR205" s="925"/>
      <c r="CS205" s="917"/>
      <c r="CT205" s="928"/>
      <c r="CU205" s="928"/>
      <c r="CV205" s="928"/>
      <c r="CX205" s="925"/>
      <c r="CY205" s="925"/>
      <c r="CZ205" s="925"/>
      <c r="DB205" s="925"/>
      <c r="DC205" s="925"/>
      <c r="DD205" s="925"/>
      <c r="DE205" s="925"/>
      <c r="DF205" s="925"/>
      <c r="DG205" s="925"/>
      <c r="DH205" s="925"/>
      <c r="DI205" s="925"/>
      <c r="DJ205" s="925"/>
      <c r="DK205" s="925"/>
      <c r="DL205" s="925"/>
      <c r="DM205" s="925"/>
      <c r="DN205" s="925"/>
      <c r="DO205" s="925"/>
      <c r="DP205" s="925"/>
      <c r="DQ205" s="924"/>
      <c r="DR205" s="925"/>
      <c r="DS205" s="925"/>
      <c r="DT205" s="925"/>
      <c r="DV205" s="925"/>
      <c r="DW205" s="925"/>
      <c r="DX205" s="925"/>
      <c r="DY205" s="925"/>
      <c r="DZ205" s="925"/>
      <c r="EA205" s="925"/>
      <c r="EB205" s="925"/>
      <c r="EC205" s="925"/>
      <c r="ED205" s="925"/>
      <c r="EE205" s="925"/>
      <c r="EF205" s="925"/>
      <c r="EG205" s="925"/>
      <c r="EH205" s="925"/>
      <c r="EI205" s="925"/>
      <c r="EJ205" s="925"/>
      <c r="EK205" s="925"/>
      <c r="EL205" s="925"/>
      <c r="EM205" s="925"/>
      <c r="EN205" s="925"/>
      <c r="EO205" s="925"/>
      <c r="EP205" s="925"/>
      <c r="EQ205" s="925"/>
      <c r="ER205" s="925"/>
      <c r="ES205" s="925"/>
      <c r="ET205" s="925"/>
      <c r="EV205" s="924"/>
      <c r="EW205" s="925"/>
      <c r="EX205" s="925"/>
      <c r="EY205" s="925"/>
    </row>
    <row r="206" spans="1:155" s="927" customFormat="1" ht="15.75" x14ac:dyDescent="0.25">
      <c r="A206" s="912" t="s">
        <v>62</v>
      </c>
      <c r="B206" s="913" t="s">
        <v>1380</v>
      </c>
      <c r="C206" s="914">
        <v>1</v>
      </c>
      <c r="D206" s="914">
        <v>25048</v>
      </c>
      <c r="E206" s="915">
        <v>1.0549999999999999</v>
      </c>
      <c r="F206" s="916">
        <f t="shared" si="77"/>
        <v>26426</v>
      </c>
      <c r="G206" s="915">
        <v>1.01</v>
      </c>
      <c r="H206" s="916">
        <f t="shared" si="78"/>
        <v>26691</v>
      </c>
      <c r="I206" s="917">
        <f t="shared" si="79"/>
        <v>26691</v>
      </c>
      <c r="J206" s="918">
        <f t="shared" si="80"/>
        <v>0</v>
      </c>
      <c r="K206" s="919"/>
      <c r="L206" s="917">
        <f t="shared" si="81"/>
        <v>0</v>
      </c>
      <c r="M206" s="918">
        <f t="shared" si="82"/>
        <v>0</v>
      </c>
      <c r="N206" s="919"/>
      <c r="O206" s="917">
        <f t="shared" si="83"/>
        <v>0</v>
      </c>
      <c r="P206" s="918">
        <f t="shared" si="84"/>
        <v>0</v>
      </c>
      <c r="Q206" s="919"/>
      <c r="R206" s="917">
        <f t="shared" si="85"/>
        <v>0</v>
      </c>
      <c r="S206" s="918">
        <f t="shared" si="86"/>
        <v>0</v>
      </c>
      <c r="T206" s="919"/>
      <c r="U206" s="917">
        <f t="shared" si="87"/>
        <v>0</v>
      </c>
      <c r="V206" s="918">
        <f t="shared" si="88"/>
        <v>0</v>
      </c>
      <c r="W206" s="919"/>
      <c r="X206" s="917">
        <f t="shared" si="89"/>
        <v>0</v>
      </c>
      <c r="Y206" s="918">
        <f t="shared" si="90"/>
        <v>0.15</v>
      </c>
      <c r="Z206" s="919">
        <v>3757.2</v>
      </c>
      <c r="AA206" s="917">
        <f t="shared" si="91"/>
        <v>4003.65</v>
      </c>
      <c r="AB206" s="918">
        <f t="shared" si="92"/>
        <v>0.2</v>
      </c>
      <c r="AC206" s="919">
        <v>5009.6000000000004</v>
      </c>
      <c r="AD206" s="917">
        <f t="shared" si="93"/>
        <v>5338.2</v>
      </c>
      <c r="AE206" s="918">
        <f t="shared" si="94"/>
        <v>0</v>
      </c>
      <c r="AF206" s="919"/>
      <c r="AG206" s="917">
        <f t="shared" si="95"/>
        <v>0</v>
      </c>
      <c r="AH206" s="918">
        <f t="shared" si="96"/>
        <v>0</v>
      </c>
      <c r="AI206" s="919"/>
      <c r="AJ206" s="917">
        <f t="shared" si="97"/>
        <v>0</v>
      </c>
      <c r="AK206" s="918">
        <f t="shared" si="98"/>
        <v>0</v>
      </c>
      <c r="AL206" s="919"/>
      <c r="AM206" s="917">
        <f t="shared" si="99"/>
        <v>0</v>
      </c>
      <c r="AN206" s="920">
        <v>19242</v>
      </c>
      <c r="AO206" s="917">
        <f t="shared" si="100"/>
        <v>0</v>
      </c>
      <c r="AP206" s="920"/>
      <c r="AQ206" s="916">
        <f t="shared" si="101"/>
        <v>0</v>
      </c>
      <c r="AR206" s="917">
        <f t="shared" si="102"/>
        <v>36032.85</v>
      </c>
      <c r="AS206" s="916">
        <v>12</v>
      </c>
      <c r="AT206" s="921">
        <f t="shared" si="103"/>
        <v>432394.2</v>
      </c>
      <c r="AU206" s="920"/>
      <c r="AV206" s="922">
        <f t="shared" si="104"/>
        <v>4323.9399999999996</v>
      </c>
      <c r="AW206" s="921">
        <f t="shared" si="105"/>
        <v>436718.14</v>
      </c>
      <c r="AX206" s="921">
        <f t="shared" si="106"/>
        <v>131888.88</v>
      </c>
      <c r="AY206" s="921">
        <f t="shared" si="107"/>
        <v>568607.02</v>
      </c>
      <c r="AZ206" s="923">
        <f t="shared" si="108"/>
        <v>436.7</v>
      </c>
      <c r="BA206" s="923">
        <f t="shared" si="109"/>
        <v>131.9</v>
      </c>
      <c r="BB206" s="923">
        <f t="shared" si="110"/>
        <v>568.6</v>
      </c>
      <c r="BC206" s="915">
        <v>0.95</v>
      </c>
      <c r="BD206" s="923">
        <f t="shared" si="111"/>
        <v>414.9</v>
      </c>
      <c r="BE206" s="923">
        <f t="shared" si="112"/>
        <v>125.3</v>
      </c>
      <c r="BF206" s="923">
        <f t="shared" si="113"/>
        <v>540.20000000000005</v>
      </c>
      <c r="BG206" s="924">
        <f>'[3]свод (2024)'!$B$116</f>
        <v>0.99758349999999996</v>
      </c>
      <c r="BH206" s="923">
        <f t="shared" si="114"/>
        <v>413.9</v>
      </c>
      <c r="BI206" s="923">
        <f t="shared" si="115"/>
        <v>125</v>
      </c>
      <c r="BJ206" s="923">
        <f t="shared" si="116"/>
        <v>538.9</v>
      </c>
      <c r="BK206" s="925">
        <f t="shared" si="117"/>
        <v>-22.8</v>
      </c>
      <c r="BL206" s="925">
        <f t="shared" si="117"/>
        <v>-6.9</v>
      </c>
      <c r="BM206" s="925">
        <f t="shared" si="118"/>
        <v>-29.7</v>
      </c>
      <c r="BN206" s="925">
        <f t="shared" si="119"/>
        <v>0</v>
      </c>
      <c r="BO206" s="925">
        <f t="shared" si="120"/>
        <v>0</v>
      </c>
      <c r="BP206" s="926"/>
      <c r="BQ206" s="925">
        <f t="shared" si="121"/>
        <v>413.9</v>
      </c>
      <c r="BR206" s="925">
        <f t="shared" si="121"/>
        <v>125</v>
      </c>
      <c r="BS206" s="925">
        <f t="shared" si="122"/>
        <v>538.9</v>
      </c>
      <c r="BU206" s="928"/>
      <c r="BV206" s="917"/>
      <c r="BW206" s="928"/>
      <c r="BX206" s="928"/>
      <c r="BY206" s="928"/>
      <c r="BZ206" s="917"/>
      <c r="CA206" s="928"/>
      <c r="CB206" s="917"/>
      <c r="CC206" s="928"/>
      <c r="CD206" s="928"/>
      <c r="CE206" s="928"/>
      <c r="CF206" s="929"/>
      <c r="CG206" s="928"/>
      <c r="CH206" s="928"/>
      <c r="CI206" s="928"/>
      <c r="CJ206" s="925"/>
      <c r="CK206" s="925"/>
      <c r="CL206" s="925"/>
      <c r="CM206" s="925"/>
      <c r="CN206" s="925"/>
      <c r="CO206" s="925"/>
      <c r="CP206" s="925"/>
      <c r="CQ206" s="925"/>
      <c r="CR206" s="925"/>
      <c r="CS206" s="917"/>
      <c r="CT206" s="928"/>
      <c r="CU206" s="928"/>
      <c r="CV206" s="928"/>
      <c r="CX206" s="925"/>
      <c r="CY206" s="925"/>
      <c r="CZ206" s="925"/>
      <c r="DB206" s="925"/>
      <c r="DC206" s="925"/>
      <c r="DD206" s="925"/>
      <c r="DE206" s="925"/>
      <c r="DF206" s="925"/>
      <c r="DG206" s="925"/>
      <c r="DH206" s="925"/>
      <c r="DI206" s="925"/>
      <c r="DJ206" s="925"/>
      <c r="DK206" s="925"/>
      <c r="DL206" s="925"/>
      <c r="DM206" s="925"/>
      <c r="DN206" s="925"/>
      <c r="DO206" s="925"/>
      <c r="DP206" s="925"/>
      <c r="DQ206" s="924"/>
      <c r="DR206" s="925"/>
      <c r="DS206" s="925"/>
      <c r="DT206" s="925"/>
      <c r="DV206" s="925"/>
      <c r="DW206" s="925"/>
      <c r="DX206" s="925"/>
      <c r="DY206" s="925"/>
      <c r="DZ206" s="925"/>
      <c r="EA206" s="925"/>
      <c r="EB206" s="925"/>
      <c r="EC206" s="925"/>
      <c r="ED206" s="925"/>
      <c r="EE206" s="925"/>
      <c r="EF206" s="925"/>
      <c r="EG206" s="925"/>
      <c r="EH206" s="925"/>
      <c r="EI206" s="925"/>
      <c r="EJ206" s="925"/>
      <c r="EK206" s="925"/>
      <c r="EL206" s="925"/>
      <c r="EM206" s="925"/>
      <c r="EN206" s="925"/>
      <c r="EO206" s="925"/>
      <c r="EP206" s="925"/>
      <c r="EQ206" s="925"/>
      <c r="ER206" s="925"/>
      <c r="ES206" s="925"/>
      <c r="ET206" s="925"/>
      <c r="EV206" s="924"/>
      <c r="EW206" s="925"/>
      <c r="EX206" s="925"/>
      <c r="EY206" s="925"/>
    </row>
    <row r="207" spans="1:155" s="927" customFormat="1" ht="15.75" x14ac:dyDescent="0.25">
      <c r="A207" s="912" t="s">
        <v>62</v>
      </c>
      <c r="B207" s="913" t="s">
        <v>33</v>
      </c>
      <c r="C207" s="914">
        <v>1</v>
      </c>
      <c r="D207" s="914">
        <v>13466</v>
      </c>
      <c r="E207" s="915">
        <v>1.0549999999999999</v>
      </c>
      <c r="F207" s="916">
        <f t="shared" si="77"/>
        <v>14207</v>
      </c>
      <c r="G207" s="915">
        <v>1.01</v>
      </c>
      <c r="H207" s="916">
        <f t="shared" si="78"/>
        <v>14350</v>
      </c>
      <c r="I207" s="917">
        <f t="shared" si="79"/>
        <v>14350</v>
      </c>
      <c r="J207" s="918">
        <f t="shared" si="80"/>
        <v>0</v>
      </c>
      <c r="K207" s="919"/>
      <c r="L207" s="917">
        <f t="shared" si="81"/>
        <v>0</v>
      </c>
      <c r="M207" s="918">
        <f t="shared" si="82"/>
        <v>0</v>
      </c>
      <c r="N207" s="919"/>
      <c r="O207" s="917">
        <f t="shared" si="83"/>
        <v>0</v>
      </c>
      <c r="P207" s="918">
        <f t="shared" si="84"/>
        <v>0</v>
      </c>
      <c r="Q207" s="988"/>
      <c r="R207" s="917">
        <f t="shared" si="85"/>
        <v>0</v>
      </c>
      <c r="S207" s="918">
        <f t="shared" si="86"/>
        <v>0</v>
      </c>
      <c r="T207" s="919"/>
      <c r="U207" s="917">
        <f t="shared" si="87"/>
        <v>0</v>
      </c>
      <c r="V207" s="918">
        <f t="shared" si="88"/>
        <v>0</v>
      </c>
      <c r="W207" s="919"/>
      <c r="X207" s="917">
        <f t="shared" si="89"/>
        <v>0</v>
      </c>
      <c r="Y207" s="918">
        <f t="shared" si="90"/>
        <v>0.79629000000000005</v>
      </c>
      <c r="Z207" s="919">
        <v>10722.8</v>
      </c>
      <c r="AA207" s="917">
        <f t="shared" si="91"/>
        <v>11426.76</v>
      </c>
      <c r="AB207" s="918">
        <f t="shared" si="92"/>
        <v>0.1</v>
      </c>
      <c r="AC207" s="919">
        <v>1346.6</v>
      </c>
      <c r="AD207" s="917">
        <f t="shared" si="93"/>
        <v>1435</v>
      </c>
      <c r="AE207" s="918">
        <f t="shared" si="94"/>
        <v>0</v>
      </c>
      <c r="AF207" s="919"/>
      <c r="AG207" s="917">
        <f t="shared" si="95"/>
        <v>0</v>
      </c>
      <c r="AH207" s="918">
        <f t="shared" si="96"/>
        <v>0</v>
      </c>
      <c r="AI207" s="919"/>
      <c r="AJ207" s="917">
        <f t="shared" si="97"/>
        <v>0</v>
      </c>
      <c r="AK207" s="918">
        <f t="shared" si="98"/>
        <v>0</v>
      </c>
      <c r="AL207" s="919"/>
      <c r="AM207" s="917">
        <f t="shared" si="99"/>
        <v>0</v>
      </c>
      <c r="AN207" s="920">
        <v>19242</v>
      </c>
      <c r="AO207" s="917">
        <f t="shared" si="100"/>
        <v>0</v>
      </c>
      <c r="AP207" s="920"/>
      <c r="AQ207" s="916">
        <f t="shared" si="101"/>
        <v>0</v>
      </c>
      <c r="AR207" s="917">
        <f t="shared" si="102"/>
        <v>27211.759999999998</v>
      </c>
      <c r="AS207" s="916">
        <v>12</v>
      </c>
      <c r="AT207" s="921">
        <f t="shared" si="103"/>
        <v>326541.12</v>
      </c>
      <c r="AU207" s="920"/>
      <c r="AV207" s="922">
        <f t="shared" si="104"/>
        <v>3265.41</v>
      </c>
      <c r="AW207" s="921">
        <f t="shared" si="105"/>
        <v>329806.53000000003</v>
      </c>
      <c r="AX207" s="921">
        <f t="shared" si="106"/>
        <v>99601.57</v>
      </c>
      <c r="AY207" s="921">
        <f t="shared" si="107"/>
        <v>429408.1</v>
      </c>
      <c r="AZ207" s="923">
        <f t="shared" si="108"/>
        <v>329.8</v>
      </c>
      <c r="BA207" s="923">
        <f t="shared" si="109"/>
        <v>99.6</v>
      </c>
      <c r="BB207" s="923">
        <f t="shared" si="110"/>
        <v>429.4</v>
      </c>
      <c r="BC207" s="915">
        <v>0.95</v>
      </c>
      <c r="BD207" s="923">
        <f t="shared" si="111"/>
        <v>313.3</v>
      </c>
      <c r="BE207" s="923">
        <f t="shared" si="112"/>
        <v>94.6</v>
      </c>
      <c r="BF207" s="923">
        <f t="shared" si="113"/>
        <v>407.9</v>
      </c>
      <c r="BG207" s="924">
        <f>'[3]свод (2024)'!$B$116</f>
        <v>0.99758349999999996</v>
      </c>
      <c r="BH207" s="923">
        <f t="shared" si="114"/>
        <v>312.5</v>
      </c>
      <c r="BI207" s="923">
        <f t="shared" si="115"/>
        <v>94.4</v>
      </c>
      <c r="BJ207" s="923">
        <f t="shared" si="116"/>
        <v>406.9</v>
      </c>
      <c r="BK207" s="925">
        <f t="shared" si="117"/>
        <v>-17.3</v>
      </c>
      <c r="BL207" s="925">
        <f t="shared" si="117"/>
        <v>-5.2</v>
      </c>
      <c r="BM207" s="925">
        <f t="shared" si="118"/>
        <v>-22.5</v>
      </c>
      <c r="BN207" s="925">
        <f t="shared" si="119"/>
        <v>0</v>
      </c>
      <c r="BO207" s="925">
        <f t="shared" si="120"/>
        <v>0</v>
      </c>
      <c r="BP207" s="926"/>
      <c r="BQ207" s="925">
        <f t="shared" si="121"/>
        <v>312.5</v>
      </c>
      <c r="BR207" s="925">
        <f t="shared" si="121"/>
        <v>94.4</v>
      </c>
      <c r="BS207" s="925">
        <f t="shared" si="122"/>
        <v>406.9</v>
      </c>
      <c r="BU207" s="928"/>
      <c r="BV207" s="917"/>
      <c r="BW207" s="928"/>
      <c r="BX207" s="928"/>
      <c r="BY207" s="928"/>
      <c r="BZ207" s="917"/>
      <c r="CA207" s="928"/>
      <c r="CB207" s="917"/>
      <c r="CC207" s="928"/>
      <c r="CD207" s="928"/>
      <c r="CE207" s="928"/>
      <c r="CF207" s="929"/>
      <c r="CG207" s="928"/>
      <c r="CH207" s="928"/>
      <c r="CI207" s="928"/>
      <c r="CJ207" s="925"/>
      <c r="CK207" s="925"/>
      <c r="CL207" s="925"/>
      <c r="CM207" s="925"/>
      <c r="CN207" s="925"/>
      <c r="CO207" s="925"/>
      <c r="CP207" s="925"/>
      <c r="CQ207" s="925"/>
      <c r="CR207" s="925"/>
      <c r="CS207" s="917"/>
      <c r="CT207" s="928"/>
      <c r="CU207" s="928"/>
      <c r="CV207" s="928"/>
      <c r="CX207" s="925"/>
      <c r="CY207" s="925"/>
      <c r="CZ207" s="925"/>
      <c r="DB207" s="925"/>
      <c r="DC207" s="925"/>
      <c r="DD207" s="925"/>
      <c r="DE207" s="925"/>
      <c r="DF207" s="925"/>
      <c r="DG207" s="925"/>
      <c r="DH207" s="925"/>
      <c r="DI207" s="925"/>
      <c r="DJ207" s="925"/>
      <c r="DK207" s="925"/>
      <c r="DL207" s="925"/>
      <c r="DM207" s="925"/>
      <c r="DN207" s="925"/>
      <c r="DO207" s="925"/>
      <c r="DP207" s="925"/>
      <c r="DQ207" s="924"/>
      <c r="DR207" s="925"/>
      <c r="DS207" s="925"/>
      <c r="DT207" s="925"/>
      <c r="DV207" s="925"/>
      <c r="DW207" s="925"/>
      <c r="DX207" s="925"/>
      <c r="DY207" s="925"/>
      <c r="DZ207" s="925"/>
      <c r="EA207" s="925"/>
      <c r="EB207" s="925"/>
      <c r="EC207" s="925"/>
      <c r="ED207" s="925"/>
      <c r="EE207" s="925"/>
      <c r="EF207" s="925"/>
      <c r="EG207" s="925"/>
      <c r="EH207" s="925"/>
      <c r="EI207" s="925"/>
      <c r="EJ207" s="925"/>
      <c r="EK207" s="925"/>
      <c r="EL207" s="925"/>
      <c r="EM207" s="925"/>
      <c r="EN207" s="925"/>
      <c r="EO207" s="925"/>
      <c r="EP207" s="925"/>
      <c r="EQ207" s="925"/>
      <c r="ER207" s="925"/>
      <c r="ES207" s="925"/>
      <c r="ET207" s="925"/>
      <c r="EV207" s="924"/>
      <c r="EW207" s="925"/>
      <c r="EX207" s="925"/>
      <c r="EY207" s="925"/>
    </row>
    <row r="208" spans="1:155" s="927" customFormat="1" ht="24" x14ac:dyDescent="0.25">
      <c r="A208" s="912" t="s">
        <v>62</v>
      </c>
      <c r="B208" s="913" t="s">
        <v>31</v>
      </c>
      <c r="C208" s="914">
        <v>1</v>
      </c>
      <c r="D208" s="914">
        <v>22544</v>
      </c>
      <c r="E208" s="915">
        <v>1.0549999999999999</v>
      </c>
      <c r="F208" s="916">
        <f t="shared" si="77"/>
        <v>23784</v>
      </c>
      <c r="G208" s="915">
        <v>1.01</v>
      </c>
      <c r="H208" s="916">
        <f t="shared" si="78"/>
        <v>24022</v>
      </c>
      <c r="I208" s="917">
        <f t="shared" si="79"/>
        <v>24022</v>
      </c>
      <c r="J208" s="918">
        <f t="shared" si="80"/>
        <v>0</v>
      </c>
      <c r="K208" s="919"/>
      <c r="L208" s="917">
        <f t="shared" si="81"/>
        <v>0</v>
      </c>
      <c r="M208" s="918">
        <f t="shared" si="82"/>
        <v>0</v>
      </c>
      <c r="N208" s="919"/>
      <c r="O208" s="917">
        <f t="shared" si="83"/>
        <v>0</v>
      </c>
      <c r="P208" s="918">
        <f t="shared" si="84"/>
        <v>0</v>
      </c>
      <c r="Q208" s="919"/>
      <c r="R208" s="917">
        <f t="shared" si="85"/>
        <v>0</v>
      </c>
      <c r="S208" s="918">
        <f t="shared" si="86"/>
        <v>0</v>
      </c>
      <c r="T208" s="919"/>
      <c r="U208" s="917">
        <f t="shared" si="87"/>
        <v>0</v>
      </c>
      <c r="V208" s="918">
        <f t="shared" si="88"/>
        <v>0</v>
      </c>
      <c r="W208" s="919"/>
      <c r="X208" s="917">
        <f t="shared" si="89"/>
        <v>0</v>
      </c>
      <c r="Y208" s="918">
        <f t="shared" si="90"/>
        <v>0.15</v>
      </c>
      <c r="Z208" s="919">
        <v>3381.6</v>
      </c>
      <c r="AA208" s="917">
        <f t="shared" si="91"/>
        <v>3603.3</v>
      </c>
      <c r="AB208" s="918">
        <f t="shared" si="92"/>
        <v>0.2</v>
      </c>
      <c r="AC208" s="919">
        <v>4508.8</v>
      </c>
      <c r="AD208" s="917">
        <f t="shared" si="93"/>
        <v>4804.3999999999996</v>
      </c>
      <c r="AE208" s="918">
        <f t="shared" si="94"/>
        <v>0</v>
      </c>
      <c r="AF208" s="919"/>
      <c r="AG208" s="917">
        <f t="shared" si="95"/>
        <v>0</v>
      </c>
      <c r="AH208" s="918">
        <f t="shared" si="96"/>
        <v>0</v>
      </c>
      <c r="AI208" s="919"/>
      <c r="AJ208" s="917">
        <f t="shared" si="97"/>
        <v>0</v>
      </c>
      <c r="AK208" s="918">
        <f t="shared" si="98"/>
        <v>0</v>
      </c>
      <c r="AL208" s="919"/>
      <c r="AM208" s="917">
        <f t="shared" si="99"/>
        <v>0</v>
      </c>
      <c r="AN208" s="920">
        <v>19242</v>
      </c>
      <c r="AO208" s="917">
        <f t="shared" si="100"/>
        <v>0</v>
      </c>
      <c r="AP208" s="920"/>
      <c r="AQ208" s="916">
        <f t="shared" si="101"/>
        <v>0</v>
      </c>
      <c r="AR208" s="917">
        <f t="shared" si="102"/>
        <v>32429.7</v>
      </c>
      <c r="AS208" s="916">
        <v>12</v>
      </c>
      <c r="AT208" s="921">
        <f t="shared" si="103"/>
        <v>389156.4</v>
      </c>
      <c r="AU208" s="920"/>
      <c r="AV208" s="922">
        <f t="shared" si="104"/>
        <v>3891.56</v>
      </c>
      <c r="AW208" s="921">
        <f t="shared" si="105"/>
        <v>393047.96</v>
      </c>
      <c r="AX208" s="921">
        <f t="shared" si="106"/>
        <v>118700.48</v>
      </c>
      <c r="AY208" s="921">
        <f t="shared" si="107"/>
        <v>511748.44</v>
      </c>
      <c r="AZ208" s="923">
        <f t="shared" si="108"/>
        <v>393</v>
      </c>
      <c r="BA208" s="923">
        <f t="shared" si="109"/>
        <v>118.7</v>
      </c>
      <c r="BB208" s="923">
        <f t="shared" si="110"/>
        <v>511.7</v>
      </c>
      <c r="BC208" s="915">
        <v>0.95</v>
      </c>
      <c r="BD208" s="923">
        <f t="shared" si="111"/>
        <v>373.4</v>
      </c>
      <c r="BE208" s="923">
        <f t="shared" si="112"/>
        <v>112.8</v>
      </c>
      <c r="BF208" s="923">
        <f t="shared" si="113"/>
        <v>486.2</v>
      </c>
      <c r="BG208" s="924">
        <f>'[3]свод (2024)'!$B$116</f>
        <v>0.99758349999999996</v>
      </c>
      <c r="BH208" s="923">
        <f t="shared" si="114"/>
        <v>372.5</v>
      </c>
      <c r="BI208" s="923">
        <f t="shared" si="115"/>
        <v>112.5</v>
      </c>
      <c r="BJ208" s="923">
        <f t="shared" si="116"/>
        <v>485</v>
      </c>
      <c r="BK208" s="925">
        <f t="shared" si="117"/>
        <v>-20.5</v>
      </c>
      <c r="BL208" s="925">
        <f t="shared" si="117"/>
        <v>-6.2</v>
      </c>
      <c r="BM208" s="925">
        <f t="shared" si="118"/>
        <v>-26.7</v>
      </c>
      <c r="BN208" s="925">
        <f t="shared" si="119"/>
        <v>0</v>
      </c>
      <c r="BO208" s="925">
        <f t="shared" si="120"/>
        <v>0</v>
      </c>
      <c r="BP208" s="926"/>
      <c r="BQ208" s="925">
        <f t="shared" si="121"/>
        <v>372.5</v>
      </c>
      <c r="BR208" s="925">
        <f t="shared" si="121"/>
        <v>112.5</v>
      </c>
      <c r="BS208" s="925">
        <f t="shared" si="122"/>
        <v>485</v>
      </c>
      <c r="BU208" s="928"/>
      <c r="BV208" s="917"/>
      <c r="BW208" s="928"/>
      <c r="BX208" s="928"/>
      <c r="BY208" s="928"/>
      <c r="BZ208" s="917"/>
      <c r="CA208" s="928"/>
      <c r="CB208" s="917"/>
      <c r="CC208" s="928"/>
      <c r="CD208" s="928"/>
      <c r="CE208" s="928"/>
      <c r="CF208" s="929"/>
      <c r="CG208" s="928"/>
      <c r="CH208" s="928"/>
      <c r="CI208" s="928"/>
      <c r="CJ208" s="925"/>
      <c r="CK208" s="925"/>
      <c r="CL208" s="925"/>
      <c r="CM208" s="925"/>
      <c r="CN208" s="925"/>
      <c r="CO208" s="925"/>
      <c r="CP208" s="925"/>
      <c r="CQ208" s="925"/>
      <c r="CR208" s="925"/>
      <c r="CS208" s="917"/>
      <c r="CT208" s="928"/>
      <c r="CU208" s="928"/>
      <c r="CV208" s="928"/>
      <c r="CX208" s="925"/>
      <c r="CY208" s="925"/>
      <c r="CZ208" s="925"/>
      <c r="DB208" s="925"/>
      <c r="DC208" s="925"/>
      <c r="DD208" s="925"/>
      <c r="DE208" s="925"/>
      <c r="DF208" s="925"/>
      <c r="DG208" s="925"/>
      <c r="DH208" s="925"/>
      <c r="DI208" s="925"/>
      <c r="DJ208" s="925"/>
      <c r="DK208" s="925"/>
      <c r="DL208" s="925"/>
      <c r="DM208" s="925"/>
      <c r="DN208" s="925"/>
      <c r="DO208" s="925"/>
      <c r="DP208" s="925"/>
      <c r="DQ208" s="924"/>
      <c r="DR208" s="925"/>
      <c r="DS208" s="925"/>
      <c r="DT208" s="925"/>
      <c r="DV208" s="925"/>
      <c r="DW208" s="925"/>
      <c r="DX208" s="925"/>
      <c r="DY208" s="925"/>
      <c r="DZ208" s="925"/>
      <c r="EA208" s="925"/>
      <c r="EB208" s="925"/>
      <c r="EC208" s="925"/>
      <c r="ED208" s="925"/>
      <c r="EE208" s="925"/>
      <c r="EF208" s="925"/>
      <c r="EG208" s="925"/>
      <c r="EH208" s="925"/>
      <c r="EI208" s="925"/>
      <c r="EJ208" s="925"/>
      <c r="EK208" s="925"/>
      <c r="EL208" s="925"/>
      <c r="EM208" s="925"/>
      <c r="EN208" s="925"/>
      <c r="EO208" s="925"/>
      <c r="EP208" s="925"/>
      <c r="EQ208" s="925"/>
      <c r="ER208" s="925"/>
      <c r="ES208" s="925"/>
      <c r="ET208" s="925"/>
      <c r="EV208" s="924"/>
      <c r="EW208" s="925"/>
      <c r="EX208" s="925"/>
      <c r="EY208" s="925"/>
    </row>
    <row r="209" spans="1:155" s="927" customFormat="1" ht="24" x14ac:dyDescent="0.25">
      <c r="A209" s="912" t="s">
        <v>62</v>
      </c>
      <c r="B209" s="913" t="s">
        <v>30</v>
      </c>
      <c r="C209" s="914">
        <v>1</v>
      </c>
      <c r="D209" s="914">
        <v>22544</v>
      </c>
      <c r="E209" s="915">
        <v>1.0549999999999999</v>
      </c>
      <c r="F209" s="916">
        <f t="shared" si="77"/>
        <v>23784</v>
      </c>
      <c r="G209" s="915">
        <v>1.01</v>
      </c>
      <c r="H209" s="916">
        <f t="shared" si="78"/>
        <v>24022</v>
      </c>
      <c r="I209" s="917">
        <f t="shared" si="79"/>
        <v>24022</v>
      </c>
      <c r="J209" s="918">
        <f t="shared" si="80"/>
        <v>0</v>
      </c>
      <c r="K209" s="919"/>
      <c r="L209" s="917">
        <f t="shared" si="81"/>
        <v>0</v>
      </c>
      <c r="M209" s="918">
        <f t="shared" si="82"/>
        <v>0</v>
      </c>
      <c r="N209" s="919"/>
      <c r="O209" s="917">
        <f t="shared" si="83"/>
        <v>0</v>
      </c>
      <c r="P209" s="918">
        <f t="shared" si="84"/>
        <v>0</v>
      </c>
      <c r="Q209" s="988"/>
      <c r="R209" s="917">
        <f t="shared" si="85"/>
        <v>0</v>
      </c>
      <c r="S209" s="918">
        <f t="shared" si="86"/>
        <v>0</v>
      </c>
      <c r="T209" s="919"/>
      <c r="U209" s="917">
        <f t="shared" si="87"/>
        <v>0</v>
      </c>
      <c r="V209" s="918">
        <f t="shared" si="88"/>
        <v>0</v>
      </c>
      <c r="W209" s="919"/>
      <c r="X209" s="917">
        <f t="shared" si="89"/>
        <v>0</v>
      </c>
      <c r="Y209" s="918">
        <f t="shared" si="90"/>
        <v>0.15</v>
      </c>
      <c r="Z209" s="919">
        <v>3381.6</v>
      </c>
      <c r="AA209" s="917">
        <f t="shared" si="91"/>
        <v>3603.3</v>
      </c>
      <c r="AB209" s="918">
        <f t="shared" si="92"/>
        <v>0.2</v>
      </c>
      <c r="AC209" s="919">
        <v>4508.8</v>
      </c>
      <c r="AD209" s="917">
        <f t="shared" si="93"/>
        <v>4804.3999999999996</v>
      </c>
      <c r="AE209" s="918">
        <f t="shared" si="94"/>
        <v>0</v>
      </c>
      <c r="AF209" s="919"/>
      <c r="AG209" s="917">
        <f t="shared" si="95"/>
        <v>0</v>
      </c>
      <c r="AH209" s="918">
        <f t="shared" si="96"/>
        <v>0</v>
      </c>
      <c r="AI209" s="919"/>
      <c r="AJ209" s="917">
        <f t="shared" si="97"/>
        <v>0</v>
      </c>
      <c r="AK209" s="918">
        <f t="shared" si="98"/>
        <v>0</v>
      </c>
      <c r="AL209" s="919"/>
      <c r="AM209" s="917">
        <f t="shared" si="99"/>
        <v>0</v>
      </c>
      <c r="AN209" s="920">
        <v>19242</v>
      </c>
      <c r="AO209" s="917">
        <f t="shared" si="100"/>
        <v>0</v>
      </c>
      <c r="AP209" s="920"/>
      <c r="AQ209" s="916">
        <f t="shared" si="101"/>
        <v>0</v>
      </c>
      <c r="AR209" s="917">
        <f t="shared" si="102"/>
        <v>32429.7</v>
      </c>
      <c r="AS209" s="916">
        <v>12</v>
      </c>
      <c r="AT209" s="921">
        <f t="shared" si="103"/>
        <v>389156.4</v>
      </c>
      <c r="AU209" s="920"/>
      <c r="AV209" s="922">
        <f t="shared" si="104"/>
        <v>3891.56</v>
      </c>
      <c r="AW209" s="921">
        <f t="shared" si="105"/>
        <v>393047.96</v>
      </c>
      <c r="AX209" s="921">
        <f t="shared" si="106"/>
        <v>118700.48</v>
      </c>
      <c r="AY209" s="921">
        <f t="shared" si="107"/>
        <v>511748.44</v>
      </c>
      <c r="AZ209" s="923">
        <f t="shared" si="108"/>
        <v>393</v>
      </c>
      <c r="BA209" s="923">
        <f t="shared" si="109"/>
        <v>118.7</v>
      </c>
      <c r="BB209" s="923">
        <f t="shared" si="110"/>
        <v>511.7</v>
      </c>
      <c r="BC209" s="915">
        <v>0.95</v>
      </c>
      <c r="BD209" s="923">
        <f t="shared" si="111"/>
        <v>373.4</v>
      </c>
      <c r="BE209" s="923">
        <f t="shared" si="112"/>
        <v>112.8</v>
      </c>
      <c r="BF209" s="923">
        <f t="shared" si="113"/>
        <v>486.2</v>
      </c>
      <c r="BG209" s="924">
        <f>'[3]свод (2024)'!$B$116</f>
        <v>0.99758349999999996</v>
      </c>
      <c r="BH209" s="923">
        <f t="shared" si="114"/>
        <v>372.5</v>
      </c>
      <c r="BI209" s="923">
        <f t="shared" si="115"/>
        <v>112.5</v>
      </c>
      <c r="BJ209" s="923">
        <f t="shared" si="116"/>
        <v>485</v>
      </c>
      <c r="BK209" s="925">
        <f t="shared" si="117"/>
        <v>-20.5</v>
      </c>
      <c r="BL209" s="925">
        <f t="shared" si="117"/>
        <v>-6.2</v>
      </c>
      <c r="BM209" s="925">
        <f t="shared" si="118"/>
        <v>-26.7</v>
      </c>
      <c r="BN209" s="925">
        <f t="shared" si="119"/>
        <v>0</v>
      </c>
      <c r="BO209" s="925">
        <f t="shared" si="120"/>
        <v>0</v>
      </c>
      <c r="BP209" s="926"/>
      <c r="BQ209" s="925">
        <f t="shared" si="121"/>
        <v>372.5</v>
      </c>
      <c r="BR209" s="925">
        <f t="shared" si="121"/>
        <v>112.5</v>
      </c>
      <c r="BS209" s="925">
        <f t="shared" si="122"/>
        <v>485</v>
      </c>
      <c r="BU209" s="928"/>
      <c r="BV209" s="917"/>
      <c r="BW209" s="928"/>
      <c r="BX209" s="928"/>
      <c r="BY209" s="928"/>
      <c r="BZ209" s="917"/>
      <c r="CA209" s="928"/>
      <c r="CB209" s="917"/>
      <c r="CC209" s="928"/>
      <c r="CD209" s="928"/>
      <c r="CE209" s="928"/>
      <c r="CF209" s="929"/>
      <c r="CG209" s="928"/>
      <c r="CH209" s="928"/>
      <c r="CI209" s="928"/>
      <c r="CJ209" s="925"/>
      <c r="CK209" s="925"/>
      <c r="CL209" s="925"/>
      <c r="CM209" s="925"/>
      <c r="CN209" s="925"/>
      <c r="CO209" s="925"/>
      <c r="CP209" s="925"/>
      <c r="CQ209" s="925"/>
      <c r="CR209" s="925"/>
      <c r="CS209" s="917"/>
      <c r="CT209" s="928"/>
      <c r="CU209" s="928"/>
      <c r="CV209" s="928"/>
      <c r="CX209" s="925"/>
      <c r="CY209" s="925"/>
      <c r="CZ209" s="925"/>
      <c r="DB209" s="925"/>
      <c r="DC209" s="925"/>
      <c r="DD209" s="925"/>
      <c r="DE209" s="925"/>
      <c r="DF209" s="925"/>
      <c r="DG209" s="925"/>
      <c r="DH209" s="925"/>
      <c r="DI209" s="925"/>
      <c r="DJ209" s="925"/>
      <c r="DK209" s="925"/>
      <c r="DL209" s="925"/>
      <c r="DM209" s="925"/>
      <c r="DN209" s="925"/>
      <c r="DO209" s="925"/>
      <c r="DP209" s="925"/>
      <c r="DQ209" s="924"/>
      <c r="DR209" s="925"/>
      <c r="DS209" s="925"/>
      <c r="DT209" s="925"/>
      <c r="DV209" s="925"/>
      <c r="DW209" s="925"/>
      <c r="DX209" s="925"/>
      <c r="DY209" s="925"/>
      <c r="DZ209" s="925"/>
      <c r="EA209" s="925"/>
      <c r="EB209" s="925"/>
      <c r="EC209" s="925"/>
      <c r="ED209" s="925"/>
      <c r="EE209" s="925"/>
      <c r="EF209" s="925"/>
      <c r="EG209" s="925"/>
      <c r="EH209" s="925"/>
      <c r="EI209" s="925"/>
      <c r="EJ209" s="925"/>
      <c r="EK209" s="925"/>
      <c r="EL209" s="925"/>
      <c r="EM209" s="925"/>
      <c r="EN209" s="925"/>
      <c r="EO209" s="925"/>
      <c r="EP209" s="925"/>
      <c r="EQ209" s="925"/>
      <c r="ER209" s="925"/>
      <c r="ES209" s="925"/>
      <c r="ET209" s="925"/>
      <c r="EV209" s="924"/>
      <c r="EW209" s="925"/>
      <c r="EX209" s="925"/>
      <c r="EY209" s="925"/>
    </row>
    <row r="210" spans="1:155" s="927" customFormat="1" ht="15.75" x14ac:dyDescent="0.25">
      <c r="A210" s="912" t="s">
        <v>62</v>
      </c>
      <c r="B210" s="913" t="s">
        <v>36</v>
      </c>
      <c r="C210" s="914">
        <v>1</v>
      </c>
      <c r="D210" s="914">
        <v>13772</v>
      </c>
      <c r="E210" s="915">
        <v>1.0549999999999999</v>
      </c>
      <c r="F210" s="916">
        <f t="shared" si="77"/>
        <v>14530</v>
      </c>
      <c r="G210" s="915">
        <v>1.01</v>
      </c>
      <c r="H210" s="916">
        <f t="shared" si="78"/>
        <v>14676</v>
      </c>
      <c r="I210" s="917">
        <f t="shared" si="79"/>
        <v>14676</v>
      </c>
      <c r="J210" s="918">
        <f t="shared" si="80"/>
        <v>0.25</v>
      </c>
      <c r="K210" s="919">
        <v>3443</v>
      </c>
      <c r="L210" s="917">
        <f t="shared" si="81"/>
        <v>3669</v>
      </c>
      <c r="M210" s="918">
        <f t="shared" si="82"/>
        <v>0</v>
      </c>
      <c r="N210" s="919"/>
      <c r="O210" s="917">
        <f t="shared" si="83"/>
        <v>0</v>
      </c>
      <c r="P210" s="918">
        <f t="shared" si="84"/>
        <v>0</v>
      </c>
      <c r="Q210" s="919"/>
      <c r="R210" s="917">
        <f t="shared" si="85"/>
        <v>0</v>
      </c>
      <c r="S210" s="918">
        <f t="shared" si="86"/>
        <v>0</v>
      </c>
      <c r="T210" s="919"/>
      <c r="U210" s="917">
        <f t="shared" si="87"/>
        <v>0</v>
      </c>
      <c r="V210" s="918">
        <f t="shared" si="88"/>
        <v>0</v>
      </c>
      <c r="W210" s="919"/>
      <c r="X210" s="917">
        <f t="shared" si="89"/>
        <v>0</v>
      </c>
      <c r="Y210" s="918">
        <f t="shared" si="90"/>
        <v>0</v>
      </c>
      <c r="Z210" s="919"/>
      <c r="AA210" s="917">
        <f t="shared" si="91"/>
        <v>0</v>
      </c>
      <c r="AB210" s="918">
        <f t="shared" si="92"/>
        <v>0.125</v>
      </c>
      <c r="AC210" s="919">
        <v>1721.5</v>
      </c>
      <c r="AD210" s="917">
        <f t="shared" si="93"/>
        <v>1834.5</v>
      </c>
      <c r="AE210" s="918">
        <f t="shared" si="94"/>
        <v>0</v>
      </c>
      <c r="AF210" s="919"/>
      <c r="AG210" s="917">
        <f t="shared" si="95"/>
        <v>0</v>
      </c>
      <c r="AH210" s="918">
        <f t="shared" si="96"/>
        <v>0</v>
      </c>
      <c r="AI210" s="919"/>
      <c r="AJ210" s="917">
        <f t="shared" si="97"/>
        <v>0</v>
      </c>
      <c r="AK210" s="918">
        <f t="shared" si="98"/>
        <v>0</v>
      </c>
      <c r="AL210" s="919"/>
      <c r="AM210" s="917">
        <f t="shared" si="99"/>
        <v>0</v>
      </c>
      <c r="AN210" s="920">
        <v>19242</v>
      </c>
      <c r="AO210" s="917">
        <f t="shared" si="100"/>
        <v>0</v>
      </c>
      <c r="AP210" s="920"/>
      <c r="AQ210" s="916">
        <f t="shared" si="101"/>
        <v>0</v>
      </c>
      <c r="AR210" s="917">
        <f t="shared" si="102"/>
        <v>20179.5</v>
      </c>
      <c r="AS210" s="916">
        <v>12</v>
      </c>
      <c r="AT210" s="921">
        <f t="shared" si="103"/>
        <v>242154</v>
      </c>
      <c r="AU210" s="920"/>
      <c r="AV210" s="922">
        <f t="shared" si="104"/>
        <v>2421.54</v>
      </c>
      <c r="AW210" s="921">
        <f t="shared" si="105"/>
        <v>244575.54</v>
      </c>
      <c r="AX210" s="921">
        <f t="shared" si="106"/>
        <v>73861.81</v>
      </c>
      <c r="AY210" s="921">
        <f t="shared" si="107"/>
        <v>318437.34999999998</v>
      </c>
      <c r="AZ210" s="923">
        <f t="shared" si="108"/>
        <v>244.6</v>
      </c>
      <c r="BA210" s="923">
        <f t="shared" si="109"/>
        <v>73.900000000000006</v>
      </c>
      <c r="BB210" s="923">
        <f t="shared" si="110"/>
        <v>318.5</v>
      </c>
      <c r="BC210" s="915">
        <v>0.95</v>
      </c>
      <c r="BD210" s="923">
        <f t="shared" si="111"/>
        <v>232.4</v>
      </c>
      <c r="BE210" s="923">
        <f t="shared" si="112"/>
        <v>70.2</v>
      </c>
      <c r="BF210" s="923">
        <f t="shared" si="113"/>
        <v>302.60000000000002</v>
      </c>
      <c r="BG210" s="924">
        <f>'[3]свод (2024)'!$B$116</f>
        <v>0.99758349999999996</v>
      </c>
      <c r="BH210" s="923">
        <f t="shared" si="114"/>
        <v>231.8</v>
      </c>
      <c r="BI210" s="923">
        <f t="shared" si="115"/>
        <v>70</v>
      </c>
      <c r="BJ210" s="923">
        <f t="shared" si="116"/>
        <v>301.8</v>
      </c>
      <c r="BK210" s="925">
        <f t="shared" si="117"/>
        <v>-12.8</v>
      </c>
      <c r="BL210" s="925">
        <f t="shared" si="117"/>
        <v>-3.9</v>
      </c>
      <c r="BM210" s="925">
        <f t="shared" si="118"/>
        <v>-16.7</v>
      </c>
      <c r="BN210" s="925">
        <f t="shared" si="119"/>
        <v>0</v>
      </c>
      <c r="BO210" s="925">
        <f t="shared" si="120"/>
        <v>0</v>
      </c>
      <c r="BP210" s="926"/>
      <c r="BQ210" s="925">
        <f t="shared" si="121"/>
        <v>231.8</v>
      </c>
      <c r="BR210" s="925">
        <f t="shared" si="121"/>
        <v>70</v>
      </c>
      <c r="BS210" s="925">
        <f t="shared" si="122"/>
        <v>301.8</v>
      </c>
      <c r="BU210" s="928">
        <f t="shared" si="123"/>
        <v>1</v>
      </c>
      <c r="BV210" s="917"/>
      <c r="BW210" s="928"/>
      <c r="BX210" s="928">
        <f t="shared" si="124"/>
        <v>244575.54</v>
      </c>
      <c r="BY210" s="928"/>
      <c r="BZ210" s="917"/>
      <c r="CA210" s="928"/>
      <c r="CB210" s="917"/>
      <c r="CC210" s="928"/>
      <c r="CD210" s="928"/>
      <c r="CE210" s="928"/>
      <c r="CF210" s="929">
        <f>CC$220/BU$220*BU210</f>
        <v>56315.66</v>
      </c>
      <c r="CG210" s="928"/>
      <c r="CH210" s="928"/>
      <c r="CI210" s="928"/>
      <c r="CJ210" s="925"/>
      <c r="CK210" s="925"/>
      <c r="CL210" s="925"/>
      <c r="CM210" s="925"/>
      <c r="CN210" s="925"/>
      <c r="CO210" s="925"/>
      <c r="CP210" s="925"/>
      <c r="CQ210" s="925"/>
      <c r="CR210" s="925"/>
      <c r="CS210" s="917"/>
      <c r="CT210" s="928"/>
      <c r="CU210" s="928"/>
      <c r="CV210" s="928"/>
      <c r="CX210" s="925"/>
      <c r="CY210" s="925"/>
      <c r="CZ210" s="925"/>
      <c r="DB210" s="925"/>
      <c r="DC210" s="925"/>
      <c r="DD210" s="925"/>
      <c r="DE210" s="925"/>
      <c r="DF210" s="925"/>
      <c r="DG210" s="925"/>
      <c r="DH210" s="925"/>
      <c r="DI210" s="925"/>
      <c r="DJ210" s="925"/>
      <c r="DK210" s="925"/>
      <c r="DL210" s="925"/>
      <c r="DM210" s="925"/>
      <c r="DN210" s="925"/>
      <c r="DO210" s="925"/>
      <c r="DP210" s="925"/>
      <c r="DQ210" s="924"/>
      <c r="DR210" s="925"/>
      <c r="DS210" s="925"/>
      <c r="DT210" s="925"/>
      <c r="DV210" s="925"/>
      <c r="DW210" s="925"/>
      <c r="DX210" s="925"/>
      <c r="DY210" s="925"/>
      <c r="DZ210" s="925"/>
      <c r="EA210" s="925"/>
      <c r="EB210" s="925"/>
      <c r="EC210" s="925"/>
      <c r="ED210" s="925"/>
      <c r="EE210" s="925"/>
      <c r="EF210" s="925"/>
      <c r="EG210" s="925"/>
      <c r="EH210" s="925"/>
      <c r="EI210" s="925"/>
      <c r="EJ210" s="925"/>
      <c r="EK210" s="925"/>
      <c r="EL210" s="925"/>
      <c r="EM210" s="925"/>
      <c r="EN210" s="925"/>
      <c r="EO210" s="925"/>
      <c r="EP210" s="925"/>
      <c r="EQ210" s="925"/>
      <c r="ER210" s="925"/>
      <c r="ES210" s="925"/>
      <c r="ET210" s="925"/>
      <c r="EV210" s="924"/>
      <c r="EW210" s="925"/>
      <c r="EX210" s="925"/>
      <c r="EY210" s="925"/>
    </row>
    <row r="211" spans="1:155" s="927" customFormat="1" ht="15.75" x14ac:dyDescent="0.25">
      <c r="A211" s="912" t="s">
        <v>62</v>
      </c>
      <c r="B211" s="913" t="s">
        <v>1416</v>
      </c>
      <c r="C211" s="914">
        <v>2</v>
      </c>
      <c r="D211" s="914">
        <v>5156</v>
      </c>
      <c r="E211" s="915">
        <v>1.0549999999999999</v>
      </c>
      <c r="F211" s="916">
        <f t="shared" si="77"/>
        <v>5440</v>
      </c>
      <c r="G211" s="915">
        <v>1.01</v>
      </c>
      <c r="H211" s="916">
        <f t="shared" si="78"/>
        <v>5495</v>
      </c>
      <c r="I211" s="917">
        <f t="shared" si="79"/>
        <v>10990</v>
      </c>
      <c r="J211" s="918">
        <f t="shared" si="80"/>
        <v>0</v>
      </c>
      <c r="K211" s="919"/>
      <c r="L211" s="917">
        <f t="shared" si="81"/>
        <v>0</v>
      </c>
      <c r="M211" s="918">
        <f t="shared" si="82"/>
        <v>0</v>
      </c>
      <c r="N211" s="919"/>
      <c r="O211" s="917">
        <f t="shared" si="83"/>
        <v>0</v>
      </c>
      <c r="P211" s="918">
        <f t="shared" si="84"/>
        <v>0</v>
      </c>
      <c r="Q211" s="919"/>
      <c r="R211" s="917">
        <f t="shared" si="85"/>
        <v>0</v>
      </c>
      <c r="S211" s="918">
        <f t="shared" si="86"/>
        <v>0</v>
      </c>
      <c r="T211" s="919"/>
      <c r="U211" s="917">
        <f t="shared" si="87"/>
        <v>0</v>
      </c>
      <c r="V211" s="918">
        <f t="shared" si="88"/>
        <v>0</v>
      </c>
      <c r="W211" s="919"/>
      <c r="X211" s="917">
        <f t="shared" si="89"/>
        <v>0</v>
      </c>
      <c r="Y211" s="918">
        <f t="shared" si="90"/>
        <v>0</v>
      </c>
      <c r="Z211" s="919"/>
      <c r="AA211" s="917">
        <f t="shared" si="91"/>
        <v>0</v>
      </c>
      <c r="AB211" s="918">
        <f t="shared" si="92"/>
        <v>0</v>
      </c>
      <c r="AC211" s="919"/>
      <c r="AD211" s="917">
        <f t="shared" si="93"/>
        <v>0</v>
      </c>
      <c r="AE211" s="918">
        <f t="shared" si="94"/>
        <v>0</v>
      </c>
      <c r="AF211" s="919"/>
      <c r="AG211" s="917">
        <f t="shared" si="95"/>
        <v>0</v>
      </c>
      <c r="AH211" s="918">
        <f t="shared" si="96"/>
        <v>0</v>
      </c>
      <c r="AI211" s="919"/>
      <c r="AJ211" s="917">
        <f t="shared" si="97"/>
        <v>0</v>
      </c>
      <c r="AK211" s="918">
        <f t="shared" si="98"/>
        <v>0</v>
      </c>
      <c r="AL211" s="919"/>
      <c r="AM211" s="917">
        <f t="shared" si="99"/>
        <v>0</v>
      </c>
      <c r="AN211" s="920">
        <v>19242</v>
      </c>
      <c r="AO211" s="917">
        <f t="shared" si="100"/>
        <v>27494</v>
      </c>
      <c r="AP211" s="920">
        <v>1060.29</v>
      </c>
      <c r="AQ211" s="916">
        <f t="shared" si="101"/>
        <v>2120.58</v>
      </c>
      <c r="AR211" s="917">
        <f t="shared" si="102"/>
        <v>40604.58</v>
      </c>
      <c r="AS211" s="916">
        <v>12</v>
      </c>
      <c r="AT211" s="921">
        <f t="shared" si="103"/>
        <v>487254.96</v>
      </c>
      <c r="AU211" s="920">
        <f>AT211*0.085</f>
        <v>41416.67</v>
      </c>
      <c r="AV211" s="922">
        <f t="shared" si="104"/>
        <v>4872.55</v>
      </c>
      <c r="AW211" s="921">
        <f t="shared" si="105"/>
        <v>533544.18000000005</v>
      </c>
      <c r="AX211" s="921">
        <f t="shared" si="106"/>
        <v>161130.34</v>
      </c>
      <c r="AY211" s="921">
        <f t="shared" si="107"/>
        <v>694674.52</v>
      </c>
      <c r="AZ211" s="923">
        <f t="shared" si="108"/>
        <v>533.5</v>
      </c>
      <c r="BA211" s="923">
        <f t="shared" si="109"/>
        <v>161.1</v>
      </c>
      <c r="BB211" s="923">
        <f t="shared" si="110"/>
        <v>694.6</v>
      </c>
      <c r="BC211" s="915">
        <v>0.95</v>
      </c>
      <c r="BD211" s="923">
        <f t="shared" si="111"/>
        <v>506.8</v>
      </c>
      <c r="BE211" s="923">
        <f t="shared" si="112"/>
        <v>153.1</v>
      </c>
      <c r="BF211" s="923">
        <f t="shared" si="113"/>
        <v>659.9</v>
      </c>
      <c r="BG211" s="924">
        <f>'[3]свод (2024)'!$B$116</f>
        <v>0.99758349999999996</v>
      </c>
      <c r="BH211" s="923">
        <f t="shared" si="114"/>
        <v>505.6</v>
      </c>
      <c r="BI211" s="923">
        <f t="shared" si="115"/>
        <v>152.69999999999999</v>
      </c>
      <c r="BJ211" s="923">
        <f t="shared" si="116"/>
        <v>658.3</v>
      </c>
      <c r="BK211" s="925">
        <f t="shared" si="117"/>
        <v>-27.9</v>
      </c>
      <c r="BL211" s="925">
        <f t="shared" si="117"/>
        <v>-8.4</v>
      </c>
      <c r="BM211" s="925">
        <f t="shared" si="118"/>
        <v>-36.299999999999997</v>
      </c>
      <c r="BN211" s="925">
        <f t="shared" si="119"/>
        <v>0</v>
      </c>
      <c r="BO211" s="925">
        <f t="shared" si="120"/>
        <v>0</v>
      </c>
      <c r="BP211" s="926"/>
      <c r="BQ211" s="925">
        <f t="shared" si="121"/>
        <v>505.6</v>
      </c>
      <c r="BR211" s="925">
        <f t="shared" si="121"/>
        <v>152.69999999999999</v>
      </c>
      <c r="BS211" s="925">
        <f t="shared" si="122"/>
        <v>658.3</v>
      </c>
      <c r="BU211" s="928"/>
      <c r="BV211" s="917"/>
      <c r="BW211" s="928"/>
      <c r="BX211" s="928"/>
      <c r="BY211" s="928"/>
      <c r="BZ211" s="917"/>
      <c r="CA211" s="928"/>
      <c r="CB211" s="917"/>
      <c r="CC211" s="928"/>
      <c r="CD211" s="928"/>
      <c r="CE211" s="928"/>
      <c r="CF211" s="929"/>
      <c r="CG211" s="928"/>
      <c r="CH211" s="928"/>
      <c r="CI211" s="928"/>
      <c r="CJ211" s="925"/>
      <c r="CK211" s="925"/>
      <c r="CL211" s="925"/>
      <c r="CM211" s="925"/>
      <c r="CN211" s="925"/>
      <c r="CO211" s="925"/>
      <c r="CP211" s="925"/>
      <c r="CQ211" s="925"/>
      <c r="CR211" s="925"/>
      <c r="CS211" s="917"/>
      <c r="CT211" s="928"/>
      <c r="CU211" s="928"/>
      <c r="CV211" s="928"/>
      <c r="CX211" s="925"/>
      <c r="CY211" s="925"/>
      <c r="CZ211" s="925"/>
      <c r="DB211" s="925"/>
      <c r="DC211" s="925"/>
      <c r="DD211" s="925"/>
      <c r="DE211" s="925"/>
      <c r="DF211" s="925"/>
      <c r="DG211" s="925"/>
      <c r="DH211" s="925"/>
      <c r="DI211" s="925"/>
      <c r="DJ211" s="925"/>
      <c r="DK211" s="925"/>
      <c r="DL211" s="925"/>
      <c r="DM211" s="925"/>
      <c r="DN211" s="925"/>
      <c r="DO211" s="925"/>
      <c r="DP211" s="925"/>
      <c r="DQ211" s="924"/>
      <c r="DR211" s="925"/>
      <c r="DS211" s="925"/>
      <c r="DT211" s="925"/>
      <c r="DV211" s="925"/>
      <c r="DW211" s="925"/>
      <c r="DX211" s="925"/>
      <c r="DY211" s="925"/>
      <c r="DZ211" s="925"/>
      <c r="EA211" s="925"/>
      <c r="EB211" s="925"/>
      <c r="EC211" s="925"/>
      <c r="ED211" s="925"/>
      <c r="EE211" s="925"/>
      <c r="EF211" s="925"/>
      <c r="EG211" s="925"/>
      <c r="EH211" s="925"/>
      <c r="EI211" s="925"/>
      <c r="EJ211" s="925"/>
      <c r="EK211" s="925"/>
      <c r="EL211" s="925"/>
      <c r="EM211" s="925"/>
      <c r="EN211" s="925"/>
      <c r="EO211" s="925"/>
      <c r="EP211" s="925"/>
      <c r="EQ211" s="925"/>
      <c r="ER211" s="925"/>
      <c r="ES211" s="925"/>
      <c r="ET211" s="925"/>
      <c r="EV211" s="924"/>
      <c r="EW211" s="925"/>
      <c r="EX211" s="925"/>
      <c r="EY211" s="925"/>
    </row>
    <row r="212" spans="1:155" s="927" customFormat="1" ht="15.75" x14ac:dyDescent="0.25">
      <c r="A212" s="912" t="s">
        <v>62</v>
      </c>
      <c r="B212" s="913" t="s">
        <v>35</v>
      </c>
      <c r="C212" s="914">
        <v>14.44</v>
      </c>
      <c r="D212" s="914">
        <v>13132</v>
      </c>
      <c r="E212" s="915">
        <v>1.0549999999999999</v>
      </c>
      <c r="F212" s="916">
        <f t="shared" si="77"/>
        <v>13855</v>
      </c>
      <c r="G212" s="915">
        <v>1.01</v>
      </c>
      <c r="H212" s="916">
        <f t="shared" si="78"/>
        <v>13994</v>
      </c>
      <c r="I212" s="917">
        <f t="shared" si="79"/>
        <v>202073.36</v>
      </c>
      <c r="J212" s="918">
        <f t="shared" si="80"/>
        <v>0.17122999999999999</v>
      </c>
      <c r="K212" s="919">
        <v>32468.87</v>
      </c>
      <c r="L212" s="917">
        <f t="shared" si="81"/>
        <v>34601.019999999997</v>
      </c>
      <c r="M212" s="918">
        <f t="shared" si="82"/>
        <v>0</v>
      </c>
      <c r="N212" s="919"/>
      <c r="O212" s="917">
        <f t="shared" si="83"/>
        <v>0</v>
      </c>
      <c r="P212" s="918">
        <f t="shared" si="84"/>
        <v>0</v>
      </c>
      <c r="Q212" s="919"/>
      <c r="R212" s="917">
        <f t="shared" si="85"/>
        <v>0</v>
      </c>
      <c r="S212" s="918">
        <f t="shared" si="86"/>
        <v>0</v>
      </c>
      <c r="T212" s="919"/>
      <c r="U212" s="917">
        <f t="shared" si="87"/>
        <v>0</v>
      </c>
      <c r="V212" s="918">
        <f t="shared" si="88"/>
        <v>0</v>
      </c>
      <c r="W212" s="919"/>
      <c r="X212" s="917">
        <f t="shared" si="89"/>
        <v>0</v>
      </c>
      <c r="Y212" s="918">
        <f t="shared" si="90"/>
        <v>0</v>
      </c>
      <c r="Z212" s="919"/>
      <c r="AA212" s="917">
        <f t="shared" si="91"/>
        <v>0</v>
      </c>
      <c r="AB212" s="918">
        <f t="shared" si="92"/>
        <v>0.17238999999999999</v>
      </c>
      <c r="AC212" s="919">
        <v>32689.49</v>
      </c>
      <c r="AD212" s="917">
        <f t="shared" si="93"/>
        <v>34835.43</v>
      </c>
      <c r="AE212" s="918">
        <f t="shared" si="94"/>
        <v>0</v>
      </c>
      <c r="AF212" s="919"/>
      <c r="AG212" s="917">
        <f t="shared" si="95"/>
        <v>0</v>
      </c>
      <c r="AH212" s="918">
        <f t="shared" si="96"/>
        <v>0</v>
      </c>
      <c r="AI212" s="919"/>
      <c r="AJ212" s="917">
        <f t="shared" si="97"/>
        <v>0</v>
      </c>
      <c r="AK212" s="918">
        <f t="shared" si="98"/>
        <v>0</v>
      </c>
      <c r="AL212" s="919"/>
      <c r="AM212" s="917">
        <f t="shared" si="99"/>
        <v>0</v>
      </c>
      <c r="AN212" s="920">
        <v>19242</v>
      </c>
      <c r="AO212" s="917">
        <f t="shared" si="100"/>
        <v>6344.67</v>
      </c>
      <c r="AP212" s="920"/>
      <c r="AQ212" s="916">
        <f t="shared" si="101"/>
        <v>0</v>
      </c>
      <c r="AR212" s="917">
        <f t="shared" si="102"/>
        <v>277854.48</v>
      </c>
      <c r="AS212" s="916">
        <v>12</v>
      </c>
      <c r="AT212" s="921">
        <f t="shared" si="103"/>
        <v>3334253.76</v>
      </c>
      <c r="AU212" s="920"/>
      <c r="AV212" s="922">
        <f t="shared" si="104"/>
        <v>33342.54</v>
      </c>
      <c r="AW212" s="921">
        <f t="shared" si="105"/>
        <v>3367596.3</v>
      </c>
      <c r="AX212" s="921">
        <f t="shared" si="106"/>
        <v>1017014.08</v>
      </c>
      <c r="AY212" s="921">
        <f t="shared" si="107"/>
        <v>4384610.38</v>
      </c>
      <c r="AZ212" s="923">
        <f t="shared" si="108"/>
        <v>3367.6</v>
      </c>
      <c r="BA212" s="923">
        <f t="shared" si="109"/>
        <v>1017</v>
      </c>
      <c r="BB212" s="923">
        <f t="shared" si="110"/>
        <v>4384.6000000000004</v>
      </c>
      <c r="BC212" s="915">
        <v>0.95</v>
      </c>
      <c r="BD212" s="923">
        <f t="shared" si="111"/>
        <v>3199.2</v>
      </c>
      <c r="BE212" s="923">
        <f t="shared" si="112"/>
        <v>966.2</v>
      </c>
      <c r="BF212" s="923">
        <f t="shared" si="113"/>
        <v>4165.3999999999996</v>
      </c>
      <c r="BG212" s="924">
        <f>'[3]свод (2024)'!$B$116</f>
        <v>0.99758349999999996</v>
      </c>
      <c r="BH212" s="923">
        <f t="shared" si="114"/>
        <v>3191.5</v>
      </c>
      <c r="BI212" s="923">
        <f t="shared" si="115"/>
        <v>963.8</v>
      </c>
      <c r="BJ212" s="923">
        <f t="shared" si="116"/>
        <v>4155.3</v>
      </c>
      <c r="BK212" s="925">
        <f t="shared" si="117"/>
        <v>-176.1</v>
      </c>
      <c r="BL212" s="925">
        <f t="shared" si="117"/>
        <v>-53.2</v>
      </c>
      <c r="BM212" s="925">
        <f t="shared" si="118"/>
        <v>-229.3</v>
      </c>
      <c r="BN212" s="925">
        <f t="shared" si="119"/>
        <v>0</v>
      </c>
      <c r="BO212" s="925">
        <f t="shared" si="120"/>
        <v>0</v>
      </c>
      <c r="BP212" s="926"/>
      <c r="BQ212" s="925">
        <f t="shared" si="121"/>
        <v>3191.5</v>
      </c>
      <c r="BR212" s="925">
        <f t="shared" si="121"/>
        <v>963.8</v>
      </c>
      <c r="BS212" s="925">
        <f t="shared" si="122"/>
        <v>4155.3</v>
      </c>
      <c r="BU212" s="928">
        <f t="shared" si="123"/>
        <v>14.44</v>
      </c>
      <c r="BV212" s="917"/>
      <c r="BW212" s="928"/>
      <c r="BX212" s="928">
        <f t="shared" si="124"/>
        <v>3367596.3</v>
      </c>
      <c r="BY212" s="928"/>
      <c r="BZ212" s="917"/>
      <c r="CA212" s="928"/>
      <c r="CB212" s="917"/>
      <c r="CC212" s="928"/>
      <c r="CD212" s="928"/>
      <c r="CE212" s="928"/>
      <c r="CF212" s="929">
        <f t="shared" ref="CF212:CF214" si="164">CC$220/BU$220*BU212</f>
        <v>813198.11</v>
      </c>
      <c r="CG212" s="928"/>
      <c r="CH212" s="928"/>
      <c r="CI212" s="928"/>
      <c r="CJ212" s="925"/>
      <c r="CK212" s="925"/>
      <c r="CL212" s="925"/>
      <c r="CM212" s="925"/>
      <c r="CN212" s="925"/>
      <c r="CO212" s="925"/>
      <c r="CP212" s="925"/>
      <c r="CQ212" s="925"/>
      <c r="CR212" s="925"/>
      <c r="CS212" s="917"/>
      <c r="CT212" s="928"/>
      <c r="CU212" s="928"/>
      <c r="CV212" s="928"/>
      <c r="CX212" s="925"/>
      <c r="CY212" s="925"/>
      <c r="CZ212" s="925"/>
      <c r="DB212" s="925"/>
      <c r="DC212" s="925"/>
      <c r="DD212" s="925"/>
      <c r="DE212" s="925"/>
      <c r="DF212" s="925"/>
      <c r="DG212" s="925"/>
      <c r="DH212" s="925"/>
      <c r="DI212" s="925"/>
      <c r="DJ212" s="925"/>
      <c r="DK212" s="925"/>
      <c r="DL212" s="925"/>
      <c r="DM212" s="925"/>
      <c r="DN212" s="925"/>
      <c r="DO212" s="925"/>
      <c r="DP212" s="925"/>
      <c r="DQ212" s="924"/>
      <c r="DR212" s="925"/>
      <c r="DS212" s="925"/>
      <c r="DT212" s="925"/>
      <c r="DV212" s="925"/>
      <c r="DW212" s="925"/>
      <c r="DX212" s="925"/>
      <c r="DY212" s="925"/>
      <c r="DZ212" s="925"/>
      <c r="EA212" s="925"/>
      <c r="EB212" s="925"/>
      <c r="EC212" s="925"/>
      <c r="ED212" s="925"/>
      <c r="EE212" s="925"/>
      <c r="EF212" s="925"/>
      <c r="EG212" s="925"/>
      <c r="EH212" s="925"/>
      <c r="EI212" s="925"/>
      <c r="EJ212" s="925"/>
      <c r="EK212" s="925"/>
      <c r="EL212" s="925"/>
      <c r="EM212" s="925"/>
      <c r="EN212" s="925"/>
      <c r="EO212" s="925"/>
      <c r="EP212" s="925"/>
      <c r="EQ212" s="925"/>
      <c r="ER212" s="925"/>
      <c r="ES212" s="925"/>
      <c r="ET212" s="925"/>
      <c r="EV212" s="924"/>
      <c r="EW212" s="925"/>
      <c r="EX212" s="925"/>
      <c r="EY212" s="925"/>
    </row>
    <row r="213" spans="1:155" s="927" customFormat="1" ht="15.75" x14ac:dyDescent="0.25">
      <c r="A213" s="912" t="s">
        <v>62</v>
      </c>
      <c r="B213" s="913" t="s">
        <v>37</v>
      </c>
      <c r="C213" s="914">
        <v>1</v>
      </c>
      <c r="D213" s="914">
        <v>13132</v>
      </c>
      <c r="E213" s="915">
        <v>1.0549999999999999</v>
      </c>
      <c r="F213" s="916">
        <f t="shared" ref="F213:F219" si="165">ROUNDUP(D213*E213,0)</f>
        <v>13855</v>
      </c>
      <c r="G213" s="915">
        <v>1.01</v>
      </c>
      <c r="H213" s="916">
        <f t="shared" ref="H213:H219" si="166">ROUNDUP(F213*G213,0)</f>
        <v>13994</v>
      </c>
      <c r="I213" s="917">
        <f t="shared" ref="I213:I219" si="167">ROUND(C213*H213,2)</f>
        <v>13994</v>
      </c>
      <c r="J213" s="918">
        <f t="shared" ref="J213:J219" si="168">IF(K213&gt;0,(ROUND(K213/($C213*$D213),5)),0)</f>
        <v>0.25</v>
      </c>
      <c r="K213" s="919">
        <v>3283</v>
      </c>
      <c r="L213" s="917">
        <f t="shared" ref="L213:L219" si="169">ROUND($I213*J213,2)</f>
        <v>3498.5</v>
      </c>
      <c r="M213" s="918">
        <f t="shared" ref="M213:M219" si="170">IF(N213&gt;0,(ROUND(N213/($C213*$D213),5)),0)</f>
        <v>0</v>
      </c>
      <c r="N213" s="919"/>
      <c r="O213" s="917">
        <f t="shared" ref="O213:O219" si="171">ROUND($I213*M213,2)</f>
        <v>0</v>
      </c>
      <c r="P213" s="918">
        <f t="shared" ref="P213:P219" si="172">IF(Q213&gt;0,(ROUND(Q213/($C213*$D213),5)),0)</f>
        <v>0</v>
      </c>
      <c r="Q213" s="919"/>
      <c r="R213" s="917">
        <f t="shared" ref="R213:R219" si="173">ROUND($I213*P213,2)</f>
        <v>0</v>
      </c>
      <c r="S213" s="918">
        <f t="shared" ref="S213:S219" si="174">IF(T213&gt;0,(ROUND(T213/($C213*$D213),5)),0)</f>
        <v>0</v>
      </c>
      <c r="T213" s="919"/>
      <c r="U213" s="917">
        <f t="shared" ref="U213:U219" si="175">ROUND($I213*S213,2)</f>
        <v>0</v>
      </c>
      <c r="V213" s="918">
        <f t="shared" ref="V213:V219" si="176">IF(W213&gt;0,(ROUND(W213/($C213*$D213),5)),0)</f>
        <v>0</v>
      </c>
      <c r="W213" s="919"/>
      <c r="X213" s="917">
        <f t="shared" ref="X213:X219" si="177">ROUND($I213*V213,2)</f>
        <v>0</v>
      </c>
      <c r="Y213" s="918">
        <f t="shared" ref="Y213:Y219" si="178">IF(Z213&gt;0,(ROUND(Z213/($C213*$D213),5)),0)</f>
        <v>0</v>
      </c>
      <c r="Z213" s="919"/>
      <c r="AA213" s="917">
        <f t="shared" ref="AA213:AA219" si="179">ROUND($I213*Y213,2)</f>
        <v>0</v>
      </c>
      <c r="AB213" s="918">
        <f t="shared" ref="AB213:AB219" si="180">IF(AC213&gt;0,(ROUND(AC213/($C213*$D213),5)),0)</f>
        <v>0.25</v>
      </c>
      <c r="AC213" s="919">
        <v>3283</v>
      </c>
      <c r="AD213" s="917">
        <f t="shared" ref="AD213:AD219" si="181">ROUND($I213*AB213,2)</f>
        <v>3498.5</v>
      </c>
      <c r="AE213" s="918">
        <f t="shared" ref="AE213:AE219" si="182">IF(AF213&gt;0,(ROUND(AF213/($C213*$D213),5)),0)</f>
        <v>0</v>
      </c>
      <c r="AF213" s="919"/>
      <c r="AG213" s="917">
        <f t="shared" ref="AG213:AG219" si="183">ROUND($I213*AE213,2)</f>
        <v>0</v>
      </c>
      <c r="AH213" s="918">
        <f t="shared" ref="AH213:AH219" si="184">IF(AI213&gt;0,(ROUND(AI213/($C213*$D213),5)),0)</f>
        <v>0</v>
      </c>
      <c r="AI213" s="919"/>
      <c r="AJ213" s="917">
        <f t="shared" ref="AJ213:AJ219" si="185">ROUND($I213*AH213,2)</f>
        <v>0</v>
      </c>
      <c r="AK213" s="918">
        <f t="shared" ref="AK213:AK219" si="186">IF(AL213&gt;0,(ROUND(AL213/($C213*$D213),5)),0)</f>
        <v>0</v>
      </c>
      <c r="AL213" s="919"/>
      <c r="AM213" s="917">
        <f t="shared" ref="AM213:AM219" si="187">ROUND($I213*AK213,2)</f>
        <v>0</v>
      </c>
      <c r="AN213" s="920">
        <v>19242</v>
      </c>
      <c r="AO213" s="917">
        <f t="shared" ref="AO213:AO219" si="188">ROUND(IF(((I213+L213+O213+R213+U213+X213+AA213+AD213+AG213+AJ213+AM213)&gt;(AN213*C213)),0,((AN213*C213)-(I213+L213+O213+R213+U213+X213+AA213+AD213+AG213+AJ213+AM213))),2)</f>
        <v>0</v>
      </c>
      <c r="AP213" s="920"/>
      <c r="AQ213" s="916">
        <f t="shared" ref="AQ213:AQ219" si="189">ROUND(C213*AP213,2)</f>
        <v>0</v>
      </c>
      <c r="AR213" s="917">
        <f t="shared" ref="AR213:AR219" si="190">ROUND((I213+L213+O213+R213+U213+X213+AA213+AD213+AG213+AJ213+AM213+AO213+AQ213),2)</f>
        <v>20991</v>
      </c>
      <c r="AS213" s="916">
        <v>12</v>
      </c>
      <c r="AT213" s="921">
        <f t="shared" ref="AT213:AT219" si="191">ROUND(AR213*AS213,2)</f>
        <v>251892</v>
      </c>
      <c r="AU213" s="920"/>
      <c r="AV213" s="922">
        <f t="shared" ref="AV213:AV219" si="192">ROUND(AT213*0.01,2)</f>
        <v>2518.92</v>
      </c>
      <c r="AW213" s="921">
        <f t="shared" ref="AW213:AW219" si="193">ROUND((AT213+AU213+AV213),2)</f>
        <v>254410.92</v>
      </c>
      <c r="AX213" s="921">
        <f t="shared" ref="AX213:AX219" si="194">ROUND(AW213*0.302,2)</f>
        <v>76832.100000000006</v>
      </c>
      <c r="AY213" s="921">
        <f t="shared" ref="AY213:AY219" si="195">ROUND((AW213+AX213),2)</f>
        <v>331243.02</v>
      </c>
      <c r="AZ213" s="923">
        <f t="shared" ref="AZ213:AZ219" si="196">ROUND(AW213/1000,1)</f>
        <v>254.4</v>
      </c>
      <c r="BA213" s="923">
        <f t="shared" ref="BA213:BA219" si="197">ROUND(AZ213*0.302,1)</f>
        <v>76.8</v>
      </c>
      <c r="BB213" s="923">
        <f t="shared" ref="BB213:BB219" si="198">ROUND((AZ213+BA213),1)</f>
        <v>331.2</v>
      </c>
      <c r="BC213" s="915">
        <v>0.95</v>
      </c>
      <c r="BD213" s="923">
        <f t="shared" ref="BD213:BD219" si="199">ROUND(AZ213*BC213,1)</f>
        <v>241.7</v>
      </c>
      <c r="BE213" s="923">
        <f t="shared" ref="BE213:BE219" si="200">ROUND(BD213*0.302,1)</f>
        <v>73</v>
      </c>
      <c r="BF213" s="923">
        <f t="shared" ref="BF213:BF219" si="201">ROUND((BD213+BE213),1)</f>
        <v>314.7</v>
      </c>
      <c r="BG213" s="924">
        <f>'[3]свод (2024)'!$B$116</f>
        <v>0.99758349999999996</v>
      </c>
      <c r="BH213" s="923">
        <f t="shared" ref="BH213:BH219" si="202">ROUND(BD213*BG213,1)</f>
        <v>241.1</v>
      </c>
      <c r="BI213" s="923">
        <f t="shared" ref="BI213:BI219" si="203">ROUND(BH213*0.302,1)</f>
        <v>72.8</v>
      </c>
      <c r="BJ213" s="923">
        <f t="shared" ref="BJ213:BJ219" si="204">ROUND((BH213+BI213),1)</f>
        <v>313.89999999999998</v>
      </c>
      <c r="BK213" s="925">
        <f t="shared" ref="BK213:BL219" si="205">ROUND((BH213-AZ213),1)</f>
        <v>-13.3</v>
      </c>
      <c r="BL213" s="925">
        <f t="shared" si="205"/>
        <v>-4</v>
      </c>
      <c r="BM213" s="925">
        <f t="shared" ref="BM213:BM219" si="206">ROUND((BK213+BL213),1)</f>
        <v>-17.3</v>
      </c>
      <c r="BN213" s="925">
        <f t="shared" ref="BN213:BN219" si="207">ROUND(BP213/1.302,1)</f>
        <v>0</v>
      </c>
      <c r="BO213" s="925">
        <f t="shared" ref="BO213:BO219" si="208">ROUND((BP213-BN213),1)</f>
        <v>0</v>
      </c>
      <c r="BP213" s="926"/>
      <c r="BQ213" s="925">
        <f t="shared" ref="BQ213:BR219" si="209">ROUND((BH213-BN213),1)</f>
        <v>241.1</v>
      </c>
      <c r="BR213" s="925">
        <f t="shared" si="209"/>
        <v>72.8</v>
      </c>
      <c r="BS213" s="925">
        <f t="shared" ref="BS213:BS219" si="210">ROUND((BQ213+BR213),1)</f>
        <v>313.89999999999998</v>
      </c>
      <c r="BU213" s="928">
        <f t="shared" ref="BU213:BU214" si="211">C213</f>
        <v>1</v>
      </c>
      <c r="BV213" s="917"/>
      <c r="BW213" s="928"/>
      <c r="BX213" s="928">
        <f t="shared" ref="BX213:BX214" si="212">AW213-X213</f>
        <v>254410.92</v>
      </c>
      <c r="BY213" s="928"/>
      <c r="BZ213" s="917"/>
      <c r="CA213" s="928"/>
      <c r="CB213" s="917"/>
      <c r="CC213" s="928"/>
      <c r="CD213" s="928"/>
      <c r="CE213" s="928"/>
      <c r="CF213" s="929">
        <f t="shared" si="164"/>
        <v>56315.66</v>
      </c>
      <c r="CG213" s="928"/>
      <c r="CH213" s="928"/>
      <c r="CI213" s="928"/>
      <c r="CJ213" s="925"/>
      <c r="CK213" s="925"/>
      <c r="CL213" s="925"/>
      <c r="CM213" s="925"/>
      <c r="CN213" s="925"/>
      <c r="CO213" s="925"/>
      <c r="CP213" s="925"/>
      <c r="CQ213" s="925"/>
      <c r="CR213" s="925"/>
      <c r="CS213" s="917"/>
      <c r="CT213" s="928"/>
      <c r="CU213" s="928"/>
      <c r="CV213" s="928"/>
      <c r="CX213" s="925"/>
      <c r="CY213" s="925"/>
      <c r="CZ213" s="925"/>
      <c r="DB213" s="925"/>
      <c r="DC213" s="925"/>
      <c r="DD213" s="925"/>
      <c r="DE213" s="925"/>
      <c r="DF213" s="925"/>
      <c r="DG213" s="925"/>
      <c r="DH213" s="925"/>
      <c r="DI213" s="925"/>
      <c r="DJ213" s="925"/>
      <c r="DK213" s="925"/>
      <c r="DL213" s="925"/>
      <c r="DM213" s="925"/>
      <c r="DN213" s="925"/>
      <c r="DO213" s="925"/>
      <c r="DP213" s="925"/>
      <c r="DQ213" s="924"/>
      <c r="DR213" s="925"/>
      <c r="DS213" s="925"/>
      <c r="DT213" s="925"/>
      <c r="DV213" s="925"/>
      <c r="DW213" s="925"/>
      <c r="DX213" s="925"/>
      <c r="DY213" s="925"/>
      <c r="DZ213" s="925"/>
      <c r="EA213" s="925"/>
      <c r="EB213" s="925"/>
      <c r="EC213" s="925"/>
      <c r="ED213" s="925"/>
      <c r="EE213" s="925"/>
      <c r="EF213" s="925"/>
      <c r="EG213" s="925"/>
      <c r="EH213" s="925"/>
      <c r="EI213" s="925"/>
      <c r="EJ213" s="925"/>
      <c r="EK213" s="925"/>
      <c r="EL213" s="925"/>
      <c r="EM213" s="925"/>
      <c r="EN213" s="925"/>
      <c r="EO213" s="925"/>
      <c r="EP213" s="925"/>
      <c r="EQ213" s="925"/>
      <c r="ER213" s="925"/>
      <c r="ES213" s="925"/>
      <c r="ET213" s="925"/>
      <c r="EV213" s="924"/>
      <c r="EW213" s="925"/>
      <c r="EX213" s="925"/>
      <c r="EY213" s="925"/>
    </row>
    <row r="214" spans="1:155" s="927" customFormat="1" ht="15.75" x14ac:dyDescent="0.25">
      <c r="A214" s="912" t="s">
        <v>62</v>
      </c>
      <c r="B214" s="913" t="s">
        <v>1386</v>
      </c>
      <c r="C214" s="914">
        <v>1</v>
      </c>
      <c r="D214" s="914">
        <v>13772</v>
      </c>
      <c r="E214" s="915">
        <v>1.0549999999999999</v>
      </c>
      <c r="F214" s="916">
        <f t="shared" si="165"/>
        <v>14530</v>
      </c>
      <c r="G214" s="915">
        <v>1.01</v>
      </c>
      <c r="H214" s="916">
        <f t="shared" si="166"/>
        <v>14676</v>
      </c>
      <c r="I214" s="917">
        <f t="shared" si="167"/>
        <v>14676</v>
      </c>
      <c r="J214" s="918">
        <f t="shared" si="168"/>
        <v>0.125</v>
      </c>
      <c r="K214" s="919">
        <v>1721.5</v>
      </c>
      <c r="L214" s="917">
        <f t="shared" si="169"/>
        <v>1834.5</v>
      </c>
      <c r="M214" s="918">
        <f t="shared" si="170"/>
        <v>0</v>
      </c>
      <c r="N214" s="919"/>
      <c r="O214" s="917">
        <f t="shared" si="171"/>
        <v>0</v>
      </c>
      <c r="P214" s="918">
        <f t="shared" si="172"/>
        <v>0</v>
      </c>
      <c r="Q214" s="919"/>
      <c r="R214" s="917">
        <f t="shared" si="173"/>
        <v>0</v>
      </c>
      <c r="S214" s="918">
        <f t="shared" si="174"/>
        <v>0</v>
      </c>
      <c r="T214" s="919"/>
      <c r="U214" s="917">
        <f t="shared" si="175"/>
        <v>0</v>
      </c>
      <c r="V214" s="918">
        <f t="shared" si="176"/>
        <v>0</v>
      </c>
      <c r="W214" s="919"/>
      <c r="X214" s="917">
        <f t="shared" si="177"/>
        <v>0</v>
      </c>
      <c r="Y214" s="918">
        <f t="shared" si="178"/>
        <v>0</v>
      </c>
      <c r="Z214" s="919"/>
      <c r="AA214" s="917">
        <f t="shared" si="179"/>
        <v>0</v>
      </c>
      <c r="AB214" s="918">
        <f t="shared" si="180"/>
        <v>0.15</v>
      </c>
      <c r="AC214" s="919">
        <v>2065.8000000000002</v>
      </c>
      <c r="AD214" s="917">
        <f t="shared" si="181"/>
        <v>2201.4</v>
      </c>
      <c r="AE214" s="918">
        <f t="shared" si="182"/>
        <v>0</v>
      </c>
      <c r="AF214" s="919"/>
      <c r="AG214" s="917">
        <f t="shared" si="183"/>
        <v>0</v>
      </c>
      <c r="AH214" s="918">
        <f t="shared" si="184"/>
        <v>0</v>
      </c>
      <c r="AI214" s="919"/>
      <c r="AJ214" s="917">
        <f t="shared" si="185"/>
        <v>0</v>
      </c>
      <c r="AK214" s="918">
        <f t="shared" si="186"/>
        <v>0</v>
      </c>
      <c r="AL214" s="919"/>
      <c r="AM214" s="917">
        <f t="shared" si="187"/>
        <v>0</v>
      </c>
      <c r="AN214" s="920">
        <v>19242</v>
      </c>
      <c r="AO214" s="917">
        <f t="shared" si="188"/>
        <v>530.1</v>
      </c>
      <c r="AP214" s="920"/>
      <c r="AQ214" s="916">
        <f t="shared" si="189"/>
        <v>0</v>
      </c>
      <c r="AR214" s="917">
        <f t="shared" si="190"/>
        <v>19242</v>
      </c>
      <c r="AS214" s="916">
        <v>12</v>
      </c>
      <c r="AT214" s="921">
        <f t="shared" si="191"/>
        <v>230904</v>
      </c>
      <c r="AU214" s="920"/>
      <c r="AV214" s="922">
        <f t="shared" si="192"/>
        <v>2309.04</v>
      </c>
      <c r="AW214" s="921">
        <f t="shared" si="193"/>
        <v>233213.04</v>
      </c>
      <c r="AX214" s="921">
        <f t="shared" si="194"/>
        <v>70430.34</v>
      </c>
      <c r="AY214" s="921">
        <f t="shared" si="195"/>
        <v>303643.38</v>
      </c>
      <c r="AZ214" s="923">
        <f t="shared" si="196"/>
        <v>233.2</v>
      </c>
      <c r="BA214" s="923">
        <f t="shared" si="197"/>
        <v>70.400000000000006</v>
      </c>
      <c r="BB214" s="923">
        <f t="shared" si="198"/>
        <v>303.60000000000002</v>
      </c>
      <c r="BC214" s="915">
        <v>0.95</v>
      </c>
      <c r="BD214" s="923">
        <f t="shared" si="199"/>
        <v>221.5</v>
      </c>
      <c r="BE214" s="923">
        <f t="shared" si="200"/>
        <v>66.900000000000006</v>
      </c>
      <c r="BF214" s="923">
        <f t="shared" si="201"/>
        <v>288.39999999999998</v>
      </c>
      <c r="BG214" s="924">
        <f>'[3]свод (2024)'!$B$116</f>
        <v>0.99758349999999996</v>
      </c>
      <c r="BH214" s="923">
        <f t="shared" si="202"/>
        <v>221</v>
      </c>
      <c r="BI214" s="923">
        <f t="shared" si="203"/>
        <v>66.7</v>
      </c>
      <c r="BJ214" s="923">
        <f t="shared" si="204"/>
        <v>287.7</v>
      </c>
      <c r="BK214" s="925">
        <f t="shared" si="205"/>
        <v>-12.2</v>
      </c>
      <c r="BL214" s="925">
        <f t="shared" si="205"/>
        <v>-3.7</v>
      </c>
      <c r="BM214" s="925">
        <f t="shared" si="206"/>
        <v>-15.9</v>
      </c>
      <c r="BN214" s="925">
        <f t="shared" si="207"/>
        <v>0</v>
      </c>
      <c r="BO214" s="925">
        <f t="shared" si="208"/>
        <v>0</v>
      </c>
      <c r="BP214" s="926"/>
      <c r="BQ214" s="925">
        <f t="shared" si="209"/>
        <v>221</v>
      </c>
      <c r="BR214" s="925">
        <f t="shared" si="209"/>
        <v>66.7</v>
      </c>
      <c r="BS214" s="925">
        <f t="shared" si="210"/>
        <v>287.7</v>
      </c>
      <c r="BU214" s="928">
        <f t="shared" si="211"/>
        <v>1</v>
      </c>
      <c r="BV214" s="917"/>
      <c r="BW214" s="928"/>
      <c r="BX214" s="928">
        <f t="shared" si="212"/>
        <v>233213.04</v>
      </c>
      <c r="BY214" s="928"/>
      <c r="BZ214" s="917"/>
      <c r="CA214" s="928"/>
      <c r="CB214" s="917"/>
      <c r="CC214" s="928"/>
      <c r="CD214" s="928"/>
      <c r="CE214" s="928"/>
      <c r="CF214" s="929">
        <f t="shared" si="164"/>
        <v>56315.66</v>
      </c>
      <c r="CG214" s="928"/>
      <c r="CH214" s="928"/>
      <c r="CI214" s="928"/>
      <c r="CJ214" s="925"/>
      <c r="CK214" s="925"/>
      <c r="CL214" s="925"/>
      <c r="CM214" s="925"/>
      <c r="CN214" s="925"/>
      <c r="CO214" s="925"/>
      <c r="CP214" s="925"/>
      <c r="CQ214" s="925"/>
      <c r="CR214" s="925"/>
      <c r="CS214" s="917"/>
      <c r="CT214" s="928"/>
      <c r="CU214" s="928"/>
      <c r="CV214" s="928"/>
      <c r="CX214" s="925"/>
      <c r="CY214" s="925"/>
      <c r="CZ214" s="925"/>
      <c r="DB214" s="925"/>
      <c r="DC214" s="925"/>
      <c r="DD214" s="925"/>
      <c r="DE214" s="925"/>
      <c r="DF214" s="925"/>
      <c r="DG214" s="925"/>
      <c r="DH214" s="925"/>
      <c r="DI214" s="925"/>
      <c r="DJ214" s="925"/>
      <c r="DK214" s="925"/>
      <c r="DL214" s="925"/>
      <c r="DM214" s="925"/>
      <c r="DN214" s="925"/>
      <c r="DO214" s="925"/>
      <c r="DP214" s="925"/>
      <c r="DQ214" s="924"/>
      <c r="DR214" s="925"/>
      <c r="DS214" s="925"/>
      <c r="DT214" s="925"/>
      <c r="DV214" s="925"/>
      <c r="DW214" s="925"/>
      <c r="DX214" s="925"/>
      <c r="DY214" s="925"/>
      <c r="DZ214" s="925"/>
      <c r="EA214" s="925"/>
      <c r="EB214" s="925"/>
      <c r="EC214" s="925"/>
      <c r="ED214" s="925"/>
      <c r="EE214" s="925"/>
      <c r="EF214" s="925"/>
      <c r="EG214" s="925"/>
      <c r="EH214" s="925"/>
      <c r="EI214" s="925"/>
      <c r="EJ214" s="925"/>
      <c r="EK214" s="925"/>
      <c r="EL214" s="925"/>
      <c r="EM214" s="925"/>
      <c r="EN214" s="925"/>
      <c r="EO214" s="925"/>
      <c r="EP214" s="925"/>
      <c r="EQ214" s="925"/>
      <c r="ER214" s="925"/>
      <c r="ES214" s="925"/>
      <c r="ET214" s="925"/>
      <c r="EV214" s="924"/>
      <c r="EW214" s="925"/>
      <c r="EX214" s="925"/>
      <c r="EY214" s="925"/>
    </row>
    <row r="215" spans="1:155" s="927" customFormat="1" ht="24" x14ac:dyDescent="0.25">
      <c r="A215" s="912" t="s">
        <v>62</v>
      </c>
      <c r="B215" s="913" t="s">
        <v>1417</v>
      </c>
      <c r="C215" s="914">
        <v>1</v>
      </c>
      <c r="D215" s="914">
        <v>4588</v>
      </c>
      <c r="E215" s="915">
        <v>1.0549999999999999</v>
      </c>
      <c r="F215" s="916">
        <f t="shared" si="165"/>
        <v>4841</v>
      </c>
      <c r="G215" s="915">
        <v>1.01</v>
      </c>
      <c r="H215" s="916">
        <f t="shared" si="166"/>
        <v>4890</v>
      </c>
      <c r="I215" s="917">
        <f t="shared" si="167"/>
        <v>4890</v>
      </c>
      <c r="J215" s="918">
        <f t="shared" si="168"/>
        <v>0</v>
      </c>
      <c r="K215" s="919"/>
      <c r="L215" s="917">
        <f t="shared" si="169"/>
        <v>0</v>
      </c>
      <c r="M215" s="918">
        <f t="shared" si="170"/>
        <v>0</v>
      </c>
      <c r="N215" s="919"/>
      <c r="O215" s="917">
        <f t="shared" si="171"/>
        <v>0</v>
      </c>
      <c r="P215" s="918">
        <f t="shared" si="172"/>
        <v>0</v>
      </c>
      <c r="Q215" s="919"/>
      <c r="R215" s="917">
        <f t="shared" si="173"/>
        <v>0</v>
      </c>
      <c r="S215" s="918">
        <f t="shared" si="174"/>
        <v>0</v>
      </c>
      <c r="T215" s="919"/>
      <c r="U215" s="917">
        <f t="shared" si="175"/>
        <v>0</v>
      </c>
      <c r="V215" s="918">
        <f t="shared" si="176"/>
        <v>0</v>
      </c>
      <c r="W215" s="919"/>
      <c r="X215" s="917">
        <f t="shared" si="177"/>
        <v>0</v>
      </c>
      <c r="Y215" s="918">
        <f t="shared" si="178"/>
        <v>0</v>
      </c>
      <c r="Z215" s="919"/>
      <c r="AA215" s="917">
        <f t="shared" si="179"/>
        <v>0</v>
      </c>
      <c r="AB215" s="918">
        <f t="shared" si="180"/>
        <v>0</v>
      </c>
      <c r="AC215" s="919"/>
      <c r="AD215" s="917">
        <f t="shared" si="181"/>
        <v>0</v>
      </c>
      <c r="AE215" s="918">
        <f t="shared" si="182"/>
        <v>0</v>
      </c>
      <c r="AF215" s="919"/>
      <c r="AG215" s="917">
        <f t="shared" si="183"/>
        <v>0</v>
      </c>
      <c r="AH215" s="918">
        <f t="shared" si="184"/>
        <v>0</v>
      </c>
      <c r="AI215" s="919"/>
      <c r="AJ215" s="917">
        <f t="shared" si="185"/>
        <v>0</v>
      </c>
      <c r="AK215" s="918">
        <f t="shared" si="186"/>
        <v>0</v>
      </c>
      <c r="AL215" s="919"/>
      <c r="AM215" s="917">
        <f t="shared" si="187"/>
        <v>0</v>
      </c>
      <c r="AN215" s="920">
        <v>19242</v>
      </c>
      <c r="AO215" s="917">
        <f t="shared" si="188"/>
        <v>14352</v>
      </c>
      <c r="AP215" s="920"/>
      <c r="AQ215" s="916">
        <f t="shared" si="189"/>
        <v>0</v>
      </c>
      <c r="AR215" s="917">
        <f t="shared" si="190"/>
        <v>19242</v>
      </c>
      <c r="AS215" s="916">
        <v>12</v>
      </c>
      <c r="AT215" s="921">
        <f t="shared" si="191"/>
        <v>230904</v>
      </c>
      <c r="AU215" s="920"/>
      <c r="AV215" s="922">
        <f t="shared" si="192"/>
        <v>2309.04</v>
      </c>
      <c r="AW215" s="921">
        <f t="shared" si="193"/>
        <v>233213.04</v>
      </c>
      <c r="AX215" s="921">
        <f t="shared" si="194"/>
        <v>70430.34</v>
      </c>
      <c r="AY215" s="921">
        <f t="shared" si="195"/>
        <v>303643.38</v>
      </c>
      <c r="AZ215" s="923">
        <f t="shared" si="196"/>
        <v>233.2</v>
      </c>
      <c r="BA215" s="923">
        <f t="shared" si="197"/>
        <v>70.400000000000006</v>
      </c>
      <c r="BB215" s="923">
        <f t="shared" si="198"/>
        <v>303.60000000000002</v>
      </c>
      <c r="BC215" s="915">
        <v>0.95</v>
      </c>
      <c r="BD215" s="923">
        <f t="shared" si="199"/>
        <v>221.5</v>
      </c>
      <c r="BE215" s="923">
        <f t="shared" si="200"/>
        <v>66.900000000000006</v>
      </c>
      <c r="BF215" s="923">
        <f t="shared" si="201"/>
        <v>288.39999999999998</v>
      </c>
      <c r="BG215" s="924">
        <f>'[3]свод (2024)'!$B$116</f>
        <v>0.99758349999999996</v>
      </c>
      <c r="BH215" s="923">
        <f t="shared" si="202"/>
        <v>221</v>
      </c>
      <c r="BI215" s="923">
        <f t="shared" si="203"/>
        <v>66.7</v>
      </c>
      <c r="BJ215" s="923">
        <f t="shared" si="204"/>
        <v>287.7</v>
      </c>
      <c r="BK215" s="925">
        <f t="shared" si="205"/>
        <v>-12.2</v>
      </c>
      <c r="BL215" s="925">
        <f t="shared" si="205"/>
        <v>-3.7</v>
      </c>
      <c r="BM215" s="925">
        <f t="shared" si="206"/>
        <v>-15.9</v>
      </c>
      <c r="BN215" s="925">
        <f t="shared" si="207"/>
        <v>0</v>
      </c>
      <c r="BO215" s="925">
        <f t="shared" si="208"/>
        <v>0</v>
      </c>
      <c r="BP215" s="926"/>
      <c r="BQ215" s="925">
        <f t="shared" si="209"/>
        <v>221</v>
      </c>
      <c r="BR215" s="925">
        <f t="shared" si="209"/>
        <v>66.7</v>
      </c>
      <c r="BS215" s="925">
        <f t="shared" si="210"/>
        <v>287.7</v>
      </c>
      <c r="BU215" s="928"/>
      <c r="BV215" s="917"/>
      <c r="BW215" s="928"/>
      <c r="BX215" s="928"/>
      <c r="BY215" s="928"/>
      <c r="BZ215" s="917"/>
      <c r="CA215" s="928"/>
      <c r="CB215" s="917"/>
      <c r="CC215" s="928"/>
      <c r="CD215" s="928"/>
      <c r="CE215" s="928"/>
      <c r="CF215" s="929"/>
      <c r="CG215" s="928"/>
      <c r="CH215" s="928"/>
      <c r="CI215" s="928"/>
      <c r="CJ215" s="925"/>
      <c r="CK215" s="925"/>
      <c r="CL215" s="925"/>
      <c r="CM215" s="925"/>
      <c r="CN215" s="925"/>
      <c r="CO215" s="925"/>
      <c r="CP215" s="925"/>
      <c r="CQ215" s="925"/>
      <c r="CR215" s="925"/>
      <c r="CS215" s="917"/>
      <c r="CT215" s="928"/>
      <c r="CU215" s="928"/>
      <c r="CV215" s="928"/>
      <c r="CX215" s="925"/>
      <c r="CY215" s="925"/>
      <c r="CZ215" s="925"/>
      <c r="DB215" s="925"/>
      <c r="DC215" s="925"/>
      <c r="DD215" s="925"/>
      <c r="DE215" s="925"/>
      <c r="DF215" s="925"/>
      <c r="DG215" s="925"/>
      <c r="DH215" s="925"/>
      <c r="DI215" s="925"/>
      <c r="DJ215" s="925"/>
      <c r="DK215" s="925"/>
      <c r="DL215" s="925"/>
      <c r="DM215" s="925"/>
      <c r="DN215" s="925"/>
      <c r="DO215" s="925"/>
      <c r="DP215" s="925"/>
      <c r="DQ215" s="924"/>
      <c r="DR215" s="925"/>
      <c r="DS215" s="925"/>
      <c r="DT215" s="925"/>
      <c r="DV215" s="925"/>
      <c r="DW215" s="925"/>
      <c r="DX215" s="925"/>
      <c r="DY215" s="925"/>
      <c r="DZ215" s="925"/>
      <c r="EA215" s="925"/>
      <c r="EB215" s="925"/>
      <c r="EC215" s="925"/>
      <c r="ED215" s="925"/>
      <c r="EE215" s="925"/>
      <c r="EF215" s="925"/>
      <c r="EG215" s="925"/>
      <c r="EH215" s="925"/>
      <c r="EI215" s="925"/>
      <c r="EJ215" s="925"/>
      <c r="EK215" s="925"/>
      <c r="EL215" s="925"/>
      <c r="EM215" s="925"/>
      <c r="EN215" s="925"/>
      <c r="EO215" s="925"/>
      <c r="EP215" s="925"/>
      <c r="EQ215" s="925"/>
      <c r="ER215" s="925"/>
      <c r="ES215" s="925"/>
      <c r="ET215" s="925"/>
      <c r="EV215" s="924"/>
      <c r="EW215" s="925"/>
      <c r="EX215" s="925"/>
      <c r="EY215" s="925"/>
    </row>
    <row r="216" spans="1:155" s="927" customFormat="1" ht="15.75" x14ac:dyDescent="0.25">
      <c r="A216" s="912" t="s">
        <v>62</v>
      </c>
      <c r="B216" s="913" t="s">
        <v>41</v>
      </c>
      <c r="C216" s="914">
        <v>1</v>
      </c>
      <c r="D216" s="914">
        <v>7912</v>
      </c>
      <c r="E216" s="915">
        <v>1.0549999999999999</v>
      </c>
      <c r="F216" s="916">
        <f t="shared" si="165"/>
        <v>8348</v>
      </c>
      <c r="G216" s="915">
        <v>1.01</v>
      </c>
      <c r="H216" s="916">
        <f t="shared" si="166"/>
        <v>8432</v>
      </c>
      <c r="I216" s="917">
        <f t="shared" si="167"/>
        <v>8432</v>
      </c>
      <c r="J216" s="918">
        <f t="shared" si="168"/>
        <v>0</v>
      </c>
      <c r="K216" s="919"/>
      <c r="L216" s="917">
        <f t="shared" si="169"/>
        <v>0</v>
      </c>
      <c r="M216" s="918">
        <f t="shared" si="170"/>
        <v>0</v>
      </c>
      <c r="N216" s="919"/>
      <c r="O216" s="917">
        <f t="shared" si="171"/>
        <v>0</v>
      </c>
      <c r="P216" s="918">
        <f t="shared" si="172"/>
        <v>0</v>
      </c>
      <c r="Q216" s="919"/>
      <c r="R216" s="917">
        <f t="shared" si="173"/>
        <v>0</v>
      </c>
      <c r="S216" s="918">
        <f t="shared" si="174"/>
        <v>0.2</v>
      </c>
      <c r="T216" s="919">
        <v>1582.4</v>
      </c>
      <c r="U216" s="917">
        <f t="shared" si="175"/>
        <v>1686.4</v>
      </c>
      <c r="V216" s="918">
        <f t="shared" si="176"/>
        <v>0</v>
      </c>
      <c r="W216" s="919"/>
      <c r="X216" s="917">
        <f t="shared" si="177"/>
        <v>0</v>
      </c>
      <c r="Y216" s="918">
        <f t="shared" si="178"/>
        <v>2</v>
      </c>
      <c r="Z216" s="919">
        <v>15824</v>
      </c>
      <c r="AA216" s="917">
        <f t="shared" si="179"/>
        <v>16864</v>
      </c>
      <c r="AB216" s="918">
        <f t="shared" si="180"/>
        <v>0.2</v>
      </c>
      <c r="AC216" s="919">
        <v>1582.4</v>
      </c>
      <c r="AD216" s="917">
        <f t="shared" si="181"/>
        <v>1686.4</v>
      </c>
      <c r="AE216" s="918">
        <f t="shared" si="182"/>
        <v>0</v>
      </c>
      <c r="AF216" s="919"/>
      <c r="AG216" s="917">
        <f t="shared" si="183"/>
        <v>0</v>
      </c>
      <c r="AH216" s="918">
        <f t="shared" si="184"/>
        <v>0</v>
      </c>
      <c r="AI216" s="919"/>
      <c r="AJ216" s="917">
        <f t="shared" si="185"/>
        <v>0</v>
      </c>
      <c r="AK216" s="918">
        <f t="shared" si="186"/>
        <v>0</v>
      </c>
      <c r="AL216" s="919"/>
      <c r="AM216" s="917">
        <f t="shared" si="187"/>
        <v>0</v>
      </c>
      <c r="AN216" s="920">
        <v>19242</v>
      </c>
      <c r="AO216" s="917">
        <f t="shared" si="188"/>
        <v>0</v>
      </c>
      <c r="AP216" s="920"/>
      <c r="AQ216" s="916">
        <f t="shared" si="189"/>
        <v>0</v>
      </c>
      <c r="AR216" s="917">
        <f t="shared" si="190"/>
        <v>28668.799999999999</v>
      </c>
      <c r="AS216" s="916">
        <v>12</v>
      </c>
      <c r="AT216" s="921">
        <f t="shared" si="191"/>
        <v>344025.59999999998</v>
      </c>
      <c r="AU216" s="920"/>
      <c r="AV216" s="922">
        <f t="shared" si="192"/>
        <v>3440.26</v>
      </c>
      <c r="AW216" s="921">
        <f t="shared" si="193"/>
        <v>347465.86</v>
      </c>
      <c r="AX216" s="921">
        <f t="shared" si="194"/>
        <v>104934.69</v>
      </c>
      <c r="AY216" s="921">
        <f t="shared" si="195"/>
        <v>452400.55</v>
      </c>
      <c r="AZ216" s="923">
        <f t="shared" si="196"/>
        <v>347.5</v>
      </c>
      <c r="BA216" s="923">
        <f t="shared" si="197"/>
        <v>104.9</v>
      </c>
      <c r="BB216" s="923">
        <f t="shared" si="198"/>
        <v>452.4</v>
      </c>
      <c r="BC216" s="915">
        <v>0.95</v>
      </c>
      <c r="BD216" s="923">
        <f t="shared" si="199"/>
        <v>330.1</v>
      </c>
      <c r="BE216" s="923">
        <f t="shared" si="200"/>
        <v>99.7</v>
      </c>
      <c r="BF216" s="923">
        <f t="shared" si="201"/>
        <v>429.8</v>
      </c>
      <c r="BG216" s="924">
        <f>'[3]свод (2024)'!$B$116</f>
        <v>0.99758349999999996</v>
      </c>
      <c r="BH216" s="923">
        <f t="shared" si="202"/>
        <v>329.3</v>
      </c>
      <c r="BI216" s="923">
        <f t="shared" si="203"/>
        <v>99.4</v>
      </c>
      <c r="BJ216" s="923">
        <f t="shared" si="204"/>
        <v>428.7</v>
      </c>
      <c r="BK216" s="925">
        <f t="shared" si="205"/>
        <v>-18.2</v>
      </c>
      <c r="BL216" s="925">
        <f t="shared" si="205"/>
        <v>-5.5</v>
      </c>
      <c r="BM216" s="925">
        <f t="shared" si="206"/>
        <v>-23.7</v>
      </c>
      <c r="BN216" s="925">
        <f t="shared" si="207"/>
        <v>0</v>
      </c>
      <c r="BO216" s="925">
        <f t="shared" si="208"/>
        <v>0</v>
      </c>
      <c r="BP216" s="926"/>
      <c r="BQ216" s="925">
        <f t="shared" si="209"/>
        <v>329.3</v>
      </c>
      <c r="BR216" s="925">
        <f t="shared" si="209"/>
        <v>99.4</v>
      </c>
      <c r="BS216" s="925">
        <f t="shared" si="210"/>
        <v>428.7</v>
      </c>
      <c r="BU216" s="928"/>
      <c r="BV216" s="917"/>
      <c r="BW216" s="928"/>
      <c r="BX216" s="928"/>
      <c r="BY216" s="928"/>
      <c r="BZ216" s="917"/>
      <c r="CA216" s="928"/>
      <c r="CB216" s="917"/>
      <c r="CC216" s="928"/>
      <c r="CD216" s="928"/>
      <c r="CE216" s="928"/>
      <c r="CF216" s="929"/>
      <c r="CG216" s="928"/>
      <c r="CH216" s="928"/>
      <c r="CI216" s="928"/>
      <c r="CJ216" s="925"/>
      <c r="CK216" s="925"/>
      <c r="CL216" s="925"/>
      <c r="CM216" s="925"/>
      <c r="CN216" s="925"/>
      <c r="CO216" s="925"/>
      <c r="CP216" s="925"/>
      <c r="CQ216" s="925"/>
      <c r="CR216" s="925"/>
      <c r="CS216" s="917"/>
      <c r="CT216" s="928"/>
      <c r="CU216" s="928"/>
      <c r="CV216" s="928"/>
      <c r="CX216" s="925"/>
      <c r="CY216" s="925"/>
      <c r="CZ216" s="925"/>
      <c r="DB216" s="925"/>
      <c r="DC216" s="925"/>
      <c r="DD216" s="925"/>
      <c r="DE216" s="925"/>
      <c r="DF216" s="925"/>
      <c r="DG216" s="925"/>
      <c r="DH216" s="925"/>
      <c r="DI216" s="925"/>
      <c r="DJ216" s="925"/>
      <c r="DK216" s="925"/>
      <c r="DL216" s="925"/>
      <c r="DM216" s="925"/>
      <c r="DN216" s="925"/>
      <c r="DO216" s="925"/>
      <c r="DP216" s="925"/>
      <c r="DQ216" s="924"/>
      <c r="DR216" s="925"/>
      <c r="DS216" s="925"/>
      <c r="DT216" s="925"/>
      <c r="DV216" s="925"/>
      <c r="DW216" s="925"/>
      <c r="DX216" s="925"/>
      <c r="DY216" s="925"/>
      <c r="DZ216" s="925"/>
      <c r="EA216" s="925"/>
      <c r="EB216" s="925"/>
      <c r="EC216" s="925"/>
      <c r="ED216" s="925"/>
      <c r="EE216" s="925"/>
      <c r="EF216" s="925"/>
      <c r="EG216" s="925"/>
      <c r="EH216" s="925"/>
      <c r="EI216" s="925"/>
      <c r="EJ216" s="925"/>
      <c r="EK216" s="925"/>
      <c r="EL216" s="925"/>
      <c r="EM216" s="925"/>
      <c r="EN216" s="925"/>
      <c r="EO216" s="925"/>
      <c r="EP216" s="925"/>
      <c r="EQ216" s="925"/>
      <c r="ER216" s="925"/>
      <c r="ES216" s="925"/>
      <c r="ET216" s="925"/>
      <c r="EV216" s="924"/>
      <c r="EW216" s="925"/>
      <c r="EX216" s="925"/>
      <c r="EY216" s="925"/>
    </row>
    <row r="217" spans="1:155" s="927" customFormat="1" ht="15.75" x14ac:dyDescent="0.25">
      <c r="A217" s="912" t="s">
        <v>62</v>
      </c>
      <c r="B217" s="913" t="s">
        <v>44</v>
      </c>
      <c r="C217" s="914">
        <v>0.5</v>
      </c>
      <c r="D217" s="914">
        <v>4588</v>
      </c>
      <c r="E217" s="915">
        <v>1.0549999999999999</v>
      </c>
      <c r="F217" s="916">
        <f t="shared" si="165"/>
        <v>4841</v>
      </c>
      <c r="G217" s="915">
        <v>1.01</v>
      </c>
      <c r="H217" s="916">
        <f t="shared" si="166"/>
        <v>4890</v>
      </c>
      <c r="I217" s="917">
        <f t="shared" si="167"/>
        <v>2445</v>
      </c>
      <c r="J217" s="918">
        <f t="shared" si="168"/>
        <v>0</v>
      </c>
      <c r="K217" s="919"/>
      <c r="L217" s="917">
        <f t="shared" si="169"/>
        <v>0</v>
      </c>
      <c r="M217" s="918">
        <f t="shared" si="170"/>
        <v>0</v>
      </c>
      <c r="N217" s="919"/>
      <c r="O217" s="917">
        <f t="shared" si="171"/>
        <v>0</v>
      </c>
      <c r="P217" s="918">
        <f t="shared" si="172"/>
        <v>0</v>
      </c>
      <c r="Q217" s="919"/>
      <c r="R217" s="917">
        <f t="shared" si="173"/>
        <v>0</v>
      </c>
      <c r="S217" s="918">
        <f t="shared" si="174"/>
        <v>0</v>
      </c>
      <c r="T217" s="919"/>
      <c r="U217" s="917">
        <f t="shared" si="175"/>
        <v>0</v>
      </c>
      <c r="V217" s="918">
        <f t="shared" si="176"/>
        <v>0</v>
      </c>
      <c r="W217" s="919"/>
      <c r="X217" s="917">
        <f t="shared" si="177"/>
        <v>0</v>
      </c>
      <c r="Y217" s="918">
        <f t="shared" si="178"/>
        <v>0</v>
      </c>
      <c r="Z217" s="919"/>
      <c r="AA217" s="917">
        <f t="shared" si="179"/>
        <v>0</v>
      </c>
      <c r="AB217" s="918">
        <f t="shared" si="180"/>
        <v>0</v>
      </c>
      <c r="AC217" s="919"/>
      <c r="AD217" s="917">
        <f t="shared" si="181"/>
        <v>0</v>
      </c>
      <c r="AE217" s="918">
        <f t="shared" si="182"/>
        <v>0</v>
      </c>
      <c r="AF217" s="919"/>
      <c r="AG217" s="917">
        <f t="shared" si="183"/>
        <v>0</v>
      </c>
      <c r="AH217" s="918">
        <f t="shared" si="184"/>
        <v>0</v>
      </c>
      <c r="AI217" s="919"/>
      <c r="AJ217" s="917">
        <f t="shared" si="185"/>
        <v>0</v>
      </c>
      <c r="AK217" s="918">
        <f t="shared" si="186"/>
        <v>0</v>
      </c>
      <c r="AL217" s="919"/>
      <c r="AM217" s="917">
        <f t="shared" si="187"/>
        <v>0</v>
      </c>
      <c r="AN217" s="920">
        <v>19242</v>
      </c>
      <c r="AO217" s="917">
        <f t="shared" si="188"/>
        <v>7176</v>
      </c>
      <c r="AP217" s="920"/>
      <c r="AQ217" s="916">
        <f t="shared" si="189"/>
        <v>0</v>
      </c>
      <c r="AR217" s="917">
        <f t="shared" si="190"/>
        <v>9621</v>
      </c>
      <c r="AS217" s="916">
        <v>12</v>
      </c>
      <c r="AT217" s="921">
        <f t="shared" si="191"/>
        <v>115452</v>
      </c>
      <c r="AU217" s="920"/>
      <c r="AV217" s="922">
        <f t="shared" si="192"/>
        <v>1154.52</v>
      </c>
      <c r="AW217" s="921">
        <f t="shared" si="193"/>
        <v>116606.52</v>
      </c>
      <c r="AX217" s="921">
        <f t="shared" si="194"/>
        <v>35215.17</v>
      </c>
      <c r="AY217" s="921">
        <f t="shared" si="195"/>
        <v>151821.69</v>
      </c>
      <c r="AZ217" s="923">
        <f t="shared" si="196"/>
        <v>116.6</v>
      </c>
      <c r="BA217" s="923">
        <f t="shared" si="197"/>
        <v>35.200000000000003</v>
      </c>
      <c r="BB217" s="923">
        <f t="shared" si="198"/>
        <v>151.80000000000001</v>
      </c>
      <c r="BC217" s="915">
        <v>0.95</v>
      </c>
      <c r="BD217" s="923">
        <f t="shared" si="199"/>
        <v>110.8</v>
      </c>
      <c r="BE217" s="923">
        <f t="shared" si="200"/>
        <v>33.5</v>
      </c>
      <c r="BF217" s="923">
        <f t="shared" si="201"/>
        <v>144.30000000000001</v>
      </c>
      <c r="BG217" s="924">
        <f>'[3]свод (2024)'!$B$116</f>
        <v>0.99758349999999996</v>
      </c>
      <c r="BH217" s="923">
        <f t="shared" si="202"/>
        <v>110.5</v>
      </c>
      <c r="BI217" s="923">
        <f t="shared" si="203"/>
        <v>33.4</v>
      </c>
      <c r="BJ217" s="923">
        <f t="shared" si="204"/>
        <v>143.9</v>
      </c>
      <c r="BK217" s="925">
        <f t="shared" si="205"/>
        <v>-6.1</v>
      </c>
      <c r="BL217" s="925">
        <f t="shared" si="205"/>
        <v>-1.8</v>
      </c>
      <c r="BM217" s="925">
        <f t="shared" si="206"/>
        <v>-7.9</v>
      </c>
      <c r="BN217" s="925">
        <f t="shared" si="207"/>
        <v>0</v>
      </c>
      <c r="BO217" s="925">
        <f t="shared" si="208"/>
        <v>0</v>
      </c>
      <c r="BP217" s="926"/>
      <c r="BQ217" s="925">
        <f t="shared" si="209"/>
        <v>110.5</v>
      </c>
      <c r="BR217" s="925">
        <f t="shared" si="209"/>
        <v>33.4</v>
      </c>
      <c r="BS217" s="925">
        <f t="shared" si="210"/>
        <v>143.9</v>
      </c>
      <c r="BU217" s="928"/>
      <c r="BV217" s="917"/>
      <c r="BW217" s="928"/>
      <c r="BX217" s="928"/>
      <c r="BY217" s="928"/>
      <c r="BZ217" s="917"/>
      <c r="CA217" s="928"/>
      <c r="CB217" s="917"/>
      <c r="CC217" s="928"/>
      <c r="CD217" s="928"/>
      <c r="CE217" s="928"/>
      <c r="CF217" s="929"/>
      <c r="CG217" s="928"/>
      <c r="CH217" s="928"/>
      <c r="CI217" s="928"/>
      <c r="CJ217" s="925"/>
      <c r="CK217" s="925"/>
      <c r="CL217" s="925"/>
      <c r="CM217" s="925"/>
      <c r="CN217" s="925"/>
      <c r="CO217" s="925"/>
      <c r="CP217" s="925"/>
      <c r="CQ217" s="925"/>
      <c r="CR217" s="925"/>
      <c r="CS217" s="917"/>
      <c r="CT217" s="928"/>
      <c r="CU217" s="928"/>
      <c r="CV217" s="928"/>
      <c r="CX217" s="925"/>
      <c r="CY217" s="925"/>
      <c r="CZ217" s="925"/>
      <c r="DB217" s="925"/>
      <c r="DC217" s="925"/>
      <c r="DD217" s="925"/>
      <c r="DE217" s="925"/>
      <c r="DF217" s="925"/>
      <c r="DG217" s="925"/>
      <c r="DH217" s="925"/>
      <c r="DI217" s="925"/>
      <c r="DJ217" s="925"/>
      <c r="DK217" s="925"/>
      <c r="DL217" s="925"/>
      <c r="DM217" s="925"/>
      <c r="DN217" s="925"/>
      <c r="DO217" s="925"/>
      <c r="DP217" s="925"/>
      <c r="DQ217" s="924"/>
      <c r="DR217" s="925"/>
      <c r="DS217" s="925"/>
      <c r="DT217" s="925"/>
      <c r="DV217" s="925"/>
      <c r="DW217" s="925"/>
      <c r="DX217" s="925"/>
      <c r="DY217" s="925"/>
      <c r="DZ217" s="925"/>
      <c r="EA217" s="925"/>
      <c r="EB217" s="925"/>
      <c r="EC217" s="925"/>
      <c r="ED217" s="925"/>
      <c r="EE217" s="925"/>
      <c r="EF217" s="925"/>
      <c r="EG217" s="925"/>
      <c r="EH217" s="925"/>
      <c r="EI217" s="925"/>
      <c r="EJ217" s="925"/>
      <c r="EK217" s="925"/>
      <c r="EL217" s="925"/>
      <c r="EM217" s="925"/>
      <c r="EN217" s="925"/>
      <c r="EO217" s="925"/>
      <c r="EP217" s="925"/>
      <c r="EQ217" s="925"/>
      <c r="ER217" s="925"/>
      <c r="ES217" s="925"/>
      <c r="ET217" s="925"/>
      <c r="EV217" s="924"/>
      <c r="EW217" s="925"/>
      <c r="EX217" s="925"/>
      <c r="EY217" s="925"/>
    </row>
    <row r="218" spans="1:155" s="927" customFormat="1" ht="15.75" x14ac:dyDescent="0.25">
      <c r="A218" s="912" t="s">
        <v>62</v>
      </c>
      <c r="B218" s="913" t="s">
        <v>1389</v>
      </c>
      <c r="C218" s="914">
        <v>3</v>
      </c>
      <c r="D218" s="914">
        <v>4336</v>
      </c>
      <c r="E218" s="915">
        <v>1.0549999999999999</v>
      </c>
      <c r="F218" s="916">
        <f t="shared" si="165"/>
        <v>4575</v>
      </c>
      <c r="G218" s="915">
        <v>1.01</v>
      </c>
      <c r="H218" s="916">
        <f t="shared" si="166"/>
        <v>4621</v>
      </c>
      <c r="I218" s="917">
        <f t="shared" si="167"/>
        <v>13863</v>
      </c>
      <c r="J218" s="918">
        <f t="shared" si="168"/>
        <v>0</v>
      </c>
      <c r="K218" s="919"/>
      <c r="L218" s="917">
        <f t="shared" si="169"/>
        <v>0</v>
      </c>
      <c r="M218" s="918">
        <f t="shared" si="170"/>
        <v>0</v>
      </c>
      <c r="N218" s="919"/>
      <c r="O218" s="917">
        <f t="shared" si="171"/>
        <v>0</v>
      </c>
      <c r="P218" s="918">
        <f t="shared" si="172"/>
        <v>0</v>
      </c>
      <c r="Q218" s="919"/>
      <c r="R218" s="917">
        <f t="shared" si="173"/>
        <v>0</v>
      </c>
      <c r="S218" s="918">
        <f t="shared" si="174"/>
        <v>0</v>
      </c>
      <c r="T218" s="919"/>
      <c r="U218" s="917">
        <f t="shared" si="175"/>
        <v>0</v>
      </c>
      <c r="V218" s="918">
        <f t="shared" si="176"/>
        <v>0</v>
      </c>
      <c r="W218" s="919"/>
      <c r="X218" s="917">
        <f t="shared" si="177"/>
        <v>0</v>
      </c>
      <c r="Y218" s="918">
        <f t="shared" si="178"/>
        <v>0</v>
      </c>
      <c r="Z218" s="919"/>
      <c r="AA218" s="917">
        <f t="shared" si="179"/>
        <v>0</v>
      </c>
      <c r="AB218" s="918">
        <f t="shared" si="180"/>
        <v>0</v>
      </c>
      <c r="AC218" s="919"/>
      <c r="AD218" s="917">
        <f t="shared" si="181"/>
        <v>0</v>
      </c>
      <c r="AE218" s="918">
        <f t="shared" si="182"/>
        <v>0</v>
      </c>
      <c r="AF218" s="919"/>
      <c r="AG218" s="917">
        <f t="shared" si="183"/>
        <v>0</v>
      </c>
      <c r="AH218" s="918">
        <f t="shared" si="184"/>
        <v>0</v>
      </c>
      <c r="AI218" s="919"/>
      <c r="AJ218" s="917">
        <f t="shared" si="185"/>
        <v>0</v>
      </c>
      <c r="AK218" s="918">
        <f t="shared" si="186"/>
        <v>0</v>
      </c>
      <c r="AL218" s="919"/>
      <c r="AM218" s="917">
        <f t="shared" si="187"/>
        <v>0</v>
      </c>
      <c r="AN218" s="920">
        <v>19242</v>
      </c>
      <c r="AO218" s="917">
        <f t="shared" si="188"/>
        <v>43863</v>
      </c>
      <c r="AP218" s="920">
        <v>1060.29</v>
      </c>
      <c r="AQ218" s="916">
        <f t="shared" si="189"/>
        <v>3180.87</v>
      </c>
      <c r="AR218" s="917">
        <f t="shared" si="190"/>
        <v>60906.87</v>
      </c>
      <c r="AS218" s="916">
        <v>12</v>
      </c>
      <c r="AT218" s="921">
        <f t="shared" si="191"/>
        <v>730882.44</v>
      </c>
      <c r="AU218" s="920">
        <f t="shared" ref="AU218:AU219" si="213">AT218*0.085</f>
        <v>62125.01</v>
      </c>
      <c r="AV218" s="922">
        <f t="shared" si="192"/>
        <v>7308.82</v>
      </c>
      <c r="AW218" s="921">
        <f t="shared" si="193"/>
        <v>800316.27</v>
      </c>
      <c r="AX218" s="921">
        <f t="shared" si="194"/>
        <v>241695.51</v>
      </c>
      <c r="AY218" s="921">
        <f t="shared" si="195"/>
        <v>1042011.78</v>
      </c>
      <c r="AZ218" s="923">
        <f t="shared" si="196"/>
        <v>800.3</v>
      </c>
      <c r="BA218" s="923">
        <f t="shared" si="197"/>
        <v>241.7</v>
      </c>
      <c r="BB218" s="923">
        <f t="shared" si="198"/>
        <v>1042</v>
      </c>
      <c r="BC218" s="915">
        <v>0.95</v>
      </c>
      <c r="BD218" s="923">
        <f t="shared" si="199"/>
        <v>760.3</v>
      </c>
      <c r="BE218" s="923">
        <f t="shared" si="200"/>
        <v>229.6</v>
      </c>
      <c r="BF218" s="923">
        <f t="shared" si="201"/>
        <v>989.9</v>
      </c>
      <c r="BG218" s="924">
        <f>'[3]свод (2024)'!$B$116</f>
        <v>0.99758349999999996</v>
      </c>
      <c r="BH218" s="923">
        <f t="shared" si="202"/>
        <v>758.5</v>
      </c>
      <c r="BI218" s="923">
        <f t="shared" si="203"/>
        <v>229.1</v>
      </c>
      <c r="BJ218" s="923">
        <f t="shared" si="204"/>
        <v>987.6</v>
      </c>
      <c r="BK218" s="925">
        <f t="shared" si="205"/>
        <v>-41.8</v>
      </c>
      <c r="BL218" s="925">
        <f t="shared" si="205"/>
        <v>-12.6</v>
      </c>
      <c r="BM218" s="925">
        <f t="shared" si="206"/>
        <v>-54.4</v>
      </c>
      <c r="BN218" s="925">
        <f t="shared" si="207"/>
        <v>0</v>
      </c>
      <c r="BO218" s="925">
        <f t="shared" si="208"/>
        <v>0</v>
      </c>
      <c r="BP218" s="926"/>
      <c r="BQ218" s="925">
        <f t="shared" si="209"/>
        <v>758.5</v>
      </c>
      <c r="BR218" s="925">
        <f t="shared" si="209"/>
        <v>229.1</v>
      </c>
      <c r="BS218" s="925">
        <f t="shared" si="210"/>
        <v>987.6</v>
      </c>
      <c r="BU218" s="928"/>
      <c r="BV218" s="917"/>
      <c r="BW218" s="928"/>
      <c r="BX218" s="928"/>
      <c r="BY218" s="928"/>
      <c r="BZ218" s="917"/>
      <c r="CA218" s="928"/>
      <c r="CB218" s="917"/>
      <c r="CC218" s="928"/>
      <c r="CD218" s="928"/>
      <c r="CE218" s="928"/>
      <c r="CF218" s="929"/>
      <c r="CG218" s="928"/>
      <c r="CH218" s="928"/>
      <c r="CI218" s="928"/>
      <c r="CJ218" s="925"/>
      <c r="CK218" s="925"/>
      <c r="CL218" s="925"/>
      <c r="CM218" s="925"/>
      <c r="CN218" s="925"/>
      <c r="CO218" s="925"/>
      <c r="CP218" s="925"/>
      <c r="CQ218" s="925"/>
      <c r="CR218" s="925"/>
      <c r="CS218" s="917"/>
      <c r="CT218" s="928"/>
      <c r="CU218" s="928"/>
      <c r="CV218" s="928"/>
      <c r="CX218" s="925"/>
      <c r="CY218" s="925"/>
      <c r="CZ218" s="925"/>
      <c r="DB218" s="925"/>
      <c r="DC218" s="925"/>
      <c r="DD218" s="925"/>
      <c r="DE218" s="925"/>
      <c r="DF218" s="925"/>
      <c r="DG218" s="925"/>
      <c r="DH218" s="925"/>
      <c r="DI218" s="925"/>
      <c r="DJ218" s="925"/>
      <c r="DK218" s="925"/>
      <c r="DL218" s="925"/>
      <c r="DM218" s="925"/>
      <c r="DN218" s="925"/>
      <c r="DO218" s="925"/>
      <c r="DP218" s="925"/>
      <c r="DQ218" s="924"/>
      <c r="DR218" s="925"/>
      <c r="DS218" s="925"/>
      <c r="DT218" s="925"/>
      <c r="DV218" s="925"/>
      <c r="DW218" s="925"/>
      <c r="DX218" s="925"/>
      <c r="DY218" s="925"/>
      <c r="DZ218" s="925"/>
      <c r="EA218" s="925"/>
      <c r="EB218" s="925"/>
      <c r="EC218" s="925"/>
      <c r="ED218" s="925"/>
      <c r="EE218" s="925"/>
      <c r="EF218" s="925"/>
      <c r="EG218" s="925"/>
      <c r="EH218" s="925"/>
      <c r="EI218" s="925"/>
      <c r="EJ218" s="925"/>
      <c r="EK218" s="925"/>
      <c r="EL218" s="925"/>
      <c r="EM218" s="925"/>
      <c r="EN218" s="925"/>
      <c r="EO218" s="925"/>
      <c r="EP218" s="925"/>
      <c r="EQ218" s="925"/>
      <c r="ER218" s="925"/>
      <c r="ES218" s="925"/>
      <c r="ET218" s="925"/>
      <c r="EV218" s="924"/>
      <c r="EW218" s="925"/>
      <c r="EX218" s="925"/>
      <c r="EY218" s="925"/>
    </row>
    <row r="219" spans="1:155" s="927" customFormat="1" ht="15.75" x14ac:dyDescent="0.25">
      <c r="A219" s="912" t="s">
        <v>62</v>
      </c>
      <c r="B219" s="913" t="s">
        <v>1390</v>
      </c>
      <c r="C219" s="914">
        <v>0.5</v>
      </c>
      <c r="D219" s="914">
        <v>4336</v>
      </c>
      <c r="E219" s="915">
        <v>1.0549999999999999</v>
      </c>
      <c r="F219" s="916">
        <f t="shared" si="165"/>
        <v>4575</v>
      </c>
      <c r="G219" s="915">
        <v>1.01</v>
      </c>
      <c r="H219" s="916">
        <f t="shared" si="166"/>
        <v>4621</v>
      </c>
      <c r="I219" s="917">
        <f t="shared" si="167"/>
        <v>2310.5</v>
      </c>
      <c r="J219" s="918">
        <f t="shared" si="168"/>
        <v>0</v>
      </c>
      <c r="K219" s="919"/>
      <c r="L219" s="917">
        <f t="shared" si="169"/>
        <v>0</v>
      </c>
      <c r="M219" s="918">
        <f t="shared" si="170"/>
        <v>0</v>
      </c>
      <c r="N219" s="919"/>
      <c r="O219" s="917">
        <f t="shared" si="171"/>
        <v>0</v>
      </c>
      <c r="P219" s="918">
        <f t="shared" si="172"/>
        <v>0</v>
      </c>
      <c r="Q219" s="919"/>
      <c r="R219" s="917">
        <f t="shared" si="173"/>
        <v>0</v>
      </c>
      <c r="S219" s="918">
        <f t="shared" si="174"/>
        <v>0</v>
      </c>
      <c r="T219" s="919"/>
      <c r="U219" s="917">
        <f t="shared" si="175"/>
        <v>0</v>
      </c>
      <c r="V219" s="918">
        <f t="shared" si="176"/>
        <v>0</v>
      </c>
      <c r="W219" s="919"/>
      <c r="X219" s="917">
        <f t="shared" si="177"/>
        <v>0</v>
      </c>
      <c r="Y219" s="918">
        <f t="shared" si="178"/>
        <v>0</v>
      </c>
      <c r="Z219" s="919"/>
      <c r="AA219" s="917">
        <f t="shared" si="179"/>
        <v>0</v>
      </c>
      <c r="AB219" s="918">
        <f t="shared" si="180"/>
        <v>0</v>
      </c>
      <c r="AC219" s="919"/>
      <c r="AD219" s="917">
        <f t="shared" si="181"/>
        <v>0</v>
      </c>
      <c r="AE219" s="918">
        <f t="shared" si="182"/>
        <v>0</v>
      </c>
      <c r="AF219" s="919"/>
      <c r="AG219" s="917">
        <f t="shared" si="183"/>
        <v>0</v>
      </c>
      <c r="AH219" s="918">
        <f t="shared" si="184"/>
        <v>0</v>
      </c>
      <c r="AI219" s="919"/>
      <c r="AJ219" s="917">
        <f t="shared" si="185"/>
        <v>0</v>
      </c>
      <c r="AK219" s="918">
        <f t="shared" si="186"/>
        <v>0</v>
      </c>
      <c r="AL219" s="919"/>
      <c r="AM219" s="917">
        <f t="shared" si="187"/>
        <v>0</v>
      </c>
      <c r="AN219" s="920">
        <v>19242</v>
      </c>
      <c r="AO219" s="917">
        <f t="shared" si="188"/>
        <v>7310.5</v>
      </c>
      <c r="AP219" s="920"/>
      <c r="AQ219" s="916">
        <f t="shared" si="189"/>
        <v>0</v>
      </c>
      <c r="AR219" s="917">
        <f t="shared" si="190"/>
        <v>9621</v>
      </c>
      <c r="AS219" s="916">
        <v>12</v>
      </c>
      <c r="AT219" s="921">
        <f t="shared" si="191"/>
        <v>115452</v>
      </c>
      <c r="AU219" s="920">
        <f t="shared" si="213"/>
        <v>9813.42</v>
      </c>
      <c r="AV219" s="922">
        <f t="shared" si="192"/>
        <v>1154.52</v>
      </c>
      <c r="AW219" s="921">
        <f t="shared" si="193"/>
        <v>126419.94</v>
      </c>
      <c r="AX219" s="921">
        <f t="shared" si="194"/>
        <v>38178.82</v>
      </c>
      <c r="AY219" s="921">
        <f t="shared" si="195"/>
        <v>164598.76</v>
      </c>
      <c r="AZ219" s="923">
        <f t="shared" si="196"/>
        <v>126.4</v>
      </c>
      <c r="BA219" s="923">
        <f t="shared" si="197"/>
        <v>38.200000000000003</v>
      </c>
      <c r="BB219" s="923">
        <f t="shared" si="198"/>
        <v>164.6</v>
      </c>
      <c r="BC219" s="915">
        <v>0.95</v>
      </c>
      <c r="BD219" s="923">
        <f t="shared" si="199"/>
        <v>120.1</v>
      </c>
      <c r="BE219" s="923">
        <f t="shared" si="200"/>
        <v>36.299999999999997</v>
      </c>
      <c r="BF219" s="923">
        <f t="shared" si="201"/>
        <v>156.4</v>
      </c>
      <c r="BG219" s="924">
        <f>'[3]свод (2024)'!$B$116</f>
        <v>0.99758349999999996</v>
      </c>
      <c r="BH219" s="923">
        <f t="shared" si="202"/>
        <v>119.8</v>
      </c>
      <c r="BI219" s="923">
        <f t="shared" si="203"/>
        <v>36.200000000000003</v>
      </c>
      <c r="BJ219" s="923">
        <f t="shared" si="204"/>
        <v>156</v>
      </c>
      <c r="BK219" s="925">
        <f t="shared" si="205"/>
        <v>-6.6</v>
      </c>
      <c r="BL219" s="925">
        <f t="shared" si="205"/>
        <v>-2</v>
      </c>
      <c r="BM219" s="925">
        <f t="shared" si="206"/>
        <v>-8.6</v>
      </c>
      <c r="BN219" s="925">
        <f t="shared" si="207"/>
        <v>0</v>
      </c>
      <c r="BO219" s="925">
        <f t="shared" si="208"/>
        <v>0</v>
      </c>
      <c r="BP219" s="926"/>
      <c r="BQ219" s="925">
        <f t="shared" si="209"/>
        <v>119.8</v>
      </c>
      <c r="BR219" s="925">
        <f t="shared" si="209"/>
        <v>36.200000000000003</v>
      </c>
      <c r="BS219" s="925">
        <f t="shared" si="210"/>
        <v>156</v>
      </c>
      <c r="BU219" s="928"/>
      <c r="BV219" s="917"/>
      <c r="BW219" s="928"/>
      <c r="BX219" s="928"/>
      <c r="BY219" s="928"/>
      <c r="BZ219" s="917"/>
      <c r="CA219" s="928"/>
      <c r="CB219" s="917"/>
      <c r="CC219" s="928"/>
      <c r="CD219" s="928"/>
      <c r="CE219" s="928"/>
      <c r="CF219" s="929"/>
      <c r="CG219" s="928"/>
      <c r="CH219" s="928"/>
      <c r="CI219" s="928"/>
      <c r="CJ219" s="925"/>
      <c r="CK219" s="925"/>
      <c r="CL219" s="925"/>
      <c r="CM219" s="925"/>
      <c r="CN219" s="925"/>
      <c r="CO219" s="925"/>
      <c r="CP219" s="925"/>
      <c r="CQ219" s="925"/>
      <c r="CR219" s="925"/>
      <c r="CS219" s="917"/>
      <c r="CT219" s="928"/>
      <c r="CU219" s="928"/>
      <c r="CV219" s="928"/>
      <c r="CX219" s="925"/>
      <c r="CY219" s="925"/>
      <c r="CZ219" s="925"/>
      <c r="DB219" s="925"/>
      <c r="DC219" s="925"/>
      <c r="DD219" s="925"/>
      <c r="DE219" s="925"/>
      <c r="DF219" s="925"/>
      <c r="DG219" s="925"/>
      <c r="DH219" s="925"/>
      <c r="DI219" s="925"/>
      <c r="DJ219" s="925"/>
      <c r="DK219" s="925"/>
      <c r="DL219" s="925"/>
      <c r="DM219" s="925"/>
      <c r="DN219" s="925"/>
      <c r="DO219" s="925"/>
      <c r="DP219" s="925"/>
      <c r="DQ219" s="924"/>
      <c r="DR219" s="925"/>
      <c r="DS219" s="925"/>
      <c r="DT219" s="925"/>
      <c r="DV219" s="925"/>
      <c r="DW219" s="925"/>
      <c r="DX219" s="925"/>
      <c r="DY219" s="925"/>
      <c r="DZ219" s="925"/>
      <c r="EA219" s="925"/>
      <c r="EB219" s="925"/>
      <c r="EC219" s="925"/>
      <c r="ED219" s="925"/>
      <c r="EE219" s="925"/>
      <c r="EF219" s="925"/>
      <c r="EG219" s="925"/>
      <c r="EH219" s="925"/>
      <c r="EI219" s="925"/>
      <c r="EJ219" s="925"/>
      <c r="EK219" s="925"/>
      <c r="EL219" s="925"/>
      <c r="EM219" s="925"/>
      <c r="EN219" s="925"/>
      <c r="EO219" s="925"/>
      <c r="EP219" s="925"/>
      <c r="EQ219" s="925"/>
      <c r="ER219" s="925"/>
      <c r="ES219" s="925"/>
      <c r="ET219" s="925"/>
      <c r="EV219" s="924"/>
      <c r="EW219" s="925"/>
      <c r="EX219" s="925"/>
      <c r="EY219" s="925"/>
    </row>
    <row r="220" spans="1:155" s="927" customFormat="1" ht="15.75" x14ac:dyDescent="0.25">
      <c r="A220" s="931" t="s">
        <v>62</v>
      </c>
      <c r="B220" s="932"/>
      <c r="C220" s="933">
        <f>SUM(C203:C219)</f>
        <v>31.44</v>
      </c>
      <c r="D220" s="933">
        <f t="shared" ref="D220:BO220" si="214">SUM(D203:D219)</f>
        <v>202961</v>
      </c>
      <c r="E220" s="934">
        <f t="shared" si="214"/>
        <v>17.934999999999999</v>
      </c>
      <c r="F220" s="935">
        <f t="shared" si="214"/>
        <v>214132</v>
      </c>
      <c r="G220" s="934">
        <f t="shared" si="214"/>
        <v>17.170000000000002</v>
      </c>
      <c r="H220" s="935">
        <f t="shared" si="214"/>
        <v>216281</v>
      </c>
      <c r="I220" s="936">
        <f t="shared" si="214"/>
        <v>407899.36</v>
      </c>
      <c r="J220" s="937">
        <f t="shared" si="214"/>
        <v>0.79622999999999999</v>
      </c>
      <c r="K220" s="938">
        <f t="shared" si="214"/>
        <v>40916.370000000003</v>
      </c>
      <c r="L220" s="936">
        <f t="shared" si="214"/>
        <v>43603.02</v>
      </c>
      <c r="M220" s="937">
        <f t="shared" si="214"/>
        <v>0</v>
      </c>
      <c r="N220" s="938">
        <f t="shared" si="214"/>
        <v>0</v>
      </c>
      <c r="O220" s="936">
        <f t="shared" si="214"/>
        <v>0</v>
      </c>
      <c r="P220" s="937">
        <f t="shared" si="214"/>
        <v>0</v>
      </c>
      <c r="Q220" s="938">
        <f t="shared" si="214"/>
        <v>0</v>
      </c>
      <c r="R220" s="936">
        <f t="shared" si="214"/>
        <v>0</v>
      </c>
      <c r="S220" s="937">
        <f t="shared" si="214"/>
        <v>0.2</v>
      </c>
      <c r="T220" s="938">
        <f t="shared" si="214"/>
        <v>1582.4</v>
      </c>
      <c r="U220" s="936">
        <f t="shared" si="214"/>
        <v>1686.4</v>
      </c>
      <c r="V220" s="937">
        <f t="shared" si="214"/>
        <v>0</v>
      </c>
      <c r="W220" s="938">
        <f t="shared" si="214"/>
        <v>0</v>
      </c>
      <c r="X220" s="936">
        <f t="shared" si="214"/>
        <v>0</v>
      </c>
      <c r="Y220" s="937">
        <f t="shared" si="214"/>
        <v>3.3212899999999999</v>
      </c>
      <c r="Z220" s="938">
        <f t="shared" si="214"/>
        <v>38758</v>
      </c>
      <c r="AA220" s="936">
        <f t="shared" si="214"/>
        <v>41302.660000000003</v>
      </c>
      <c r="AB220" s="937">
        <f t="shared" si="214"/>
        <v>2.0973899999999999</v>
      </c>
      <c r="AC220" s="938">
        <f t="shared" si="214"/>
        <v>62388.04</v>
      </c>
      <c r="AD220" s="936">
        <f t="shared" si="214"/>
        <v>66482.23</v>
      </c>
      <c r="AE220" s="937">
        <f t="shared" si="214"/>
        <v>0</v>
      </c>
      <c r="AF220" s="938">
        <f t="shared" si="214"/>
        <v>0</v>
      </c>
      <c r="AG220" s="936">
        <f t="shared" si="214"/>
        <v>0</v>
      </c>
      <c r="AH220" s="937">
        <f t="shared" si="214"/>
        <v>0</v>
      </c>
      <c r="AI220" s="938">
        <f t="shared" si="214"/>
        <v>0</v>
      </c>
      <c r="AJ220" s="936">
        <f t="shared" si="214"/>
        <v>0</v>
      </c>
      <c r="AK220" s="937">
        <f t="shared" si="214"/>
        <v>0</v>
      </c>
      <c r="AL220" s="938">
        <f t="shared" si="214"/>
        <v>0</v>
      </c>
      <c r="AM220" s="936">
        <f t="shared" si="214"/>
        <v>0</v>
      </c>
      <c r="AN220" s="933">
        <f t="shared" si="214"/>
        <v>327114</v>
      </c>
      <c r="AO220" s="936">
        <f t="shared" si="214"/>
        <v>118630.17</v>
      </c>
      <c r="AP220" s="933">
        <f t="shared" si="214"/>
        <v>2120.58</v>
      </c>
      <c r="AQ220" s="935">
        <f t="shared" si="214"/>
        <v>5301.45</v>
      </c>
      <c r="AR220" s="936">
        <f t="shared" si="214"/>
        <v>684905.29</v>
      </c>
      <c r="AS220" s="935">
        <f t="shared" si="214"/>
        <v>204</v>
      </c>
      <c r="AT220" s="939">
        <f t="shared" si="214"/>
        <v>8218863.4800000004</v>
      </c>
      <c r="AU220" s="933">
        <f t="shared" si="214"/>
        <v>123168.52</v>
      </c>
      <c r="AV220" s="940">
        <f t="shared" si="214"/>
        <v>82188.63</v>
      </c>
      <c r="AW220" s="939">
        <f t="shared" si="214"/>
        <v>8424220.6300000008</v>
      </c>
      <c r="AX220" s="939">
        <f t="shared" si="214"/>
        <v>2544114.61</v>
      </c>
      <c r="AY220" s="939">
        <f t="shared" si="214"/>
        <v>10968335.24</v>
      </c>
      <c r="AZ220" s="941">
        <f t="shared" si="214"/>
        <v>8424</v>
      </c>
      <c r="BA220" s="941">
        <f t="shared" si="214"/>
        <v>2544</v>
      </c>
      <c r="BB220" s="941">
        <f t="shared" si="214"/>
        <v>10968</v>
      </c>
      <c r="BC220" s="934">
        <f t="shared" si="214"/>
        <v>16.149999999999999</v>
      </c>
      <c r="BD220" s="941">
        <f t="shared" si="214"/>
        <v>8002.9</v>
      </c>
      <c r="BE220" s="941">
        <f t="shared" si="214"/>
        <v>2417.1999999999998</v>
      </c>
      <c r="BF220" s="941">
        <f t="shared" si="214"/>
        <v>10420.1</v>
      </c>
      <c r="BG220" s="942">
        <f>'[3]свод (2024)'!$B$116</f>
        <v>0.99758349999999996</v>
      </c>
      <c r="BH220" s="941">
        <f t="shared" si="214"/>
        <v>7983.5</v>
      </c>
      <c r="BI220" s="941">
        <f t="shared" si="214"/>
        <v>2411</v>
      </c>
      <c r="BJ220" s="941">
        <f t="shared" si="214"/>
        <v>10394.5</v>
      </c>
      <c r="BK220" s="943">
        <f t="shared" si="214"/>
        <v>-440.5</v>
      </c>
      <c r="BL220" s="943">
        <f t="shared" si="214"/>
        <v>-133</v>
      </c>
      <c r="BM220" s="943">
        <f t="shared" si="214"/>
        <v>-573.5</v>
      </c>
      <c r="BN220" s="943">
        <f t="shared" si="214"/>
        <v>0</v>
      </c>
      <c r="BO220" s="943">
        <f t="shared" si="214"/>
        <v>0</v>
      </c>
      <c r="BP220" s="944">
        <f t="shared" ref="BP220:BS220" si="215">SUM(BP203:BP219)</f>
        <v>0</v>
      </c>
      <c r="BQ220" s="943">
        <f t="shared" si="215"/>
        <v>7983.5</v>
      </c>
      <c r="BR220" s="943">
        <f t="shared" si="215"/>
        <v>2411</v>
      </c>
      <c r="BS220" s="943">
        <f t="shared" si="215"/>
        <v>10394.5</v>
      </c>
      <c r="BU220" s="945">
        <f>SUM(BU203:BU219)</f>
        <v>17.440000000000001</v>
      </c>
      <c r="BV220" s="946">
        <v>1.6</v>
      </c>
      <c r="BW220" s="947">
        <f t="shared" ref="BW220" si="216">BU220-BV220</f>
        <v>15.84</v>
      </c>
      <c r="BX220" s="945">
        <f>SUM(BX203:BX219)</f>
        <v>4099795.8</v>
      </c>
      <c r="BY220" s="947">
        <f>BX220/BU220*BW220</f>
        <v>3723667.74</v>
      </c>
      <c r="BZ220" s="946">
        <v>9.4</v>
      </c>
      <c r="CA220" s="947">
        <f t="shared" ref="CA220" si="217">BY220/BZ220/12</f>
        <v>33011.24</v>
      </c>
      <c r="CB220" s="946">
        <v>41718.199999999997</v>
      </c>
      <c r="CC220" s="947">
        <f t="shared" ref="CC220" si="218">(CB220-CA220)*BZ220*12</f>
        <v>982145.09</v>
      </c>
      <c r="CD220" s="947">
        <f t="shared" ref="CD220" si="219">CC220*0.302</f>
        <v>296607.82</v>
      </c>
      <c r="CE220" s="947">
        <f t="shared" ref="CE220" si="220">CC220+CD220</f>
        <v>1278752.9099999999</v>
      </c>
      <c r="CF220" s="948">
        <f>SUM(CF203:CF219)</f>
        <v>982145.09</v>
      </c>
      <c r="CG220" s="949">
        <f>ROUND(CC220/1000,1)</f>
        <v>982.1</v>
      </c>
      <c r="CH220" s="949">
        <f>ROUND(CD220/1000,1)</f>
        <v>296.60000000000002</v>
      </c>
      <c r="CI220" s="950">
        <f>CG220+CH220</f>
        <v>1278.7</v>
      </c>
      <c r="CJ220" s="951">
        <f>BQ220+CG220</f>
        <v>8965.6</v>
      </c>
      <c r="CK220" s="951">
        <f>BR220+CH220</f>
        <v>2707.6</v>
      </c>
      <c r="CL220" s="952">
        <f>CJ220+CK220</f>
        <v>11673.2</v>
      </c>
      <c r="CM220" s="951">
        <f>0/6*12</f>
        <v>0</v>
      </c>
      <c r="CN220" s="951">
        <f>CM220*0.302</f>
        <v>0</v>
      </c>
      <c r="CO220" s="952">
        <f>CM220+CN220</f>
        <v>0</v>
      </c>
      <c r="CP220" s="951">
        <f>ROUND(CJ220-CM220,1)</f>
        <v>8965.6</v>
      </c>
      <c r="CQ220" s="951">
        <f>ROUND(CK220-CN220,1)</f>
        <v>2707.6</v>
      </c>
      <c r="CR220" s="952">
        <f>CP220+CQ220</f>
        <v>11673.2</v>
      </c>
      <c r="CS220" s="946">
        <v>38663.800000000003</v>
      </c>
      <c r="CT220" s="953">
        <f>(CB220-CS220)*BZ220*12/1000</f>
        <v>344.5</v>
      </c>
      <c r="CU220" s="953">
        <f>CT220*0.302</f>
        <v>104</v>
      </c>
      <c r="CV220" s="953">
        <f>CT220+CU220</f>
        <v>448.5</v>
      </c>
      <c r="CX220" s="951">
        <f>(BY220+CC220)/1000</f>
        <v>4705.8</v>
      </c>
      <c r="CY220" s="951">
        <f>CX220*0.302</f>
        <v>1421.2</v>
      </c>
      <c r="CZ220" s="952">
        <f>CX220+CY220</f>
        <v>6127</v>
      </c>
      <c r="DB220" s="954"/>
      <c r="DC220" s="954"/>
      <c r="DD220" s="921"/>
      <c r="DE220" s="954"/>
      <c r="DF220" s="954"/>
      <c r="DG220" s="921"/>
      <c r="DH220" s="954"/>
      <c r="DI220" s="954"/>
      <c r="DJ220" s="921"/>
      <c r="DK220" s="954"/>
      <c r="DL220" s="954"/>
      <c r="DM220" s="921"/>
      <c r="DN220" s="954"/>
      <c r="DO220" s="954"/>
      <c r="DP220" s="921"/>
      <c r="DQ220" s="942">
        <f>$DQ$239</f>
        <v>0.978556019</v>
      </c>
      <c r="DR220" s="951">
        <f>ROUND(CP220*DQ220,1)</f>
        <v>8773.2999999999993</v>
      </c>
      <c r="DS220" s="951">
        <f>ROUND(CQ220*DQ220,1)</f>
        <v>2649.5</v>
      </c>
      <c r="DT220" s="952">
        <f>DR220+DS220</f>
        <v>11422.8</v>
      </c>
      <c r="DV220" s="921"/>
      <c r="DW220" s="921"/>
      <c r="DX220" s="921"/>
      <c r="DY220" s="921"/>
      <c r="DZ220" s="921"/>
      <c r="EA220" s="921"/>
      <c r="EB220" s="921"/>
      <c r="EC220" s="921"/>
      <c r="ED220" s="921"/>
      <c r="EE220" s="921"/>
      <c r="EF220" s="921"/>
      <c r="EG220" s="921"/>
      <c r="EH220" s="921"/>
      <c r="EI220" s="921"/>
      <c r="EJ220" s="921"/>
      <c r="EK220" s="921"/>
      <c r="EL220" s="921"/>
      <c r="EM220" s="921"/>
      <c r="EN220" s="921"/>
      <c r="EO220" s="921"/>
      <c r="EP220" s="921"/>
      <c r="EQ220" s="954"/>
      <c r="ER220" s="954"/>
      <c r="ES220" s="954"/>
      <c r="ET220" s="954"/>
      <c r="EV220" s="942">
        <f>EV239</f>
        <v>0.980787768</v>
      </c>
      <c r="EW220" s="955">
        <f>ROUND(CP220*EV220,1)-0.3</f>
        <v>8793.1</v>
      </c>
      <c r="EX220" s="951">
        <f>ROUND(CQ220*EV220,1)</f>
        <v>2655.6</v>
      </c>
      <c r="EY220" s="952">
        <f>EW220+EX220</f>
        <v>11448.7</v>
      </c>
    </row>
    <row r="221" spans="1:155" s="927" customFormat="1" ht="15.75" x14ac:dyDescent="0.25">
      <c r="A221" s="931"/>
      <c r="B221" s="932" t="s">
        <v>406</v>
      </c>
      <c r="C221" s="981">
        <f>C212</f>
        <v>14.44</v>
      </c>
      <c r="D221" s="938"/>
      <c r="E221" s="983"/>
      <c r="F221" s="936"/>
      <c r="G221" s="983"/>
      <c r="H221" s="984">
        <f t="shared" ref="H221:I221" si="221">H212</f>
        <v>13994</v>
      </c>
      <c r="I221" s="984">
        <f t="shared" si="221"/>
        <v>202073.36</v>
      </c>
      <c r="J221" s="937"/>
      <c r="K221" s="938"/>
      <c r="L221" s="984">
        <f t="shared" ref="L221" si="222">L212</f>
        <v>34601.019999999997</v>
      </c>
      <c r="M221" s="937"/>
      <c r="N221" s="938"/>
      <c r="O221" s="984">
        <f t="shared" ref="O221" si="223">O212</f>
        <v>0</v>
      </c>
      <c r="P221" s="937"/>
      <c r="Q221" s="938"/>
      <c r="R221" s="984">
        <f t="shared" ref="R221" si="224">R212</f>
        <v>0</v>
      </c>
      <c r="S221" s="937"/>
      <c r="T221" s="938"/>
      <c r="U221" s="984">
        <f t="shared" ref="U221" si="225">U212</f>
        <v>0</v>
      </c>
      <c r="V221" s="937"/>
      <c r="W221" s="938"/>
      <c r="X221" s="984">
        <f t="shared" ref="X221" si="226">X212</f>
        <v>0</v>
      </c>
      <c r="Y221" s="937"/>
      <c r="Z221" s="938"/>
      <c r="AA221" s="984">
        <f t="shared" ref="AA221" si="227">AA212</f>
        <v>0</v>
      </c>
      <c r="AB221" s="937"/>
      <c r="AC221" s="938"/>
      <c r="AD221" s="984">
        <f t="shared" ref="AD221" si="228">AD212</f>
        <v>34835.43</v>
      </c>
      <c r="AE221" s="937"/>
      <c r="AF221" s="938"/>
      <c r="AG221" s="984">
        <f t="shared" ref="AG221" si="229">AG212</f>
        <v>0</v>
      </c>
      <c r="AH221" s="937"/>
      <c r="AI221" s="938"/>
      <c r="AJ221" s="984">
        <f t="shared" ref="AJ221" si="230">AJ212</f>
        <v>0</v>
      </c>
      <c r="AK221" s="937"/>
      <c r="AL221" s="938"/>
      <c r="AM221" s="984">
        <f t="shared" ref="AM221" si="231">AM212</f>
        <v>0</v>
      </c>
      <c r="AN221" s="938"/>
      <c r="AO221" s="984">
        <f t="shared" ref="AO221" si="232">AO212</f>
        <v>6344.67</v>
      </c>
      <c r="AP221" s="938"/>
      <c r="AQ221" s="984">
        <f t="shared" ref="AQ221:AR221" si="233">AQ212</f>
        <v>0</v>
      </c>
      <c r="AR221" s="984">
        <f t="shared" si="233"/>
        <v>277854.48</v>
      </c>
      <c r="AS221" s="936"/>
      <c r="AT221" s="984">
        <f t="shared" ref="AT221:AW221" si="234">AT212</f>
        <v>3334253.76</v>
      </c>
      <c r="AU221" s="984">
        <f t="shared" si="234"/>
        <v>0</v>
      </c>
      <c r="AV221" s="984">
        <f t="shared" si="234"/>
        <v>33342.54</v>
      </c>
      <c r="AW221" s="984">
        <f t="shared" si="234"/>
        <v>3367596.3</v>
      </c>
      <c r="AX221" s="939"/>
      <c r="AY221" s="939"/>
      <c r="AZ221" s="941"/>
      <c r="BA221" s="941"/>
      <c r="BB221" s="941"/>
      <c r="BC221" s="934"/>
      <c r="BD221" s="941"/>
      <c r="BE221" s="941"/>
      <c r="BF221" s="941"/>
      <c r="BG221" s="942"/>
      <c r="BH221" s="941"/>
      <c r="BI221" s="941"/>
      <c r="BJ221" s="941"/>
      <c r="BK221" s="943"/>
      <c r="BL221" s="943"/>
      <c r="BM221" s="943"/>
      <c r="BN221" s="943"/>
      <c r="BO221" s="943"/>
      <c r="BP221" s="944"/>
      <c r="BQ221" s="943"/>
      <c r="BR221" s="943"/>
      <c r="BS221" s="943"/>
      <c r="BU221" s="945"/>
      <c r="BV221" s="946"/>
      <c r="BW221" s="947"/>
      <c r="BX221" s="945"/>
      <c r="BY221" s="947"/>
      <c r="BZ221" s="946"/>
      <c r="CA221" s="947"/>
      <c r="CB221" s="946"/>
      <c r="CC221" s="947"/>
      <c r="CD221" s="947"/>
      <c r="CE221" s="947"/>
      <c r="CF221" s="948"/>
      <c r="CG221" s="949"/>
      <c r="CH221" s="949"/>
      <c r="CI221" s="950"/>
      <c r="CJ221" s="951"/>
      <c r="CK221" s="951"/>
      <c r="CL221" s="952"/>
      <c r="CM221" s="951"/>
      <c r="CN221" s="951"/>
      <c r="CO221" s="952"/>
      <c r="CP221" s="951"/>
      <c r="CQ221" s="951"/>
      <c r="CR221" s="952"/>
      <c r="CS221" s="946"/>
      <c r="CT221" s="953"/>
      <c r="CU221" s="953"/>
      <c r="CV221" s="953"/>
      <c r="CX221" s="951"/>
      <c r="CY221" s="951"/>
      <c r="CZ221" s="952"/>
      <c r="DB221" s="954"/>
      <c r="DC221" s="954"/>
      <c r="DD221" s="921"/>
      <c r="DE221" s="954"/>
      <c r="DF221" s="954"/>
      <c r="DG221" s="921"/>
      <c r="DH221" s="954"/>
      <c r="DI221" s="954"/>
      <c r="DJ221" s="921"/>
      <c r="DK221" s="954"/>
      <c r="DL221" s="954"/>
      <c r="DM221" s="921"/>
      <c r="DN221" s="954"/>
      <c r="DO221" s="954"/>
      <c r="DP221" s="921"/>
      <c r="DQ221" s="942"/>
      <c r="DR221" s="951"/>
      <c r="DS221" s="951"/>
      <c r="DT221" s="952"/>
      <c r="DV221" s="921"/>
      <c r="DW221" s="921"/>
      <c r="DX221" s="921"/>
      <c r="DY221" s="921"/>
      <c r="DZ221" s="921"/>
      <c r="EA221" s="921"/>
      <c r="EB221" s="921"/>
      <c r="EC221" s="921"/>
      <c r="ED221" s="921"/>
      <c r="EE221" s="921"/>
      <c r="EF221" s="921"/>
      <c r="EG221" s="921"/>
      <c r="EH221" s="921"/>
      <c r="EI221" s="921"/>
      <c r="EJ221" s="921"/>
      <c r="EK221" s="921"/>
      <c r="EL221" s="921"/>
      <c r="EM221" s="921"/>
      <c r="EN221" s="921"/>
      <c r="EO221" s="921"/>
      <c r="EP221" s="921"/>
      <c r="EQ221" s="954"/>
      <c r="ER221" s="954"/>
      <c r="ES221" s="954"/>
      <c r="ET221" s="954"/>
      <c r="EV221" s="942"/>
      <c r="EW221" s="951"/>
      <c r="EX221" s="951"/>
      <c r="EY221" s="952"/>
    </row>
    <row r="222" spans="1:155" s="927" customFormat="1" ht="15.75" x14ac:dyDescent="0.25">
      <c r="A222" s="931"/>
      <c r="B222" s="932" t="s">
        <v>403</v>
      </c>
      <c r="C222" s="981">
        <f>C210+C213+C214</f>
        <v>3</v>
      </c>
      <c r="D222" s="938"/>
      <c r="E222" s="983"/>
      <c r="F222" s="936"/>
      <c r="G222" s="983"/>
      <c r="H222" s="984">
        <f t="shared" ref="H222:I222" si="235">H210+H213+H214</f>
        <v>43346</v>
      </c>
      <c r="I222" s="984">
        <f t="shared" si="235"/>
        <v>43346</v>
      </c>
      <c r="J222" s="937"/>
      <c r="K222" s="938"/>
      <c r="L222" s="984">
        <f t="shared" ref="L222" si="236">L210+L213+L214</f>
        <v>9002</v>
      </c>
      <c r="M222" s="937"/>
      <c r="N222" s="938"/>
      <c r="O222" s="984">
        <f t="shared" ref="O222" si="237">O210+O213+O214</f>
        <v>0</v>
      </c>
      <c r="P222" s="937"/>
      <c r="Q222" s="938"/>
      <c r="R222" s="984">
        <f t="shared" ref="R222" si="238">R210+R213+R214</f>
        <v>0</v>
      </c>
      <c r="S222" s="937"/>
      <c r="T222" s="938"/>
      <c r="U222" s="984">
        <f t="shared" ref="U222" si="239">U210+U213+U214</f>
        <v>0</v>
      </c>
      <c r="V222" s="937"/>
      <c r="W222" s="938"/>
      <c r="X222" s="984">
        <f t="shared" ref="X222" si="240">X210+X213+X214</f>
        <v>0</v>
      </c>
      <c r="Y222" s="937"/>
      <c r="Z222" s="938"/>
      <c r="AA222" s="984">
        <f t="shared" ref="AA222" si="241">AA210+AA213+AA214</f>
        <v>0</v>
      </c>
      <c r="AB222" s="937"/>
      <c r="AC222" s="938"/>
      <c r="AD222" s="984">
        <f t="shared" ref="AD222" si="242">AD210+AD213+AD214</f>
        <v>7534.4</v>
      </c>
      <c r="AE222" s="937"/>
      <c r="AF222" s="938"/>
      <c r="AG222" s="984">
        <f t="shared" ref="AG222" si="243">AG210+AG213+AG214</f>
        <v>0</v>
      </c>
      <c r="AH222" s="937"/>
      <c r="AI222" s="938"/>
      <c r="AJ222" s="984">
        <f t="shared" ref="AJ222" si="244">AJ210+AJ213+AJ214</f>
        <v>0</v>
      </c>
      <c r="AK222" s="937"/>
      <c r="AL222" s="938"/>
      <c r="AM222" s="984">
        <f t="shared" ref="AM222" si="245">AM210+AM213+AM214</f>
        <v>0</v>
      </c>
      <c r="AN222" s="938"/>
      <c r="AO222" s="984">
        <f t="shared" ref="AO222" si="246">AO210+AO213+AO214</f>
        <v>530.1</v>
      </c>
      <c r="AP222" s="938"/>
      <c r="AQ222" s="984">
        <f t="shared" ref="AQ222:AR222" si="247">AQ210+AQ213+AQ214</f>
        <v>0</v>
      </c>
      <c r="AR222" s="984">
        <f t="shared" si="247"/>
        <v>60412.5</v>
      </c>
      <c r="AS222" s="936"/>
      <c r="AT222" s="984">
        <f t="shared" ref="AT222:AW222" si="248">AT210+AT213+AT214</f>
        <v>724950</v>
      </c>
      <c r="AU222" s="984">
        <f t="shared" si="248"/>
        <v>0</v>
      </c>
      <c r="AV222" s="984">
        <f t="shared" si="248"/>
        <v>7249.5</v>
      </c>
      <c r="AW222" s="984">
        <f t="shared" si="248"/>
        <v>732199.5</v>
      </c>
      <c r="AX222" s="939"/>
      <c r="AY222" s="939"/>
      <c r="AZ222" s="941"/>
      <c r="BA222" s="941"/>
      <c r="BB222" s="941"/>
      <c r="BC222" s="934"/>
      <c r="BD222" s="941"/>
      <c r="BE222" s="941"/>
      <c r="BF222" s="941"/>
      <c r="BG222" s="942"/>
      <c r="BH222" s="941"/>
      <c r="BI222" s="941"/>
      <c r="BJ222" s="941"/>
      <c r="BK222" s="943"/>
      <c r="BL222" s="943"/>
      <c r="BM222" s="943"/>
      <c r="BN222" s="943"/>
      <c r="BO222" s="943"/>
      <c r="BP222" s="944"/>
      <c r="BQ222" s="943"/>
      <c r="BR222" s="943"/>
      <c r="BS222" s="943"/>
      <c r="BU222" s="945"/>
      <c r="BV222" s="946"/>
      <c r="BW222" s="947"/>
      <c r="BX222" s="945"/>
      <c r="BY222" s="947"/>
      <c r="BZ222" s="946"/>
      <c r="CA222" s="947"/>
      <c r="CB222" s="946"/>
      <c r="CC222" s="947"/>
      <c r="CD222" s="947"/>
      <c r="CE222" s="947"/>
      <c r="CF222" s="948"/>
      <c r="CG222" s="949"/>
      <c r="CH222" s="949"/>
      <c r="CI222" s="950"/>
      <c r="CJ222" s="951"/>
      <c r="CK222" s="951"/>
      <c r="CL222" s="952"/>
      <c r="CM222" s="951"/>
      <c r="CN222" s="951"/>
      <c r="CO222" s="952"/>
      <c r="CP222" s="951"/>
      <c r="CQ222" s="951"/>
      <c r="CR222" s="952"/>
      <c r="CS222" s="946"/>
      <c r="CT222" s="953"/>
      <c r="CU222" s="953"/>
      <c r="CV222" s="953"/>
      <c r="CX222" s="951"/>
      <c r="CY222" s="951"/>
      <c r="CZ222" s="952"/>
      <c r="DB222" s="954"/>
      <c r="DC222" s="954"/>
      <c r="DD222" s="921"/>
      <c r="DE222" s="954"/>
      <c r="DF222" s="954"/>
      <c r="DG222" s="921"/>
      <c r="DH222" s="954"/>
      <c r="DI222" s="954"/>
      <c r="DJ222" s="921"/>
      <c r="DK222" s="954"/>
      <c r="DL222" s="954"/>
      <c r="DM222" s="921"/>
      <c r="DN222" s="954"/>
      <c r="DO222" s="954"/>
      <c r="DP222" s="921"/>
      <c r="DQ222" s="942"/>
      <c r="DR222" s="951"/>
      <c r="DS222" s="951"/>
      <c r="DT222" s="952"/>
      <c r="DV222" s="921"/>
      <c r="DW222" s="921"/>
      <c r="DX222" s="921"/>
      <c r="DY222" s="921"/>
      <c r="DZ222" s="921"/>
      <c r="EA222" s="921"/>
      <c r="EB222" s="921"/>
      <c r="EC222" s="921"/>
      <c r="ED222" s="921"/>
      <c r="EE222" s="921"/>
      <c r="EF222" s="921"/>
      <c r="EG222" s="921"/>
      <c r="EH222" s="921"/>
      <c r="EI222" s="921"/>
      <c r="EJ222" s="921"/>
      <c r="EK222" s="921"/>
      <c r="EL222" s="921"/>
      <c r="EM222" s="921"/>
      <c r="EN222" s="921"/>
      <c r="EO222" s="921"/>
      <c r="EP222" s="921"/>
      <c r="EQ222" s="954"/>
      <c r="ER222" s="954"/>
      <c r="ES222" s="954"/>
      <c r="ET222" s="954"/>
      <c r="EV222" s="942"/>
      <c r="EW222" s="951"/>
      <c r="EX222" s="951"/>
      <c r="EY222" s="952"/>
    </row>
    <row r="223" spans="1:155" s="927" customFormat="1" ht="15.75" x14ac:dyDescent="0.25">
      <c r="A223" s="931"/>
      <c r="B223" s="932" t="s">
        <v>404</v>
      </c>
      <c r="C223" s="981">
        <f>C203+C204+C205+C206+C207+C208+C209+C216+C219</f>
        <v>7.5</v>
      </c>
      <c r="D223" s="938"/>
      <c r="E223" s="983"/>
      <c r="F223" s="936"/>
      <c r="G223" s="983"/>
      <c r="H223" s="984">
        <f t="shared" ref="H223:I223" si="249">H203+H204+H205+H206+H207+H208+H209+H216+H219</f>
        <v>139045</v>
      </c>
      <c r="I223" s="984">
        <f t="shared" si="249"/>
        <v>130292</v>
      </c>
      <c r="J223" s="937"/>
      <c r="K223" s="938"/>
      <c r="L223" s="984">
        <f t="shared" ref="L223" si="250">L203+L204+L205+L206+L207+L208+L209+L216+L219</f>
        <v>0</v>
      </c>
      <c r="M223" s="937"/>
      <c r="N223" s="938"/>
      <c r="O223" s="984">
        <f t="shared" ref="O223" si="251">O203+O204+O205+O206+O207+O208+O209+O216+O219</f>
        <v>0</v>
      </c>
      <c r="P223" s="937"/>
      <c r="Q223" s="938"/>
      <c r="R223" s="984">
        <f t="shared" ref="R223" si="252">R203+R204+R205+R206+R207+R208+R209+R216+R219</f>
        <v>0</v>
      </c>
      <c r="S223" s="937"/>
      <c r="T223" s="938"/>
      <c r="U223" s="984">
        <f t="shared" ref="U223" si="253">U203+U204+U205+U206+U207+U208+U209+U216+U219</f>
        <v>1686.4</v>
      </c>
      <c r="V223" s="937"/>
      <c r="W223" s="938"/>
      <c r="X223" s="984">
        <f t="shared" ref="X223" si="254">X203+X204+X205+X206+X207+X208+X209+X216+X219</f>
        <v>0</v>
      </c>
      <c r="Y223" s="937"/>
      <c r="Z223" s="938"/>
      <c r="AA223" s="984">
        <f t="shared" ref="AA223" si="255">AA203+AA204+AA205+AA206+AA207+AA208+AA209+AA216+AA219</f>
        <v>41302.660000000003</v>
      </c>
      <c r="AB223" s="937"/>
      <c r="AC223" s="938"/>
      <c r="AD223" s="984">
        <f t="shared" ref="AD223" si="256">AD203+AD204+AD205+AD206+AD207+AD208+AD209+AD216+AD219</f>
        <v>24112.400000000001</v>
      </c>
      <c r="AE223" s="937"/>
      <c r="AF223" s="938"/>
      <c r="AG223" s="984">
        <f t="shared" ref="AG223" si="257">AG203+AG204+AG205+AG206+AG207+AG208+AG209+AG216+AG219</f>
        <v>0</v>
      </c>
      <c r="AH223" s="937"/>
      <c r="AI223" s="938"/>
      <c r="AJ223" s="984">
        <f t="shared" ref="AJ223" si="258">AJ203+AJ204+AJ205+AJ206+AJ207+AJ208+AJ209+AJ216+AJ219</f>
        <v>0</v>
      </c>
      <c r="AK223" s="937"/>
      <c r="AL223" s="938"/>
      <c r="AM223" s="984">
        <f t="shared" ref="AM223" si="259">AM203+AM204+AM205+AM206+AM207+AM208+AM209+AM216+AM219</f>
        <v>0</v>
      </c>
      <c r="AN223" s="938"/>
      <c r="AO223" s="984">
        <f t="shared" ref="AO223" si="260">AO203+AO204+AO205+AO206+AO207+AO208+AO209+AO216+AO219</f>
        <v>18870.400000000001</v>
      </c>
      <c r="AP223" s="938"/>
      <c r="AQ223" s="984">
        <f t="shared" ref="AQ223:AR223" si="261">AQ203+AQ204+AQ205+AQ206+AQ207+AQ208+AQ209+AQ216+AQ219</f>
        <v>0</v>
      </c>
      <c r="AR223" s="984">
        <f t="shared" si="261"/>
        <v>216263.86</v>
      </c>
      <c r="AS223" s="936"/>
      <c r="AT223" s="984">
        <f t="shared" ref="AT223:AW223" si="262">AT203+AT204+AT205+AT206+AT207+AT208+AT209+AT216+AT219</f>
        <v>2595166.3199999998</v>
      </c>
      <c r="AU223" s="984">
        <f t="shared" si="262"/>
        <v>19626.84</v>
      </c>
      <c r="AV223" s="984">
        <f t="shared" si="262"/>
        <v>25951.66</v>
      </c>
      <c r="AW223" s="984">
        <f t="shared" si="262"/>
        <v>2640744.8199999998</v>
      </c>
      <c r="AX223" s="939"/>
      <c r="AY223" s="939"/>
      <c r="AZ223" s="941"/>
      <c r="BA223" s="941"/>
      <c r="BB223" s="941"/>
      <c r="BC223" s="934"/>
      <c r="BD223" s="941"/>
      <c r="BE223" s="941"/>
      <c r="BF223" s="941"/>
      <c r="BG223" s="942"/>
      <c r="BH223" s="941"/>
      <c r="BI223" s="941"/>
      <c r="BJ223" s="941"/>
      <c r="BK223" s="943"/>
      <c r="BL223" s="943"/>
      <c r="BM223" s="943"/>
      <c r="BN223" s="943"/>
      <c r="BO223" s="943"/>
      <c r="BP223" s="944"/>
      <c r="BQ223" s="943"/>
      <c r="BR223" s="943"/>
      <c r="BS223" s="943"/>
      <c r="BU223" s="945"/>
      <c r="BV223" s="946"/>
      <c r="BW223" s="947"/>
      <c r="BX223" s="945"/>
      <c r="BY223" s="947"/>
      <c r="BZ223" s="946"/>
      <c r="CA223" s="947"/>
      <c r="CB223" s="946"/>
      <c r="CC223" s="947"/>
      <c r="CD223" s="947"/>
      <c r="CE223" s="947"/>
      <c r="CF223" s="948"/>
      <c r="CG223" s="949"/>
      <c r="CH223" s="949"/>
      <c r="CI223" s="950"/>
      <c r="CJ223" s="951"/>
      <c r="CK223" s="951"/>
      <c r="CL223" s="952"/>
      <c r="CM223" s="951"/>
      <c r="CN223" s="951"/>
      <c r="CO223" s="952"/>
      <c r="CP223" s="951"/>
      <c r="CQ223" s="951"/>
      <c r="CR223" s="952"/>
      <c r="CS223" s="946"/>
      <c r="CT223" s="953"/>
      <c r="CU223" s="953"/>
      <c r="CV223" s="953"/>
      <c r="CX223" s="951"/>
      <c r="CY223" s="951"/>
      <c r="CZ223" s="952"/>
      <c r="DB223" s="954"/>
      <c r="DC223" s="954"/>
      <c r="DD223" s="921"/>
      <c r="DE223" s="954"/>
      <c r="DF223" s="954"/>
      <c r="DG223" s="921"/>
      <c r="DH223" s="954"/>
      <c r="DI223" s="954"/>
      <c r="DJ223" s="921"/>
      <c r="DK223" s="954"/>
      <c r="DL223" s="954"/>
      <c r="DM223" s="921"/>
      <c r="DN223" s="954"/>
      <c r="DO223" s="954"/>
      <c r="DP223" s="921"/>
      <c r="DQ223" s="942"/>
      <c r="DR223" s="951"/>
      <c r="DS223" s="951"/>
      <c r="DT223" s="952"/>
      <c r="DV223" s="921"/>
      <c r="DW223" s="921"/>
      <c r="DX223" s="921"/>
      <c r="DY223" s="921"/>
      <c r="DZ223" s="921"/>
      <c r="EA223" s="921"/>
      <c r="EB223" s="921"/>
      <c r="EC223" s="921"/>
      <c r="ED223" s="921"/>
      <c r="EE223" s="921"/>
      <c r="EF223" s="921"/>
      <c r="EG223" s="921"/>
      <c r="EH223" s="921"/>
      <c r="EI223" s="921"/>
      <c r="EJ223" s="921"/>
      <c r="EK223" s="921"/>
      <c r="EL223" s="921"/>
      <c r="EM223" s="921"/>
      <c r="EN223" s="921"/>
      <c r="EO223" s="921"/>
      <c r="EP223" s="921"/>
      <c r="EQ223" s="954"/>
      <c r="ER223" s="954"/>
      <c r="ES223" s="954"/>
      <c r="ET223" s="954"/>
      <c r="EV223" s="942"/>
      <c r="EW223" s="951"/>
      <c r="EX223" s="951"/>
      <c r="EY223" s="952"/>
    </row>
    <row r="224" spans="1:155" s="927" customFormat="1" ht="15.75" x14ac:dyDescent="0.25">
      <c r="A224" s="931"/>
      <c r="B224" s="932" t="s">
        <v>405</v>
      </c>
      <c r="C224" s="981">
        <f>C211+C215+C217+C218</f>
        <v>6.5</v>
      </c>
      <c r="D224" s="938"/>
      <c r="E224" s="983"/>
      <c r="F224" s="936"/>
      <c r="G224" s="983"/>
      <c r="H224" s="984">
        <f t="shared" ref="H224:I224" si="263">H211+H215+H217+H218</f>
        <v>19896</v>
      </c>
      <c r="I224" s="984">
        <f t="shared" si="263"/>
        <v>32188</v>
      </c>
      <c r="J224" s="937"/>
      <c r="K224" s="938"/>
      <c r="L224" s="984">
        <f t="shared" ref="L224" si="264">L211+L215+L217+L218</f>
        <v>0</v>
      </c>
      <c r="M224" s="937"/>
      <c r="N224" s="938"/>
      <c r="O224" s="984">
        <f t="shared" ref="O224" si="265">O211+O215+O217+O218</f>
        <v>0</v>
      </c>
      <c r="P224" s="937"/>
      <c r="Q224" s="938"/>
      <c r="R224" s="984">
        <f t="shared" ref="R224" si="266">R211+R215+R217+R218</f>
        <v>0</v>
      </c>
      <c r="S224" s="937"/>
      <c r="T224" s="938"/>
      <c r="U224" s="984">
        <f t="shared" ref="U224" si="267">U211+U215+U217+U218</f>
        <v>0</v>
      </c>
      <c r="V224" s="937"/>
      <c r="W224" s="938"/>
      <c r="X224" s="984">
        <f t="shared" ref="X224" si="268">X211+X215+X217+X218</f>
        <v>0</v>
      </c>
      <c r="Y224" s="937"/>
      <c r="Z224" s="938"/>
      <c r="AA224" s="984">
        <f t="shared" ref="AA224" si="269">AA211+AA215+AA217+AA218</f>
        <v>0</v>
      </c>
      <c r="AB224" s="937"/>
      <c r="AC224" s="938"/>
      <c r="AD224" s="984">
        <f t="shared" ref="AD224" si="270">AD211+AD215+AD217+AD218</f>
        <v>0</v>
      </c>
      <c r="AE224" s="937"/>
      <c r="AF224" s="938"/>
      <c r="AG224" s="984">
        <f t="shared" ref="AG224" si="271">AG211+AG215+AG217+AG218</f>
        <v>0</v>
      </c>
      <c r="AH224" s="937"/>
      <c r="AI224" s="938"/>
      <c r="AJ224" s="984">
        <f t="shared" ref="AJ224" si="272">AJ211+AJ215+AJ217+AJ218</f>
        <v>0</v>
      </c>
      <c r="AK224" s="937"/>
      <c r="AL224" s="938"/>
      <c r="AM224" s="984">
        <f t="shared" ref="AM224" si="273">AM211+AM215+AM217+AM218</f>
        <v>0</v>
      </c>
      <c r="AN224" s="938"/>
      <c r="AO224" s="984">
        <f t="shared" ref="AO224" si="274">AO211+AO215+AO217+AO218</f>
        <v>92885</v>
      </c>
      <c r="AP224" s="938"/>
      <c r="AQ224" s="984">
        <f t="shared" ref="AQ224:AR224" si="275">AQ211+AQ215+AQ217+AQ218</f>
        <v>5301.45</v>
      </c>
      <c r="AR224" s="984">
        <f t="shared" si="275"/>
        <v>130374.45</v>
      </c>
      <c r="AS224" s="936"/>
      <c r="AT224" s="984">
        <f t="shared" ref="AT224:AW224" si="276">AT211+AT215+AT217+AT218</f>
        <v>1564493.4</v>
      </c>
      <c r="AU224" s="984">
        <f t="shared" si="276"/>
        <v>103541.68</v>
      </c>
      <c r="AV224" s="984">
        <f t="shared" si="276"/>
        <v>15644.93</v>
      </c>
      <c r="AW224" s="984">
        <f t="shared" si="276"/>
        <v>1683680.01</v>
      </c>
      <c r="AX224" s="939"/>
      <c r="AY224" s="939"/>
      <c r="AZ224" s="941"/>
      <c r="BA224" s="941"/>
      <c r="BB224" s="941"/>
      <c r="BC224" s="934"/>
      <c r="BD224" s="941"/>
      <c r="BE224" s="941"/>
      <c r="BF224" s="941"/>
      <c r="BG224" s="942"/>
      <c r="BH224" s="941"/>
      <c r="BI224" s="941"/>
      <c r="BJ224" s="941"/>
      <c r="BK224" s="943"/>
      <c r="BL224" s="943"/>
      <c r="BM224" s="943"/>
      <c r="BN224" s="943"/>
      <c r="BO224" s="943"/>
      <c r="BP224" s="944"/>
      <c r="BQ224" s="943"/>
      <c r="BR224" s="943"/>
      <c r="BS224" s="943"/>
      <c r="BU224" s="945"/>
      <c r="BV224" s="946"/>
      <c r="BW224" s="947"/>
      <c r="BX224" s="945"/>
      <c r="BY224" s="947"/>
      <c r="BZ224" s="946"/>
      <c r="CA224" s="947"/>
      <c r="CB224" s="946"/>
      <c r="CC224" s="947"/>
      <c r="CD224" s="947"/>
      <c r="CE224" s="947"/>
      <c r="CF224" s="948"/>
      <c r="CG224" s="949"/>
      <c r="CH224" s="949"/>
      <c r="CI224" s="950"/>
      <c r="CJ224" s="951"/>
      <c r="CK224" s="951"/>
      <c r="CL224" s="952"/>
      <c r="CM224" s="951"/>
      <c r="CN224" s="951"/>
      <c r="CO224" s="952"/>
      <c r="CP224" s="951"/>
      <c r="CQ224" s="951"/>
      <c r="CR224" s="952"/>
      <c r="CS224" s="946"/>
      <c r="CT224" s="953"/>
      <c r="CU224" s="953"/>
      <c r="CV224" s="953"/>
      <c r="CX224" s="951"/>
      <c r="CY224" s="951"/>
      <c r="CZ224" s="952"/>
      <c r="DB224" s="954"/>
      <c r="DC224" s="954"/>
      <c r="DD224" s="921"/>
      <c r="DE224" s="954"/>
      <c r="DF224" s="954"/>
      <c r="DG224" s="921"/>
      <c r="DH224" s="954"/>
      <c r="DI224" s="954"/>
      <c r="DJ224" s="921"/>
      <c r="DK224" s="954"/>
      <c r="DL224" s="954"/>
      <c r="DM224" s="921"/>
      <c r="DN224" s="954"/>
      <c r="DO224" s="954"/>
      <c r="DP224" s="921"/>
      <c r="DQ224" s="942"/>
      <c r="DR224" s="951"/>
      <c r="DS224" s="951"/>
      <c r="DT224" s="952"/>
      <c r="DV224" s="921"/>
      <c r="DW224" s="921"/>
      <c r="DX224" s="921"/>
      <c r="DY224" s="921"/>
      <c r="DZ224" s="921"/>
      <c r="EA224" s="921"/>
      <c r="EB224" s="921"/>
      <c r="EC224" s="921"/>
      <c r="ED224" s="921"/>
      <c r="EE224" s="921"/>
      <c r="EF224" s="921"/>
      <c r="EG224" s="921"/>
      <c r="EH224" s="921"/>
      <c r="EI224" s="921"/>
      <c r="EJ224" s="921"/>
      <c r="EK224" s="921"/>
      <c r="EL224" s="921"/>
      <c r="EM224" s="921"/>
      <c r="EN224" s="921"/>
      <c r="EO224" s="921"/>
      <c r="EP224" s="921"/>
      <c r="EQ224" s="954"/>
      <c r="ER224" s="954"/>
      <c r="ES224" s="954"/>
      <c r="ET224" s="954"/>
      <c r="EV224" s="942"/>
      <c r="EW224" s="951"/>
      <c r="EX224" s="951"/>
      <c r="EY224" s="952"/>
    </row>
    <row r="225" spans="1:155" s="927" customFormat="1" ht="15.75" x14ac:dyDescent="0.25">
      <c r="A225" s="931"/>
      <c r="B225" s="932"/>
      <c r="C225" s="982">
        <f>C220-C221-C222-C223-C224</f>
        <v>0</v>
      </c>
      <c r="D225" s="938"/>
      <c r="E225" s="983"/>
      <c r="F225" s="936"/>
      <c r="G225" s="983"/>
      <c r="H225" s="985">
        <f>H220-H221-H222-H223-H224</f>
        <v>0</v>
      </c>
      <c r="I225" s="985">
        <f>I220-I221-I222-I223-I224</f>
        <v>0</v>
      </c>
      <c r="J225" s="937"/>
      <c r="K225" s="938"/>
      <c r="L225" s="985">
        <f>L220-L221-L222-L223-L224</f>
        <v>0</v>
      </c>
      <c r="M225" s="937"/>
      <c r="N225" s="938"/>
      <c r="O225" s="985">
        <f>O220-O221-O222-O223-O224</f>
        <v>0</v>
      </c>
      <c r="P225" s="937"/>
      <c r="Q225" s="938"/>
      <c r="R225" s="985">
        <f>R220-R221-R222-R223-R224</f>
        <v>0</v>
      </c>
      <c r="S225" s="937"/>
      <c r="T225" s="938"/>
      <c r="U225" s="985">
        <f>U220-U221-U222-U223-U224</f>
        <v>0</v>
      </c>
      <c r="V225" s="937"/>
      <c r="W225" s="938"/>
      <c r="X225" s="985">
        <f>X220-X221-X222-X223-X224</f>
        <v>0</v>
      </c>
      <c r="Y225" s="937"/>
      <c r="Z225" s="938"/>
      <c r="AA225" s="985">
        <f>AA220-AA221-AA222-AA223-AA224</f>
        <v>0</v>
      </c>
      <c r="AB225" s="937"/>
      <c r="AC225" s="938"/>
      <c r="AD225" s="985">
        <f>AD220-AD221-AD222-AD223-AD224</f>
        <v>0</v>
      </c>
      <c r="AE225" s="937"/>
      <c r="AF225" s="938"/>
      <c r="AG225" s="985">
        <f>AG220-AG221-AG222-AG223-AG224</f>
        <v>0</v>
      </c>
      <c r="AH225" s="937"/>
      <c r="AI225" s="938"/>
      <c r="AJ225" s="985">
        <f>AJ220-AJ221-AJ222-AJ223-AJ224</f>
        <v>0</v>
      </c>
      <c r="AK225" s="937"/>
      <c r="AL225" s="938"/>
      <c r="AM225" s="985">
        <f>AM220-AM221-AM222-AM223-AM224</f>
        <v>0</v>
      </c>
      <c r="AN225" s="938"/>
      <c r="AO225" s="985">
        <f>AO220-AO221-AO222-AO223-AO224</f>
        <v>0</v>
      </c>
      <c r="AP225" s="938"/>
      <c r="AQ225" s="985">
        <f>AQ220-AQ221-AQ222-AQ223-AQ224</f>
        <v>0</v>
      </c>
      <c r="AR225" s="985">
        <f>AR220-AR221-AR222-AR223-AR224</f>
        <v>0</v>
      </c>
      <c r="AS225" s="936"/>
      <c r="AT225" s="985">
        <f t="shared" ref="AT225:AW225" si="277">AT220-AT221-AT222-AT223-AT224</f>
        <v>0</v>
      </c>
      <c r="AU225" s="985">
        <f t="shared" si="277"/>
        <v>0</v>
      </c>
      <c r="AV225" s="985">
        <f t="shared" si="277"/>
        <v>0</v>
      </c>
      <c r="AW225" s="985">
        <f t="shared" si="277"/>
        <v>0</v>
      </c>
      <c r="AX225" s="939"/>
      <c r="AY225" s="939"/>
      <c r="AZ225" s="941"/>
      <c r="BA225" s="941"/>
      <c r="BB225" s="941"/>
      <c r="BC225" s="934"/>
      <c r="BD225" s="941"/>
      <c r="BE225" s="941"/>
      <c r="BF225" s="941"/>
      <c r="BG225" s="942"/>
      <c r="BH225" s="941"/>
      <c r="BI225" s="941"/>
      <c r="BJ225" s="941"/>
      <c r="BK225" s="943"/>
      <c r="BL225" s="943"/>
      <c r="BM225" s="943"/>
      <c r="BN225" s="943"/>
      <c r="BO225" s="943"/>
      <c r="BP225" s="944"/>
      <c r="BQ225" s="943"/>
      <c r="BR225" s="943"/>
      <c r="BS225" s="943"/>
      <c r="BU225" s="945"/>
      <c r="BV225" s="946"/>
      <c r="BW225" s="947"/>
      <c r="BX225" s="945"/>
      <c r="BY225" s="947"/>
      <c r="BZ225" s="946"/>
      <c r="CA225" s="947"/>
      <c r="CB225" s="946"/>
      <c r="CC225" s="947"/>
      <c r="CD225" s="947"/>
      <c r="CE225" s="947"/>
      <c r="CF225" s="948"/>
      <c r="CG225" s="949"/>
      <c r="CH225" s="949"/>
      <c r="CI225" s="950"/>
      <c r="CJ225" s="951"/>
      <c r="CK225" s="951"/>
      <c r="CL225" s="952"/>
      <c r="CM225" s="951"/>
      <c r="CN225" s="951"/>
      <c r="CO225" s="952"/>
      <c r="CP225" s="951"/>
      <c r="CQ225" s="951"/>
      <c r="CR225" s="952"/>
      <c r="CS225" s="946"/>
      <c r="CT225" s="953"/>
      <c r="CU225" s="953"/>
      <c r="CV225" s="953"/>
      <c r="CX225" s="951"/>
      <c r="CY225" s="951"/>
      <c r="CZ225" s="952"/>
      <c r="DB225" s="954"/>
      <c r="DC225" s="954"/>
      <c r="DD225" s="921"/>
      <c r="DE225" s="954"/>
      <c r="DF225" s="954"/>
      <c r="DG225" s="921"/>
      <c r="DH225" s="954"/>
      <c r="DI225" s="954"/>
      <c r="DJ225" s="921"/>
      <c r="DK225" s="954"/>
      <c r="DL225" s="954"/>
      <c r="DM225" s="921"/>
      <c r="DN225" s="954"/>
      <c r="DO225" s="954"/>
      <c r="DP225" s="921"/>
      <c r="DQ225" s="942"/>
      <c r="DR225" s="951"/>
      <c r="DS225" s="951"/>
      <c r="DT225" s="952"/>
      <c r="DV225" s="921"/>
      <c r="DW225" s="921"/>
      <c r="DX225" s="921"/>
      <c r="DY225" s="921"/>
      <c r="DZ225" s="921"/>
      <c r="EA225" s="921"/>
      <c r="EB225" s="921"/>
      <c r="EC225" s="921"/>
      <c r="ED225" s="921"/>
      <c r="EE225" s="921"/>
      <c r="EF225" s="921"/>
      <c r="EG225" s="921"/>
      <c r="EH225" s="921"/>
      <c r="EI225" s="921"/>
      <c r="EJ225" s="921"/>
      <c r="EK225" s="921"/>
      <c r="EL225" s="921"/>
      <c r="EM225" s="921"/>
      <c r="EN225" s="921"/>
      <c r="EO225" s="921"/>
      <c r="EP225" s="921"/>
      <c r="EQ225" s="954"/>
      <c r="ER225" s="954"/>
      <c r="ES225" s="954"/>
      <c r="ET225" s="954"/>
      <c r="EV225" s="942"/>
      <c r="EW225" s="951"/>
      <c r="EX225" s="951"/>
      <c r="EY225" s="952"/>
    </row>
    <row r="226" spans="1:155" s="927" customFormat="1" ht="15.75" x14ac:dyDescent="0.25">
      <c r="A226" s="931"/>
      <c r="B226" s="932" t="s">
        <v>806</v>
      </c>
      <c r="C226" s="933"/>
      <c r="D226" s="933"/>
      <c r="E226" s="934"/>
      <c r="F226" s="935"/>
      <c r="G226" s="934"/>
      <c r="H226" s="935"/>
      <c r="I226" s="936"/>
      <c r="J226" s="937"/>
      <c r="K226" s="938"/>
      <c r="L226" s="936"/>
      <c r="M226" s="937"/>
      <c r="N226" s="938"/>
      <c r="O226" s="936"/>
      <c r="P226" s="937"/>
      <c r="Q226" s="938"/>
      <c r="R226" s="936"/>
      <c r="S226" s="937"/>
      <c r="T226" s="938"/>
      <c r="U226" s="936"/>
      <c r="V226" s="937"/>
      <c r="W226" s="938"/>
      <c r="X226" s="936"/>
      <c r="Y226" s="937"/>
      <c r="Z226" s="938"/>
      <c r="AA226" s="936"/>
      <c r="AB226" s="937"/>
      <c r="AC226" s="938"/>
      <c r="AD226" s="936"/>
      <c r="AE226" s="937"/>
      <c r="AF226" s="938"/>
      <c r="AG226" s="936"/>
      <c r="AH226" s="937"/>
      <c r="AI226" s="938"/>
      <c r="AJ226" s="936"/>
      <c r="AK226" s="937"/>
      <c r="AL226" s="938"/>
      <c r="AM226" s="936"/>
      <c r="AN226" s="933"/>
      <c r="AO226" s="936"/>
      <c r="AP226" s="933"/>
      <c r="AQ226" s="935"/>
      <c r="AR226" s="936"/>
      <c r="AS226" s="935"/>
      <c r="AT226" s="939"/>
      <c r="AU226" s="933"/>
      <c r="AV226" s="940"/>
      <c r="AW226" s="389">
        <f>AW220/12-AO220</f>
        <v>583388.22</v>
      </c>
      <c r="AX226" s="939"/>
      <c r="AY226" s="939"/>
      <c r="AZ226" s="941"/>
      <c r="BA226" s="941"/>
      <c r="BB226" s="941"/>
      <c r="BC226" s="934"/>
      <c r="BD226" s="941"/>
      <c r="BE226" s="941"/>
      <c r="BF226" s="941"/>
      <c r="BG226" s="942"/>
      <c r="BH226" s="941"/>
      <c r="BI226" s="941"/>
      <c r="BJ226" s="941"/>
      <c r="BK226" s="943"/>
      <c r="BL226" s="943"/>
      <c r="BM226" s="943"/>
      <c r="BN226" s="943"/>
      <c r="BO226" s="943"/>
      <c r="BP226" s="944"/>
      <c r="BQ226" s="943"/>
      <c r="BR226" s="943"/>
      <c r="BS226" s="943"/>
      <c r="BU226" s="945"/>
      <c r="BV226" s="946"/>
      <c r="BW226" s="947"/>
      <c r="BX226" s="945"/>
      <c r="BY226" s="947"/>
      <c r="BZ226" s="946"/>
      <c r="CA226" s="947"/>
      <c r="CB226" s="946"/>
      <c r="CC226" s="947"/>
      <c r="CD226" s="947"/>
      <c r="CE226" s="947"/>
      <c r="CF226" s="948"/>
      <c r="CG226" s="949"/>
      <c r="CH226" s="949"/>
      <c r="CI226" s="950"/>
      <c r="CJ226" s="951"/>
      <c r="CK226" s="951"/>
      <c r="CL226" s="952"/>
      <c r="CM226" s="951"/>
      <c r="CN226" s="951"/>
      <c r="CO226" s="952"/>
      <c r="CP226" s="951"/>
      <c r="CQ226" s="951"/>
      <c r="CR226" s="952"/>
      <c r="CS226" s="946"/>
      <c r="CT226" s="953"/>
      <c r="CU226" s="953"/>
      <c r="CV226" s="953"/>
      <c r="CX226" s="951"/>
      <c r="CY226" s="951"/>
      <c r="CZ226" s="952"/>
      <c r="DB226" s="954"/>
      <c r="DC226" s="954"/>
      <c r="DD226" s="921"/>
      <c r="DE226" s="954"/>
      <c r="DF226" s="954"/>
      <c r="DG226" s="921"/>
      <c r="DH226" s="954"/>
      <c r="DI226" s="954"/>
      <c r="DJ226" s="921"/>
      <c r="DK226" s="954"/>
      <c r="DL226" s="954"/>
      <c r="DM226" s="921"/>
      <c r="DN226" s="954"/>
      <c r="DO226" s="954"/>
      <c r="DP226" s="921"/>
      <c r="DQ226" s="942"/>
      <c r="DR226" s="951"/>
      <c r="DS226" s="951"/>
      <c r="DT226" s="952"/>
      <c r="DV226" s="921"/>
      <c r="DW226" s="921"/>
      <c r="DX226" s="921"/>
      <c r="DY226" s="921"/>
      <c r="DZ226" s="921"/>
      <c r="EA226" s="921"/>
      <c r="EB226" s="921"/>
      <c r="EC226" s="921"/>
      <c r="ED226" s="921"/>
      <c r="EE226" s="921"/>
      <c r="EF226" s="921"/>
      <c r="EG226" s="921"/>
      <c r="EH226" s="921"/>
      <c r="EI226" s="921"/>
      <c r="EJ226" s="921"/>
      <c r="EK226" s="921"/>
      <c r="EL226" s="921"/>
      <c r="EM226" s="921"/>
      <c r="EN226" s="921"/>
      <c r="EO226" s="921"/>
      <c r="EP226" s="921"/>
      <c r="EQ226" s="954"/>
      <c r="ER226" s="954"/>
      <c r="ES226" s="954"/>
      <c r="ET226" s="954"/>
      <c r="EV226" s="942"/>
      <c r="EW226" s="951"/>
      <c r="EX226" s="951"/>
      <c r="EY226" s="952"/>
    </row>
    <row r="227" spans="1:155" s="927" customFormat="1" ht="15.75" x14ac:dyDescent="0.25">
      <c r="A227" s="931"/>
      <c r="B227" s="932" t="s">
        <v>406</v>
      </c>
      <c r="C227" s="933"/>
      <c r="D227" s="933"/>
      <c r="E227" s="934"/>
      <c r="F227" s="935"/>
      <c r="G227" s="934"/>
      <c r="H227" s="935"/>
      <c r="I227" s="936"/>
      <c r="J227" s="937"/>
      <c r="K227" s="938"/>
      <c r="L227" s="936"/>
      <c r="M227" s="937"/>
      <c r="N227" s="938"/>
      <c r="O227" s="936"/>
      <c r="P227" s="937"/>
      <c r="Q227" s="938"/>
      <c r="R227" s="936"/>
      <c r="S227" s="937"/>
      <c r="T227" s="938"/>
      <c r="U227" s="936"/>
      <c r="V227" s="937"/>
      <c r="W227" s="938"/>
      <c r="X227" s="936"/>
      <c r="Y227" s="937"/>
      <c r="Z227" s="938"/>
      <c r="AA227" s="936"/>
      <c r="AB227" s="937"/>
      <c r="AC227" s="938"/>
      <c r="AD227" s="936"/>
      <c r="AE227" s="937"/>
      <c r="AF227" s="938"/>
      <c r="AG227" s="936"/>
      <c r="AH227" s="937"/>
      <c r="AI227" s="938"/>
      <c r="AJ227" s="936"/>
      <c r="AK227" s="937"/>
      <c r="AL227" s="938"/>
      <c r="AM227" s="936"/>
      <c r="AN227" s="933"/>
      <c r="AO227" s="936"/>
      <c r="AP227" s="933"/>
      <c r="AQ227" s="935"/>
      <c r="AR227" s="936"/>
      <c r="AS227" s="935"/>
      <c r="AT227" s="939"/>
      <c r="AU227" s="933"/>
      <c r="AV227" s="940"/>
      <c r="AW227" s="389">
        <f>AW221/12-AO221</f>
        <v>274288.36</v>
      </c>
      <c r="AX227" s="939"/>
      <c r="AY227" s="939"/>
      <c r="AZ227" s="941"/>
      <c r="BA227" s="941"/>
      <c r="BB227" s="941"/>
      <c r="BC227" s="934"/>
      <c r="BD227" s="941"/>
      <c r="BE227" s="941"/>
      <c r="BF227" s="941"/>
      <c r="BG227" s="942"/>
      <c r="BH227" s="941"/>
      <c r="BI227" s="941"/>
      <c r="BJ227" s="941"/>
      <c r="BK227" s="943"/>
      <c r="BL227" s="943"/>
      <c r="BM227" s="943"/>
      <c r="BN227" s="943"/>
      <c r="BO227" s="943"/>
      <c r="BP227" s="944"/>
      <c r="BQ227" s="943"/>
      <c r="BR227" s="943"/>
      <c r="BS227" s="943"/>
      <c r="BU227" s="945"/>
      <c r="BV227" s="946"/>
      <c r="BW227" s="947"/>
      <c r="BX227" s="945"/>
      <c r="BY227" s="947"/>
      <c r="BZ227" s="946"/>
      <c r="CA227" s="947"/>
      <c r="CB227" s="946"/>
      <c r="CC227" s="947"/>
      <c r="CD227" s="947"/>
      <c r="CE227" s="947"/>
      <c r="CF227" s="948"/>
      <c r="CG227" s="949"/>
      <c r="CH227" s="949"/>
      <c r="CI227" s="950"/>
      <c r="CJ227" s="951"/>
      <c r="CK227" s="951"/>
      <c r="CL227" s="952"/>
      <c r="CM227" s="951"/>
      <c r="CN227" s="951"/>
      <c r="CO227" s="952"/>
      <c r="CP227" s="951"/>
      <c r="CQ227" s="951"/>
      <c r="CR227" s="952"/>
      <c r="CS227" s="946"/>
      <c r="CT227" s="953"/>
      <c r="CU227" s="953"/>
      <c r="CV227" s="953"/>
      <c r="CX227" s="951"/>
      <c r="CY227" s="951"/>
      <c r="CZ227" s="952"/>
      <c r="DB227" s="954"/>
      <c r="DC227" s="954"/>
      <c r="DD227" s="921"/>
      <c r="DE227" s="954"/>
      <c r="DF227" s="954"/>
      <c r="DG227" s="921"/>
      <c r="DH227" s="954"/>
      <c r="DI227" s="954"/>
      <c r="DJ227" s="921"/>
      <c r="DK227" s="954"/>
      <c r="DL227" s="954"/>
      <c r="DM227" s="921"/>
      <c r="DN227" s="954"/>
      <c r="DO227" s="954"/>
      <c r="DP227" s="921"/>
      <c r="DQ227" s="942"/>
      <c r="DR227" s="951"/>
      <c r="DS227" s="951"/>
      <c r="DT227" s="952"/>
      <c r="DV227" s="921"/>
      <c r="DW227" s="921"/>
      <c r="DX227" s="921"/>
      <c r="DY227" s="921"/>
      <c r="DZ227" s="921"/>
      <c r="EA227" s="921"/>
      <c r="EB227" s="921"/>
      <c r="EC227" s="921"/>
      <c r="ED227" s="921"/>
      <c r="EE227" s="921"/>
      <c r="EF227" s="921"/>
      <c r="EG227" s="921"/>
      <c r="EH227" s="921"/>
      <c r="EI227" s="921"/>
      <c r="EJ227" s="921"/>
      <c r="EK227" s="921"/>
      <c r="EL227" s="921"/>
      <c r="EM227" s="921"/>
      <c r="EN227" s="921"/>
      <c r="EO227" s="921"/>
      <c r="EP227" s="921"/>
      <c r="EQ227" s="954"/>
      <c r="ER227" s="954"/>
      <c r="ES227" s="954"/>
      <c r="ET227" s="954"/>
      <c r="EV227" s="942"/>
      <c r="EW227" s="951"/>
      <c r="EX227" s="951"/>
      <c r="EY227" s="952"/>
    </row>
    <row r="228" spans="1:155" s="927" customFormat="1" ht="15.75" x14ac:dyDescent="0.25">
      <c r="A228" s="931"/>
      <c r="B228" s="932" t="s">
        <v>403</v>
      </c>
      <c r="C228" s="933"/>
      <c r="D228" s="933"/>
      <c r="E228" s="934"/>
      <c r="F228" s="935"/>
      <c r="G228" s="934"/>
      <c r="H228" s="935"/>
      <c r="I228" s="936"/>
      <c r="J228" s="937"/>
      <c r="K228" s="938"/>
      <c r="L228" s="936"/>
      <c r="M228" s="937"/>
      <c r="N228" s="938"/>
      <c r="O228" s="936"/>
      <c r="P228" s="937"/>
      <c r="Q228" s="938"/>
      <c r="R228" s="936"/>
      <c r="S228" s="937"/>
      <c r="T228" s="938"/>
      <c r="U228" s="936"/>
      <c r="V228" s="937"/>
      <c r="W228" s="938"/>
      <c r="X228" s="936"/>
      <c r="Y228" s="937"/>
      <c r="Z228" s="938"/>
      <c r="AA228" s="936"/>
      <c r="AB228" s="937"/>
      <c r="AC228" s="938"/>
      <c r="AD228" s="936"/>
      <c r="AE228" s="937"/>
      <c r="AF228" s="938"/>
      <c r="AG228" s="936"/>
      <c r="AH228" s="937"/>
      <c r="AI228" s="938"/>
      <c r="AJ228" s="936"/>
      <c r="AK228" s="937"/>
      <c r="AL228" s="938"/>
      <c r="AM228" s="936"/>
      <c r="AN228" s="933"/>
      <c r="AO228" s="936"/>
      <c r="AP228" s="933"/>
      <c r="AQ228" s="935"/>
      <c r="AR228" s="936"/>
      <c r="AS228" s="935"/>
      <c r="AT228" s="939"/>
      <c r="AU228" s="933"/>
      <c r="AV228" s="940"/>
      <c r="AW228" s="389">
        <f>AW222/12-AO222</f>
        <v>60486.53</v>
      </c>
      <c r="AX228" s="939"/>
      <c r="AY228" s="939"/>
      <c r="AZ228" s="941"/>
      <c r="BA228" s="941"/>
      <c r="BB228" s="941"/>
      <c r="BC228" s="934"/>
      <c r="BD228" s="941"/>
      <c r="BE228" s="941"/>
      <c r="BF228" s="941"/>
      <c r="BG228" s="942"/>
      <c r="BH228" s="941"/>
      <c r="BI228" s="941"/>
      <c r="BJ228" s="941"/>
      <c r="BK228" s="943"/>
      <c r="BL228" s="943"/>
      <c r="BM228" s="943"/>
      <c r="BN228" s="943"/>
      <c r="BO228" s="943"/>
      <c r="BP228" s="944"/>
      <c r="BQ228" s="943"/>
      <c r="BR228" s="943"/>
      <c r="BS228" s="943"/>
      <c r="BU228" s="945"/>
      <c r="BV228" s="946"/>
      <c r="BW228" s="947"/>
      <c r="BX228" s="945"/>
      <c r="BY228" s="947"/>
      <c r="BZ228" s="946"/>
      <c r="CA228" s="947"/>
      <c r="CB228" s="946"/>
      <c r="CC228" s="947"/>
      <c r="CD228" s="947"/>
      <c r="CE228" s="947"/>
      <c r="CF228" s="948"/>
      <c r="CG228" s="949"/>
      <c r="CH228" s="949"/>
      <c r="CI228" s="950"/>
      <c r="CJ228" s="951"/>
      <c r="CK228" s="951"/>
      <c r="CL228" s="952"/>
      <c r="CM228" s="951"/>
      <c r="CN228" s="951"/>
      <c r="CO228" s="952"/>
      <c r="CP228" s="951"/>
      <c r="CQ228" s="951"/>
      <c r="CR228" s="952"/>
      <c r="CS228" s="946"/>
      <c r="CT228" s="953"/>
      <c r="CU228" s="953"/>
      <c r="CV228" s="953"/>
      <c r="CX228" s="951"/>
      <c r="CY228" s="951"/>
      <c r="CZ228" s="952"/>
      <c r="DB228" s="954"/>
      <c r="DC228" s="954"/>
      <c r="DD228" s="921"/>
      <c r="DE228" s="954"/>
      <c r="DF228" s="954"/>
      <c r="DG228" s="921"/>
      <c r="DH228" s="954"/>
      <c r="DI228" s="954"/>
      <c r="DJ228" s="921"/>
      <c r="DK228" s="954"/>
      <c r="DL228" s="954"/>
      <c r="DM228" s="921"/>
      <c r="DN228" s="954"/>
      <c r="DO228" s="954"/>
      <c r="DP228" s="921"/>
      <c r="DQ228" s="942"/>
      <c r="DR228" s="951"/>
      <c r="DS228" s="951"/>
      <c r="DT228" s="952"/>
      <c r="DV228" s="921"/>
      <c r="DW228" s="921"/>
      <c r="DX228" s="921"/>
      <c r="DY228" s="921"/>
      <c r="DZ228" s="921"/>
      <c r="EA228" s="921"/>
      <c r="EB228" s="921"/>
      <c r="EC228" s="921"/>
      <c r="ED228" s="921"/>
      <c r="EE228" s="921"/>
      <c r="EF228" s="921"/>
      <c r="EG228" s="921"/>
      <c r="EH228" s="921"/>
      <c r="EI228" s="921"/>
      <c r="EJ228" s="921"/>
      <c r="EK228" s="921"/>
      <c r="EL228" s="921"/>
      <c r="EM228" s="921"/>
      <c r="EN228" s="921"/>
      <c r="EO228" s="921"/>
      <c r="EP228" s="921"/>
      <c r="EQ228" s="954"/>
      <c r="ER228" s="954"/>
      <c r="ES228" s="954"/>
      <c r="ET228" s="954"/>
      <c r="EV228" s="942"/>
      <c r="EW228" s="951"/>
      <c r="EX228" s="951"/>
      <c r="EY228" s="952"/>
    </row>
    <row r="229" spans="1:155" s="927" customFormat="1" ht="15.75" x14ac:dyDescent="0.25">
      <c r="A229" s="931"/>
      <c r="B229" s="932" t="s">
        <v>404</v>
      </c>
      <c r="C229" s="933"/>
      <c r="D229" s="933"/>
      <c r="E229" s="934"/>
      <c r="F229" s="935"/>
      <c r="G229" s="934"/>
      <c r="H229" s="935"/>
      <c r="I229" s="936"/>
      <c r="J229" s="937"/>
      <c r="K229" s="938"/>
      <c r="L229" s="936"/>
      <c r="M229" s="937"/>
      <c r="N229" s="938"/>
      <c r="O229" s="936"/>
      <c r="P229" s="937"/>
      <c r="Q229" s="938"/>
      <c r="R229" s="936"/>
      <c r="S229" s="937"/>
      <c r="T229" s="938"/>
      <c r="U229" s="936"/>
      <c r="V229" s="937"/>
      <c r="W229" s="938"/>
      <c r="X229" s="936"/>
      <c r="Y229" s="937"/>
      <c r="Z229" s="938"/>
      <c r="AA229" s="936"/>
      <c r="AB229" s="937"/>
      <c r="AC229" s="938"/>
      <c r="AD229" s="936"/>
      <c r="AE229" s="937"/>
      <c r="AF229" s="938"/>
      <c r="AG229" s="936"/>
      <c r="AH229" s="937"/>
      <c r="AI229" s="938"/>
      <c r="AJ229" s="936"/>
      <c r="AK229" s="937"/>
      <c r="AL229" s="938"/>
      <c r="AM229" s="936"/>
      <c r="AN229" s="933"/>
      <c r="AO229" s="936"/>
      <c r="AP229" s="933"/>
      <c r="AQ229" s="935"/>
      <c r="AR229" s="936"/>
      <c r="AS229" s="935"/>
      <c r="AT229" s="939"/>
      <c r="AU229" s="933"/>
      <c r="AV229" s="940"/>
      <c r="AW229" s="389">
        <f>AW223/12-AO223</f>
        <v>201191.67</v>
      </c>
      <c r="AX229" s="939"/>
      <c r="AY229" s="939"/>
      <c r="AZ229" s="941"/>
      <c r="BA229" s="941"/>
      <c r="BB229" s="941"/>
      <c r="BC229" s="934"/>
      <c r="BD229" s="941"/>
      <c r="BE229" s="941"/>
      <c r="BF229" s="941"/>
      <c r="BG229" s="942"/>
      <c r="BH229" s="941"/>
      <c r="BI229" s="941"/>
      <c r="BJ229" s="941"/>
      <c r="BK229" s="943"/>
      <c r="BL229" s="943"/>
      <c r="BM229" s="943"/>
      <c r="BN229" s="943"/>
      <c r="BO229" s="943"/>
      <c r="BP229" s="944"/>
      <c r="BQ229" s="943"/>
      <c r="BR229" s="943"/>
      <c r="BS229" s="943"/>
      <c r="BU229" s="945"/>
      <c r="BV229" s="946"/>
      <c r="BW229" s="947"/>
      <c r="BX229" s="945"/>
      <c r="BY229" s="947"/>
      <c r="BZ229" s="946"/>
      <c r="CA229" s="947"/>
      <c r="CB229" s="946"/>
      <c r="CC229" s="947"/>
      <c r="CD229" s="947"/>
      <c r="CE229" s="947"/>
      <c r="CF229" s="948"/>
      <c r="CG229" s="949"/>
      <c r="CH229" s="949"/>
      <c r="CI229" s="950"/>
      <c r="CJ229" s="951"/>
      <c r="CK229" s="951"/>
      <c r="CL229" s="952"/>
      <c r="CM229" s="951"/>
      <c r="CN229" s="951"/>
      <c r="CO229" s="952"/>
      <c r="CP229" s="951"/>
      <c r="CQ229" s="951"/>
      <c r="CR229" s="952"/>
      <c r="CS229" s="946"/>
      <c r="CT229" s="953"/>
      <c r="CU229" s="953"/>
      <c r="CV229" s="953"/>
      <c r="CX229" s="951"/>
      <c r="CY229" s="951"/>
      <c r="CZ229" s="952"/>
      <c r="DB229" s="954"/>
      <c r="DC229" s="954"/>
      <c r="DD229" s="921"/>
      <c r="DE229" s="954"/>
      <c r="DF229" s="954"/>
      <c r="DG229" s="921"/>
      <c r="DH229" s="954"/>
      <c r="DI229" s="954"/>
      <c r="DJ229" s="921"/>
      <c r="DK229" s="954"/>
      <c r="DL229" s="954"/>
      <c r="DM229" s="921"/>
      <c r="DN229" s="954"/>
      <c r="DO229" s="954"/>
      <c r="DP229" s="921"/>
      <c r="DQ229" s="942"/>
      <c r="DR229" s="951"/>
      <c r="DS229" s="951"/>
      <c r="DT229" s="952"/>
      <c r="DV229" s="921"/>
      <c r="DW229" s="921"/>
      <c r="DX229" s="921"/>
      <c r="DY229" s="921"/>
      <c r="DZ229" s="921"/>
      <c r="EA229" s="921"/>
      <c r="EB229" s="921"/>
      <c r="EC229" s="921"/>
      <c r="ED229" s="921"/>
      <c r="EE229" s="921"/>
      <c r="EF229" s="921"/>
      <c r="EG229" s="921"/>
      <c r="EH229" s="921"/>
      <c r="EI229" s="921"/>
      <c r="EJ229" s="921"/>
      <c r="EK229" s="921"/>
      <c r="EL229" s="921"/>
      <c r="EM229" s="921"/>
      <c r="EN229" s="921"/>
      <c r="EO229" s="921"/>
      <c r="EP229" s="921"/>
      <c r="EQ229" s="954"/>
      <c r="ER229" s="954"/>
      <c r="ES229" s="954"/>
      <c r="ET229" s="954"/>
      <c r="EV229" s="942"/>
      <c r="EW229" s="951"/>
      <c r="EX229" s="951"/>
      <c r="EY229" s="952"/>
    </row>
    <row r="230" spans="1:155" s="927" customFormat="1" ht="15.75" x14ac:dyDescent="0.25">
      <c r="A230" s="931"/>
      <c r="B230" s="932" t="s">
        <v>405</v>
      </c>
      <c r="C230" s="933"/>
      <c r="D230" s="933"/>
      <c r="E230" s="934"/>
      <c r="F230" s="935"/>
      <c r="G230" s="934"/>
      <c r="H230" s="935"/>
      <c r="I230" s="936"/>
      <c r="J230" s="937"/>
      <c r="K230" s="938"/>
      <c r="L230" s="936"/>
      <c r="M230" s="937"/>
      <c r="N230" s="938"/>
      <c r="O230" s="936"/>
      <c r="P230" s="937"/>
      <c r="Q230" s="938"/>
      <c r="R230" s="936"/>
      <c r="S230" s="937"/>
      <c r="T230" s="938"/>
      <c r="U230" s="936"/>
      <c r="V230" s="937"/>
      <c r="W230" s="938"/>
      <c r="X230" s="936"/>
      <c r="Y230" s="937"/>
      <c r="Z230" s="938"/>
      <c r="AA230" s="936"/>
      <c r="AB230" s="937"/>
      <c r="AC230" s="938"/>
      <c r="AD230" s="936"/>
      <c r="AE230" s="937"/>
      <c r="AF230" s="938"/>
      <c r="AG230" s="936"/>
      <c r="AH230" s="937"/>
      <c r="AI230" s="938"/>
      <c r="AJ230" s="936"/>
      <c r="AK230" s="937"/>
      <c r="AL230" s="938"/>
      <c r="AM230" s="936"/>
      <c r="AN230" s="933"/>
      <c r="AO230" s="936"/>
      <c r="AP230" s="933"/>
      <c r="AQ230" s="935"/>
      <c r="AR230" s="936"/>
      <c r="AS230" s="935"/>
      <c r="AT230" s="939"/>
      <c r="AU230" s="933"/>
      <c r="AV230" s="940"/>
      <c r="AW230" s="389">
        <f>AW224/12-AO224</f>
        <v>47421.67</v>
      </c>
      <c r="AX230" s="939"/>
      <c r="AY230" s="939"/>
      <c r="AZ230" s="941"/>
      <c r="BA230" s="941"/>
      <c r="BB230" s="941"/>
      <c r="BC230" s="934"/>
      <c r="BD230" s="941"/>
      <c r="BE230" s="941"/>
      <c r="BF230" s="941"/>
      <c r="BG230" s="942"/>
      <c r="BH230" s="941"/>
      <c r="BI230" s="941"/>
      <c r="BJ230" s="941"/>
      <c r="BK230" s="943"/>
      <c r="BL230" s="943"/>
      <c r="BM230" s="943"/>
      <c r="BN230" s="943"/>
      <c r="BO230" s="943"/>
      <c r="BP230" s="944"/>
      <c r="BQ230" s="943"/>
      <c r="BR230" s="943"/>
      <c r="BS230" s="943"/>
      <c r="BU230" s="945"/>
      <c r="BV230" s="946"/>
      <c r="BW230" s="947"/>
      <c r="BX230" s="945"/>
      <c r="BY230" s="947"/>
      <c r="BZ230" s="946"/>
      <c r="CA230" s="947"/>
      <c r="CB230" s="946"/>
      <c r="CC230" s="947"/>
      <c r="CD230" s="947"/>
      <c r="CE230" s="947"/>
      <c r="CF230" s="948"/>
      <c r="CG230" s="949"/>
      <c r="CH230" s="949"/>
      <c r="CI230" s="950"/>
      <c r="CJ230" s="951"/>
      <c r="CK230" s="951"/>
      <c r="CL230" s="952"/>
      <c r="CM230" s="951"/>
      <c r="CN230" s="951"/>
      <c r="CO230" s="952"/>
      <c r="CP230" s="951"/>
      <c r="CQ230" s="951"/>
      <c r="CR230" s="952"/>
      <c r="CS230" s="946"/>
      <c r="CT230" s="953"/>
      <c r="CU230" s="953"/>
      <c r="CV230" s="953"/>
      <c r="CX230" s="951"/>
      <c r="CY230" s="951"/>
      <c r="CZ230" s="952"/>
      <c r="DB230" s="954"/>
      <c r="DC230" s="954"/>
      <c r="DD230" s="921"/>
      <c r="DE230" s="954"/>
      <c r="DF230" s="954"/>
      <c r="DG230" s="921"/>
      <c r="DH230" s="954"/>
      <c r="DI230" s="954"/>
      <c r="DJ230" s="921"/>
      <c r="DK230" s="954"/>
      <c r="DL230" s="954"/>
      <c r="DM230" s="921"/>
      <c r="DN230" s="954"/>
      <c r="DO230" s="954"/>
      <c r="DP230" s="921"/>
      <c r="DQ230" s="942"/>
      <c r="DR230" s="951"/>
      <c r="DS230" s="951"/>
      <c r="DT230" s="952"/>
      <c r="DV230" s="921"/>
      <c r="DW230" s="921"/>
      <c r="DX230" s="921"/>
      <c r="DY230" s="921"/>
      <c r="DZ230" s="921"/>
      <c r="EA230" s="921"/>
      <c r="EB230" s="921"/>
      <c r="EC230" s="921"/>
      <c r="ED230" s="921"/>
      <c r="EE230" s="921"/>
      <c r="EF230" s="921"/>
      <c r="EG230" s="921"/>
      <c r="EH230" s="921"/>
      <c r="EI230" s="921"/>
      <c r="EJ230" s="921"/>
      <c r="EK230" s="921"/>
      <c r="EL230" s="921"/>
      <c r="EM230" s="921"/>
      <c r="EN230" s="921"/>
      <c r="EO230" s="921"/>
      <c r="EP230" s="921"/>
      <c r="EQ230" s="954"/>
      <c r="ER230" s="954"/>
      <c r="ES230" s="954"/>
      <c r="ET230" s="954"/>
      <c r="EV230" s="942"/>
      <c r="EW230" s="951"/>
      <c r="EX230" s="951"/>
      <c r="EY230" s="952"/>
    </row>
    <row r="231" spans="1:155" s="927" customFormat="1" ht="15.75" x14ac:dyDescent="0.25">
      <c r="A231" s="931"/>
      <c r="B231" s="932" t="s">
        <v>499</v>
      </c>
      <c r="C231" s="933"/>
      <c r="D231" s="933"/>
      <c r="E231" s="934"/>
      <c r="F231" s="935"/>
      <c r="G231" s="934"/>
      <c r="H231" s="935"/>
      <c r="I231" s="936"/>
      <c r="J231" s="937"/>
      <c r="K231" s="938"/>
      <c r="L231" s="936"/>
      <c r="M231" s="937"/>
      <c r="N231" s="938"/>
      <c r="O231" s="936"/>
      <c r="P231" s="937"/>
      <c r="Q231" s="938"/>
      <c r="R231" s="936"/>
      <c r="S231" s="937"/>
      <c r="T231" s="938"/>
      <c r="U231" s="936"/>
      <c r="V231" s="937"/>
      <c r="W231" s="938"/>
      <c r="X231" s="936"/>
      <c r="Y231" s="937"/>
      <c r="Z231" s="938"/>
      <c r="AA231" s="936"/>
      <c r="AB231" s="937"/>
      <c r="AC231" s="938"/>
      <c r="AD231" s="936"/>
      <c r="AE231" s="937"/>
      <c r="AF231" s="938"/>
      <c r="AG231" s="936"/>
      <c r="AH231" s="937"/>
      <c r="AI231" s="938"/>
      <c r="AJ231" s="936"/>
      <c r="AK231" s="937"/>
      <c r="AL231" s="938"/>
      <c r="AM231" s="936"/>
      <c r="AN231" s="933"/>
      <c r="AO231" s="936"/>
      <c r="AP231" s="933"/>
      <c r="AQ231" s="935"/>
      <c r="AR231" s="936"/>
      <c r="AS231" s="935"/>
      <c r="AT231" s="939"/>
      <c r="AU231" s="933"/>
      <c r="AV231" s="940"/>
      <c r="AW231" s="986"/>
      <c r="AX231" s="939"/>
      <c r="AY231" s="939"/>
      <c r="AZ231" s="941"/>
      <c r="BA231" s="941"/>
      <c r="BB231" s="941"/>
      <c r="BC231" s="934"/>
      <c r="BD231" s="941"/>
      <c r="BE231" s="941"/>
      <c r="BF231" s="941"/>
      <c r="BG231" s="942"/>
      <c r="BH231" s="941"/>
      <c r="BI231" s="941"/>
      <c r="BJ231" s="941"/>
      <c r="BK231" s="943"/>
      <c r="BL231" s="943"/>
      <c r="BM231" s="943"/>
      <c r="BN231" s="943"/>
      <c r="BO231" s="943"/>
      <c r="BP231" s="944"/>
      <c r="BQ231" s="943"/>
      <c r="BR231" s="943"/>
      <c r="BS231" s="943"/>
      <c r="BU231" s="945"/>
      <c r="BV231" s="946"/>
      <c r="BW231" s="947"/>
      <c r="BX231" s="945"/>
      <c r="BY231" s="947"/>
      <c r="BZ231" s="946"/>
      <c r="CA231" s="947"/>
      <c r="CB231" s="946"/>
      <c r="CC231" s="947"/>
      <c r="CD231" s="947"/>
      <c r="CE231" s="947"/>
      <c r="CF231" s="948"/>
      <c r="CG231" s="949"/>
      <c r="CH231" s="949"/>
      <c r="CI231" s="950"/>
      <c r="CJ231" s="951"/>
      <c r="CK231" s="951"/>
      <c r="CL231" s="952"/>
      <c r="CM231" s="951"/>
      <c r="CN231" s="951"/>
      <c r="CO231" s="952"/>
      <c r="CP231" s="951"/>
      <c r="CQ231" s="951"/>
      <c r="CR231" s="952"/>
      <c r="CS231" s="946"/>
      <c r="CT231" s="953"/>
      <c r="CU231" s="953"/>
      <c r="CV231" s="953"/>
      <c r="CX231" s="951"/>
      <c r="CY231" s="951"/>
      <c r="CZ231" s="952"/>
      <c r="DB231" s="954"/>
      <c r="DC231" s="954"/>
      <c r="DD231" s="921"/>
      <c r="DE231" s="954"/>
      <c r="DF231" s="954"/>
      <c r="DG231" s="921"/>
      <c r="DH231" s="954"/>
      <c r="DI231" s="954"/>
      <c r="DJ231" s="921"/>
      <c r="DK231" s="954"/>
      <c r="DL231" s="954"/>
      <c r="DM231" s="921"/>
      <c r="DN231" s="954"/>
      <c r="DO231" s="954"/>
      <c r="DP231" s="921"/>
      <c r="DQ231" s="942"/>
      <c r="DR231" s="951"/>
      <c r="DS231" s="951"/>
      <c r="DT231" s="952"/>
      <c r="DV231" s="921"/>
      <c r="DW231" s="921"/>
      <c r="DX231" s="921"/>
      <c r="DY231" s="921"/>
      <c r="DZ231" s="921"/>
      <c r="EA231" s="921"/>
      <c r="EB231" s="921"/>
      <c r="EC231" s="921"/>
      <c r="ED231" s="921"/>
      <c r="EE231" s="921"/>
      <c r="EF231" s="921"/>
      <c r="EG231" s="921"/>
      <c r="EH231" s="921"/>
      <c r="EI231" s="921"/>
      <c r="EJ231" s="921"/>
      <c r="EK231" s="921"/>
      <c r="EL231" s="921"/>
      <c r="EM231" s="921"/>
      <c r="EN231" s="921"/>
      <c r="EO231" s="921"/>
      <c r="EP231" s="921"/>
      <c r="EQ231" s="954"/>
      <c r="ER231" s="954"/>
      <c r="ES231" s="954"/>
      <c r="ET231" s="954"/>
      <c r="EV231" s="942"/>
      <c r="EW231" s="951"/>
      <c r="EX231" s="951"/>
      <c r="EY231" s="952"/>
    </row>
    <row r="232" spans="1:155" s="927" customFormat="1" ht="15.75" x14ac:dyDescent="0.25">
      <c r="A232" s="931"/>
      <c r="B232" s="932" t="s">
        <v>406</v>
      </c>
      <c r="C232" s="933"/>
      <c r="D232" s="933"/>
      <c r="E232" s="934"/>
      <c r="F232" s="935"/>
      <c r="G232" s="934"/>
      <c r="H232" s="935"/>
      <c r="I232" s="936"/>
      <c r="J232" s="937"/>
      <c r="K232" s="938"/>
      <c r="L232" s="936"/>
      <c r="M232" s="937"/>
      <c r="N232" s="938"/>
      <c r="O232" s="936"/>
      <c r="P232" s="937"/>
      <c r="Q232" s="938"/>
      <c r="R232" s="936"/>
      <c r="S232" s="937"/>
      <c r="T232" s="938"/>
      <c r="U232" s="936"/>
      <c r="V232" s="937"/>
      <c r="W232" s="938"/>
      <c r="X232" s="936"/>
      <c r="Y232" s="937"/>
      <c r="Z232" s="938"/>
      <c r="AA232" s="936"/>
      <c r="AB232" s="937"/>
      <c r="AC232" s="938"/>
      <c r="AD232" s="936"/>
      <c r="AE232" s="937"/>
      <c r="AF232" s="938"/>
      <c r="AG232" s="936"/>
      <c r="AH232" s="937"/>
      <c r="AI232" s="938"/>
      <c r="AJ232" s="936"/>
      <c r="AK232" s="937"/>
      <c r="AL232" s="938"/>
      <c r="AM232" s="936"/>
      <c r="AN232" s="933"/>
      <c r="AO232" s="936"/>
      <c r="AP232" s="933"/>
      <c r="AQ232" s="935"/>
      <c r="AR232" s="936"/>
      <c r="AS232" s="935"/>
      <c r="AT232" s="939"/>
      <c r="AU232" s="933"/>
      <c r="AV232" s="940"/>
      <c r="AW232" s="336">
        <f>AW227/I221</f>
        <v>1.35737</v>
      </c>
      <c r="AX232" s="939"/>
      <c r="AY232" s="939"/>
      <c r="AZ232" s="941"/>
      <c r="BA232" s="941"/>
      <c r="BB232" s="941"/>
      <c r="BC232" s="934"/>
      <c r="BD232" s="941"/>
      <c r="BE232" s="941"/>
      <c r="BF232" s="941"/>
      <c r="BG232" s="942"/>
      <c r="BH232" s="941"/>
      <c r="BI232" s="941"/>
      <c r="BJ232" s="941"/>
      <c r="BK232" s="943"/>
      <c r="BL232" s="943"/>
      <c r="BM232" s="943"/>
      <c r="BN232" s="943"/>
      <c r="BO232" s="943"/>
      <c r="BP232" s="944"/>
      <c r="BQ232" s="943"/>
      <c r="BR232" s="943"/>
      <c r="BS232" s="943"/>
      <c r="BU232" s="945"/>
      <c r="BV232" s="946"/>
      <c r="BW232" s="947"/>
      <c r="BX232" s="945"/>
      <c r="BY232" s="947"/>
      <c r="BZ232" s="946"/>
      <c r="CA232" s="947"/>
      <c r="CB232" s="946"/>
      <c r="CC232" s="947"/>
      <c r="CD232" s="947"/>
      <c r="CE232" s="947"/>
      <c r="CF232" s="948"/>
      <c r="CG232" s="949"/>
      <c r="CH232" s="949"/>
      <c r="CI232" s="950"/>
      <c r="CJ232" s="951"/>
      <c r="CK232" s="951"/>
      <c r="CL232" s="952"/>
      <c r="CM232" s="951"/>
      <c r="CN232" s="951"/>
      <c r="CO232" s="952"/>
      <c r="CP232" s="951"/>
      <c r="CQ232" s="951"/>
      <c r="CR232" s="952"/>
      <c r="CS232" s="946"/>
      <c r="CT232" s="953"/>
      <c r="CU232" s="953"/>
      <c r="CV232" s="953"/>
      <c r="CX232" s="951"/>
      <c r="CY232" s="951"/>
      <c r="CZ232" s="952"/>
      <c r="DB232" s="954"/>
      <c r="DC232" s="954"/>
      <c r="DD232" s="921"/>
      <c r="DE232" s="954"/>
      <c r="DF232" s="954"/>
      <c r="DG232" s="921"/>
      <c r="DH232" s="954"/>
      <c r="DI232" s="954"/>
      <c r="DJ232" s="921"/>
      <c r="DK232" s="954"/>
      <c r="DL232" s="954"/>
      <c r="DM232" s="921"/>
      <c r="DN232" s="954"/>
      <c r="DO232" s="954"/>
      <c r="DP232" s="921"/>
      <c r="DQ232" s="942"/>
      <c r="DR232" s="951"/>
      <c r="DS232" s="951"/>
      <c r="DT232" s="952"/>
      <c r="DV232" s="921"/>
      <c r="DW232" s="921"/>
      <c r="DX232" s="921"/>
      <c r="DY232" s="921"/>
      <c r="DZ232" s="921"/>
      <c r="EA232" s="921"/>
      <c r="EB232" s="921"/>
      <c r="EC232" s="921"/>
      <c r="ED232" s="921"/>
      <c r="EE232" s="921"/>
      <c r="EF232" s="921"/>
      <c r="EG232" s="921"/>
      <c r="EH232" s="921"/>
      <c r="EI232" s="921"/>
      <c r="EJ232" s="921"/>
      <c r="EK232" s="921"/>
      <c r="EL232" s="921"/>
      <c r="EM232" s="921"/>
      <c r="EN232" s="921"/>
      <c r="EO232" s="921"/>
      <c r="EP232" s="921"/>
      <c r="EQ232" s="954"/>
      <c r="ER232" s="954"/>
      <c r="ES232" s="954"/>
      <c r="ET232" s="954"/>
      <c r="EV232" s="942"/>
      <c r="EW232" s="951"/>
      <c r="EX232" s="951"/>
      <c r="EY232" s="952"/>
    </row>
    <row r="233" spans="1:155" s="927" customFormat="1" ht="15.75" x14ac:dyDescent="0.25">
      <c r="A233" s="931"/>
      <c r="B233" s="932" t="s">
        <v>498</v>
      </c>
      <c r="C233" s="933"/>
      <c r="D233" s="933"/>
      <c r="E233" s="934"/>
      <c r="F233" s="935"/>
      <c r="G233" s="934"/>
      <c r="H233" s="935"/>
      <c r="I233" s="936"/>
      <c r="J233" s="937"/>
      <c r="K233" s="938"/>
      <c r="L233" s="936"/>
      <c r="M233" s="937"/>
      <c r="N233" s="938"/>
      <c r="O233" s="936"/>
      <c r="P233" s="937"/>
      <c r="Q233" s="938"/>
      <c r="R233" s="936"/>
      <c r="S233" s="937"/>
      <c r="T233" s="938"/>
      <c r="U233" s="936"/>
      <c r="V233" s="937"/>
      <c r="W233" s="938"/>
      <c r="X233" s="936"/>
      <c r="Y233" s="937"/>
      <c r="Z233" s="938"/>
      <c r="AA233" s="936"/>
      <c r="AB233" s="937"/>
      <c r="AC233" s="938"/>
      <c r="AD233" s="936"/>
      <c r="AE233" s="937"/>
      <c r="AF233" s="938"/>
      <c r="AG233" s="936"/>
      <c r="AH233" s="937"/>
      <c r="AI233" s="938"/>
      <c r="AJ233" s="936"/>
      <c r="AK233" s="937"/>
      <c r="AL233" s="938"/>
      <c r="AM233" s="936"/>
      <c r="AN233" s="933"/>
      <c r="AO233" s="936"/>
      <c r="AP233" s="933"/>
      <c r="AQ233" s="935"/>
      <c r="AR233" s="936"/>
      <c r="AS233" s="935"/>
      <c r="AT233" s="939"/>
      <c r="AU233" s="933"/>
      <c r="AV233" s="940"/>
      <c r="AW233" s="986"/>
      <c r="AX233" s="939"/>
      <c r="AY233" s="939"/>
      <c r="AZ233" s="941"/>
      <c r="BA233" s="941"/>
      <c r="BB233" s="941"/>
      <c r="BC233" s="934"/>
      <c r="BD233" s="941"/>
      <c r="BE233" s="941"/>
      <c r="BF233" s="941"/>
      <c r="BG233" s="942"/>
      <c r="BH233" s="941"/>
      <c r="BI233" s="941"/>
      <c r="BJ233" s="941"/>
      <c r="BK233" s="943"/>
      <c r="BL233" s="943"/>
      <c r="BM233" s="943"/>
      <c r="BN233" s="943"/>
      <c r="BO233" s="943"/>
      <c r="BP233" s="944"/>
      <c r="BQ233" s="943"/>
      <c r="BR233" s="943"/>
      <c r="BS233" s="943"/>
      <c r="BU233" s="945"/>
      <c r="BV233" s="946"/>
      <c r="BW233" s="947"/>
      <c r="BX233" s="945"/>
      <c r="BY233" s="947"/>
      <c r="BZ233" s="946"/>
      <c r="CA233" s="947"/>
      <c r="CB233" s="946"/>
      <c r="CC233" s="947"/>
      <c r="CD233" s="947"/>
      <c r="CE233" s="947"/>
      <c r="CF233" s="948"/>
      <c r="CG233" s="949"/>
      <c r="CH233" s="949"/>
      <c r="CI233" s="950"/>
      <c r="CJ233" s="951"/>
      <c r="CK233" s="951"/>
      <c r="CL233" s="952"/>
      <c r="CM233" s="951"/>
      <c r="CN233" s="951"/>
      <c r="CO233" s="952"/>
      <c r="CP233" s="951"/>
      <c r="CQ233" s="951"/>
      <c r="CR233" s="952"/>
      <c r="CS233" s="946"/>
      <c r="CT233" s="953"/>
      <c r="CU233" s="953"/>
      <c r="CV233" s="953"/>
      <c r="CX233" s="951"/>
      <c r="CY233" s="951"/>
      <c r="CZ233" s="952"/>
      <c r="DB233" s="954"/>
      <c r="DC233" s="954"/>
      <c r="DD233" s="921"/>
      <c r="DE233" s="954"/>
      <c r="DF233" s="954"/>
      <c r="DG233" s="921"/>
      <c r="DH233" s="954"/>
      <c r="DI233" s="954"/>
      <c r="DJ233" s="921"/>
      <c r="DK233" s="954"/>
      <c r="DL233" s="954"/>
      <c r="DM233" s="921"/>
      <c r="DN233" s="954"/>
      <c r="DO233" s="954"/>
      <c r="DP233" s="921"/>
      <c r="DQ233" s="942"/>
      <c r="DR233" s="951"/>
      <c r="DS233" s="951"/>
      <c r="DT233" s="952"/>
      <c r="DV233" s="921"/>
      <c r="DW233" s="921"/>
      <c r="DX233" s="921"/>
      <c r="DY233" s="921"/>
      <c r="DZ233" s="921"/>
      <c r="EA233" s="921"/>
      <c r="EB233" s="921"/>
      <c r="EC233" s="921"/>
      <c r="ED233" s="921"/>
      <c r="EE233" s="921"/>
      <c r="EF233" s="921"/>
      <c r="EG233" s="921"/>
      <c r="EH233" s="921"/>
      <c r="EI233" s="921"/>
      <c r="EJ233" s="921"/>
      <c r="EK233" s="921"/>
      <c r="EL233" s="921"/>
      <c r="EM233" s="921"/>
      <c r="EN233" s="921"/>
      <c r="EO233" s="921"/>
      <c r="EP233" s="921"/>
      <c r="EQ233" s="954"/>
      <c r="ER233" s="954"/>
      <c r="ES233" s="954"/>
      <c r="ET233" s="954"/>
      <c r="EV233" s="942"/>
      <c r="EW233" s="951"/>
      <c r="EX233" s="951"/>
      <c r="EY233" s="952"/>
    </row>
    <row r="234" spans="1:155" s="927" customFormat="1" ht="15.75" x14ac:dyDescent="0.25">
      <c r="A234" s="931"/>
      <c r="B234" s="932" t="s">
        <v>403</v>
      </c>
      <c r="C234" s="933"/>
      <c r="D234" s="933"/>
      <c r="E234" s="934"/>
      <c r="F234" s="935"/>
      <c r="G234" s="934"/>
      <c r="H234" s="935"/>
      <c r="I234" s="936"/>
      <c r="J234" s="937"/>
      <c r="K234" s="938"/>
      <c r="L234" s="936"/>
      <c r="M234" s="937"/>
      <c r="N234" s="938"/>
      <c r="O234" s="936"/>
      <c r="P234" s="937"/>
      <c r="Q234" s="938"/>
      <c r="R234" s="936"/>
      <c r="S234" s="937"/>
      <c r="T234" s="938"/>
      <c r="U234" s="936"/>
      <c r="V234" s="937"/>
      <c r="W234" s="938"/>
      <c r="X234" s="936"/>
      <c r="Y234" s="937"/>
      <c r="Z234" s="938"/>
      <c r="AA234" s="936"/>
      <c r="AB234" s="937"/>
      <c r="AC234" s="938"/>
      <c r="AD234" s="936"/>
      <c r="AE234" s="937"/>
      <c r="AF234" s="938"/>
      <c r="AG234" s="936"/>
      <c r="AH234" s="937"/>
      <c r="AI234" s="938"/>
      <c r="AJ234" s="936"/>
      <c r="AK234" s="937"/>
      <c r="AL234" s="938"/>
      <c r="AM234" s="936"/>
      <c r="AN234" s="933"/>
      <c r="AO234" s="936"/>
      <c r="AP234" s="933"/>
      <c r="AQ234" s="935"/>
      <c r="AR234" s="936"/>
      <c r="AS234" s="935"/>
      <c r="AT234" s="939"/>
      <c r="AU234" s="933"/>
      <c r="AV234" s="940"/>
      <c r="AW234" s="337">
        <f>AW228/AW227</f>
        <v>0.22051999999999999</v>
      </c>
      <c r="AX234" s="939"/>
      <c r="AY234" s="939"/>
      <c r="AZ234" s="941"/>
      <c r="BA234" s="941"/>
      <c r="BB234" s="941"/>
      <c r="BC234" s="934"/>
      <c r="BD234" s="941"/>
      <c r="BE234" s="941"/>
      <c r="BF234" s="941"/>
      <c r="BG234" s="942"/>
      <c r="BH234" s="941"/>
      <c r="BI234" s="941"/>
      <c r="BJ234" s="941"/>
      <c r="BK234" s="943"/>
      <c r="BL234" s="943"/>
      <c r="BM234" s="943"/>
      <c r="BN234" s="943"/>
      <c r="BO234" s="943"/>
      <c r="BP234" s="944"/>
      <c r="BQ234" s="943"/>
      <c r="BR234" s="943"/>
      <c r="BS234" s="943"/>
      <c r="BU234" s="945"/>
      <c r="BV234" s="946"/>
      <c r="BW234" s="947"/>
      <c r="BX234" s="945"/>
      <c r="BY234" s="947"/>
      <c r="BZ234" s="946"/>
      <c r="CA234" s="947"/>
      <c r="CB234" s="946"/>
      <c r="CC234" s="947"/>
      <c r="CD234" s="947"/>
      <c r="CE234" s="947"/>
      <c r="CF234" s="948"/>
      <c r="CG234" s="949"/>
      <c r="CH234" s="949"/>
      <c r="CI234" s="950"/>
      <c r="CJ234" s="951"/>
      <c r="CK234" s="951"/>
      <c r="CL234" s="952"/>
      <c r="CM234" s="951"/>
      <c r="CN234" s="951"/>
      <c r="CO234" s="952"/>
      <c r="CP234" s="951"/>
      <c r="CQ234" s="951"/>
      <c r="CR234" s="952"/>
      <c r="CS234" s="946"/>
      <c r="CT234" s="953"/>
      <c r="CU234" s="953"/>
      <c r="CV234" s="953"/>
      <c r="CX234" s="951"/>
      <c r="CY234" s="951"/>
      <c r="CZ234" s="952"/>
      <c r="DB234" s="954"/>
      <c r="DC234" s="954"/>
      <c r="DD234" s="921"/>
      <c r="DE234" s="954"/>
      <c r="DF234" s="954"/>
      <c r="DG234" s="921"/>
      <c r="DH234" s="954"/>
      <c r="DI234" s="954"/>
      <c r="DJ234" s="921"/>
      <c r="DK234" s="954"/>
      <c r="DL234" s="954"/>
      <c r="DM234" s="921"/>
      <c r="DN234" s="954"/>
      <c r="DO234" s="954"/>
      <c r="DP234" s="921"/>
      <c r="DQ234" s="942"/>
      <c r="DR234" s="951"/>
      <c r="DS234" s="951"/>
      <c r="DT234" s="952"/>
      <c r="DV234" s="921"/>
      <c r="DW234" s="921"/>
      <c r="DX234" s="921"/>
      <c r="DY234" s="921"/>
      <c r="DZ234" s="921"/>
      <c r="EA234" s="921"/>
      <c r="EB234" s="921"/>
      <c r="EC234" s="921"/>
      <c r="ED234" s="921"/>
      <c r="EE234" s="921"/>
      <c r="EF234" s="921"/>
      <c r="EG234" s="921"/>
      <c r="EH234" s="921"/>
      <c r="EI234" s="921"/>
      <c r="EJ234" s="921"/>
      <c r="EK234" s="921"/>
      <c r="EL234" s="921"/>
      <c r="EM234" s="921"/>
      <c r="EN234" s="921"/>
      <c r="EO234" s="921"/>
      <c r="EP234" s="921"/>
      <c r="EQ234" s="954"/>
      <c r="ER234" s="954"/>
      <c r="ES234" s="954"/>
      <c r="ET234" s="954"/>
      <c r="EV234" s="942"/>
      <c r="EW234" s="951"/>
      <c r="EX234" s="951"/>
      <c r="EY234" s="952"/>
    </row>
    <row r="235" spans="1:155" s="927" customFormat="1" ht="15.75" x14ac:dyDescent="0.25">
      <c r="A235" s="931"/>
      <c r="B235" s="932" t="s">
        <v>404</v>
      </c>
      <c r="C235" s="933"/>
      <c r="D235" s="933"/>
      <c r="E235" s="934"/>
      <c r="F235" s="935"/>
      <c r="G235" s="934"/>
      <c r="H235" s="935"/>
      <c r="I235" s="936"/>
      <c r="J235" s="937"/>
      <c r="K235" s="938"/>
      <c r="L235" s="936"/>
      <c r="M235" s="937"/>
      <c r="N235" s="938"/>
      <c r="O235" s="936"/>
      <c r="P235" s="937"/>
      <c r="Q235" s="938"/>
      <c r="R235" s="936"/>
      <c r="S235" s="937"/>
      <c r="T235" s="938"/>
      <c r="U235" s="936"/>
      <c r="V235" s="937"/>
      <c r="W235" s="938"/>
      <c r="X235" s="936"/>
      <c r="Y235" s="937"/>
      <c r="Z235" s="938"/>
      <c r="AA235" s="936"/>
      <c r="AB235" s="937"/>
      <c r="AC235" s="938"/>
      <c r="AD235" s="936"/>
      <c r="AE235" s="937"/>
      <c r="AF235" s="938"/>
      <c r="AG235" s="936"/>
      <c r="AH235" s="937"/>
      <c r="AI235" s="938"/>
      <c r="AJ235" s="936"/>
      <c r="AK235" s="937"/>
      <c r="AL235" s="938"/>
      <c r="AM235" s="936"/>
      <c r="AN235" s="933"/>
      <c r="AO235" s="936"/>
      <c r="AP235" s="933"/>
      <c r="AQ235" s="935"/>
      <c r="AR235" s="936"/>
      <c r="AS235" s="935"/>
      <c r="AT235" s="939"/>
      <c r="AU235" s="933"/>
      <c r="AV235" s="940"/>
      <c r="AW235" s="338">
        <f>AW229/AW227</f>
        <v>0.73350000000000004</v>
      </c>
      <c r="AX235" s="939"/>
      <c r="AY235" s="939"/>
      <c r="AZ235" s="941"/>
      <c r="BA235" s="941"/>
      <c r="BB235" s="941"/>
      <c r="BC235" s="934"/>
      <c r="BD235" s="941"/>
      <c r="BE235" s="941"/>
      <c r="BF235" s="941"/>
      <c r="BG235" s="942"/>
      <c r="BH235" s="941"/>
      <c r="BI235" s="941"/>
      <c r="BJ235" s="941"/>
      <c r="BK235" s="943"/>
      <c r="BL235" s="943"/>
      <c r="BM235" s="943"/>
      <c r="BN235" s="943"/>
      <c r="BO235" s="943"/>
      <c r="BP235" s="944"/>
      <c r="BQ235" s="943"/>
      <c r="BR235" s="943"/>
      <c r="BS235" s="943"/>
      <c r="BU235" s="945"/>
      <c r="BV235" s="946"/>
      <c r="BW235" s="947"/>
      <c r="BX235" s="945"/>
      <c r="BY235" s="947"/>
      <c r="BZ235" s="946"/>
      <c r="CA235" s="947"/>
      <c r="CB235" s="946"/>
      <c r="CC235" s="947"/>
      <c r="CD235" s="947"/>
      <c r="CE235" s="947"/>
      <c r="CF235" s="948"/>
      <c r="CG235" s="949"/>
      <c r="CH235" s="949"/>
      <c r="CI235" s="950"/>
      <c r="CJ235" s="951"/>
      <c r="CK235" s="951"/>
      <c r="CL235" s="952"/>
      <c r="CM235" s="951"/>
      <c r="CN235" s="951"/>
      <c r="CO235" s="952"/>
      <c r="CP235" s="951"/>
      <c r="CQ235" s="951"/>
      <c r="CR235" s="952"/>
      <c r="CS235" s="946"/>
      <c r="CT235" s="953"/>
      <c r="CU235" s="953"/>
      <c r="CV235" s="953"/>
      <c r="CX235" s="951"/>
      <c r="CY235" s="951"/>
      <c r="CZ235" s="952"/>
      <c r="DB235" s="954"/>
      <c r="DC235" s="954"/>
      <c r="DD235" s="921"/>
      <c r="DE235" s="954"/>
      <c r="DF235" s="954"/>
      <c r="DG235" s="921"/>
      <c r="DH235" s="954"/>
      <c r="DI235" s="954"/>
      <c r="DJ235" s="921"/>
      <c r="DK235" s="954"/>
      <c r="DL235" s="954"/>
      <c r="DM235" s="921"/>
      <c r="DN235" s="954"/>
      <c r="DO235" s="954"/>
      <c r="DP235" s="921"/>
      <c r="DQ235" s="942"/>
      <c r="DR235" s="951"/>
      <c r="DS235" s="951"/>
      <c r="DT235" s="952"/>
      <c r="DV235" s="921"/>
      <c r="DW235" s="921"/>
      <c r="DX235" s="921"/>
      <c r="DY235" s="921"/>
      <c r="DZ235" s="921"/>
      <c r="EA235" s="921"/>
      <c r="EB235" s="921"/>
      <c r="EC235" s="921"/>
      <c r="ED235" s="921"/>
      <c r="EE235" s="921"/>
      <c r="EF235" s="921"/>
      <c r="EG235" s="921"/>
      <c r="EH235" s="921"/>
      <c r="EI235" s="921"/>
      <c r="EJ235" s="921"/>
      <c r="EK235" s="921"/>
      <c r="EL235" s="921"/>
      <c r="EM235" s="921"/>
      <c r="EN235" s="921"/>
      <c r="EO235" s="921"/>
      <c r="EP235" s="921"/>
      <c r="EQ235" s="954"/>
      <c r="ER235" s="954"/>
      <c r="ES235" s="954"/>
      <c r="ET235" s="954"/>
      <c r="EV235" s="942"/>
      <c r="EW235" s="951"/>
      <c r="EX235" s="951"/>
      <c r="EY235" s="952"/>
    </row>
    <row r="236" spans="1:155" s="927" customFormat="1" ht="15.75" x14ac:dyDescent="0.25">
      <c r="A236" s="931"/>
      <c r="B236" s="932" t="s">
        <v>405</v>
      </c>
      <c r="C236" s="933"/>
      <c r="D236" s="933"/>
      <c r="E236" s="934"/>
      <c r="F236" s="935"/>
      <c r="G236" s="934"/>
      <c r="H236" s="935"/>
      <c r="I236" s="936"/>
      <c r="J236" s="937"/>
      <c r="K236" s="938"/>
      <c r="L236" s="936"/>
      <c r="M236" s="937"/>
      <c r="N236" s="938"/>
      <c r="O236" s="936"/>
      <c r="P236" s="937"/>
      <c r="Q236" s="938"/>
      <c r="R236" s="936"/>
      <c r="S236" s="937"/>
      <c r="T236" s="938"/>
      <c r="U236" s="936"/>
      <c r="V236" s="937"/>
      <c r="W236" s="938"/>
      <c r="X236" s="936"/>
      <c r="Y236" s="937"/>
      <c r="Z236" s="938"/>
      <c r="AA236" s="936"/>
      <c r="AB236" s="937"/>
      <c r="AC236" s="938"/>
      <c r="AD236" s="936"/>
      <c r="AE236" s="937"/>
      <c r="AF236" s="938"/>
      <c r="AG236" s="936"/>
      <c r="AH236" s="937"/>
      <c r="AI236" s="938"/>
      <c r="AJ236" s="936"/>
      <c r="AK236" s="937"/>
      <c r="AL236" s="938"/>
      <c r="AM236" s="936"/>
      <c r="AN236" s="933"/>
      <c r="AO236" s="936"/>
      <c r="AP236" s="933"/>
      <c r="AQ236" s="935"/>
      <c r="AR236" s="936"/>
      <c r="AS236" s="935"/>
      <c r="AT236" s="939"/>
      <c r="AU236" s="933"/>
      <c r="AV236" s="940"/>
      <c r="AW236" s="339">
        <f>AW230/AW227</f>
        <v>0.17288999999999999</v>
      </c>
      <c r="AX236" s="939"/>
      <c r="AY236" s="939"/>
      <c r="AZ236" s="941"/>
      <c r="BA236" s="941"/>
      <c r="BB236" s="941"/>
      <c r="BC236" s="934"/>
      <c r="BD236" s="941"/>
      <c r="BE236" s="941"/>
      <c r="BF236" s="941"/>
      <c r="BG236" s="942"/>
      <c r="BH236" s="941"/>
      <c r="BI236" s="941"/>
      <c r="BJ236" s="941"/>
      <c r="BK236" s="943"/>
      <c r="BL236" s="943"/>
      <c r="BM236" s="943"/>
      <c r="BN236" s="943"/>
      <c r="BO236" s="943"/>
      <c r="BP236" s="944"/>
      <c r="BQ236" s="943"/>
      <c r="BR236" s="943"/>
      <c r="BS236" s="943"/>
      <c r="BU236" s="945"/>
      <c r="BV236" s="946"/>
      <c r="BW236" s="947"/>
      <c r="BX236" s="945"/>
      <c r="BY236" s="947"/>
      <c r="BZ236" s="946"/>
      <c r="CA236" s="947"/>
      <c r="CB236" s="946"/>
      <c r="CC236" s="947"/>
      <c r="CD236" s="947"/>
      <c r="CE236" s="947"/>
      <c r="CF236" s="948"/>
      <c r="CG236" s="949"/>
      <c r="CH236" s="949"/>
      <c r="CI236" s="950"/>
      <c r="CJ236" s="951"/>
      <c r="CK236" s="951"/>
      <c r="CL236" s="952"/>
      <c r="CM236" s="951"/>
      <c r="CN236" s="951"/>
      <c r="CO236" s="952"/>
      <c r="CP236" s="951"/>
      <c r="CQ236" s="951"/>
      <c r="CR236" s="952"/>
      <c r="CS236" s="946"/>
      <c r="CT236" s="953"/>
      <c r="CU236" s="953"/>
      <c r="CV236" s="953"/>
      <c r="CX236" s="951"/>
      <c r="CY236" s="951"/>
      <c r="CZ236" s="952"/>
      <c r="DB236" s="954"/>
      <c r="DC236" s="954"/>
      <c r="DD236" s="921"/>
      <c r="DE236" s="954"/>
      <c r="DF236" s="954"/>
      <c r="DG236" s="921"/>
      <c r="DH236" s="954"/>
      <c r="DI236" s="954"/>
      <c r="DJ236" s="921"/>
      <c r="DK236" s="954"/>
      <c r="DL236" s="954"/>
      <c r="DM236" s="921"/>
      <c r="DN236" s="954"/>
      <c r="DO236" s="954"/>
      <c r="DP236" s="921"/>
      <c r="DQ236" s="942"/>
      <c r="DR236" s="951"/>
      <c r="DS236" s="951"/>
      <c r="DT236" s="952"/>
      <c r="DV236" s="921"/>
      <c r="DW236" s="921"/>
      <c r="DX236" s="921"/>
      <c r="DY236" s="921"/>
      <c r="DZ236" s="921"/>
      <c r="EA236" s="921"/>
      <c r="EB236" s="921"/>
      <c r="EC236" s="921"/>
      <c r="ED236" s="921"/>
      <c r="EE236" s="921"/>
      <c r="EF236" s="921"/>
      <c r="EG236" s="921"/>
      <c r="EH236" s="921"/>
      <c r="EI236" s="921"/>
      <c r="EJ236" s="921"/>
      <c r="EK236" s="921"/>
      <c r="EL236" s="921"/>
      <c r="EM236" s="921"/>
      <c r="EN236" s="921"/>
      <c r="EO236" s="921"/>
      <c r="EP236" s="921"/>
      <c r="EQ236" s="954"/>
      <c r="ER236" s="954"/>
      <c r="ES236" s="954"/>
      <c r="ET236" s="954"/>
      <c r="EV236" s="942"/>
      <c r="EW236" s="951"/>
      <c r="EX236" s="951"/>
      <c r="EY236" s="952"/>
    </row>
    <row r="237" spans="1:155" s="927" customFormat="1" ht="15.75" x14ac:dyDescent="0.25">
      <c r="A237" s="931"/>
      <c r="B237" s="932" t="s">
        <v>807</v>
      </c>
      <c r="C237" s="933"/>
      <c r="D237" s="933"/>
      <c r="E237" s="934"/>
      <c r="F237" s="935"/>
      <c r="G237" s="934"/>
      <c r="H237" s="935"/>
      <c r="I237" s="936"/>
      <c r="J237" s="937"/>
      <c r="K237" s="938"/>
      <c r="L237" s="936"/>
      <c r="M237" s="937"/>
      <c r="N237" s="938"/>
      <c r="O237" s="936"/>
      <c r="P237" s="937"/>
      <c r="Q237" s="938"/>
      <c r="R237" s="936"/>
      <c r="S237" s="937"/>
      <c r="T237" s="938"/>
      <c r="U237" s="936"/>
      <c r="V237" s="937"/>
      <c r="W237" s="938"/>
      <c r="X237" s="936"/>
      <c r="Y237" s="937"/>
      <c r="Z237" s="938"/>
      <c r="AA237" s="936"/>
      <c r="AB237" s="937"/>
      <c r="AC237" s="938"/>
      <c r="AD237" s="936"/>
      <c r="AE237" s="937"/>
      <c r="AF237" s="938"/>
      <c r="AG237" s="936"/>
      <c r="AH237" s="937"/>
      <c r="AI237" s="938"/>
      <c r="AJ237" s="936"/>
      <c r="AK237" s="937"/>
      <c r="AL237" s="938"/>
      <c r="AM237" s="936"/>
      <c r="AN237" s="933"/>
      <c r="AO237" s="936"/>
      <c r="AP237" s="933"/>
      <c r="AQ237" s="935"/>
      <c r="AR237" s="936"/>
      <c r="AS237" s="935"/>
      <c r="AT237" s="939"/>
      <c r="AU237" s="933"/>
      <c r="AV237" s="940"/>
      <c r="AW237" s="335">
        <f>(AW220/12)/AW226</f>
        <v>1.2033499999999999</v>
      </c>
      <c r="AX237" s="939"/>
      <c r="AY237" s="939"/>
      <c r="AZ237" s="941"/>
      <c r="BA237" s="941"/>
      <c r="BB237" s="941"/>
      <c r="BC237" s="934"/>
      <c r="BD237" s="941"/>
      <c r="BE237" s="941"/>
      <c r="BF237" s="941"/>
      <c r="BG237" s="942"/>
      <c r="BH237" s="941"/>
      <c r="BI237" s="941"/>
      <c r="BJ237" s="941"/>
      <c r="BK237" s="943"/>
      <c r="BL237" s="943"/>
      <c r="BM237" s="943"/>
      <c r="BN237" s="943"/>
      <c r="BO237" s="943"/>
      <c r="BP237" s="944"/>
      <c r="BQ237" s="943"/>
      <c r="BR237" s="943"/>
      <c r="BS237" s="943"/>
      <c r="BU237" s="945"/>
      <c r="BV237" s="946"/>
      <c r="BW237" s="947"/>
      <c r="BX237" s="945"/>
      <c r="BY237" s="947"/>
      <c r="BZ237" s="946"/>
      <c r="CA237" s="947"/>
      <c r="CB237" s="946"/>
      <c r="CC237" s="947"/>
      <c r="CD237" s="947"/>
      <c r="CE237" s="947"/>
      <c r="CF237" s="948"/>
      <c r="CG237" s="949"/>
      <c r="CH237" s="949"/>
      <c r="CI237" s="950"/>
      <c r="CJ237" s="951"/>
      <c r="CK237" s="951"/>
      <c r="CL237" s="952"/>
      <c r="CM237" s="951"/>
      <c r="CN237" s="951"/>
      <c r="CO237" s="952"/>
      <c r="CP237" s="951"/>
      <c r="CQ237" s="951"/>
      <c r="CR237" s="952"/>
      <c r="CS237" s="946"/>
      <c r="CT237" s="953"/>
      <c r="CU237" s="953"/>
      <c r="CV237" s="953"/>
      <c r="CX237" s="951"/>
      <c r="CY237" s="951"/>
      <c r="CZ237" s="952"/>
      <c r="DB237" s="954"/>
      <c r="DC237" s="954"/>
      <c r="DD237" s="921"/>
      <c r="DE237" s="954"/>
      <c r="DF237" s="954"/>
      <c r="DG237" s="921"/>
      <c r="DH237" s="954"/>
      <c r="DI237" s="954"/>
      <c r="DJ237" s="921"/>
      <c r="DK237" s="954"/>
      <c r="DL237" s="954"/>
      <c r="DM237" s="921"/>
      <c r="DN237" s="954"/>
      <c r="DO237" s="954"/>
      <c r="DP237" s="921"/>
      <c r="DQ237" s="942"/>
      <c r="DR237" s="951"/>
      <c r="DS237" s="951"/>
      <c r="DT237" s="952"/>
      <c r="DV237" s="921"/>
      <c r="DW237" s="921"/>
      <c r="DX237" s="921"/>
      <c r="DY237" s="921"/>
      <c r="DZ237" s="921"/>
      <c r="EA237" s="921"/>
      <c r="EB237" s="921"/>
      <c r="EC237" s="921"/>
      <c r="ED237" s="921"/>
      <c r="EE237" s="921"/>
      <c r="EF237" s="921"/>
      <c r="EG237" s="921"/>
      <c r="EH237" s="921"/>
      <c r="EI237" s="921"/>
      <c r="EJ237" s="921"/>
      <c r="EK237" s="921"/>
      <c r="EL237" s="921"/>
      <c r="EM237" s="921"/>
      <c r="EN237" s="921"/>
      <c r="EO237" s="921"/>
      <c r="EP237" s="921"/>
      <c r="EQ237" s="954"/>
      <c r="ER237" s="954"/>
      <c r="ES237" s="954"/>
      <c r="ET237" s="954"/>
      <c r="EV237" s="942"/>
      <c r="EW237" s="951"/>
      <c r="EX237" s="951"/>
      <c r="EY237" s="952"/>
    </row>
    <row r="238" spans="1:155" s="927" customFormat="1" ht="15.75" x14ac:dyDescent="0.25">
      <c r="A238" s="931"/>
      <c r="B238" s="932"/>
      <c r="C238" s="933"/>
      <c r="D238" s="933"/>
      <c r="E238" s="934"/>
      <c r="F238" s="935"/>
      <c r="G238" s="934"/>
      <c r="H238" s="935"/>
      <c r="I238" s="936"/>
      <c r="J238" s="937"/>
      <c r="K238" s="938"/>
      <c r="L238" s="936"/>
      <c r="M238" s="937"/>
      <c r="N238" s="938"/>
      <c r="O238" s="936"/>
      <c r="P238" s="937"/>
      <c r="Q238" s="938"/>
      <c r="R238" s="936"/>
      <c r="S238" s="937"/>
      <c r="T238" s="938"/>
      <c r="U238" s="936"/>
      <c r="V238" s="937"/>
      <c r="W238" s="938"/>
      <c r="X238" s="936"/>
      <c r="Y238" s="937"/>
      <c r="Z238" s="938"/>
      <c r="AA238" s="936"/>
      <c r="AB238" s="937"/>
      <c r="AC238" s="938"/>
      <c r="AD238" s="936"/>
      <c r="AE238" s="937"/>
      <c r="AF238" s="938"/>
      <c r="AG238" s="936"/>
      <c r="AH238" s="937"/>
      <c r="AI238" s="938"/>
      <c r="AJ238" s="936"/>
      <c r="AK238" s="937"/>
      <c r="AL238" s="938"/>
      <c r="AM238" s="936"/>
      <c r="AN238" s="933"/>
      <c r="AO238" s="936"/>
      <c r="AP238" s="933"/>
      <c r="AQ238" s="935"/>
      <c r="AR238" s="936"/>
      <c r="AS238" s="935"/>
      <c r="AT238" s="939"/>
      <c r="AU238" s="933"/>
      <c r="AV238" s="940"/>
      <c r="AW238" s="939"/>
      <c r="AX238" s="939"/>
      <c r="AY238" s="939"/>
      <c r="AZ238" s="941"/>
      <c r="BA238" s="941"/>
      <c r="BB238" s="941"/>
      <c r="BC238" s="934"/>
      <c r="BD238" s="941"/>
      <c r="BE238" s="941"/>
      <c r="BF238" s="941"/>
      <c r="BG238" s="942"/>
      <c r="BH238" s="941"/>
      <c r="BI238" s="941"/>
      <c r="BJ238" s="941"/>
      <c r="BK238" s="943"/>
      <c r="BL238" s="943"/>
      <c r="BM238" s="943"/>
      <c r="BN238" s="943"/>
      <c r="BO238" s="943"/>
      <c r="BP238" s="944"/>
      <c r="BQ238" s="943"/>
      <c r="BR238" s="943"/>
      <c r="BS238" s="943"/>
      <c r="BU238" s="945"/>
      <c r="BV238" s="946"/>
      <c r="BW238" s="947"/>
      <c r="BX238" s="945"/>
      <c r="BY238" s="947"/>
      <c r="BZ238" s="946"/>
      <c r="CA238" s="947"/>
      <c r="CB238" s="946"/>
      <c r="CC238" s="947"/>
      <c r="CD238" s="947"/>
      <c r="CE238" s="947"/>
      <c r="CF238" s="948"/>
      <c r="CG238" s="949"/>
      <c r="CH238" s="949"/>
      <c r="CI238" s="950"/>
      <c r="CJ238" s="951"/>
      <c r="CK238" s="951"/>
      <c r="CL238" s="952"/>
      <c r="CM238" s="951"/>
      <c r="CN238" s="951"/>
      <c r="CO238" s="952"/>
      <c r="CP238" s="951"/>
      <c r="CQ238" s="951"/>
      <c r="CR238" s="952"/>
      <c r="CS238" s="946"/>
      <c r="CT238" s="953"/>
      <c r="CU238" s="953"/>
      <c r="CV238" s="953"/>
      <c r="CX238" s="951"/>
      <c r="CY238" s="951"/>
      <c r="CZ238" s="952"/>
      <c r="DB238" s="954"/>
      <c r="DC238" s="954"/>
      <c r="DD238" s="921"/>
      <c r="DE238" s="954"/>
      <c r="DF238" s="954"/>
      <c r="DG238" s="921"/>
      <c r="DH238" s="954"/>
      <c r="DI238" s="954"/>
      <c r="DJ238" s="921"/>
      <c r="DK238" s="954"/>
      <c r="DL238" s="954"/>
      <c r="DM238" s="921"/>
      <c r="DN238" s="954"/>
      <c r="DO238" s="954"/>
      <c r="DP238" s="921"/>
      <c r="DQ238" s="942"/>
      <c r="DR238" s="951"/>
      <c r="DS238" s="951"/>
      <c r="DT238" s="952"/>
      <c r="DV238" s="921"/>
      <c r="DW238" s="921"/>
      <c r="DX238" s="921"/>
      <c r="DY238" s="921"/>
      <c r="DZ238" s="921"/>
      <c r="EA238" s="921"/>
      <c r="EB238" s="921"/>
      <c r="EC238" s="921"/>
      <c r="ED238" s="921"/>
      <c r="EE238" s="921"/>
      <c r="EF238" s="921"/>
      <c r="EG238" s="921"/>
      <c r="EH238" s="921"/>
      <c r="EI238" s="921"/>
      <c r="EJ238" s="921"/>
      <c r="EK238" s="921"/>
      <c r="EL238" s="921"/>
      <c r="EM238" s="921"/>
      <c r="EN238" s="921"/>
      <c r="EO238" s="921"/>
      <c r="EP238" s="921"/>
      <c r="EQ238" s="954"/>
      <c r="ER238" s="954"/>
      <c r="ES238" s="954"/>
      <c r="ET238" s="954"/>
      <c r="EV238" s="942"/>
      <c r="EW238" s="951"/>
      <c r="EX238" s="951"/>
      <c r="EY238" s="952"/>
    </row>
    <row r="239" spans="1:155" s="965" customFormat="1" ht="15.75" x14ac:dyDescent="0.25">
      <c r="A239" s="931" t="s">
        <v>60</v>
      </c>
      <c r="B239" s="956"/>
      <c r="C239" s="957">
        <f>C48+C79+C134+C184+C220</f>
        <v>432.07</v>
      </c>
      <c r="D239" s="957">
        <f t="shared" ref="D239:BO243" si="278">D48+D79+D134+D184+D220</f>
        <v>1403768</v>
      </c>
      <c r="E239" s="958">
        <f t="shared" si="278"/>
        <v>139.26</v>
      </c>
      <c r="F239" s="959">
        <f t="shared" si="278"/>
        <v>1481040</v>
      </c>
      <c r="G239" s="958">
        <f t="shared" si="278"/>
        <v>133.32</v>
      </c>
      <c r="H239" s="960">
        <f t="shared" si="278"/>
        <v>1495905</v>
      </c>
      <c r="I239" s="939">
        <f t="shared" si="278"/>
        <v>5022183.58</v>
      </c>
      <c r="J239" s="939">
        <f t="shared" si="278"/>
        <v>5.41</v>
      </c>
      <c r="K239" s="961">
        <f t="shared" si="278"/>
        <v>660098.30000000005</v>
      </c>
      <c r="L239" s="939">
        <f t="shared" si="278"/>
        <v>703432.22</v>
      </c>
      <c r="M239" s="939">
        <f t="shared" si="278"/>
        <v>0.39</v>
      </c>
      <c r="N239" s="961">
        <f t="shared" si="278"/>
        <v>6742.52</v>
      </c>
      <c r="O239" s="939">
        <f t="shared" si="278"/>
        <v>7184.88</v>
      </c>
      <c r="P239" s="939">
        <f t="shared" si="278"/>
        <v>1</v>
      </c>
      <c r="Q239" s="961">
        <f t="shared" si="278"/>
        <v>34598.71</v>
      </c>
      <c r="R239" s="939">
        <f t="shared" si="278"/>
        <v>36868.51</v>
      </c>
      <c r="S239" s="939">
        <f t="shared" si="278"/>
        <v>8.02</v>
      </c>
      <c r="T239" s="961">
        <f t="shared" si="278"/>
        <v>97096.93</v>
      </c>
      <c r="U239" s="939">
        <f t="shared" si="278"/>
        <v>103475.51</v>
      </c>
      <c r="V239" s="939">
        <f t="shared" si="278"/>
        <v>0</v>
      </c>
      <c r="W239" s="961">
        <f t="shared" si="278"/>
        <v>0</v>
      </c>
      <c r="X239" s="939">
        <f t="shared" si="278"/>
        <v>0</v>
      </c>
      <c r="Y239" s="939">
        <f t="shared" si="278"/>
        <v>59.37</v>
      </c>
      <c r="Z239" s="961">
        <f t="shared" si="278"/>
        <v>493782.93</v>
      </c>
      <c r="AA239" s="939">
        <f t="shared" si="278"/>
        <v>526197.55000000005</v>
      </c>
      <c r="AB239" s="939">
        <f t="shared" si="278"/>
        <v>18.350000000000001</v>
      </c>
      <c r="AC239" s="961">
        <f t="shared" si="278"/>
        <v>738861.93</v>
      </c>
      <c r="AD239" s="939">
        <f t="shared" si="278"/>
        <v>787351.73</v>
      </c>
      <c r="AE239" s="939">
        <f t="shared" si="278"/>
        <v>0.52</v>
      </c>
      <c r="AF239" s="961">
        <f t="shared" si="278"/>
        <v>27845</v>
      </c>
      <c r="AG239" s="939">
        <f t="shared" si="278"/>
        <v>29673.26</v>
      </c>
      <c r="AH239" s="939">
        <f t="shared" si="278"/>
        <v>0</v>
      </c>
      <c r="AI239" s="961">
        <f t="shared" si="278"/>
        <v>0</v>
      </c>
      <c r="AJ239" s="939">
        <f t="shared" si="278"/>
        <v>0</v>
      </c>
      <c r="AK239" s="939">
        <f t="shared" si="278"/>
        <v>0</v>
      </c>
      <c r="AL239" s="961">
        <f t="shared" si="278"/>
        <v>0</v>
      </c>
      <c r="AM239" s="939">
        <f t="shared" si="278"/>
        <v>0</v>
      </c>
      <c r="AN239" s="957">
        <f t="shared" si="278"/>
        <v>2539944</v>
      </c>
      <c r="AO239" s="939">
        <f t="shared" si="278"/>
        <v>1808385.33</v>
      </c>
      <c r="AP239" s="957">
        <f t="shared" si="278"/>
        <v>8482.32</v>
      </c>
      <c r="AQ239" s="960">
        <f t="shared" si="278"/>
        <v>49833.63</v>
      </c>
      <c r="AR239" s="939">
        <f t="shared" si="278"/>
        <v>9074586.1999999993</v>
      </c>
      <c r="AS239" s="960">
        <f t="shared" si="278"/>
        <v>1584</v>
      </c>
      <c r="AT239" s="939">
        <f t="shared" si="278"/>
        <v>108895034.40000001</v>
      </c>
      <c r="AU239" s="960">
        <f t="shared" si="278"/>
        <v>1738738.54</v>
      </c>
      <c r="AV239" s="962">
        <f t="shared" si="278"/>
        <v>1088950.3400000001</v>
      </c>
      <c r="AW239" s="939">
        <f t="shared" si="278"/>
        <v>111722723.28</v>
      </c>
      <c r="AX239" s="939">
        <f t="shared" si="278"/>
        <v>33740262.450000003</v>
      </c>
      <c r="AY239" s="939">
        <f t="shared" si="278"/>
        <v>145462985.72999999</v>
      </c>
      <c r="AZ239" s="941">
        <f t="shared" si="278"/>
        <v>111722.2</v>
      </c>
      <c r="BA239" s="941">
        <f t="shared" si="278"/>
        <v>33739.9</v>
      </c>
      <c r="BB239" s="941">
        <f t="shared" si="278"/>
        <v>145462.1</v>
      </c>
      <c r="BC239" s="958">
        <f t="shared" si="278"/>
        <v>125.4</v>
      </c>
      <c r="BD239" s="941">
        <f t="shared" si="278"/>
        <v>106136.3</v>
      </c>
      <c r="BE239" s="941">
        <f t="shared" si="278"/>
        <v>32053.7</v>
      </c>
      <c r="BF239" s="941">
        <f t="shared" si="278"/>
        <v>138190</v>
      </c>
      <c r="BG239" s="963">
        <f>'[3]свод (2024)'!$B$116</f>
        <v>0.99758349999999996</v>
      </c>
      <c r="BH239" s="941">
        <f t="shared" si="278"/>
        <v>105835.2</v>
      </c>
      <c r="BI239" s="941">
        <f t="shared" si="278"/>
        <v>31962.2</v>
      </c>
      <c r="BJ239" s="941">
        <f t="shared" si="278"/>
        <v>137797.4</v>
      </c>
      <c r="BK239" s="951">
        <f t="shared" si="278"/>
        <v>-5887</v>
      </c>
      <c r="BL239" s="951">
        <f t="shared" si="278"/>
        <v>-1777.7</v>
      </c>
      <c r="BM239" s="951">
        <f t="shared" si="278"/>
        <v>-7664.7</v>
      </c>
      <c r="BN239" s="951">
        <f t="shared" si="278"/>
        <v>0</v>
      </c>
      <c r="BO239" s="951">
        <f t="shared" si="278"/>
        <v>0</v>
      </c>
      <c r="BP239" s="964">
        <f t="shared" ref="BP239:CV239" si="279">BP48+BP79+BP134+BP184+BP220</f>
        <v>0</v>
      </c>
      <c r="BQ239" s="951">
        <f t="shared" si="279"/>
        <v>105835.2</v>
      </c>
      <c r="BR239" s="951">
        <f t="shared" si="279"/>
        <v>31962.2</v>
      </c>
      <c r="BS239" s="951">
        <f t="shared" si="279"/>
        <v>137797.4</v>
      </c>
      <c r="BU239" s="939">
        <f t="shared" si="279"/>
        <v>245.07</v>
      </c>
      <c r="BV239" s="939">
        <f t="shared" si="279"/>
        <v>29.5</v>
      </c>
      <c r="BW239" s="939">
        <f t="shared" si="279"/>
        <v>215.57</v>
      </c>
      <c r="BX239" s="939">
        <f t="shared" si="279"/>
        <v>58679733.859999999</v>
      </c>
      <c r="BY239" s="939">
        <f t="shared" si="279"/>
        <v>51653496.189999998</v>
      </c>
      <c r="BZ239" s="939">
        <f t="shared" si="279"/>
        <v>144.19999999999999</v>
      </c>
      <c r="CA239" s="939"/>
      <c r="CB239" s="939"/>
      <c r="CC239" s="939">
        <f t="shared" si="279"/>
        <v>20535679.77</v>
      </c>
      <c r="CD239" s="939">
        <f t="shared" si="279"/>
        <v>6201775.29</v>
      </c>
      <c r="CE239" s="939">
        <f t="shared" si="279"/>
        <v>26737455.059999999</v>
      </c>
      <c r="CF239" s="966">
        <f t="shared" si="279"/>
        <v>20535679.760000002</v>
      </c>
      <c r="CG239" s="939">
        <f t="shared" si="279"/>
        <v>20535.7</v>
      </c>
      <c r="CH239" s="939">
        <f t="shared" si="279"/>
        <v>6201.8</v>
      </c>
      <c r="CI239" s="939">
        <f t="shared" si="279"/>
        <v>26737.5</v>
      </c>
      <c r="CJ239" s="967">
        <f t="shared" si="279"/>
        <v>126370.9</v>
      </c>
      <c r="CK239" s="967">
        <f t="shared" si="279"/>
        <v>38164</v>
      </c>
      <c r="CL239" s="967">
        <f t="shared" si="279"/>
        <v>164534.9</v>
      </c>
      <c r="CM239" s="967">
        <f t="shared" si="279"/>
        <v>1514.4</v>
      </c>
      <c r="CN239" s="967">
        <f t="shared" si="279"/>
        <v>457.4</v>
      </c>
      <c r="CO239" s="967">
        <f t="shared" si="279"/>
        <v>1971.8</v>
      </c>
      <c r="CP239" s="968">
        <f t="shared" si="279"/>
        <v>124856.5</v>
      </c>
      <c r="CQ239" s="968">
        <f t="shared" si="279"/>
        <v>37706.6</v>
      </c>
      <c r="CR239" s="969">
        <f t="shared" si="279"/>
        <v>162563.1</v>
      </c>
      <c r="CS239" s="941"/>
      <c r="CT239" s="941">
        <f t="shared" si="279"/>
        <v>5285.3</v>
      </c>
      <c r="CU239" s="941">
        <f t="shared" si="279"/>
        <v>1596.1</v>
      </c>
      <c r="CV239" s="941">
        <f t="shared" si="279"/>
        <v>6881.4</v>
      </c>
      <c r="CX239" s="967">
        <f t="shared" ref="CX239:CZ239" si="280">CX48+CX79+CX134+CX184+CX220</f>
        <v>70674.8</v>
      </c>
      <c r="CY239" s="967">
        <f t="shared" si="280"/>
        <v>21343.9</v>
      </c>
      <c r="CZ239" s="967">
        <f t="shared" si="280"/>
        <v>92018.7</v>
      </c>
      <c r="DA239" s="965">
        <f>144.2*41718.2*12*1.302/1000</f>
        <v>93990.303610560004</v>
      </c>
      <c r="DB239" s="967">
        <v>669.4</v>
      </c>
      <c r="DC239" s="967">
        <v>202.1</v>
      </c>
      <c r="DD239" s="970">
        <f>DB239+DC239</f>
        <v>871.5</v>
      </c>
      <c r="DE239" s="967">
        <v>669.4</v>
      </c>
      <c r="DF239" s="967">
        <v>202.1</v>
      </c>
      <c r="DG239" s="970">
        <f>DE239+DF239</f>
        <v>871.5</v>
      </c>
      <c r="DH239" s="967">
        <v>669.4</v>
      </c>
      <c r="DI239" s="967">
        <v>202.1</v>
      </c>
      <c r="DJ239" s="970">
        <f>DH239+DI239</f>
        <v>871.5</v>
      </c>
      <c r="DK239" s="967">
        <v>669.4</v>
      </c>
      <c r="DL239" s="967">
        <v>202.1</v>
      </c>
      <c r="DM239" s="970">
        <f>DK239+DL239</f>
        <v>871.5</v>
      </c>
      <c r="DN239" s="968">
        <f>DB239+DE239+DH239+DK239</f>
        <v>2677.6</v>
      </c>
      <c r="DO239" s="968">
        <f>DC239+DF239+DI239+DL239</f>
        <v>808.4</v>
      </c>
      <c r="DP239" s="969">
        <f>DN239+DO239</f>
        <v>3486</v>
      </c>
      <c r="DQ239" s="963">
        <f>(CR239-DP239)/CR239</f>
        <v>0.978556019</v>
      </c>
      <c r="DR239" s="968">
        <f t="shared" ref="DR239:DS239" si="281">DR48+DR79+DR134+DR184+DR220</f>
        <v>122179.1</v>
      </c>
      <c r="DS239" s="968">
        <f t="shared" si="281"/>
        <v>36897.9</v>
      </c>
      <c r="DT239" s="969">
        <f>DR239+DS239</f>
        <v>159077</v>
      </c>
      <c r="DV239" s="970">
        <f>DW239+DZ239</f>
        <v>871.5</v>
      </c>
      <c r="DW239" s="970">
        <f>DX239+DY239</f>
        <v>780.8</v>
      </c>
      <c r="DX239" s="967">
        <v>599.70000000000005</v>
      </c>
      <c r="DY239" s="967">
        <v>181.1</v>
      </c>
      <c r="DZ239" s="967">
        <v>90.7</v>
      </c>
      <c r="EA239" s="970">
        <f>EB239+EE239</f>
        <v>871.5</v>
      </c>
      <c r="EB239" s="970">
        <f>EC239+ED239</f>
        <v>780.8</v>
      </c>
      <c r="EC239" s="967">
        <v>599.70000000000005</v>
      </c>
      <c r="ED239" s="967">
        <v>181.1</v>
      </c>
      <c r="EE239" s="967">
        <v>90.7</v>
      </c>
      <c r="EF239" s="970">
        <f>EG239+EJ239</f>
        <v>871.5</v>
      </c>
      <c r="EG239" s="970">
        <f>EH239+EI239</f>
        <v>780.8</v>
      </c>
      <c r="EH239" s="967">
        <v>599.70000000000005</v>
      </c>
      <c r="EI239" s="967">
        <v>181.1</v>
      </c>
      <c r="EJ239" s="967">
        <v>90.7</v>
      </c>
      <c r="EK239" s="970">
        <f>EL239+EO239</f>
        <v>871.5</v>
      </c>
      <c r="EL239" s="970">
        <f>EM239+EN239</f>
        <v>780.8</v>
      </c>
      <c r="EM239" s="967">
        <v>599.70000000000005</v>
      </c>
      <c r="EN239" s="967">
        <v>181.1</v>
      </c>
      <c r="EO239" s="967">
        <v>90.7</v>
      </c>
      <c r="EP239" s="969">
        <f>EQ239+ET239</f>
        <v>3486</v>
      </c>
      <c r="EQ239" s="968">
        <f>ER239+ES239</f>
        <v>3123.2</v>
      </c>
      <c r="ER239" s="968">
        <f>DX239+EC239+EH239+EM239</f>
        <v>2398.8000000000002</v>
      </c>
      <c r="ES239" s="968">
        <f t="shared" ref="ES239:ET239" si="282">DY239+ED239+EI239+EN239</f>
        <v>724.4</v>
      </c>
      <c r="ET239" s="968">
        <f t="shared" si="282"/>
        <v>362.8</v>
      </c>
      <c r="EV239" s="963">
        <f>(CR239-EQ239)/CR239</f>
        <v>0.980787768</v>
      </c>
      <c r="EW239" s="968">
        <f t="shared" ref="EW239:EX239" si="283">EW48+EW79+EW134+EW184+EW220</f>
        <v>122457.5</v>
      </c>
      <c r="EX239" s="968">
        <f t="shared" si="283"/>
        <v>36982.1</v>
      </c>
      <c r="EY239" s="969">
        <f>EW239+EX239</f>
        <v>159439.6</v>
      </c>
    </row>
    <row r="240" spans="1:155" s="927" customFormat="1" ht="15.75" x14ac:dyDescent="0.25">
      <c r="A240" s="931"/>
      <c r="B240" s="932" t="s">
        <v>406</v>
      </c>
      <c r="C240" s="981">
        <f>C49+C80+C135+C185+C221</f>
        <v>183.63</v>
      </c>
      <c r="D240" s="938"/>
      <c r="E240" s="983"/>
      <c r="F240" s="936"/>
      <c r="G240" s="983"/>
      <c r="H240" s="984">
        <f t="shared" si="278"/>
        <v>97958</v>
      </c>
      <c r="I240" s="984">
        <f t="shared" si="278"/>
        <v>2569718.2200000002</v>
      </c>
      <c r="J240" s="937"/>
      <c r="K240" s="938"/>
      <c r="L240" s="984">
        <f t="shared" si="278"/>
        <v>539877.78</v>
      </c>
      <c r="M240" s="937"/>
      <c r="N240" s="938"/>
      <c r="O240" s="984">
        <f t="shared" si="278"/>
        <v>0</v>
      </c>
      <c r="P240" s="937"/>
      <c r="Q240" s="938"/>
      <c r="R240" s="984">
        <f t="shared" si="278"/>
        <v>10143.41</v>
      </c>
      <c r="S240" s="937"/>
      <c r="T240" s="938"/>
      <c r="U240" s="984">
        <f t="shared" si="278"/>
        <v>0</v>
      </c>
      <c r="V240" s="937"/>
      <c r="W240" s="938"/>
      <c r="X240" s="984">
        <f t="shared" si="278"/>
        <v>0</v>
      </c>
      <c r="Y240" s="937"/>
      <c r="Z240" s="938"/>
      <c r="AA240" s="984">
        <f t="shared" si="278"/>
        <v>0</v>
      </c>
      <c r="AB240" s="937"/>
      <c r="AC240" s="938"/>
      <c r="AD240" s="984">
        <f t="shared" si="278"/>
        <v>450074.83</v>
      </c>
      <c r="AE240" s="937"/>
      <c r="AF240" s="938"/>
      <c r="AG240" s="984">
        <f t="shared" si="278"/>
        <v>18233.07</v>
      </c>
      <c r="AH240" s="937"/>
      <c r="AI240" s="938"/>
      <c r="AJ240" s="984">
        <f t="shared" si="278"/>
        <v>0</v>
      </c>
      <c r="AK240" s="937"/>
      <c r="AL240" s="938"/>
      <c r="AM240" s="984">
        <f t="shared" si="278"/>
        <v>0</v>
      </c>
      <c r="AN240" s="938"/>
      <c r="AO240" s="984">
        <f t="shared" si="278"/>
        <v>38158.17</v>
      </c>
      <c r="AP240" s="938"/>
      <c r="AQ240" s="984">
        <f t="shared" si="278"/>
        <v>0</v>
      </c>
      <c r="AR240" s="984">
        <f t="shared" si="278"/>
        <v>3626205.48</v>
      </c>
      <c r="AS240" s="936"/>
      <c r="AT240" s="984">
        <f t="shared" si="278"/>
        <v>43514465.759999998</v>
      </c>
      <c r="AU240" s="984">
        <f t="shared" si="278"/>
        <v>0</v>
      </c>
      <c r="AV240" s="984">
        <f t="shared" si="278"/>
        <v>435144.66</v>
      </c>
      <c r="AW240" s="984">
        <f t="shared" si="278"/>
        <v>43949610.420000002</v>
      </c>
      <c r="AX240" s="939"/>
      <c r="AY240" s="939"/>
      <c r="AZ240" s="941"/>
      <c r="BA240" s="941"/>
      <c r="BB240" s="941"/>
      <c r="BC240" s="934"/>
      <c r="BD240" s="941"/>
      <c r="BE240" s="941"/>
      <c r="BF240" s="941"/>
      <c r="BG240" s="942"/>
      <c r="BH240" s="941"/>
      <c r="BI240" s="941"/>
      <c r="BJ240" s="941"/>
      <c r="BK240" s="943"/>
      <c r="BL240" s="943"/>
      <c r="BM240" s="943"/>
      <c r="BN240" s="943"/>
      <c r="BO240" s="943"/>
      <c r="BP240" s="944"/>
      <c r="BQ240" s="943"/>
      <c r="BR240" s="943"/>
      <c r="BS240" s="943"/>
      <c r="BU240" s="945"/>
      <c r="BV240" s="946"/>
      <c r="BW240" s="947"/>
      <c r="BX240" s="945"/>
      <c r="BY240" s="947"/>
      <c r="BZ240" s="946"/>
      <c r="CA240" s="947"/>
      <c r="CB240" s="946"/>
      <c r="CC240" s="947"/>
      <c r="CD240" s="947"/>
      <c r="CE240" s="947"/>
      <c r="CF240" s="948"/>
      <c r="CG240" s="949"/>
      <c r="CH240" s="949"/>
      <c r="CI240" s="950"/>
      <c r="CJ240" s="951"/>
      <c r="CK240" s="951"/>
      <c r="CL240" s="952"/>
      <c r="CM240" s="951"/>
      <c r="CN240" s="951"/>
      <c r="CO240" s="952"/>
      <c r="CP240" s="951"/>
      <c r="CQ240" s="951"/>
      <c r="CR240" s="952"/>
      <c r="CS240" s="946"/>
      <c r="CT240" s="953"/>
      <c r="CU240" s="953"/>
      <c r="CV240" s="953"/>
      <c r="CX240" s="951"/>
      <c r="CY240" s="951"/>
      <c r="CZ240" s="952"/>
      <c r="DB240" s="954"/>
      <c r="DC240" s="954"/>
      <c r="DD240" s="921"/>
      <c r="DE240" s="954"/>
      <c r="DF240" s="954"/>
      <c r="DG240" s="921"/>
      <c r="DH240" s="954"/>
      <c r="DI240" s="954"/>
      <c r="DJ240" s="921"/>
      <c r="DK240" s="954"/>
      <c r="DL240" s="954"/>
      <c r="DM240" s="921"/>
      <c r="DN240" s="954"/>
      <c r="DO240" s="954"/>
      <c r="DP240" s="921"/>
      <c r="DQ240" s="942"/>
      <c r="DR240" s="951"/>
      <c r="DS240" s="951"/>
      <c r="DT240" s="952"/>
      <c r="DV240" s="921"/>
      <c r="DW240" s="921"/>
      <c r="DX240" s="921"/>
      <c r="DY240" s="921"/>
      <c r="DZ240" s="921"/>
      <c r="EA240" s="921"/>
      <c r="EB240" s="921"/>
      <c r="EC240" s="921"/>
      <c r="ED240" s="921"/>
      <c r="EE240" s="921"/>
      <c r="EF240" s="921"/>
      <c r="EG240" s="921"/>
      <c r="EH240" s="921"/>
      <c r="EI240" s="921"/>
      <c r="EJ240" s="921"/>
      <c r="EK240" s="921"/>
      <c r="EL240" s="921"/>
      <c r="EM240" s="921"/>
      <c r="EN240" s="921"/>
      <c r="EO240" s="921"/>
      <c r="EP240" s="921"/>
      <c r="EQ240" s="954"/>
      <c r="ER240" s="954"/>
      <c r="ES240" s="954"/>
      <c r="ET240" s="954"/>
      <c r="EV240" s="942"/>
      <c r="EW240" s="951"/>
      <c r="EX240" s="951"/>
      <c r="EY240" s="952"/>
    </row>
    <row r="241" spans="1:155" s="927" customFormat="1" ht="15.75" x14ac:dyDescent="0.25">
      <c r="A241" s="931"/>
      <c r="B241" s="932" t="s">
        <v>403</v>
      </c>
      <c r="C241" s="981">
        <f t="shared" ref="C241:C243" si="284">C50+C81+C136+C186+C222</f>
        <v>61.44</v>
      </c>
      <c r="D241" s="938"/>
      <c r="E241" s="983"/>
      <c r="F241" s="936"/>
      <c r="G241" s="983"/>
      <c r="H241" s="984">
        <f t="shared" si="278"/>
        <v>286018</v>
      </c>
      <c r="I241" s="984">
        <f t="shared" si="278"/>
        <v>874454.36</v>
      </c>
      <c r="J241" s="937"/>
      <c r="K241" s="938"/>
      <c r="L241" s="984">
        <f t="shared" si="278"/>
        <v>163554.44</v>
      </c>
      <c r="M241" s="937"/>
      <c r="N241" s="938"/>
      <c r="O241" s="984">
        <f t="shared" si="278"/>
        <v>0</v>
      </c>
      <c r="P241" s="937"/>
      <c r="Q241" s="938"/>
      <c r="R241" s="984">
        <f t="shared" si="278"/>
        <v>0</v>
      </c>
      <c r="S241" s="937"/>
      <c r="T241" s="938"/>
      <c r="U241" s="984">
        <f t="shared" si="278"/>
        <v>0</v>
      </c>
      <c r="V241" s="937"/>
      <c r="W241" s="938"/>
      <c r="X241" s="984">
        <f t="shared" si="278"/>
        <v>0</v>
      </c>
      <c r="Y241" s="937"/>
      <c r="Z241" s="938"/>
      <c r="AA241" s="984">
        <f t="shared" si="278"/>
        <v>0</v>
      </c>
      <c r="AB241" s="937"/>
      <c r="AC241" s="938"/>
      <c r="AD241" s="984">
        <f t="shared" si="278"/>
        <v>136658.87</v>
      </c>
      <c r="AE241" s="937"/>
      <c r="AF241" s="938"/>
      <c r="AG241" s="984">
        <f t="shared" si="278"/>
        <v>2798.59</v>
      </c>
      <c r="AH241" s="937"/>
      <c r="AI241" s="938"/>
      <c r="AJ241" s="984">
        <f t="shared" si="278"/>
        <v>0</v>
      </c>
      <c r="AK241" s="937"/>
      <c r="AL241" s="938"/>
      <c r="AM241" s="984">
        <f t="shared" si="278"/>
        <v>0</v>
      </c>
      <c r="AN241" s="938"/>
      <c r="AO241" s="984">
        <f t="shared" si="278"/>
        <v>37890.46</v>
      </c>
      <c r="AP241" s="938"/>
      <c r="AQ241" s="984">
        <f t="shared" si="278"/>
        <v>0</v>
      </c>
      <c r="AR241" s="984">
        <f t="shared" si="278"/>
        <v>1215356.72</v>
      </c>
      <c r="AS241" s="936"/>
      <c r="AT241" s="984">
        <f t="shared" si="278"/>
        <v>14584280.640000001</v>
      </c>
      <c r="AU241" s="984">
        <f t="shared" si="278"/>
        <v>0</v>
      </c>
      <c r="AV241" s="984">
        <f t="shared" si="278"/>
        <v>145842.79999999999</v>
      </c>
      <c r="AW241" s="984">
        <f t="shared" si="278"/>
        <v>14730123.439999999</v>
      </c>
      <c r="AX241" s="939"/>
      <c r="AY241" s="939"/>
      <c r="AZ241" s="941"/>
      <c r="BA241" s="941"/>
      <c r="BB241" s="941"/>
      <c r="BC241" s="934"/>
      <c r="BD241" s="941"/>
      <c r="BE241" s="941"/>
      <c r="BF241" s="941"/>
      <c r="BG241" s="942"/>
      <c r="BH241" s="941"/>
      <c r="BI241" s="941"/>
      <c r="BJ241" s="941"/>
      <c r="BK241" s="943"/>
      <c r="BL241" s="943"/>
      <c r="BM241" s="943"/>
      <c r="BN241" s="943"/>
      <c r="BO241" s="943"/>
      <c r="BP241" s="944"/>
      <c r="BQ241" s="943"/>
      <c r="BR241" s="943"/>
      <c r="BS241" s="943"/>
      <c r="BU241" s="945"/>
      <c r="BV241" s="946"/>
      <c r="BW241" s="947"/>
      <c r="BX241" s="945"/>
      <c r="BY241" s="947"/>
      <c r="BZ241" s="946"/>
      <c r="CA241" s="947"/>
      <c r="CB241" s="946"/>
      <c r="CC241" s="947"/>
      <c r="CD241" s="947"/>
      <c r="CE241" s="947"/>
      <c r="CF241" s="948"/>
      <c r="CG241" s="949"/>
      <c r="CH241" s="949"/>
      <c r="CI241" s="950"/>
      <c r="CJ241" s="951"/>
      <c r="CK241" s="951"/>
      <c r="CL241" s="952"/>
      <c r="CM241" s="951"/>
      <c r="CN241" s="951"/>
      <c r="CO241" s="952"/>
      <c r="CP241" s="951"/>
      <c r="CQ241" s="951"/>
      <c r="CR241" s="952"/>
      <c r="CS241" s="946"/>
      <c r="CT241" s="953"/>
      <c r="CU241" s="953"/>
      <c r="CV241" s="953"/>
      <c r="CX241" s="951"/>
      <c r="CY241" s="951"/>
      <c r="CZ241" s="952"/>
      <c r="DB241" s="954"/>
      <c r="DC241" s="954"/>
      <c r="DD241" s="921"/>
      <c r="DE241" s="954"/>
      <c r="DF241" s="954"/>
      <c r="DG241" s="921"/>
      <c r="DH241" s="954"/>
      <c r="DI241" s="954"/>
      <c r="DJ241" s="921"/>
      <c r="DK241" s="954"/>
      <c r="DL241" s="954"/>
      <c r="DM241" s="921"/>
      <c r="DN241" s="954"/>
      <c r="DO241" s="954"/>
      <c r="DP241" s="921"/>
      <c r="DQ241" s="942"/>
      <c r="DR241" s="951"/>
      <c r="DS241" s="951"/>
      <c r="DT241" s="952"/>
      <c r="DV241" s="921"/>
      <c r="DW241" s="921"/>
      <c r="DX241" s="921"/>
      <c r="DY241" s="921"/>
      <c r="DZ241" s="921"/>
      <c r="EA241" s="921"/>
      <c r="EB241" s="921"/>
      <c r="EC241" s="921"/>
      <c r="ED241" s="921"/>
      <c r="EE241" s="921"/>
      <c r="EF241" s="921"/>
      <c r="EG241" s="921"/>
      <c r="EH241" s="921"/>
      <c r="EI241" s="921"/>
      <c r="EJ241" s="921"/>
      <c r="EK241" s="921"/>
      <c r="EL241" s="921"/>
      <c r="EM241" s="921"/>
      <c r="EN241" s="921"/>
      <c r="EO241" s="921"/>
      <c r="EP241" s="921"/>
      <c r="EQ241" s="954"/>
      <c r="ER241" s="954"/>
      <c r="ES241" s="954"/>
      <c r="ET241" s="954"/>
      <c r="EV241" s="942"/>
      <c r="EW241" s="951"/>
      <c r="EX241" s="951"/>
      <c r="EY241" s="952"/>
    </row>
    <row r="242" spans="1:155" s="927" customFormat="1" ht="15.75" x14ac:dyDescent="0.25">
      <c r="A242" s="931"/>
      <c r="B242" s="932" t="s">
        <v>404</v>
      </c>
      <c r="C242" s="981">
        <f t="shared" si="284"/>
        <v>119.25</v>
      </c>
      <c r="D242" s="938"/>
      <c r="E242" s="983"/>
      <c r="F242" s="936"/>
      <c r="G242" s="983"/>
      <c r="H242" s="984">
        <f t="shared" si="278"/>
        <v>1010592</v>
      </c>
      <c r="I242" s="984">
        <f t="shared" si="278"/>
        <v>1248786.5</v>
      </c>
      <c r="J242" s="937"/>
      <c r="K242" s="938"/>
      <c r="L242" s="984">
        <f t="shared" si="278"/>
        <v>0</v>
      </c>
      <c r="M242" s="937"/>
      <c r="N242" s="938"/>
      <c r="O242" s="984">
        <f t="shared" si="278"/>
        <v>7184.88</v>
      </c>
      <c r="P242" s="937"/>
      <c r="Q242" s="938"/>
      <c r="R242" s="984">
        <f t="shared" si="278"/>
        <v>26725.1</v>
      </c>
      <c r="S242" s="937"/>
      <c r="T242" s="938"/>
      <c r="U242" s="984">
        <f t="shared" si="278"/>
        <v>71106.92</v>
      </c>
      <c r="V242" s="937"/>
      <c r="W242" s="938"/>
      <c r="X242" s="984">
        <f t="shared" si="278"/>
        <v>0</v>
      </c>
      <c r="Y242" s="937"/>
      <c r="Z242" s="938"/>
      <c r="AA242" s="984">
        <f t="shared" si="278"/>
        <v>526197.55000000005</v>
      </c>
      <c r="AB242" s="937"/>
      <c r="AC242" s="938"/>
      <c r="AD242" s="984">
        <f t="shared" si="278"/>
        <v>200618.03</v>
      </c>
      <c r="AE242" s="937"/>
      <c r="AF242" s="938"/>
      <c r="AG242" s="984">
        <f t="shared" si="278"/>
        <v>8641.6</v>
      </c>
      <c r="AH242" s="937"/>
      <c r="AI242" s="938"/>
      <c r="AJ242" s="984">
        <f t="shared" si="278"/>
        <v>0</v>
      </c>
      <c r="AK242" s="937"/>
      <c r="AL242" s="938"/>
      <c r="AM242" s="984">
        <f t="shared" si="278"/>
        <v>0</v>
      </c>
      <c r="AN242" s="938"/>
      <c r="AO242" s="984">
        <f t="shared" si="278"/>
        <v>790284.29</v>
      </c>
      <c r="AP242" s="938"/>
      <c r="AQ242" s="984">
        <f t="shared" si="278"/>
        <v>4241.16</v>
      </c>
      <c r="AR242" s="984">
        <f t="shared" si="278"/>
        <v>2883786.03</v>
      </c>
      <c r="AS242" s="936"/>
      <c r="AT242" s="984">
        <f t="shared" si="278"/>
        <v>34605432.359999999</v>
      </c>
      <c r="AU242" s="984">
        <f t="shared" si="278"/>
        <v>809026.42</v>
      </c>
      <c r="AV242" s="984">
        <f t="shared" si="278"/>
        <v>346054.33</v>
      </c>
      <c r="AW242" s="984">
        <f t="shared" si="278"/>
        <v>35760513.109999999</v>
      </c>
      <c r="AX242" s="939"/>
      <c r="AY242" s="939"/>
      <c r="AZ242" s="941"/>
      <c r="BA242" s="941"/>
      <c r="BB242" s="941"/>
      <c r="BC242" s="934"/>
      <c r="BD242" s="941"/>
      <c r="BE242" s="941"/>
      <c r="BF242" s="941"/>
      <c r="BG242" s="942"/>
      <c r="BH242" s="941"/>
      <c r="BI242" s="941"/>
      <c r="BJ242" s="941"/>
      <c r="BK242" s="943"/>
      <c r="BL242" s="943"/>
      <c r="BM242" s="943"/>
      <c r="BN242" s="943"/>
      <c r="BO242" s="943"/>
      <c r="BP242" s="944"/>
      <c r="BQ242" s="943"/>
      <c r="BR242" s="943"/>
      <c r="BS242" s="943"/>
      <c r="BU242" s="945"/>
      <c r="BV242" s="946"/>
      <c r="BW242" s="947"/>
      <c r="BX242" s="945"/>
      <c r="BY242" s="947"/>
      <c r="BZ242" s="946"/>
      <c r="CA242" s="947"/>
      <c r="CB242" s="946"/>
      <c r="CC242" s="947"/>
      <c r="CD242" s="947"/>
      <c r="CE242" s="947"/>
      <c r="CF242" s="948"/>
      <c r="CG242" s="949"/>
      <c r="CH242" s="949"/>
      <c r="CI242" s="950"/>
      <c r="CJ242" s="951"/>
      <c r="CK242" s="951"/>
      <c r="CL242" s="952"/>
      <c r="CM242" s="951"/>
      <c r="CN242" s="951"/>
      <c r="CO242" s="952"/>
      <c r="CP242" s="951"/>
      <c r="CQ242" s="951"/>
      <c r="CR242" s="952"/>
      <c r="CS242" s="946"/>
      <c r="CT242" s="953"/>
      <c r="CU242" s="953"/>
      <c r="CV242" s="953"/>
      <c r="CX242" s="951"/>
      <c r="CY242" s="951"/>
      <c r="CZ242" s="952"/>
      <c r="DB242" s="954"/>
      <c r="DC242" s="954"/>
      <c r="DD242" s="921"/>
      <c r="DE242" s="954"/>
      <c r="DF242" s="954"/>
      <c r="DG242" s="921"/>
      <c r="DH242" s="954"/>
      <c r="DI242" s="954"/>
      <c r="DJ242" s="921"/>
      <c r="DK242" s="954"/>
      <c r="DL242" s="954"/>
      <c r="DM242" s="921"/>
      <c r="DN242" s="954"/>
      <c r="DO242" s="954"/>
      <c r="DP242" s="921"/>
      <c r="DQ242" s="942"/>
      <c r="DR242" s="951"/>
      <c r="DS242" s="951"/>
      <c r="DT242" s="952"/>
      <c r="DV242" s="921"/>
      <c r="DW242" s="921"/>
      <c r="DX242" s="921"/>
      <c r="DY242" s="921"/>
      <c r="DZ242" s="921"/>
      <c r="EA242" s="921"/>
      <c r="EB242" s="921"/>
      <c r="EC242" s="921"/>
      <c r="ED242" s="921"/>
      <c r="EE242" s="921"/>
      <c r="EF242" s="921"/>
      <c r="EG242" s="921"/>
      <c r="EH242" s="921"/>
      <c r="EI242" s="921"/>
      <c r="EJ242" s="921"/>
      <c r="EK242" s="921"/>
      <c r="EL242" s="921"/>
      <c r="EM242" s="921"/>
      <c r="EN242" s="921"/>
      <c r="EO242" s="921"/>
      <c r="EP242" s="921"/>
      <c r="EQ242" s="954"/>
      <c r="ER242" s="954"/>
      <c r="ES242" s="954"/>
      <c r="ET242" s="954"/>
      <c r="EV242" s="942"/>
      <c r="EW242" s="951"/>
      <c r="EX242" s="951"/>
      <c r="EY242" s="952"/>
    </row>
    <row r="243" spans="1:155" s="927" customFormat="1" ht="15.75" x14ac:dyDescent="0.25">
      <c r="A243" s="931"/>
      <c r="B243" s="932" t="s">
        <v>405</v>
      </c>
      <c r="C243" s="981">
        <f t="shared" si="284"/>
        <v>67.75</v>
      </c>
      <c r="D243" s="938"/>
      <c r="E243" s="983"/>
      <c r="F243" s="936"/>
      <c r="G243" s="983"/>
      <c r="H243" s="984">
        <f t="shared" si="278"/>
        <v>101337</v>
      </c>
      <c r="I243" s="984">
        <f t="shared" si="278"/>
        <v>329224.5</v>
      </c>
      <c r="J243" s="937"/>
      <c r="K243" s="938"/>
      <c r="L243" s="984">
        <f t="shared" si="278"/>
        <v>0</v>
      </c>
      <c r="M243" s="937"/>
      <c r="N243" s="938"/>
      <c r="O243" s="984">
        <f t="shared" si="278"/>
        <v>0</v>
      </c>
      <c r="P243" s="937"/>
      <c r="Q243" s="938"/>
      <c r="R243" s="984">
        <f t="shared" si="278"/>
        <v>0</v>
      </c>
      <c r="S243" s="937"/>
      <c r="T243" s="938"/>
      <c r="U243" s="984">
        <f t="shared" si="278"/>
        <v>32368.59</v>
      </c>
      <c r="V243" s="937"/>
      <c r="W243" s="938"/>
      <c r="X243" s="984">
        <f t="shared" si="278"/>
        <v>0</v>
      </c>
      <c r="Y243" s="937"/>
      <c r="Z243" s="938"/>
      <c r="AA243" s="984">
        <f t="shared" si="278"/>
        <v>0</v>
      </c>
      <c r="AB243" s="937"/>
      <c r="AC243" s="938"/>
      <c r="AD243" s="984">
        <f t="shared" si="278"/>
        <v>0</v>
      </c>
      <c r="AE243" s="937"/>
      <c r="AF243" s="938"/>
      <c r="AG243" s="984">
        <f t="shared" si="278"/>
        <v>0</v>
      </c>
      <c r="AH243" s="937"/>
      <c r="AI243" s="938"/>
      <c r="AJ243" s="984">
        <f t="shared" si="278"/>
        <v>0</v>
      </c>
      <c r="AK243" s="937"/>
      <c r="AL243" s="938"/>
      <c r="AM243" s="984">
        <f t="shared" si="278"/>
        <v>0</v>
      </c>
      <c r="AN243" s="938"/>
      <c r="AO243" s="984">
        <f t="shared" si="278"/>
        <v>942052.41</v>
      </c>
      <c r="AP243" s="938"/>
      <c r="AQ243" s="984">
        <f t="shared" si="278"/>
        <v>45592.47</v>
      </c>
      <c r="AR243" s="984">
        <f t="shared" si="278"/>
        <v>1349237.97</v>
      </c>
      <c r="AS243" s="936"/>
      <c r="AT243" s="984">
        <f t="shared" si="278"/>
        <v>16190855.640000001</v>
      </c>
      <c r="AU243" s="984">
        <f t="shared" si="278"/>
        <v>929712.12</v>
      </c>
      <c r="AV243" s="984">
        <f t="shared" si="278"/>
        <v>161908.54999999999</v>
      </c>
      <c r="AW243" s="984">
        <f t="shared" si="278"/>
        <v>17282476.309999999</v>
      </c>
      <c r="AX243" s="939"/>
      <c r="AY243" s="939"/>
      <c r="AZ243" s="941"/>
      <c r="BA243" s="941"/>
      <c r="BB243" s="941"/>
      <c r="BC243" s="934"/>
      <c r="BD243" s="941"/>
      <c r="BE243" s="941"/>
      <c r="BF243" s="941"/>
      <c r="BG243" s="942"/>
      <c r="BH243" s="941"/>
      <c r="BI243" s="941"/>
      <c r="BJ243" s="941"/>
      <c r="BK243" s="943"/>
      <c r="BL243" s="943"/>
      <c r="BM243" s="943"/>
      <c r="BN243" s="943"/>
      <c r="BO243" s="943"/>
      <c r="BP243" s="944"/>
      <c r="BQ243" s="943"/>
      <c r="BR243" s="943"/>
      <c r="BS243" s="943"/>
      <c r="BU243" s="945"/>
      <c r="BV243" s="946"/>
      <c r="BW243" s="947"/>
      <c r="BX243" s="945"/>
      <c r="BY243" s="947"/>
      <c r="BZ243" s="946"/>
      <c r="CA243" s="947"/>
      <c r="CB243" s="946"/>
      <c r="CC243" s="947"/>
      <c r="CD243" s="947"/>
      <c r="CE243" s="947"/>
      <c r="CF243" s="948"/>
      <c r="CG243" s="949"/>
      <c r="CH243" s="949"/>
      <c r="CI243" s="950"/>
      <c r="CJ243" s="951"/>
      <c r="CK243" s="951"/>
      <c r="CL243" s="952"/>
      <c r="CM243" s="951"/>
      <c r="CN243" s="951"/>
      <c r="CO243" s="952"/>
      <c r="CP243" s="951"/>
      <c r="CQ243" s="951"/>
      <c r="CR243" s="952"/>
      <c r="CS243" s="946"/>
      <c r="CT243" s="953"/>
      <c r="CU243" s="953"/>
      <c r="CV243" s="953"/>
      <c r="CX243" s="951"/>
      <c r="CY243" s="951"/>
      <c r="CZ243" s="952"/>
      <c r="DB243" s="954"/>
      <c r="DC243" s="954"/>
      <c r="DD243" s="921"/>
      <c r="DE243" s="954"/>
      <c r="DF243" s="954"/>
      <c r="DG243" s="921"/>
      <c r="DH243" s="954"/>
      <c r="DI243" s="954"/>
      <c r="DJ243" s="921"/>
      <c r="DK243" s="954"/>
      <c r="DL243" s="954"/>
      <c r="DM243" s="921"/>
      <c r="DN243" s="954"/>
      <c r="DO243" s="954"/>
      <c r="DP243" s="921"/>
      <c r="DQ243" s="942"/>
      <c r="DR243" s="951"/>
      <c r="DS243" s="951"/>
      <c r="DT243" s="952"/>
      <c r="DV243" s="921"/>
      <c r="DW243" s="921"/>
      <c r="DX243" s="921"/>
      <c r="DY243" s="921"/>
      <c r="DZ243" s="921"/>
      <c r="EA243" s="921"/>
      <c r="EB243" s="921"/>
      <c r="EC243" s="921"/>
      <c r="ED243" s="921"/>
      <c r="EE243" s="921"/>
      <c r="EF243" s="921"/>
      <c r="EG243" s="921"/>
      <c r="EH243" s="921"/>
      <c r="EI243" s="921"/>
      <c r="EJ243" s="921"/>
      <c r="EK243" s="921"/>
      <c r="EL243" s="921"/>
      <c r="EM243" s="921"/>
      <c r="EN243" s="921"/>
      <c r="EO243" s="921"/>
      <c r="EP243" s="921"/>
      <c r="EQ243" s="954"/>
      <c r="ER243" s="954"/>
      <c r="ES243" s="954"/>
      <c r="ET243" s="954"/>
      <c r="EV243" s="942"/>
      <c r="EW243" s="951"/>
      <c r="EX243" s="951"/>
      <c r="EY243" s="952"/>
    </row>
    <row r="244" spans="1:155" s="927" customFormat="1" ht="15.75" x14ac:dyDescent="0.25">
      <c r="A244" s="931"/>
      <c r="B244" s="932"/>
      <c r="C244" s="982">
        <f>C239-C240-C241-C242-C243</f>
        <v>0</v>
      </c>
      <c r="D244" s="938"/>
      <c r="E244" s="983"/>
      <c r="F244" s="936"/>
      <c r="G244" s="983"/>
      <c r="H244" s="985">
        <f>H239-H240-H241-H242-H243</f>
        <v>0</v>
      </c>
      <c r="I244" s="985">
        <f>I239-I240-I241-I242-I243</f>
        <v>0</v>
      </c>
      <c r="J244" s="937"/>
      <c r="K244" s="938"/>
      <c r="L244" s="985">
        <f>L239-L240-L241-L242-L243</f>
        <v>0</v>
      </c>
      <c r="M244" s="937"/>
      <c r="N244" s="938"/>
      <c r="O244" s="985">
        <f>O239-O240-O241-O242-O243</f>
        <v>0</v>
      </c>
      <c r="P244" s="937"/>
      <c r="Q244" s="938"/>
      <c r="R244" s="985">
        <f>R239-R240-R241-R242-R243</f>
        <v>0</v>
      </c>
      <c r="S244" s="937"/>
      <c r="T244" s="938"/>
      <c r="U244" s="985">
        <f>U239-U240-U241-U242-U243</f>
        <v>0</v>
      </c>
      <c r="V244" s="937"/>
      <c r="W244" s="938"/>
      <c r="X244" s="985">
        <f>X239-X240-X241-X242-X243</f>
        <v>0</v>
      </c>
      <c r="Y244" s="937"/>
      <c r="Z244" s="938"/>
      <c r="AA244" s="985">
        <f>AA239-AA240-AA241-AA242-AA243</f>
        <v>0</v>
      </c>
      <c r="AB244" s="937"/>
      <c r="AC244" s="938"/>
      <c r="AD244" s="985">
        <f>AD239-AD240-AD241-AD242-AD243</f>
        <v>0</v>
      </c>
      <c r="AE244" s="937"/>
      <c r="AF244" s="938"/>
      <c r="AG244" s="985">
        <f>AG239-AG240-AG241-AG242-AG243</f>
        <v>0</v>
      </c>
      <c r="AH244" s="937"/>
      <c r="AI244" s="938"/>
      <c r="AJ244" s="985">
        <f>AJ239-AJ240-AJ241-AJ242-AJ243</f>
        <v>0</v>
      </c>
      <c r="AK244" s="937"/>
      <c r="AL244" s="938"/>
      <c r="AM244" s="985">
        <f>AM239-AM240-AM241-AM242-AM243</f>
        <v>0</v>
      </c>
      <c r="AN244" s="938"/>
      <c r="AO244" s="985">
        <f>AO239-AO240-AO241-AO242-AO243</f>
        <v>0</v>
      </c>
      <c r="AP244" s="938"/>
      <c r="AQ244" s="985">
        <f>AQ239-AQ240-AQ241-AQ242-AQ243</f>
        <v>0</v>
      </c>
      <c r="AR244" s="985">
        <f>AR239-AR240-AR241-AR242-AR243</f>
        <v>0</v>
      </c>
      <c r="AS244" s="936"/>
      <c r="AT244" s="985">
        <f t="shared" ref="AT244:AW244" si="285">AT239-AT240-AT241-AT242-AT243</f>
        <v>0</v>
      </c>
      <c r="AU244" s="985">
        <f t="shared" si="285"/>
        <v>0</v>
      </c>
      <c r="AV244" s="985">
        <f t="shared" si="285"/>
        <v>0</v>
      </c>
      <c r="AW244" s="985">
        <f t="shared" si="285"/>
        <v>0</v>
      </c>
      <c r="AX244" s="939"/>
      <c r="AY244" s="939"/>
      <c r="AZ244" s="941"/>
      <c r="BA244" s="941"/>
      <c r="BB244" s="941"/>
      <c r="BC244" s="934"/>
      <c r="BD244" s="941"/>
      <c r="BE244" s="941"/>
      <c r="BF244" s="941"/>
      <c r="BG244" s="942"/>
      <c r="BH244" s="941"/>
      <c r="BI244" s="941"/>
      <c r="BJ244" s="941"/>
      <c r="BK244" s="943"/>
      <c r="BL244" s="943"/>
      <c r="BM244" s="943"/>
      <c r="BN244" s="943"/>
      <c r="BO244" s="943"/>
      <c r="BP244" s="944"/>
      <c r="BQ244" s="943"/>
      <c r="BR244" s="943"/>
      <c r="BS244" s="943"/>
      <c r="BU244" s="945"/>
      <c r="BV244" s="946"/>
      <c r="BW244" s="947"/>
      <c r="BX244" s="945"/>
      <c r="BY244" s="947"/>
      <c r="BZ244" s="946"/>
      <c r="CA244" s="947"/>
      <c r="CB244" s="946"/>
      <c r="CC244" s="947"/>
      <c r="CD244" s="947"/>
      <c r="CE244" s="947"/>
      <c r="CF244" s="948"/>
      <c r="CG244" s="949"/>
      <c r="CH244" s="949"/>
      <c r="CI244" s="950"/>
      <c r="CJ244" s="951"/>
      <c r="CK244" s="951"/>
      <c r="CL244" s="952"/>
      <c r="CM244" s="951"/>
      <c r="CN244" s="951"/>
      <c r="CO244" s="952"/>
      <c r="CP244" s="951"/>
      <c r="CQ244" s="951"/>
      <c r="CR244" s="952"/>
      <c r="CS244" s="946"/>
      <c r="CT244" s="953"/>
      <c r="CU244" s="953"/>
      <c r="CV244" s="953"/>
      <c r="CX244" s="951"/>
      <c r="CY244" s="951"/>
      <c r="CZ244" s="952"/>
      <c r="DB244" s="954"/>
      <c r="DC244" s="954"/>
      <c r="DD244" s="921"/>
      <c r="DE244" s="954"/>
      <c r="DF244" s="954"/>
      <c r="DG244" s="921"/>
      <c r="DH244" s="954"/>
      <c r="DI244" s="954"/>
      <c r="DJ244" s="921"/>
      <c r="DK244" s="954"/>
      <c r="DL244" s="954"/>
      <c r="DM244" s="921"/>
      <c r="DN244" s="954"/>
      <c r="DO244" s="954"/>
      <c r="DP244" s="921"/>
      <c r="DQ244" s="942"/>
      <c r="DR244" s="951"/>
      <c r="DS244" s="951"/>
      <c r="DT244" s="952"/>
      <c r="DV244" s="921"/>
      <c r="DW244" s="921"/>
      <c r="DX244" s="921"/>
      <c r="DY244" s="921"/>
      <c r="DZ244" s="921"/>
      <c r="EA244" s="921"/>
      <c r="EB244" s="921"/>
      <c r="EC244" s="921"/>
      <c r="ED244" s="921"/>
      <c r="EE244" s="921"/>
      <c r="EF244" s="921"/>
      <c r="EG244" s="921"/>
      <c r="EH244" s="921"/>
      <c r="EI244" s="921"/>
      <c r="EJ244" s="921"/>
      <c r="EK244" s="921"/>
      <c r="EL244" s="921"/>
      <c r="EM244" s="921"/>
      <c r="EN244" s="921"/>
      <c r="EO244" s="921"/>
      <c r="EP244" s="921"/>
      <c r="EQ244" s="954"/>
      <c r="ER244" s="954"/>
      <c r="ES244" s="954"/>
      <c r="ET244" s="954"/>
      <c r="EV244" s="942"/>
      <c r="EW244" s="951"/>
      <c r="EX244" s="951"/>
      <c r="EY244" s="952"/>
    </row>
    <row r="245" spans="1:155" s="927" customFormat="1" ht="15.75" x14ac:dyDescent="0.25">
      <c r="A245" s="931"/>
      <c r="B245" s="932" t="s">
        <v>806</v>
      </c>
      <c r="C245" s="933"/>
      <c r="D245" s="933"/>
      <c r="E245" s="934"/>
      <c r="F245" s="935"/>
      <c r="G245" s="934"/>
      <c r="H245" s="935"/>
      <c r="I245" s="936"/>
      <c r="J245" s="937"/>
      <c r="K245" s="938"/>
      <c r="L245" s="936"/>
      <c r="M245" s="937"/>
      <c r="N245" s="938"/>
      <c r="O245" s="936"/>
      <c r="P245" s="937"/>
      <c r="Q245" s="938"/>
      <c r="R245" s="936"/>
      <c r="S245" s="937"/>
      <c r="T245" s="938"/>
      <c r="U245" s="936"/>
      <c r="V245" s="937"/>
      <c r="W245" s="938"/>
      <c r="X245" s="936"/>
      <c r="Y245" s="937"/>
      <c r="Z245" s="938"/>
      <c r="AA245" s="936"/>
      <c r="AB245" s="937"/>
      <c r="AC245" s="938"/>
      <c r="AD245" s="936"/>
      <c r="AE245" s="937"/>
      <c r="AF245" s="938"/>
      <c r="AG245" s="936"/>
      <c r="AH245" s="937"/>
      <c r="AI245" s="938"/>
      <c r="AJ245" s="936"/>
      <c r="AK245" s="937"/>
      <c r="AL245" s="938"/>
      <c r="AM245" s="936"/>
      <c r="AN245" s="933"/>
      <c r="AO245" s="936"/>
      <c r="AP245" s="933"/>
      <c r="AQ245" s="935"/>
      <c r="AR245" s="936"/>
      <c r="AS245" s="935"/>
      <c r="AT245" s="939"/>
      <c r="AU245" s="933"/>
      <c r="AV245" s="940"/>
      <c r="AW245" s="389">
        <f>AW239/12-AO239</f>
        <v>7501841.6100000003</v>
      </c>
      <c r="AX245" s="939"/>
      <c r="AY245" s="939"/>
      <c r="AZ245" s="941"/>
      <c r="BA245" s="941"/>
      <c r="BB245" s="941"/>
      <c r="BC245" s="934"/>
      <c r="BD245" s="941"/>
      <c r="BE245" s="941"/>
      <c r="BF245" s="941"/>
      <c r="BG245" s="942"/>
      <c r="BH245" s="941"/>
      <c r="BI245" s="941"/>
      <c r="BJ245" s="941"/>
      <c r="BK245" s="943"/>
      <c r="BL245" s="943"/>
      <c r="BM245" s="943"/>
      <c r="BN245" s="943"/>
      <c r="BO245" s="943"/>
      <c r="BP245" s="944"/>
      <c r="BQ245" s="943"/>
      <c r="BR245" s="943"/>
      <c r="BS245" s="943"/>
      <c r="BU245" s="945"/>
      <c r="BV245" s="946"/>
      <c r="BW245" s="947"/>
      <c r="BX245" s="945"/>
      <c r="BY245" s="947"/>
      <c r="BZ245" s="946"/>
      <c r="CA245" s="947"/>
      <c r="CB245" s="946"/>
      <c r="CC245" s="947"/>
      <c r="CD245" s="947"/>
      <c r="CE245" s="947"/>
      <c r="CF245" s="948"/>
      <c r="CG245" s="949"/>
      <c r="CH245" s="949"/>
      <c r="CI245" s="950"/>
      <c r="CJ245" s="951"/>
      <c r="CK245" s="951"/>
      <c r="CL245" s="952"/>
      <c r="CM245" s="951"/>
      <c r="CN245" s="951"/>
      <c r="CO245" s="952"/>
      <c r="CP245" s="951"/>
      <c r="CQ245" s="951"/>
      <c r="CR245" s="952"/>
      <c r="CS245" s="946"/>
      <c r="CT245" s="953"/>
      <c r="CU245" s="953"/>
      <c r="CV245" s="953"/>
      <c r="CX245" s="951"/>
      <c r="CY245" s="951"/>
      <c r="CZ245" s="952"/>
      <c r="DB245" s="954"/>
      <c r="DC245" s="954"/>
      <c r="DD245" s="921"/>
      <c r="DE245" s="954"/>
      <c r="DF245" s="954"/>
      <c r="DG245" s="921"/>
      <c r="DH245" s="954"/>
      <c r="DI245" s="954"/>
      <c r="DJ245" s="921"/>
      <c r="DK245" s="954"/>
      <c r="DL245" s="954"/>
      <c r="DM245" s="921"/>
      <c r="DN245" s="954"/>
      <c r="DO245" s="954"/>
      <c r="DP245" s="921"/>
      <c r="DQ245" s="942"/>
      <c r="DR245" s="951"/>
      <c r="DS245" s="951"/>
      <c r="DT245" s="952"/>
      <c r="DV245" s="921"/>
      <c r="DW245" s="921"/>
      <c r="DX245" s="921"/>
      <c r="DY245" s="921"/>
      <c r="DZ245" s="921"/>
      <c r="EA245" s="921"/>
      <c r="EB245" s="921"/>
      <c r="EC245" s="921"/>
      <c r="ED245" s="921"/>
      <c r="EE245" s="921"/>
      <c r="EF245" s="921"/>
      <c r="EG245" s="921"/>
      <c r="EH245" s="921"/>
      <c r="EI245" s="921"/>
      <c r="EJ245" s="921"/>
      <c r="EK245" s="921"/>
      <c r="EL245" s="921"/>
      <c r="EM245" s="921"/>
      <c r="EN245" s="921"/>
      <c r="EO245" s="921"/>
      <c r="EP245" s="921"/>
      <c r="EQ245" s="954"/>
      <c r="ER245" s="954"/>
      <c r="ES245" s="954"/>
      <c r="ET245" s="954"/>
      <c r="EV245" s="942"/>
      <c r="EW245" s="951"/>
      <c r="EX245" s="951"/>
      <c r="EY245" s="952"/>
    </row>
    <row r="246" spans="1:155" s="927" customFormat="1" ht="15.75" x14ac:dyDescent="0.25">
      <c r="A246" s="931"/>
      <c r="B246" s="932" t="s">
        <v>406</v>
      </c>
      <c r="C246" s="933"/>
      <c r="D246" s="933"/>
      <c r="E246" s="934"/>
      <c r="F246" s="935"/>
      <c r="G246" s="934"/>
      <c r="H246" s="935"/>
      <c r="I246" s="936"/>
      <c r="J246" s="937"/>
      <c r="K246" s="938"/>
      <c r="L246" s="936"/>
      <c r="M246" s="937"/>
      <c r="N246" s="938"/>
      <c r="O246" s="936"/>
      <c r="P246" s="937"/>
      <c r="Q246" s="938"/>
      <c r="R246" s="936"/>
      <c r="S246" s="937"/>
      <c r="T246" s="938"/>
      <c r="U246" s="936"/>
      <c r="V246" s="937"/>
      <c r="W246" s="938"/>
      <c r="X246" s="936"/>
      <c r="Y246" s="937"/>
      <c r="Z246" s="938"/>
      <c r="AA246" s="936"/>
      <c r="AB246" s="937"/>
      <c r="AC246" s="938"/>
      <c r="AD246" s="936"/>
      <c r="AE246" s="937"/>
      <c r="AF246" s="938"/>
      <c r="AG246" s="936"/>
      <c r="AH246" s="937"/>
      <c r="AI246" s="938"/>
      <c r="AJ246" s="936"/>
      <c r="AK246" s="937"/>
      <c r="AL246" s="938"/>
      <c r="AM246" s="936"/>
      <c r="AN246" s="933"/>
      <c r="AO246" s="936"/>
      <c r="AP246" s="933"/>
      <c r="AQ246" s="935"/>
      <c r="AR246" s="936"/>
      <c r="AS246" s="935"/>
      <c r="AT246" s="939"/>
      <c r="AU246" s="933"/>
      <c r="AV246" s="940"/>
      <c r="AW246" s="389">
        <f>AW240/12-AO240</f>
        <v>3624309.37</v>
      </c>
      <c r="AX246" s="939"/>
      <c r="AY246" s="939"/>
      <c r="AZ246" s="941"/>
      <c r="BA246" s="941"/>
      <c r="BB246" s="941"/>
      <c r="BC246" s="934"/>
      <c r="BD246" s="941"/>
      <c r="BE246" s="941"/>
      <c r="BF246" s="941"/>
      <c r="BG246" s="942"/>
      <c r="BH246" s="941"/>
      <c r="BI246" s="941"/>
      <c r="BJ246" s="941"/>
      <c r="BK246" s="943"/>
      <c r="BL246" s="943"/>
      <c r="BM246" s="943"/>
      <c r="BN246" s="943"/>
      <c r="BO246" s="943"/>
      <c r="BP246" s="944"/>
      <c r="BQ246" s="943"/>
      <c r="BR246" s="943"/>
      <c r="BS246" s="943"/>
      <c r="BU246" s="945"/>
      <c r="BV246" s="946"/>
      <c r="BW246" s="947"/>
      <c r="BX246" s="945"/>
      <c r="BY246" s="947"/>
      <c r="BZ246" s="946"/>
      <c r="CA246" s="947"/>
      <c r="CB246" s="946"/>
      <c r="CC246" s="947"/>
      <c r="CD246" s="947"/>
      <c r="CE246" s="947"/>
      <c r="CF246" s="948"/>
      <c r="CG246" s="949"/>
      <c r="CH246" s="949"/>
      <c r="CI246" s="950"/>
      <c r="CJ246" s="951"/>
      <c r="CK246" s="951"/>
      <c r="CL246" s="952"/>
      <c r="CM246" s="951"/>
      <c r="CN246" s="951"/>
      <c r="CO246" s="952"/>
      <c r="CP246" s="951"/>
      <c r="CQ246" s="951"/>
      <c r="CR246" s="952"/>
      <c r="CS246" s="946"/>
      <c r="CT246" s="953"/>
      <c r="CU246" s="953"/>
      <c r="CV246" s="953"/>
      <c r="CX246" s="951"/>
      <c r="CY246" s="951"/>
      <c r="CZ246" s="952"/>
      <c r="DB246" s="954"/>
      <c r="DC246" s="954"/>
      <c r="DD246" s="921"/>
      <c r="DE246" s="954"/>
      <c r="DF246" s="954"/>
      <c r="DG246" s="921"/>
      <c r="DH246" s="954"/>
      <c r="DI246" s="954"/>
      <c r="DJ246" s="921"/>
      <c r="DK246" s="954"/>
      <c r="DL246" s="954"/>
      <c r="DM246" s="921"/>
      <c r="DN246" s="954"/>
      <c r="DO246" s="954"/>
      <c r="DP246" s="921"/>
      <c r="DQ246" s="942"/>
      <c r="DR246" s="951"/>
      <c r="DS246" s="951"/>
      <c r="DT246" s="952"/>
      <c r="DV246" s="921"/>
      <c r="DW246" s="921"/>
      <c r="DX246" s="921"/>
      <c r="DY246" s="921"/>
      <c r="DZ246" s="921"/>
      <c r="EA246" s="921"/>
      <c r="EB246" s="921"/>
      <c r="EC246" s="921"/>
      <c r="ED246" s="921"/>
      <c r="EE246" s="921"/>
      <c r="EF246" s="921"/>
      <c r="EG246" s="921"/>
      <c r="EH246" s="921"/>
      <c r="EI246" s="921"/>
      <c r="EJ246" s="921"/>
      <c r="EK246" s="921"/>
      <c r="EL246" s="921"/>
      <c r="EM246" s="921"/>
      <c r="EN246" s="921"/>
      <c r="EO246" s="921"/>
      <c r="EP246" s="921"/>
      <c r="EQ246" s="954"/>
      <c r="ER246" s="954"/>
      <c r="ES246" s="954"/>
      <c r="ET246" s="954"/>
      <c r="EV246" s="942"/>
      <c r="EW246" s="951"/>
      <c r="EX246" s="951"/>
      <c r="EY246" s="952"/>
    </row>
    <row r="247" spans="1:155" s="927" customFormat="1" ht="15.75" x14ac:dyDescent="0.25">
      <c r="A247" s="931"/>
      <c r="B247" s="932" t="s">
        <v>403</v>
      </c>
      <c r="C247" s="933"/>
      <c r="D247" s="933"/>
      <c r="E247" s="934"/>
      <c r="F247" s="935"/>
      <c r="G247" s="934"/>
      <c r="H247" s="935"/>
      <c r="I247" s="936"/>
      <c r="J247" s="937"/>
      <c r="K247" s="938"/>
      <c r="L247" s="936"/>
      <c r="M247" s="937"/>
      <c r="N247" s="938"/>
      <c r="O247" s="936"/>
      <c r="P247" s="937"/>
      <c r="Q247" s="938"/>
      <c r="R247" s="936"/>
      <c r="S247" s="937"/>
      <c r="T247" s="938"/>
      <c r="U247" s="936"/>
      <c r="V247" s="937"/>
      <c r="W247" s="938"/>
      <c r="X247" s="936"/>
      <c r="Y247" s="937"/>
      <c r="Z247" s="938"/>
      <c r="AA247" s="936"/>
      <c r="AB247" s="937"/>
      <c r="AC247" s="938"/>
      <c r="AD247" s="936"/>
      <c r="AE247" s="937"/>
      <c r="AF247" s="938"/>
      <c r="AG247" s="936"/>
      <c r="AH247" s="937"/>
      <c r="AI247" s="938"/>
      <c r="AJ247" s="936"/>
      <c r="AK247" s="937"/>
      <c r="AL247" s="938"/>
      <c r="AM247" s="936"/>
      <c r="AN247" s="933"/>
      <c r="AO247" s="936"/>
      <c r="AP247" s="933"/>
      <c r="AQ247" s="935"/>
      <c r="AR247" s="936"/>
      <c r="AS247" s="935"/>
      <c r="AT247" s="939"/>
      <c r="AU247" s="933"/>
      <c r="AV247" s="940"/>
      <c r="AW247" s="389">
        <f>AW241/12-AO241</f>
        <v>1189619.83</v>
      </c>
      <c r="AX247" s="939"/>
      <c r="AY247" s="939"/>
      <c r="AZ247" s="941"/>
      <c r="BA247" s="941"/>
      <c r="BB247" s="941"/>
      <c r="BC247" s="934"/>
      <c r="BD247" s="941"/>
      <c r="BE247" s="941"/>
      <c r="BF247" s="941"/>
      <c r="BG247" s="942"/>
      <c r="BH247" s="941"/>
      <c r="BI247" s="941"/>
      <c r="BJ247" s="941"/>
      <c r="BK247" s="943"/>
      <c r="BL247" s="943"/>
      <c r="BM247" s="943"/>
      <c r="BN247" s="943"/>
      <c r="BO247" s="943"/>
      <c r="BP247" s="944"/>
      <c r="BQ247" s="943"/>
      <c r="BR247" s="943"/>
      <c r="BS247" s="943"/>
      <c r="BU247" s="945"/>
      <c r="BV247" s="946"/>
      <c r="BW247" s="947"/>
      <c r="BX247" s="945"/>
      <c r="BY247" s="947"/>
      <c r="BZ247" s="946"/>
      <c r="CA247" s="947"/>
      <c r="CB247" s="946"/>
      <c r="CC247" s="947"/>
      <c r="CD247" s="947"/>
      <c r="CE247" s="947"/>
      <c r="CF247" s="948"/>
      <c r="CG247" s="949"/>
      <c r="CH247" s="949"/>
      <c r="CI247" s="950"/>
      <c r="CJ247" s="951"/>
      <c r="CK247" s="951"/>
      <c r="CL247" s="952"/>
      <c r="CM247" s="951"/>
      <c r="CN247" s="951"/>
      <c r="CO247" s="952"/>
      <c r="CP247" s="951"/>
      <c r="CQ247" s="951"/>
      <c r="CR247" s="952"/>
      <c r="CS247" s="946"/>
      <c r="CT247" s="953"/>
      <c r="CU247" s="953"/>
      <c r="CV247" s="953"/>
      <c r="CX247" s="951"/>
      <c r="CY247" s="951"/>
      <c r="CZ247" s="952"/>
      <c r="DB247" s="954"/>
      <c r="DC247" s="954"/>
      <c r="DD247" s="921"/>
      <c r="DE247" s="954"/>
      <c r="DF247" s="954"/>
      <c r="DG247" s="921"/>
      <c r="DH247" s="954"/>
      <c r="DI247" s="954"/>
      <c r="DJ247" s="921"/>
      <c r="DK247" s="954"/>
      <c r="DL247" s="954"/>
      <c r="DM247" s="921"/>
      <c r="DN247" s="954"/>
      <c r="DO247" s="954"/>
      <c r="DP247" s="921"/>
      <c r="DQ247" s="942"/>
      <c r="DR247" s="951"/>
      <c r="DS247" s="951"/>
      <c r="DT247" s="952"/>
      <c r="DV247" s="921"/>
      <c r="DW247" s="921"/>
      <c r="DX247" s="921"/>
      <c r="DY247" s="921"/>
      <c r="DZ247" s="921"/>
      <c r="EA247" s="921"/>
      <c r="EB247" s="921"/>
      <c r="EC247" s="921"/>
      <c r="ED247" s="921"/>
      <c r="EE247" s="921"/>
      <c r="EF247" s="921"/>
      <c r="EG247" s="921"/>
      <c r="EH247" s="921"/>
      <c r="EI247" s="921"/>
      <c r="EJ247" s="921"/>
      <c r="EK247" s="921"/>
      <c r="EL247" s="921"/>
      <c r="EM247" s="921"/>
      <c r="EN247" s="921"/>
      <c r="EO247" s="921"/>
      <c r="EP247" s="921"/>
      <c r="EQ247" s="954"/>
      <c r="ER247" s="954"/>
      <c r="ES247" s="954"/>
      <c r="ET247" s="954"/>
      <c r="EV247" s="942"/>
      <c r="EW247" s="951"/>
      <c r="EX247" s="951"/>
      <c r="EY247" s="952"/>
    </row>
    <row r="248" spans="1:155" s="927" customFormat="1" ht="15.75" x14ac:dyDescent="0.25">
      <c r="A248" s="931"/>
      <c r="B248" s="932" t="s">
        <v>404</v>
      </c>
      <c r="C248" s="933"/>
      <c r="D248" s="933"/>
      <c r="E248" s="934"/>
      <c r="F248" s="935"/>
      <c r="G248" s="934"/>
      <c r="H248" s="935"/>
      <c r="I248" s="936"/>
      <c r="J248" s="937"/>
      <c r="K248" s="938"/>
      <c r="L248" s="936"/>
      <c r="M248" s="937"/>
      <c r="N248" s="938"/>
      <c r="O248" s="936"/>
      <c r="P248" s="937"/>
      <c r="Q248" s="938"/>
      <c r="R248" s="936"/>
      <c r="S248" s="937"/>
      <c r="T248" s="938"/>
      <c r="U248" s="936"/>
      <c r="V248" s="937"/>
      <c r="W248" s="938"/>
      <c r="X248" s="936"/>
      <c r="Y248" s="937"/>
      <c r="Z248" s="938"/>
      <c r="AA248" s="936"/>
      <c r="AB248" s="937"/>
      <c r="AC248" s="938"/>
      <c r="AD248" s="936"/>
      <c r="AE248" s="937"/>
      <c r="AF248" s="938"/>
      <c r="AG248" s="936"/>
      <c r="AH248" s="937"/>
      <c r="AI248" s="938"/>
      <c r="AJ248" s="936"/>
      <c r="AK248" s="937"/>
      <c r="AL248" s="938"/>
      <c r="AM248" s="936"/>
      <c r="AN248" s="933"/>
      <c r="AO248" s="936"/>
      <c r="AP248" s="933"/>
      <c r="AQ248" s="935"/>
      <c r="AR248" s="936"/>
      <c r="AS248" s="935"/>
      <c r="AT248" s="939"/>
      <c r="AU248" s="933"/>
      <c r="AV248" s="940"/>
      <c r="AW248" s="389">
        <f>AW242/12-AO242</f>
        <v>2189758.4700000002</v>
      </c>
      <c r="AX248" s="939"/>
      <c r="AY248" s="939"/>
      <c r="AZ248" s="941"/>
      <c r="BA248" s="941"/>
      <c r="BB248" s="941"/>
      <c r="BC248" s="934"/>
      <c r="BD248" s="941"/>
      <c r="BE248" s="941"/>
      <c r="BF248" s="941"/>
      <c r="BG248" s="942"/>
      <c r="BH248" s="941"/>
      <c r="BI248" s="941"/>
      <c r="BJ248" s="941"/>
      <c r="BK248" s="943"/>
      <c r="BL248" s="943"/>
      <c r="BM248" s="943"/>
      <c r="BN248" s="943"/>
      <c r="BO248" s="943"/>
      <c r="BP248" s="944"/>
      <c r="BQ248" s="943"/>
      <c r="BR248" s="943"/>
      <c r="BS248" s="943"/>
      <c r="BU248" s="945"/>
      <c r="BV248" s="946"/>
      <c r="BW248" s="947"/>
      <c r="BX248" s="945"/>
      <c r="BY248" s="947"/>
      <c r="BZ248" s="946"/>
      <c r="CA248" s="947"/>
      <c r="CB248" s="946"/>
      <c r="CC248" s="947"/>
      <c r="CD248" s="947"/>
      <c r="CE248" s="947"/>
      <c r="CF248" s="948"/>
      <c r="CG248" s="949"/>
      <c r="CH248" s="949"/>
      <c r="CI248" s="950"/>
      <c r="CJ248" s="951"/>
      <c r="CK248" s="951"/>
      <c r="CL248" s="952"/>
      <c r="CM248" s="951"/>
      <c r="CN248" s="951"/>
      <c r="CO248" s="952"/>
      <c r="CP248" s="951"/>
      <c r="CQ248" s="951"/>
      <c r="CR248" s="952"/>
      <c r="CS248" s="946"/>
      <c r="CT248" s="953"/>
      <c r="CU248" s="953"/>
      <c r="CV248" s="953"/>
      <c r="CX248" s="951"/>
      <c r="CY248" s="951"/>
      <c r="CZ248" s="952"/>
      <c r="DB248" s="954"/>
      <c r="DC248" s="954"/>
      <c r="DD248" s="921"/>
      <c r="DE248" s="954"/>
      <c r="DF248" s="954"/>
      <c r="DG248" s="921"/>
      <c r="DH248" s="954"/>
      <c r="DI248" s="954"/>
      <c r="DJ248" s="921"/>
      <c r="DK248" s="954"/>
      <c r="DL248" s="954"/>
      <c r="DM248" s="921"/>
      <c r="DN248" s="954"/>
      <c r="DO248" s="954"/>
      <c r="DP248" s="921"/>
      <c r="DQ248" s="942"/>
      <c r="DR248" s="951"/>
      <c r="DS248" s="951"/>
      <c r="DT248" s="952"/>
      <c r="DV248" s="921"/>
      <c r="DW248" s="921"/>
      <c r="DX248" s="921"/>
      <c r="DY248" s="921"/>
      <c r="DZ248" s="921"/>
      <c r="EA248" s="921"/>
      <c r="EB248" s="921"/>
      <c r="EC248" s="921"/>
      <c r="ED248" s="921"/>
      <c r="EE248" s="921"/>
      <c r="EF248" s="921"/>
      <c r="EG248" s="921"/>
      <c r="EH248" s="921"/>
      <c r="EI248" s="921"/>
      <c r="EJ248" s="921"/>
      <c r="EK248" s="921"/>
      <c r="EL248" s="921"/>
      <c r="EM248" s="921"/>
      <c r="EN248" s="921"/>
      <c r="EO248" s="921"/>
      <c r="EP248" s="921"/>
      <c r="EQ248" s="954"/>
      <c r="ER248" s="954"/>
      <c r="ES248" s="954"/>
      <c r="ET248" s="954"/>
      <c r="EV248" s="942"/>
      <c r="EW248" s="951"/>
      <c r="EX248" s="951"/>
      <c r="EY248" s="952"/>
    </row>
    <row r="249" spans="1:155" s="927" customFormat="1" ht="15.75" x14ac:dyDescent="0.25">
      <c r="A249" s="931"/>
      <c r="B249" s="932" t="s">
        <v>405</v>
      </c>
      <c r="C249" s="933"/>
      <c r="D249" s="933"/>
      <c r="E249" s="934"/>
      <c r="F249" s="935"/>
      <c r="G249" s="934"/>
      <c r="H249" s="935"/>
      <c r="I249" s="936"/>
      <c r="J249" s="937"/>
      <c r="K249" s="938"/>
      <c r="L249" s="936"/>
      <c r="M249" s="937"/>
      <c r="N249" s="938"/>
      <c r="O249" s="936"/>
      <c r="P249" s="937"/>
      <c r="Q249" s="938"/>
      <c r="R249" s="936"/>
      <c r="S249" s="937"/>
      <c r="T249" s="938"/>
      <c r="U249" s="936"/>
      <c r="V249" s="937"/>
      <c r="W249" s="938"/>
      <c r="X249" s="936"/>
      <c r="Y249" s="937"/>
      <c r="Z249" s="938"/>
      <c r="AA249" s="936"/>
      <c r="AB249" s="937"/>
      <c r="AC249" s="938"/>
      <c r="AD249" s="936"/>
      <c r="AE249" s="937"/>
      <c r="AF249" s="938"/>
      <c r="AG249" s="936"/>
      <c r="AH249" s="937"/>
      <c r="AI249" s="938"/>
      <c r="AJ249" s="936"/>
      <c r="AK249" s="937"/>
      <c r="AL249" s="938"/>
      <c r="AM249" s="936"/>
      <c r="AN249" s="933"/>
      <c r="AO249" s="936"/>
      <c r="AP249" s="933"/>
      <c r="AQ249" s="935"/>
      <c r="AR249" s="936"/>
      <c r="AS249" s="935"/>
      <c r="AT249" s="939"/>
      <c r="AU249" s="933"/>
      <c r="AV249" s="940"/>
      <c r="AW249" s="389">
        <f>AW243/12-AO243</f>
        <v>498153.95</v>
      </c>
      <c r="AX249" s="939"/>
      <c r="AY249" s="939"/>
      <c r="AZ249" s="941"/>
      <c r="BA249" s="941"/>
      <c r="BB249" s="941"/>
      <c r="BC249" s="934"/>
      <c r="BD249" s="941"/>
      <c r="BE249" s="941"/>
      <c r="BF249" s="941"/>
      <c r="BG249" s="942"/>
      <c r="BH249" s="941"/>
      <c r="BI249" s="941"/>
      <c r="BJ249" s="941"/>
      <c r="BK249" s="943"/>
      <c r="BL249" s="943"/>
      <c r="BM249" s="943"/>
      <c r="BN249" s="943"/>
      <c r="BO249" s="943"/>
      <c r="BP249" s="944"/>
      <c r="BQ249" s="943"/>
      <c r="BR249" s="943"/>
      <c r="BS249" s="943"/>
      <c r="BU249" s="945"/>
      <c r="BV249" s="946"/>
      <c r="BW249" s="947"/>
      <c r="BX249" s="945"/>
      <c r="BY249" s="947"/>
      <c r="BZ249" s="946"/>
      <c r="CA249" s="947"/>
      <c r="CB249" s="946"/>
      <c r="CC249" s="947"/>
      <c r="CD249" s="947"/>
      <c r="CE249" s="947"/>
      <c r="CF249" s="948"/>
      <c r="CG249" s="949"/>
      <c r="CH249" s="949"/>
      <c r="CI249" s="950"/>
      <c r="CJ249" s="951"/>
      <c r="CK249" s="951"/>
      <c r="CL249" s="952"/>
      <c r="CM249" s="951"/>
      <c r="CN249" s="951"/>
      <c r="CO249" s="952"/>
      <c r="CP249" s="951"/>
      <c r="CQ249" s="951"/>
      <c r="CR249" s="952"/>
      <c r="CS249" s="946"/>
      <c r="CT249" s="953"/>
      <c r="CU249" s="953"/>
      <c r="CV249" s="953"/>
      <c r="CX249" s="951"/>
      <c r="CY249" s="951"/>
      <c r="CZ249" s="952"/>
      <c r="DB249" s="954"/>
      <c r="DC249" s="954"/>
      <c r="DD249" s="921"/>
      <c r="DE249" s="954"/>
      <c r="DF249" s="954"/>
      <c r="DG249" s="921"/>
      <c r="DH249" s="954"/>
      <c r="DI249" s="954"/>
      <c r="DJ249" s="921"/>
      <c r="DK249" s="954"/>
      <c r="DL249" s="954"/>
      <c r="DM249" s="921"/>
      <c r="DN249" s="954"/>
      <c r="DO249" s="954"/>
      <c r="DP249" s="921"/>
      <c r="DQ249" s="942"/>
      <c r="DR249" s="951"/>
      <c r="DS249" s="951"/>
      <c r="DT249" s="952"/>
      <c r="DV249" s="921"/>
      <c r="DW249" s="921"/>
      <c r="DX249" s="921"/>
      <c r="DY249" s="921"/>
      <c r="DZ249" s="921"/>
      <c r="EA249" s="921"/>
      <c r="EB249" s="921"/>
      <c r="EC249" s="921"/>
      <c r="ED249" s="921"/>
      <c r="EE249" s="921"/>
      <c r="EF249" s="921"/>
      <c r="EG249" s="921"/>
      <c r="EH249" s="921"/>
      <c r="EI249" s="921"/>
      <c r="EJ249" s="921"/>
      <c r="EK249" s="921"/>
      <c r="EL249" s="921"/>
      <c r="EM249" s="921"/>
      <c r="EN249" s="921"/>
      <c r="EO249" s="921"/>
      <c r="EP249" s="921"/>
      <c r="EQ249" s="954"/>
      <c r="ER249" s="954"/>
      <c r="ES249" s="954"/>
      <c r="ET249" s="954"/>
      <c r="EV249" s="942"/>
      <c r="EW249" s="951"/>
      <c r="EX249" s="951"/>
      <c r="EY249" s="952"/>
    </row>
    <row r="250" spans="1:155" s="927" customFormat="1" ht="15.75" x14ac:dyDescent="0.25">
      <c r="A250" s="931"/>
      <c r="B250" s="932" t="s">
        <v>499</v>
      </c>
      <c r="C250" s="933"/>
      <c r="D250" s="933"/>
      <c r="E250" s="934"/>
      <c r="F250" s="935"/>
      <c r="G250" s="934"/>
      <c r="H250" s="935"/>
      <c r="I250" s="936"/>
      <c r="J250" s="937"/>
      <c r="K250" s="938"/>
      <c r="L250" s="936"/>
      <c r="M250" s="937"/>
      <c r="N250" s="938"/>
      <c r="O250" s="936"/>
      <c r="P250" s="937"/>
      <c r="Q250" s="938"/>
      <c r="R250" s="936"/>
      <c r="S250" s="937"/>
      <c r="T250" s="938"/>
      <c r="U250" s="936"/>
      <c r="V250" s="937"/>
      <c r="W250" s="938"/>
      <c r="X250" s="936"/>
      <c r="Y250" s="937"/>
      <c r="Z250" s="938"/>
      <c r="AA250" s="936"/>
      <c r="AB250" s="937"/>
      <c r="AC250" s="938"/>
      <c r="AD250" s="936"/>
      <c r="AE250" s="937"/>
      <c r="AF250" s="938"/>
      <c r="AG250" s="936"/>
      <c r="AH250" s="937"/>
      <c r="AI250" s="938"/>
      <c r="AJ250" s="936"/>
      <c r="AK250" s="937"/>
      <c r="AL250" s="938"/>
      <c r="AM250" s="936"/>
      <c r="AN250" s="933"/>
      <c r="AO250" s="936"/>
      <c r="AP250" s="933"/>
      <c r="AQ250" s="935"/>
      <c r="AR250" s="936"/>
      <c r="AS250" s="935"/>
      <c r="AT250" s="939"/>
      <c r="AU250" s="933"/>
      <c r="AV250" s="940"/>
      <c r="AW250" s="986"/>
      <c r="AX250" s="939"/>
      <c r="AY250" s="939"/>
      <c r="AZ250" s="941"/>
      <c r="BA250" s="941"/>
      <c r="BB250" s="941"/>
      <c r="BC250" s="934"/>
      <c r="BD250" s="941"/>
      <c r="BE250" s="941"/>
      <c r="BF250" s="941"/>
      <c r="BG250" s="942"/>
      <c r="BH250" s="941"/>
      <c r="BI250" s="941"/>
      <c r="BJ250" s="941"/>
      <c r="BK250" s="943"/>
      <c r="BL250" s="943"/>
      <c r="BM250" s="943"/>
      <c r="BN250" s="943"/>
      <c r="BO250" s="943"/>
      <c r="BP250" s="944"/>
      <c r="BQ250" s="943"/>
      <c r="BR250" s="943"/>
      <c r="BS250" s="943"/>
      <c r="BU250" s="945"/>
      <c r="BV250" s="946"/>
      <c r="BW250" s="947"/>
      <c r="BX250" s="945"/>
      <c r="BY250" s="947"/>
      <c r="BZ250" s="946"/>
      <c r="CA250" s="947"/>
      <c r="CB250" s="946"/>
      <c r="CC250" s="947"/>
      <c r="CD250" s="947"/>
      <c r="CE250" s="947"/>
      <c r="CF250" s="948"/>
      <c r="CG250" s="949"/>
      <c r="CH250" s="949"/>
      <c r="CI250" s="950"/>
      <c r="CJ250" s="951"/>
      <c r="CK250" s="951"/>
      <c r="CL250" s="952"/>
      <c r="CM250" s="951"/>
      <c r="CN250" s="951"/>
      <c r="CO250" s="952"/>
      <c r="CP250" s="951"/>
      <c r="CQ250" s="951"/>
      <c r="CR250" s="952"/>
      <c r="CS250" s="946"/>
      <c r="CT250" s="953"/>
      <c r="CU250" s="953"/>
      <c r="CV250" s="953"/>
      <c r="CX250" s="951"/>
      <c r="CY250" s="951"/>
      <c r="CZ250" s="952"/>
      <c r="DB250" s="954"/>
      <c r="DC250" s="954"/>
      <c r="DD250" s="921"/>
      <c r="DE250" s="954"/>
      <c r="DF250" s="954"/>
      <c r="DG250" s="921"/>
      <c r="DH250" s="954"/>
      <c r="DI250" s="954"/>
      <c r="DJ250" s="921"/>
      <c r="DK250" s="954"/>
      <c r="DL250" s="954"/>
      <c r="DM250" s="921"/>
      <c r="DN250" s="954"/>
      <c r="DO250" s="954"/>
      <c r="DP250" s="921"/>
      <c r="DQ250" s="942"/>
      <c r="DR250" s="951"/>
      <c r="DS250" s="951"/>
      <c r="DT250" s="952"/>
      <c r="DV250" s="921"/>
      <c r="DW250" s="921"/>
      <c r="DX250" s="921"/>
      <c r="DY250" s="921"/>
      <c r="DZ250" s="921"/>
      <c r="EA250" s="921"/>
      <c r="EB250" s="921"/>
      <c r="EC250" s="921"/>
      <c r="ED250" s="921"/>
      <c r="EE250" s="921"/>
      <c r="EF250" s="921"/>
      <c r="EG250" s="921"/>
      <c r="EH250" s="921"/>
      <c r="EI250" s="921"/>
      <c r="EJ250" s="921"/>
      <c r="EK250" s="921"/>
      <c r="EL250" s="921"/>
      <c r="EM250" s="921"/>
      <c r="EN250" s="921"/>
      <c r="EO250" s="921"/>
      <c r="EP250" s="921"/>
      <c r="EQ250" s="954"/>
      <c r="ER250" s="954"/>
      <c r="ES250" s="954"/>
      <c r="ET250" s="954"/>
      <c r="EV250" s="942"/>
      <c r="EW250" s="951"/>
      <c r="EX250" s="951"/>
      <c r="EY250" s="952"/>
    </row>
    <row r="251" spans="1:155" s="927" customFormat="1" ht="15.75" x14ac:dyDescent="0.25">
      <c r="A251" s="931"/>
      <c r="B251" s="932" t="s">
        <v>406</v>
      </c>
      <c r="C251" s="933"/>
      <c r="D251" s="933"/>
      <c r="E251" s="934"/>
      <c r="F251" s="935"/>
      <c r="G251" s="934"/>
      <c r="H251" s="935"/>
      <c r="I251" s="936"/>
      <c r="J251" s="937"/>
      <c r="K251" s="938"/>
      <c r="L251" s="936"/>
      <c r="M251" s="937"/>
      <c r="N251" s="938"/>
      <c r="O251" s="936"/>
      <c r="P251" s="937"/>
      <c r="Q251" s="938"/>
      <c r="R251" s="936"/>
      <c r="S251" s="937"/>
      <c r="T251" s="938"/>
      <c r="U251" s="936"/>
      <c r="V251" s="937"/>
      <c r="W251" s="938"/>
      <c r="X251" s="936"/>
      <c r="Y251" s="937"/>
      <c r="Z251" s="938"/>
      <c r="AA251" s="936"/>
      <c r="AB251" s="937"/>
      <c r="AC251" s="938"/>
      <c r="AD251" s="936"/>
      <c r="AE251" s="937"/>
      <c r="AF251" s="938"/>
      <c r="AG251" s="936"/>
      <c r="AH251" s="937"/>
      <c r="AI251" s="938"/>
      <c r="AJ251" s="936"/>
      <c r="AK251" s="937"/>
      <c r="AL251" s="938"/>
      <c r="AM251" s="936"/>
      <c r="AN251" s="933"/>
      <c r="AO251" s="936"/>
      <c r="AP251" s="933"/>
      <c r="AQ251" s="935"/>
      <c r="AR251" s="936"/>
      <c r="AS251" s="935"/>
      <c r="AT251" s="939"/>
      <c r="AU251" s="933"/>
      <c r="AV251" s="940"/>
      <c r="AW251" s="336">
        <f>AW246/I240</f>
        <v>1.41039</v>
      </c>
      <c r="AX251" s="939"/>
      <c r="AY251" s="939"/>
      <c r="AZ251" s="941"/>
      <c r="BA251" s="941"/>
      <c r="BB251" s="941"/>
      <c r="BC251" s="934"/>
      <c r="BD251" s="941"/>
      <c r="BE251" s="941"/>
      <c r="BF251" s="941"/>
      <c r="BG251" s="942"/>
      <c r="BH251" s="941"/>
      <c r="BI251" s="941"/>
      <c r="BJ251" s="941"/>
      <c r="BK251" s="943"/>
      <c r="BL251" s="943"/>
      <c r="BM251" s="943"/>
      <c r="BN251" s="943"/>
      <c r="BO251" s="943"/>
      <c r="BP251" s="944"/>
      <c r="BQ251" s="943"/>
      <c r="BR251" s="943"/>
      <c r="BS251" s="943"/>
      <c r="BU251" s="945"/>
      <c r="BV251" s="946"/>
      <c r="BW251" s="947"/>
      <c r="BX251" s="945"/>
      <c r="BY251" s="947"/>
      <c r="BZ251" s="946"/>
      <c r="CA251" s="947"/>
      <c r="CB251" s="946"/>
      <c r="CC251" s="947"/>
      <c r="CD251" s="947"/>
      <c r="CE251" s="947"/>
      <c r="CF251" s="948"/>
      <c r="CG251" s="949"/>
      <c r="CH251" s="949"/>
      <c r="CI251" s="950"/>
      <c r="CJ251" s="951"/>
      <c r="CK251" s="951"/>
      <c r="CL251" s="952"/>
      <c r="CM251" s="951"/>
      <c r="CN251" s="951"/>
      <c r="CO251" s="952"/>
      <c r="CP251" s="951"/>
      <c r="CQ251" s="951"/>
      <c r="CR251" s="952"/>
      <c r="CS251" s="946"/>
      <c r="CT251" s="953"/>
      <c r="CU251" s="953"/>
      <c r="CV251" s="953"/>
      <c r="CX251" s="951"/>
      <c r="CY251" s="951"/>
      <c r="CZ251" s="952"/>
      <c r="DB251" s="954"/>
      <c r="DC251" s="954"/>
      <c r="DD251" s="921"/>
      <c r="DE251" s="954"/>
      <c r="DF251" s="954"/>
      <c r="DG251" s="921"/>
      <c r="DH251" s="954"/>
      <c r="DI251" s="954"/>
      <c r="DJ251" s="921"/>
      <c r="DK251" s="954"/>
      <c r="DL251" s="954"/>
      <c r="DM251" s="921"/>
      <c r="DN251" s="954"/>
      <c r="DO251" s="954"/>
      <c r="DP251" s="921"/>
      <c r="DQ251" s="942"/>
      <c r="DR251" s="951"/>
      <c r="DS251" s="951"/>
      <c r="DT251" s="952"/>
      <c r="DV251" s="921"/>
      <c r="DW251" s="921"/>
      <c r="DX251" s="921"/>
      <c r="DY251" s="921"/>
      <c r="DZ251" s="921"/>
      <c r="EA251" s="921"/>
      <c r="EB251" s="921"/>
      <c r="EC251" s="921"/>
      <c r="ED251" s="921"/>
      <c r="EE251" s="921"/>
      <c r="EF251" s="921"/>
      <c r="EG251" s="921"/>
      <c r="EH251" s="921"/>
      <c r="EI251" s="921"/>
      <c r="EJ251" s="921"/>
      <c r="EK251" s="921"/>
      <c r="EL251" s="921"/>
      <c r="EM251" s="921"/>
      <c r="EN251" s="921"/>
      <c r="EO251" s="921"/>
      <c r="EP251" s="921"/>
      <c r="EQ251" s="954"/>
      <c r="ER251" s="954"/>
      <c r="ES251" s="954"/>
      <c r="ET251" s="954"/>
      <c r="EV251" s="942"/>
      <c r="EW251" s="951"/>
      <c r="EX251" s="951"/>
      <c r="EY251" s="952"/>
    </row>
    <row r="252" spans="1:155" s="927" customFormat="1" ht="15.75" x14ac:dyDescent="0.25">
      <c r="A252" s="931"/>
      <c r="B252" s="932" t="s">
        <v>498</v>
      </c>
      <c r="C252" s="933"/>
      <c r="D252" s="933"/>
      <c r="E252" s="934"/>
      <c r="F252" s="935"/>
      <c r="G252" s="934"/>
      <c r="H252" s="935"/>
      <c r="I252" s="936"/>
      <c r="J252" s="937"/>
      <c r="K252" s="938"/>
      <c r="L252" s="936"/>
      <c r="M252" s="937"/>
      <c r="N252" s="938"/>
      <c r="O252" s="936"/>
      <c r="P252" s="937"/>
      <c r="Q252" s="938"/>
      <c r="R252" s="936"/>
      <c r="S252" s="937"/>
      <c r="T252" s="938"/>
      <c r="U252" s="936"/>
      <c r="V252" s="937"/>
      <c r="W252" s="938"/>
      <c r="X252" s="936"/>
      <c r="Y252" s="937"/>
      <c r="Z252" s="938"/>
      <c r="AA252" s="936"/>
      <c r="AB252" s="937"/>
      <c r="AC252" s="938"/>
      <c r="AD252" s="936"/>
      <c r="AE252" s="937"/>
      <c r="AF252" s="938"/>
      <c r="AG252" s="936"/>
      <c r="AH252" s="937"/>
      <c r="AI252" s="938"/>
      <c r="AJ252" s="936"/>
      <c r="AK252" s="937"/>
      <c r="AL252" s="938"/>
      <c r="AM252" s="936"/>
      <c r="AN252" s="933"/>
      <c r="AO252" s="936"/>
      <c r="AP252" s="933"/>
      <c r="AQ252" s="935"/>
      <c r="AR252" s="936"/>
      <c r="AS252" s="935"/>
      <c r="AT252" s="939"/>
      <c r="AU252" s="933"/>
      <c r="AV252" s="940"/>
      <c r="AW252" s="986"/>
      <c r="AX252" s="939"/>
      <c r="AY252" s="939"/>
      <c r="AZ252" s="941"/>
      <c r="BA252" s="941"/>
      <c r="BB252" s="941"/>
      <c r="BC252" s="934"/>
      <c r="BD252" s="941"/>
      <c r="BE252" s="941"/>
      <c r="BF252" s="941"/>
      <c r="BG252" s="942"/>
      <c r="BH252" s="941"/>
      <c r="BI252" s="941"/>
      <c r="BJ252" s="941"/>
      <c r="BK252" s="943"/>
      <c r="BL252" s="943"/>
      <c r="BM252" s="943"/>
      <c r="BN252" s="943"/>
      <c r="BO252" s="943"/>
      <c r="BP252" s="944"/>
      <c r="BQ252" s="943"/>
      <c r="BR252" s="943"/>
      <c r="BS252" s="943"/>
      <c r="BU252" s="945"/>
      <c r="BV252" s="946"/>
      <c r="BW252" s="947"/>
      <c r="BX252" s="945"/>
      <c r="BY252" s="947"/>
      <c r="BZ252" s="946"/>
      <c r="CA252" s="947"/>
      <c r="CB252" s="946"/>
      <c r="CC252" s="947"/>
      <c r="CD252" s="947"/>
      <c r="CE252" s="947"/>
      <c r="CF252" s="948"/>
      <c r="CG252" s="949"/>
      <c r="CH252" s="949"/>
      <c r="CI252" s="950"/>
      <c r="CJ252" s="951"/>
      <c r="CK252" s="951"/>
      <c r="CL252" s="952"/>
      <c r="CM252" s="951"/>
      <c r="CN252" s="951"/>
      <c r="CO252" s="952"/>
      <c r="CP252" s="951"/>
      <c r="CQ252" s="951"/>
      <c r="CR252" s="952"/>
      <c r="CS252" s="946"/>
      <c r="CT252" s="953"/>
      <c r="CU252" s="953"/>
      <c r="CV252" s="953"/>
      <c r="CX252" s="951"/>
      <c r="CY252" s="951"/>
      <c r="CZ252" s="952"/>
      <c r="DB252" s="954"/>
      <c r="DC252" s="954"/>
      <c r="DD252" s="921"/>
      <c r="DE252" s="954"/>
      <c r="DF252" s="954"/>
      <c r="DG252" s="921"/>
      <c r="DH252" s="954"/>
      <c r="DI252" s="954"/>
      <c r="DJ252" s="921"/>
      <c r="DK252" s="954"/>
      <c r="DL252" s="954"/>
      <c r="DM252" s="921"/>
      <c r="DN252" s="954"/>
      <c r="DO252" s="954"/>
      <c r="DP252" s="921"/>
      <c r="DQ252" s="942"/>
      <c r="DR252" s="951"/>
      <c r="DS252" s="951"/>
      <c r="DT252" s="952"/>
      <c r="DV252" s="921"/>
      <c r="DW252" s="921"/>
      <c r="DX252" s="921"/>
      <c r="DY252" s="921"/>
      <c r="DZ252" s="921"/>
      <c r="EA252" s="921"/>
      <c r="EB252" s="921"/>
      <c r="EC252" s="921"/>
      <c r="ED252" s="921"/>
      <c r="EE252" s="921"/>
      <c r="EF252" s="921"/>
      <c r="EG252" s="921"/>
      <c r="EH252" s="921"/>
      <c r="EI252" s="921"/>
      <c r="EJ252" s="921"/>
      <c r="EK252" s="921"/>
      <c r="EL252" s="921"/>
      <c r="EM252" s="921"/>
      <c r="EN252" s="921"/>
      <c r="EO252" s="921"/>
      <c r="EP252" s="921"/>
      <c r="EQ252" s="954"/>
      <c r="ER252" s="954"/>
      <c r="ES252" s="954"/>
      <c r="ET252" s="954"/>
      <c r="EV252" s="942"/>
      <c r="EW252" s="951"/>
      <c r="EX252" s="951"/>
      <c r="EY252" s="952"/>
    </row>
    <row r="253" spans="1:155" s="927" customFormat="1" ht="15.75" x14ac:dyDescent="0.25">
      <c r="A253" s="931"/>
      <c r="B253" s="932" t="s">
        <v>403</v>
      </c>
      <c r="C253" s="933"/>
      <c r="D253" s="933"/>
      <c r="E253" s="934"/>
      <c r="F253" s="935"/>
      <c r="G253" s="934"/>
      <c r="H253" s="935"/>
      <c r="I253" s="936"/>
      <c r="J253" s="937"/>
      <c r="K253" s="938"/>
      <c r="L253" s="936"/>
      <c r="M253" s="937"/>
      <c r="N253" s="938"/>
      <c r="O253" s="936"/>
      <c r="P253" s="937"/>
      <c r="Q253" s="938"/>
      <c r="R253" s="936"/>
      <c r="S253" s="937"/>
      <c r="T253" s="938"/>
      <c r="U253" s="936"/>
      <c r="V253" s="937"/>
      <c r="W253" s="938"/>
      <c r="X253" s="936"/>
      <c r="Y253" s="937"/>
      <c r="Z253" s="938"/>
      <c r="AA253" s="936"/>
      <c r="AB253" s="937"/>
      <c r="AC253" s="938"/>
      <c r="AD253" s="936"/>
      <c r="AE253" s="937"/>
      <c r="AF253" s="938"/>
      <c r="AG253" s="936"/>
      <c r="AH253" s="937"/>
      <c r="AI253" s="938"/>
      <c r="AJ253" s="936"/>
      <c r="AK253" s="937"/>
      <c r="AL253" s="938"/>
      <c r="AM253" s="936"/>
      <c r="AN253" s="933"/>
      <c r="AO253" s="936"/>
      <c r="AP253" s="933"/>
      <c r="AQ253" s="935"/>
      <c r="AR253" s="936"/>
      <c r="AS253" s="935"/>
      <c r="AT253" s="939"/>
      <c r="AU253" s="933"/>
      <c r="AV253" s="940"/>
      <c r="AW253" s="337">
        <f>AW247/AW246</f>
        <v>0.32823000000000002</v>
      </c>
      <c r="AX253" s="939"/>
      <c r="AY253" s="939"/>
      <c r="AZ253" s="941"/>
      <c r="BA253" s="941"/>
      <c r="BB253" s="941"/>
      <c r="BC253" s="934"/>
      <c r="BD253" s="941"/>
      <c r="BE253" s="941"/>
      <c r="BF253" s="941"/>
      <c r="BG253" s="942"/>
      <c r="BH253" s="941"/>
      <c r="BI253" s="941"/>
      <c r="BJ253" s="941"/>
      <c r="BK253" s="943"/>
      <c r="BL253" s="943"/>
      <c r="BM253" s="943"/>
      <c r="BN253" s="943"/>
      <c r="BO253" s="943"/>
      <c r="BP253" s="944"/>
      <c r="BQ253" s="943"/>
      <c r="BR253" s="943"/>
      <c r="BS253" s="943"/>
      <c r="BU253" s="945"/>
      <c r="BV253" s="946"/>
      <c r="BW253" s="947"/>
      <c r="BX253" s="945"/>
      <c r="BY253" s="947"/>
      <c r="BZ253" s="946"/>
      <c r="CA253" s="947"/>
      <c r="CB253" s="946"/>
      <c r="CC253" s="947"/>
      <c r="CD253" s="947"/>
      <c r="CE253" s="947"/>
      <c r="CF253" s="948"/>
      <c r="CG253" s="949"/>
      <c r="CH253" s="949"/>
      <c r="CI253" s="950"/>
      <c r="CJ253" s="951"/>
      <c r="CK253" s="951"/>
      <c r="CL253" s="952"/>
      <c r="CM253" s="951"/>
      <c r="CN253" s="951"/>
      <c r="CO253" s="952"/>
      <c r="CP253" s="951"/>
      <c r="CQ253" s="951"/>
      <c r="CR253" s="952"/>
      <c r="CS253" s="946"/>
      <c r="CT253" s="953"/>
      <c r="CU253" s="953"/>
      <c r="CV253" s="953"/>
      <c r="CX253" s="951"/>
      <c r="CY253" s="951"/>
      <c r="CZ253" s="952"/>
      <c r="DB253" s="954"/>
      <c r="DC253" s="954"/>
      <c r="DD253" s="921"/>
      <c r="DE253" s="954"/>
      <c r="DF253" s="954"/>
      <c r="DG253" s="921"/>
      <c r="DH253" s="954"/>
      <c r="DI253" s="954"/>
      <c r="DJ253" s="921"/>
      <c r="DK253" s="954"/>
      <c r="DL253" s="954"/>
      <c r="DM253" s="921"/>
      <c r="DN253" s="954"/>
      <c r="DO253" s="954"/>
      <c r="DP253" s="921"/>
      <c r="DQ253" s="942"/>
      <c r="DR253" s="951"/>
      <c r="DS253" s="951"/>
      <c r="DT253" s="952"/>
      <c r="DV253" s="921"/>
      <c r="DW253" s="921"/>
      <c r="DX253" s="921"/>
      <c r="DY253" s="921"/>
      <c r="DZ253" s="921"/>
      <c r="EA253" s="921"/>
      <c r="EB253" s="921"/>
      <c r="EC253" s="921"/>
      <c r="ED253" s="921"/>
      <c r="EE253" s="921"/>
      <c r="EF253" s="921"/>
      <c r="EG253" s="921"/>
      <c r="EH253" s="921"/>
      <c r="EI253" s="921"/>
      <c r="EJ253" s="921"/>
      <c r="EK253" s="921"/>
      <c r="EL253" s="921"/>
      <c r="EM253" s="921"/>
      <c r="EN253" s="921"/>
      <c r="EO253" s="921"/>
      <c r="EP253" s="921"/>
      <c r="EQ253" s="954"/>
      <c r="ER253" s="954"/>
      <c r="ES253" s="954"/>
      <c r="ET253" s="954"/>
      <c r="EV253" s="942"/>
      <c r="EW253" s="951"/>
      <c r="EX253" s="951"/>
      <c r="EY253" s="952"/>
    </row>
    <row r="254" spans="1:155" s="927" customFormat="1" ht="15.75" x14ac:dyDescent="0.25">
      <c r="A254" s="931"/>
      <c r="B254" s="932" t="s">
        <v>404</v>
      </c>
      <c r="C254" s="933"/>
      <c r="D254" s="933"/>
      <c r="E254" s="934"/>
      <c r="F254" s="935"/>
      <c r="G254" s="934"/>
      <c r="H254" s="935"/>
      <c r="I254" s="936"/>
      <c r="J254" s="937"/>
      <c r="K254" s="938"/>
      <c r="L254" s="936"/>
      <c r="M254" s="937"/>
      <c r="N254" s="938"/>
      <c r="O254" s="936"/>
      <c r="P254" s="937"/>
      <c r="Q254" s="938"/>
      <c r="R254" s="936"/>
      <c r="S254" s="937"/>
      <c r="T254" s="938"/>
      <c r="U254" s="936"/>
      <c r="V254" s="937"/>
      <c r="W254" s="938"/>
      <c r="X254" s="936"/>
      <c r="Y254" s="937"/>
      <c r="Z254" s="938"/>
      <c r="AA254" s="936"/>
      <c r="AB254" s="937"/>
      <c r="AC254" s="938"/>
      <c r="AD254" s="936"/>
      <c r="AE254" s="937"/>
      <c r="AF254" s="938"/>
      <c r="AG254" s="936"/>
      <c r="AH254" s="937"/>
      <c r="AI254" s="938"/>
      <c r="AJ254" s="936"/>
      <c r="AK254" s="937"/>
      <c r="AL254" s="938"/>
      <c r="AM254" s="936"/>
      <c r="AN254" s="933"/>
      <c r="AO254" s="936"/>
      <c r="AP254" s="933"/>
      <c r="AQ254" s="935"/>
      <c r="AR254" s="936"/>
      <c r="AS254" s="935"/>
      <c r="AT254" s="939"/>
      <c r="AU254" s="933"/>
      <c r="AV254" s="940"/>
      <c r="AW254" s="338">
        <f>AW248/AW246</f>
        <v>0.60419</v>
      </c>
      <c r="AX254" s="939"/>
      <c r="AY254" s="939"/>
      <c r="AZ254" s="941"/>
      <c r="BA254" s="941"/>
      <c r="BB254" s="941"/>
      <c r="BC254" s="934"/>
      <c r="BD254" s="941"/>
      <c r="BE254" s="941"/>
      <c r="BF254" s="941"/>
      <c r="BG254" s="942"/>
      <c r="BH254" s="941"/>
      <c r="BI254" s="941"/>
      <c r="BJ254" s="941"/>
      <c r="BK254" s="943"/>
      <c r="BL254" s="943"/>
      <c r="BM254" s="943"/>
      <c r="BN254" s="943"/>
      <c r="BO254" s="943"/>
      <c r="BP254" s="944"/>
      <c r="BQ254" s="943"/>
      <c r="BR254" s="943"/>
      <c r="BS254" s="943"/>
      <c r="BU254" s="945"/>
      <c r="BV254" s="946"/>
      <c r="BW254" s="947"/>
      <c r="BX254" s="945"/>
      <c r="BY254" s="947"/>
      <c r="BZ254" s="946"/>
      <c r="CA254" s="947"/>
      <c r="CB254" s="946"/>
      <c r="CC254" s="947"/>
      <c r="CD254" s="947"/>
      <c r="CE254" s="947"/>
      <c r="CF254" s="948"/>
      <c r="CG254" s="949"/>
      <c r="CH254" s="949"/>
      <c r="CI254" s="950"/>
      <c r="CJ254" s="951"/>
      <c r="CK254" s="951"/>
      <c r="CL254" s="952"/>
      <c r="CM254" s="951"/>
      <c r="CN254" s="951"/>
      <c r="CO254" s="952"/>
      <c r="CP254" s="951"/>
      <c r="CQ254" s="951"/>
      <c r="CR254" s="952"/>
      <c r="CS254" s="946"/>
      <c r="CT254" s="953"/>
      <c r="CU254" s="953"/>
      <c r="CV254" s="953"/>
      <c r="CX254" s="951"/>
      <c r="CY254" s="951"/>
      <c r="CZ254" s="952"/>
      <c r="DB254" s="954"/>
      <c r="DC254" s="954"/>
      <c r="DD254" s="921"/>
      <c r="DE254" s="954"/>
      <c r="DF254" s="954"/>
      <c r="DG254" s="921"/>
      <c r="DH254" s="954"/>
      <c r="DI254" s="954"/>
      <c r="DJ254" s="921"/>
      <c r="DK254" s="954"/>
      <c r="DL254" s="954"/>
      <c r="DM254" s="921"/>
      <c r="DN254" s="954"/>
      <c r="DO254" s="954"/>
      <c r="DP254" s="921"/>
      <c r="DQ254" s="942"/>
      <c r="DR254" s="951"/>
      <c r="DS254" s="951"/>
      <c r="DT254" s="952"/>
      <c r="DV254" s="921"/>
      <c r="DW254" s="921"/>
      <c r="DX254" s="921"/>
      <c r="DY254" s="921"/>
      <c r="DZ254" s="921"/>
      <c r="EA254" s="921"/>
      <c r="EB254" s="921"/>
      <c r="EC254" s="921"/>
      <c r="ED254" s="921"/>
      <c r="EE254" s="921"/>
      <c r="EF254" s="921"/>
      <c r="EG254" s="921"/>
      <c r="EH254" s="921"/>
      <c r="EI254" s="921"/>
      <c r="EJ254" s="921"/>
      <c r="EK254" s="921"/>
      <c r="EL254" s="921"/>
      <c r="EM254" s="921"/>
      <c r="EN254" s="921"/>
      <c r="EO254" s="921"/>
      <c r="EP254" s="921"/>
      <c r="EQ254" s="954"/>
      <c r="ER254" s="954"/>
      <c r="ES254" s="954"/>
      <c r="ET254" s="954"/>
      <c r="EV254" s="942"/>
      <c r="EW254" s="951"/>
      <c r="EX254" s="951"/>
      <c r="EY254" s="952"/>
    </row>
    <row r="255" spans="1:155" s="927" customFormat="1" ht="15.75" x14ac:dyDescent="0.25">
      <c r="A255" s="931"/>
      <c r="B255" s="932" t="s">
        <v>405</v>
      </c>
      <c r="C255" s="933"/>
      <c r="D255" s="933"/>
      <c r="E255" s="934"/>
      <c r="F255" s="935"/>
      <c r="G255" s="934"/>
      <c r="H255" s="935"/>
      <c r="I255" s="936"/>
      <c r="J255" s="937"/>
      <c r="K255" s="938"/>
      <c r="L255" s="936"/>
      <c r="M255" s="937"/>
      <c r="N255" s="938"/>
      <c r="O255" s="936"/>
      <c r="P255" s="937"/>
      <c r="Q255" s="938"/>
      <c r="R255" s="936"/>
      <c r="S255" s="937"/>
      <c r="T255" s="938"/>
      <c r="U255" s="936"/>
      <c r="V255" s="937"/>
      <c r="W255" s="938"/>
      <c r="X255" s="936"/>
      <c r="Y255" s="937"/>
      <c r="Z255" s="938"/>
      <c r="AA255" s="936"/>
      <c r="AB255" s="937"/>
      <c r="AC255" s="938"/>
      <c r="AD255" s="936"/>
      <c r="AE255" s="937"/>
      <c r="AF255" s="938"/>
      <c r="AG255" s="936"/>
      <c r="AH255" s="937"/>
      <c r="AI255" s="938"/>
      <c r="AJ255" s="936"/>
      <c r="AK255" s="937"/>
      <c r="AL255" s="938"/>
      <c r="AM255" s="936"/>
      <c r="AN255" s="933"/>
      <c r="AO255" s="936"/>
      <c r="AP255" s="933"/>
      <c r="AQ255" s="935"/>
      <c r="AR255" s="936"/>
      <c r="AS255" s="935"/>
      <c r="AT255" s="939"/>
      <c r="AU255" s="933"/>
      <c r="AV255" s="940"/>
      <c r="AW255" s="339">
        <f>AW249/AW246</f>
        <v>0.13744999999999999</v>
      </c>
      <c r="AX255" s="939"/>
      <c r="AY255" s="939"/>
      <c r="AZ255" s="941"/>
      <c r="BA255" s="941"/>
      <c r="BB255" s="941"/>
      <c r="BC255" s="934"/>
      <c r="BD255" s="941"/>
      <c r="BE255" s="941"/>
      <c r="BF255" s="941"/>
      <c r="BG255" s="942"/>
      <c r="BH255" s="941"/>
      <c r="BI255" s="941"/>
      <c r="BJ255" s="941"/>
      <c r="BK255" s="943"/>
      <c r="BL255" s="943"/>
      <c r="BM255" s="943"/>
      <c r="BN255" s="943"/>
      <c r="BO255" s="943"/>
      <c r="BP255" s="944"/>
      <c r="BQ255" s="943"/>
      <c r="BR255" s="943"/>
      <c r="BS255" s="943"/>
      <c r="BU255" s="945"/>
      <c r="BV255" s="946"/>
      <c r="BW255" s="947"/>
      <c r="BX255" s="945"/>
      <c r="BY255" s="947"/>
      <c r="BZ255" s="946"/>
      <c r="CA255" s="947"/>
      <c r="CB255" s="946"/>
      <c r="CC255" s="947"/>
      <c r="CD255" s="947"/>
      <c r="CE255" s="947"/>
      <c r="CF255" s="948"/>
      <c r="CG255" s="949"/>
      <c r="CH255" s="949"/>
      <c r="CI255" s="950"/>
      <c r="CJ255" s="951"/>
      <c r="CK255" s="951"/>
      <c r="CL255" s="952"/>
      <c r="CM255" s="951"/>
      <c r="CN255" s="951"/>
      <c r="CO255" s="952"/>
      <c r="CP255" s="951"/>
      <c r="CQ255" s="951"/>
      <c r="CR255" s="952"/>
      <c r="CS255" s="946"/>
      <c r="CT255" s="953"/>
      <c r="CU255" s="953"/>
      <c r="CV255" s="953"/>
      <c r="CX255" s="951"/>
      <c r="CY255" s="951"/>
      <c r="CZ255" s="952"/>
      <c r="DB255" s="954"/>
      <c r="DC255" s="954"/>
      <c r="DD255" s="921"/>
      <c r="DE255" s="954"/>
      <c r="DF255" s="954"/>
      <c r="DG255" s="921"/>
      <c r="DH255" s="954"/>
      <c r="DI255" s="954"/>
      <c r="DJ255" s="921"/>
      <c r="DK255" s="954"/>
      <c r="DL255" s="954"/>
      <c r="DM255" s="921"/>
      <c r="DN255" s="954"/>
      <c r="DO255" s="954"/>
      <c r="DP255" s="921"/>
      <c r="DQ255" s="942"/>
      <c r="DR255" s="951"/>
      <c r="DS255" s="951"/>
      <c r="DT255" s="952"/>
      <c r="DV255" s="921"/>
      <c r="DW255" s="921"/>
      <c r="DX255" s="921"/>
      <c r="DY255" s="921"/>
      <c r="DZ255" s="921"/>
      <c r="EA255" s="921"/>
      <c r="EB255" s="921"/>
      <c r="EC255" s="921"/>
      <c r="ED255" s="921"/>
      <c r="EE255" s="921"/>
      <c r="EF255" s="921"/>
      <c r="EG255" s="921"/>
      <c r="EH255" s="921"/>
      <c r="EI255" s="921"/>
      <c r="EJ255" s="921"/>
      <c r="EK255" s="921"/>
      <c r="EL255" s="921"/>
      <c r="EM255" s="921"/>
      <c r="EN255" s="921"/>
      <c r="EO255" s="921"/>
      <c r="EP255" s="921"/>
      <c r="EQ255" s="954"/>
      <c r="ER255" s="954"/>
      <c r="ES255" s="954"/>
      <c r="ET255" s="954"/>
      <c r="EV255" s="942"/>
      <c r="EW255" s="951"/>
      <c r="EX255" s="951"/>
      <c r="EY255" s="952"/>
    </row>
    <row r="256" spans="1:155" s="927" customFormat="1" ht="15.75" x14ac:dyDescent="0.25">
      <c r="A256" s="931"/>
      <c r="B256" s="932" t="s">
        <v>807</v>
      </c>
      <c r="C256" s="933"/>
      <c r="D256" s="933"/>
      <c r="E256" s="934"/>
      <c r="F256" s="935"/>
      <c r="G256" s="934"/>
      <c r="H256" s="935"/>
      <c r="I256" s="936"/>
      <c r="J256" s="937"/>
      <c r="K256" s="938"/>
      <c r="L256" s="936"/>
      <c r="M256" s="937"/>
      <c r="N256" s="938"/>
      <c r="O256" s="936"/>
      <c r="P256" s="937"/>
      <c r="Q256" s="938"/>
      <c r="R256" s="936"/>
      <c r="S256" s="937"/>
      <c r="T256" s="938"/>
      <c r="U256" s="936"/>
      <c r="V256" s="937"/>
      <c r="W256" s="938"/>
      <c r="X256" s="936"/>
      <c r="Y256" s="937"/>
      <c r="Z256" s="938"/>
      <c r="AA256" s="936"/>
      <c r="AB256" s="937"/>
      <c r="AC256" s="938"/>
      <c r="AD256" s="936"/>
      <c r="AE256" s="937"/>
      <c r="AF256" s="938"/>
      <c r="AG256" s="936"/>
      <c r="AH256" s="937"/>
      <c r="AI256" s="938"/>
      <c r="AJ256" s="936"/>
      <c r="AK256" s="937"/>
      <c r="AL256" s="938"/>
      <c r="AM256" s="936"/>
      <c r="AN256" s="933"/>
      <c r="AO256" s="936"/>
      <c r="AP256" s="933"/>
      <c r="AQ256" s="935"/>
      <c r="AR256" s="936"/>
      <c r="AS256" s="935"/>
      <c r="AT256" s="939"/>
      <c r="AU256" s="933"/>
      <c r="AV256" s="940"/>
      <c r="AW256" s="335">
        <f>(AW239/12)/AW245</f>
        <v>1.2410600000000001</v>
      </c>
      <c r="AX256" s="939"/>
      <c r="AY256" s="939"/>
      <c r="AZ256" s="941"/>
      <c r="BA256" s="941"/>
      <c r="BB256" s="941"/>
      <c r="BC256" s="934"/>
      <c r="BD256" s="941"/>
      <c r="BE256" s="941"/>
      <c r="BF256" s="941"/>
      <c r="BG256" s="942"/>
      <c r="BH256" s="941"/>
      <c r="BI256" s="941"/>
      <c r="BJ256" s="941"/>
      <c r="BK256" s="943"/>
      <c r="BL256" s="943"/>
      <c r="BM256" s="943"/>
      <c r="BN256" s="943"/>
      <c r="BO256" s="943"/>
      <c r="BP256" s="944"/>
      <c r="BQ256" s="943"/>
      <c r="BR256" s="943"/>
      <c r="BS256" s="943"/>
      <c r="BU256" s="945"/>
      <c r="BV256" s="946"/>
      <c r="BW256" s="947"/>
      <c r="BX256" s="945"/>
      <c r="BY256" s="947"/>
      <c r="BZ256" s="946"/>
      <c r="CA256" s="947"/>
      <c r="CB256" s="946"/>
      <c r="CC256" s="947"/>
      <c r="CD256" s="947"/>
      <c r="CE256" s="947"/>
      <c r="CF256" s="948"/>
      <c r="CG256" s="949"/>
      <c r="CH256" s="949"/>
      <c r="CI256" s="950"/>
      <c r="CJ256" s="951"/>
      <c r="CK256" s="951"/>
      <c r="CL256" s="952"/>
      <c r="CM256" s="951"/>
      <c r="CN256" s="951"/>
      <c r="CO256" s="952"/>
      <c r="CP256" s="951"/>
      <c r="CQ256" s="951"/>
      <c r="CR256" s="952"/>
      <c r="CS256" s="946"/>
      <c r="CT256" s="953"/>
      <c r="CU256" s="953"/>
      <c r="CV256" s="953"/>
      <c r="CX256" s="951"/>
      <c r="CY256" s="951"/>
      <c r="CZ256" s="952"/>
      <c r="DB256" s="954"/>
      <c r="DC256" s="954"/>
      <c r="DD256" s="921"/>
      <c r="DE256" s="954"/>
      <c r="DF256" s="954"/>
      <c r="DG256" s="921"/>
      <c r="DH256" s="954"/>
      <c r="DI256" s="954"/>
      <c r="DJ256" s="921"/>
      <c r="DK256" s="954"/>
      <c r="DL256" s="954"/>
      <c r="DM256" s="921"/>
      <c r="DN256" s="954"/>
      <c r="DO256" s="954"/>
      <c r="DP256" s="921"/>
      <c r="DQ256" s="942"/>
      <c r="DR256" s="951"/>
      <c r="DS256" s="951"/>
      <c r="DT256" s="952"/>
      <c r="DV256" s="921"/>
      <c r="DW256" s="921"/>
      <c r="DX256" s="921"/>
      <c r="DY256" s="921"/>
      <c r="DZ256" s="921"/>
      <c r="EA256" s="921"/>
      <c r="EB256" s="921"/>
      <c r="EC256" s="921"/>
      <c r="ED256" s="921"/>
      <c r="EE256" s="921"/>
      <c r="EF256" s="921"/>
      <c r="EG256" s="921"/>
      <c r="EH256" s="921"/>
      <c r="EI256" s="921"/>
      <c r="EJ256" s="921"/>
      <c r="EK256" s="921"/>
      <c r="EL256" s="921"/>
      <c r="EM256" s="921"/>
      <c r="EN256" s="921"/>
      <c r="EO256" s="921"/>
      <c r="EP256" s="921"/>
      <c r="EQ256" s="954"/>
      <c r="ER256" s="954"/>
      <c r="ES256" s="954"/>
      <c r="ET256" s="954"/>
      <c r="EV256" s="942"/>
      <c r="EW256" s="951"/>
      <c r="EX256" s="951"/>
      <c r="EY256" s="952"/>
    </row>
    <row r="257" spans="1:155" s="927" customFormat="1" ht="15.75" x14ac:dyDescent="0.25">
      <c r="A257" s="931"/>
      <c r="B257" s="932"/>
      <c r="C257" s="933"/>
      <c r="D257" s="933"/>
      <c r="E257" s="934"/>
      <c r="F257" s="935"/>
      <c r="G257" s="934"/>
      <c r="H257" s="935"/>
      <c r="I257" s="936"/>
      <c r="J257" s="937"/>
      <c r="K257" s="938"/>
      <c r="L257" s="936"/>
      <c r="M257" s="937"/>
      <c r="N257" s="938"/>
      <c r="O257" s="936"/>
      <c r="P257" s="937"/>
      <c r="Q257" s="938"/>
      <c r="R257" s="936"/>
      <c r="S257" s="937"/>
      <c r="T257" s="938"/>
      <c r="U257" s="936"/>
      <c r="V257" s="937"/>
      <c r="W257" s="938"/>
      <c r="X257" s="936"/>
      <c r="Y257" s="937"/>
      <c r="Z257" s="938"/>
      <c r="AA257" s="936"/>
      <c r="AB257" s="937"/>
      <c r="AC257" s="938"/>
      <c r="AD257" s="936"/>
      <c r="AE257" s="937"/>
      <c r="AF257" s="938"/>
      <c r="AG257" s="936"/>
      <c r="AH257" s="937"/>
      <c r="AI257" s="938"/>
      <c r="AJ257" s="936"/>
      <c r="AK257" s="937"/>
      <c r="AL257" s="938"/>
      <c r="AM257" s="936"/>
      <c r="AN257" s="933"/>
      <c r="AO257" s="936"/>
      <c r="AP257" s="933"/>
      <c r="AQ257" s="935"/>
      <c r="AR257" s="936"/>
      <c r="AS257" s="935"/>
      <c r="AT257" s="939"/>
      <c r="AU257" s="933"/>
      <c r="AV257" s="940"/>
      <c r="AW257" s="939"/>
      <c r="AX257" s="939"/>
      <c r="AY257" s="939"/>
      <c r="AZ257" s="941"/>
      <c r="BA257" s="941"/>
      <c r="BB257" s="941"/>
      <c r="BC257" s="934"/>
      <c r="BD257" s="941"/>
      <c r="BE257" s="941"/>
      <c r="BF257" s="941"/>
      <c r="BG257" s="942"/>
      <c r="BH257" s="941"/>
      <c r="BI257" s="941"/>
      <c r="BJ257" s="941"/>
      <c r="BK257" s="943"/>
      <c r="BL257" s="943"/>
      <c r="BM257" s="943"/>
      <c r="BN257" s="943"/>
      <c r="BO257" s="943"/>
      <c r="BP257" s="944"/>
      <c r="BQ257" s="943"/>
      <c r="BR257" s="943"/>
      <c r="BS257" s="943"/>
      <c r="BU257" s="945"/>
      <c r="BV257" s="946"/>
      <c r="BW257" s="947"/>
      <c r="BX257" s="945"/>
      <c r="BY257" s="947"/>
      <c r="BZ257" s="946"/>
      <c r="CA257" s="947"/>
      <c r="CB257" s="946"/>
      <c r="CC257" s="947"/>
      <c r="CD257" s="947"/>
      <c r="CE257" s="947"/>
      <c r="CF257" s="948"/>
      <c r="CG257" s="949"/>
      <c r="CH257" s="949"/>
      <c r="CI257" s="950"/>
      <c r="CJ257" s="951"/>
      <c r="CK257" s="951"/>
      <c r="CL257" s="952"/>
      <c r="CM257" s="951"/>
      <c r="CN257" s="951"/>
      <c r="CO257" s="952"/>
      <c r="CP257" s="951"/>
      <c r="CQ257" s="951"/>
      <c r="CR257" s="952"/>
      <c r="CS257" s="946"/>
      <c r="CT257" s="953"/>
      <c r="CU257" s="953"/>
      <c r="CV257" s="953"/>
      <c r="CX257" s="951"/>
      <c r="CY257" s="951"/>
      <c r="CZ257" s="952"/>
      <c r="DB257" s="954"/>
      <c r="DC257" s="954"/>
      <c r="DD257" s="921"/>
      <c r="DE257" s="954"/>
      <c r="DF257" s="954"/>
      <c r="DG257" s="921"/>
      <c r="DH257" s="954"/>
      <c r="DI257" s="954"/>
      <c r="DJ257" s="921"/>
      <c r="DK257" s="954"/>
      <c r="DL257" s="954"/>
      <c r="DM257" s="921"/>
      <c r="DN257" s="954"/>
      <c r="DO257" s="954"/>
      <c r="DP257" s="921"/>
      <c r="DQ257" s="942"/>
      <c r="DR257" s="951"/>
      <c r="DS257" s="951"/>
      <c r="DT257" s="952"/>
      <c r="DV257" s="921"/>
      <c r="DW257" s="921"/>
      <c r="DX257" s="921"/>
      <c r="DY257" s="921"/>
      <c r="DZ257" s="921"/>
      <c r="EA257" s="921"/>
      <c r="EB257" s="921"/>
      <c r="EC257" s="921"/>
      <c r="ED257" s="921"/>
      <c r="EE257" s="921"/>
      <c r="EF257" s="921"/>
      <c r="EG257" s="921"/>
      <c r="EH257" s="921"/>
      <c r="EI257" s="921"/>
      <c r="EJ257" s="921"/>
      <c r="EK257" s="921"/>
      <c r="EL257" s="921"/>
      <c r="EM257" s="921"/>
      <c r="EN257" s="921"/>
      <c r="EO257" s="921"/>
      <c r="EP257" s="921"/>
      <c r="EQ257" s="954"/>
      <c r="ER257" s="954"/>
      <c r="ES257" s="954"/>
      <c r="ET257" s="954"/>
      <c r="EV257" s="942"/>
      <c r="EW257" s="955"/>
      <c r="EX257" s="951"/>
      <c r="EY257" s="952"/>
    </row>
    <row r="258" spans="1:155" x14ac:dyDescent="0.25">
      <c r="B258" s="876" t="s">
        <v>1418</v>
      </c>
      <c r="C258" s="971">
        <f>C13+C15+C16+C28+C30+C34+C35+C37+C38+C42+C44+C47+C72+C76+C78+C99+C100+C101+C103+C107+C114+C115+C120+C121+C123+C127+C130+C131+C133+C153+C154+C156+C157+C160+C165+C166+C167+C169+C170+C171+C175+C177+C179+C180+C181+C182+C183+C203+C205+C211+C215+C217+C218+C219</f>
        <v>130.5</v>
      </c>
      <c r="AO258" s="971">
        <f>AO13+AO15+AO16+AO28+AO30+AO34+AO35+AO37+AO38+AO42+AO44+AO47+AO72+AO76+AO78+AO99+AO100+AO101+AO103+AO107+AO114+AO115+AO120+AO121+AO123+AO127+AO130+AO131+AO133+AO153+AO154+AO156+AO157+AO160+AO165+AO166+AO167+AO169+AO170+AO171+AO175+AO177+AO179+AO180+AO181+AO182+AO183+AO203+AO205+AO211+AO215+AO217+AO218+AO219</f>
        <v>1732336.7</v>
      </c>
      <c r="BZ258" s="876">
        <v>144.19999999999999</v>
      </c>
      <c r="CI258" s="974" t="s">
        <v>619</v>
      </c>
      <c r="CJ258" s="975">
        <f>CJ239-CJ259</f>
        <v>80894.2</v>
      </c>
      <c r="CK258" s="975">
        <f t="shared" ref="CK258:CZ258" si="286">CK239-CK259</f>
        <v>24430</v>
      </c>
      <c r="CL258" s="975">
        <f t="shared" si="286"/>
        <v>105324.2</v>
      </c>
      <c r="CM258" s="975">
        <f t="shared" si="286"/>
        <v>723.4</v>
      </c>
      <c r="CN258" s="975">
        <f t="shared" si="286"/>
        <v>218.5</v>
      </c>
      <c r="CO258" s="975">
        <f t="shared" si="286"/>
        <v>941.9</v>
      </c>
      <c r="CP258" s="975">
        <f t="shared" si="286"/>
        <v>80170.8</v>
      </c>
      <c r="CQ258" s="975">
        <f t="shared" si="286"/>
        <v>24211.5</v>
      </c>
      <c r="CR258" s="975">
        <f t="shared" si="286"/>
        <v>104382.3</v>
      </c>
      <c r="CS258" s="976"/>
      <c r="CT258" s="976">
        <f t="shared" si="286"/>
        <v>3093.5</v>
      </c>
      <c r="CU258" s="976">
        <f t="shared" si="286"/>
        <v>934.2</v>
      </c>
      <c r="CV258" s="976">
        <f t="shared" si="286"/>
        <v>4027.7</v>
      </c>
      <c r="CW258" s="876">
        <f t="shared" si="286"/>
        <v>0</v>
      </c>
      <c r="CX258" s="975">
        <f t="shared" si="286"/>
        <v>41528.800000000003</v>
      </c>
      <c r="CY258" s="975">
        <f t="shared" si="286"/>
        <v>12541.8</v>
      </c>
      <c r="CZ258" s="975">
        <f t="shared" si="286"/>
        <v>54070.6</v>
      </c>
      <c r="DR258" s="975">
        <f t="shared" ref="DR258:DT258" si="287">DR239-DR259</f>
        <v>78451.600000000006</v>
      </c>
      <c r="DS258" s="975">
        <f t="shared" si="287"/>
        <v>23692.2</v>
      </c>
      <c r="DT258" s="975">
        <f t="shared" si="287"/>
        <v>102143.8</v>
      </c>
      <c r="DV258" s="876">
        <v>780.8</v>
      </c>
      <c r="DW258" s="876">
        <v>599.70000000000005</v>
      </c>
      <c r="DX258" s="876">
        <v>181.1</v>
      </c>
      <c r="DY258" s="876">
        <v>780.8</v>
      </c>
      <c r="DZ258" s="876">
        <f>871.5-DY258</f>
        <v>90.7</v>
      </c>
      <c r="EW258" s="975">
        <f t="shared" ref="EW258:EY258" si="288">EW239-EW259</f>
        <v>78630.3</v>
      </c>
      <c r="EX258" s="975">
        <f t="shared" si="288"/>
        <v>23746.3</v>
      </c>
      <c r="EY258" s="975">
        <f t="shared" si="288"/>
        <v>102376.6</v>
      </c>
    </row>
    <row r="259" spans="1:155" x14ac:dyDescent="0.25">
      <c r="C259" s="971"/>
      <c r="AO259" s="971"/>
      <c r="CI259" s="974" t="s">
        <v>620</v>
      </c>
      <c r="CJ259" s="975">
        <f>CJ48</f>
        <v>45476.7</v>
      </c>
      <c r="CK259" s="975">
        <f t="shared" ref="CK259:CV259" si="289">CK48</f>
        <v>13734</v>
      </c>
      <c r="CL259" s="975">
        <f t="shared" si="289"/>
        <v>59210.7</v>
      </c>
      <c r="CM259" s="975">
        <f t="shared" si="289"/>
        <v>791</v>
      </c>
      <c r="CN259" s="975">
        <f t="shared" si="289"/>
        <v>238.9</v>
      </c>
      <c r="CO259" s="975">
        <f t="shared" si="289"/>
        <v>1029.9000000000001</v>
      </c>
      <c r="CP259" s="975">
        <f t="shared" si="289"/>
        <v>44685.7</v>
      </c>
      <c r="CQ259" s="975">
        <f t="shared" si="289"/>
        <v>13495.1</v>
      </c>
      <c r="CR259" s="975">
        <f t="shared" si="289"/>
        <v>58180.800000000003</v>
      </c>
      <c r="CS259" s="976"/>
      <c r="CT259" s="976">
        <f t="shared" si="289"/>
        <v>2191.8000000000002</v>
      </c>
      <c r="CU259" s="976">
        <f t="shared" si="289"/>
        <v>661.9</v>
      </c>
      <c r="CV259" s="976">
        <f t="shared" si="289"/>
        <v>2853.7</v>
      </c>
      <c r="CX259" s="975">
        <f t="shared" ref="CX259:CZ259" si="290">CX48</f>
        <v>29146</v>
      </c>
      <c r="CY259" s="975">
        <f t="shared" si="290"/>
        <v>8802.1</v>
      </c>
      <c r="CZ259" s="975">
        <f t="shared" si="290"/>
        <v>37948.1</v>
      </c>
      <c r="DR259" s="975">
        <f t="shared" ref="DR259:DT259" si="291">DR48</f>
        <v>43727.5</v>
      </c>
      <c r="DS259" s="975">
        <f t="shared" si="291"/>
        <v>13205.7</v>
      </c>
      <c r="DT259" s="975">
        <f t="shared" si="291"/>
        <v>56933.2</v>
      </c>
      <c r="EW259" s="975">
        <f t="shared" ref="EW259:EY259" si="292">EW48</f>
        <v>43827.199999999997</v>
      </c>
      <c r="EX259" s="975">
        <f t="shared" si="292"/>
        <v>13235.8</v>
      </c>
      <c r="EY259" s="975">
        <f t="shared" si="292"/>
        <v>57063</v>
      </c>
    </row>
    <row r="260" spans="1:155" x14ac:dyDescent="0.25">
      <c r="B260" s="977" t="s">
        <v>1419</v>
      </c>
      <c r="C260" s="978">
        <f>CR239</f>
        <v>162563.1</v>
      </c>
      <c r="AO260" s="971"/>
    </row>
    <row r="261" spans="1:155" x14ac:dyDescent="0.25">
      <c r="B261" s="876" t="s">
        <v>1420</v>
      </c>
      <c r="C261" s="979">
        <f>CZ239</f>
        <v>92018.7</v>
      </c>
      <c r="AO261" s="971"/>
      <c r="EY261" s="979">
        <f>EY239-DT239</f>
        <v>362.6</v>
      </c>
    </row>
    <row r="262" spans="1:155" x14ac:dyDescent="0.25">
      <c r="B262" s="876" t="s">
        <v>1421</v>
      </c>
      <c r="C262" s="979">
        <f>C258*19242*12*1.302/1000</f>
        <v>39233.1</v>
      </c>
      <c r="BY262" s="971">
        <f>BY239*1.302</f>
        <v>67252852.040000007</v>
      </c>
    </row>
    <row r="263" spans="1:155" x14ac:dyDescent="0.25">
      <c r="B263" s="876" t="s">
        <v>1422</v>
      </c>
      <c r="C263" s="979">
        <f>C260-C261-C262</f>
        <v>31311.3</v>
      </c>
      <c r="BY263" s="971"/>
      <c r="CJ263" s="979"/>
      <c r="CK263" s="979"/>
      <c r="CL263" s="979"/>
      <c r="CM263" s="979"/>
      <c r="CN263" s="979"/>
      <c r="CO263" s="979"/>
      <c r="CP263" s="979"/>
      <c r="CQ263" s="979"/>
      <c r="CR263" s="979"/>
      <c r="CS263" s="980"/>
      <c r="CT263" s="980"/>
      <c r="CU263" s="980"/>
      <c r="CV263" s="980"/>
      <c r="CX263" s="979"/>
      <c r="CY263" s="979"/>
      <c r="CZ263" s="979"/>
      <c r="DB263" s="979"/>
      <c r="DC263" s="979"/>
      <c r="DD263" s="979"/>
      <c r="DE263" s="979"/>
      <c r="DF263" s="979"/>
      <c r="DG263" s="979"/>
      <c r="DH263" s="979"/>
      <c r="DI263" s="979"/>
      <c r="DJ263" s="979"/>
      <c r="DK263" s="979"/>
      <c r="DL263" s="979"/>
      <c r="DM263" s="979"/>
      <c r="DN263" s="979"/>
      <c r="DO263" s="979"/>
      <c r="DP263" s="979"/>
      <c r="DR263" s="979"/>
      <c r="DS263" s="979"/>
      <c r="DT263" s="979"/>
      <c r="DV263" s="979"/>
      <c r="DW263" s="979"/>
      <c r="DX263" s="979"/>
      <c r="DY263" s="979"/>
      <c r="DZ263" s="979"/>
      <c r="EA263" s="979"/>
      <c r="EB263" s="979"/>
      <c r="EC263" s="979"/>
      <c r="ED263" s="979"/>
      <c r="EE263" s="979"/>
      <c r="EF263" s="979"/>
      <c r="EG263" s="979"/>
      <c r="EH263" s="979"/>
      <c r="EI263" s="979"/>
      <c r="EJ263" s="979"/>
      <c r="EK263" s="979"/>
      <c r="EL263" s="979"/>
      <c r="EM263" s="979"/>
      <c r="EN263" s="979"/>
      <c r="EO263" s="979"/>
      <c r="EP263" s="979"/>
      <c r="EQ263" s="979"/>
      <c r="ER263" s="979"/>
      <c r="ES263" s="979"/>
      <c r="ET263" s="979"/>
      <c r="EW263" s="979"/>
      <c r="EX263" s="979"/>
      <c r="EY263" s="979"/>
    </row>
    <row r="264" spans="1:155" x14ac:dyDescent="0.25">
      <c r="C264" s="979"/>
      <c r="BY264" s="971"/>
      <c r="CJ264" s="979"/>
      <c r="CK264" s="979"/>
      <c r="CL264" s="979"/>
      <c r="CM264" s="979"/>
      <c r="CN264" s="979"/>
      <c r="CO264" s="979"/>
      <c r="CP264" s="979"/>
      <c r="CQ264" s="979"/>
      <c r="CR264" s="979"/>
      <c r="CS264" s="980"/>
      <c r="CT264" s="980"/>
      <c r="CU264" s="980"/>
      <c r="CV264" s="980"/>
      <c r="CX264" s="979"/>
      <c r="CY264" s="979"/>
      <c r="CZ264" s="979"/>
      <c r="DB264" s="979"/>
      <c r="DC264" s="979"/>
      <c r="DD264" s="979"/>
      <c r="DE264" s="979"/>
      <c r="DF264" s="979"/>
      <c r="DG264" s="979"/>
      <c r="DH264" s="979"/>
      <c r="DI264" s="979"/>
      <c r="DJ264" s="979"/>
      <c r="DK264" s="979"/>
      <c r="DL264" s="979"/>
      <c r="DM264" s="979"/>
      <c r="DN264" s="979"/>
      <c r="DO264" s="979"/>
      <c r="DP264" s="979"/>
      <c r="DR264" s="979"/>
      <c r="DS264" s="979"/>
      <c r="DT264" s="979"/>
      <c r="DV264" s="979"/>
      <c r="DW264" s="979"/>
      <c r="DX264" s="979"/>
      <c r="DY264" s="979"/>
      <c r="DZ264" s="979"/>
      <c r="EA264" s="979"/>
      <c r="EB264" s="979"/>
      <c r="EC264" s="979"/>
      <c r="ED264" s="979"/>
      <c r="EE264" s="979"/>
      <c r="EF264" s="979"/>
      <c r="EG264" s="979"/>
      <c r="EH264" s="979"/>
      <c r="EI264" s="979"/>
      <c r="EJ264" s="979"/>
      <c r="EK264" s="979"/>
      <c r="EL264" s="979"/>
      <c r="EM264" s="979"/>
      <c r="EN264" s="979"/>
      <c r="EO264" s="979"/>
      <c r="EP264" s="979"/>
      <c r="EQ264" s="979"/>
      <c r="ER264" s="979"/>
      <c r="ES264" s="979"/>
      <c r="ET264" s="979"/>
      <c r="EW264" s="979"/>
      <c r="EX264" s="979"/>
      <c r="EY264" s="979"/>
    </row>
    <row r="265" spans="1:155" x14ac:dyDescent="0.25">
      <c r="B265" s="876" t="s">
        <v>1423</v>
      </c>
      <c r="C265" s="979"/>
      <c r="BY265" s="971"/>
      <c r="CJ265" s="979"/>
      <c r="CK265" s="979"/>
      <c r="CL265" s="979"/>
      <c r="CM265" s="979"/>
      <c r="CN265" s="979"/>
      <c r="CO265" s="979"/>
      <c r="CP265" s="979"/>
      <c r="CQ265" s="979"/>
      <c r="CR265" s="979"/>
      <c r="CS265" s="980"/>
      <c r="CT265" s="980"/>
      <c r="CU265" s="980"/>
      <c r="CV265" s="980"/>
      <c r="CX265" s="979"/>
      <c r="CY265" s="979"/>
      <c r="CZ265" s="979"/>
      <c r="DB265" s="979"/>
      <c r="DC265" s="979"/>
      <c r="DD265" s="979"/>
      <c r="DE265" s="979"/>
      <c r="DF265" s="979"/>
      <c r="DG265" s="979"/>
      <c r="DH265" s="979"/>
      <c r="DI265" s="979"/>
      <c r="DJ265" s="979"/>
      <c r="DK265" s="979"/>
      <c r="DL265" s="979"/>
      <c r="DM265" s="979"/>
      <c r="DN265" s="979"/>
      <c r="DO265" s="979"/>
      <c r="DP265" s="979"/>
      <c r="DR265" s="979"/>
      <c r="DS265" s="979"/>
      <c r="DT265" s="979"/>
      <c r="DV265" s="979"/>
      <c r="DW265" s="979"/>
      <c r="DX265" s="979"/>
      <c r="DY265" s="979"/>
      <c r="DZ265" s="979"/>
      <c r="EA265" s="979"/>
      <c r="EB265" s="979"/>
      <c r="EC265" s="979"/>
      <c r="ED265" s="979"/>
      <c r="EE265" s="979"/>
      <c r="EF265" s="979"/>
      <c r="EG265" s="979"/>
      <c r="EH265" s="979"/>
      <c r="EI265" s="979"/>
      <c r="EJ265" s="979"/>
      <c r="EK265" s="979"/>
      <c r="EL265" s="979"/>
      <c r="EM265" s="979"/>
      <c r="EN265" s="979"/>
      <c r="EO265" s="979"/>
      <c r="EP265" s="979"/>
      <c r="EQ265" s="979"/>
      <c r="ER265" s="979"/>
      <c r="ES265" s="979"/>
      <c r="ET265" s="979"/>
      <c r="EW265" s="979"/>
      <c r="EX265" s="979"/>
      <c r="EY265" s="979"/>
    </row>
    <row r="266" spans="1:155" x14ac:dyDescent="0.25">
      <c r="B266" s="876" t="s">
        <v>1424</v>
      </c>
      <c r="C266" s="979">
        <f>C258*3000*12*1.302/1000</f>
        <v>6116.8</v>
      </c>
      <c r="BY266" s="971">
        <f>BY262+CE239</f>
        <v>93990307.099999994</v>
      </c>
    </row>
    <row r="267" spans="1:155" x14ac:dyDescent="0.25">
      <c r="B267" s="876" t="s">
        <v>1425</v>
      </c>
      <c r="C267" s="979">
        <f>(CR239-CZ239-C262)*0.055</f>
        <v>1722.1</v>
      </c>
    </row>
  </sheetData>
  <mergeCells count="34">
    <mergeCell ref="B2:AR2"/>
    <mergeCell ref="B3:AR3"/>
    <mergeCell ref="B4:AR4"/>
    <mergeCell ref="B5:AR5"/>
    <mergeCell ref="B6:AR6"/>
    <mergeCell ref="DQ7:DT7"/>
    <mergeCell ref="EV7:EY7"/>
    <mergeCell ref="A8:A9"/>
    <mergeCell ref="B8:B9"/>
    <mergeCell ref="C8:C9"/>
    <mergeCell ref="D8:BJ8"/>
    <mergeCell ref="BK8:BM8"/>
    <mergeCell ref="BN8:BP8"/>
    <mergeCell ref="BQ8:BS8"/>
    <mergeCell ref="BU8:CF8"/>
    <mergeCell ref="DB7:DP7"/>
    <mergeCell ref="CG8:CI8"/>
    <mergeCell ref="CJ8:CL8"/>
    <mergeCell ref="CM8:CO8"/>
    <mergeCell ref="CP8:CR8"/>
    <mergeCell ref="CS8:CV8"/>
    <mergeCell ref="CX8:CZ8"/>
    <mergeCell ref="EV8:EY8"/>
    <mergeCell ref="DB8:DD8"/>
    <mergeCell ref="DE8:DG8"/>
    <mergeCell ref="DH8:DJ8"/>
    <mergeCell ref="DK8:DM8"/>
    <mergeCell ref="DN8:DP8"/>
    <mergeCell ref="DQ8:DT8"/>
    <mergeCell ref="DV8:DZ8"/>
    <mergeCell ref="EA8:EE8"/>
    <mergeCell ref="EF8:EJ8"/>
    <mergeCell ref="EK8:EO8"/>
    <mergeCell ref="EP8:ET8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6C383-4340-4D88-BBA8-C793658CC989}">
  <sheetPr>
    <pageSetUpPr fitToPage="1"/>
  </sheetPr>
  <dimension ref="A2:AY35"/>
  <sheetViews>
    <sheetView workbookViewId="0">
      <selection activeCell="BB20" sqref="BB20"/>
    </sheetView>
  </sheetViews>
  <sheetFormatPr defaultRowHeight="15" x14ac:dyDescent="0.25"/>
  <cols>
    <col min="1" max="1" width="67.7109375" style="997" customWidth="1"/>
    <col min="2" max="2" width="11.7109375" style="997" hidden="1" customWidth="1"/>
    <col min="3" max="3" width="0" style="997" hidden="1" customWidth="1"/>
    <col min="4" max="4" width="16.28515625" style="997" hidden="1" customWidth="1"/>
    <col min="5" max="5" width="10.140625" style="997" hidden="1" customWidth="1"/>
    <col min="6" max="6" width="27" style="997" hidden="1" customWidth="1"/>
    <col min="7" max="7" width="10.140625" style="997" hidden="1" customWidth="1"/>
    <col min="8" max="8" width="17.5703125" style="997" hidden="1" customWidth="1"/>
    <col min="9" max="9" width="9.7109375" style="997" hidden="1" customWidth="1"/>
    <col min="10" max="10" width="11.7109375" style="997" hidden="1" customWidth="1"/>
    <col min="11" max="11" width="0" style="997" hidden="1" customWidth="1"/>
    <col min="12" max="12" width="16.28515625" style="997" hidden="1" customWidth="1"/>
    <col min="13" max="13" width="10.140625" style="997" hidden="1" customWidth="1"/>
    <col min="14" max="14" width="27" style="997" hidden="1" customWidth="1"/>
    <col min="15" max="15" width="10.140625" style="997" hidden="1" customWidth="1"/>
    <col min="16" max="16" width="17.5703125" style="997" hidden="1" customWidth="1"/>
    <col min="17" max="17" width="9.7109375" style="997" hidden="1" customWidth="1"/>
    <col min="18" max="18" width="11.7109375" style="997" hidden="1" customWidth="1"/>
    <col min="19" max="19" width="9.140625" style="997" hidden="1" customWidth="1"/>
    <col min="20" max="20" width="16.28515625" style="997" hidden="1" customWidth="1"/>
    <col min="21" max="21" width="10.140625" style="997" hidden="1" customWidth="1"/>
    <col min="22" max="22" width="27" style="997" hidden="1" customWidth="1"/>
    <col min="23" max="23" width="10.140625" style="997" hidden="1" customWidth="1"/>
    <col min="24" max="24" width="17.5703125" style="997" hidden="1" customWidth="1"/>
    <col min="25" max="25" width="9.7109375" style="997" hidden="1" customWidth="1"/>
    <col min="26" max="26" width="11.7109375" style="997" hidden="1" customWidth="1"/>
    <col min="27" max="27" width="9.140625" style="997" hidden="1" customWidth="1"/>
    <col min="28" max="28" width="16.28515625" style="997" hidden="1" customWidth="1"/>
    <col min="29" max="29" width="10.140625" style="997" hidden="1" customWidth="1"/>
    <col min="30" max="30" width="27" style="997" hidden="1" customWidth="1"/>
    <col min="31" max="31" width="10.140625" style="997" hidden="1" customWidth="1"/>
    <col min="32" max="32" width="17.5703125" style="997" hidden="1" customWidth="1"/>
    <col min="33" max="33" width="9.7109375" style="997" hidden="1" customWidth="1"/>
    <col min="34" max="34" width="11.7109375" style="997" customWidth="1"/>
    <col min="35" max="35" width="9.140625" style="997" hidden="1" customWidth="1"/>
    <col min="36" max="36" width="16.28515625" style="997" hidden="1" customWidth="1"/>
    <col min="37" max="37" width="10.140625" style="997" hidden="1" customWidth="1"/>
    <col min="38" max="38" width="27" style="997" hidden="1" customWidth="1"/>
    <col min="39" max="39" width="10.140625" style="997" hidden="1" customWidth="1"/>
    <col min="40" max="40" width="17.5703125" style="997" hidden="1" customWidth="1"/>
    <col min="41" max="41" width="9.7109375" style="997" hidden="1" customWidth="1"/>
    <col min="42" max="42" width="11.7109375" style="997" hidden="1" customWidth="1"/>
    <col min="43" max="43" width="0" style="997" hidden="1" customWidth="1"/>
    <col min="44" max="44" width="16.28515625" style="997" hidden="1" customWidth="1"/>
    <col min="45" max="45" width="10.140625" style="997" hidden="1" customWidth="1"/>
    <col min="46" max="46" width="27" style="997" hidden="1" customWidth="1"/>
    <col min="47" max="47" width="10.140625" style="997" hidden="1" customWidth="1"/>
    <col min="48" max="48" width="17.5703125" style="997" hidden="1" customWidth="1"/>
    <col min="49" max="49" width="9.7109375" style="997" hidden="1" customWidth="1"/>
    <col min="50" max="50" width="11.7109375" style="997" hidden="1" customWidth="1"/>
    <col min="51" max="256" width="9.140625" style="997"/>
    <col min="257" max="257" width="67.7109375" style="997" customWidth="1"/>
    <col min="258" max="258" width="11.7109375" style="997" customWidth="1"/>
    <col min="259" max="259" width="9.140625" style="997"/>
    <col min="260" max="265" width="0" style="997" hidden="1" customWidth="1"/>
    <col min="266" max="266" width="11.7109375" style="997" customWidth="1"/>
    <col min="267" max="267" width="9.140625" style="997"/>
    <col min="268" max="273" width="0" style="997" hidden="1" customWidth="1"/>
    <col min="274" max="274" width="11.7109375" style="997" customWidth="1"/>
    <col min="275" max="275" width="9.140625" style="997"/>
    <col min="276" max="281" width="0" style="997" hidden="1" customWidth="1"/>
    <col min="282" max="282" width="11.7109375" style="997" customWidth="1"/>
    <col min="283" max="283" width="9.140625" style="997"/>
    <col min="284" max="289" width="0" style="997" hidden="1" customWidth="1"/>
    <col min="290" max="290" width="11.7109375" style="997" customWidth="1"/>
    <col min="291" max="512" width="9.140625" style="997"/>
    <col min="513" max="513" width="67.7109375" style="997" customWidth="1"/>
    <col min="514" max="514" width="11.7109375" style="997" customWidth="1"/>
    <col min="515" max="515" width="9.140625" style="997"/>
    <col min="516" max="521" width="0" style="997" hidden="1" customWidth="1"/>
    <col min="522" max="522" width="11.7109375" style="997" customWidth="1"/>
    <col min="523" max="523" width="9.140625" style="997"/>
    <col min="524" max="529" width="0" style="997" hidden="1" customWidth="1"/>
    <col min="530" max="530" width="11.7109375" style="997" customWidth="1"/>
    <col min="531" max="531" width="9.140625" style="997"/>
    <col min="532" max="537" width="0" style="997" hidden="1" customWidth="1"/>
    <col min="538" max="538" width="11.7109375" style="997" customWidth="1"/>
    <col min="539" max="539" width="9.140625" style="997"/>
    <col min="540" max="545" width="0" style="997" hidden="1" customWidth="1"/>
    <col min="546" max="546" width="11.7109375" style="997" customWidth="1"/>
    <col min="547" max="768" width="9.140625" style="997"/>
    <col min="769" max="769" width="67.7109375" style="997" customWidth="1"/>
    <col min="770" max="770" width="11.7109375" style="997" customWidth="1"/>
    <col min="771" max="771" width="9.140625" style="997"/>
    <col min="772" max="777" width="0" style="997" hidden="1" customWidth="1"/>
    <col min="778" max="778" width="11.7109375" style="997" customWidth="1"/>
    <col min="779" max="779" width="9.140625" style="997"/>
    <col min="780" max="785" width="0" style="997" hidden="1" customWidth="1"/>
    <col min="786" max="786" width="11.7109375" style="997" customWidth="1"/>
    <col min="787" max="787" width="9.140625" style="997"/>
    <col min="788" max="793" width="0" style="997" hidden="1" customWidth="1"/>
    <col min="794" max="794" width="11.7109375" style="997" customWidth="1"/>
    <col min="795" max="795" width="9.140625" style="997"/>
    <col min="796" max="801" width="0" style="997" hidden="1" customWidth="1"/>
    <col min="802" max="802" width="11.7109375" style="997" customWidth="1"/>
    <col min="803" max="1024" width="9.140625" style="997"/>
    <col min="1025" max="1025" width="67.7109375" style="997" customWidth="1"/>
    <col min="1026" max="1026" width="11.7109375" style="997" customWidth="1"/>
    <col min="1027" max="1027" width="9.140625" style="997"/>
    <col min="1028" max="1033" width="0" style="997" hidden="1" customWidth="1"/>
    <col min="1034" max="1034" width="11.7109375" style="997" customWidth="1"/>
    <col min="1035" max="1035" width="9.140625" style="997"/>
    <col min="1036" max="1041" width="0" style="997" hidden="1" customWidth="1"/>
    <col min="1042" max="1042" width="11.7109375" style="997" customWidth="1"/>
    <col min="1043" max="1043" width="9.140625" style="997"/>
    <col min="1044" max="1049" width="0" style="997" hidden="1" customWidth="1"/>
    <col min="1050" max="1050" width="11.7109375" style="997" customWidth="1"/>
    <col min="1051" max="1051" width="9.140625" style="997"/>
    <col min="1052" max="1057" width="0" style="997" hidden="1" customWidth="1"/>
    <col min="1058" max="1058" width="11.7109375" style="997" customWidth="1"/>
    <col min="1059" max="1280" width="9.140625" style="997"/>
    <col min="1281" max="1281" width="67.7109375" style="997" customWidth="1"/>
    <col min="1282" max="1282" width="11.7109375" style="997" customWidth="1"/>
    <col min="1283" max="1283" width="9.140625" style="997"/>
    <col min="1284" max="1289" width="0" style="997" hidden="1" customWidth="1"/>
    <col min="1290" max="1290" width="11.7109375" style="997" customWidth="1"/>
    <col min="1291" max="1291" width="9.140625" style="997"/>
    <col min="1292" max="1297" width="0" style="997" hidden="1" customWidth="1"/>
    <col min="1298" max="1298" width="11.7109375" style="997" customWidth="1"/>
    <col min="1299" max="1299" width="9.140625" style="997"/>
    <col min="1300" max="1305" width="0" style="997" hidden="1" customWidth="1"/>
    <col min="1306" max="1306" width="11.7109375" style="997" customWidth="1"/>
    <col min="1307" max="1307" width="9.140625" style="997"/>
    <col min="1308" max="1313" width="0" style="997" hidden="1" customWidth="1"/>
    <col min="1314" max="1314" width="11.7109375" style="997" customWidth="1"/>
    <col min="1315" max="1536" width="9.140625" style="997"/>
    <col min="1537" max="1537" width="67.7109375" style="997" customWidth="1"/>
    <col min="1538" max="1538" width="11.7109375" style="997" customWidth="1"/>
    <col min="1539" max="1539" width="9.140625" style="997"/>
    <col min="1540" max="1545" width="0" style="997" hidden="1" customWidth="1"/>
    <col min="1546" max="1546" width="11.7109375" style="997" customWidth="1"/>
    <col min="1547" max="1547" width="9.140625" style="997"/>
    <col min="1548" max="1553" width="0" style="997" hidden="1" customWidth="1"/>
    <col min="1554" max="1554" width="11.7109375" style="997" customWidth="1"/>
    <col min="1555" max="1555" width="9.140625" style="997"/>
    <col min="1556" max="1561" width="0" style="997" hidden="1" customWidth="1"/>
    <col min="1562" max="1562" width="11.7109375" style="997" customWidth="1"/>
    <col min="1563" max="1563" width="9.140625" style="997"/>
    <col min="1564" max="1569" width="0" style="997" hidden="1" customWidth="1"/>
    <col min="1570" max="1570" width="11.7109375" style="997" customWidth="1"/>
    <col min="1571" max="1792" width="9.140625" style="997"/>
    <col min="1793" max="1793" width="67.7109375" style="997" customWidth="1"/>
    <col min="1794" max="1794" width="11.7109375" style="997" customWidth="1"/>
    <col min="1795" max="1795" width="9.140625" style="997"/>
    <col min="1796" max="1801" width="0" style="997" hidden="1" customWidth="1"/>
    <col min="1802" max="1802" width="11.7109375" style="997" customWidth="1"/>
    <col min="1803" max="1803" width="9.140625" style="997"/>
    <col min="1804" max="1809" width="0" style="997" hidden="1" customWidth="1"/>
    <col min="1810" max="1810" width="11.7109375" style="997" customWidth="1"/>
    <col min="1811" max="1811" width="9.140625" style="997"/>
    <col min="1812" max="1817" width="0" style="997" hidden="1" customWidth="1"/>
    <col min="1818" max="1818" width="11.7109375" style="997" customWidth="1"/>
    <col min="1819" max="1819" width="9.140625" style="997"/>
    <col min="1820" max="1825" width="0" style="997" hidden="1" customWidth="1"/>
    <col min="1826" max="1826" width="11.7109375" style="997" customWidth="1"/>
    <col min="1827" max="2048" width="9.140625" style="997"/>
    <col min="2049" max="2049" width="67.7109375" style="997" customWidth="1"/>
    <col min="2050" max="2050" width="11.7109375" style="997" customWidth="1"/>
    <col min="2051" max="2051" width="9.140625" style="997"/>
    <col min="2052" max="2057" width="0" style="997" hidden="1" customWidth="1"/>
    <col min="2058" max="2058" width="11.7109375" style="997" customWidth="1"/>
    <col min="2059" max="2059" width="9.140625" style="997"/>
    <col min="2060" max="2065" width="0" style="997" hidden="1" customWidth="1"/>
    <col min="2066" max="2066" width="11.7109375" style="997" customWidth="1"/>
    <col min="2067" max="2067" width="9.140625" style="997"/>
    <col min="2068" max="2073" width="0" style="997" hidden="1" customWidth="1"/>
    <col min="2074" max="2074" width="11.7109375" style="997" customWidth="1"/>
    <col min="2075" max="2075" width="9.140625" style="997"/>
    <col min="2076" max="2081" width="0" style="997" hidden="1" customWidth="1"/>
    <col min="2082" max="2082" width="11.7109375" style="997" customWidth="1"/>
    <col min="2083" max="2304" width="9.140625" style="997"/>
    <col min="2305" max="2305" width="67.7109375" style="997" customWidth="1"/>
    <col min="2306" max="2306" width="11.7109375" style="997" customWidth="1"/>
    <col min="2307" max="2307" width="9.140625" style="997"/>
    <col min="2308" max="2313" width="0" style="997" hidden="1" customWidth="1"/>
    <col min="2314" max="2314" width="11.7109375" style="997" customWidth="1"/>
    <col min="2315" max="2315" width="9.140625" style="997"/>
    <col min="2316" max="2321" width="0" style="997" hidden="1" customWidth="1"/>
    <col min="2322" max="2322" width="11.7109375" style="997" customWidth="1"/>
    <col min="2323" max="2323" width="9.140625" style="997"/>
    <col min="2324" max="2329" width="0" style="997" hidden="1" customWidth="1"/>
    <col min="2330" max="2330" width="11.7109375" style="997" customWidth="1"/>
    <col min="2331" max="2331" width="9.140625" style="997"/>
    <col min="2332" max="2337" width="0" style="997" hidden="1" customWidth="1"/>
    <col min="2338" max="2338" width="11.7109375" style="997" customWidth="1"/>
    <col min="2339" max="2560" width="9.140625" style="997"/>
    <col min="2561" max="2561" width="67.7109375" style="997" customWidth="1"/>
    <col min="2562" max="2562" width="11.7109375" style="997" customWidth="1"/>
    <col min="2563" max="2563" width="9.140625" style="997"/>
    <col min="2564" max="2569" width="0" style="997" hidden="1" customWidth="1"/>
    <col min="2570" max="2570" width="11.7109375" style="997" customWidth="1"/>
    <col min="2571" max="2571" width="9.140625" style="997"/>
    <col min="2572" max="2577" width="0" style="997" hidden="1" customWidth="1"/>
    <col min="2578" max="2578" width="11.7109375" style="997" customWidth="1"/>
    <col min="2579" max="2579" width="9.140625" style="997"/>
    <col min="2580" max="2585" width="0" style="997" hidden="1" customWidth="1"/>
    <col min="2586" max="2586" width="11.7109375" style="997" customWidth="1"/>
    <col min="2587" max="2587" width="9.140625" style="997"/>
    <col min="2588" max="2593" width="0" style="997" hidden="1" customWidth="1"/>
    <col min="2594" max="2594" width="11.7109375" style="997" customWidth="1"/>
    <col min="2595" max="2816" width="9.140625" style="997"/>
    <col min="2817" max="2817" width="67.7109375" style="997" customWidth="1"/>
    <col min="2818" max="2818" width="11.7109375" style="997" customWidth="1"/>
    <col min="2819" max="2819" width="9.140625" style="997"/>
    <col min="2820" max="2825" width="0" style="997" hidden="1" customWidth="1"/>
    <col min="2826" max="2826" width="11.7109375" style="997" customWidth="1"/>
    <col min="2827" max="2827" width="9.140625" style="997"/>
    <col min="2828" max="2833" width="0" style="997" hidden="1" customWidth="1"/>
    <col min="2834" max="2834" width="11.7109375" style="997" customWidth="1"/>
    <col min="2835" max="2835" width="9.140625" style="997"/>
    <col min="2836" max="2841" width="0" style="997" hidden="1" customWidth="1"/>
    <col min="2842" max="2842" width="11.7109375" style="997" customWidth="1"/>
    <col min="2843" max="2843" width="9.140625" style="997"/>
    <col min="2844" max="2849" width="0" style="997" hidden="1" customWidth="1"/>
    <col min="2850" max="2850" width="11.7109375" style="997" customWidth="1"/>
    <col min="2851" max="3072" width="9.140625" style="997"/>
    <col min="3073" max="3073" width="67.7109375" style="997" customWidth="1"/>
    <col min="3074" max="3074" width="11.7109375" style="997" customWidth="1"/>
    <col min="3075" max="3075" width="9.140625" style="997"/>
    <col min="3076" max="3081" width="0" style="997" hidden="1" customWidth="1"/>
    <col min="3082" max="3082" width="11.7109375" style="997" customWidth="1"/>
    <col min="3083" max="3083" width="9.140625" style="997"/>
    <col min="3084" max="3089" width="0" style="997" hidden="1" customWidth="1"/>
    <col min="3090" max="3090" width="11.7109375" style="997" customWidth="1"/>
    <col min="3091" max="3091" width="9.140625" style="997"/>
    <col min="3092" max="3097" width="0" style="997" hidden="1" customWidth="1"/>
    <col min="3098" max="3098" width="11.7109375" style="997" customWidth="1"/>
    <col min="3099" max="3099" width="9.140625" style="997"/>
    <col min="3100" max="3105" width="0" style="997" hidden="1" customWidth="1"/>
    <col min="3106" max="3106" width="11.7109375" style="997" customWidth="1"/>
    <col min="3107" max="3328" width="9.140625" style="997"/>
    <col min="3329" max="3329" width="67.7109375" style="997" customWidth="1"/>
    <col min="3330" max="3330" width="11.7109375" style="997" customWidth="1"/>
    <col min="3331" max="3331" width="9.140625" style="997"/>
    <col min="3332" max="3337" width="0" style="997" hidden="1" customWidth="1"/>
    <col min="3338" max="3338" width="11.7109375" style="997" customWidth="1"/>
    <col min="3339" max="3339" width="9.140625" style="997"/>
    <col min="3340" max="3345" width="0" style="997" hidden="1" customWidth="1"/>
    <col min="3346" max="3346" width="11.7109375" style="997" customWidth="1"/>
    <col min="3347" max="3347" width="9.140625" style="997"/>
    <col min="3348" max="3353" width="0" style="997" hidden="1" customWidth="1"/>
    <col min="3354" max="3354" width="11.7109375" style="997" customWidth="1"/>
    <col min="3355" max="3355" width="9.140625" style="997"/>
    <col min="3356" max="3361" width="0" style="997" hidden="1" customWidth="1"/>
    <col min="3362" max="3362" width="11.7109375" style="997" customWidth="1"/>
    <col min="3363" max="3584" width="9.140625" style="997"/>
    <col min="3585" max="3585" width="67.7109375" style="997" customWidth="1"/>
    <col min="3586" max="3586" width="11.7109375" style="997" customWidth="1"/>
    <col min="3587" max="3587" width="9.140625" style="997"/>
    <col min="3588" max="3593" width="0" style="997" hidden="1" customWidth="1"/>
    <col min="3594" max="3594" width="11.7109375" style="997" customWidth="1"/>
    <col min="3595" max="3595" width="9.140625" style="997"/>
    <col min="3596" max="3601" width="0" style="997" hidden="1" customWidth="1"/>
    <col min="3602" max="3602" width="11.7109375" style="997" customWidth="1"/>
    <col min="3603" max="3603" width="9.140625" style="997"/>
    <col min="3604" max="3609" width="0" style="997" hidden="1" customWidth="1"/>
    <col min="3610" max="3610" width="11.7109375" style="997" customWidth="1"/>
    <col min="3611" max="3611" width="9.140625" style="997"/>
    <col min="3612" max="3617" width="0" style="997" hidden="1" customWidth="1"/>
    <col min="3618" max="3618" width="11.7109375" style="997" customWidth="1"/>
    <col min="3619" max="3840" width="9.140625" style="997"/>
    <col min="3841" max="3841" width="67.7109375" style="997" customWidth="1"/>
    <col min="3842" max="3842" width="11.7109375" style="997" customWidth="1"/>
    <col min="3843" max="3843" width="9.140625" style="997"/>
    <col min="3844" max="3849" width="0" style="997" hidden="1" customWidth="1"/>
    <col min="3850" max="3850" width="11.7109375" style="997" customWidth="1"/>
    <col min="3851" max="3851" width="9.140625" style="997"/>
    <col min="3852" max="3857" width="0" style="997" hidden="1" customWidth="1"/>
    <col min="3858" max="3858" width="11.7109375" style="997" customWidth="1"/>
    <col min="3859" max="3859" width="9.140625" style="997"/>
    <col min="3860" max="3865" width="0" style="997" hidden="1" customWidth="1"/>
    <col min="3866" max="3866" width="11.7109375" style="997" customWidth="1"/>
    <col min="3867" max="3867" width="9.140625" style="997"/>
    <col min="3868" max="3873" width="0" style="997" hidden="1" customWidth="1"/>
    <col min="3874" max="3874" width="11.7109375" style="997" customWidth="1"/>
    <col min="3875" max="4096" width="9.140625" style="997"/>
    <col min="4097" max="4097" width="67.7109375" style="997" customWidth="1"/>
    <col min="4098" max="4098" width="11.7109375" style="997" customWidth="1"/>
    <col min="4099" max="4099" width="9.140625" style="997"/>
    <col min="4100" max="4105" width="0" style="997" hidden="1" customWidth="1"/>
    <col min="4106" max="4106" width="11.7109375" style="997" customWidth="1"/>
    <col min="4107" max="4107" width="9.140625" style="997"/>
    <col min="4108" max="4113" width="0" style="997" hidden="1" customWidth="1"/>
    <col min="4114" max="4114" width="11.7109375" style="997" customWidth="1"/>
    <col min="4115" max="4115" width="9.140625" style="997"/>
    <col min="4116" max="4121" width="0" style="997" hidden="1" customWidth="1"/>
    <col min="4122" max="4122" width="11.7109375" style="997" customWidth="1"/>
    <col min="4123" max="4123" width="9.140625" style="997"/>
    <col min="4124" max="4129" width="0" style="997" hidden="1" customWidth="1"/>
    <col min="4130" max="4130" width="11.7109375" style="997" customWidth="1"/>
    <col min="4131" max="4352" width="9.140625" style="997"/>
    <col min="4353" max="4353" width="67.7109375" style="997" customWidth="1"/>
    <col min="4354" max="4354" width="11.7109375" style="997" customWidth="1"/>
    <col min="4355" max="4355" width="9.140625" style="997"/>
    <col min="4356" max="4361" width="0" style="997" hidden="1" customWidth="1"/>
    <col min="4362" max="4362" width="11.7109375" style="997" customWidth="1"/>
    <col min="4363" max="4363" width="9.140625" style="997"/>
    <col min="4364" max="4369" width="0" style="997" hidden="1" customWidth="1"/>
    <col min="4370" max="4370" width="11.7109375" style="997" customWidth="1"/>
    <col min="4371" max="4371" width="9.140625" style="997"/>
    <col min="4372" max="4377" width="0" style="997" hidden="1" customWidth="1"/>
    <col min="4378" max="4378" width="11.7109375" style="997" customWidth="1"/>
    <col min="4379" max="4379" width="9.140625" style="997"/>
    <col min="4380" max="4385" width="0" style="997" hidden="1" customWidth="1"/>
    <col min="4386" max="4386" width="11.7109375" style="997" customWidth="1"/>
    <col min="4387" max="4608" width="9.140625" style="997"/>
    <col min="4609" max="4609" width="67.7109375" style="997" customWidth="1"/>
    <col min="4610" max="4610" width="11.7109375" style="997" customWidth="1"/>
    <col min="4611" max="4611" width="9.140625" style="997"/>
    <col min="4612" max="4617" width="0" style="997" hidden="1" customWidth="1"/>
    <col min="4618" max="4618" width="11.7109375" style="997" customWidth="1"/>
    <col min="4619" max="4619" width="9.140625" style="997"/>
    <col min="4620" max="4625" width="0" style="997" hidden="1" customWidth="1"/>
    <col min="4626" max="4626" width="11.7109375" style="997" customWidth="1"/>
    <col min="4627" max="4627" width="9.140625" style="997"/>
    <col min="4628" max="4633" width="0" style="997" hidden="1" customWidth="1"/>
    <col min="4634" max="4634" width="11.7109375" style="997" customWidth="1"/>
    <col min="4635" max="4635" width="9.140625" style="997"/>
    <col min="4636" max="4641" width="0" style="997" hidden="1" customWidth="1"/>
    <col min="4642" max="4642" width="11.7109375" style="997" customWidth="1"/>
    <col min="4643" max="4864" width="9.140625" style="997"/>
    <col min="4865" max="4865" width="67.7109375" style="997" customWidth="1"/>
    <col min="4866" max="4866" width="11.7109375" style="997" customWidth="1"/>
    <col min="4867" max="4867" width="9.140625" style="997"/>
    <col min="4868" max="4873" width="0" style="997" hidden="1" customWidth="1"/>
    <col min="4874" max="4874" width="11.7109375" style="997" customWidth="1"/>
    <col min="4875" max="4875" width="9.140625" style="997"/>
    <col min="4876" max="4881" width="0" style="997" hidden="1" customWidth="1"/>
    <col min="4882" max="4882" width="11.7109375" style="997" customWidth="1"/>
    <col min="4883" max="4883" width="9.140625" style="997"/>
    <col min="4884" max="4889" width="0" style="997" hidden="1" customWidth="1"/>
    <col min="4890" max="4890" width="11.7109375" style="997" customWidth="1"/>
    <col min="4891" max="4891" width="9.140625" style="997"/>
    <col min="4892" max="4897" width="0" style="997" hidden="1" customWidth="1"/>
    <col min="4898" max="4898" width="11.7109375" style="997" customWidth="1"/>
    <col min="4899" max="5120" width="9.140625" style="997"/>
    <col min="5121" max="5121" width="67.7109375" style="997" customWidth="1"/>
    <col min="5122" max="5122" width="11.7109375" style="997" customWidth="1"/>
    <col min="5123" max="5123" width="9.140625" style="997"/>
    <col min="5124" max="5129" width="0" style="997" hidden="1" customWidth="1"/>
    <col min="5130" max="5130" width="11.7109375" style="997" customWidth="1"/>
    <col min="5131" max="5131" width="9.140625" style="997"/>
    <col min="5132" max="5137" width="0" style="997" hidden="1" customWidth="1"/>
    <col min="5138" max="5138" width="11.7109375" style="997" customWidth="1"/>
    <col min="5139" max="5139" width="9.140625" style="997"/>
    <col min="5140" max="5145" width="0" style="997" hidden="1" customWidth="1"/>
    <col min="5146" max="5146" width="11.7109375" style="997" customWidth="1"/>
    <col min="5147" max="5147" width="9.140625" style="997"/>
    <col min="5148" max="5153" width="0" style="997" hidden="1" customWidth="1"/>
    <col min="5154" max="5154" width="11.7109375" style="997" customWidth="1"/>
    <col min="5155" max="5376" width="9.140625" style="997"/>
    <col min="5377" max="5377" width="67.7109375" style="997" customWidth="1"/>
    <col min="5378" max="5378" width="11.7109375" style="997" customWidth="1"/>
    <col min="5379" max="5379" width="9.140625" style="997"/>
    <col min="5380" max="5385" width="0" style="997" hidden="1" customWidth="1"/>
    <col min="5386" max="5386" width="11.7109375" style="997" customWidth="1"/>
    <col min="5387" max="5387" width="9.140625" style="997"/>
    <col min="5388" max="5393" width="0" style="997" hidden="1" customWidth="1"/>
    <col min="5394" max="5394" width="11.7109375" style="997" customWidth="1"/>
    <col min="5395" max="5395" width="9.140625" style="997"/>
    <col min="5396" max="5401" width="0" style="997" hidden="1" customWidth="1"/>
    <col min="5402" max="5402" width="11.7109375" style="997" customWidth="1"/>
    <col min="5403" max="5403" width="9.140625" style="997"/>
    <col min="5404" max="5409" width="0" style="997" hidden="1" customWidth="1"/>
    <col min="5410" max="5410" width="11.7109375" style="997" customWidth="1"/>
    <col min="5411" max="5632" width="9.140625" style="997"/>
    <col min="5633" max="5633" width="67.7109375" style="997" customWidth="1"/>
    <col min="5634" max="5634" width="11.7109375" style="997" customWidth="1"/>
    <col min="5635" max="5635" width="9.140625" style="997"/>
    <col min="5636" max="5641" width="0" style="997" hidden="1" customWidth="1"/>
    <col min="5642" max="5642" width="11.7109375" style="997" customWidth="1"/>
    <col min="5643" max="5643" width="9.140625" style="997"/>
    <col min="5644" max="5649" width="0" style="997" hidden="1" customWidth="1"/>
    <col min="5650" max="5650" width="11.7109375" style="997" customWidth="1"/>
    <col min="5651" max="5651" width="9.140625" style="997"/>
    <col min="5652" max="5657" width="0" style="997" hidden="1" customWidth="1"/>
    <col min="5658" max="5658" width="11.7109375" style="997" customWidth="1"/>
    <col min="5659" max="5659" width="9.140625" style="997"/>
    <col min="5660" max="5665" width="0" style="997" hidden="1" customWidth="1"/>
    <col min="5666" max="5666" width="11.7109375" style="997" customWidth="1"/>
    <col min="5667" max="5888" width="9.140625" style="997"/>
    <col min="5889" max="5889" width="67.7109375" style="997" customWidth="1"/>
    <col min="5890" max="5890" width="11.7109375" style="997" customWidth="1"/>
    <col min="5891" max="5891" width="9.140625" style="997"/>
    <col min="5892" max="5897" width="0" style="997" hidden="1" customWidth="1"/>
    <col min="5898" max="5898" width="11.7109375" style="997" customWidth="1"/>
    <col min="5899" max="5899" width="9.140625" style="997"/>
    <col min="5900" max="5905" width="0" style="997" hidden="1" customWidth="1"/>
    <col min="5906" max="5906" width="11.7109375" style="997" customWidth="1"/>
    <col min="5907" max="5907" width="9.140625" style="997"/>
    <col min="5908" max="5913" width="0" style="997" hidden="1" customWidth="1"/>
    <col min="5914" max="5914" width="11.7109375" style="997" customWidth="1"/>
    <col min="5915" max="5915" width="9.140625" style="997"/>
    <col min="5916" max="5921" width="0" style="997" hidden="1" customWidth="1"/>
    <col min="5922" max="5922" width="11.7109375" style="997" customWidth="1"/>
    <col min="5923" max="6144" width="9.140625" style="997"/>
    <col min="6145" max="6145" width="67.7109375" style="997" customWidth="1"/>
    <col min="6146" max="6146" width="11.7109375" style="997" customWidth="1"/>
    <col min="6147" max="6147" width="9.140625" style="997"/>
    <col min="6148" max="6153" width="0" style="997" hidden="1" customWidth="1"/>
    <col min="6154" max="6154" width="11.7109375" style="997" customWidth="1"/>
    <col min="6155" max="6155" width="9.140625" style="997"/>
    <col min="6156" max="6161" width="0" style="997" hidden="1" customWidth="1"/>
    <col min="6162" max="6162" width="11.7109375" style="997" customWidth="1"/>
    <col min="6163" max="6163" width="9.140625" style="997"/>
    <col min="6164" max="6169" width="0" style="997" hidden="1" customWidth="1"/>
    <col min="6170" max="6170" width="11.7109375" style="997" customWidth="1"/>
    <col min="6171" max="6171" width="9.140625" style="997"/>
    <col min="6172" max="6177" width="0" style="997" hidden="1" customWidth="1"/>
    <col min="6178" max="6178" width="11.7109375" style="997" customWidth="1"/>
    <col min="6179" max="6400" width="9.140625" style="997"/>
    <col min="6401" max="6401" width="67.7109375" style="997" customWidth="1"/>
    <col min="6402" max="6402" width="11.7109375" style="997" customWidth="1"/>
    <col min="6403" max="6403" width="9.140625" style="997"/>
    <col min="6404" max="6409" width="0" style="997" hidden="1" customWidth="1"/>
    <col min="6410" max="6410" width="11.7109375" style="997" customWidth="1"/>
    <col min="6411" max="6411" width="9.140625" style="997"/>
    <col min="6412" max="6417" width="0" style="997" hidden="1" customWidth="1"/>
    <col min="6418" max="6418" width="11.7109375" style="997" customWidth="1"/>
    <col min="6419" max="6419" width="9.140625" style="997"/>
    <col min="6420" max="6425" width="0" style="997" hidden="1" customWidth="1"/>
    <col min="6426" max="6426" width="11.7109375" style="997" customWidth="1"/>
    <col min="6427" max="6427" width="9.140625" style="997"/>
    <col min="6428" max="6433" width="0" style="997" hidden="1" customWidth="1"/>
    <col min="6434" max="6434" width="11.7109375" style="997" customWidth="1"/>
    <col min="6435" max="6656" width="9.140625" style="997"/>
    <col min="6657" max="6657" width="67.7109375" style="997" customWidth="1"/>
    <col min="6658" max="6658" width="11.7109375" style="997" customWidth="1"/>
    <col min="6659" max="6659" width="9.140625" style="997"/>
    <col min="6660" max="6665" width="0" style="997" hidden="1" customWidth="1"/>
    <col min="6666" max="6666" width="11.7109375" style="997" customWidth="1"/>
    <col min="6667" max="6667" width="9.140625" style="997"/>
    <col min="6668" max="6673" width="0" style="997" hidden="1" customWidth="1"/>
    <col min="6674" max="6674" width="11.7109375" style="997" customWidth="1"/>
    <col min="6675" max="6675" width="9.140625" style="997"/>
    <col min="6676" max="6681" width="0" style="997" hidden="1" customWidth="1"/>
    <col min="6682" max="6682" width="11.7109375" style="997" customWidth="1"/>
    <col min="6683" max="6683" width="9.140625" style="997"/>
    <col min="6684" max="6689" width="0" style="997" hidden="1" customWidth="1"/>
    <col min="6690" max="6690" width="11.7109375" style="997" customWidth="1"/>
    <col min="6691" max="6912" width="9.140625" style="997"/>
    <col min="6913" max="6913" width="67.7109375" style="997" customWidth="1"/>
    <col min="6914" max="6914" width="11.7109375" style="997" customWidth="1"/>
    <col min="6915" max="6915" width="9.140625" style="997"/>
    <col min="6916" max="6921" width="0" style="997" hidden="1" customWidth="1"/>
    <col min="6922" max="6922" width="11.7109375" style="997" customWidth="1"/>
    <col min="6923" max="6923" width="9.140625" style="997"/>
    <col min="6924" max="6929" width="0" style="997" hidden="1" customWidth="1"/>
    <col min="6930" max="6930" width="11.7109375" style="997" customWidth="1"/>
    <col min="6931" max="6931" width="9.140625" style="997"/>
    <col min="6932" max="6937" width="0" style="997" hidden="1" customWidth="1"/>
    <col min="6938" max="6938" width="11.7109375" style="997" customWidth="1"/>
    <col min="6939" max="6939" width="9.140625" style="997"/>
    <col min="6940" max="6945" width="0" style="997" hidden="1" customWidth="1"/>
    <col min="6946" max="6946" width="11.7109375" style="997" customWidth="1"/>
    <col min="6947" max="7168" width="9.140625" style="997"/>
    <col min="7169" max="7169" width="67.7109375" style="997" customWidth="1"/>
    <col min="7170" max="7170" width="11.7109375" style="997" customWidth="1"/>
    <col min="7171" max="7171" width="9.140625" style="997"/>
    <col min="7172" max="7177" width="0" style="997" hidden="1" customWidth="1"/>
    <col min="7178" max="7178" width="11.7109375" style="997" customWidth="1"/>
    <col min="7179" max="7179" width="9.140625" style="997"/>
    <col min="7180" max="7185" width="0" style="997" hidden="1" customWidth="1"/>
    <col min="7186" max="7186" width="11.7109375" style="997" customWidth="1"/>
    <col min="7187" max="7187" width="9.140625" style="997"/>
    <col min="7188" max="7193" width="0" style="997" hidden="1" customWidth="1"/>
    <col min="7194" max="7194" width="11.7109375" style="997" customWidth="1"/>
    <col min="7195" max="7195" width="9.140625" style="997"/>
    <col min="7196" max="7201" width="0" style="997" hidden="1" customWidth="1"/>
    <col min="7202" max="7202" width="11.7109375" style="997" customWidth="1"/>
    <col min="7203" max="7424" width="9.140625" style="997"/>
    <col min="7425" max="7425" width="67.7109375" style="997" customWidth="1"/>
    <col min="7426" max="7426" width="11.7109375" style="997" customWidth="1"/>
    <col min="7427" max="7427" width="9.140625" style="997"/>
    <col min="7428" max="7433" width="0" style="997" hidden="1" customWidth="1"/>
    <col min="7434" max="7434" width="11.7109375" style="997" customWidth="1"/>
    <col min="7435" max="7435" width="9.140625" style="997"/>
    <col min="7436" max="7441" width="0" style="997" hidden="1" customWidth="1"/>
    <col min="7442" max="7442" width="11.7109375" style="997" customWidth="1"/>
    <col min="7443" max="7443" width="9.140625" style="997"/>
    <col min="7444" max="7449" width="0" style="997" hidden="1" customWidth="1"/>
    <col min="7450" max="7450" width="11.7109375" style="997" customWidth="1"/>
    <col min="7451" max="7451" width="9.140625" style="997"/>
    <col min="7452" max="7457" width="0" style="997" hidden="1" customWidth="1"/>
    <col min="7458" max="7458" width="11.7109375" style="997" customWidth="1"/>
    <col min="7459" max="7680" width="9.140625" style="997"/>
    <col min="7681" max="7681" width="67.7109375" style="997" customWidth="1"/>
    <col min="7682" max="7682" width="11.7109375" style="997" customWidth="1"/>
    <col min="7683" max="7683" width="9.140625" style="997"/>
    <col min="7684" max="7689" width="0" style="997" hidden="1" customWidth="1"/>
    <col min="7690" max="7690" width="11.7109375" style="997" customWidth="1"/>
    <col min="7691" max="7691" width="9.140625" style="997"/>
    <col min="7692" max="7697" width="0" style="997" hidden="1" customWidth="1"/>
    <col min="7698" max="7698" width="11.7109375" style="997" customWidth="1"/>
    <col min="7699" max="7699" width="9.140625" style="997"/>
    <col min="7700" max="7705" width="0" style="997" hidden="1" customWidth="1"/>
    <col min="7706" max="7706" width="11.7109375" style="997" customWidth="1"/>
    <col min="7707" max="7707" width="9.140625" style="997"/>
    <col min="7708" max="7713" width="0" style="997" hidden="1" customWidth="1"/>
    <col min="7714" max="7714" width="11.7109375" style="997" customWidth="1"/>
    <col min="7715" max="7936" width="9.140625" style="997"/>
    <col min="7937" max="7937" width="67.7109375" style="997" customWidth="1"/>
    <col min="7938" max="7938" width="11.7109375" style="997" customWidth="1"/>
    <col min="7939" max="7939" width="9.140625" style="997"/>
    <col min="7940" max="7945" width="0" style="997" hidden="1" customWidth="1"/>
    <col min="7946" max="7946" width="11.7109375" style="997" customWidth="1"/>
    <col min="7947" max="7947" width="9.140625" style="997"/>
    <col min="7948" max="7953" width="0" style="997" hidden="1" customWidth="1"/>
    <col min="7954" max="7954" width="11.7109375" style="997" customWidth="1"/>
    <col min="7955" max="7955" width="9.140625" style="997"/>
    <col min="7956" max="7961" width="0" style="997" hidden="1" customWidth="1"/>
    <col min="7962" max="7962" width="11.7109375" style="997" customWidth="1"/>
    <col min="7963" max="7963" width="9.140625" style="997"/>
    <col min="7964" max="7969" width="0" style="997" hidden="1" customWidth="1"/>
    <col min="7970" max="7970" width="11.7109375" style="997" customWidth="1"/>
    <col min="7971" max="8192" width="9.140625" style="997"/>
    <col min="8193" max="8193" width="67.7109375" style="997" customWidth="1"/>
    <col min="8194" max="8194" width="11.7109375" style="997" customWidth="1"/>
    <col min="8195" max="8195" width="9.140625" style="997"/>
    <col min="8196" max="8201" width="0" style="997" hidden="1" customWidth="1"/>
    <col min="8202" max="8202" width="11.7109375" style="997" customWidth="1"/>
    <col min="8203" max="8203" width="9.140625" style="997"/>
    <col min="8204" max="8209" width="0" style="997" hidden="1" customWidth="1"/>
    <col min="8210" max="8210" width="11.7109375" style="997" customWidth="1"/>
    <col min="8211" max="8211" width="9.140625" style="997"/>
    <col min="8212" max="8217" width="0" style="997" hidden="1" customWidth="1"/>
    <col min="8218" max="8218" width="11.7109375" style="997" customWidth="1"/>
    <col min="8219" max="8219" width="9.140625" style="997"/>
    <col min="8220" max="8225" width="0" style="997" hidden="1" customWidth="1"/>
    <col min="8226" max="8226" width="11.7109375" style="997" customWidth="1"/>
    <col min="8227" max="8448" width="9.140625" style="997"/>
    <col min="8449" max="8449" width="67.7109375" style="997" customWidth="1"/>
    <col min="8450" max="8450" width="11.7109375" style="997" customWidth="1"/>
    <col min="8451" max="8451" width="9.140625" style="997"/>
    <col min="8452" max="8457" width="0" style="997" hidden="1" customWidth="1"/>
    <col min="8458" max="8458" width="11.7109375" style="997" customWidth="1"/>
    <col min="8459" max="8459" width="9.140625" style="997"/>
    <col min="8460" max="8465" width="0" style="997" hidden="1" customWidth="1"/>
    <col min="8466" max="8466" width="11.7109375" style="997" customWidth="1"/>
    <col min="8467" max="8467" width="9.140625" style="997"/>
    <col min="8468" max="8473" width="0" style="997" hidden="1" customWidth="1"/>
    <col min="8474" max="8474" width="11.7109375" style="997" customWidth="1"/>
    <col min="8475" max="8475" width="9.140625" style="997"/>
    <col min="8476" max="8481" width="0" style="997" hidden="1" customWidth="1"/>
    <col min="8482" max="8482" width="11.7109375" style="997" customWidth="1"/>
    <col min="8483" max="8704" width="9.140625" style="997"/>
    <col min="8705" max="8705" width="67.7109375" style="997" customWidth="1"/>
    <col min="8706" max="8706" width="11.7109375" style="997" customWidth="1"/>
    <col min="8707" max="8707" width="9.140625" style="997"/>
    <col min="8708" max="8713" width="0" style="997" hidden="1" customWidth="1"/>
    <col min="8714" max="8714" width="11.7109375" style="997" customWidth="1"/>
    <col min="8715" max="8715" width="9.140625" style="997"/>
    <col min="8716" max="8721" width="0" style="997" hidden="1" customWidth="1"/>
    <col min="8722" max="8722" width="11.7109375" style="997" customWidth="1"/>
    <col min="8723" max="8723" width="9.140625" style="997"/>
    <col min="8724" max="8729" width="0" style="997" hidden="1" customWidth="1"/>
    <col min="8730" max="8730" width="11.7109375" style="997" customWidth="1"/>
    <col min="8731" max="8731" width="9.140625" style="997"/>
    <col min="8732" max="8737" width="0" style="997" hidden="1" customWidth="1"/>
    <col min="8738" max="8738" width="11.7109375" style="997" customWidth="1"/>
    <col min="8739" max="8960" width="9.140625" style="997"/>
    <col min="8961" max="8961" width="67.7109375" style="997" customWidth="1"/>
    <col min="8962" max="8962" width="11.7109375" style="997" customWidth="1"/>
    <col min="8963" max="8963" width="9.140625" style="997"/>
    <col min="8964" max="8969" width="0" style="997" hidden="1" customWidth="1"/>
    <col min="8970" max="8970" width="11.7109375" style="997" customWidth="1"/>
    <col min="8971" max="8971" width="9.140625" style="997"/>
    <col min="8972" max="8977" width="0" style="997" hidden="1" customWidth="1"/>
    <col min="8978" max="8978" width="11.7109375" style="997" customWidth="1"/>
    <col min="8979" max="8979" width="9.140625" style="997"/>
    <col min="8980" max="8985" width="0" style="997" hidden="1" customWidth="1"/>
    <col min="8986" max="8986" width="11.7109375" style="997" customWidth="1"/>
    <col min="8987" max="8987" width="9.140625" style="997"/>
    <col min="8988" max="8993" width="0" style="997" hidden="1" customWidth="1"/>
    <col min="8994" max="8994" width="11.7109375" style="997" customWidth="1"/>
    <col min="8995" max="9216" width="9.140625" style="997"/>
    <col min="9217" max="9217" width="67.7109375" style="997" customWidth="1"/>
    <col min="9218" max="9218" width="11.7109375" style="997" customWidth="1"/>
    <col min="9219" max="9219" width="9.140625" style="997"/>
    <col min="9220" max="9225" width="0" style="997" hidden="1" customWidth="1"/>
    <col min="9226" max="9226" width="11.7109375" style="997" customWidth="1"/>
    <col min="9227" max="9227" width="9.140625" style="997"/>
    <col min="9228" max="9233" width="0" style="997" hidden="1" customWidth="1"/>
    <col min="9234" max="9234" width="11.7109375" style="997" customWidth="1"/>
    <col min="9235" max="9235" width="9.140625" style="997"/>
    <col min="9236" max="9241" width="0" style="997" hidden="1" customWidth="1"/>
    <col min="9242" max="9242" width="11.7109375" style="997" customWidth="1"/>
    <col min="9243" max="9243" width="9.140625" style="997"/>
    <col min="9244" max="9249" width="0" style="997" hidden="1" customWidth="1"/>
    <col min="9250" max="9250" width="11.7109375" style="997" customWidth="1"/>
    <col min="9251" max="9472" width="9.140625" style="997"/>
    <col min="9473" max="9473" width="67.7109375" style="997" customWidth="1"/>
    <col min="9474" max="9474" width="11.7109375" style="997" customWidth="1"/>
    <col min="9475" max="9475" width="9.140625" style="997"/>
    <col min="9476" max="9481" width="0" style="997" hidden="1" customWidth="1"/>
    <col min="9482" max="9482" width="11.7109375" style="997" customWidth="1"/>
    <col min="9483" max="9483" width="9.140625" style="997"/>
    <col min="9484" max="9489" width="0" style="997" hidden="1" customWidth="1"/>
    <col min="9490" max="9490" width="11.7109375" style="997" customWidth="1"/>
    <col min="9491" max="9491" width="9.140625" style="997"/>
    <col min="9492" max="9497" width="0" style="997" hidden="1" customWidth="1"/>
    <col min="9498" max="9498" width="11.7109375" style="997" customWidth="1"/>
    <col min="9499" max="9499" width="9.140625" style="997"/>
    <col min="9500" max="9505" width="0" style="997" hidden="1" customWidth="1"/>
    <col min="9506" max="9506" width="11.7109375" style="997" customWidth="1"/>
    <col min="9507" max="9728" width="9.140625" style="997"/>
    <col min="9729" max="9729" width="67.7109375" style="997" customWidth="1"/>
    <col min="9730" max="9730" width="11.7109375" style="997" customWidth="1"/>
    <col min="9731" max="9731" width="9.140625" style="997"/>
    <col min="9732" max="9737" width="0" style="997" hidden="1" customWidth="1"/>
    <col min="9738" max="9738" width="11.7109375" style="997" customWidth="1"/>
    <col min="9739" max="9739" width="9.140625" style="997"/>
    <col min="9740" max="9745" width="0" style="997" hidden="1" customWidth="1"/>
    <col min="9746" max="9746" width="11.7109375" style="997" customWidth="1"/>
    <col min="9747" max="9747" width="9.140625" style="997"/>
    <col min="9748" max="9753" width="0" style="997" hidden="1" customWidth="1"/>
    <col min="9754" max="9754" width="11.7109375" style="997" customWidth="1"/>
    <col min="9755" max="9755" width="9.140625" style="997"/>
    <col min="9756" max="9761" width="0" style="997" hidden="1" customWidth="1"/>
    <col min="9762" max="9762" width="11.7109375" style="997" customWidth="1"/>
    <col min="9763" max="9984" width="9.140625" style="997"/>
    <col min="9985" max="9985" width="67.7109375" style="997" customWidth="1"/>
    <col min="9986" max="9986" width="11.7109375" style="997" customWidth="1"/>
    <col min="9987" max="9987" width="9.140625" style="997"/>
    <col min="9988" max="9993" width="0" style="997" hidden="1" customWidth="1"/>
    <col min="9994" max="9994" width="11.7109375" style="997" customWidth="1"/>
    <col min="9995" max="9995" width="9.140625" style="997"/>
    <col min="9996" max="10001" width="0" style="997" hidden="1" customWidth="1"/>
    <col min="10002" max="10002" width="11.7109375" style="997" customWidth="1"/>
    <col min="10003" max="10003" width="9.140625" style="997"/>
    <col min="10004" max="10009" width="0" style="997" hidden="1" customWidth="1"/>
    <col min="10010" max="10010" width="11.7109375" style="997" customWidth="1"/>
    <col min="10011" max="10011" width="9.140625" style="997"/>
    <col min="10012" max="10017" width="0" style="997" hidden="1" customWidth="1"/>
    <col min="10018" max="10018" width="11.7109375" style="997" customWidth="1"/>
    <col min="10019" max="10240" width="9.140625" style="997"/>
    <col min="10241" max="10241" width="67.7109375" style="997" customWidth="1"/>
    <col min="10242" max="10242" width="11.7109375" style="997" customWidth="1"/>
    <col min="10243" max="10243" width="9.140625" style="997"/>
    <col min="10244" max="10249" width="0" style="997" hidden="1" customWidth="1"/>
    <col min="10250" max="10250" width="11.7109375" style="997" customWidth="1"/>
    <col min="10251" max="10251" width="9.140625" style="997"/>
    <col min="10252" max="10257" width="0" style="997" hidden="1" customWidth="1"/>
    <col min="10258" max="10258" width="11.7109375" style="997" customWidth="1"/>
    <col min="10259" max="10259" width="9.140625" style="997"/>
    <col min="10260" max="10265" width="0" style="997" hidden="1" customWidth="1"/>
    <col min="10266" max="10266" width="11.7109375" style="997" customWidth="1"/>
    <col min="10267" max="10267" width="9.140625" style="997"/>
    <col min="10268" max="10273" width="0" style="997" hidden="1" customWidth="1"/>
    <col min="10274" max="10274" width="11.7109375" style="997" customWidth="1"/>
    <col min="10275" max="10496" width="9.140625" style="997"/>
    <col min="10497" max="10497" width="67.7109375" style="997" customWidth="1"/>
    <col min="10498" max="10498" width="11.7109375" style="997" customWidth="1"/>
    <col min="10499" max="10499" width="9.140625" style="997"/>
    <col min="10500" max="10505" width="0" style="997" hidden="1" customWidth="1"/>
    <col min="10506" max="10506" width="11.7109375" style="997" customWidth="1"/>
    <col min="10507" max="10507" width="9.140625" style="997"/>
    <col min="10508" max="10513" width="0" style="997" hidden="1" customWidth="1"/>
    <col min="10514" max="10514" width="11.7109375" style="997" customWidth="1"/>
    <col min="10515" max="10515" width="9.140625" style="997"/>
    <col min="10516" max="10521" width="0" style="997" hidden="1" customWidth="1"/>
    <col min="10522" max="10522" width="11.7109375" style="997" customWidth="1"/>
    <col min="10523" max="10523" width="9.140625" style="997"/>
    <col min="10524" max="10529" width="0" style="997" hidden="1" customWidth="1"/>
    <col min="10530" max="10530" width="11.7109375" style="997" customWidth="1"/>
    <col min="10531" max="10752" width="9.140625" style="997"/>
    <col min="10753" max="10753" width="67.7109375" style="997" customWidth="1"/>
    <col min="10754" max="10754" width="11.7109375" style="997" customWidth="1"/>
    <col min="10755" max="10755" width="9.140625" style="997"/>
    <col min="10756" max="10761" width="0" style="997" hidden="1" customWidth="1"/>
    <col min="10762" max="10762" width="11.7109375" style="997" customWidth="1"/>
    <col min="10763" max="10763" width="9.140625" style="997"/>
    <col min="10764" max="10769" width="0" style="997" hidden="1" customWidth="1"/>
    <col min="10770" max="10770" width="11.7109375" style="997" customWidth="1"/>
    <col min="10771" max="10771" width="9.140625" style="997"/>
    <col min="10772" max="10777" width="0" style="997" hidden="1" customWidth="1"/>
    <col min="10778" max="10778" width="11.7109375" style="997" customWidth="1"/>
    <col min="10779" max="10779" width="9.140625" style="997"/>
    <col min="10780" max="10785" width="0" style="997" hidden="1" customWidth="1"/>
    <col min="10786" max="10786" width="11.7109375" style="997" customWidth="1"/>
    <col min="10787" max="11008" width="9.140625" style="997"/>
    <col min="11009" max="11009" width="67.7109375" style="997" customWidth="1"/>
    <col min="11010" max="11010" width="11.7109375" style="997" customWidth="1"/>
    <col min="11011" max="11011" width="9.140625" style="997"/>
    <col min="11012" max="11017" width="0" style="997" hidden="1" customWidth="1"/>
    <col min="11018" max="11018" width="11.7109375" style="997" customWidth="1"/>
    <col min="11019" max="11019" width="9.140625" style="997"/>
    <col min="11020" max="11025" width="0" style="997" hidden="1" customWidth="1"/>
    <col min="11026" max="11026" width="11.7109375" style="997" customWidth="1"/>
    <col min="11027" max="11027" width="9.140625" style="997"/>
    <col min="11028" max="11033" width="0" style="997" hidden="1" customWidth="1"/>
    <col min="11034" max="11034" width="11.7109375" style="997" customWidth="1"/>
    <col min="11035" max="11035" width="9.140625" style="997"/>
    <col min="11036" max="11041" width="0" style="997" hidden="1" customWidth="1"/>
    <col min="11042" max="11042" width="11.7109375" style="997" customWidth="1"/>
    <col min="11043" max="11264" width="9.140625" style="997"/>
    <col min="11265" max="11265" width="67.7109375" style="997" customWidth="1"/>
    <col min="11266" max="11266" width="11.7109375" style="997" customWidth="1"/>
    <col min="11267" max="11267" width="9.140625" style="997"/>
    <col min="11268" max="11273" width="0" style="997" hidden="1" customWidth="1"/>
    <col min="11274" max="11274" width="11.7109375" style="997" customWidth="1"/>
    <col min="11275" max="11275" width="9.140625" style="997"/>
    <col min="11276" max="11281" width="0" style="997" hidden="1" customWidth="1"/>
    <col min="11282" max="11282" width="11.7109375" style="997" customWidth="1"/>
    <col min="11283" max="11283" width="9.140625" style="997"/>
    <col min="11284" max="11289" width="0" style="997" hidden="1" customWidth="1"/>
    <col min="11290" max="11290" width="11.7109375" style="997" customWidth="1"/>
    <col min="11291" max="11291" width="9.140625" style="997"/>
    <col min="11292" max="11297" width="0" style="997" hidden="1" customWidth="1"/>
    <col min="11298" max="11298" width="11.7109375" style="997" customWidth="1"/>
    <col min="11299" max="11520" width="9.140625" style="997"/>
    <col min="11521" max="11521" width="67.7109375" style="997" customWidth="1"/>
    <col min="11522" max="11522" width="11.7109375" style="997" customWidth="1"/>
    <col min="11523" max="11523" width="9.140625" style="997"/>
    <col min="11524" max="11529" width="0" style="997" hidden="1" customWidth="1"/>
    <col min="11530" max="11530" width="11.7109375" style="997" customWidth="1"/>
    <col min="11531" max="11531" width="9.140625" style="997"/>
    <col min="11532" max="11537" width="0" style="997" hidden="1" customWidth="1"/>
    <col min="11538" max="11538" width="11.7109375" style="997" customWidth="1"/>
    <col min="11539" max="11539" width="9.140625" style="997"/>
    <col min="11540" max="11545" width="0" style="997" hidden="1" customWidth="1"/>
    <col min="11546" max="11546" width="11.7109375" style="997" customWidth="1"/>
    <col min="11547" max="11547" width="9.140625" style="997"/>
    <col min="11548" max="11553" width="0" style="997" hidden="1" customWidth="1"/>
    <col min="11554" max="11554" width="11.7109375" style="997" customWidth="1"/>
    <col min="11555" max="11776" width="9.140625" style="997"/>
    <col min="11777" max="11777" width="67.7109375" style="997" customWidth="1"/>
    <col min="11778" max="11778" width="11.7109375" style="997" customWidth="1"/>
    <col min="11779" max="11779" width="9.140625" style="997"/>
    <col min="11780" max="11785" width="0" style="997" hidden="1" customWidth="1"/>
    <col min="11786" max="11786" width="11.7109375" style="997" customWidth="1"/>
    <col min="11787" max="11787" width="9.140625" style="997"/>
    <col min="11788" max="11793" width="0" style="997" hidden="1" customWidth="1"/>
    <col min="11794" max="11794" width="11.7109375" style="997" customWidth="1"/>
    <col min="11795" max="11795" width="9.140625" style="997"/>
    <col min="11796" max="11801" width="0" style="997" hidden="1" customWidth="1"/>
    <col min="11802" max="11802" width="11.7109375" style="997" customWidth="1"/>
    <col min="11803" max="11803" width="9.140625" style="997"/>
    <col min="11804" max="11809" width="0" style="997" hidden="1" customWidth="1"/>
    <col min="11810" max="11810" width="11.7109375" style="997" customWidth="1"/>
    <col min="11811" max="12032" width="9.140625" style="997"/>
    <col min="12033" max="12033" width="67.7109375" style="997" customWidth="1"/>
    <col min="12034" max="12034" width="11.7109375" style="997" customWidth="1"/>
    <col min="12035" max="12035" width="9.140625" style="997"/>
    <col min="12036" max="12041" width="0" style="997" hidden="1" customWidth="1"/>
    <col min="12042" max="12042" width="11.7109375" style="997" customWidth="1"/>
    <col min="12043" max="12043" width="9.140625" style="997"/>
    <col min="12044" max="12049" width="0" style="997" hidden="1" customWidth="1"/>
    <col min="12050" max="12050" width="11.7109375" style="997" customWidth="1"/>
    <col min="12051" max="12051" width="9.140625" style="997"/>
    <col min="12052" max="12057" width="0" style="997" hidden="1" customWidth="1"/>
    <col min="12058" max="12058" width="11.7109375" style="997" customWidth="1"/>
    <col min="12059" max="12059" width="9.140625" style="997"/>
    <col min="12060" max="12065" width="0" style="997" hidden="1" customWidth="1"/>
    <col min="12066" max="12066" width="11.7109375" style="997" customWidth="1"/>
    <col min="12067" max="12288" width="9.140625" style="997"/>
    <col min="12289" max="12289" width="67.7109375" style="997" customWidth="1"/>
    <col min="12290" max="12290" width="11.7109375" style="997" customWidth="1"/>
    <col min="12291" max="12291" width="9.140625" style="997"/>
    <col min="12292" max="12297" width="0" style="997" hidden="1" customWidth="1"/>
    <col min="12298" max="12298" width="11.7109375" style="997" customWidth="1"/>
    <col min="12299" max="12299" width="9.140625" style="997"/>
    <col min="12300" max="12305" width="0" style="997" hidden="1" customWidth="1"/>
    <col min="12306" max="12306" width="11.7109375" style="997" customWidth="1"/>
    <col min="12307" max="12307" width="9.140625" style="997"/>
    <col min="12308" max="12313" width="0" style="997" hidden="1" customWidth="1"/>
    <col min="12314" max="12314" width="11.7109375" style="997" customWidth="1"/>
    <col min="12315" max="12315" width="9.140625" style="997"/>
    <col min="12316" max="12321" width="0" style="997" hidden="1" customWidth="1"/>
    <col min="12322" max="12322" width="11.7109375" style="997" customWidth="1"/>
    <col min="12323" max="12544" width="9.140625" style="997"/>
    <col min="12545" max="12545" width="67.7109375" style="997" customWidth="1"/>
    <col min="12546" max="12546" width="11.7109375" style="997" customWidth="1"/>
    <col min="12547" max="12547" width="9.140625" style="997"/>
    <col min="12548" max="12553" width="0" style="997" hidden="1" customWidth="1"/>
    <col min="12554" max="12554" width="11.7109375" style="997" customWidth="1"/>
    <col min="12555" max="12555" width="9.140625" style="997"/>
    <col min="12556" max="12561" width="0" style="997" hidden="1" customWidth="1"/>
    <col min="12562" max="12562" width="11.7109375" style="997" customWidth="1"/>
    <col min="12563" max="12563" width="9.140625" style="997"/>
    <col min="12564" max="12569" width="0" style="997" hidden="1" customWidth="1"/>
    <col min="12570" max="12570" width="11.7109375" style="997" customWidth="1"/>
    <col min="12571" max="12571" width="9.140625" style="997"/>
    <col min="12572" max="12577" width="0" style="997" hidden="1" customWidth="1"/>
    <col min="12578" max="12578" width="11.7109375" style="997" customWidth="1"/>
    <col min="12579" max="12800" width="9.140625" style="997"/>
    <col min="12801" max="12801" width="67.7109375" style="997" customWidth="1"/>
    <col min="12802" max="12802" width="11.7109375" style="997" customWidth="1"/>
    <col min="12803" max="12803" width="9.140625" style="997"/>
    <col min="12804" max="12809" width="0" style="997" hidden="1" customWidth="1"/>
    <col min="12810" max="12810" width="11.7109375" style="997" customWidth="1"/>
    <col min="12811" max="12811" width="9.140625" style="997"/>
    <col min="12812" max="12817" width="0" style="997" hidden="1" customWidth="1"/>
    <col min="12818" max="12818" width="11.7109375" style="997" customWidth="1"/>
    <col min="12819" max="12819" width="9.140625" style="997"/>
    <col min="12820" max="12825" width="0" style="997" hidden="1" customWidth="1"/>
    <col min="12826" max="12826" width="11.7109375" style="997" customWidth="1"/>
    <col min="12827" max="12827" width="9.140625" style="997"/>
    <col min="12828" max="12833" width="0" style="997" hidden="1" customWidth="1"/>
    <col min="12834" max="12834" width="11.7109375" style="997" customWidth="1"/>
    <col min="12835" max="13056" width="9.140625" style="997"/>
    <col min="13057" max="13057" width="67.7109375" style="997" customWidth="1"/>
    <col min="13058" max="13058" width="11.7109375" style="997" customWidth="1"/>
    <col min="13059" max="13059" width="9.140625" style="997"/>
    <col min="13060" max="13065" width="0" style="997" hidden="1" customWidth="1"/>
    <col min="13066" max="13066" width="11.7109375" style="997" customWidth="1"/>
    <col min="13067" max="13067" width="9.140625" style="997"/>
    <col min="13068" max="13073" width="0" style="997" hidden="1" customWidth="1"/>
    <col min="13074" max="13074" width="11.7109375" style="997" customWidth="1"/>
    <col min="13075" max="13075" width="9.140625" style="997"/>
    <col min="13076" max="13081" width="0" style="997" hidden="1" customWidth="1"/>
    <col min="13082" max="13082" width="11.7109375" style="997" customWidth="1"/>
    <col min="13083" max="13083" width="9.140625" style="997"/>
    <col min="13084" max="13089" width="0" style="997" hidden="1" customWidth="1"/>
    <col min="13090" max="13090" width="11.7109375" style="997" customWidth="1"/>
    <col min="13091" max="13312" width="9.140625" style="997"/>
    <col min="13313" max="13313" width="67.7109375" style="997" customWidth="1"/>
    <col min="13314" max="13314" width="11.7109375" style="997" customWidth="1"/>
    <col min="13315" max="13315" width="9.140625" style="997"/>
    <col min="13316" max="13321" width="0" style="997" hidden="1" customWidth="1"/>
    <col min="13322" max="13322" width="11.7109375" style="997" customWidth="1"/>
    <col min="13323" max="13323" width="9.140625" style="997"/>
    <col min="13324" max="13329" width="0" style="997" hidden="1" customWidth="1"/>
    <col min="13330" max="13330" width="11.7109375" style="997" customWidth="1"/>
    <col min="13331" max="13331" width="9.140625" style="997"/>
    <col min="13332" max="13337" width="0" style="997" hidden="1" customWidth="1"/>
    <col min="13338" max="13338" width="11.7109375" style="997" customWidth="1"/>
    <col min="13339" max="13339" width="9.140625" style="997"/>
    <col min="13340" max="13345" width="0" style="997" hidden="1" customWidth="1"/>
    <col min="13346" max="13346" width="11.7109375" style="997" customWidth="1"/>
    <col min="13347" max="13568" width="9.140625" style="997"/>
    <col min="13569" max="13569" width="67.7109375" style="997" customWidth="1"/>
    <col min="13570" max="13570" width="11.7109375" style="997" customWidth="1"/>
    <col min="13571" max="13571" width="9.140625" style="997"/>
    <col min="13572" max="13577" width="0" style="997" hidden="1" customWidth="1"/>
    <col min="13578" max="13578" width="11.7109375" style="997" customWidth="1"/>
    <col min="13579" max="13579" width="9.140625" style="997"/>
    <col min="13580" max="13585" width="0" style="997" hidden="1" customWidth="1"/>
    <col min="13586" max="13586" width="11.7109375" style="997" customWidth="1"/>
    <col min="13587" max="13587" width="9.140625" style="997"/>
    <col min="13588" max="13593" width="0" style="997" hidden="1" customWidth="1"/>
    <col min="13594" max="13594" width="11.7109375" style="997" customWidth="1"/>
    <col min="13595" max="13595" width="9.140625" style="997"/>
    <col min="13596" max="13601" width="0" style="997" hidden="1" customWidth="1"/>
    <col min="13602" max="13602" width="11.7109375" style="997" customWidth="1"/>
    <col min="13603" max="13824" width="9.140625" style="997"/>
    <col min="13825" max="13825" width="67.7109375" style="997" customWidth="1"/>
    <col min="13826" max="13826" width="11.7109375" style="997" customWidth="1"/>
    <col min="13827" max="13827" width="9.140625" style="997"/>
    <col min="13828" max="13833" width="0" style="997" hidden="1" customWidth="1"/>
    <col min="13834" max="13834" width="11.7109375" style="997" customWidth="1"/>
    <col min="13835" max="13835" width="9.140625" style="997"/>
    <col min="13836" max="13841" width="0" style="997" hidden="1" customWidth="1"/>
    <col min="13842" max="13842" width="11.7109375" style="997" customWidth="1"/>
    <col min="13843" max="13843" width="9.140625" style="997"/>
    <col min="13844" max="13849" width="0" style="997" hidden="1" customWidth="1"/>
    <col min="13850" max="13850" width="11.7109375" style="997" customWidth="1"/>
    <col min="13851" max="13851" width="9.140625" style="997"/>
    <col min="13852" max="13857" width="0" style="997" hidden="1" customWidth="1"/>
    <col min="13858" max="13858" width="11.7109375" style="997" customWidth="1"/>
    <col min="13859" max="14080" width="9.140625" style="997"/>
    <col min="14081" max="14081" width="67.7109375" style="997" customWidth="1"/>
    <col min="14082" max="14082" width="11.7109375" style="997" customWidth="1"/>
    <col min="14083" max="14083" width="9.140625" style="997"/>
    <col min="14084" max="14089" width="0" style="997" hidden="1" customWidth="1"/>
    <col min="14090" max="14090" width="11.7109375" style="997" customWidth="1"/>
    <col min="14091" max="14091" width="9.140625" style="997"/>
    <col min="14092" max="14097" width="0" style="997" hidden="1" customWidth="1"/>
    <col min="14098" max="14098" width="11.7109375" style="997" customWidth="1"/>
    <col min="14099" max="14099" width="9.140625" style="997"/>
    <col min="14100" max="14105" width="0" style="997" hidden="1" customWidth="1"/>
    <col min="14106" max="14106" width="11.7109375" style="997" customWidth="1"/>
    <col min="14107" max="14107" width="9.140625" style="997"/>
    <col min="14108" max="14113" width="0" style="997" hidden="1" customWidth="1"/>
    <col min="14114" max="14114" width="11.7109375" style="997" customWidth="1"/>
    <col min="14115" max="14336" width="9.140625" style="997"/>
    <col min="14337" max="14337" width="67.7109375" style="997" customWidth="1"/>
    <col min="14338" max="14338" width="11.7109375" style="997" customWidth="1"/>
    <col min="14339" max="14339" width="9.140625" style="997"/>
    <col min="14340" max="14345" width="0" style="997" hidden="1" customWidth="1"/>
    <col min="14346" max="14346" width="11.7109375" style="997" customWidth="1"/>
    <col min="14347" max="14347" width="9.140625" style="997"/>
    <col min="14348" max="14353" width="0" style="997" hidden="1" customWidth="1"/>
    <col min="14354" max="14354" width="11.7109375" style="997" customWidth="1"/>
    <col min="14355" max="14355" width="9.140625" style="997"/>
    <col min="14356" max="14361" width="0" style="997" hidden="1" customWidth="1"/>
    <col min="14362" max="14362" width="11.7109375" style="997" customWidth="1"/>
    <col min="14363" max="14363" width="9.140625" style="997"/>
    <col min="14364" max="14369" width="0" style="997" hidden="1" customWidth="1"/>
    <col min="14370" max="14370" width="11.7109375" style="997" customWidth="1"/>
    <col min="14371" max="14592" width="9.140625" style="997"/>
    <col min="14593" max="14593" width="67.7109375" style="997" customWidth="1"/>
    <col min="14594" max="14594" width="11.7109375" style="997" customWidth="1"/>
    <col min="14595" max="14595" width="9.140625" style="997"/>
    <col min="14596" max="14601" width="0" style="997" hidden="1" customWidth="1"/>
    <col min="14602" max="14602" width="11.7109375" style="997" customWidth="1"/>
    <col min="14603" max="14603" width="9.140625" style="997"/>
    <col min="14604" max="14609" width="0" style="997" hidden="1" customWidth="1"/>
    <col min="14610" max="14610" width="11.7109375" style="997" customWidth="1"/>
    <col min="14611" max="14611" width="9.140625" style="997"/>
    <col min="14612" max="14617" width="0" style="997" hidden="1" customWidth="1"/>
    <col min="14618" max="14618" width="11.7109375" style="997" customWidth="1"/>
    <col min="14619" max="14619" width="9.140625" style="997"/>
    <col min="14620" max="14625" width="0" style="997" hidden="1" customWidth="1"/>
    <col min="14626" max="14626" width="11.7109375" style="997" customWidth="1"/>
    <col min="14627" max="14848" width="9.140625" style="997"/>
    <col min="14849" max="14849" width="67.7109375" style="997" customWidth="1"/>
    <col min="14850" max="14850" width="11.7109375" style="997" customWidth="1"/>
    <col min="14851" max="14851" width="9.140625" style="997"/>
    <col min="14852" max="14857" width="0" style="997" hidden="1" customWidth="1"/>
    <col min="14858" max="14858" width="11.7109375" style="997" customWidth="1"/>
    <col min="14859" max="14859" width="9.140625" style="997"/>
    <col min="14860" max="14865" width="0" style="997" hidden="1" customWidth="1"/>
    <col min="14866" max="14866" width="11.7109375" style="997" customWidth="1"/>
    <col min="14867" max="14867" width="9.140625" style="997"/>
    <col min="14868" max="14873" width="0" style="997" hidden="1" customWidth="1"/>
    <col min="14874" max="14874" width="11.7109375" style="997" customWidth="1"/>
    <col min="14875" max="14875" width="9.140625" style="997"/>
    <col min="14876" max="14881" width="0" style="997" hidden="1" customWidth="1"/>
    <col min="14882" max="14882" width="11.7109375" style="997" customWidth="1"/>
    <col min="14883" max="15104" width="9.140625" style="997"/>
    <col min="15105" max="15105" width="67.7109375" style="997" customWidth="1"/>
    <col min="15106" max="15106" width="11.7109375" style="997" customWidth="1"/>
    <col min="15107" max="15107" width="9.140625" style="997"/>
    <col min="15108" max="15113" width="0" style="997" hidden="1" customWidth="1"/>
    <col min="15114" max="15114" width="11.7109375" style="997" customWidth="1"/>
    <col min="15115" max="15115" width="9.140625" style="997"/>
    <col min="15116" max="15121" width="0" style="997" hidden="1" customWidth="1"/>
    <col min="15122" max="15122" width="11.7109375" style="997" customWidth="1"/>
    <col min="15123" max="15123" width="9.140625" style="997"/>
    <col min="15124" max="15129" width="0" style="997" hidden="1" customWidth="1"/>
    <col min="15130" max="15130" width="11.7109375" style="997" customWidth="1"/>
    <col min="15131" max="15131" width="9.140625" style="997"/>
    <col min="15132" max="15137" width="0" style="997" hidden="1" customWidth="1"/>
    <col min="15138" max="15138" width="11.7109375" style="997" customWidth="1"/>
    <col min="15139" max="15360" width="9.140625" style="997"/>
    <col min="15361" max="15361" width="67.7109375" style="997" customWidth="1"/>
    <col min="15362" max="15362" width="11.7109375" style="997" customWidth="1"/>
    <col min="15363" max="15363" width="9.140625" style="997"/>
    <col min="15364" max="15369" width="0" style="997" hidden="1" customWidth="1"/>
    <col min="15370" max="15370" width="11.7109375" style="997" customWidth="1"/>
    <col min="15371" max="15371" width="9.140625" style="997"/>
    <col min="15372" max="15377" width="0" style="997" hidden="1" customWidth="1"/>
    <col min="15378" max="15378" width="11.7109375" style="997" customWidth="1"/>
    <col min="15379" max="15379" width="9.140625" style="997"/>
    <col min="15380" max="15385" width="0" style="997" hidden="1" customWidth="1"/>
    <col min="15386" max="15386" width="11.7109375" style="997" customWidth="1"/>
    <col min="15387" max="15387" width="9.140625" style="997"/>
    <col min="15388" max="15393" width="0" style="997" hidden="1" customWidth="1"/>
    <col min="15394" max="15394" width="11.7109375" style="997" customWidth="1"/>
    <col min="15395" max="15616" width="9.140625" style="997"/>
    <col min="15617" max="15617" width="67.7109375" style="997" customWidth="1"/>
    <col min="15618" max="15618" width="11.7109375" style="997" customWidth="1"/>
    <col min="15619" max="15619" width="9.140625" style="997"/>
    <col min="15620" max="15625" width="0" style="997" hidden="1" customWidth="1"/>
    <col min="15626" max="15626" width="11.7109375" style="997" customWidth="1"/>
    <col min="15627" max="15627" width="9.140625" style="997"/>
    <col min="15628" max="15633" width="0" style="997" hidden="1" customWidth="1"/>
    <col min="15634" max="15634" width="11.7109375" style="997" customWidth="1"/>
    <col min="15635" max="15635" width="9.140625" style="997"/>
    <col min="15636" max="15641" width="0" style="997" hidden="1" customWidth="1"/>
    <col min="15642" max="15642" width="11.7109375" style="997" customWidth="1"/>
    <col min="15643" max="15643" width="9.140625" style="997"/>
    <col min="15644" max="15649" width="0" style="997" hidden="1" customWidth="1"/>
    <col min="15650" max="15650" width="11.7109375" style="997" customWidth="1"/>
    <col min="15651" max="15872" width="9.140625" style="997"/>
    <col min="15873" max="15873" width="67.7109375" style="997" customWidth="1"/>
    <col min="15874" max="15874" width="11.7109375" style="997" customWidth="1"/>
    <col min="15875" max="15875" width="9.140625" style="997"/>
    <col min="15876" max="15881" width="0" style="997" hidden="1" customWidth="1"/>
    <col min="15882" max="15882" width="11.7109375" style="997" customWidth="1"/>
    <col min="15883" max="15883" width="9.140625" style="997"/>
    <col min="15884" max="15889" width="0" style="997" hidden="1" customWidth="1"/>
    <col min="15890" max="15890" width="11.7109375" style="997" customWidth="1"/>
    <col min="15891" max="15891" width="9.140625" style="997"/>
    <col min="15892" max="15897" width="0" style="997" hidden="1" customWidth="1"/>
    <col min="15898" max="15898" width="11.7109375" style="997" customWidth="1"/>
    <col min="15899" max="15899" width="9.140625" style="997"/>
    <col min="15900" max="15905" width="0" style="997" hidden="1" customWidth="1"/>
    <col min="15906" max="15906" width="11.7109375" style="997" customWidth="1"/>
    <col min="15907" max="16128" width="9.140625" style="997"/>
    <col min="16129" max="16129" width="67.7109375" style="997" customWidth="1"/>
    <col min="16130" max="16130" width="11.7109375" style="997" customWidth="1"/>
    <col min="16131" max="16131" width="9.140625" style="997"/>
    <col min="16132" max="16137" width="0" style="997" hidden="1" customWidth="1"/>
    <col min="16138" max="16138" width="11.7109375" style="997" customWidth="1"/>
    <col min="16139" max="16139" width="9.140625" style="997"/>
    <col min="16140" max="16145" width="0" style="997" hidden="1" customWidth="1"/>
    <col min="16146" max="16146" width="11.7109375" style="997" customWidth="1"/>
    <col min="16147" max="16147" width="9.140625" style="997"/>
    <col min="16148" max="16153" width="0" style="997" hidden="1" customWidth="1"/>
    <col min="16154" max="16154" width="11.7109375" style="997" customWidth="1"/>
    <col min="16155" max="16155" width="9.140625" style="997"/>
    <col min="16156" max="16161" width="0" style="997" hidden="1" customWidth="1"/>
    <col min="16162" max="16162" width="11.7109375" style="997" customWidth="1"/>
    <col min="16163" max="16384" width="9.140625" style="997"/>
  </cols>
  <sheetData>
    <row r="2" spans="1:51" x14ac:dyDescent="0.25">
      <c r="A2" s="996" t="s">
        <v>1439</v>
      </c>
    </row>
    <row r="3" spans="1:51" x14ac:dyDescent="0.25">
      <c r="B3" s="997" t="s">
        <v>1440</v>
      </c>
      <c r="J3" s="997" t="s">
        <v>1441</v>
      </c>
      <c r="R3" s="997" t="s">
        <v>1442</v>
      </c>
      <c r="Z3" s="997" t="s">
        <v>1443</v>
      </c>
      <c r="AH3" s="997" t="s">
        <v>1444</v>
      </c>
      <c r="AP3" s="998" t="s">
        <v>1445</v>
      </c>
      <c r="AX3" s="998" t="s">
        <v>1446</v>
      </c>
    </row>
    <row r="4" spans="1:51" x14ac:dyDescent="0.25">
      <c r="A4" s="997" t="s">
        <v>1447</v>
      </c>
      <c r="B4" s="999">
        <v>248</v>
      </c>
      <c r="C4" s="997" t="s">
        <v>1448</v>
      </c>
      <c r="J4" s="999">
        <v>249</v>
      </c>
      <c r="K4" s="997" t="s">
        <v>1448</v>
      </c>
      <c r="R4" s="999">
        <v>247</v>
      </c>
      <c r="S4" s="997" t="s">
        <v>1448</v>
      </c>
      <c r="Z4" s="999">
        <v>247</v>
      </c>
      <c r="AA4" s="997" t="s">
        <v>1448</v>
      </c>
      <c r="AH4" s="999">
        <v>247</v>
      </c>
      <c r="AI4" s="997" t="s">
        <v>1448</v>
      </c>
      <c r="AP4" s="999">
        <v>247</v>
      </c>
      <c r="AQ4" s="997" t="s">
        <v>1448</v>
      </c>
      <c r="AX4" s="999">
        <v>247</v>
      </c>
      <c r="AY4" s="997" t="s">
        <v>1448</v>
      </c>
    </row>
    <row r="5" spans="1:51" x14ac:dyDescent="0.25">
      <c r="A5" s="997" t="s">
        <v>1449</v>
      </c>
      <c r="B5" s="997">
        <v>8</v>
      </c>
      <c r="C5" s="997" t="s">
        <v>1450</v>
      </c>
      <c r="J5" s="997">
        <v>8</v>
      </c>
      <c r="K5" s="997" t="s">
        <v>1450</v>
      </c>
      <c r="R5" s="997">
        <v>8</v>
      </c>
      <c r="S5" s="997" t="s">
        <v>1450</v>
      </c>
      <c r="Z5" s="997">
        <v>8</v>
      </c>
      <c r="AA5" s="997" t="s">
        <v>1450</v>
      </c>
      <c r="AH5" s="997">
        <v>8</v>
      </c>
      <c r="AI5" s="997" t="s">
        <v>1450</v>
      </c>
      <c r="AP5" s="997">
        <v>8</v>
      </c>
      <c r="AQ5" s="997" t="s">
        <v>1450</v>
      </c>
      <c r="AX5" s="997">
        <v>8</v>
      </c>
      <c r="AY5" s="997" t="s">
        <v>1450</v>
      </c>
    </row>
    <row r="6" spans="1:51" x14ac:dyDescent="0.25">
      <c r="A6" s="997" t="s">
        <v>1451</v>
      </c>
      <c r="B6" s="999">
        <v>5</v>
      </c>
      <c r="C6" s="997" t="s">
        <v>1448</v>
      </c>
      <c r="J6" s="999">
        <v>4</v>
      </c>
      <c r="K6" s="997" t="s">
        <v>1448</v>
      </c>
      <c r="R6" s="999">
        <v>3</v>
      </c>
      <c r="S6" s="997" t="s">
        <v>1448</v>
      </c>
      <c r="Z6" s="999">
        <v>3</v>
      </c>
      <c r="AA6" s="997" t="s">
        <v>1448</v>
      </c>
      <c r="AH6" s="999">
        <v>3</v>
      </c>
      <c r="AI6" s="997" t="s">
        <v>1448</v>
      </c>
      <c r="AP6" s="999">
        <v>3</v>
      </c>
      <c r="AQ6" s="997" t="s">
        <v>1448</v>
      </c>
      <c r="AX6" s="999">
        <v>3</v>
      </c>
      <c r="AY6" s="997" t="s">
        <v>1448</v>
      </c>
    </row>
    <row r="7" spans="1:51" x14ac:dyDescent="0.25">
      <c r="A7" s="997" t="s">
        <v>1452</v>
      </c>
      <c r="B7" s="1000">
        <f>B4*B5-B6</f>
        <v>1979</v>
      </c>
      <c r="C7" s="997" t="s">
        <v>1450</v>
      </c>
      <c r="J7" s="1000">
        <f>J4*J5-J6</f>
        <v>1988</v>
      </c>
      <c r="K7" s="997" t="s">
        <v>1450</v>
      </c>
      <c r="R7" s="1000">
        <f>R4*R5-R6</f>
        <v>1973</v>
      </c>
      <c r="S7" s="997" t="s">
        <v>1450</v>
      </c>
      <c r="Z7" s="1000">
        <f>Z4*Z5-Z6</f>
        <v>1973</v>
      </c>
      <c r="AA7" s="997" t="s">
        <v>1450</v>
      </c>
      <c r="AH7" s="1000">
        <f>AH4*AH5-AH6</f>
        <v>1973</v>
      </c>
      <c r="AI7" s="997" t="s">
        <v>1450</v>
      </c>
      <c r="AP7" s="1000">
        <f>AP4*AP5-AP6</f>
        <v>1973</v>
      </c>
      <c r="AQ7" s="997" t="s">
        <v>1450</v>
      </c>
      <c r="AX7" s="1000">
        <f>AX4*AX5-AX6</f>
        <v>1973</v>
      </c>
      <c r="AY7" s="997" t="s">
        <v>1450</v>
      </c>
    </row>
    <row r="8" spans="1:51" x14ac:dyDescent="0.25">
      <c r="A8" s="997" t="s">
        <v>1453</v>
      </c>
      <c r="B8" s="997">
        <v>12</v>
      </c>
      <c r="C8" s="997" t="s">
        <v>1454</v>
      </c>
      <c r="J8" s="997">
        <v>12</v>
      </c>
      <c r="K8" s="997" t="s">
        <v>1454</v>
      </c>
      <c r="R8" s="997">
        <v>12</v>
      </c>
      <c r="S8" s="997" t="s">
        <v>1454</v>
      </c>
      <c r="Z8" s="997">
        <v>12</v>
      </c>
      <c r="AA8" s="997" t="s">
        <v>1454</v>
      </c>
      <c r="AH8" s="997">
        <v>12</v>
      </c>
      <c r="AI8" s="997" t="s">
        <v>1454</v>
      </c>
      <c r="AP8" s="997">
        <v>12</v>
      </c>
      <c r="AQ8" s="997" t="s">
        <v>1454</v>
      </c>
      <c r="AX8" s="997">
        <v>12</v>
      </c>
      <c r="AY8" s="997" t="s">
        <v>1454</v>
      </c>
    </row>
    <row r="9" spans="1:51" x14ac:dyDescent="0.25">
      <c r="A9" s="997" t="s">
        <v>1455</v>
      </c>
      <c r="B9" s="1001">
        <f>B7/B8</f>
        <v>164.92</v>
      </c>
      <c r="C9" s="997" t="s">
        <v>1450</v>
      </c>
      <c r="J9" s="1001">
        <f>J7/J8</f>
        <v>165.67</v>
      </c>
      <c r="K9" s="997" t="s">
        <v>1450</v>
      </c>
      <c r="R9" s="1001">
        <f>R7/R8</f>
        <v>164.42</v>
      </c>
      <c r="S9" s="997" t="s">
        <v>1450</v>
      </c>
      <c r="Z9" s="1001">
        <f>Z7/Z8</f>
        <v>164.42</v>
      </c>
      <c r="AA9" s="997" t="s">
        <v>1450</v>
      </c>
      <c r="AH9" s="1001">
        <f>AH7/AH8</f>
        <v>164.42</v>
      </c>
      <c r="AI9" s="997" t="s">
        <v>1450</v>
      </c>
      <c r="AP9" s="1001">
        <f>AP7/AP8</f>
        <v>164.42</v>
      </c>
      <c r="AQ9" s="997" t="s">
        <v>1450</v>
      </c>
      <c r="AX9" s="1001">
        <f>AX7/AX8</f>
        <v>164.42</v>
      </c>
      <c r="AY9" s="997" t="s">
        <v>1450</v>
      </c>
    </row>
    <row r="10" spans="1:51" x14ac:dyDescent="0.25">
      <c r="A10" s="997" t="s">
        <v>1456</v>
      </c>
      <c r="B10" s="1002">
        <v>4169</v>
      </c>
      <c r="C10" s="997" t="s">
        <v>500</v>
      </c>
      <c r="D10" s="997" t="s">
        <v>1457</v>
      </c>
      <c r="E10" s="1003">
        <v>4169</v>
      </c>
      <c r="F10" s="997" t="s">
        <v>1458</v>
      </c>
      <c r="G10" s="1004">
        <f>CEILING(E10*1.03,1)</f>
        <v>4295</v>
      </c>
      <c r="H10" s="997" t="s">
        <v>1459</v>
      </c>
      <c r="I10" s="1005">
        <f>(E10*9+G10*3)/12</f>
        <v>4200.5</v>
      </c>
      <c r="J10" s="1002">
        <v>4169</v>
      </c>
      <c r="K10" s="997" t="s">
        <v>500</v>
      </c>
      <c r="L10" s="997" t="s">
        <v>1457</v>
      </c>
      <c r="M10" s="1003">
        <v>4169</v>
      </c>
      <c r="N10" s="997" t="s">
        <v>1460</v>
      </c>
      <c r="O10" s="1004">
        <f>CEILING(M10*1.04,1)</f>
        <v>4336</v>
      </c>
      <c r="P10" s="997" t="s">
        <v>1459</v>
      </c>
      <c r="Q10" s="1005">
        <f>(M10*9+O10*3)/12</f>
        <v>4210.75</v>
      </c>
      <c r="R10" s="1002">
        <v>4210.75</v>
      </c>
      <c r="S10" s="997" t="s">
        <v>500</v>
      </c>
      <c r="T10" s="998" t="s">
        <v>1461</v>
      </c>
      <c r="U10" s="1004">
        <f>CEILING(M10*1.04,1)</f>
        <v>4336</v>
      </c>
      <c r="V10" s="998" t="s">
        <v>1462</v>
      </c>
      <c r="W10" s="1004">
        <f>CEILING(U10*1.055,1)</f>
        <v>4575</v>
      </c>
      <c r="X10" s="997" t="s">
        <v>1459</v>
      </c>
      <c r="Y10" s="1005">
        <f>(U10*9+W10*3)/12</f>
        <v>4395.75</v>
      </c>
      <c r="Z10" s="1002">
        <v>4395.75</v>
      </c>
      <c r="AA10" s="997" t="s">
        <v>500</v>
      </c>
      <c r="AB10" s="997" t="s">
        <v>1463</v>
      </c>
      <c r="AC10" s="1004">
        <f>CEILING(U10*1.055,1)</f>
        <v>4575</v>
      </c>
      <c r="AD10" s="997" t="s">
        <v>1464</v>
      </c>
      <c r="AE10" s="1004">
        <f>CEILING(AC10*1.04,1)</f>
        <v>4758</v>
      </c>
      <c r="AF10" s="997" t="s">
        <v>1459</v>
      </c>
      <c r="AG10" s="1005">
        <f>(AC10*9+AE10*3)/12</f>
        <v>4620.75</v>
      </c>
      <c r="AH10" s="1002">
        <v>4620.75</v>
      </c>
      <c r="AI10" s="997" t="s">
        <v>500</v>
      </c>
      <c r="AJ10" s="998" t="s">
        <v>1465</v>
      </c>
      <c r="AK10" s="1004">
        <f>CEILING(AC10*1.04,1)</f>
        <v>4758</v>
      </c>
      <c r="AL10" s="998" t="s">
        <v>1466</v>
      </c>
      <c r="AM10" s="1004">
        <f>CEILING(AK10*1.04,1)</f>
        <v>4949</v>
      </c>
      <c r="AN10" s="997" t="s">
        <v>1459</v>
      </c>
      <c r="AO10" s="1005">
        <f>(AK10*9+AM10*3)/12</f>
        <v>4805.75</v>
      </c>
      <c r="AP10" s="1002">
        <v>4805.75</v>
      </c>
      <c r="AQ10" s="997" t="s">
        <v>500</v>
      </c>
      <c r="AR10" s="998" t="s">
        <v>1467</v>
      </c>
      <c r="AS10" s="1004">
        <f>CEILING(AK10*1.04,1)</f>
        <v>4949</v>
      </c>
      <c r="AT10" s="998" t="s">
        <v>1468</v>
      </c>
      <c r="AU10" s="1004">
        <f>CEILING(AS10*1.04,1)</f>
        <v>5147</v>
      </c>
      <c r="AV10" s="997" t="s">
        <v>1459</v>
      </c>
      <c r="AW10" s="1005">
        <f>(AS10*9+AU10*3)/12</f>
        <v>4998.5</v>
      </c>
      <c r="AX10" s="1002">
        <v>4998.5</v>
      </c>
      <c r="AY10" s="997" t="s">
        <v>500</v>
      </c>
    </row>
    <row r="11" spans="1:51" x14ac:dyDescent="0.25">
      <c r="A11" s="1006" t="s">
        <v>1469</v>
      </c>
      <c r="B11" s="1004">
        <f>B10/B9</f>
        <v>25.28</v>
      </c>
      <c r="C11" s="997" t="s">
        <v>500</v>
      </c>
      <c r="J11" s="1004">
        <f>J10/J9</f>
        <v>25.16</v>
      </c>
      <c r="K11" s="997" t="s">
        <v>500</v>
      </c>
      <c r="R11" s="1004">
        <f>R10/R9</f>
        <v>25.61</v>
      </c>
      <c r="S11" s="997" t="s">
        <v>500</v>
      </c>
      <c r="Z11" s="1004">
        <f>Z10/Z9</f>
        <v>26.73</v>
      </c>
      <c r="AA11" s="997" t="s">
        <v>500</v>
      </c>
      <c r="AH11" s="1004">
        <f>AH10/AH9</f>
        <v>28.1</v>
      </c>
      <c r="AI11" s="997" t="s">
        <v>500</v>
      </c>
      <c r="AP11" s="1004">
        <f>AP10/AP9</f>
        <v>29.23</v>
      </c>
      <c r="AQ11" s="997" t="s">
        <v>500</v>
      </c>
      <c r="AX11" s="1004">
        <f>AX10/AX9</f>
        <v>30.4</v>
      </c>
      <c r="AY11" s="997" t="s">
        <v>500</v>
      </c>
    </row>
    <row r="12" spans="1:51" x14ac:dyDescent="0.25">
      <c r="A12" s="997" t="s">
        <v>1470</v>
      </c>
      <c r="B12" s="997">
        <v>35</v>
      </c>
      <c r="C12" s="997" t="s">
        <v>1435</v>
      </c>
      <c r="J12" s="997">
        <v>35</v>
      </c>
      <c r="K12" s="997" t="s">
        <v>1435</v>
      </c>
      <c r="R12" s="997">
        <v>35</v>
      </c>
      <c r="S12" s="997" t="s">
        <v>1435</v>
      </c>
      <c r="Z12" s="997">
        <v>35</v>
      </c>
      <c r="AA12" s="997" t="s">
        <v>1435</v>
      </c>
      <c r="AH12" s="997">
        <v>35</v>
      </c>
      <c r="AI12" s="997" t="s">
        <v>1435</v>
      </c>
      <c r="AP12" s="997">
        <v>35</v>
      </c>
      <c r="AQ12" s="997" t="s">
        <v>1435</v>
      </c>
      <c r="AX12" s="997">
        <v>35</v>
      </c>
      <c r="AY12" s="997" t="s">
        <v>1435</v>
      </c>
    </row>
    <row r="13" spans="1:51" x14ac:dyDescent="0.25">
      <c r="A13" s="1007" t="s">
        <v>1471</v>
      </c>
      <c r="B13" s="1008">
        <f>B11*B12/100</f>
        <v>8.85</v>
      </c>
      <c r="C13" s="997" t="s">
        <v>500</v>
      </c>
      <c r="J13" s="1008">
        <f>J11*J12/100</f>
        <v>8.81</v>
      </c>
      <c r="K13" s="997" t="s">
        <v>500</v>
      </c>
      <c r="R13" s="1008">
        <f>R11*R12/100</f>
        <v>8.9600000000000009</v>
      </c>
      <c r="S13" s="997" t="s">
        <v>500</v>
      </c>
      <c r="Z13" s="1008">
        <f>Z11*Z12/100</f>
        <v>9.36</v>
      </c>
      <c r="AA13" s="997" t="s">
        <v>500</v>
      </c>
      <c r="AH13" s="1008">
        <f>AH11*AH12/100</f>
        <v>9.84</v>
      </c>
      <c r="AI13" s="997" t="s">
        <v>500</v>
      </c>
      <c r="AP13" s="1008">
        <f>AP11*AP12/100</f>
        <v>10.23</v>
      </c>
      <c r="AQ13" s="997" t="s">
        <v>500</v>
      </c>
      <c r="AX13" s="1008">
        <f>AX11*AX12/100</f>
        <v>10.64</v>
      </c>
      <c r="AY13" s="997" t="s">
        <v>500</v>
      </c>
    </row>
    <row r="14" spans="1:51" x14ac:dyDescent="0.25">
      <c r="A14" s="997" t="s">
        <v>1472</v>
      </c>
      <c r="B14" s="997">
        <v>100</v>
      </c>
      <c r="C14" s="997" t="s">
        <v>1435</v>
      </c>
      <c r="J14" s="997">
        <v>100</v>
      </c>
      <c r="K14" s="997" t="s">
        <v>1435</v>
      </c>
      <c r="R14" s="997">
        <v>100</v>
      </c>
      <c r="S14" s="997" t="s">
        <v>1435</v>
      </c>
      <c r="Z14" s="997">
        <v>100</v>
      </c>
      <c r="AA14" s="997" t="s">
        <v>1435</v>
      </c>
      <c r="AH14" s="997">
        <v>100</v>
      </c>
      <c r="AI14" s="997" t="s">
        <v>1435</v>
      </c>
      <c r="AP14" s="997">
        <v>100</v>
      </c>
      <c r="AQ14" s="997" t="s">
        <v>1435</v>
      </c>
      <c r="AX14" s="997">
        <v>100</v>
      </c>
      <c r="AY14" s="997" t="s">
        <v>1435</v>
      </c>
    </row>
    <row r="15" spans="1:51" x14ac:dyDescent="0.25">
      <c r="A15" s="1007" t="s">
        <v>1473</v>
      </c>
      <c r="B15" s="1008">
        <f>B11*B14/100</f>
        <v>25.28</v>
      </c>
      <c r="C15" s="997" t="s">
        <v>500</v>
      </c>
      <c r="J15" s="1008">
        <f>J11*J14/100</f>
        <v>25.16</v>
      </c>
      <c r="K15" s="997" t="s">
        <v>500</v>
      </c>
      <c r="R15" s="1008">
        <f>R11*R14/100</f>
        <v>25.61</v>
      </c>
      <c r="S15" s="997" t="s">
        <v>500</v>
      </c>
      <c r="Z15" s="1008">
        <f>Z11*Z14/100</f>
        <v>26.73</v>
      </c>
      <c r="AA15" s="997" t="s">
        <v>500</v>
      </c>
      <c r="AH15" s="1008">
        <f>AH11*AH14/100</f>
        <v>28.1</v>
      </c>
      <c r="AI15" s="997" t="s">
        <v>500</v>
      </c>
      <c r="AP15" s="1008">
        <f>AP11*AP14/100</f>
        <v>29.23</v>
      </c>
      <c r="AQ15" s="997" t="s">
        <v>500</v>
      </c>
      <c r="AX15" s="1008">
        <f>AX11*AX14/100</f>
        <v>30.4</v>
      </c>
      <c r="AY15" s="997" t="s">
        <v>500</v>
      </c>
    </row>
    <row r="17" spans="1:51" x14ac:dyDescent="0.25">
      <c r="A17" s="1009" t="s">
        <v>1474</v>
      </c>
      <c r="B17" s="999">
        <v>366</v>
      </c>
      <c r="C17" s="997" t="s">
        <v>1448</v>
      </c>
      <c r="J17" s="999">
        <v>365</v>
      </c>
      <c r="K17" s="997" t="s">
        <v>1448</v>
      </c>
      <c r="R17" s="999">
        <v>365</v>
      </c>
      <c r="S17" s="997" t="s">
        <v>1448</v>
      </c>
      <c r="Z17" s="999">
        <v>365</v>
      </c>
      <c r="AA17" s="997" t="s">
        <v>1448</v>
      </c>
      <c r="AH17" s="999">
        <v>365</v>
      </c>
      <c r="AI17" s="997" t="s">
        <v>1448</v>
      </c>
      <c r="AP17" s="999">
        <v>365</v>
      </c>
      <c r="AQ17" s="997" t="s">
        <v>1448</v>
      </c>
      <c r="AX17" s="999">
        <v>365</v>
      </c>
      <c r="AY17" s="997" t="s">
        <v>1448</v>
      </c>
    </row>
    <row r="18" spans="1:51" x14ac:dyDescent="0.25">
      <c r="A18" s="1009" t="s">
        <v>1475</v>
      </c>
      <c r="B18" s="997">
        <v>8</v>
      </c>
      <c r="C18" s="997" t="s">
        <v>1450</v>
      </c>
      <c r="J18" s="997">
        <v>8</v>
      </c>
      <c r="K18" s="997" t="s">
        <v>1450</v>
      </c>
      <c r="R18" s="997">
        <v>8</v>
      </c>
      <c r="S18" s="997" t="s">
        <v>1450</v>
      </c>
      <c r="Z18" s="997">
        <v>8</v>
      </c>
      <c r="AA18" s="997" t="s">
        <v>1450</v>
      </c>
      <c r="AH18" s="997">
        <v>8</v>
      </c>
      <c r="AI18" s="997" t="s">
        <v>1450</v>
      </c>
      <c r="AP18" s="997">
        <v>8</v>
      </c>
      <c r="AQ18" s="997" t="s">
        <v>1450</v>
      </c>
      <c r="AX18" s="997">
        <v>8</v>
      </c>
      <c r="AY18" s="997" t="s">
        <v>1450</v>
      </c>
    </row>
    <row r="19" spans="1:51" x14ac:dyDescent="0.25">
      <c r="A19" s="1010" t="s">
        <v>1476</v>
      </c>
      <c r="B19" s="1001">
        <f>B17*B18</f>
        <v>2928</v>
      </c>
      <c r="C19" s="997" t="s">
        <v>1450</v>
      </c>
      <c r="J19" s="1001">
        <f>J17*J18</f>
        <v>2920</v>
      </c>
      <c r="K19" s="997" t="s">
        <v>1450</v>
      </c>
      <c r="R19" s="1001">
        <f>R17*R18</f>
        <v>2920</v>
      </c>
      <c r="S19" s="997" t="s">
        <v>1450</v>
      </c>
      <c r="Z19" s="1001">
        <f>Z17*Z18</f>
        <v>2920</v>
      </c>
      <c r="AA19" s="997" t="s">
        <v>1450</v>
      </c>
      <c r="AH19" s="1001">
        <f>AH17*AH18</f>
        <v>2920</v>
      </c>
      <c r="AI19" s="997" t="s">
        <v>1450</v>
      </c>
      <c r="AP19" s="1001">
        <f>AP17*AP18</f>
        <v>2920</v>
      </c>
      <c r="AQ19" s="997" t="s">
        <v>1450</v>
      </c>
      <c r="AX19" s="1001">
        <f>AX17*AX18</f>
        <v>2920</v>
      </c>
      <c r="AY19" s="997" t="s">
        <v>1450</v>
      </c>
    </row>
    <row r="20" spans="1:51" x14ac:dyDescent="0.25">
      <c r="A20" s="997" t="s">
        <v>1477</v>
      </c>
      <c r="B20" s="1001">
        <f>B19/12/3</f>
        <v>81.33</v>
      </c>
      <c r="C20" s="997" t="s">
        <v>1450</v>
      </c>
      <c r="J20" s="1001">
        <f>J19/12/3</f>
        <v>81.11</v>
      </c>
      <c r="K20" s="997" t="s">
        <v>1450</v>
      </c>
      <c r="R20" s="1001">
        <f>R19/12/3</f>
        <v>81.11</v>
      </c>
      <c r="S20" s="997" t="s">
        <v>1450</v>
      </c>
      <c r="Z20" s="1001">
        <f>Z19/12/3</f>
        <v>81.11</v>
      </c>
      <c r="AA20" s="997" t="s">
        <v>1450</v>
      </c>
      <c r="AH20" s="1001">
        <f>AH19/12/3</f>
        <v>81.11</v>
      </c>
      <c r="AI20" s="997" t="s">
        <v>1450</v>
      </c>
      <c r="AP20" s="1001">
        <f>AP19/12/3</f>
        <v>81.11</v>
      </c>
      <c r="AQ20" s="997" t="s">
        <v>1450</v>
      </c>
      <c r="AX20" s="1001">
        <f>AX19/12/3</f>
        <v>81.11</v>
      </c>
      <c r="AY20" s="997" t="s">
        <v>1450</v>
      </c>
    </row>
    <row r="21" spans="1:51" x14ac:dyDescent="0.25">
      <c r="A21" s="1007" t="s">
        <v>1478</v>
      </c>
      <c r="B21" s="1008">
        <f>B20*B13</f>
        <v>719.77</v>
      </c>
      <c r="C21" s="997" t="s">
        <v>500</v>
      </c>
      <c r="J21" s="1008">
        <f>J20*J13</f>
        <v>714.58</v>
      </c>
      <c r="K21" s="997" t="s">
        <v>500</v>
      </c>
      <c r="R21" s="1008">
        <f>R20*R13</f>
        <v>726.75</v>
      </c>
      <c r="S21" s="997" t="s">
        <v>500</v>
      </c>
      <c r="Z21" s="1008">
        <f>Z20*Z13</f>
        <v>759.19</v>
      </c>
      <c r="AA21" s="997" t="s">
        <v>500</v>
      </c>
      <c r="AH21" s="1008">
        <f>AH20*AH13</f>
        <v>798.12</v>
      </c>
      <c r="AI21" s="997" t="s">
        <v>500</v>
      </c>
      <c r="AP21" s="1008">
        <f>AP20*AP13</f>
        <v>829.76</v>
      </c>
      <c r="AQ21" s="997" t="s">
        <v>500</v>
      </c>
      <c r="AX21" s="1008">
        <f>AX20*AX13</f>
        <v>863.01</v>
      </c>
      <c r="AY21" s="997" t="s">
        <v>500</v>
      </c>
    </row>
    <row r="22" spans="1:51" x14ac:dyDescent="0.25">
      <c r="B22" s="1001"/>
      <c r="J22" s="1001"/>
      <c r="R22" s="1001"/>
      <c r="Z22" s="1001"/>
      <c r="AH22" s="1001"/>
      <c r="AP22" s="1001"/>
      <c r="AX22" s="1001"/>
    </row>
    <row r="23" spans="1:51" x14ac:dyDescent="0.25">
      <c r="B23" s="1001"/>
      <c r="J23" s="1001"/>
      <c r="R23" s="1001"/>
      <c r="Z23" s="1001"/>
      <c r="AH23" s="1001"/>
      <c r="AP23" s="1001"/>
      <c r="AX23" s="1001"/>
    </row>
    <row r="24" spans="1:51" x14ac:dyDescent="0.25">
      <c r="A24" s="1009" t="s">
        <v>1479</v>
      </c>
      <c r="B24" s="999">
        <v>14</v>
      </c>
      <c r="C24" s="997" t="s">
        <v>1448</v>
      </c>
      <c r="J24" s="999">
        <v>14</v>
      </c>
      <c r="K24" s="997" t="s">
        <v>1448</v>
      </c>
      <c r="R24" s="999">
        <v>14</v>
      </c>
      <c r="S24" s="997" t="s">
        <v>1448</v>
      </c>
      <c r="Z24" s="999">
        <v>14</v>
      </c>
      <c r="AA24" s="997" t="s">
        <v>1448</v>
      </c>
      <c r="AH24" s="999">
        <v>14</v>
      </c>
      <c r="AI24" s="997" t="s">
        <v>1448</v>
      </c>
      <c r="AP24" s="999">
        <v>14</v>
      </c>
      <c r="AQ24" s="997" t="s">
        <v>1448</v>
      </c>
      <c r="AX24" s="999">
        <v>14</v>
      </c>
      <c r="AY24" s="997" t="s">
        <v>1448</v>
      </c>
    </row>
    <row r="25" spans="1:51" x14ac:dyDescent="0.25">
      <c r="A25" s="1009" t="s">
        <v>1480</v>
      </c>
      <c r="B25" s="997">
        <v>24</v>
      </c>
      <c r="C25" s="997" t="s">
        <v>1450</v>
      </c>
      <c r="J25" s="997">
        <v>24</v>
      </c>
      <c r="K25" s="997" t="s">
        <v>1450</v>
      </c>
      <c r="R25" s="997">
        <v>24</v>
      </c>
      <c r="S25" s="997" t="s">
        <v>1450</v>
      </c>
      <c r="Z25" s="997">
        <v>24</v>
      </c>
      <c r="AA25" s="997" t="s">
        <v>1450</v>
      </c>
      <c r="AH25" s="997">
        <v>24</v>
      </c>
      <c r="AI25" s="997" t="s">
        <v>1450</v>
      </c>
      <c r="AP25" s="997">
        <v>24</v>
      </c>
      <c r="AQ25" s="997" t="s">
        <v>1450</v>
      </c>
      <c r="AX25" s="997">
        <v>24</v>
      </c>
      <c r="AY25" s="997" t="s">
        <v>1450</v>
      </c>
    </row>
    <row r="26" spans="1:51" ht="30" x14ac:dyDescent="0.25">
      <c r="A26" s="1011" t="s">
        <v>1481</v>
      </c>
      <c r="B26" s="1001">
        <f>B24*B25</f>
        <v>336</v>
      </c>
      <c r="C26" s="997" t="s">
        <v>1450</v>
      </c>
      <c r="J26" s="1001">
        <f>J24*J25</f>
        <v>336</v>
      </c>
      <c r="K26" s="997" t="s">
        <v>1450</v>
      </c>
      <c r="R26" s="1001">
        <f>R24*R25</f>
        <v>336</v>
      </c>
      <c r="S26" s="997" t="s">
        <v>1450</v>
      </c>
      <c r="Z26" s="1001">
        <f>Z24*Z25</f>
        <v>336</v>
      </c>
      <c r="AA26" s="997" t="s">
        <v>1450</v>
      </c>
      <c r="AH26" s="1001">
        <f>AH24*AH25</f>
        <v>336</v>
      </c>
      <c r="AI26" s="997" t="s">
        <v>1450</v>
      </c>
      <c r="AP26" s="1001">
        <f>AP24*AP25</f>
        <v>336</v>
      </c>
      <c r="AQ26" s="997" t="s">
        <v>1450</v>
      </c>
      <c r="AX26" s="1001">
        <f>AX24*AX25</f>
        <v>336</v>
      </c>
      <c r="AY26" s="997" t="s">
        <v>1450</v>
      </c>
    </row>
    <row r="27" spans="1:51" x14ac:dyDescent="0.25">
      <c r="A27" s="997" t="s">
        <v>1477</v>
      </c>
      <c r="B27" s="1001">
        <f>B26/12/3</f>
        <v>9.33</v>
      </c>
      <c r="C27" s="997" t="s">
        <v>1450</v>
      </c>
      <c r="J27" s="1001">
        <f>J26/12/3</f>
        <v>9.33</v>
      </c>
      <c r="K27" s="997" t="s">
        <v>1450</v>
      </c>
      <c r="R27" s="1001">
        <f>R26/12/3</f>
        <v>9.33</v>
      </c>
      <c r="S27" s="997" t="s">
        <v>1450</v>
      </c>
      <c r="Z27" s="1001">
        <f>Z26/12/3</f>
        <v>9.33</v>
      </c>
      <c r="AA27" s="997" t="s">
        <v>1450</v>
      </c>
      <c r="AH27" s="1001">
        <f>AH26/12/3</f>
        <v>9.33</v>
      </c>
      <c r="AI27" s="997" t="s">
        <v>1450</v>
      </c>
      <c r="AP27" s="1001">
        <f>AP26/12/3</f>
        <v>9.33</v>
      </c>
      <c r="AQ27" s="997" t="s">
        <v>1450</v>
      </c>
      <c r="AX27" s="1001">
        <f>AX26/12/3</f>
        <v>9.33</v>
      </c>
      <c r="AY27" s="997" t="s">
        <v>1450</v>
      </c>
    </row>
    <row r="28" spans="1:51" x14ac:dyDescent="0.25">
      <c r="A28" s="1007" t="s">
        <v>1482</v>
      </c>
      <c r="B28" s="1008">
        <f>B27*B15</f>
        <v>235.86</v>
      </c>
      <c r="C28" s="997" t="s">
        <v>500</v>
      </c>
      <c r="J28" s="1008">
        <f>J27*J15</f>
        <v>234.74</v>
      </c>
      <c r="K28" s="997" t="s">
        <v>500</v>
      </c>
      <c r="R28" s="1008">
        <f>R27*R15</f>
        <v>238.94</v>
      </c>
      <c r="S28" s="997" t="s">
        <v>500</v>
      </c>
      <c r="Z28" s="1008">
        <f>Z27*Z15</f>
        <v>249.39</v>
      </c>
      <c r="AA28" s="997" t="s">
        <v>500</v>
      </c>
      <c r="AH28" s="1008">
        <f>AH27*AH15</f>
        <v>262.17</v>
      </c>
      <c r="AI28" s="997" t="s">
        <v>500</v>
      </c>
      <c r="AP28" s="1008">
        <f>AP27*AP15</f>
        <v>272.72000000000003</v>
      </c>
      <c r="AQ28" s="997" t="s">
        <v>500</v>
      </c>
      <c r="AX28" s="1008">
        <f>AX27*AX15</f>
        <v>283.63</v>
      </c>
      <c r="AY28" s="997" t="s">
        <v>500</v>
      </c>
    </row>
    <row r="31" spans="1:51" ht="18.75" x14ac:dyDescent="0.3">
      <c r="A31" s="1007" t="s">
        <v>1483</v>
      </c>
      <c r="B31" s="1012">
        <f>B21+B28</f>
        <v>955.63</v>
      </c>
      <c r="C31" s="997" t="s">
        <v>500</v>
      </c>
      <c r="J31" s="1013">
        <f>J21+J28</f>
        <v>949.32</v>
      </c>
      <c r="K31" s="997" t="s">
        <v>500</v>
      </c>
      <c r="R31" s="1013">
        <f>R21+R28</f>
        <v>965.69</v>
      </c>
      <c r="S31" s="997" t="s">
        <v>500</v>
      </c>
      <c r="Z31" s="1013">
        <f>Z21+Z28</f>
        <v>1008.58</v>
      </c>
      <c r="AA31" s="997" t="s">
        <v>500</v>
      </c>
      <c r="AH31" s="1013">
        <f>AH21+AH28</f>
        <v>1060.29</v>
      </c>
      <c r="AI31" s="997" t="s">
        <v>500</v>
      </c>
      <c r="AP31" s="1013">
        <f>AP21+AP28</f>
        <v>1102.48</v>
      </c>
      <c r="AQ31" s="997" t="s">
        <v>500</v>
      </c>
      <c r="AX31" s="1013">
        <f>AX21+AX28</f>
        <v>1146.6400000000001</v>
      </c>
      <c r="AY31" s="997" t="s">
        <v>500</v>
      </c>
    </row>
    <row r="32" spans="1:51" x14ac:dyDescent="0.25">
      <c r="A32" s="1007" t="s">
        <v>1484</v>
      </c>
      <c r="B32" s="1008">
        <f>B31/B10*100</f>
        <v>22.92</v>
      </c>
      <c r="C32" s="997" t="s">
        <v>1435</v>
      </c>
      <c r="J32" s="1008">
        <f>J31/J10*100</f>
        <v>22.77</v>
      </c>
      <c r="K32" s="997" t="s">
        <v>1435</v>
      </c>
      <c r="R32" s="1008">
        <f>R31/R10*100</f>
        <v>22.93</v>
      </c>
      <c r="S32" s="997" t="s">
        <v>1435</v>
      </c>
      <c r="Z32" s="1008">
        <f>Z31/Z10*100</f>
        <v>22.94</v>
      </c>
      <c r="AA32" s="997" t="s">
        <v>1435</v>
      </c>
      <c r="AH32" s="1008">
        <f>AH31/AH10*100</f>
        <v>22.95</v>
      </c>
      <c r="AI32" s="997" t="s">
        <v>1435</v>
      </c>
      <c r="AP32" s="1008">
        <f>AP31/AP10*100</f>
        <v>22.94</v>
      </c>
      <c r="AQ32" s="997" t="s">
        <v>1435</v>
      </c>
      <c r="AX32" s="1008">
        <f>AX31/AX10*100</f>
        <v>22.94</v>
      </c>
      <c r="AY32" s="997" t="s">
        <v>1435</v>
      </c>
    </row>
    <row r="33" spans="1:51" x14ac:dyDescent="0.25">
      <c r="A33" s="1007" t="s">
        <v>1485</v>
      </c>
      <c r="B33" s="1014">
        <f>B32/100</f>
        <v>0.22919999999999999</v>
      </c>
      <c r="C33" s="997" t="s">
        <v>1486</v>
      </c>
      <c r="J33" s="1014">
        <f>J32/100</f>
        <v>0.22770000000000001</v>
      </c>
      <c r="K33" s="997" t="s">
        <v>1486</v>
      </c>
      <c r="R33" s="1014">
        <f>R32/100</f>
        <v>0.2293</v>
      </c>
      <c r="S33" s="997" t="s">
        <v>1486</v>
      </c>
      <c r="Z33" s="1014">
        <f>Z32/100</f>
        <v>0.22939999999999999</v>
      </c>
      <c r="AA33" s="997" t="s">
        <v>1486</v>
      </c>
      <c r="AH33" s="1014">
        <f>AH32/100</f>
        <v>0.22950000000000001</v>
      </c>
      <c r="AI33" s="997" t="s">
        <v>1486</v>
      </c>
      <c r="AP33" s="1014">
        <f>AP32/100</f>
        <v>0.22939999999999999</v>
      </c>
      <c r="AQ33" s="997" t="s">
        <v>1486</v>
      </c>
      <c r="AX33" s="1014">
        <f>AX32/100</f>
        <v>0.22939999999999999</v>
      </c>
      <c r="AY33" s="997" t="s">
        <v>1486</v>
      </c>
    </row>
    <row r="34" spans="1:51" x14ac:dyDescent="0.25">
      <c r="A34" s="997" t="s">
        <v>1487</v>
      </c>
      <c r="B34" s="1001">
        <f>B31*3</f>
        <v>2866.89</v>
      </c>
      <c r="J34" s="1001">
        <f>J31*3</f>
        <v>2847.96</v>
      </c>
      <c r="R34" s="1001">
        <f>R31*3</f>
        <v>2897.07</v>
      </c>
      <c r="Z34" s="1001">
        <f>Z31*3</f>
        <v>3025.74</v>
      </c>
      <c r="AH34" s="1001">
        <f>AH31*3</f>
        <v>3180.87</v>
      </c>
      <c r="AP34" s="1001">
        <f>AP31*3</f>
        <v>3307.44</v>
      </c>
      <c r="AX34" s="1001">
        <f>AX31*3</f>
        <v>3439.92</v>
      </c>
    </row>
    <row r="35" spans="1:51" x14ac:dyDescent="0.25">
      <c r="B35" s="1000">
        <f>B34*12</f>
        <v>34402.68</v>
      </c>
      <c r="C35" s="1000"/>
      <c r="D35" s="1000"/>
      <c r="E35" s="1000"/>
      <c r="F35" s="1000"/>
      <c r="G35" s="1000"/>
      <c r="H35" s="1000"/>
      <c r="I35" s="1000"/>
      <c r="J35" s="1000">
        <f>J34*12</f>
        <v>34175.519999999997</v>
      </c>
      <c r="K35" s="1000"/>
      <c r="L35" s="1000"/>
      <c r="M35" s="1000"/>
      <c r="N35" s="1000"/>
      <c r="O35" s="1000"/>
      <c r="P35" s="1000"/>
      <c r="Q35" s="1000"/>
      <c r="R35" s="1000">
        <f>R34*12</f>
        <v>34764.839999999997</v>
      </c>
      <c r="S35" s="1000"/>
      <c r="T35" s="1000"/>
      <c r="U35" s="1000"/>
      <c r="V35" s="1000"/>
      <c r="W35" s="1000"/>
      <c r="X35" s="1000"/>
      <c r="Y35" s="1000"/>
      <c r="Z35" s="1000">
        <f>Z34*12</f>
        <v>36308.879999999997</v>
      </c>
      <c r="AA35" s="1000"/>
      <c r="AB35" s="1000"/>
      <c r="AC35" s="1000"/>
      <c r="AD35" s="1000"/>
      <c r="AE35" s="1000"/>
      <c r="AF35" s="1000"/>
      <c r="AG35" s="1000"/>
      <c r="AH35" s="1000">
        <f>AH34*12</f>
        <v>38170.44</v>
      </c>
      <c r="AI35" s="1000"/>
      <c r="AJ35" s="1000"/>
      <c r="AK35" s="1000"/>
      <c r="AL35" s="1000"/>
      <c r="AM35" s="1000"/>
      <c r="AN35" s="1000"/>
      <c r="AO35" s="1000"/>
      <c r="AP35" s="1000">
        <f>AP34*12</f>
        <v>39689.279999999999</v>
      </c>
      <c r="AQ35" s="1000"/>
      <c r="AR35" s="1000"/>
      <c r="AS35" s="1000"/>
      <c r="AT35" s="1000"/>
      <c r="AU35" s="1000"/>
      <c r="AV35" s="1000"/>
      <c r="AW35" s="1000"/>
      <c r="AX35" s="1000">
        <f>AX34*12</f>
        <v>41279.040000000001</v>
      </c>
      <c r="AY35" s="1000"/>
    </row>
  </sheetData>
  <pageMargins left="0.7" right="0.7" top="0.75" bottom="0.75" header="0.3" footer="0.3"/>
  <pageSetup paperSize="9" scale="6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BL100"/>
  <sheetViews>
    <sheetView view="pageBreakPreview" zoomScaleSheetLayoutView="100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D104" sqref="D104"/>
    </sheetView>
  </sheetViews>
  <sheetFormatPr defaultRowHeight="15" x14ac:dyDescent="0.25"/>
  <cols>
    <col min="1" max="1" width="6.28515625" style="1" customWidth="1"/>
    <col min="2" max="2" width="71.85546875" style="1" customWidth="1"/>
    <col min="3" max="3" width="7.5703125" style="1" customWidth="1"/>
    <col min="4" max="4" width="7" style="1" customWidth="1"/>
    <col min="5" max="5" width="7.7109375" style="1" customWidth="1"/>
    <col min="6" max="6" width="9.28515625" style="1" customWidth="1"/>
    <col min="7" max="7" width="9.7109375" style="1" customWidth="1"/>
    <col min="8" max="8" width="8" style="1" customWidth="1"/>
    <col min="9" max="9" width="11.5703125" style="1" customWidth="1"/>
    <col min="10" max="10" width="12" style="1" customWidth="1"/>
    <col min="11" max="11" width="11" style="1" customWidth="1"/>
    <col min="12" max="12" width="8.28515625" style="104" customWidth="1"/>
    <col min="13" max="13" width="8.85546875" style="1" customWidth="1"/>
    <col min="14" max="14" width="7" style="1" customWidth="1"/>
    <col min="15" max="15" width="7.7109375" style="1" customWidth="1"/>
    <col min="16" max="16" width="9.28515625" style="1" customWidth="1"/>
    <col min="17" max="17" width="9.7109375" style="1" customWidth="1"/>
    <col min="18" max="18" width="8" style="1" customWidth="1"/>
    <col min="19" max="19" width="11.5703125" style="1" customWidth="1"/>
    <col min="20" max="20" width="12" style="1" customWidth="1"/>
    <col min="21" max="21" width="11" style="1" customWidth="1"/>
    <col min="22" max="22" width="8.28515625" style="104" customWidth="1"/>
    <col min="23" max="23" width="7.7109375" style="1" customWidth="1"/>
    <col min="24" max="24" width="7" style="1" customWidth="1"/>
    <col min="25" max="25" width="7.7109375" style="1" customWidth="1"/>
    <col min="26" max="26" width="9.28515625" style="1" customWidth="1"/>
    <col min="27" max="27" width="9.7109375" style="1" customWidth="1"/>
    <col min="28" max="28" width="8" style="1" customWidth="1"/>
    <col min="29" max="29" width="11.5703125" style="1" customWidth="1"/>
    <col min="30" max="30" width="12" style="1" customWidth="1"/>
    <col min="31" max="31" width="11" style="1" customWidth="1"/>
    <col min="32" max="32" width="8.28515625" style="104" customWidth="1"/>
    <col min="33" max="33" width="7.7109375" style="1" customWidth="1"/>
    <col min="34" max="34" width="7" style="1" customWidth="1"/>
    <col min="35" max="35" width="7.7109375" style="1" customWidth="1"/>
    <col min="36" max="36" width="9.28515625" style="1" customWidth="1"/>
    <col min="37" max="37" width="9.7109375" style="1" customWidth="1"/>
    <col min="38" max="38" width="8" style="1" customWidth="1"/>
    <col min="39" max="39" width="11.5703125" style="1" customWidth="1"/>
    <col min="40" max="40" width="12" style="1" customWidth="1"/>
    <col min="41" max="41" width="11" style="1" customWidth="1"/>
    <col min="42" max="42" width="8.28515625" style="104" customWidth="1"/>
    <col min="43" max="43" width="7.7109375" style="1" customWidth="1"/>
    <col min="44" max="44" width="7" style="1" customWidth="1"/>
    <col min="45" max="45" width="7.7109375" style="1" customWidth="1"/>
    <col min="46" max="46" width="9.28515625" style="1" customWidth="1"/>
    <col min="47" max="47" width="9.7109375" style="1" customWidth="1"/>
    <col min="48" max="48" width="8" style="1" customWidth="1"/>
    <col min="49" max="49" width="11.5703125" style="1" customWidth="1"/>
    <col min="50" max="50" width="12" style="1" customWidth="1"/>
    <col min="51" max="51" width="11" style="1" customWidth="1"/>
    <col min="52" max="52" width="8.28515625" style="104" customWidth="1"/>
    <col min="53" max="53" width="7.7109375" style="1" customWidth="1"/>
    <col min="54" max="54" width="7.85546875" style="1" customWidth="1"/>
    <col min="55" max="55" width="7.7109375" style="1" customWidth="1"/>
    <col min="56" max="56" width="9.28515625" style="1" customWidth="1"/>
    <col min="57" max="57" width="9.7109375" style="1" customWidth="1"/>
    <col min="58" max="58" width="8" style="1" customWidth="1"/>
    <col min="59" max="59" width="12.28515625" style="1" customWidth="1"/>
    <col min="60" max="60" width="12" style="1" customWidth="1"/>
    <col min="61" max="61" width="11" style="1" customWidth="1"/>
    <col min="62" max="62" width="9.5703125" style="104" customWidth="1"/>
    <col min="63" max="63" width="9.140625" style="1"/>
    <col min="64" max="64" width="11.7109375" style="1" customWidth="1"/>
    <col min="65" max="16384" width="9.140625" style="1"/>
  </cols>
  <sheetData>
    <row r="1" spans="1:64" x14ac:dyDescent="0.25">
      <c r="BH1" s="1" t="s">
        <v>455</v>
      </c>
    </row>
    <row r="2" spans="1:64" x14ac:dyDescent="0.25">
      <c r="A2" s="1051" t="s">
        <v>354</v>
      </c>
      <c r="B2" s="1051"/>
      <c r="C2" s="1051"/>
    </row>
    <row r="3" spans="1:64" ht="15" customHeight="1" x14ac:dyDescent="0.25">
      <c r="A3" s="1034" t="s">
        <v>355</v>
      </c>
      <c r="B3" s="1034"/>
      <c r="C3" s="1034"/>
    </row>
    <row r="4" spans="1:64" x14ac:dyDescent="0.25">
      <c r="A4" s="1058" t="s">
        <v>237</v>
      </c>
      <c r="B4" s="1058"/>
      <c r="C4" s="1058"/>
    </row>
    <row r="5" spans="1:64" ht="15" customHeight="1" x14ac:dyDescent="0.25">
      <c r="A5" s="1035" t="s">
        <v>265</v>
      </c>
      <c r="B5" s="1035"/>
      <c r="C5" s="1035"/>
      <c r="BB5" s="1115" t="s">
        <v>829</v>
      </c>
      <c r="BC5" s="1115"/>
      <c r="BD5" s="1115"/>
      <c r="BE5" s="1115"/>
      <c r="BF5" s="1115"/>
      <c r="BG5" s="1115"/>
      <c r="BH5" s="1115"/>
      <c r="BI5" s="1115"/>
      <c r="BJ5" s="1115"/>
    </row>
    <row r="6" spans="1:64" ht="18" customHeight="1" x14ac:dyDescent="0.25">
      <c r="A6" s="32" t="s">
        <v>2</v>
      </c>
      <c r="B6" s="99" t="s">
        <v>3</v>
      </c>
      <c r="C6" s="238" t="s">
        <v>375</v>
      </c>
      <c r="D6" s="1108" t="s">
        <v>459</v>
      </c>
      <c r="E6" s="1109"/>
      <c r="F6" s="1109"/>
      <c r="G6" s="1109"/>
      <c r="H6" s="1109"/>
      <c r="I6" s="1109"/>
      <c r="J6" s="1109"/>
      <c r="K6" s="1109"/>
      <c r="L6" s="1109"/>
      <c r="M6" s="1110"/>
      <c r="N6" s="1108" t="s">
        <v>460</v>
      </c>
      <c r="O6" s="1109"/>
      <c r="P6" s="1109"/>
      <c r="Q6" s="1109"/>
      <c r="R6" s="1109"/>
      <c r="S6" s="1109"/>
      <c r="T6" s="1109"/>
      <c r="U6" s="1109"/>
      <c r="V6" s="1109"/>
      <c r="W6" s="1110"/>
      <c r="X6" s="1108" t="s">
        <v>456</v>
      </c>
      <c r="Y6" s="1109"/>
      <c r="Z6" s="1109"/>
      <c r="AA6" s="1109"/>
      <c r="AB6" s="1109"/>
      <c r="AC6" s="1109"/>
      <c r="AD6" s="1109"/>
      <c r="AE6" s="1109"/>
      <c r="AF6" s="1109"/>
      <c r="AG6" s="1110"/>
      <c r="AH6" s="1111" t="s">
        <v>458</v>
      </c>
      <c r="AI6" s="1112"/>
      <c r="AJ6" s="1112"/>
      <c r="AK6" s="1112"/>
      <c r="AL6" s="1112"/>
      <c r="AM6" s="1112"/>
      <c r="AN6" s="1112"/>
      <c r="AO6" s="1112"/>
      <c r="AP6" s="1112"/>
      <c r="AQ6" s="1113"/>
      <c r="AR6" s="1108" t="s">
        <v>457</v>
      </c>
      <c r="AS6" s="1109"/>
      <c r="AT6" s="1109"/>
      <c r="AU6" s="1109"/>
      <c r="AV6" s="1109"/>
      <c r="AW6" s="1109"/>
      <c r="AX6" s="1109"/>
      <c r="AY6" s="1109"/>
      <c r="AZ6" s="1109"/>
      <c r="BA6" s="1110"/>
      <c r="BB6" s="1114" t="s">
        <v>653</v>
      </c>
      <c r="BC6" s="1114"/>
      <c r="BD6" s="1114"/>
      <c r="BE6" s="1114"/>
      <c r="BF6" s="1114"/>
      <c r="BG6" s="1114"/>
      <c r="BH6" s="1114"/>
      <c r="BI6" s="1114"/>
      <c r="BJ6" s="1114"/>
    </row>
    <row r="7" spans="1:64" ht="36" customHeight="1" x14ac:dyDescent="0.25">
      <c r="A7" s="3">
        <v>1</v>
      </c>
      <c r="B7" s="3">
        <v>2</v>
      </c>
      <c r="C7" s="3">
        <v>3</v>
      </c>
      <c r="D7" s="3">
        <v>4</v>
      </c>
      <c r="E7" s="3">
        <v>5</v>
      </c>
      <c r="F7" s="3">
        <v>6</v>
      </c>
      <c r="G7" s="3" t="s">
        <v>380</v>
      </c>
      <c r="H7" s="3">
        <v>8</v>
      </c>
      <c r="I7" s="3" t="s">
        <v>381</v>
      </c>
      <c r="J7" s="3" t="s">
        <v>382</v>
      </c>
      <c r="K7" s="3" t="s">
        <v>378</v>
      </c>
      <c r="L7" s="105" t="s">
        <v>337</v>
      </c>
      <c r="M7" s="3" t="s">
        <v>383</v>
      </c>
      <c r="N7" s="3">
        <v>4</v>
      </c>
      <c r="O7" s="3">
        <v>5</v>
      </c>
      <c r="P7" s="3">
        <v>6</v>
      </c>
      <c r="Q7" s="3" t="s">
        <v>380</v>
      </c>
      <c r="R7" s="3">
        <v>8</v>
      </c>
      <c r="S7" s="3" t="s">
        <v>381</v>
      </c>
      <c r="T7" s="3" t="s">
        <v>382</v>
      </c>
      <c r="U7" s="3" t="s">
        <v>378</v>
      </c>
      <c r="V7" s="105" t="s">
        <v>337</v>
      </c>
      <c r="W7" s="3" t="s">
        <v>383</v>
      </c>
      <c r="X7" s="3">
        <v>4</v>
      </c>
      <c r="Y7" s="3">
        <v>5</v>
      </c>
      <c r="Z7" s="3">
        <v>6</v>
      </c>
      <c r="AA7" s="3" t="s">
        <v>380</v>
      </c>
      <c r="AB7" s="3">
        <v>8</v>
      </c>
      <c r="AC7" s="3" t="s">
        <v>381</v>
      </c>
      <c r="AD7" s="3" t="s">
        <v>382</v>
      </c>
      <c r="AE7" s="3" t="s">
        <v>378</v>
      </c>
      <c r="AF7" s="105" t="s">
        <v>337</v>
      </c>
      <c r="AG7" s="3" t="s">
        <v>383</v>
      </c>
      <c r="AH7" s="3">
        <v>4</v>
      </c>
      <c r="AI7" s="3">
        <v>5</v>
      </c>
      <c r="AJ7" s="3">
        <v>6</v>
      </c>
      <c r="AK7" s="3" t="s">
        <v>380</v>
      </c>
      <c r="AL7" s="3">
        <v>8</v>
      </c>
      <c r="AM7" s="3" t="s">
        <v>381</v>
      </c>
      <c r="AN7" s="3" t="s">
        <v>382</v>
      </c>
      <c r="AO7" s="3" t="s">
        <v>378</v>
      </c>
      <c r="AP7" s="105" t="s">
        <v>337</v>
      </c>
      <c r="AQ7" s="3" t="s">
        <v>383</v>
      </c>
      <c r="AR7" s="3">
        <v>4</v>
      </c>
      <c r="AS7" s="3">
        <v>5</v>
      </c>
      <c r="AT7" s="3">
        <v>6</v>
      </c>
      <c r="AU7" s="3" t="s">
        <v>380</v>
      </c>
      <c r="AV7" s="3">
        <v>8</v>
      </c>
      <c r="AW7" s="3" t="s">
        <v>381</v>
      </c>
      <c r="AX7" s="3" t="s">
        <v>382</v>
      </c>
      <c r="AY7" s="3" t="s">
        <v>378</v>
      </c>
      <c r="AZ7" s="105" t="s">
        <v>337</v>
      </c>
      <c r="BA7" s="3" t="s">
        <v>383</v>
      </c>
      <c r="BB7" s="3">
        <v>4</v>
      </c>
      <c r="BC7" s="3">
        <v>5</v>
      </c>
      <c r="BD7" s="3">
        <v>6</v>
      </c>
      <c r="BE7" s="3" t="s">
        <v>380</v>
      </c>
      <c r="BF7" s="3">
        <v>8</v>
      </c>
      <c r="BG7" s="3" t="s">
        <v>381</v>
      </c>
      <c r="BH7" s="3" t="s">
        <v>382</v>
      </c>
      <c r="BI7" s="3" t="s">
        <v>378</v>
      </c>
      <c r="BJ7" s="105" t="s">
        <v>337</v>
      </c>
    </row>
    <row r="8" spans="1:64" x14ac:dyDescent="0.25">
      <c r="A8" s="14" t="s">
        <v>9</v>
      </c>
      <c r="B8" s="15" t="s">
        <v>198</v>
      </c>
      <c r="C8" s="7"/>
      <c r="D8" s="7"/>
      <c r="E8" s="7"/>
      <c r="F8" s="7"/>
      <c r="G8" s="7"/>
      <c r="H8" s="7"/>
      <c r="I8" s="8"/>
      <c r="J8" s="8"/>
      <c r="K8" s="8"/>
      <c r="L8" s="106"/>
      <c r="M8" s="7"/>
      <c r="N8" s="7"/>
      <c r="O8" s="7"/>
      <c r="P8" s="7"/>
      <c r="Q8" s="7"/>
      <c r="R8" s="7"/>
      <c r="S8" s="8"/>
      <c r="T8" s="8"/>
      <c r="U8" s="8"/>
      <c r="V8" s="106"/>
      <c r="W8" s="7"/>
      <c r="X8" s="7"/>
      <c r="Y8" s="7"/>
      <c r="Z8" s="7"/>
      <c r="AA8" s="7"/>
      <c r="AB8" s="7"/>
      <c r="AC8" s="8"/>
      <c r="AD8" s="8"/>
      <c r="AE8" s="8"/>
      <c r="AF8" s="106"/>
      <c r="AG8" s="7"/>
      <c r="AH8" s="7"/>
      <c r="AI8" s="7"/>
      <c r="AJ8" s="7"/>
      <c r="AK8" s="7"/>
      <c r="AL8" s="7"/>
      <c r="AM8" s="8"/>
      <c r="AN8" s="8"/>
      <c r="AO8" s="8"/>
      <c r="AP8" s="106"/>
      <c r="AQ8" s="7"/>
      <c r="AR8" s="7"/>
      <c r="AS8" s="7"/>
      <c r="AT8" s="7"/>
      <c r="AU8" s="7"/>
      <c r="AV8" s="7"/>
      <c r="AW8" s="8"/>
      <c r="AX8" s="8"/>
      <c r="AY8" s="8"/>
      <c r="AZ8" s="106"/>
      <c r="BA8" s="7"/>
      <c r="BB8" s="7"/>
      <c r="BC8" s="7"/>
      <c r="BD8" s="7"/>
      <c r="BE8" s="7"/>
      <c r="BF8" s="7"/>
      <c r="BG8" s="8"/>
      <c r="BH8" s="8"/>
      <c r="BI8" s="8"/>
      <c r="BJ8" s="106"/>
    </row>
    <row r="9" spans="1:64" ht="82.5" customHeight="1" x14ac:dyDescent="0.25">
      <c r="A9" s="14" t="s">
        <v>11</v>
      </c>
      <c r="B9" s="15" t="s">
        <v>12</v>
      </c>
      <c r="C9" s="7"/>
      <c r="D9" s="31" t="s">
        <v>370</v>
      </c>
      <c r="E9" s="31" t="s">
        <v>371</v>
      </c>
      <c r="F9" s="31" t="s">
        <v>372</v>
      </c>
      <c r="G9" s="58" t="s">
        <v>373</v>
      </c>
      <c r="H9" s="31" t="s">
        <v>63</v>
      </c>
      <c r="I9" s="58" t="s">
        <v>350</v>
      </c>
      <c r="J9" s="31" t="s">
        <v>374</v>
      </c>
      <c r="K9" s="31" t="s">
        <v>814</v>
      </c>
      <c r="L9" s="107"/>
      <c r="M9" s="31" t="s">
        <v>379</v>
      </c>
      <c r="N9" s="31" t="s">
        <v>370</v>
      </c>
      <c r="O9" s="31" t="s">
        <v>371</v>
      </c>
      <c r="P9" s="31" t="s">
        <v>372</v>
      </c>
      <c r="Q9" s="58" t="s">
        <v>373</v>
      </c>
      <c r="R9" s="31" t="s">
        <v>63</v>
      </c>
      <c r="S9" s="58" t="s">
        <v>350</v>
      </c>
      <c r="T9" s="31" t="s">
        <v>374</v>
      </c>
      <c r="U9" s="31" t="s">
        <v>814</v>
      </c>
      <c r="V9" s="107"/>
      <c r="W9" s="31" t="s">
        <v>379</v>
      </c>
      <c r="X9" s="31" t="s">
        <v>370</v>
      </c>
      <c r="Y9" s="31" t="s">
        <v>371</v>
      </c>
      <c r="Z9" s="31" t="s">
        <v>372</v>
      </c>
      <c r="AA9" s="58" t="s">
        <v>373</v>
      </c>
      <c r="AB9" s="31" t="s">
        <v>63</v>
      </c>
      <c r="AC9" s="58" t="s">
        <v>350</v>
      </c>
      <c r="AD9" s="31" t="s">
        <v>374</v>
      </c>
      <c r="AE9" s="31" t="s">
        <v>814</v>
      </c>
      <c r="AF9" s="107"/>
      <c r="AG9" s="31" t="s">
        <v>379</v>
      </c>
      <c r="AH9" s="31" t="s">
        <v>370</v>
      </c>
      <c r="AI9" s="31" t="s">
        <v>371</v>
      </c>
      <c r="AJ9" s="31" t="s">
        <v>372</v>
      </c>
      <c r="AK9" s="58" t="s">
        <v>373</v>
      </c>
      <c r="AL9" s="31" t="s">
        <v>63</v>
      </c>
      <c r="AM9" s="58" t="s">
        <v>350</v>
      </c>
      <c r="AN9" s="31" t="s">
        <v>374</v>
      </c>
      <c r="AO9" s="31" t="s">
        <v>814</v>
      </c>
      <c r="AP9" s="107"/>
      <c r="AQ9" s="31" t="s">
        <v>379</v>
      </c>
      <c r="AR9" s="31" t="s">
        <v>370</v>
      </c>
      <c r="AS9" s="31" t="s">
        <v>371</v>
      </c>
      <c r="AT9" s="31" t="s">
        <v>372</v>
      </c>
      <c r="AU9" s="58" t="s">
        <v>373</v>
      </c>
      <c r="AV9" s="31" t="s">
        <v>63</v>
      </c>
      <c r="AW9" s="58" t="s">
        <v>350</v>
      </c>
      <c r="AX9" s="31" t="s">
        <v>374</v>
      </c>
      <c r="AY9" s="31" t="s">
        <v>814</v>
      </c>
      <c r="AZ9" s="107"/>
      <c r="BA9" s="31" t="s">
        <v>379</v>
      </c>
      <c r="BB9" s="31" t="s">
        <v>370</v>
      </c>
      <c r="BC9" s="31" t="s">
        <v>371</v>
      </c>
      <c r="BD9" s="31" t="s">
        <v>372</v>
      </c>
      <c r="BE9" s="58" t="s">
        <v>373</v>
      </c>
      <c r="BF9" s="31" t="s">
        <v>63</v>
      </c>
      <c r="BG9" s="58" t="s">
        <v>505</v>
      </c>
      <c r="BH9" s="31" t="s">
        <v>374</v>
      </c>
      <c r="BI9" s="31" t="s">
        <v>814</v>
      </c>
      <c r="BJ9" s="107"/>
    </row>
    <row r="10" spans="1:64" x14ac:dyDescent="0.25">
      <c r="A10" s="5" t="s">
        <v>64</v>
      </c>
      <c r="B10" s="13" t="s">
        <v>65</v>
      </c>
      <c r="C10" s="4" t="s">
        <v>57</v>
      </c>
      <c r="D10" s="409">
        <f>SUM(D12:D20)</f>
        <v>465288</v>
      </c>
      <c r="E10" s="4"/>
      <c r="F10" s="156">
        <v>0</v>
      </c>
      <c r="G10" s="111">
        <f>IF(D10&gt;0,F10/D10,0)</f>
        <v>0</v>
      </c>
      <c r="H10" s="71">
        <f>IF(K10&gt;0,K10/F10,0)</f>
        <v>0</v>
      </c>
      <c r="I10" s="109">
        <f>G10*H10</f>
        <v>0</v>
      </c>
      <c r="J10" s="71">
        <f>I10*D10</f>
        <v>0</v>
      </c>
      <c r="K10" s="156">
        <v>0</v>
      </c>
      <c r="L10" s="108">
        <f>K10-J10</f>
        <v>0</v>
      </c>
      <c r="M10" s="100">
        <f t="shared" ref="M10:M43" si="0">I10/BG10</f>
        <v>0</v>
      </c>
      <c r="N10" s="19">
        <f>SUM(N12:N20)</f>
        <v>343104</v>
      </c>
      <c r="O10" s="4"/>
      <c r="P10" s="156">
        <v>0</v>
      </c>
      <c r="Q10" s="111">
        <f>IF(N10&gt;0,P10/N10,0)</f>
        <v>0</v>
      </c>
      <c r="R10" s="71">
        <f>IF(U10&gt;0,U10/P10,0)</f>
        <v>0</v>
      </c>
      <c r="S10" s="109">
        <f>Q10*R10</f>
        <v>0</v>
      </c>
      <c r="T10" s="71">
        <f>S10*N10</f>
        <v>0</v>
      </c>
      <c r="U10" s="156">
        <v>0</v>
      </c>
      <c r="V10" s="108">
        <f>U10-T10</f>
        <v>0</v>
      </c>
      <c r="W10" s="100">
        <f t="shared" ref="W10:W65" si="1">S10/BG10</f>
        <v>0</v>
      </c>
      <c r="X10" s="19">
        <f>SUM(X12:X20)</f>
        <v>238356</v>
      </c>
      <c r="Y10" s="4"/>
      <c r="Z10" s="156">
        <v>29590</v>
      </c>
      <c r="AA10" s="111">
        <f>IF(X10&gt;0,Z10/X10,0)</f>
        <v>0.12414204</v>
      </c>
      <c r="AB10" s="71">
        <f>IF(AE10&gt;0,AE10/Z10,0)</f>
        <v>9.9700000000000006</v>
      </c>
      <c r="AC10" s="109">
        <f>AA10*AB10</f>
        <v>1.2377</v>
      </c>
      <c r="AD10" s="71">
        <f>AC10*X10</f>
        <v>295013.21999999997</v>
      </c>
      <c r="AE10" s="156">
        <v>295012.3</v>
      </c>
      <c r="AF10" s="108">
        <f>AE10-AD10</f>
        <v>-0.92</v>
      </c>
      <c r="AG10" s="100">
        <f t="shared" ref="AG10:AG65" si="2">AC10/BG10</f>
        <v>4.3224799999999997</v>
      </c>
      <c r="AH10" s="19">
        <f>SUM(AH12:AH20)</f>
        <v>147528</v>
      </c>
      <c r="AI10" s="4"/>
      <c r="AJ10" s="156">
        <v>7460</v>
      </c>
      <c r="AK10" s="111">
        <f>IF(AH10&gt;0,AJ10/AH10,0)</f>
        <v>5.0566670000000001E-2</v>
      </c>
      <c r="AL10" s="71">
        <f>IF(AO10&gt;0,AO10/AJ10,0)</f>
        <v>9.9700000000000006</v>
      </c>
      <c r="AM10" s="109">
        <f>AK10*AL10</f>
        <v>0.50414999999999999</v>
      </c>
      <c r="AN10" s="71">
        <f>AM10*AH10</f>
        <v>74376.240000000005</v>
      </c>
      <c r="AO10" s="156">
        <v>74376.2</v>
      </c>
      <c r="AP10" s="108">
        <f>AO10-AN10</f>
        <v>-0.04</v>
      </c>
      <c r="AQ10" s="100">
        <f t="shared" ref="AQ10:AQ65" si="3">AM10/BG10</f>
        <v>1.76067</v>
      </c>
      <c r="AR10" s="19">
        <f>SUM(AR12:AR20)</f>
        <v>95760</v>
      </c>
      <c r="AS10" s="4"/>
      <c r="AT10" s="156">
        <v>0</v>
      </c>
      <c r="AU10" s="111">
        <f>IF(AR10&gt;0,AT10/AR10,0)</f>
        <v>0</v>
      </c>
      <c r="AV10" s="71">
        <f>IF(AY10&gt;0,AY10/AT10,0)</f>
        <v>0</v>
      </c>
      <c r="AW10" s="109">
        <f>AU10*AV10</f>
        <v>0</v>
      </c>
      <c r="AX10" s="71">
        <f>AW10*AR10</f>
        <v>0</v>
      </c>
      <c r="AY10" s="156">
        <v>0</v>
      </c>
      <c r="AZ10" s="108">
        <f>AY10-AX10</f>
        <v>0</v>
      </c>
      <c r="BA10" s="100">
        <f>AW10/BG10</f>
        <v>0</v>
      </c>
      <c r="BB10" s="19">
        <f>SUM(BB12:BB20)</f>
        <v>1290036</v>
      </c>
      <c r="BC10" s="4"/>
      <c r="BD10" s="181">
        <f>F10+P10+Z10+AJ10+AT10</f>
        <v>37050</v>
      </c>
      <c r="BE10" s="111">
        <f>IF(BB10&gt;0,BD10/BB10,0)</f>
        <v>2.872013E-2</v>
      </c>
      <c r="BF10" s="71">
        <f>IF(BI10&gt;0,BI10/BD10,0)</f>
        <v>9.9700000000000006</v>
      </c>
      <c r="BG10" s="109">
        <f>BE10*BF10</f>
        <v>0.28633999999999998</v>
      </c>
      <c r="BH10" s="71">
        <f>BG10*BB10</f>
        <v>369388.91</v>
      </c>
      <c r="BI10" s="181">
        <f>K10+U10+AE10+AO10+AY10</f>
        <v>369388.5</v>
      </c>
      <c r="BJ10" s="108">
        <f>BI10-BH10</f>
        <v>-0.41</v>
      </c>
      <c r="BL10" s="309">
        <f>SUM(BL11:BL17)</f>
        <v>362885</v>
      </c>
    </row>
    <row r="11" spans="1:64" s="104" customFormat="1" x14ac:dyDescent="0.25">
      <c r="A11" s="101"/>
      <c r="B11" s="102" t="s">
        <v>337</v>
      </c>
      <c r="C11" s="102"/>
      <c r="D11" s="103"/>
      <c r="E11" s="102"/>
      <c r="F11" s="108">
        <f>F10-(SUM(F12:F17))</f>
        <v>0</v>
      </c>
      <c r="G11" s="112"/>
      <c r="H11" s="108"/>
      <c r="I11" s="110"/>
      <c r="J11" s="108">
        <f>J10-(SUM(J12:J17))</f>
        <v>0</v>
      </c>
      <c r="K11" s="108"/>
      <c r="L11" s="108"/>
      <c r="M11" s="100"/>
      <c r="N11" s="103"/>
      <c r="O11" s="102"/>
      <c r="P11" s="108">
        <f>P10-(SUM(P12:P17))</f>
        <v>0</v>
      </c>
      <c r="Q11" s="112"/>
      <c r="R11" s="108"/>
      <c r="S11" s="110"/>
      <c r="T11" s="108">
        <f>T10-(SUM(T12:T17))</f>
        <v>0</v>
      </c>
      <c r="U11" s="108"/>
      <c r="V11" s="108"/>
      <c r="W11" s="100"/>
      <c r="X11" s="103"/>
      <c r="Y11" s="102"/>
      <c r="Z11" s="108">
        <f>Z10-(SUM(Z12:Z17))</f>
        <v>741.82</v>
      </c>
      <c r="AA11" s="112"/>
      <c r="AB11" s="108"/>
      <c r="AC11" s="110"/>
      <c r="AD11" s="108">
        <f>AD10-(SUM(AD12:AD17))</f>
        <v>7397.19</v>
      </c>
      <c r="AE11" s="108"/>
      <c r="AF11" s="108"/>
      <c r="AG11" s="100"/>
      <c r="AH11" s="103"/>
      <c r="AI11" s="102"/>
      <c r="AJ11" s="108">
        <f>AJ10-(SUM(AJ12:AJ17))</f>
        <v>0</v>
      </c>
      <c r="AK11" s="112"/>
      <c r="AL11" s="108"/>
      <c r="AM11" s="110"/>
      <c r="AN11" s="108">
        <f>AN10-(SUM(AN12:AN17))</f>
        <v>0</v>
      </c>
      <c r="AO11" s="108"/>
      <c r="AP11" s="108"/>
      <c r="AQ11" s="100"/>
      <c r="AR11" s="103"/>
      <c r="AS11" s="102"/>
      <c r="AT11" s="108">
        <f>AT10-(SUM(AT12:AT17))</f>
        <v>0</v>
      </c>
      <c r="AU11" s="112"/>
      <c r="AV11" s="108"/>
      <c r="AW11" s="110"/>
      <c r="AX11" s="108">
        <f>AX10-(SUM(AX12:AX17))</f>
        <v>0</v>
      </c>
      <c r="AY11" s="108"/>
      <c r="AZ11" s="108"/>
      <c r="BA11" s="102"/>
      <c r="BB11" s="103"/>
      <c r="BC11" s="102"/>
      <c r="BD11" s="108">
        <f>BD10-(SUM(BD12:BD17))</f>
        <v>652.08000000000004</v>
      </c>
      <c r="BE11" s="112"/>
      <c r="BF11" s="108"/>
      <c r="BG11" s="110"/>
      <c r="BH11" s="108">
        <f>BH10-(SUM(BH12:BH17))</f>
        <v>6503.48</v>
      </c>
      <c r="BI11" s="108"/>
      <c r="BJ11" s="108"/>
    </row>
    <row r="12" spans="1:64" x14ac:dyDescent="0.25">
      <c r="A12" s="5"/>
      <c r="B12" s="12" t="s">
        <v>52</v>
      </c>
      <c r="C12" s="4" t="s">
        <v>57</v>
      </c>
      <c r="D12" s="276">
        <f>'прил № 1 (01.01.24)'!L228</f>
        <v>12384</v>
      </c>
      <c r="E12" s="410">
        <f>D12/D10</f>
        <v>2.6620000000000001E-2</v>
      </c>
      <c r="F12" s="76">
        <f>F10*E12</f>
        <v>0</v>
      </c>
      <c r="G12" s="411">
        <f t="shared" ref="G12:G21" si="4">IF(D12&gt;0,F12/D12,0)</f>
        <v>0</v>
      </c>
      <c r="H12" s="76">
        <f>H10</f>
        <v>0</v>
      </c>
      <c r="I12" s="109">
        <f t="shared" ref="I12:I21" si="5">G12*H12</f>
        <v>0</v>
      </c>
      <c r="J12" s="71">
        <f t="shared" ref="J12:J21" si="6">I12*D12</f>
        <v>0</v>
      </c>
      <c r="K12" s="71"/>
      <c r="L12" s="108"/>
      <c r="M12" s="100">
        <f t="shared" si="0"/>
        <v>0</v>
      </c>
      <c r="N12" s="276">
        <f>'прил № 1 (01.01.24)'!AG228</f>
        <v>0</v>
      </c>
      <c r="O12" s="100">
        <f>N12/N10</f>
        <v>0</v>
      </c>
      <c r="P12" s="71">
        <f>P10*O12</f>
        <v>0</v>
      </c>
      <c r="Q12" s="111">
        <f t="shared" ref="Q12:Q20" si="7">IF(N12&gt;0,P12/N12,0)</f>
        <v>0</v>
      </c>
      <c r="R12" s="76">
        <f>R10</f>
        <v>0</v>
      </c>
      <c r="S12" s="109">
        <f t="shared" ref="S12:S20" si="8">Q12*R12</f>
        <v>0</v>
      </c>
      <c r="T12" s="71">
        <f t="shared" ref="T12:T20" si="9">S12*N12</f>
        <v>0</v>
      </c>
      <c r="U12" s="71"/>
      <c r="V12" s="108"/>
      <c r="W12" s="100" t="e">
        <f t="shared" ref="W12:W20" si="10">S12/BQ12</f>
        <v>#DIV/0!</v>
      </c>
      <c r="X12" s="276">
        <f>'прил № 1 (01.01.24)'!BB228</f>
        <v>113328</v>
      </c>
      <c r="Y12" s="100">
        <f>X12/X10</f>
        <v>0.47545999999999999</v>
      </c>
      <c r="Z12" s="71">
        <f>Z10*Y12</f>
        <v>14068.86</v>
      </c>
      <c r="AA12" s="111">
        <f t="shared" ref="AA12:AA20" si="11">IF(X12&gt;0,Z12/X12,0)</f>
        <v>0.12414284</v>
      </c>
      <c r="AB12" s="76">
        <f>AB10</f>
        <v>9.9700000000000006</v>
      </c>
      <c r="AC12" s="109">
        <f t="shared" ref="AC12:AC20" si="12">AA12*AB12</f>
        <v>1.2377</v>
      </c>
      <c r="AD12" s="71">
        <f t="shared" ref="AD12:AD20" si="13">AC12*X12</f>
        <v>140266.07</v>
      </c>
      <c r="AE12" s="71"/>
      <c r="AF12" s="108"/>
      <c r="AG12" s="100" t="e">
        <f t="shared" ref="AG12:AG20" si="14">AC12/CA12</f>
        <v>#DIV/0!</v>
      </c>
      <c r="AH12" s="276">
        <f>'прил № 1 (01.01.24)'!BW228</f>
        <v>0</v>
      </c>
      <c r="AI12" s="100">
        <f>AH12/AH10</f>
        <v>0</v>
      </c>
      <c r="AJ12" s="71">
        <f>AJ10*AI12</f>
        <v>0</v>
      </c>
      <c r="AK12" s="111">
        <f t="shared" ref="AK12:AK20" si="15">IF(AH12&gt;0,AJ12/AH12,0)</f>
        <v>0</v>
      </c>
      <c r="AL12" s="76">
        <f>AL10</f>
        <v>9.9700000000000006</v>
      </c>
      <c r="AM12" s="109">
        <f t="shared" ref="AM12:AM20" si="16">AK12*AL12</f>
        <v>0</v>
      </c>
      <c r="AN12" s="71">
        <f t="shared" ref="AN12:AN20" si="17">AM12*AH12</f>
        <v>0</v>
      </c>
      <c r="AO12" s="71"/>
      <c r="AP12" s="108"/>
      <c r="AQ12" s="100" t="e">
        <f t="shared" ref="AQ12:AQ20" si="18">AM12/CK12</f>
        <v>#DIV/0!</v>
      </c>
      <c r="AR12" s="276">
        <f>'прил № 1 (01.01.24)'!CR228</f>
        <v>0</v>
      </c>
      <c r="AS12" s="100">
        <f>AR12/AR10</f>
        <v>0</v>
      </c>
      <c r="AT12" s="71">
        <f>AT10*AS12</f>
        <v>0</v>
      </c>
      <c r="AU12" s="111">
        <f t="shared" ref="AU12:AU20" si="19">IF(AR12&gt;0,AT12/AR12,0)</f>
        <v>0</v>
      </c>
      <c r="AV12" s="76">
        <f>AV10</f>
        <v>0</v>
      </c>
      <c r="AW12" s="109">
        <f t="shared" ref="AW12:AW20" si="20">AU12*AV12</f>
        <v>0</v>
      </c>
      <c r="AX12" s="71">
        <f t="shared" ref="AX12:AX20" si="21">AW12*AR12</f>
        <v>0</v>
      </c>
      <c r="AY12" s="71"/>
      <c r="AZ12" s="108"/>
      <c r="BA12" s="100" t="e">
        <f t="shared" ref="BA12:BA20" si="22">AW12/CU12</f>
        <v>#DIV/0!</v>
      </c>
      <c r="BB12" s="222">
        <f>D12+N12+X12+AH12+AR12</f>
        <v>125712</v>
      </c>
      <c r="BC12" s="100">
        <f>BB12/BB10</f>
        <v>9.7449999999999995E-2</v>
      </c>
      <c r="BD12" s="71">
        <f>BD10*BC12</f>
        <v>3610.52</v>
      </c>
      <c r="BE12" s="111">
        <f t="shared" ref="BE12:BE20" si="23">IF(BB12&gt;0,BD12/BB12,0)</f>
        <v>2.8720570000000001E-2</v>
      </c>
      <c r="BF12" s="76">
        <f>BF10</f>
        <v>9.9700000000000006</v>
      </c>
      <c r="BG12" s="109">
        <f t="shared" ref="BG12:BG20" si="24">BE12*BF12</f>
        <v>0.28633999999999998</v>
      </c>
      <c r="BH12" s="71">
        <f t="shared" ref="BH12:BH20" si="25">BG12*BB12</f>
        <v>35996.370000000003</v>
      </c>
      <c r="BI12" s="71"/>
      <c r="BJ12" s="108"/>
      <c r="BL12" s="309">
        <f>BB12*BG12</f>
        <v>35996</v>
      </c>
    </row>
    <row r="13" spans="1:64" x14ac:dyDescent="0.25">
      <c r="A13" s="5"/>
      <c r="B13" s="12" t="s">
        <v>53</v>
      </c>
      <c r="C13" s="4" t="s">
        <v>57</v>
      </c>
      <c r="D13" s="276">
        <f>'прил № 1 (01.01.24)'!L229</f>
        <v>19872</v>
      </c>
      <c r="E13" s="410">
        <f>D13/D10</f>
        <v>4.2709999999999998E-2</v>
      </c>
      <c r="F13" s="76">
        <f>F10*E13</f>
        <v>0</v>
      </c>
      <c r="G13" s="411">
        <f t="shared" si="4"/>
        <v>0</v>
      </c>
      <c r="H13" s="76">
        <f>H10</f>
        <v>0</v>
      </c>
      <c r="I13" s="109">
        <f t="shared" si="5"/>
        <v>0</v>
      </c>
      <c r="J13" s="71">
        <f t="shared" si="6"/>
        <v>0</v>
      </c>
      <c r="K13" s="71"/>
      <c r="L13" s="108"/>
      <c r="M13" s="100">
        <f t="shared" si="0"/>
        <v>0</v>
      </c>
      <c r="N13" s="276">
        <f>'прил № 1 (01.01.24)'!AG229</f>
        <v>0</v>
      </c>
      <c r="O13" s="100">
        <f>N13/N10</f>
        <v>0</v>
      </c>
      <c r="P13" s="71">
        <f>P10*O13</f>
        <v>0</v>
      </c>
      <c r="Q13" s="111">
        <f t="shared" si="7"/>
        <v>0</v>
      </c>
      <c r="R13" s="76">
        <f>R10</f>
        <v>0</v>
      </c>
      <c r="S13" s="109">
        <f t="shared" si="8"/>
        <v>0</v>
      </c>
      <c r="T13" s="71">
        <f t="shared" si="9"/>
        <v>0</v>
      </c>
      <c r="U13" s="71"/>
      <c r="V13" s="108"/>
      <c r="W13" s="100" t="e">
        <f t="shared" si="10"/>
        <v>#DIV/0!</v>
      </c>
      <c r="X13" s="276">
        <f>'прил № 1 (01.01.24)'!BB229</f>
        <v>16776</v>
      </c>
      <c r="Y13" s="100">
        <f>X13/X10</f>
        <v>7.0379999999999998E-2</v>
      </c>
      <c r="Z13" s="71">
        <f>Z10*Y13</f>
        <v>2082.54</v>
      </c>
      <c r="AA13" s="111">
        <f t="shared" si="11"/>
        <v>0.12413805</v>
      </c>
      <c r="AB13" s="76">
        <f>AB10</f>
        <v>9.9700000000000006</v>
      </c>
      <c r="AC13" s="109">
        <f t="shared" si="12"/>
        <v>1.23766</v>
      </c>
      <c r="AD13" s="71">
        <f t="shared" si="13"/>
        <v>20762.98</v>
      </c>
      <c r="AE13" s="71"/>
      <c r="AF13" s="108"/>
      <c r="AG13" s="100" t="e">
        <f t="shared" si="14"/>
        <v>#DIV/0!</v>
      </c>
      <c r="AH13" s="276">
        <f>'прил № 1 (01.01.24)'!BW229</f>
        <v>147528</v>
      </c>
      <c r="AI13" s="100">
        <f>AH13/AH10</f>
        <v>1</v>
      </c>
      <c r="AJ13" s="71">
        <f>AJ10*AI13</f>
        <v>7460</v>
      </c>
      <c r="AK13" s="111">
        <f t="shared" si="15"/>
        <v>5.0566670000000001E-2</v>
      </c>
      <c r="AL13" s="76">
        <f>AL10</f>
        <v>9.9700000000000006</v>
      </c>
      <c r="AM13" s="109">
        <f t="shared" si="16"/>
        <v>0.50414999999999999</v>
      </c>
      <c r="AN13" s="71">
        <f t="shared" si="17"/>
        <v>74376.240000000005</v>
      </c>
      <c r="AO13" s="71"/>
      <c r="AP13" s="108"/>
      <c r="AQ13" s="100" t="e">
        <f t="shared" si="18"/>
        <v>#DIV/0!</v>
      </c>
      <c r="AR13" s="276">
        <f>'прил № 1 (01.01.24)'!CR229</f>
        <v>0</v>
      </c>
      <c r="AS13" s="100">
        <f>AR13/AR10</f>
        <v>0</v>
      </c>
      <c r="AT13" s="71">
        <f>AT10*AS13</f>
        <v>0</v>
      </c>
      <c r="AU13" s="111">
        <f t="shared" si="19"/>
        <v>0</v>
      </c>
      <c r="AV13" s="76">
        <f>AV10</f>
        <v>0</v>
      </c>
      <c r="AW13" s="109">
        <f t="shared" si="20"/>
        <v>0</v>
      </c>
      <c r="AX13" s="71">
        <f t="shared" si="21"/>
        <v>0</v>
      </c>
      <c r="AY13" s="71"/>
      <c r="AZ13" s="108"/>
      <c r="BA13" s="100" t="e">
        <f t="shared" si="22"/>
        <v>#DIV/0!</v>
      </c>
      <c r="BB13" s="222">
        <f t="shared" ref="BB13:BB17" si="26">D13+N13+X13+AH13+AR13</f>
        <v>184176</v>
      </c>
      <c r="BC13" s="100">
        <f>BB13/BB10</f>
        <v>0.14277000000000001</v>
      </c>
      <c r="BD13" s="71">
        <f>BD10*BC13</f>
        <v>5289.63</v>
      </c>
      <c r="BE13" s="111">
        <f t="shared" si="23"/>
        <v>2.8720519999999999E-2</v>
      </c>
      <c r="BF13" s="76">
        <f>BF10</f>
        <v>9.9700000000000006</v>
      </c>
      <c r="BG13" s="109">
        <f t="shared" si="24"/>
        <v>0.28633999999999998</v>
      </c>
      <c r="BH13" s="71">
        <f t="shared" si="25"/>
        <v>52736.959999999999</v>
      </c>
      <c r="BI13" s="71"/>
      <c r="BJ13" s="108"/>
      <c r="BL13" s="309">
        <f t="shared" ref="BL13:BL17" si="27">BB13*BG13</f>
        <v>52737</v>
      </c>
    </row>
    <row r="14" spans="1:64" x14ac:dyDescent="0.25">
      <c r="A14" s="5"/>
      <c r="B14" s="12" t="s">
        <v>51</v>
      </c>
      <c r="C14" s="4" t="s">
        <v>57</v>
      </c>
      <c r="D14" s="276">
        <f>'прил № 1 (01.01.24)'!L230</f>
        <v>35352</v>
      </c>
      <c r="E14" s="410">
        <f>D14/D10</f>
        <v>7.5980000000000006E-2</v>
      </c>
      <c r="F14" s="76">
        <f>F10*E14</f>
        <v>0</v>
      </c>
      <c r="G14" s="411">
        <f t="shared" si="4"/>
        <v>0</v>
      </c>
      <c r="H14" s="76">
        <f>H10</f>
        <v>0</v>
      </c>
      <c r="I14" s="109">
        <f t="shared" si="5"/>
        <v>0</v>
      </c>
      <c r="J14" s="71">
        <f t="shared" si="6"/>
        <v>0</v>
      </c>
      <c r="K14" s="71"/>
      <c r="L14" s="108"/>
      <c r="M14" s="100">
        <f t="shared" si="0"/>
        <v>0</v>
      </c>
      <c r="N14" s="276">
        <f>'прил № 1 (01.01.24)'!AG230</f>
        <v>73608</v>
      </c>
      <c r="O14" s="100">
        <f>N14/N10</f>
        <v>0.21454000000000001</v>
      </c>
      <c r="P14" s="71">
        <f>P10*O14</f>
        <v>0</v>
      </c>
      <c r="Q14" s="111">
        <f t="shared" si="7"/>
        <v>0</v>
      </c>
      <c r="R14" s="76">
        <f>R10</f>
        <v>0</v>
      </c>
      <c r="S14" s="109">
        <f t="shared" si="8"/>
        <v>0</v>
      </c>
      <c r="T14" s="71">
        <f t="shared" si="9"/>
        <v>0</v>
      </c>
      <c r="U14" s="71"/>
      <c r="V14" s="108"/>
      <c r="W14" s="100" t="e">
        <f t="shared" si="10"/>
        <v>#DIV/0!</v>
      </c>
      <c r="X14" s="276">
        <f>'прил № 1 (01.01.24)'!BB230</f>
        <v>18360</v>
      </c>
      <c r="Y14" s="100">
        <f>X14/X10</f>
        <v>7.7030000000000001E-2</v>
      </c>
      <c r="Z14" s="71">
        <f>Z10*Y14</f>
        <v>2279.3200000000002</v>
      </c>
      <c r="AA14" s="111">
        <f t="shared" si="11"/>
        <v>0.12414596999999999</v>
      </c>
      <c r="AB14" s="76">
        <f>AB10</f>
        <v>9.9700000000000006</v>
      </c>
      <c r="AC14" s="109">
        <f t="shared" si="12"/>
        <v>1.2377400000000001</v>
      </c>
      <c r="AD14" s="71">
        <f t="shared" si="13"/>
        <v>22724.91</v>
      </c>
      <c r="AE14" s="71"/>
      <c r="AF14" s="108"/>
      <c r="AG14" s="100" t="e">
        <f t="shared" si="14"/>
        <v>#DIV/0!</v>
      </c>
      <c r="AH14" s="276">
        <f>'прил № 1 (01.01.24)'!BW230</f>
        <v>0</v>
      </c>
      <c r="AI14" s="100">
        <f>AH14/AH10</f>
        <v>0</v>
      </c>
      <c r="AJ14" s="71">
        <f>AJ10*AI14</f>
        <v>0</v>
      </c>
      <c r="AK14" s="111">
        <f t="shared" si="15"/>
        <v>0</v>
      </c>
      <c r="AL14" s="76">
        <f>AL10</f>
        <v>9.9700000000000006</v>
      </c>
      <c r="AM14" s="109">
        <f t="shared" si="16"/>
        <v>0</v>
      </c>
      <c r="AN14" s="71">
        <f t="shared" si="17"/>
        <v>0</v>
      </c>
      <c r="AO14" s="71"/>
      <c r="AP14" s="108"/>
      <c r="AQ14" s="100" t="e">
        <f t="shared" si="18"/>
        <v>#DIV/0!</v>
      </c>
      <c r="AR14" s="276">
        <f>'прил № 1 (01.01.24)'!CR230</f>
        <v>0</v>
      </c>
      <c r="AS14" s="100">
        <f>AR14/AR10</f>
        <v>0</v>
      </c>
      <c r="AT14" s="71">
        <f>AT10*AS14</f>
        <v>0</v>
      </c>
      <c r="AU14" s="111">
        <f t="shared" si="19"/>
        <v>0</v>
      </c>
      <c r="AV14" s="76">
        <f>AV10</f>
        <v>0</v>
      </c>
      <c r="AW14" s="109">
        <f t="shared" si="20"/>
        <v>0</v>
      </c>
      <c r="AX14" s="71">
        <f t="shared" si="21"/>
        <v>0</v>
      </c>
      <c r="AY14" s="71"/>
      <c r="AZ14" s="108"/>
      <c r="BA14" s="100" t="e">
        <f t="shared" si="22"/>
        <v>#DIV/0!</v>
      </c>
      <c r="BB14" s="222">
        <f t="shared" si="26"/>
        <v>127320</v>
      </c>
      <c r="BC14" s="100">
        <f>BB14/BB10</f>
        <v>9.869E-2</v>
      </c>
      <c r="BD14" s="71">
        <f>BD10*BC14</f>
        <v>3656.46</v>
      </c>
      <c r="BE14" s="111">
        <f t="shared" si="23"/>
        <v>2.871866E-2</v>
      </c>
      <c r="BF14" s="76">
        <f>BF10</f>
        <v>9.9700000000000006</v>
      </c>
      <c r="BG14" s="109">
        <f t="shared" si="24"/>
        <v>0.28632999999999997</v>
      </c>
      <c r="BH14" s="71">
        <f t="shared" si="25"/>
        <v>36455.54</v>
      </c>
      <c r="BI14" s="71"/>
      <c r="BJ14" s="108"/>
      <c r="BL14" s="309">
        <f t="shared" si="27"/>
        <v>36456</v>
      </c>
    </row>
    <row r="15" spans="1:64" x14ac:dyDescent="0.25">
      <c r="A15" s="5"/>
      <c r="B15" s="12" t="s">
        <v>54</v>
      </c>
      <c r="C15" s="4" t="s">
        <v>57</v>
      </c>
      <c r="D15" s="276">
        <f>'прил № 1 (01.01.24)'!L231</f>
        <v>272292</v>
      </c>
      <c r="E15" s="410">
        <f>D15/D10</f>
        <v>0.58521000000000001</v>
      </c>
      <c r="F15" s="76">
        <f>F10*E15</f>
        <v>0</v>
      </c>
      <c r="G15" s="411">
        <f t="shared" si="4"/>
        <v>0</v>
      </c>
      <c r="H15" s="76">
        <f>H10</f>
        <v>0</v>
      </c>
      <c r="I15" s="109">
        <f t="shared" si="5"/>
        <v>0</v>
      </c>
      <c r="J15" s="71">
        <f t="shared" si="6"/>
        <v>0</v>
      </c>
      <c r="K15" s="71"/>
      <c r="L15" s="108"/>
      <c r="M15" s="100">
        <f t="shared" si="0"/>
        <v>0</v>
      </c>
      <c r="N15" s="276">
        <f>'прил № 1 (01.01.24)'!AG231</f>
        <v>128520</v>
      </c>
      <c r="O15" s="100">
        <f>N15/N10</f>
        <v>0.37458000000000002</v>
      </c>
      <c r="P15" s="71">
        <f>P10*O15</f>
        <v>0</v>
      </c>
      <c r="Q15" s="111">
        <f t="shared" si="7"/>
        <v>0</v>
      </c>
      <c r="R15" s="76">
        <f>R10</f>
        <v>0</v>
      </c>
      <c r="S15" s="109">
        <f t="shared" si="8"/>
        <v>0</v>
      </c>
      <c r="T15" s="71">
        <f t="shared" si="9"/>
        <v>0</v>
      </c>
      <c r="U15" s="71"/>
      <c r="V15" s="108"/>
      <c r="W15" s="100" t="e">
        <f t="shared" si="10"/>
        <v>#DIV/0!</v>
      </c>
      <c r="X15" s="276">
        <f>'прил № 1 (01.01.24)'!BB231</f>
        <v>61020</v>
      </c>
      <c r="Y15" s="100">
        <f>X15/X10</f>
        <v>0.25600000000000001</v>
      </c>
      <c r="Z15" s="71">
        <f>Z10*Y15</f>
        <v>7575.04</v>
      </c>
      <c r="AA15" s="111">
        <f t="shared" si="11"/>
        <v>0.12414028000000001</v>
      </c>
      <c r="AB15" s="76">
        <f>AB10</f>
        <v>9.9700000000000006</v>
      </c>
      <c r="AC15" s="109">
        <f t="shared" si="12"/>
        <v>1.2376799999999999</v>
      </c>
      <c r="AD15" s="71">
        <f t="shared" si="13"/>
        <v>75523.23</v>
      </c>
      <c r="AE15" s="71"/>
      <c r="AF15" s="108"/>
      <c r="AG15" s="100" t="e">
        <f t="shared" si="14"/>
        <v>#DIV/0!</v>
      </c>
      <c r="AH15" s="276">
        <f>'прил № 1 (01.01.24)'!BW231</f>
        <v>0</v>
      </c>
      <c r="AI15" s="100">
        <f>AH15/AH10</f>
        <v>0</v>
      </c>
      <c r="AJ15" s="71">
        <f>AJ10*AI15</f>
        <v>0</v>
      </c>
      <c r="AK15" s="111">
        <f t="shared" si="15"/>
        <v>0</v>
      </c>
      <c r="AL15" s="76">
        <f>AL10</f>
        <v>9.9700000000000006</v>
      </c>
      <c r="AM15" s="109">
        <f t="shared" si="16"/>
        <v>0</v>
      </c>
      <c r="AN15" s="71">
        <f t="shared" si="17"/>
        <v>0</v>
      </c>
      <c r="AO15" s="71"/>
      <c r="AP15" s="108"/>
      <c r="AQ15" s="100" t="e">
        <f t="shared" si="18"/>
        <v>#DIV/0!</v>
      </c>
      <c r="AR15" s="276">
        <f>'прил № 1 (01.01.24)'!CR231</f>
        <v>0</v>
      </c>
      <c r="AS15" s="100">
        <f>AR15/AR10</f>
        <v>0</v>
      </c>
      <c r="AT15" s="71">
        <f>AT10*AS15</f>
        <v>0</v>
      </c>
      <c r="AU15" s="111">
        <f t="shared" si="19"/>
        <v>0</v>
      </c>
      <c r="AV15" s="76">
        <f>AV10</f>
        <v>0</v>
      </c>
      <c r="AW15" s="109">
        <f t="shared" si="20"/>
        <v>0</v>
      </c>
      <c r="AX15" s="71">
        <f t="shared" si="21"/>
        <v>0</v>
      </c>
      <c r="AY15" s="71"/>
      <c r="AZ15" s="108"/>
      <c r="BA15" s="100" t="e">
        <f t="shared" si="22"/>
        <v>#DIV/0!</v>
      </c>
      <c r="BB15" s="222">
        <f t="shared" si="26"/>
        <v>461832</v>
      </c>
      <c r="BC15" s="100">
        <f>BB15/BB10</f>
        <v>0.35799999999999998</v>
      </c>
      <c r="BD15" s="71">
        <f>BD10*BC15</f>
        <v>13263.9</v>
      </c>
      <c r="BE15" s="111">
        <f t="shared" si="23"/>
        <v>2.8720180000000001E-2</v>
      </c>
      <c r="BF15" s="76">
        <f>BF10</f>
        <v>9.9700000000000006</v>
      </c>
      <c r="BG15" s="109">
        <f t="shared" si="24"/>
        <v>0.28633999999999998</v>
      </c>
      <c r="BH15" s="71">
        <f t="shared" si="25"/>
        <v>132240.97</v>
      </c>
      <c r="BI15" s="71"/>
      <c r="BJ15" s="108"/>
      <c r="BL15" s="309">
        <f t="shared" si="27"/>
        <v>132241</v>
      </c>
    </row>
    <row r="16" spans="1:64" x14ac:dyDescent="0.25">
      <c r="A16" s="5"/>
      <c r="B16" s="12" t="s">
        <v>55</v>
      </c>
      <c r="C16" s="4" t="s">
        <v>57</v>
      </c>
      <c r="D16" s="276">
        <f>'прил № 1 (01.01.24)'!L232</f>
        <v>18504</v>
      </c>
      <c r="E16" s="410">
        <f>D16/D10</f>
        <v>3.977E-2</v>
      </c>
      <c r="F16" s="76">
        <f>F10*E16</f>
        <v>0</v>
      </c>
      <c r="G16" s="411">
        <f t="shared" si="4"/>
        <v>0</v>
      </c>
      <c r="H16" s="76">
        <f>H10</f>
        <v>0</v>
      </c>
      <c r="I16" s="109">
        <f t="shared" si="5"/>
        <v>0</v>
      </c>
      <c r="J16" s="71">
        <f t="shared" si="6"/>
        <v>0</v>
      </c>
      <c r="K16" s="71"/>
      <c r="L16" s="108"/>
      <c r="M16" s="100">
        <f t="shared" si="0"/>
        <v>0</v>
      </c>
      <c r="N16" s="276">
        <f>'прил № 1 (01.01.24)'!AG232</f>
        <v>12816</v>
      </c>
      <c r="O16" s="100">
        <f>N16/N10</f>
        <v>3.7350000000000001E-2</v>
      </c>
      <c r="P16" s="71">
        <f>P10*O16</f>
        <v>0</v>
      </c>
      <c r="Q16" s="111">
        <f t="shared" si="7"/>
        <v>0</v>
      </c>
      <c r="R16" s="76">
        <f>R10</f>
        <v>0</v>
      </c>
      <c r="S16" s="109">
        <f t="shared" si="8"/>
        <v>0</v>
      </c>
      <c r="T16" s="71">
        <f t="shared" si="9"/>
        <v>0</v>
      </c>
      <c r="U16" s="71"/>
      <c r="V16" s="108"/>
      <c r="W16" s="100" t="e">
        <f t="shared" si="10"/>
        <v>#DIV/0!</v>
      </c>
      <c r="X16" s="276">
        <f>'прил № 1 (01.01.24)'!BB232</f>
        <v>0</v>
      </c>
      <c r="Y16" s="100">
        <f>X16/X10</f>
        <v>0</v>
      </c>
      <c r="Z16" s="71">
        <f>Z10*Y16</f>
        <v>0</v>
      </c>
      <c r="AA16" s="111">
        <f t="shared" si="11"/>
        <v>0</v>
      </c>
      <c r="AB16" s="76">
        <f>AB10</f>
        <v>9.9700000000000006</v>
      </c>
      <c r="AC16" s="109">
        <f t="shared" si="12"/>
        <v>0</v>
      </c>
      <c r="AD16" s="71">
        <f t="shared" si="13"/>
        <v>0</v>
      </c>
      <c r="AE16" s="71"/>
      <c r="AF16" s="108"/>
      <c r="AG16" s="100" t="e">
        <f t="shared" si="14"/>
        <v>#DIV/0!</v>
      </c>
      <c r="AH16" s="276">
        <f>'прил № 1 (01.01.24)'!BW232</f>
        <v>0</v>
      </c>
      <c r="AI16" s="100">
        <f>AH16/AH10</f>
        <v>0</v>
      </c>
      <c r="AJ16" s="71">
        <f>AJ10*AI16</f>
        <v>0</v>
      </c>
      <c r="AK16" s="111">
        <f t="shared" si="15"/>
        <v>0</v>
      </c>
      <c r="AL16" s="76">
        <f>AL10</f>
        <v>9.9700000000000006</v>
      </c>
      <c r="AM16" s="109">
        <f t="shared" si="16"/>
        <v>0</v>
      </c>
      <c r="AN16" s="71">
        <f t="shared" si="17"/>
        <v>0</v>
      </c>
      <c r="AO16" s="71"/>
      <c r="AP16" s="108"/>
      <c r="AQ16" s="100" t="e">
        <f t="shared" si="18"/>
        <v>#DIV/0!</v>
      </c>
      <c r="AR16" s="276">
        <f>'прил № 1 (01.01.24)'!CR232</f>
        <v>95760</v>
      </c>
      <c r="AS16" s="100">
        <f>AR16/AR10</f>
        <v>1</v>
      </c>
      <c r="AT16" s="71">
        <f>AT10*AS16</f>
        <v>0</v>
      </c>
      <c r="AU16" s="111">
        <f t="shared" si="19"/>
        <v>0</v>
      </c>
      <c r="AV16" s="76">
        <f>AV10</f>
        <v>0</v>
      </c>
      <c r="AW16" s="109">
        <f t="shared" si="20"/>
        <v>0</v>
      </c>
      <c r="AX16" s="71">
        <f t="shared" si="21"/>
        <v>0</v>
      </c>
      <c r="AY16" s="71"/>
      <c r="AZ16" s="108"/>
      <c r="BA16" s="100" t="e">
        <f t="shared" si="22"/>
        <v>#DIV/0!</v>
      </c>
      <c r="BB16" s="222">
        <f t="shared" si="26"/>
        <v>127080</v>
      </c>
      <c r="BC16" s="100">
        <f>BB16/BB10</f>
        <v>9.851E-2</v>
      </c>
      <c r="BD16" s="71">
        <f>BD10*BC16</f>
        <v>3649.8</v>
      </c>
      <c r="BE16" s="111">
        <f t="shared" si="23"/>
        <v>2.8720490000000001E-2</v>
      </c>
      <c r="BF16" s="76">
        <f>BF10</f>
        <v>9.9700000000000006</v>
      </c>
      <c r="BG16" s="109">
        <f t="shared" si="24"/>
        <v>0.28633999999999998</v>
      </c>
      <c r="BH16" s="71">
        <f t="shared" si="25"/>
        <v>36388.089999999997</v>
      </c>
      <c r="BI16" s="71"/>
      <c r="BJ16" s="108"/>
      <c r="BL16" s="309">
        <f t="shared" si="27"/>
        <v>36388</v>
      </c>
    </row>
    <row r="17" spans="1:64" x14ac:dyDescent="0.25">
      <c r="A17" s="5"/>
      <c r="B17" s="12" t="s">
        <v>56</v>
      </c>
      <c r="C17" s="4" t="s">
        <v>57</v>
      </c>
      <c r="D17" s="276">
        <f>'прил № 1 (01.01.24)'!L233</f>
        <v>100800</v>
      </c>
      <c r="E17" s="410">
        <f>D17/D10</f>
        <v>0.21664</v>
      </c>
      <c r="F17" s="76">
        <f>F10*E17</f>
        <v>0</v>
      </c>
      <c r="G17" s="411">
        <f t="shared" si="4"/>
        <v>0</v>
      </c>
      <c r="H17" s="76">
        <f>H10</f>
        <v>0</v>
      </c>
      <c r="I17" s="109">
        <f t="shared" si="5"/>
        <v>0</v>
      </c>
      <c r="J17" s="71">
        <f t="shared" si="6"/>
        <v>0</v>
      </c>
      <c r="K17" s="71"/>
      <c r="L17" s="108"/>
      <c r="M17" s="100">
        <f t="shared" si="0"/>
        <v>0</v>
      </c>
      <c r="N17" s="276">
        <f>'прил № 1 (01.01.24)'!AG233</f>
        <v>117512</v>
      </c>
      <c r="O17" s="100">
        <f>N17/N10</f>
        <v>0.34250000000000003</v>
      </c>
      <c r="P17" s="71">
        <f>P10*O17</f>
        <v>0</v>
      </c>
      <c r="Q17" s="111">
        <f t="shared" si="7"/>
        <v>0</v>
      </c>
      <c r="R17" s="76">
        <f>R10</f>
        <v>0</v>
      </c>
      <c r="S17" s="109">
        <f t="shared" si="8"/>
        <v>0</v>
      </c>
      <c r="T17" s="71">
        <f t="shared" si="9"/>
        <v>0</v>
      </c>
      <c r="U17" s="71"/>
      <c r="V17" s="108"/>
      <c r="W17" s="100" t="e">
        <f t="shared" si="10"/>
        <v>#DIV/0!</v>
      </c>
      <c r="X17" s="276">
        <f>'прил № 1 (01.01.24)'!BB233</f>
        <v>22896</v>
      </c>
      <c r="Y17" s="100">
        <f>X17/X10</f>
        <v>9.6060000000000006E-2</v>
      </c>
      <c r="Z17" s="71">
        <f>Z10*Y17</f>
        <v>2842.42</v>
      </c>
      <c r="AA17" s="111">
        <f t="shared" si="11"/>
        <v>0.12414483</v>
      </c>
      <c r="AB17" s="76">
        <f>AB10</f>
        <v>9.9700000000000006</v>
      </c>
      <c r="AC17" s="109">
        <f t="shared" si="12"/>
        <v>1.2377199999999999</v>
      </c>
      <c r="AD17" s="71">
        <f t="shared" si="13"/>
        <v>28338.84</v>
      </c>
      <c r="AE17" s="71"/>
      <c r="AF17" s="108"/>
      <c r="AG17" s="100" t="e">
        <f t="shared" si="14"/>
        <v>#DIV/0!</v>
      </c>
      <c r="AH17" s="276">
        <f>'прил № 1 (01.01.24)'!BW233</f>
        <v>0</v>
      </c>
      <c r="AI17" s="100">
        <f>AH17/AH10</f>
        <v>0</v>
      </c>
      <c r="AJ17" s="71">
        <f>AJ10*AI17</f>
        <v>0</v>
      </c>
      <c r="AK17" s="111">
        <f t="shared" si="15"/>
        <v>0</v>
      </c>
      <c r="AL17" s="76">
        <f>AL10</f>
        <v>9.9700000000000006</v>
      </c>
      <c r="AM17" s="109">
        <f t="shared" si="16"/>
        <v>0</v>
      </c>
      <c r="AN17" s="71">
        <f t="shared" si="17"/>
        <v>0</v>
      </c>
      <c r="AO17" s="71"/>
      <c r="AP17" s="108"/>
      <c r="AQ17" s="100" t="e">
        <f t="shared" si="18"/>
        <v>#DIV/0!</v>
      </c>
      <c r="AR17" s="276">
        <f>'прил № 1 (01.01.24)'!CR233</f>
        <v>0</v>
      </c>
      <c r="AS17" s="100">
        <f>AR17/AR10</f>
        <v>0</v>
      </c>
      <c r="AT17" s="71">
        <f>AT10*AS17</f>
        <v>0</v>
      </c>
      <c r="AU17" s="111">
        <f t="shared" si="19"/>
        <v>0</v>
      </c>
      <c r="AV17" s="76">
        <f>AV10</f>
        <v>0</v>
      </c>
      <c r="AW17" s="109">
        <f t="shared" si="20"/>
        <v>0</v>
      </c>
      <c r="AX17" s="71">
        <f t="shared" si="21"/>
        <v>0</v>
      </c>
      <c r="AY17" s="71"/>
      <c r="AZ17" s="108"/>
      <c r="BA17" s="100" t="e">
        <f t="shared" si="22"/>
        <v>#DIV/0!</v>
      </c>
      <c r="BB17" s="222">
        <f t="shared" si="26"/>
        <v>241208</v>
      </c>
      <c r="BC17" s="100">
        <f>BB17/BB10</f>
        <v>0.18698000000000001</v>
      </c>
      <c r="BD17" s="71">
        <f>BD10*BC17</f>
        <v>6927.61</v>
      </c>
      <c r="BE17" s="111">
        <f t="shared" si="23"/>
        <v>2.872048E-2</v>
      </c>
      <c r="BF17" s="76">
        <f>BF10</f>
        <v>9.9700000000000006</v>
      </c>
      <c r="BG17" s="109">
        <f t="shared" si="24"/>
        <v>0.28633999999999998</v>
      </c>
      <c r="BH17" s="71">
        <f t="shared" si="25"/>
        <v>69067.5</v>
      </c>
      <c r="BI17" s="71"/>
      <c r="BJ17" s="108"/>
      <c r="BL17" s="309">
        <f t="shared" si="27"/>
        <v>69067</v>
      </c>
    </row>
    <row r="18" spans="1:64" x14ac:dyDescent="0.25">
      <c r="A18" s="5"/>
      <c r="B18" s="412" t="s">
        <v>441</v>
      </c>
      <c r="C18" s="4" t="s">
        <v>57</v>
      </c>
      <c r="D18" s="276">
        <f>'прил № 1 (01.01.24)'!L234</f>
        <v>0</v>
      </c>
      <c r="E18" s="410">
        <f>D18/D10</f>
        <v>0</v>
      </c>
      <c r="F18" s="76">
        <f>F10*E18</f>
        <v>0</v>
      </c>
      <c r="G18" s="411">
        <f t="shared" ref="G18:G19" si="28">IF(D18&gt;0,F18/D18,0)</f>
        <v>0</v>
      </c>
      <c r="H18" s="76">
        <f>H10</f>
        <v>0</v>
      </c>
      <c r="I18" s="109">
        <f t="shared" ref="I18:I19" si="29">G18*H18</f>
        <v>0</v>
      </c>
      <c r="J18" s="71">
        <f t="shared" ref="J18:J19" si="30">I18*D18</f>
        <v>0</v>
      </c>
      <c r="K18" s="71"/>
      <c r="L18" s="108"/>
      <c r="M18" s="100">
        <f t="shared" ref="M18:M19" si="31">I18/BG18</f>
        <v>0</v>
      </c>
      <c r="N18" s="276">
        <f>'прил № 1 (01.01.24)'!AG234</f>
        <v>10648</v>
      </c>
      <c r="O18" s="410">
        <f>N18/N10</f>
        <v>3.1029999999999999E-2</v>
      </c>
      <c r="P18" s="76">
        <f>P10*O18</f>
        <v>0</v>
      </c>
      <c r="Q18" s="411">
        <f t="shared" si="7"/>
        <v>0</v>
      </c>
      <c r="R18" s="76">
        <f>R10</f>
        <v>0</v>
      </c>
      <c r="S18" s="109">
        <f t="shared" ref="S18:S19" si="32">Q18*R18</f>
        <v>0</v>
      </c>
      <c r="T18" s="71">
        <f t="shared" ref="T18:T19" si="33">S18*N18</f>
        <v>0</v>
      </c>
      <c r="U18" s="71"/>
      <c r="V18" s="108"/>
      <c r="W18" s="100" t="e">
        <f t="shared" ref="W18:W19" si="34">S18/BQ18</f>
        <v>#DIV/0!</v>
      </c>
      <c r="X18" s="276">
        <f>'прил № 1 (01.01.24)'!BB234</f>
        <v>0</v>
      </c>
      <c r="Y18" s="410">
        <f>X18/X10</f>
        <v>0</v>
      </c>
      <c r="Z18" s="76">
        <f>Z10*Y18</f>
        <v>0</v>
      </c>
      <c r="AA18" s="411">
        <f t="shared" si="11"/>
        <v>0</v>
      </c>
      <c r="AB18" s="76">
        <f>AB10</f>
        <v>9.9700000000000006</v>
      </c>
      <c r="AC18" s="109">
        <f t="shared" ref="AC18:AC19" si="35">AA18*AB18</f>
        <v>0</v>
      </c>
      <c r="AD18" s="71">
        <f t="shared" ref="AD18:AD19" si="36">AC18*X18</f>
        <v>0</v>
      </c>
      <c r="AE18" s="71"/>
      <c r="AF18" s="108"/>
      <c r="AG18" s="100" t="e">
        <f t="shared" ref="AG18:AG19" si="37">AC18/CA18</f>
        <v>#DIV/0!</v>
      </c>
      <c r="AH18" s="276">
        <f>'прил № 1 (01.01.24)'!BW234</f>
        <v>0</v>
      </c>
      <c r="AI18" s="410">
        <f>AH18/AH10</f>
        <v>0</v>
      </c>
      <c r="AJ18" s="76">
        <f>AJ10*AI18</f>
        <v>0</v>
      </c>
      <c r="AK18" s="411">
        <f t="shared" si="15"/>
        <v>0</v>
      </c>
      <c r="AL18" s="76">
        <f>AL10</f>
        <v>9.9700000000000006</v>
      </c>
      <c r="AM18" s="109">
        <f t="shared" ref="AM18:AM19" si="38">AK18*AL18</f>
        <v>0</v>
      </c>
      <c r="AN18" s="71">
        <f t="shared" ref="AN18:AN19" si="39">AM18*AH18</f>
        <v>0</v>
      </c>
      <c r="AO18" s="71"/>
      <c r="AP18" s="108"/>
      <c r="AQ18" s="100" t="e">
        <f t="shared" ref="AQ18:AQ19" si="40">AM18/CK18</f>
        <v>#DIV/0!</v>
      </c>
      <c r="AR18" s="276">
        <f>'прил № 1 (01.01.24)'!CR234</f>
        <v>0</v>
      </c>
      <c r="AS18" s="410">
        <f>AR18/AR10</f>
        <v>0</v>
      </c>
      <c r="AT18" s="76">
        <f>AT10*AS18</f>
        <v>0</v>
      </c>
      <c r="AU18" s="411">
        <f t="shared" si="19"/>
        <v>0</v>
      </c>
      <c r="AV18" s="76">
        <f>AV10</f>
        <v>0</v>
      </c>
      <c r="AW18" s="109">
        <f t="shared" ref="AW18:AW19" si="41">AU18*AV18</f>
        <v>0</v>
      </c>
      <c r="AX18" s="71">
        <f t="shared" ref="AX18:AX19" si="42">AW18*AR18</f>
        <v>0</v>
      </c>
      <c r="AY18" s="71"/>
      <c r="AZ18" s="108"/>
      <c r="BA18" s="100" t="e">
        <f t="shared" ref="BA18:BA19" si="43">AW18/CU18</f>
        <v>#DIV/0!</v>
      </c>
      <c r="BB18" s="222">
        <f t="shared" ref="BB18:BB19" si="44">D18+N18+X18+AH18+AR18</f>
        <v>10648</v>
      </c>
      <c r="BC18" s="410">
        <f>BB18/BB10</f>
        <v>8.2500000000000004E-3</v>
      </c>
      <c r="BD18" s="76">
        <f>BD10*BC18</f>
        <v>305.66000000000003</v>
      </c>
      <c r="BE18" s="411">
        <f t="shared" si="23"/>
        <v>2.870586E-2</v>
      </c>
      <c r="BF18" s="76">
        <f>BF10</f>
        <v>9.9700000000000006</v>
      </c>
      <c r="BG18" s="109">
        <f t="shared" ref="BG18:BG19" si="45">BE18*BF18</f>
        <v>0.28620000000000001</v>
      </c>
      <c r="BH18" s="71">
        <f t="shared" ref="BH18:BH19" si="46">BG18*BB18</f>
        <v>3047.46</v>
      </c>
      <c r="BI18" s="71"/>
      <c r="BJ18" s="108"/>
      <c r="BL18" s="309">
        <f t="shared" ref="BL18:BL19" si="47">BB18*BG18</f>
        <v>3047</v>
      </c>
    </row>
    <row r="19" spans="1:64" x14ac:dyDescent="0.25">
      <c r="A19" s="5"/>
      <c r="B19" s="412" t="s">
        <v>827</v>
      </c>
      <c r="C19" s="4" t="s">
        <v>57</v>
      </c>
      <c r="D19" s="276">
        <f>'прил № 1 (01.01.24)'!L235</f>
        <v>3816</v>
      </c>
      <c r="E19" s="410">
        <f>D19/D10</f>
        <v>8.2000000000000007E-3</v>
      </c>
      <c r="F19" s="76">
        <f>F10*E19</f>
        <v>0</v>
      </c>
      <c r="G19" s="411">
        <f t="shared" si="28"/>
        <v>0</v>
      </c>
      <c r="H19" s="76">
        <f>H10</f>
        <v>0</v>
      </c>
      <c r="I19" s="109">
        <f t="shared" si="29"/>
        <v>0</v>
      </c>
      <c r="J19" s="71">
        <f t="shared" si="30"/>
        <v>0</v>
      </c>
      <c r="K19" s="71"/>
      <c r="L19" s="108"/>
      <c r="M19" s="100">
        <f t="shared" si="31"/>
        <v>0</v>
      </c>
      <c r="N19" s="276">
        <f>'прил № 1 (01.01.24)'!AG235</f>
        <v>0</v>
      </c>
      <c r="O19" s="410">
        <f>N19/N10</f>
        <v>0</v>
      </c>
      <c r="P19" s="76">
        <f>P10*O19</f>
        <v>0</v>
      </c>
      <c r="Q19" s="411">
        <f t="shared" si="7"/>
        <v>0</v>
      </c>
      <c r="R19" s="76">
        <f>R10</f>
        <v>0</v>
      </c>
      <c r="S19" s="109">
        <f t="shared" si="32"/>
        <v>0</v>
      </c>
      <c r="T19" s="71">
        <f t="shared" si="33"/>
        <v>0</v>
      </c>
      <c r="U19" s="71"/>
      <c r="V19" s="108"/>
      <c r="W19" s="100" t="e">
        <f t="shared" si="34"/>
        <v>#DIV/0!</v>
      </c>
      <c r="X19" s="276">
        <f>'прил № 1 (01.01.24)'!BB235</f>
        <v>0</v>
      </c>
      <c r="Y19" s="410">
        <f>X19/X10</f>
        <v>0</v>
      </c>
      <c r="Z19" s="76">
        <f>Z10*Y19</f>
        <v>0</v>
      </c>
      <c r="AA19" s="411">
        <f t="shared" si="11"/>
        <v>0</v>
      </c>
      <c r="AB19" s="76">
        <f>AB10</f>
        <v>9.9700000000000006</v>
      </c>
      <c r="AC19" s="109">
        <f t="shared" si="35"/>
        <v>0</v>
      </c>
      <c r="AD19" s="71">
        <f t="shared" si="36"/>
        <v>0</v>
      </c>
      <c r="AE19" s="71"/>
      <c r="AF19" s="108"/>
      <c r="AG19" s="100" t="e">
        <f t="shared" si="37"/>
        <v>#DIV/0!</v>
      </c>
      <c r="AH19" s="276">
        <f>'прил № 1 (01.01.24)'!BW235</f>
        <v>0</v>
      </c>
      <c r="AI19" s="410">
        <f>AH19/AH10</f>
        <v>0</v>
      </c>
      <c r="AJ19" s="76">
        <f>AJ10*AI19</f>
        <v>0</v>
      </c>
      <c r="AK19" s="411">
        <f t="shared" si="15"/>
        <v>0</v>
      </c>
      <c r="AL19" s="76">
        <f>AL10</f>
        <v>9.9700000000000006</v>
      </c>
      <c r="AM19" s="109">
        <f t="shared" si="38"/>
        <v>0</v>
      </c>
      <c r="AN19" s="71">
        <f t="shared" si="39"/>
        <v>0</v>
      </c>
      <c r="AO19" s="71"/>
      <c r="AP19" s="108"/>
      <c r="AQ19" s="100" t="e">
        <f t="shared" si="40"/>
        <v>#DIV/0!</v>
      </c>
      <c r="AR19" s="276">
        <f>'прил № 1 (01.01.24)'!CR235</f>
        <v>0</v>
      </c>
      <c r="AS19" s="410">
        <f>AR19/AR10</f>
        <v>0</v>
      </c>
      <c r="AT19" s="76">
        <f>AT10*AS19</f>
        <v>0</v>
      </c>
      <c r="AU19" s="411">
        <f t="shared" si="19"/>
        <v>0</v>
      </c>
      <c r="AV19" s="76">
        <f>AV10</f>
        <v>0</v>
      </c>
      <c r="AW19" s="109">
        <f t="shared" si="41"/>
        <v>0</v>
      </c>
      <c r="AX19" s="71">
        <f t="shared" si="42"/>
        <v>0</v>
      </c>
      <c r="AY19" s="71"/>
      <c r="AZ19" s="108"/>
      <c r="BA19" s="100" t="e">
        <f t="shared" si="43"/>
        <v>#DIV/0!</v>
      </c>
      <c r="BB19" s="222">
        <f t="shared" si="44"/>
        <v>3816</v>
      </c>
      <c r="BC19" s="410">
        <f>BB19/BB10</f>
        <v>2.96E-3</v>
      </c>
      <c r="BD19" s="76">
        <f>BD10*BC19</f>
        <v>109.67</v>
      </c>
      <c r="BE19" s="411">
        <f t="shared" si="23"/>
        <v>2.8739520000000001E-2</v>
      </c>
      <c r="BF19" s="76">
        <f>BF10</f>
        <v>9.9700000000000006</v>
      </c>
      <c r="BG19" s="109">
        <f t="shared" si="45"/>
        <v>0.28653000000000001</v>
      </c>
      <c r="BH19" s="71">
        <f t="shared" si="46"/>
        <v>1093.4000000000001</v>
      </c>
      <c r="BI19" s="71"/>
      <c r="BJ19" s="108"/>
      <c r="BL19" s="309">
        <f t="shared" si="47"/>
        <v>1093</v>
      </c>
    </row>
    <row r="20" spans="1:64" x14ac:dyDescent="0.25">
      <c r="A20" s="5"/>
      <c r="B20" s="412" t="s">
        <v>828</v>
      </c>
      <c r="C20" s="4" t="s">
        <v>57</v>
      </c>
      <c r="D20" s="276">
        <f>'прил № 1 (01.01.24)'!L236</f>
        <v>2268</v>
      </c>
      <c r="E20" s="410">
        <f>D20/D10</f>
        <v>4.8700000000000002E-3</v>
      </c>
      <c r="F20" s="76">
        <f>F10*E20</f>
        <v>0</v>
      </c>
      <c r="G20" s="411">
        <f t="shared" ref="G20" si="48">IF(D20&gt;0,F20/D20,0)</f>
        <v>0</v>
      </c>
      <c r="H20" s="76">
        <f>H10</f>
        <v>0</v>
      </c>
      <c r="I20" s="109">
        <f t="shared" ref="I20" si="49">G20*H20</f>
        <v>0</v>
      </c>
      <c r="J20" s="71">
        <f t="shared" ref="J20" si="50">I20*D20</f>
        <v>0</v>
      </c>
      <c r="K20" s="71"/>
      <c r="L20" s="108"/>
      <c r="M20" s="100">
        <f t="shared" ref="M20" si="51">I20/BG20</f>
        <v>0</v>
      </c>
      <c r="N20" s="276">
        <f>'прил № 1 (01.01.24)'!AG236</f>
        <v>0</v>
      </c>
      <c r="O20" s="100">
        <f>N20/N10</f>
        <v>0</v>
      </c>
      <c r="P20" s="71">
        <f>P10*O20</f>
        <v>0</v>
      </c>
      <c r="Q20" s="111">
        <f t="shared" si="7"/>
        <v>0</v>
      </c>
      <c r="R20" s="76">
        <f>R10</f>
        <v>0</v>
      </c>
      <c r="S20" s="109">
        <f t="shared" si="8"/>
        <v>0</v>
      </c>
      <c r="T20" s="71">
        <f t="shared" si="9"/>
        <v>0</v>
      </c>
      <c r="U20" s="71"/>
      <c r="V20" s="108"/>
      <c r="W20" s="100" t="e">
        <f t="shared" si="10"/>
        <v>#DIV/0!</v>
      </c>
      <c r="X20" s="276">
        <f>'прил № 1 (01.01.24)'!BB236</f>
        <v>5976</v>
      </c>
      <c r="Y20" s="100">
        <f>X20/X10</f>
        <v>2.5069999999999999E-2</v>
      </c>
      <c r="Z20" s="71">
        <f>Z10*Y20</f>
        <v>741.82</v>
      </c>
      <c r="AA20" s="111">
        <f t="shared" si="11"/>
        <v>0.1241332</v>
      </c>
      <c r="AB20" s="76">
        <f>AB10</f>
        <v>9.9700000000000006</v>
      </c>
      <c r="AC20" s="109">
        <f t="shared" si="12"/>
        <v>1.2376100000000001</v>
      </c>
      <c r="AD20" s="71">
        <f t="shared" si="13"/>
        <v>7395.96</v>
      </c>
      <c r="AE20" s="71"/>
      <c r="AF20" s="108"/>
      <c r="AG20" s="100" t="e">
        <f t="shared" si="14"/>
        <v>#DIV/0!</v>
      </c>
      <c r="AH20" s="276">
        <f>'прил № 1 (01.01.24)'!BW236</f>
        <v>0</v>
      </c>
      <c r="AI20" s="100">
        <f>AH20/AH10</f>
        <v>0</v>
      </c>
      <c r="AJ20" s="71">
        <f>AJ10*AI20</f>
        <v>0</v>
      </c>
      <c r="AK20" s="111">
        <f t="shared" si="15"/>
        <v>0</v>
      </c>
      <c r="AL20" s="76">
        <f>AL10</f>
        <v>9.9700000000000006</v>
      </c>
      <c r="AM20" s="109">
        <f t="shared" si="16"/>
        <v>0</v>
      </c>
      <c r="AN20" s="71">
        <f t="shared" si="17"/>
        <v>0</v>
      </c>
      <c r="AO20" s="71"/>
      <c r="AP20" s="108"/>
      <c r="AQ20" s="100" t="e">
        <f t="shared" si="18"/>
        <v>#DIV/0!</v>
      </c>
      <c r="AR20" s="276">
        <f>'прил № 1 (01.01.24)'!CR236</f>
        <v>0</v>
      </c>
      <c r="AS20" s="100">
        <f>AR20/AR10</f>
        <v>0</v>
      </c>
      <c r="AT20" s="71">
        <f>AT10*AS20</f>
        <v>0</v>
      </c>
      <c r="AU20" s="111">
        <f t="shared" si="19"/>
        <v>0</v>
      </c>
      <c r="AV20" s="76">
        <f>AV10</f>
        <v>0</v>
      </c>
      <c r="AW20" s="109">
        <f t="shared" si="20"/>
        <v>0</v>
      </c>
      <c r="AX20" s="71">
        <f t="shared" si="21"/>
        <v>0</v>
      </c>
      <c r="AY20" s="71"/>
      <c r="AZ20" s="108"/>
      <c r="BA20" s="100" t="e">
        <f t="shared" si="22"/>
        <v>#DIV/0!</v>
      </c>
      <c r="BB20" s="222">
        <f t="shared" ref="BB20" si="52">D20+N20+X20+AH20+AR20</f>
        <v>8244</v>
      </c>
      <c r="BC20" s="100">
        <f>BB20/BB10</f>
        <v>6.3899999999999998E-3</v>
      </c>
      <c r="BD20" s="71">
        <f>BD10*BC20</f>
        <v>236.75</v>
      </c>
      <c r="BE20" s="111">
        <f t="shared" si="23"/>
        <v>2.8717860000000001E-2</v>
      </c>
      <c r="BF20" s="76">
        <f>BF10</f>
        <v>9.9700000000000006</v>
      </c>
      <c r="BG20" s="109">
        <f t="shared" si="24"/>
        <v>0.28632000000000002</v>
      </c>
      <c r="BH20" s="71">
        <f t="shared" si="25"/>
        <v>2360.42</v>
      </c>
      <c r="BI20" s="71"/>
      <c r="BJ20" s="108"/>
      <c r="BL20" s="309">
        <f t="shared" ref="BL20" si="53">BB20*BG20</f>
        <v>2360</v>
      </c>
    </row>
    <row r="21" spans="1:64" x14ac:dyDescent="0.25">
      <c r="A21" s="5" t="s">
        <v>66</v>
      </c>
      <c r="B21" s="13" t="s">
        <v>67</v>
      </c>
      <c r="C21" s="4" t="s">
        <v>58</v>
      </c>
      <c r="D21" s="19">
        <f>SUM(D23:D31)</f>
        <v>465288</v>
      </c>
      <c r="E21" s="4"/>
      <c r="F21" s="156">
        <v>62273</v>
      </c>
      <c r="G21" s="111">
        <f t="shared" si="4"/>
        <v>0.13383754</v>
      </c>
      <c r="H21" s="71">
        <f>IF(K21&gt;0,K21/F21,0)</f>
        <v>9.7100000000000009</v>
      </c>
      <c r="I21" s="109">
        <f t="shared" si="5"/>
        <v>1.29956</v>
      </c>
      <c r="J21" s="71">
        <f t="shared" si="6"/>
        <v>604669.67000000004</v>
      </c>
      <c r="K21" s="156">
        <v>604598.18999999994</v>
      </c>
      <c r="L21" s="108">
        <f>K21-J21</f>
        <v>-71.48</v>
      </c>
      <c r="M21" s="100">
        <f t="shared" si="0"/>
        <v>0.87507000000000001</v>
      </c>
      <c r="N21" s="19">
        <f>SUM(N23:N31)</f>
        <v>343104</v>
      </c>
      <c r="O21" s="4"/>
      <c r="P21" s="156">
        <v>73997</v>
      </c>
      <c r="Q21" s="111">
        <f t="shared" ref="Q21" si="54">IF(N21&gt;0,P21/N21,0)</f>
        <v>0.21566930000000001</v>
      </c>
      <c r="R21" s="71">
        <f>IF(U21&gt;0,U21/P21,0)</f>
        <v>10.029999999999999</v>
      </c>
      <c r="S21" s="109">
        <f t="shared" ref="S21" si="55">Q21*R21</f>
        <v>2.16316</v>
      </c>
      <c r="T21" s="71">
        <f t="shared" ref="T21" si="56">S21*N21</f>
        <v>742188.85</v>
      </c>
      <c r="U21" s="156">
        <v>742189.91</v>
      </c>
      <c r="V21" s="108">
        <f>U21-T21</f>
        <v>1.06</v>
      </c>
      <c r="W21" s="100">
        <f t="shared" si="1"/>
        <v>1.4565900000000001</v>
      </c>
      <c r="X21" s="19">
        <f>SUM(X23:X31)</f>
        <v>238356</v>
      </c>
      <c r="Y21" s="4"/>
      <c r="Z21" s="156">
        <v>54013</v>
      </c>
      <c r="AA21" s="111">
        <f t="shared" ref="AA21" si="57">IF(X21&gt;0,Z21/X21,0)</f>
        <v>0.22660642</v>
      </c>
      <c r="AB21" s="71">
        <f>IF(AE21&gt;0,AE21/Z21,0)</f>
        <v>10.029999999999999</v>
      </c>
      <c r="AC21" s="109">
        <f t="shared" ref="AC21" si="58">AA21*AB21</f>
        <v>2.2728600000000001</v>
      </c>
      <c r="AD21" s="71">
        <f t="shared" ref="AD21" si="59">AC21*X21</f>
        <v>541749.81999999995</v>
      </c>
      <c r="AE21" s="156">
        <v>541750.39</v>
      </c>
      <c r="AF21" s="108">
        <f>AE21-AD21</f>
        <v>0.56999999999999995</v>
      </c>
      <c r="AG21" s="100">
        <f t="shared" si="2"/>
        <v>1.5304500000000001</v>
      </c>
      <c r="AH21" s="19">
        <f>SUM(AH23:AH31)</f>
        <v>147528</v>
      </c>
      <c r="AI21" s="4"/>
      <c r="AJ21" s="156">
        <v>2650</v>
      </c>
      <c r="AK21" s="111">
        <f t="shared" ref="AK21" si="60">IF(AH21&gt;0,AJ21/AH21,0)</f>
        <v>1.796269E-2</v>
      </c>
      <c r="AL21" s="71">
        <f>IF(AO21&gt;0,AO21/AJ21,0)</f>
        <v>10.029999999999999</v>
      </c>
      <c r="AM21" s="109">
        <f>AK21*AL21</f>
        <v>0.18017</v>
      </c>
      <c r="AN21" s="71">
        <f>AM21*AH21</f>
        <v>26580.12</v>
      </c>
      <c r="AO21" s="156">
        <v>26579.5</v>
      </c>
      <c r="AP21" s="108">
        <f>AO21-AN21</f>
        <v>-0.62</v>
      </c>
      <c r="AQ21" s="100">
        <f t="shared" si="3"/>
        <v>0.12132</v>
      </c>
      <c r="AR21" s="19">
        <f>SUM(AR23:AR31)</f>
        <v>95760</v>
      </c>
      <c r="AS21" s="4"/>
      <c r="AT21" s="156">
        <v>0</v>
      </c>
      <c r="AU21" s="111">
        <f t="shared" ref="AU21" si="61">IF(AR21&gt;0,AT21/AR21,0)</f>
        <v>0</v>
      </c>
      <c r="AV21" s="71">
        <f>IF(AY21&gt;0,AY21/AT21,0)</f>
        <v>0</v>
      </c>
      <c r="AW21" s="109">
        <f t="shared" ref="AW21" si="62">AU21*AV21</f>
        <v>0</v>
      </c>
      <c r="AX21" s="71">
        <f t="shared" ref="AX21" si="63">AW21*AR21</f>
        <v>0</v>
      </c>
      <c r="AY21" s="156">
        <v>0</v>
      </c>
      <c r="AZ21" s="108">
        <f>AY21-AX21</f>
        <v>0</v>
      </c>
      <c r="BA21" s="100">
        <f>AW21/BG21</f>
        <v>0</v>
      </c>
      <c r="BB21" s="19">
        <f>SUM(BB23:BB31)</f>
        <v>1290036</v>
      </c>
      <c r="BC21" s="224"/>
      <c r="BD21" s="181">
        <f>F21+P21+Z21+AJ21+AT21</f>
        <v>192933</v>
      </c>
      <c r="BE21" s="111">
        <f t="shared" ref="BE21" si="64">IF(BB21&gt;0,BD21/BB21,0)</f>
        <v>0.14955629000000001</v>
      </c>
      <c r="BF21" s="71">
        <f>IF(BI21&gt;0,BI21/BD21,0)</f>
        <v>9.93</v>
      </c>
      <c r="BG21" s="109">
        <f>BE21*BF21</f>
        <v>1.48509</v>
      </c>
      <c r="BH21" s="71">
        <f>BG21*BB21</f>
        <v>1915819.56</v>
      </c>
      <c r="BI21" s="181">
        <f>K21+U21+AE21+AO21+AY21</f>
        <v>1915117.99</v>
      </c>
      <c r="BJ21" s="108">
        <f>BI21-BH21</f>
        <v>-701.57</v>
      </c>
      <c r="BL21" s="309">
        <f>SUM(BL22:BL28)</f>
        <v>1888319</v>
      </c>
    </row>
    <row r="22" spans="1:64" s="104" customFormat="1" x14ac:dyDescent="0.25">
      <c r="A22" s="101"/>
      <c r="B22" s="102" t="s">
        <v>337</v>
      </c>
      <c r="C22" s="102"/>
      <c r="D22" s="103"/>
      <c r="E22" s="102"/>
      <c r="F22" s="108">
        <f>F21-(SUM(F23:F28))</f>
        <v>813.91</v>
      </c>
      <c r="G22" s="112"/>
      <c r="H22" s="108"/>
      <c r="I22" s="110"/>
      <c r="J22" s="108">
        <f>J21-(SUM(J23:J28))</f>
        <v>7901.88</v>
      </c>
      <c r="K22" s="108"/>
      <c r="L22" s="108"/>
      <c r="M22" s="100"/>
      <c r="N22" s="103"/>
      <c r="O22" s="102"/>
      <c r="P22" s="108">
        <f>P21-(SUM(P23:P28))</f>
        <v>2296.12</v>
      </c>
      <c r="Q22" s="112"/>
      <c r="R22" s="108"/>
      <c r="S22" s="110"/>
      <c r="T22" s="108">
        <f>T21-(SUM(T23:T28))</f>
        <v>23029.61</v>
      </c>
      <c r="U22" s="108"/>
      <c r="V22" s="108"/>
      <c r="W22" s="100"/>
      <c r="X22" s="103"/>
      <c r="Y22" s="102"/>
      <c r="Z22" s="108">
        <f>Z21-(SUM(Z23:Z28))</f>
        <v>1354.11</v>
      </c>
      <c r="AA22" s="112"/>
      <c r="AB22" s="108"/>
      <c r="AC22" s="110"/>
      <c r="AD22" s="108">
        <f>AD21-(SUM(AD23:AD28))</f>
        <v>13580.92</v>
      </c>
      <c r="AE22" s="108"/>
      <c r="AF22" s="108"/>
      <c r="AG22" s="100"/>
      <c r="AH22" s="103"/>
      <c r="AI22" s="102"/>
      <c r="AJ22" s="108">
        <f>AJ21-(SUM(AJ23:AJ28))</f>
        <v>0</v>
      </c>
      <c r="AK22" s="112"/>
      <c r="AL22" s="108"/>
      <c r="AM22" s="110"/>
      <c r="AN22" s="108">
        <f>AN21-(SUM(AN23:AN28))</f>
        <v>0</v>
      </c>
      <c r="AO22" s="108"/>
      <c r="AP22" s="108"/>
      <c r="AQ22" s="100"/>
      <c r="AR22" s="103"/>
      <c r="AS22" s="102"/>
      <c r="AT22" s="108">
        <f>AT21-(SUM(AT23:AT28))</f>
        <v>0</v>
      </c>
      <c r="AU22" s="112"/>
      <c r="AV22" s="108"/>
      <c r="AW22" s="110"/>
      <c r="AX22" s="108">
        <f>AX21-(SUM(AX23:AX28))</f>
        <v>0</v>
      </c>
      <c r="AY22" s="108"/>
      <c r="AZ22" s="108"/>
      <c r="BA22" s="102"/>
      <c r="BB22" s="103"/>
      <c r="BC22" s="102"/>
      <c r="BD22" s="108">
        <f>BD21-(SUM(BD23:BD28))</f>
        <v>3395.63</v>
      </c>
      <c r="BE22" s="112"/>
      <c r="BF22" s="108"/>
      <c r="BG22" s="110"/>
      <c r="BH22" s="108">
        <f>BH21-(SUM(BH23:BH28))</f>
        <v>27500.84</v>
      </c>
      <c r="BI22" s="108"/>
      <c r="BJ22" s="108"/>
    </row>
    <row r="23" spans="1:64" x14ac:dyDescent="0.25">
      <c r="A23" s="5"/>
      <c r="B23" s="12" t="s">
        <v>52</v>
      </c>
      <c r="C23" s="4" t="s">
        <v>58</v>
      </c>
      <c r="D23" s="222">
        <f t="shared" ref="D23:D31" si="65">D12</f>
        <v>12384</v>
      </c>
      <c r="E23" s="100">
        <f>D23/D21</f>
        <v>2.6620000000000001E-2</v>
      </c>
      <c r="F23" s="71">
        <f>F21*E23</f>
        <v>1657.71</v>
      </c>
      <c r="G23" s="111">
        <f t="shared" ref="G23:G31" si="66">IF(D23&gt;0,F23/D23,0)</f>
        <v>0.13385901</v>
      </c>
      <c r="H23" s="76">
        <f>H21</f>
        <v>9.7100000000000009</v>
      </c>
      <c r="I23" s="109">
        <f t="shared" ref="I23:I32" si="67">G23*H23</f>
        <v>1.2997700000000001</v>
      </c>
      <c r="J23" s="71">
        <f t="shared" ref="J23:J32" si="68">I23*D23</f>
        <v>16096.35</v>
      </c>
      <c r="K23" s="71"/>
      <c r="L23" s="108"/>
      <c r="M23" s="100">
        <f t="shared" si="0"/>
        <v>0.87233000000000005</v>
      </c>
      <c r="N23" s="222">
        <f t="shared" ref="N23:N31" si="69">N12</f>
        <v>0</v>
      </c>
      <c r="O23" s="100">
        <f>N23/N21</f>
        <v>0</v>
      </c>
      <c r="P23" s="71">
        <f>P21*O23</f>
        <v>0</v>
      </c>
      <c r="Q23" s="111">
        <f t="shared" ref="Q23:Q31" si="70">IF(N23&gt;0,P23/N23,0)</f>
        <v>0</v>
      </c>
      <c r="R23" s="76">
        <f>R21</f>
        <v>10.029999999999999</v>
      </c>
      <c r="S23" s="109">
        <f t="shared" ref="S23:S32" si="71">Q23*R23</f>
        <v>0</v>
      </c>
      <c r="T23" s="71">
        <f t="shared" ref="T23:T32" si="72">S23*N23</f>
        <v>0</v>
      </c>
      <c r="U23" s="71"/>
      <c r="V23" s="108"/>
      <c r="W23" s="100">
        <f t="shared" si="1"/>
        <v>0</v>
      </c>
      <c r="X23" s="222">
        <f t="shared" ref="X23:X31" si="73">X12</f>
        <v>113328</v>
      </c>
      <c r="Y23" s="100">
        <f>X23/X21</f>
        <v>0.47545999999999999</v>
      </c>
      <c r="Z23" s="71">
        <f>Z21*Y23</f>
        <v>25681.02</v>
      </c>
      <c r="AA23" s="111">
        <f t="shared" ref="AA23:AA31" si="74">IF(X23&gt;0,Z23/X23,0)</f>
        <v>0.2266079</v>
      </c>
      <c r="AB23" s="76">
        <f>AB21</f>
        <v>10.029999999999999</v>
      </c>
      <c r="AC23" s="109">
        <f t="shared" ref="AC23:AC32" si="75">AA23*AB23</f>
        <v>2.2728799999999998</v>
      </c>
      <c r="AD23" s="71">
        <f t="shared" ref="AD23:AD32" si="76">AC23*X23</f>
        <v>257580.94</v>
      </c>
      <c r="AE23" s="71"/>
      <c r="AF23" s="108"/>
      <c r="AG23" s="100">
        <f t="shared" si="2"/>
        <v>1.52542</v>
      </c>
      <c r="AH23" s="222">
        <f t="shared" ref="AH23:AH31" si="77">AH12</f>
        <v>0</v>
      </c>
      <c r="AI23" s="100">
        <f>AH23/AH21</f>
        <v>0</v>
      </c>
      <c r="AJ23" s="71">
        <f>AJ21*AI23</f>
        <v>0</v>
      </c>
      <c r="AK23" s="111">
        <f t="shared" ref="AK23:AK31" si="78">IF(AH23&gt;0,AJ23/AH23,0)</f>
        <v>0</v>
      </c>
      <c r="AL23" s="76">
        <f>AL21</f>
        <v>10.029999999999999</v>
      </c>
      <c r="AM23" s="109">
        <f>AK23*AL23</f>
        <v>0</v>
      </c>
      <c r="AN23" s="71">
        <f>AM23*AH23</f>
        <v>0</v>
      </c>
      <c r="AO23" s="71"/>
      <c r="AP23" s="108"/>
      <c r="AQ23" s="100">
        <f t="shared" si="3"/>
        <v>0</v>
      </c>
      <c r="AR23" s="222">
        <f t="shared" ref="AR23:AR31" si="79">AR12</f>
        <v>0</v>
      </c>
      <c r="AS23" s="100">
        <f>AR23/AR21</f>
        <v>0</v>
      </c>
      <c r="AT23" s="71">
        <f>AT21*AS23</f>
        <v>0</v>
      </c>
      <c r="AU23" s="111">
        <f t="shared" ref="AU23:AU31" si="80">IF(AR23&gt;0,AT23/AR23,0)</f>
        <v>0</v>
      </c>
      <c r="AV23" s="76">
        <f>AV21</f>
        <v>0</v>
      </c>
      <c r="AW23" s="109">
        <f t="shared" ref="AW23:AW32" si="81">AU23*AV23</f>
        <v>0</v>
      </c>
      <c r="AX23" s="71">
        <f t="shared" ref="AX23:AX32" si="82">AW23*AR23</f>
        <v>0</v>
      </c>
      <c r="AY23" s="71"/>
      <c r="AZ23" s="108"/>
      <c r="BA23" s="100">
        <f t="shared" ref="BA23:BA28" si="83">AW23/BG23</f>
        <v>0</v>
      </c>
      <c r="BB23" s="222">
        <f>D23+N23+X23+AH23+AR23</f>
        <v>125712</v>
      </c>
      <c r="BC23" s="100">
        <f>BB23/BB21</f>
        <v>9.7449999999999995E-2</v>
      </c>
      <c r="BD23" s="71">
        <f>BD21*BC23</f>
        <v>18801.32</v>
      </c>
      <c r="BE23" s="111">
        <f t="shared" ref="BE23:BE31" si="84">IF(BB23&gt;0,BD23/BB23,0)</f>
        <v>0.14955867</v>
      </c>
      <c r="BF23" s="76">
        <f>BF21</f>
        <v>9.93</v>
      </c>
      <c r="BG23" s="109">
        <f>ROUNDUP(BE23*BF23,2)</f>
        <v>1.49</v>
      </c>
      <c r="BH23" s="71">
        <f>BG23*BB23</f>
        <v>187310.88</v>
      </c>
      <c r="BI23" s="71"/>
      <c r="BJ23" s="108"/>
      <c r="BL23" s="309">
        <f>BB23*BG23</f>
        <v>187311</v>
      </c>
    </row>
    <row r="24" spans="1:64" x14ac:dyDescent="0.25">
      <c r="A24" s="5"/>
      <c r="B24" s="12" t="s">
        <v>53</v>
      </c>
      <c r="C24" s="4" t="s">
        <v>58</v>
      </c>
      <c r="D24" s="222">
        <f t="shared" si="65"/>
        <v>19872</v>
      </c>
      <c r="E24" s="100">
        <f>D24/D21</f>
        <v>4.2709999999999998E-2</v>
      </c>
      <c r="F24" s="71">
        <f>F21*E24</f>
        <v>2659.68</v>
      </c>
      <c r="G24" s="111">
        <f t="shared" si="66"/>
        <v>0.13384057999999999</v>
      </c>
      <c r="H24" s="76">
        <f>H21</f>
        <v>9.7100000000000009</v>
      </c>
      <c r="I24" s="109">
        <f t="shared" si="67"/>
        <v>1.29959</v>
      </c>
      <c r="J24" s="71">
        <f t="shared" si="68"/>
        <v>25825.45</v>
      </c>
      <c r="K24" s="71"/>
      <c r="L24" s="108"/>
      <c r="M24" s="100">
        <f t="shared" si="0"/>
        <v>0.87221000000000004</v>
      </c>
      <c r="N24" s="222">
        <f t="shared" si="69"/>
        <v>0</v>
      </c>
      <c r="O24" s="100">
        <f>N24/N21</f>
        <v>0</v>
      </c>
      <c r="P24" s="71">
        <f>P21*O24</f>
        <v>0</v>
      </c>
      <c r="Q24" s="111">
        <f t="shared" si="70"/>
        <v>0</v>
      </c>
      <c r="R24" s="76">
        <f>R21</f>
        <v>10.029999999999999</v>
      </c>
      <c r="S24" s="109">
        <f t="shared" si="71"/>
        <v>0</v>
      </c>
      <c r="T24" s="71">
        <f t="shared" si="72"/>
        <v>0</v>
      </c>
      <c r="U24" s="71"/>
      <c r="V24" s="108"/>
      <c r="W24" s="100">
        <f t="shared" si="1"/>
        <v>0</v>
      </c>
      <c r="X24" s="222">
        <f t="shared" si="73"/>
        <v>16776</v>
      </c>
      <c r="Y24" s="100">
        <f>X24/X21</f>
        <v>7.0379999999999998E-2</v>
      </c>
      <c r="Z24" s="71">
        <f>Z21*Y24</f>
        <v>3801.43</v>
      </c>
      <c r="AA24" s="111">
        <f t="shared" si="74"/>
        <v>0.22659931</v>
      </c>
      <c r="AB24" s="76">
        <f>AB21</f>
        <v>10.029999999999999</v>
      </c>
      <c r="AC24" s="109">
        <f t="shared" si="75"/>
        <v>2.2727900000000001</v>
      </c>
      <c r="AD24" s="71">
        <f t="shared" si="76"/>
        <v>38128.33</v>
      </c>
      <c r="AE24" s="71"/>
      <c r="AF24" s="108"/>
      <c r="AG24" s="100">
        <f t="shared" si="2"/>
        <v>1.52536</v>
      </c>
      <c r="AH24" s="222">
        <f t="shared" si="77"/>
        <v>147528</v>
      </c>
      <c r="AI24" s="100">
        <f>AH24/AH21</f>
        <v>1</v>
      </c>
      <c r="AJ24" s="71">
        <f>AJ21*AI24</f>
        <v>2650</v>
      </c>
      <c r="AK24" s="111">
        <f t="shared" si="78"/>
        <v>1.796269E-2</v>
      </c>
      <c r="AL24" s="76">
        <f>AL21</f>
        <v>10.029999999999999</v>
      </c>
      <c r="AM24" s="109">
        <f t="shared" ref="AM24:AM28" si="85">AK24*AL24</f>
        <v>0.18017</v>
      </c>
      <c r="AN24" s="71">
        <f t="shared" ref="AN24:AN28" si="86">AM24*AH24</f>
        <v>26580.12</v>
      </c>
      <c r="AO24" s="71"/>
      <c r="AP24" s="108"/>
      <c r="AQ24" s="100">
        <f t="shared" si="3"/>
        <v>0.12092</v>
      </c>
      <c r="AR24" s="222">
        <f t="shared" si="79"/>
        <v>0</v>
      </c>
      <c r="AS24" s="100">
        <f>AR24/AR21</f>
        <v>0</v>
      </c>
      <c r="AT24" s="71">
        <f>AT21*AS24</f>
        <v>0</v>
      </c>
      <c r="AU24" s="111">
        <f t="shared" si="80"/>
        <v>0</v>
      </c>
      <c r="AV24" s="76">
        <f>AV21</f>
        <v>0</v>
      </c>
      <c r="AW24" s="109">
        <f t="shared" si="81"/>
        <v>0</v>
      </c>
      <c r="AX24" s="71">
        <f t="shared" si="82"/>
        <v>0</v>
      </c>
      <c r="AY24" s="71"/>
      <c r="AZ24" s="108"/>
      <c r="BA24" s="100">
        <f t="shared" si="83"/>
        <v>0</v>
      </c>
      <c r="BB24" s="222">
        <f t="shared" ref="BB24:BB28" si="87">D24+N24+X24+AH24+AR24</f>
        <v>184176</v>
      </c>
      <c r="BC24" s="100">
        <f>BB24/BB21</f>
        <v>0.14277000000000001</v>
      </c>
      <c r="BD24" s="71">
        <f>BD21*BC24</f>
        <v>27545.040000000001</v>
      </c>
      <c r="BE24" s="111">
        <f t="shared" si="84"/>
        <v>0.14955825</v>
      </c>
      <c r="BF24" s="76">
        <f>BF21</f>
        <v>9.93</v>
      </c>
      <c r="BG24" s="109">
        <f t="shared" ref="BG24:BG28" si="88">ROUNDUP(BE24*BF24,2)</f>
        <v>1.49</v>
      </c>
      <c r="BH24" s="71">
        <f t="shared" ref="BH24:BH28" si="89">BG24*BB24</f>
        <v>274422.24</v>
      </c>
      <c r="BI24" s="71"/>
      <c r="BJ24" s="108"/>
      <c r="BL24" s="309">
        <f t="shared" ref="BL24:BL28" si="90">BB24*BG24</f>
        <v>274422</v>
      </c>
    </row>
    <row r="25" spans="1:64" x14ac:dyDescent="0.25">
      <c r="A25" s="5"/>
      <c r="B25" s="12" t="s">
        <v>51</v>
      </c>
      <c r="C25" s="4" t="s">
        <v>58</v>
      </c>
      <c r="D25" s="222">
        <f t="shared" si="65"/>
        <v>35352</v>
      </c>
      <c r="E25" s="100">
        <f>D25/D21</f>
        <v>7.5980000000000006E-2</v>
      </c>
      <c r="F25" s="71">
        <f>F21*E25</f>
        <v>4731.5</v>
      </c>
      <c r="G25" s="111">
        <f t="shared" si="66"/>
        <v>0.13383966999999999</v>
      </c>
      <c r="H25" s="76">
        <f>H21</f>
        <v>9.7100000000000009</v>
      </c>
      <c r="I25" s="109">
        <f t="shared" si="67"/>
        <v>1.29958</v>
      </c>
      <c r="J25" s="71">
        <f t="shared" si="68"/>
        <v>45942.75</v>
      </c>
      <c r="K25" s="71"/>
      <c r="L25" s="108"/>
      <c r="M25" s="100">
        <f t="shared" si="0"/>
        <v>0.87219999999999998</v>
      </c>
      <c r="N25" s="222">
        <f t="shared" si="69"/>
        <v>73608</v>
      </c>
      <c r="O25" s="100">
        <f>N25/N21</f>
        <v>0.21454000000000001</v>
      </c>
      <c r="P25" s="71">
        <f>P21*O25</f>
        <v>15875.32</v>
      </c>
      <c r="Q25" s="111">
        <f t="shared" si="70"/>
        <v>0.21567384000000001</v>
      </c>
      <c r="R25" s="76">
        <f>R21</f>
        <v>10.029999999999999</v>
      </c>
      <c r="S25" s="109">
        <f t="shared" si="71"/>
        <v>2.1632099999999999</v>
      </c>
      <c r="T25" s="71">
        <f t="shared" si="72"/>
        <v>159229.56</v>
      </c>
      <c r="U25" s="71"/>
      <c r="V25" s="108"/>
      <c r="W25" s="100">
        <f t="shared" si="1"/>
        <v>1.4518200000000001</v>
      </c>
      <c r="X25" s="222">
        <f t="shared" si="73"/>
        <v>18360</v>
      </c>
      <c r="Y25" s="100">
        <f>X25/X21</f>
        <v>7.7030000000000001E-2</v>
      </c>
      <c r="Z25" s="71">
        <f>Z21*Y25</f>
        <v>4160.62</v>
      </c>
      <c r="AA25" s="111">
        <f t="shared" si="74"/>
        <v>0.22661329</v>
      </c>
      <c r="AB25" s="76">
        <f>AB21</f>
        <v>10.029999999999999</v>
      </c>
      <c r="AC25" s="109">
        <f t="shared" si="75"/>
        <v>2.2729300000000001</v>
      </c>
      <c r="AD25" s="71">
        <f t="shared" si="76"/>
        <v>41730.99</v>
      </c>
      <c r="AE25" s="71"/>
      <c r="AF25" s="108"/>
      <c r="AG25" s="100">
        <f t="shared" si="2"/>
        <v>1.52546</v>
      </c>
      <c r="AH25" s="222">
        <f t="shared" si="77"/>
        <v>0</v>
      </c>
      <c r="AI25" s="100">
        <f>AH25/AH21</f>
        <v>0</v>
      </c>
      <c r="AJ25" s="71">
        <f>AJ21*AI25</f>
        <v>0</v>
      </c>
      <c r="AK25" s="111">
        <f t="shared" si="78"/>
        <v>0</v>
      </c>
      <c r="AL25" s="76">
        <f>AL21</f>
        <v>10.029999999999999</v>
      </c>
      <c r="AM25" s="109">
        <f t="shared" si="85"/>
        <v>0</v>
      </c>
      <c r="AN25" s="71">
        <f t="shared" si="86"/>
        <v>0</v>
      </c>
      <c r="AO25" s="71"/>
      <c r="AP25" s="108"/>
      <c r="AQ25" s="100">
        <f t="shared" si="3"/>
        <v>0</v>
      </c>
      <c r="AR25" s="222">
        <f t="shared" si="79"/>
        <v>0</v>
      </c>
      <c r="AS25" s="100">
        <f>AR25/AR21</f>
        <v>0</v>
      </c>
      <c r="AT25" s="71">
        <f>AT21*AS25</f>
        <v>0</v>
      </c>
      <c r="AU25" s="111">
        <f t="shared" si="80"/>
        <v>0</v>
      </c>
      <c r="AV25" s="76">
        <f>AV21</f>
        <v>0</v>
      </c>
      <c r="AW25" s="109">
        <f t="shared" si="81"/>
        <v>0</v>
      </c>
      <c r="AX25" s="71">
        <f t="shared" si="82"/>
        <v>0</v>
      </c>
      <c r="AY25" s="71"/>
      <c r="AZ25" s="108"/>
      <c r="BA25" s="100">
        <f t="shared" si="83"/>
        <v>0</v>
      </c>
      <c r="BB25" s="222">
        <f t="shared" si="87"/>
        <v>127320</v>
      </c>
      <c r="BC25" s="100">
        <f>BB25/BB21</f>
        <v>9.869E-2</v>
      </c>
      <c r="BD25" s="71">
        <f>BD21*BC25</f>
        <v>19040.560000000001</v>
      </c>
      <c r="BE25" s="111">
        <f t="shared" si="84"/>
        <v>0.14954885000000001</v>
      </c>
      <c r="BF25" s="76">
        <f>BF21</f>
        <v>9.93</v>
      </c>
      <c r="BG25" s="109">
        <f t="shared" si="88"/>
        <v>1.49</v>
      </c>
      <c r="BH25" s="71">
        <f t="shared" si="89"/>
        <v>189706.8</v>
      </c>
      <c r="BI25" s="71"/>
      <c r="BJ25" s="108"/>
      <c r="BL25" s="309">
        <f t="shared" si="90"/>
        <v>189707</v>
      </c>
    </row>
    <row r="26" spans="1:64" x14ac:dyDescent="0.25">
      <c r="A26" s="5"/>
      <c r="B26" s="12" t="s">
        <v>54</v>
      </c>
      <c r="C26" s="4" t="s">
        <v>58</v>
      </c>
      <c r="D26" s="222">
        <f t="shared" si="65"/>
        <v>272292</v>
      </c>
      <c r="E26" s="100">
        <f>D26/D21</f>
        <v>0.58521000000000001</v>
      </c>
      <c r="F26" s="71">
        <f>F21*E26</f>
        <v>36442.78</v>
      </c>
      <c r="G26" s="111">
        <f t="shared" si="66"/>
        <v>0.13383713</v>
      </c>
      <c r="H26" s="76">
        <f>H21</f>
        <v>9.7100000000000009</v>
      </c>
      <c r="I26" s="109">
        <f t="shared" si="67"/>
        <v>1.29956</v>
      </c>
      <c r="J26" s="71">
        <f t="shared" si="68"/>
        <v>353859.79</v>
      </c>
      <c r="K26" s="71"/>
      <c r="L26" s="108"/>
      <c r="M26" s="100">
        <f t="shared" si="0"/>
        <v>0.87219000000000002</v>
      </c>
      <c r="N26" s="222">
        <f t="shared" si="69"/>
        <v>128520</v>
      </c>
      <c r="O26" s="100">
        <f>N26/N21</f>
        <v>0.37458000000000002</v>
      </c>
      <c r="P26" s="71">
        <f>P21*O26</f>
        <v>27717.8</v>
      </c>
      <c r="Q26" s="111">
        <f t="shared" si="70"/>
        <v>0.21566916</v>
      </c>
      <c r="R26" s="76">
        <f>R21</f>
        <v>10.029999999999999</v>
      </c>
      <c r="S26" s="109">
        <f t="shared" si="71"/>
        <v>2.16316</v>
      </c>
      <c r="T26" s="71">
        <f t="shared" si="72"/>
        <v>278009.32</v>
      </c>
      <c r="U26" s="71"/>
      <c r="V26" s="108"/>
      <c r="W26" s="100">
        <f t="shared" si="1"/>
        <v>1.4517899999999999</v>
      </c>
      <c r="X26" s="222">
        <f t="shared" si="73"/>
        <v>61020</v>
      </c>
      <c r="Y26" s="100">
        <f>X26/X21</f>
        <v>0.25600000000000001</v>
      </c>
      <c r="Z26" s="71">
        <f>Z21*Y26</f>
        <v>13827.33</v>
      </c>
      <c r="AA26" s="111">
        <f t="shared" si="74"/>
        <v>0.22660324000000001</v>
      </c>
      <c r="AB26" s="76">
        <f>AB21</f>
        <v>10.029999999999999</v>
      </c>
      <c r="AC26" s="109">
        <f t="shared" si="75"/>
        <v>2.2728299999999999</v>
      </c>
      <c r="AD26" s="71">
        <f t="shared" si="76"/>
        <v>138688.09</v>
      </c>
      <c r="AE26" s="71"/>
      <c r="AF26" s="108"/>
      <c r="AG26" s="100">
        <f t="shared" si="2"/>
        <v>1.52539</v>
      </c>
      <c r="AH26" s="222">
        <f t="shared" si="77"/>
        <v>0</v>
      </c>
      <c r="AI26" s="100">
        <f>AH26/AH21</f>
        <v>0</v>
      </c>
      <c r="AJ26" s="71">
        <f>AJ21*AI26</f>
        <v>0</v>
      </c>
      <c r="AK26" s="111">
        <f t="shared" si="78"/>
        <v>0</v>
      </c>
      <c r="AL26" s="76">
        <f>AL21</f>
        <v>10.029999999999999</v>
      </c>
      <c r="AM26" s="109">
        <f t="shared" si="85"/>
        <v>0</v>
      </c>
      <c r="AN26" s="71">
        <f t="shared" si="86"/>
        <v>0</v>
      </c>
      <c r="AO26" s="71"/>
      <c r="AP26" s="108"/>
      <c r="AQ26" s="100">
        <f t="shared" si="3"/>
        <v>0</v>
      </c>
      <c r="AR26" s="222">
        <f t="shared" si="79"/>
        <v>0</v>
      </c>
      <c r="AS26" s="100">
        <f>AR26/AR21</f>
        <v>0</v>
      </c>
      <c r="AT26" s="71">
        <f>AT21*AS26</f>
        <v>0</v>
      </c>
      <c r="AU26" s="111">
        <f t="shared" si="80"/>
        <v>0</v>
      </c>
      <c r="AV26" s="76">
        <f>AV21</f>
        <v>0</v>
      </c>
      <c r="AW26" s="109">
        <f t="shared" si="81"/>
        <v>0</v>
      </c>
      <c r="AX26" s="71">
        <f t="shared" si="82"/>
        <v>0</v>
      </c>
      <c r="AY26" s="71"/>
      <c r="AZ26" s="108"/>
      <c r="BA26" s="100">
        <f t="shared" si="83"/>
        <v>0</v>
      </c>
      <c r="BB26" s="222">
        <f t="shared" si="87"/>
        <v>461832</v>
      </c>
      <c r="BC26" s="100">
        <f>BB26/BB21</f>
        <v>0.35799999999999998</v>
      </c>
      <c r="BD26" s="71">
        <f>BD21*BC26</f>
        <v>69070.009999999995</v>
      </c>
      <c r="BE26" s="111">
        <f t="shared" si="84"/>
        <v>0.14955657</v>
      </c>
      <c r="BF26" s="76">
        <f>BF21</f>
        <v>9.93</v>
      </c>
      <c r="BG26" s="109">
        <f t="shared" si="88"/>
        <v>1.49</v>
      </c>
      <c r="BH26" s="71">
        <f t="shared" si="89"/>
        <v>688129.68</v>
      </c>
      <c r="BI26" s="71"/>
      <c r="BJ26" s="108"/>
      <c r="BL26" s="309">
        <f t="shared" si="90"/>
        <v>688130</v>
      </c>
    </row>
    <row r="27" spans="1:64" x14ac:dyDescent="0.25">
      <c r="A27" s="5"/>
      <c r="B27" s="12" t="s">
        <v>55</v>
      </c>
      <c r="C27" s="4" t="s">
        <v>58</v>
      </c>
      <c r="D27" s="222">
        <f t="shared" si="65"/>
        <v>18504</v>
      </c>
      <c r="E27" s="100">
        <f>D27/D21</f>
        <v>3.977E-2</v>
      </c>
      <c r="F27" s="71">
        <f>F21*E27</f>
        <v>2476.6</v>
      </c>
      <c r="G27" s="111">
        <f t="shared" si="66"/>
        <v>0.13384133000000001</v>
      </c>
      <c r="H27" s="76">
        <f>H21</f>
        <v>9.7100000000000009</v>
      </c>
      <c r="I27" s="109">
        <f t="shared" si="67"/>
        <v>1.2996000000000001</v>
      </c>
      <c r="J27" s="71">
        <f t="shared" si="68"/>
        <v>24047.8</v>
      </c>
      <c r="K27" s="71"/>
      <c r="L27" s="108"/>
      <c r="M27" s="100">
        <f t="shared" si="0"/>
        <v>0.87221000000000004</v>
      </c>
      <c r="N27" s="222">
        <f t="shared" si="69"/>
        <v>12816</v>
      </c>
      <c r="O27" s="100">
        <f>N27/N21</f>
        <v>3.7350000000000001E-2</v>
      </c>
      <c r="P27" s="71">
        <f>P21*O27</f>
        <v>2763.79</v>
      </c>
      <c r="Q27" s="111">
        <f t="shared" si="70"/>
        <v>0.21565153000000001</v>
      </c>
      <c r="R27" s="76">
        <f>R21</f>
        <v>10.029999999999999</v>
      </c>
      <c r="S27" s="109">
        <f t="shared" si="71"/>
        <v>2.1629800000000001</v>
      </c>
      <c r="T27" s="71">
        <f t="shared" si="72"/>
        <v>27720.75</v>
      </c>
      <c r="U27" s="71"/>
      <c r="V27" s="108"/>
      <c r="W27" s="100">
        <f t="shared" si="1"/>
        <v>1.45166</v>
      </c>
      <c r="X27" s="222">
        <f t="shared" si="73"/>
        <v>0</v>
      </c>
      <c r="Y27" s="100">
        <f>X27/X21</f>
        <v>0</v>
      </c>
      <c r="Z27" s="71">
        <f>Z21*Y27</f>
        <v>0</v>
      </c>
      <c r="AA27" s="111">
        <f t="shared" si="74"/>
        <v>0</v>
      </c>
      <c r="AB27" s="76">
        <f>AB21</f>
        <v>10.029999999999999</v>
      </c>
      <c r="AC27" s="109">
        <f t="shared" si="75"/>
        <v>0</v>
      </c>
      <c r="AD27" s="71">
        <f t="shared" si="76"/>
        <v>0</v>
      </c>
      <c r="AE27" s="71"/>
      <c r="AF27" s="108"/>
      <c r="AG27" s="100">
        <f t="shared" si="2"/>
        <v>0</v>
      </c>
      <c r="AH27" s="222">
        <f t="shared" si="77"/>
        <v>0</v>
      </c>
      <c r="AI27" s="100">
        <f>AH27/AH21</f>
        <v>0</v>
      </c>
      <c r="AJ27" s="71">
        <f>AJ21*AI27</f>
        <v>0</v>
      </c>
      <c r="AK27" s="111">
        <f t="shared" si="78"/>
        <v>0</v>
      </c>
      <c r="AL27" s="76">
        <f>AL21</f>
        <v>10.029999999999999</v>
      </c>
      <c r="AM27" s="109">
        <f t="shared" si="85"/>
        <v>0</v>
      </c>
      <c r="AN27" s="71">
        <f t="shared" si="86"/>
        <v>0</v>
      </c>
      <c r="AO27" s="71"/>
      <c r="AP27" s="108"/>
      <c r="AQ27" s="100">
        <f t="shared" si="3"/>
        <v>0</v>
      </c>
      <c r="AR27" s="222">
        <f t="shared" si="79"/>
        <v>95760</v>
      </c>
      <c r="AS27" s="100">
        <f>AR27/AR21</f>
        <v>1</v>
      </c>
      <c r="AT27" s="71">
        <f>AT21*AS27</f>
        <v>0</v>
      </c>
      <c r="AU27" s="111">
        <f t="shared" si="80"/>
        <v>0</v>
      </c>
      <c r="AV27" s="76">
        <f>AV21</f>
        <v>0</v>
      </c>
      <c r="AW27" s="109">
        <f t="shared" si="81"/>
        <v>0</v>
      </c>
      <c r="AX27" s="71">
        <f t="shared" si="82"/>
        <v>0</v>
      </c>
      <c r="AY27" s="71"/>
      <c r="AZ27" s="108"/>
      <c r="BA27" s="100">
        <f t="shared" si="83"/>
        <v>0</v>
      </c>
      <c r="BB27" s="222">
        <f t="shared" si="87"/>
        <v>127080</v>
      </c>
      <c r="BC27" s="100">
        <f>BB27/BB21</f>
        <v>9.851E-2</v>
      </c>
      <c r="BD27" s="71">
        <f>BD21*BC27</f>
        <v>19005.830000000002</v>
      </c>
      <c r="BE27" s="111">
        <f t="shared" si="84"/>
        <v>0.14955799</v>
      </c>
      <c r="BF27" s="76">
        <f>BF21</f>
        <v>9.93</v>
      </c>
      <c r="BG27" s="109">
        <f t="shared" si="88"/>
        <v>1.49</v>
      </c>
      <c r="BH27" s="71">
        <f t="shared" si="89"/>
        <v>189349.2</v>
      </c>
      <c r="BI27" s="71"/>
      <c r="BJ27" s="108"/>
      <c r="BL27" s="309">
        <f t="shared" si="90"/>
        <v>189349</v>
      </c>
    </row>
    <row r="28" spans="1:64" x14ac:dyDescent="0.25">
      <c r="A28" s="5"/>
      <c r="B28" s="12" t="s">
        <v>56</v>
      </c>
      <c r="C28" s="4" t="s">
        <v>58</v>
      </c>
      <c r="D28" s="222">
        <f t="shared" si="65"/>
        <v>100800</v>
      </c>
      <c r="E28" s="100">
        <f>D28/D21</f>
        <v>0.21664</v>
      </c>
      <c r="F28" s="71">
        <f>F21*E28</f>
        <v>13490.82</v>
      </c>
      <c r="G28" s="111">
        <f t="shared" si="66"/>
        <v>0.1338375</v>
      </c>
      <c r="H28" s="76">
        <f>H21</f>
        <v>9.7100000000000009</v>
      </c>
      <c r="I28" s="109">
        <f t="shared" si="67"/>
        <v>1.29956</v>
      </c>
      <c r="J28" s="71">
        <f t="shared" si="68"/>
        <v>130995.65</v>
      </c>
      <c r="K28" s="71"/>
      <c r="L28" s="108"/>
      <c r="M28" s="100">
        <f t="shared" si="0"/>
        <v>0.87219000000000002</v>
      </c>
      <c r="N28" s="222">
        <f t="shared" si="69"/>
        <v>117512</v>
      </c>
      <c r="O28" s="100">
        <f>N28/N21</f>
        <v>0.34250000000000003</v>
      </c>
      <c r="P28" s="71">
        <f>P21*O28</f>
        <v>25343.97</v>
      </c>
      <c r="Q28" s="111">
        <f t="shared" si="70"/>
        <v>0.21567133999999999</v>
      </c>
      <c r="R28" s="76">
        <f>R21</f>
        <v>10.029999999999999</v>
      </c>
      <c r="S28" s="109">
        <f t="shared" si="71"/>
        <v>2.1631800000000001</v>
      </c>
      <c r="T28" s="71">
        <f t="shared" si="72"/>
        <v>254199.61</v>
      </c>
      <c r="U28" s="71"/>
      <c r="V28" s="108"/>
      <c r="W28" s="100">
        <f t="shared" si="1"/>
        <v>1.4518</v>
      </c>
      <c r="X28" s="222">
        <f t="shared" si="73"/>
        <v>22896</v>
      </c>
      <c r="Y28" s="100">
        <f>X28/X21</f>
        <v>9.6060000000000006E-2</v>
      </c>
      <c r="Z28" s="71">
        <f>Z21*Y28</f>
        <v>5188.49</v>
      </c>
      <c r="AA28" s="111">
        <f t="shared" si="74"/>
        <v>0.22661120000000001</v>
      </c>
      <c r="AB28" s="76">
        <f>AB21</f>
        <v>10.029999999999999</v>
      </c>
      <c r="AC28" s="109">
        <f t="shared" si="75"/>
        <v>2.27291</v>
      </c>
      <c r="AD28" s="71">
        <f t="shared" si="76"/>
        <v>52040.55</v>
      </c>
      <c r="AE28" s="71"/>
      <c r="AF28" s="108"/>
      <c r="AG28" s="100">
        <f t="shared" si="2"/>
        <v>1.5254399999999999</v>
      </c>
      <c r="AH28" s="222">
        <f t="shared" si="77"/>
        <v>0</v>
      </c>
      <c r="AI28" s="100">
        <f>AH28/AH21</f>
        <v>0</v>
      </c>
      <c r="AJ28" s="71">
        <f>AJ21*AI28</f>
        <v>0</v>
      </c>
      <c r="AK28" s="111">
        <f t="shared" si="78"/>
        <v>0</v>
      </c>
      <c r="AL28" s="76">
        <f>AL21</f>
        <v>10.029999999999999</v>
      </c>
      <c r="AM28" s="109">
        <f t="shared" si="85"/>
        <v>0</v>
      </c>
      <c r="AN28" s="71">
        <f t="shared" si="86"/>
        <v>0</v>
      </c>
      <c r="AO28" s="71"/>
      <c r="AP28" s="108"/>
      <c r="AQ28" s="100">
        <f t="shared" si="3"/>
        <v>0</v>
      </c>
      <c r="AR28" s="222">
        <f t="shared" si="79"/>
        <v>0</v>
      </c>
      <c r="AS28" s="100">
        <f>AR28/AR21</f>
        <v>0</v>
      </c>
      <c r="AT28" s="71">
        <f>AT21*AS28</f>
        <v>0</v>
      </c>
      <c r="AU28" s="111">
        <f t="shared" si="80"/>
        <v>0</v>
      </c>
      <c r="AV28" s="76">
        <f>AV21</f>
        <v>0</v>
      </c>
      <c r="AW28" s="109">
        <f t="shared" si="81"/>
        <v>0</v>
      </c>
      <c r="AX28" s="71">
        <f t="shared" si="82"/>
        <v>0</v>
      </c>
      <c r="AY28" s="71"/>
      <c r="AZ28" s="108"/>
      <c r="BA28" s="100">
        <f t="shared" si="83"/>
        <v>0</v>
      </c>
      <c r="BB28" s="222">
        <f t="shared" si="87"/>
        <v>241208</v>
      </c>
      <c r="BC28" s="100">
        <f>BB28/BB21</f>
        <v>0.18698000000000001</v>
      </c>
      <c r="BD28" s="71">
        <f>BD21*BC28</f>
        <v>36074.61</v>
      </c>
      <c r="BE28" s="111">
        <f t="shared" si="84"/>
        <v>0.1495581</v>
      </c>
      <c r="BF28" s="76">
        <f>BF21</f>
        <v>9.93</v>
      </c>
      <c r="BG28" s="109">
        <f t="shared" si="88"/>
        <v>1.49</v>
      </c>
      <c r="BH28" s="71">
        <f t="shared" si="89"/>
        <v>359399.92</v>
      </c>
      <c r="BI28" s="71"/>
      <c r="BJ28" s="108"/>
      <c r="BL28" s="309">
        <f t="shared" si="90"/>
        <v>359400</v>
      </c>
    </row>
    <row r="29" spans="1:64" x14ac:dyDescent="0.25">
      <c r="A29" s="5"/>
      <c r="B29" s="412" t="s">
        <v>441</v>
      </c>
      <c r="C29" s="4" t="s">
        <v>58</v>
      </c>
      <c r="D29" s="222">
        <f t="shared" si="65"/>
        <v>0</v>
      </c>
      <c r="E29" s="410">
        <f>D29/D21</f>
        <v>0</v>
      </c>
      <c r="F29" s="76">
        <f>F21*E29</f>
        <v>0</v>
      </c>
      <c r="G29" s="411">
        <f t="shared" si="66"/>
        <v>0</v>
      </c>
      <c r="H29" s="76">
        <f>H21</f>
        <v>9.7100000000000009</v>
      </c>
      <c r="I29" s="109">
        <f t="shared" ref="I29:I30" si="91">G29*H29</f>
        <v>0</v>
      </c>
      <c r="J29" s="71">
        <f t="shared" ref="J29:J30" si="92">I29*D29</f>
        <v>0</v>
      </c>
      <c r="K29" s="71"/>
      <c r="L29" s="108"/>
      <c r="M29" s="100">
        <f t="shared" ref="M29:M30" si="93">I29/BG29</f>
        <v>0</v>
      </c>
      <c r="N29" s="222">
        <f t="shared" si="69"/>
        <v>10648</v>
      </c>
      <c r="O29" s="410">
        <f>N29/N21</f>
        <v>3.1029999999999999E-2</v>
      </c>
      <c r="P29" s="76">
        <f>P21*O29</f>
        <v>2296.13</v>
      </c>
      <c r="Q29" s="411">
        <f t="shared" si="70"/>
        <v>0.21563956000000001</v>
      </c>
      <c r="R29" s="76">
        <f>R21</f>
        <v>10.029999999999999</v>
      </c>
      <c r="S29" s="109">
        <f t="shared" ref="S29:S30" si="94">Q29*R29</f>
        <v>2.1628599999999998</v>
      </c>
      <c r="T29" s="71">
        <f t="shared" ref="T29:T30" si="95">S29*N29</f>
        <v>23030.13</v>
      </c>
      <c r="U29" s="71"/>
      <c r="V29" s="108"/>
      <c r="W29" s="100">
        <f t="shared" ref="W29:W30" si="96">S29/BG29</f>
        <v>1.4515800000000001</v>
      </c>
      <c r="X29" s="222">
        <f t="shared" si="73"/>
        <v>0</v>
      </c>
      <c r="Y29" s="410">
        <f>X29/X21</f>
        <v>0</v>
      </c>
      <c r="Z29" s="76">
        <f>Z21*Y29</f>
        <v>0</v>
      </c>
      <c r="AA29" s="411">
        <f t="shared" si="74"/>
        <v>0</v>
      </c>
      <c r="AB29" s="76">
        <f>AB21</f>
        <v>10.029999999999999</v>
      </c>
      <c r="AC29" s="109">
        <f t="shared" ref="AC29:AC30" si="97">AA29*AB29</f>
        <v>0</v>
      </c>
      <c r="AD29" s="71">
        <f t="shared" ref="AD29:AD30" si="98">AC29*X29</f>
        <v>0</v>
      </c>
      <c r="AE29" s="71"/>
      <c r="AF29" s="108"/>
      <c r="AG29" s="100">
        <f t="shared" ref="AG29:AG30" si="99">AC29/BG29</f>
        <v>0</v>
      </c>
      <c r="AH29" s="222">
        <f t="shared" si="77"/>
        <v>0</v>
      </c>
      <c r="AI29" s="410">
        <f>AH29/AH21</f>
        <v>0</v>
      </c>
      <c r="AJ29" s="76">
        <f>AJ21*AI29</f>
        <v>0</v>
      </c>
      <c r="AK29" s="411">
        <f t="shared" si="78"/>
        <v>0</v>
      </c>
      <c r="AL29" s="76">
        <f>AL21</f>
        <v>10.029999999999999</v>
      </c>
      <c r="AM29" s="861">
        <f t="shared" ref="AM29:AM30" si="100">AK29*AL29</f>
        <v>0</v>
      </c>
      <c r="AN29" s="71">
        <f t="shared" ref="AN29:AN30" si="101">AM29*AH29</f>
        <v>0</v>
      </c>
      <c r="AO29" s="71"/>
      <c r="AP29" s="108"/>
      <c r="AQ29" s="100">
        <f t="shared" ref="AQ29:AQ30" si="102">AM29/BG29</f>
        <v>0</v>
      </c>
      <c r="AR29" s="222">
        <f t="shared" si="79"/>
        <v>0</v>
      </c>
      <c r="AS29" s="410">
        <f>AR29/AR21</f>
        <v>0</v>
      </c>
      <c r="AT29" s="76">
        <f>AT21*AS29</f>
        <v>0</v>
      </c>
      <c r="AU29" s="411">
        <f t="shared" si="80"/>
        <v>0</v>
      </c>
      <c r="AV29" s="76">
        <f>AV21</f>
        <v>0</v>
      </c>
      <c r="AW29" s="109">
        <f t="shared" ref="AW29:AW30" si="103">AU29*AV29</f>
        <v>0</v>
      </c>
      <c r="AX29" s="71">
        <f t="shared" ref="AX29:AX30" si="104">AW29*AR29</f>
        <v>0</v>
      </c>
      <c r="AY29" s="71"/>
      <c r="AZ29" s="108"/>
      <c r="BA29" s="100">
        <f t="shared" ref="BA29:BA30" si="105">AW29/BG29</f>
        <v>0</v>
      </c>
      <c r="BB29" s="222">
        <f t="shared" ref="BB29:BB30" si="106">D29+N29+X29+AH29+AR29</f>
        <v>10648</v>
      </c>
      <c r="BC29" s="410">
        <f>BB29/BB21</f>
        <v>8.2500000000000004E-3</v>
      </c>
      <c r="BD29" s="76">
        <f>BD21*BC29</f>
        <v>1591.7</v>
      </c>
      <c r="BE29" s="411">
        <f t="shared" si="84"/>
        <v>0.14948347000000001</v>
      </c>
      <c r="BF29" s="76">
        <f>BF21</f>
        <v>9.93</v>
      </c>
      <c r="BG29" s="861">
        <f t="shared" ref="BG29:BG30" si="107">ROUNDUP(BE29*BF29,2)</f>
        <v>1.49</v>
      </c>
      <c r="BH29" s="71">
        <f t="shared" ref="BH29:BH30" si="108">BG29*BB29</f>
        <v>15865.52</v>
      </c>
      <c r="BI29" s="71"/>
      <c r="BJ29" s="108"/>
      <c r="BL29" s="309">
        <f t="shared" ref="BL29:BL30" si="109">BB29*BG29</f>
        <v>15866</v>
      </c>
    </row>
    <row r="30" spans="1:64" x14ac:dyDescent="0.25">
      <c r="A30" s="5"/>
      <c r="B30" s="412" t="s">
        <v>827</v>
      </c>
      <c r="C30" s="4" t="s">
        <v>58</v>
      </c>
      <c r="D30" s="222">
        <f t="shared" si="65"/>
        <v>3816</v>
      </c>
      <c r="E30" s="410">
        <f>D30/D21</f>
        <v>8.2000000000000007E-3</v>
      </c>
      <c r="F30" s="76">
        <f>F21*E30</f>
        <v>510.64</v>
      </c>
      <c r="G30" s="411">
        <f t="shared" si="66"/>
        <v>0.13381551</v>
      </c>
      <c r="H30" s="76">
        <f>H21</f>
        <v>9.7100000000000009</v>
      </c>
      <c r="I30" s="109">
        <f t="shared" si="91"/>
        <v>1.29935</v>
      </c>
      <c r="J30" s="71">
        <f t="shared" si="92"/>
        <v>4958.32</v>
      </c>
      <c r="K30" s="71"/>
      <c r="L30" s="108"/>
      <c r="M30" s="100">
        <f t="shared" si="93"/>
        <v>0.87204999999999999</v>
      </c>
      <c r="N30" s="222">
        <f t="shared" si="69"/>
        <v>0</v>
      </c>
      <c r="O30" s="410">
        <f>N30/N21</f>
        <v>0</v>
      </c>
      <c r="P30" s="76">
        <f>P21*O30</f>
        <v>0</v>
      </c>
      <c r="Q30" s="411">
        <f t="shared" si="70"/>
        <v>0</v>
      </c>
      <c r="R30" s="76">
        <f>R21</f>
        <v>10.029999999999999</v>
      </c>
      <c r="S30" s="109">
        <f t="shared" si="94"/>
        <v>0</v>
      </c>
      <c r="T30" s="71">
        <f t="shared" si="95"/>
        <v>0</v>
      </c>
      <c r="U30" s="71"/>
      <c r="V30" s="108"/>
      <c r="W30" s="100">
        <f t="shared" si="96"/>
        <v>0</v>
      </c>
      <c r="X30" s="222">
        <f t="shared" si="73"/>
        <v>0</v>
      </c>
      <c r="Y30" s="410">
        <f>X30/X21</f>
        <v>0</v>
      </c>
      <c r="Z30" s="76">
        <f>Z21*Y30</f>
        <v>0</v>
      </c>
      <c r="AA30" s="411">
        <f t="shared" si="74"/>
        <v>0</v>
      </c>
      <c r="AB30" s="76">
        <f>AB21</f>
        <v>10.029999999999999</v>
      </c>
      <c r="AC30" s="109">
        <f t="shared" si="97"/>
        <v>0</v>
      </c>
      <c r="AD30" s="71">
        <f t="shared" si="98"/>
        <v>0</v>
      </c>
      <c r="AE30" s="71"/>
      <c r="AF30" s="108"/>
      <c r="AG30" s="100">
        <f t="shared" si="99"/>
        <v>0</v>
      </c>
      <c r="AH30" s="222">
        <f t="shared" si="77"/>
        <v>0</v>
      </c>
      <c r="AI30" s="410">
        <f>AH30/AH21</f>
        <v>0</v>
      </c>
      <c r="AJ30" s="76">
        <f>AJ21*AI30</f>
        <v>0</v>
      </c>
      <c r="AK30" s="411">
        <f t="shared" si="78"/>
        <v>0</v>
      </c>
      <c r="AL30" s="76">
        <f>AL21</f>
        <v>10.029999999999999</v>
      </c>
      <c r="AM30" s="861">
        <f t="shared" si="100"/>
        <v>0</v>
      </c>
      <c r="AN30" s="71">
        <f t="shared" si="101"/>
        <v>0</v>
      </c>
      <c r="AO30" s="71"/>
      <c r="AP30" s="108"/>
      <c r="AQ30" s="100">
        <f t="shared" si="102"/>
        <v>0</v>
      </c>
      <c r="AR30" s="222">
        <f t="shared" si="79"/>
        <v>0</v>
      </c>
      <c r="AS30" s="410">
        <f>AR30/AR21</f>
        <v>0</v>
      </c>
      <c r="AT30" s="76">
        <f>AT21*AS30</f>
        <v>0</v>
      </c>
      <c r="AU30" s="411">
        <f t="shared" si="80"/>
        <v>0</v>
      </c>
      <c r="AV30" s="76">
        <f>AV21</f>
        <v>0</v>
      </c>
      <c r="AW30" s="109">
        <f t="shared" si="103"/>
        <v>0</v>
      </c>
      <c r="AX30" s="71">
        <f t="shared" si="104"/>
        <v>0</v>
      </c>
      <c r="AY30" s="71"/>
      <c r="AZ30" s="108"/>
      <c r="BA30" s="100">
        <f t="shared" si="105"/>
        <v>0</v>
      </c>
      <c r="BB30" s="222">
        <f t="shared" si="106"/>
        <v>3816</v>
      </c>
      <c r="BC30" s="410">
        <f>BB30/BB21</f>
        <v>2.96E-3</v>
      </c>
      <c r="BD30" s="76">
        <f>BD21*BC30</f>
        <v>571.08000000000004</v>
      </c>
      <c r="BE30" s="411">
        <f t="shared" si="84"/>
        <v>0.14965408999999999</v>
      </c>
      <c r="BF30" s="76">
        <f>BF21</f>
        <v>9.93</v>
      </c>
      <c r="BG30" s="861">
        <f t="shared" si="107"/>
        <v>1.49</v>
      </c>
      <c r="BH30" s="71">
        <f t="shared" si="108"/>
        <v>5685.84</v>
      </c>
      <c r="BI30" s="71"/>
      <c r="BJ30" s="108"/>
      <c r="BL30" s="309">
        <f t="shared" si="109"/>
        <v>5686</v>
      </c>
    </row>
    <row r="31" spans="1:64" x14ac:dyDescent="0.25">
      <c r="A31" s="5"/>
      <c r="B31" s="412" t="s">
        <v>828</v>
      </c>
      <c r="C31" s="4" t="s">
        <v>58</v>
      </c>
      <c r="D31" s="222">
        <f t="shared" si="65"/>
        <v>2268</v>
      </c>
      <c r="E31" s="100">
        <f>D31/D21</f>
        <v>4.8700000000000002E-3</v>
      </c>
      <c r="F31" s="71">
        <f>F21*E31</f>
        <v>303.27</v>
      </c>
      <c r="G31" s="111">
        <f t="shared" si="66"/>
        <v>0.13371693000000001</v>
      </c>
      <c r="H31" s="76">
        <f>H21</f>
        <v>9.7100000000000009</v>
      </c>
      <c r="I31" s="109">
        <f t="shared" ref="I31" si="110">G31*H31</f>
        <v>1.2983899999999999</v>
      </c>
      <c r="J31" s="71">
        <f t="shared" ref="J31" si="111">I31*D31</f>
        <v>2944.75</v>
      </c>
      <c r="K31" s="71"/>
      <c r="L31" s="108"/>
      <c r="M31" s="100">
        <f t="shared" ref="M31" si="112">I31/BG31</f>
        <v>0.87139999999999995</v>
      </c>
      <c r="N31" s="222">
        <f t="shared" si="69"/>
        <v>0</v>
      </c>
      <c r="O31" s="100">
        <f>N31/N21</f>
        <v>0</v>
      </c>
      <c r="P31" s="71">
        <f>P21*O31</f>
        <v>0</v>
      </c>
      <c r="Q31" s="111">
        <f t="shared" si="70"/>
        <v>0</v>
      </c>
      <c r="R31" s="76">
        <f>R21</f>
        <v>10.029999999999999</v>
      </c>
      <c r="S31" s="109">
        <f t="shared" ref="S31" si="113">Q31*R31</f>
        <v>0</v>
      </c>
      <c r="T31" s="71">
        <f t="shared" ref="T31" si="114">S31*N31</f>
        <v>0</v>
      </c>
      <c r="U31" s="71"/>
      <c r="V31" s="108"/>
      <c r="W31" s="100">
        <f t="shared" ref="W31" si="115">S31/BG31</f>
        <v>0</v>
      </c>
      <c r="X31" s="222">
        <f t="shared" si="73"/>
        <v>5976</v>
      </c>
      <c r="Y31" s="100">
        <f>X31/X21</f>
        <v>2.5069999999999999E-2</v>
      </c>
      <c r="Z31" s="71">
        <f>Z21*Y31</f>
        <v>1354.11</v>
      </c>
      <c r="AA31" s="111">
        <f t="shared" si="74"/>
        <v>0.22659136999999999</v>
      </c>
      <c r="AB31" s="76">
        <f>AB21</f>
        <v>10.029999999999999</v>
      </c>
      <c r="AC31" s="109">
        <f t="shared" ref="AC31" si="116">AA31*AB31</f>
        <v>2.27271</v>
      </c>
      <c r="AD31" s="71">
        <f t="shared" ref="AD31" si="117">AC31*X31</f>
        <v>13581.71</v>
      </c>
      <c r="AE31" s="71"/>
      <c r="AF31" s="108"/>
      <c r="AG31" s="100">
        <f t="shared" ref="AG31" si="118">AC31/BG31</f>
        <v>1.5253099999999999</v>
      </c>
      <c r="AH31" s="222">
        <f t="shared" si="77"/>
        <v>0</v>
      </c>
      <c r="AI31" s="100">
        <f>AH31/AH21</f>
        <v>0</v>
      </c>
      <c r="AJ31" s="71">
        <f>AJ21*AI31</f>
        <v>0</v>
      </c>
      <c r="AK31" s="111">
        <f t="shared" si="78"/>
        <v>0</v>
      </c>
      <c r="AL31" s="76">
        <f>AL21</f>
        <v>10.029999999999999</v>
      </c>
      <c r="AM31" s="109">
        <f t="shared" ref="AM31" si="119">AK31*AL31</f>
        <v>0</v>
      </c>
      <c r="AN31" s="71">
        <f t="shared" ref="AN31" si="120">AM31*AH31</f>
        <v>0</v>
      </c>
      <c r="AO31" s="71"/>
      <c r="AP31" s="108"/>
      <c r="AQ31" s="100">
        <f t="shared" ref="AQ31" si="121">AM31/BG31</f>
        <v>0</v>
      </c>
      <c r="AR31" s="222">
        <f t="shared" si="79"/>
        <v>0</v>
      </c>
      <c r="AS31" s="100">
        <f>AR31/AR21</f>
        <v>0</v>
      </c>
      <c r="AT31" s="71">
        <f>AT21*AS31</f>
        <v>0</v>
      </c>
      <c r="AU31" s="111">
        <f t="shared" si="80"/>
        <v>0</v>
      </c>
      <c r="AV31" s="76">
        <f>AV21</f>
        <v>0</v>
      </c>
      <c r="AW31" s="109">
        <f t="shared" ref="AW31" si="122">AU31*AV31</f>
        <v>0</v>
      </c>
      <c r="AX31" s="71">
        <f t="shared" ref="AX31" si="123">AW31*AR31</f>
        <v>0</v>
      </c>
      <c r="AY31" s="71"/>
      <c r="AZ31" s="108"/>
      <c r="BA31" s="100">
        <f t="shared" ref="BA31" si="124">AW31/BG31</f>
        <v>0</v>
      </c>
      <c r="BB31" s="222">
        <f t="shared" ref="BB31" si="125">D31+N31+X31+AH31+AR31</f>
        <v>8244</v>
      </c>
      <c r="BC31" s="100">
        <f>BB31/BB21</f>
        <v>6.3899999999999998E-3</v>
      </c>
      <c r="BD31" s="71">
        <f>BD21*BC31</f>
        <v>1232.8399999999999</v>
      </c>
      <c r="BE31" s="111">
        <f t="shared" si="84"/>
        <v>0.14954391</v>
      </c>
      <c r="BF31" s="76">
        <f>BF21</f>
        <v>9.93</v>
      </c>
      <c r="BG31" s="109">
        <f t="shared" ref="BG31" si="126">ROUNDUP(BE31*BF31,2)</f>
        <v>1.49</v>
      </c>
      <c r="BH31" s="71">
        <f t="shared" ref="BH31" si="127">BG31*BB31</f>
        <v>12283.56</v>
      </c>
      <c r="BI31" s="71"/>
      <c r="BJ31" s="108"/>
      <c r="BL31" s="309">
        <f t="shared" ref="BL31" si="128">BB31*BG31</f>
        <v>12284</v>
      </c>
    </row>
    <row r="32" spans="1:64" x14ac:dyDescent="0.25">
      <c r="A32" s="5" t="s">
        <v>68</v>
      </c>
      <c r="B32" s="13" t="s">
        <v>69</v>
      </c>
      <c r="C32" s="4" t="s">
        <v>59</v>
      </c>
      <c r="D32" s="19">
        <f>SUM(D34:D42)</f>
        <v>465288</v>
      </c>
      <c r="E32" s="4"/>
      <c r="F32" s="156">
        <v>560.20000000000005</v>
      </c>
      <c r="G32" s="111">
        <f t="shared" ref="G32" si="129">IF(D32&gt;0,F32/D32,0)</f>
        <v>1.2039900000000001E-3</v>
      </c>
      <c r="H32" s="71">
        <f>IF(K32&gt;0,K32/F32,0)</f>
        <v>3161.59</v>
      </c>
      <c r="I32" s="109">
        <f t="shared" si="67"/>
        <v>3.8065199999999999</v>
      </c>
      <c r="J32" s="71">
        <f t="shared" si="68"/>
        <v>1771128.08</v>
      </c>
      <c r="K32" s="156">
        <v>1771122.81</v>
      </c>
      <c r="L32" s="108">
        <f>K32-J32</f>
        <v>-5.27</v>
      </c>
      <c r="M32" s="100">
        <f t="shared" si="0"/>
        <v>1.18232</v>
      </c>
      <c r="N32" s="19">
        <f>SUM(N34:N42)</f>
        <v>343104</v>
      </c>
      <c r="O32" s="4"/>
      <c r="P32" s="156">
        <v>567</v>
      </c>
      <c r="Q32" s="111">
        <f t="shared" ref="Q32" si="130">IF(N32&gt;0,P32/N32,0)</f>
        <v>1.65256E-3</v>
      </c>
      <c r="R32" s="71">
        <f>IF(U32&gt;0,U32/P32,0)</f>
        <v>2588.77</v>
      </c>
      <c r="S32" s="109">
        <f t="shared" si="71"/>
        <v>4.2781000000000002</v>
      </c>
      <c r="T32" s="71">
        <f t="shared" si="72"/>
        <v>1467833.22</v>
      </c>
      <c r="U32" s="156">
        <v>1467832.59</v>
      </c>
      <c r="V32" s="108">
        <f>U32-T32</f>
        <v>-0.63</v>
      </c>
      <c r="W32" s="100">
        <f t="shared" si="1"/>
        <v>1.3288</v>
      </c>
      <c r="X32" s="19">
        <f>SUM(X34:X42)</f>
        <v>238356</v>
      </c>
      <c r="Y32" s="4"/>
      <c r="Z32" s="156">
        <v>286.39999999999998</v>
      </c>
      <c r="AA32" s="111">
        <f t="shared" ref="AA32" si="131">IF(X32&gt;0,Z32/X32,0)</f>
        <v>1.20156E-3</v>
      </c>
      <c r="AB32" s="71">
        <f>IF(AE32&gt;0,AE32/Z32,0)</f>
        <v>3192.66</v>
      </c>
      <c r="AC32" s="109">
        <f t="shared" si="75"/>
        <v>3.8361700000000001</v>
      </c>
      <c r="AD32" s="71">
        <f t="shared" si="76"/>
        <v>914374.14</v>
      </c>
      <c r="AE32" s="156">
        <v>914377.92</v>
      </c>
      <c r="AF32" s="108">
        <f>AE32-AD32</f>
        <v>3.78</v>
      </c>
      <c r="AG32" s="100">
        <f t="shared" si="2"/>
        <v>1.19153</v>
      </c>
      <c r="AH32" s="19">
        <f>SUM(AH34:AH42)</f>
        <v>147528</v>
      </c>
      <c r="AI32" s="4"/>
      <c r="AJ32" s="156">
        <v>0</v>
      </c>
      <c r="AK32" s="111">
        <f t="shared" ref="AK32" si="132">IF(AH32&gt;0,AJ32/AH32,0)</f>
        <v>0</v>
      </c>
      <c r="AL32" s="71">
        <f>IF(AO32&gt;0,AO32/AJ32,0)</f>
        <v>0</v>
      </c>
      <c r="AM32" s="109">
        <f>AK32*AL32</f>
        <v>0</v>
      </c>
      <c r="AN32" s="71">
        <f>AM32*AH32</f>
        <v>0</v>
      </c>
      <c r="AO32" s="156">
        <v>0</v>
      </c>
      <c r="AP32" s="108">
        <f>AO32-AN32</f>
        <v>0</v>
      </c>
      <c r="AQ32" s="100">
        <f t="shared" si="3"/>
        <v>0</v>
      </c>
      <c r="AR32" s="19">
        <f>SUM(AR34:AR42)</f>
        <v>95760</v>
      </c>
      <c r="AS32" s="4"/>
      <c r="AT32" s="156">
        <v>0</v>
      </c>
      <c r="AU32" s="111">
        <f t="shared" ref="AU32" si="133">IF(AR32&gt;0,AT32/AR32,0)</f>
        <v>0</v>
      </c>
      <c r="AV32" s="71">
        <f>IF(AY32&gt;0,AY32/AT32,0)</f>
        <v>0</v>
      </c>
      <c r="AW32" s="109">
        <f t="shared" si="81"/>
        <v>0</v>
      </c>
      <c r="AX32" s="71">
        <f t="shared" si="82"/>
        <v>0</v>
      </c>
      <c r="AY32" s="156">
        <v>0</v>
      </c>
      <c r="AZ32" s="108">
        <f>AY32-AX32</f>
        <v>0</v>
      </c>
      <c r="BA32" s="100">
        <f>AW32/BG32</f>
        <v>0</v>
      </c>
      <c r="BB32" s="19">
        <f>SUM(BB34:BB42)</f>
        <v>1290036</v>
      </c>
      <c r="BC32" s="224"/>
      <c r="BD32" s="181">
        <f>F32+P32+Z32+AJ32+AT32</f>
        <v>1413.6</v>
      </c>
      <c r="BE32" s="111">
        <f t="shared" ref="BE32" si="134">IF(BB32&gt;0,BD32/BB32,0)</f>
        <v>1.09578E-3</v>
      </c>
      <c r="BF32" s="71">
        <f>IF(BI32&gt;0,BI32/BD32,0)</f>
        <v>2938.12</v>
      </c>
      <c r="BG32" s="109">
        <f>BE32*BF32</f>
        <v>3.2195299999999998</v>
      </c>
      <c r="BH32" s="71">
        <f>BG32*BB32</f>
        <v>4153309.6</v>
      </c>
      <c r="BI32" s="181">
        <f>K32+U32+AE32+AO32+AY32</f>
        <v>4153333.32</v>
      </c>
      <c r="BJ32" s="108">
        <f>BI32-BH32</f>
        <v>23.72</v>
      </c>
      <c r="BL32" s="309">
        <f>SUM(BL33:BL39)</f>
        <v>4080797</v>
      </c>
    </row>
    <row r="33" spans="1:64" s="104" customFormat="1" x14ac:dyDescent="0.25">
      <c r="A33" s="101"/>
      <c r="B33" s="102" t="s">
        <v>337</v>
      </c>
      <c r="C33" s="102"/>
      <c r="D33" s="223"/>
      <c r="E33" s="102"/>
      <c r="F33" s="108">
        <f>F32-(SUM(F34:F39))</f>
        <v>7.33</v>
      </c>
      <c r="G33" s="112"/>
      <c r="H33" s="108"/>
      <c r="I33" s="110"/>
      <c r="J33" s="108">
        <f>J32-(SUM(J34:J39))</f>
        <v>23183.13</v>
      </c>
      <c r="K33" s="108"/>
      <c r="L33" s="108"/>
      <c r="M33" s="100"/>
      <c r="N33" s="223"/>
      <c r="O33" s="102"/>
      <c r="P33" s="108">
        <f>P32-(SUM(P34:P39))</f>
        <v>17.59</v>
      </c>
      <c r="Q33" s="112"/>
      <c r="R33" s="108"/>
      <c r="S33" s="110"/>
      <c r="T33" s="108">
        <f>T32-(SUM(T34:T39))</f>
        <v>45536.79</v>
      </c>
      <c r="U33" s="108"/>
      <c r="V33" s="108"/>
      <c r="W33" s="100"/>
      <c r="X33" s="223"/>
      <c r="Y33" s="102"/>
      <c r="Z33" s="108">
        <f>Z32-(SUM(Z34:Z39))</f>
        <v>7.18</v>
      </c>
      <c r="AA33" s="112"/>
      <c r="AB33" s="108"/>
      <c r="AC33" s="110"/>
      <c r="AD33" s="108">
        <f>AD32-(SUM(AD34:AD39))</f>
        <v>22919.21</v>
      </c>
      <c r="AE33" s="108"/>
      <c r="AF33" s="108"/>
      <c r="AG33" s="100"/>
      <c r="AH33" s="223"/>
      <c r="AI33" s="102"/>
      <c r="AJ33" s="108">
        <f>AJ32-(SUM(AJ34:AJ39))</f>
        <v>0</v>
      </c>
      <c r="AK33" s="112"/>
      <c r="AL33" s="108"/>
      <c r="AM33" s="110"/>
      <c r="AN33" s="108">
        <f>AN32-(SUM(AN34:AN39))</f>
        <v>0</v>
      </c>
      <c r="AO33" s="108"/>
      <c r="AP33" s="108"/>
      <c r="AQ33" s="100"/>
      <c r="AR33" s="223"/>
      <c r="AS33" s="102"/>
      <c r="AT33" s="108">
        <f>AT32-(SUM(AT34:AT39))</f>
        <v>0</v>
      </c>
      <c r="AU33" s="112"/>
      <c r="AV33" s="108"/>
      <c r="AW33" s="110"/>
      <c r="AX33" s="108">
        <f>AX32-(SUM(AX34:AX39))</f>
        <v>0</v>
      </c>
      <c r="AY33" s="108"/>
      <c r="AZ33" s="108"/>
      <c r="BA33" s="102"/>
      <c r="BB33" s="103"/>
      <c r="BC33" s="102"/>
      <c r="BD33" s="108">
        <f>BD32-(SUM(BD34:BD39))</f>
        <v>24.88</v>
      </c>
      <c r="BE33" s="112"/>
      <c r="BF33" s="108"/>
      <c r="BG33" s="110"/>
      <c r="BH33" s="108">
        <f>BH32-(SUM(BH34:BH39))</f>
        <v>72513.440000000002</v>
      </c>
      <c r="BI33" s="108"/>
      <c r="BJ33" s="108"/>
    </row>
    <row r="34" spans="1:64" x14ac:dyDescent="0.25">
      <c r="A34" s="5"/>
      <c r="B34" s="12" t="s">
        <v>52</v>
      </c>
      <c r="C34" s="4" t="s">
        <v>59</v>
      </c>
      <c r="D34" s="222">
        <f t="shared" ref="D34:D42" si="135">D12</f>
        <v>12384</v>
      </c>
      <c r="E34" s="100">
        <f>D34/D32</f>
        <v>2.6620000000000001E-2</v>
      </c>
      <c r="F34" s="71">
        <f>F32*E34</f>
        <v>14.91</v>
      </c>
      <c r="G34" s="111">
        <f t="shared" ref="G34:G42" si="136">IF(D34&gt;0,F34/D34,0)</f>
        <v>1.20397E-3</v>
      </c>
      <c r="H34" s="76">
        <f>H32</f>
        <v>3161.59</v>
      </c>
      <c r="I34" s="109">
        <f t="shared" ref="I34:I43" si="137">G34*H34</f>
        <v>3.80646</v>
      </c>
      <c r="J34" s="71">
        <f t="shared" ref="J34:J43" si="138">I34*D34</f>
        <v>47139.199999999997</v>
      </c>
      <c r="K34" s="71"/>
      <c r="L34" s="108"/>
      <c r="M34" s="100">
        <f t="shared" si="0"/>
        <v>1.1821299999999999</v>
      </c>
      <c r="N34" s="222">
        <f t="shared" ref="N34:N42" si="139">N12</f>
        <v>0</v>
      </c>
      <c r="O34" s="100">
        <f>N34/N32</f>
        <v>0</v>
      </c>
      <c r="P34" s="71">
        <f>P32*O34</f>
        <v>0</v>
      </c>
      <c r="Q34" s="111">
        <f t="shared" ref="Q34:Q42" si="140">IF(N34&gt;0,P34/N34,0)</f>
        <v>0</v>
      </c>
      <c r="R34" s="76">
        <f>R32</f>
        <v>2588.77</v>
      </c>
      <c r="S34" s="109">
        <f t="shared" ref="S34:S43" si="141">Q34*R34</f>
        <v>0</v>
      </c>
      <c r="T34" s="71">
        <f t="shared" ref="T34:T43" si="142">S34*N34</f>
        <v>0</v>
      </c>
      <c r="U34" s="71"/>
      <c r="V34" s="108"/>
      <c r="W34" s="100">
        <f t="shared" si="1"/>
        <v>0</v>
      </c>
      <c r="X34" s="222">
        <f t="shared" ref="X34:X42" si="143">X12</f>
        <v>113328</v>
      </c>
      <c r="Y34" s="100">
        <f>X34/X32</f>
        <v>0.47545999999999999</v>
      </c>
      <c r="Z34" s="71">
        <f>Z32*Y34</f>
        <v>136.16999999999999</v>
      </c>
      <c r="AA34" s="111">
        <f t="shared" ref="AA34:AA42" si="144">IF(X34&gt;0,Z34/X34,0)</f>
        <v>1.20156E-3</v>
      </c>
      <c r="AB34" s="76">
        <f>AB32</f>
        <v>3192.66</v>
      </c>
      <c r="AC34" s="109">
        <f t="shared" ref="AC34:AC43" si="145">AA34*AB34</f>
        <v>3.8361700000000001</v>
      </c>
      <c r="AD34" s="71">
        <f t="shared" ref="AD34:AD43" si="146">AC34*X34</f>
        <v>434745.47</v>
      </c>
      <c r="AE34" s="71"/>
      <c r="AF34" s="108"/>
      <c r="AG34" s="100">
        <f t="shared" si="2"/>
        <v>1.19136</v>
      </c>
      <c r="AH34" s="222">
        <f t="shared" ref="AH34:AH42" si="147">AH12</f>
        <v>0</v>
      </c>
      <c r="AI34" s="100">
        <f>AH34/AH32</f>
        <v>0</v>
      </c>
      <c r="AJ34" s="71">
        <f>AJ32*AI34</f>
        <v>0</v>
      </c>
      <c r="AK34" s="111">
        <f t="shared" ref="AK34:AK42" si="148">IF(AH34&gt;0,AJ34/AH34,0)</f>
        <v>0</v>
      </c>
      <c r="AL34" s="76">
        <f>AL32</f>
        <v>0</v>
      </c>
      <c r="AM34" s="109">
        <f>AK34*AL34</f>
        <v>0</v>
      </c>
      <c r="AN34" s="71">
        <f>AM34*AH34</f>
        <v>0</v>
      </c>
      <c r="AO34" s="71"/>
      <c r="AP34" s="108"/>
      <c r="AQ34" s="100">
        <f t="shared" si="3"/>
        <v>0</v>
      </c>
      <c r="AR34" s="222">
        <f t="shared" ref="AR34:AR42" si="149">AR12</f>
        <v>0</v>
      </c>
      <c r="AS34" s="100">
        <f>AR34/AR32</f>
        <v>0</v>
      </c>
      <c r="AT34" s="71">
        <f>AT32*AS34</f>
        <v>0</v>
      </c>
      <c r="AU34" s="111">
        <f t="shared" ref="AU34:AU42" si="150">IF(AR34&gt;0,AT34/AR34,0)</f>
        <v>0</v>
      </c>
      <c r="AV34" s="76">
        <f>AV32</f>
        <v>0</v>
      </c>
      <c r="AW34" s="109">
        <f t="shared" ref="AW34:AW43" si="151">AU34*AV34</f>
        <v>0</v>
      </c>
      <c r="AX34" s="71">
        <f t="shared" ref="AX34:AX43" si="152">AW34*AR34</f>
        <v>0</v>
      </c>
      <c r="AY34" s="71"/>
      <c r="AZ34" s="108"/>
      <c r="BA34" s="100">
        <f t="shared" ref="BA34:BA39" si="153">AW34/BG34</f>
        <v>0</v>
      </c>
      <c r="BB34" s="222">
        <f>D34+N34+X34+AH34+AR34</f>
        <v>125712</v>
      </c>
      <c r="BC34" s="100">
        <f>BB34/BB32</f>
        <v>9.7449999999999995E-2</v>
      </c>
      <c r="BD34" s="71">
        <f>BD32*BC34</f>
        <v>137.76</v>
      </c>
      <c r="BE34" s="111">
        <f t="shared" ref="BE34:BE42" si="154">IF(BB34&gt;0,BD34/BB34,0)</f>
        <v>1.0958400000000001E-3</v>
      </c>
      <c r="BF34" s="76">
        <f>BF32</f>
        <v>2938.12</v>
      </c>
      <c r="BG34" s="109">
        <f>ROUNDUP(BE34*BF34,2)</f>
        <v>3.22</v>
      </c>
      <c r="BH34" s="71">
        <f>BG34*BB34</f>
        <v>404792.64</v>
      </c>
      <c r="BI34" s="71"/>
      <c r="BJ34" s="108"/>
      <c r="BL34" s="309">
        <f>BB34*BG34</f>
        <v>404793</v>
      </c>
    </row>
    <row r="35" spans="1:64" x14ac:dyDescent="0.25">
      <c r="A35" s="5"/>
      <c r="B35" s="12" t="s">
        <v>53</v>
      </c>
      <c r="C35" s="4" t="s">
        <v>59</v>
      </c>
      <c r="D35" s="222">
        <f t="shared" si="135"/>
        <v>19872</v>
      </c>
      <c r="E35" s="100">
        <f>D35/D32</f>
        <v>4.2709999999999998E-2</v>
      </c>
      <c r="F35" s="71">
        <f>F32*E35</f>
        <v>23.93</v>
      </c>
      <c r="G35" s="111">
        <f t="shared" si="136"/>
        <v>1.20421E-3</v>
      </c>
      <c r="H35" s="76">
        <f>H32</f>
        <v>3161.59</v>
      </c>
      <c r="I35" s="109">
        <f t="shared" si="137"/>
        <v>3.80722</v>
      </c>
      <c r="J35" s="71">
        <f t="shared" si="138"/>
        <v>75657.08</v>
      </c>
      <c r="K35" s="71"/>
      <c r="L35" s="108"/>
      <c r="M35" s="100">
        <f t="shared" si="0"/>
        <v>1.1823699999999999</v>
      </c>
      <c r="N35" s="222">
        <f t="shared" si="139"/>
        <v>0</v>
      </c>
      <c r="O35" s="100">
        <f>N35/N32</f>
        <v>0</v>
      </c>
      <c r="P35" s="71">
        <f>P32*O35</f>
        <v>0</v>
      </c>
      <c r="Q35" s="111">
        <f t="shared" si="140"/>
        <v>0</v>
      </c>
      <c r="R35" s="76">
        <f>R32</f>
        <v>2588.77</v>
      </c>
      <c r="S35" s="109">
        <f t="shared" si="141"/>
        <v>0</v>
      </c>
      <c r="T35" s="71">
        <f t="shared" si="142"/>
        <v>0</v>
      </c>
      <c r="U35" s="71"/>
      <c r="V35" s="108"/>
      <c r="W35" s="100">
        <f t="shared" si="1"/>
        <v>0</v>
      </c>
      <c r="X35" s="222">
        <f t="shared" si="143"/>
        <v>16776</v>
      </c>
      <c r="Y35" s="100">
        <f>X35/X32</f>
        <v>7.0379999999999998E-2</v>
      </c>
      <c r="Z35" s="71">
        <f>Z32*Y35</f>
        <v>20.16</v>
      </c>
      <c r="AA35" s="111">
        <f t="shared" si="144"/>
        <v>1.2017200000000001E-3</v>
      </c>
      <c r="AB35" s="76">
        <f>AB32</f>
        <v>3192.66</v>
      </c>
      <c r="AC35" s="109">
        <f t="shared" si="145"/>
        <v>3.8366799999999999</v>
      </c>
      <c r="AD35" s="71">
        <f t="shared" si="146"/>
        <v>64364.14</v>
      </c>
      <c r="AE35" s="71"/>
      <c r="AF35" s="108"/>
      <c r="AG35" s="100">
        <f t="shared" si="2"/>
        <v>1.1915199999999999</v>
      </c>
      <c r="AH35" s="222">
        <f t="shared" si="147"/>
        <v>147528</v>
      </c>
      <c r="AI35" s="100">
        <f>AH35/AH32</f>
        <v>1</v>
      </c>
      <c r="AJ35" s="71">
        <f>AJ32*AI35</f>
        <v>0</v>
      </c>
      <c r="AK35" s="111">
        <f t="shared" si="148"/>
        <v>0</v>
      </c>
      <c r="AL35" s="76">
        <f>AL32</f>
        <v>0</v>
      </c>
      <c r="AM35" s="109">
        <f t="shared" ref="AM35:AM39" si="155">AK35*AL35</f>
        <v>0</v>
      </c>
      <c r="AN35" s="71">
        <f t="shared" ref="AN35:AN39" si="156">AM35*AH35</f>
        <v>0</v>
      </c>
      <c r="AO35" s="71"/>
      <c r="AP35" s="108"/>
      <c r="AQ35" s="100">
        <f t="shared" si="3"/>
        <v>0</v>
      </c>
      <c r="AR35" s="222">
        <f t="shared" si="149"/>
        <v>0</v>
      </c>
      <c r="AS35" s="100">
        <f>AR35/AR32</f>
        <v>0</v>
      </c>
      <c r="AT35" s="71">
        <f>AT32*AS35</f>
        <v>0</v>
      </c>
      <c r="AU35" s="111">
        <f t="shared" si="150"/>
        <v>0</v>
      </c>
      <c r="AV35" s="76">
        <f>AV32</f>
        <v>0</v>
      </c>
      <c r="AW35" s="109">
        <f t="shared" si="151"/>
        <v>0</v>
      </c>
      <c r="AX35" s="71">
        <f t="shared" si="152"/>
        <v>0</v>
      </c>
      <c r="AY35" s="71"/>
      <c r="AZ35" s="108"/>
      <c r="BA35" s="100">
        <f t="shared" si="153"/>
        <v>0</v>
      </c>
      <c r="BB35" s="222">
        <f t="shared" ref="BB35:BB39" si="157">D35+N35+X35+AH35+AR35</f>
        <v>184176</v>
      </c>
      <c r="BC35" s="100">
        <f>BB35/BB32</f>
        <v>0.14277000000000001</v>
      </c>
      <c r="BD35" s="71">
        <f>BD32*BC35</f>
        <v>201.82</v>
      </c>
      <c r="BE35" s="111">
        <f t="shared" si="154"/>
        <v>1.0958000000000001E-3</v>
      </c>
      <c r="BF35" s="76">
        <f>BF32</f>
        <v>2938.12</v>
      </c>
      <c r="BG35" s="109">
        <f t="shared" ref="BG35:BG39" si="158">ROUNDUP(BE35*BF35,2)</f>
        <v>3.22</v>
      </c>
      <c r="BH35" s="71">
        <f t="shared" ref="BH35:BH39" si="159">BG35*BB35</f>
        <v>593046.72</v>
      </c>
      <c r="BI35" s="71"/>
      <c r="BJ35" s="108"/>
      <c r="BL35" s="309">
        <f t="shared" ref="BL35:BL39" si="160">BB35*BG35</f>
        <v>593047</v>
      </c>
    </row>
    <row r="36" spans="1:64" x14ac:dyDescent="0.25">
      <c r="A36" s="5"/>
      <c r="B36" s="12" t="s">
        <v>51</v>
      </c>
      <c r="C36" s="4" t="s">
        <v>59</v>
      </c>
      <c r="D36" s="222">
        <f t="shared" si="135"/>
        <v>35352</v>
      </c>
      <c r="E36" s="100">
        <f>D36/D32</f>
        <v>7.5980000000000006E-2</v>
      </c>
      <c r="F36" s="71">
        <f>F32*E36</f>
        <v>42.56</v>
      </c>
      <c r="G36" s="111">
        <f t="shared" si="136"/>
        <v>1.20389E-3</v>
      </c>
      <c r="H36" s="76">
        <f>H32</f>
        <v>3161.59</v>
      </c>
      <c r="I36" s="109">
        <f t="shared" si="137"/>
        <v>3.8062100000000001</v>
      </c>
      <c r="J36" s="71">
        <f t="shared" si="138"/>
        <v>134557.14000000001</v>
      </c>
      <c r="K36" s="71"/>
      <c r="L36" s="108"/>
      <c r="M36" s="100">
        <f t="shared" si="0"/>
        <v>1.18205</v>
      </c>
      <c r="N36" s="222">
        <f t="shared" si="139"/>
        <v>73608</v>
      </c>
      <c r="O36" s="100">
        <f>N36/N32</f>
        <v>0.21454000000000001</v>
      </c>
      <c r="P36" s="71">
        <f>P32*O36</f>
        <v>121.64</v>
      </c>
      <c r="Q36" s="111">
        <f t="shared" si="140"/>
        <v>1.6525400000000001E-3</v>
      </c>
      <c r="R36" s="76">
        <f>R32</f>
        <v>2588.77</v>
      </c>
      <c r="S36" s="109">
        <f t="shared" si="141"/>
        <v>4.2780500000000004</v>
      </c>
      <c r="T36" s="71">
        <f t="shared" si="142"/>
        <v>314898.7</v>
      </c>
      <c r="U36" s="71"/>
      <c r="V36" s="108"/>
      <c r="W36" s="100">
        <f t="shared" si="1"/>
        <v>1.3285899999999999</v>
      </c>
      <c r="X36" s="222">
        <f t="shared" si="143"/>
        <v>18360</v>
      </c>
      <c r="Y36" s="100">
        <f>X36/X32</f>
        <v>7.7030000000000001E-2</v>
      </c>
      <c r="Z36" s="71">
        <f>Z32*Y36</f>
        <v>22.06</v>
      </c>
      <c r="AA36" s="111">
        <f t="shared" si="144"/>
        <v>1.2015299999999999E-3</v>
      </c>
      <c r="AB36" s="76">
        <f>AB32</f>
        <v>3192.66</v>
      </c>
      <c r="AC36" s="109">
        <f t="shared" si="145"/>
        <v>3.8360799999999999</v>
      </c>
      <c r="AD36" s="71">
        <f t="shared" si="146"/>
        <v>70430.429999999993</v>
      </c>
      <c r="AE36" s="71"/>
      <c r="AF36" s="108"/>
      <c r="AG36" s="100">
        <f t="shared" si="2"/>
        <v>1.19133</v>
      </c>
      <c r="AH36" s="222">
        <f t="shared" si="147"/>
        <v>0</v>
      </c>
      <c r="AI36" s="100">
        <f>AH36/AH32</f>
        <v>0</v>
      </c>
      <c r="AJ36" s="71">
        <f>AJ32*AI36</f>
        <v>0</v>
      </c>
      <c r="AK36" s="111">
        <f t="shared" si="148"/>
        <v>0</v>
      </c>
      <c r="AL36" s="76">
        <f>AL32</f>
        <v>0</v>
      </c>
      <c r="AM36" s="109">
        <f t="shared" si="155"/>
        <v>0</v>
      </c>
      <c r="AN36" s="71">
        <f t="shared" si="156"/>
        <v>0</v>
      </c>
      <c r="AO36" s="71"/>
      <c r="AP36" s="108"/>
      <c r="AQ36" s="100">
        <f t="shared" si="3"/>
        <v>0</v>
      </c>
      <c r="AR36" s="222">
        <f t="shared" si="149"/>
        <v>0</v>
      </c>
      <c r="AS36" s="100">
        <f>AR36/AR32</f>
        <v>0</v>
      </c>
      <c r="AT36" s="71">
        <f>AT32*AS36</f>
        <v>0</v>
      </c>
      <c r="AU36" s="111">
        <f t="shared" si="150"/>
        <v>0</v>
      </c>
      <c r="AV36" s="76">
        <f>AV32</f>
        <v>0</v>
      </c>
      <c r="AW36" s="109">
        <f t="shared" si="151"/>
        <v>0</v>
      </c>
      <c r="AX36" s="71">
        <f t="shared" si="152"/>
        <v>0</v>
      </c>
      <c r="AY36" s="71"/>
      <c r="AZ36" s="108"/>
      <c r="BA36" s="100">
        <f t="shared" si="153"/>
        <v>0</v>
      </c>
      <c r="BB36" s="222">
        <f t="shared" si="157"/>
        <v>127320</v>
      </c>
      <c r="BC36" s="100">
        <f>BB36/BB32</f>
        <v>9.869E-2</v>
      </c>
      <c r="BD36" s="71">
        <f>BD32*BC36</f>
        <v>139.51</v>
      </c>
      <c r="BE36" s="111">
        <f t="shared" si="154"/>
        <v>1.09574E-3</v>
      </c>
      <c r="BF36" s="76">
        <f>BF32</f>
        <v>2938.12</v>
      </c>
      <c r="BG36" s="109">
        <f t="shared" si="158"/>
        <v>3.22</v>
      </c>
      <c r="BH36" s="71">
        <f t="shared" si="159"/>
        <v>409970.4</v>
      </c>
      <c r="BI36" s="71"/>
      <c r="BJ36" s="108"/>
      <c r="BL36" s="309">
        <f t="shared" si="160"/>
        <v>409970</v>
      </c>
    </row>
    <row r="37" spans="1:64" x14ac:dyDescent="0.25">
      <c r="A37" s="5"/>
      <c r="B37" s="12" t="s">
        <v>54</v>
      </c>
      <c r="C37" s="4" t="s">
        <v>59</v>
      </c>
      <c r="D37" s="222">
        <f t="shared" si="135"/>
        <v>272292</v>
      </c>
      <c r="E37" s="100">
        <f>D37/D32</f>
        <v>0.58521000000000001</v>
      </c>
      <c r="F37" s="71">
        <f>F32*E37</f>
        <v>327.83</v>
      </c>
      <c r="G37" s="111">
        <f t="shared" si="136"/>
        <v>1.20396E-3</v>
      </c>
      <c r="H37" s="76">
        <f>H32</f>
        <v>3161.59</v>
      </c>
      <c r="I37" s="109">
        <f t="shared" si="137"/>
        <v>3.8064300000000002</v>
      </c>
      <c r="J37" s="71">
        <f t="shared" si="138"/>
        <v>1036460.44</v>
      </c>
      <c r="K37" s="71"/>
      <c r="L37" s="108"/>
      <c r="M37" s="100">
        <f t="shared" si="0"/>
        <v>1.1821200000000001</v>
      </c>
      <c r="N37" s="222">
        <f t="shared" si="139"/>
        <v>128520</v>
      </c>
      <c r="O37" s="100">
        <f>N37/N32</f>
        <v>0.37458000000000002</v>
      </c>
      <c r="P37" s="71">
        <f>P32*O37</f>
        <v>212.39</v>
      </c>
      <c r="Q37" s="111">
        <f t="shared" si="140"/>
        <v>1.6525800000000001E-3</v>
      </c>
      <c r="R37" s="76">
        <f>R32</f>
        <v>2588.77</v>
      </c>
      <c r="S37" s="109">
        <f t="shared" si="141"/>
        <v>4.2781500000000001</v>
      </c>
      <c r="T37" s="71">
        <f t="shared" si="142"/>
        <v>549827.83999999997</v>
      </c>
      <c r="U37" s="71"/>
      <c r="V37" s="108"/>
      <c r="W37" s="100">
        <f t="shared" si="1"/>
        <v>1.3286199999999999</v>
      </c>
      <c r="X37" s="222">
        <f t="shared" si="143"/>
        <v>61020</v>
      </c>
      <c r="Y37" s="100">
        <f>X37/X32</f>
        <v>0.25600000000000001</v>
      </c>
      <c r="Z37" s="71">
        <f>Z32*Y37</f>
        <v>73.319999999999993</v>
      </c>
      <c r="AA37" s="111">
        <f t="shared" si="144"/>
        <v>1.2015699999999999E-3</v>
      </c>
      <c r="AB37" s="76">
        <f>AB32</f>
        <v>3192.66</v>
      </c>
      <c r="AC37" s="109">
        <f t="shared" si="145"/>
        <v>3.8361999999999998</v>
      </c>
      <c r="AD37" s="71">
        <f t="shared" si="146"/>
        <v>234084.92</v>
      </c>
      <c r="AE37" s="71"/>
      <c r="AF37" s="108"/>
      <c r="AG37" s="100">
        <f t="shared" si="2"/>
        <v>1.19137</v>
      </c>
      <c r="AH37" s="222">
        <f t="shared" si="147"/>
        <v>0</v>
      </c>
      <c r="AI37" s="100">
        <f>AH37/AH32</f>
        <v>0</v>
      </c>
      <c r="AJ37" s="71">
        <f>AJ32*AI37</f>
        <v>0</v>
      </c>
      <c r="AK37" s="111">
        <f t="shared" si="148"/>
        <v>0</v>
      </c>
      <c r="AL37" s="76">
        <f>AL32</f>
        <v>0</v>
      </c>
      <c r="AM37" s="109">
        <f t="shared" si="155"/>
        <v>0</v>
      </c>
      <c r="AN37" s="71">
        <f t="shared" si="156"/>
        <v>0</v>
      </c>
      <c r="AO37" s="71"/>
      <c r="AP37" s="108"/>
      <c r="AQ37" s="100">
        <f t="shared" si="3"/>
        <v>0</v>
      </c>
      <c r="AR37" s="222">
        <f t="shared" si="149"/>
        <v>0</v>
      </c>
      <c r="AS37" s="100">
        <f>AR37/AR32</f>
        <v>0</v>
      </c>
      <c r="AT37" s="71">
        <f>AT32*AS37</f>
        <v>0</v>
      </c>
      <c r="AU37" s="111">
        <f t="shared" si="150"/>
        <v>0</v>
      </c>
      <c r="AV37" s="76">
        <f>AV32</f>
        <v>0</v>
      </c>
      <c r="AW37" s="109">
        <f t="shared" si="151"/>
        <v>0</v>
      </c>
      <c r="AX37" s="71">
        <f t="shared" si="152"/>
        <v>0</v>
      </c>
      <c r="AY37" s="71"/>
      <c r="AZ37" s="108"/>
      <c r="BA37" s="100">
        <f t="shared" si="153"/>
        <v>0</v>
      </c>
      <c r="BB37" s="222">
        <f t="shared" si="157"/>
        <v>461832</v>
      </c>
      <c r="BC37" s="100">
        <f>BB37/BB32</f>
        <v>0.35799999999999998</v>
      </c>
      <c r="BD37" s="71">
        <f>BD32*BC37</f>
        <v>506.07</v>
      </c>
      <c r="BE37" s="111">
        <f t="shared" si="154"/>
        <v>1.0957899999999999E-3</v>
      </c>
      <c r="BF37" s="76">
        <f>BF32</f>
        <v>2938.12</v>
      </c>
      <c r="BG37" s="109">
        <f t="shared" si="158"/>
        <v>3.22</v>
      </c>
      <c r="BH37" s="71">
        <f t="shared" si="159"/>
        <v>1487099.04</v>
      </c>
      <c r="BI37" s="71"/>
      <c r="BJ37" s="108"/>
      <c r="BL37" s="309">
        <f t="shared" si="160"/>
        <v>1487099</v>
      </c>
    </row>
    <row r="38" spans="1:64" x14ac:dyDescent="0.25">
      <c r="A38" s="5"/>
      <c r="B38" s="12" t="s">
        <v>55</v>
      </c>
      <c r="C38" s="4" t="s">
        <v>59</v>
      </c>
      <c r="D38" s="222">
        <f t="shared" si="135"/>
        <v>18504</v>
      </c>
      <c r="E38" s="100">
        <f>D38/D32</f>
        <v>3.977E-2</v>
      </c>
      <c r="F38" s="71">
        <f>F32*E38</f>
        <v>22.28</v>
      </c>
      <c r="G38" s="111">
        <f t="shared" si="136"/>
        <v>1.2040600000000001E-3</v>
      </c>
      <c r="H38" s="76">
        <f>H32</f>
        <v>3161.59</v>
      </c>
      <c r="I38" s="109">
        <f t="shared" si="137"/>
        <v>3.80674</v>
      </c>
      <c r="J38" s="71">
        <f t="shared" si="138"/>
        <v>70439.92</v>
      </c>
      <c r="K38" s="71"/>
      <c r="L38" s="108"/>
      <c r="M38" s="100">
        <f t="shared" si="0"/>
        <v>1.18222</v>
      </c>
      <c r="N38" s="222">
        <f t="shared" si="139"/>
        <v>12816</v>
      </c>
      <c r="O38" s="100">
        <f>N38/N32</f>
        <v>3.7350000000000001E-2</v>
      </c>
      <c r="P38" s="71">
        <f>P32*O38</f>
        <v>21.18</v>
      </c>
      <c r="Q38" s="111">
        <f t="shared" si="140"/>
        <v>1.65262E-3</v>
      </c>
      <c r="R38" s="76">
        <f>R32</f>
        <v>2588.77</v>
      </c>
      <c r="S38" s="109">
        <f t="shared" si="141"/>
        <v>4.2782499999999999</v>
      </c>
      <c r="T38" s="71">
        <f t="shared" si="142"/>
        <v>54830.05</v>
      </c>
      <c r="U38" s="71"/>
      <c r="V38" s="108"/>
      <c r="W38" s="100">
        <f t="shared" si="1"/>
        <v>1.3286500000000001</v>
      </c>
      <c r="X38" s="222">
        <f t="shared" si="143"/>
        <v>0</v>
      </c>
      <c r="Y38" s="100">
        <f>X38/X32</f>
        <v>0</v>
      </c>
      <c r="Z38" s="71">
        <f>Z32*Y38</f>
        <v>0</v>
      </c>
      <c r="AA38" s="111">
        <f t="shared" si="144"/>
        <v>0</v>
      </c>
      <c r="AB38" s="76">
        <f>AB32</f>
        <v>3192.66</v>
      </c>
      <c r="AC38" s="109">
        <f t="shared" si="145"/>
        <v>0</v>
      </c>
      <c r="AD38" s="71">
        <f t="shared" si="146"/>
        <v>0</v>
      </c>
      <c r="AE38" s="71"/>
      <c r="AF38" s="108"/>
      <c r="AG38" s="100">
        <f t="shared" si="2"/>
        <v>0</v>
      </c>
      <c r="AH38" s="222">
        <f t="shared" si="147"/>
        <v>0</v>
      </c>
      <c r="AI38" s="100">
        <f>AH38/AH32</f>
        <v>0</v>
      </c>
      <c r="AJ38" s="71">
        <f>AJ32*AI38</f>
        <v>0</v>
      </c>
      <c r="AK38" s="111">
        <f t="shared" si="148"/>
        <v>0</v>
      </c>
      <c r="AL38" s="76">
        <f>AL32</f>
        <v>0</v>
      </c>
      <c r="AM38" s="109">
        <f t="shared" si="155"/>
        <v>0</v>
      </c>
      <c r="AN38" s="71">
        <f t="shared" si="156"/>
        <v>0</v>
      </c>
      <c r="AO38" s="71"/>
      <c r="AP38" s="108"/>
      <c r="AQ38" s="100">
        <f t="shared" si="3"/>
        <v>0</v>
      </c>
      <c r="AR38" s="222">
        <f t="shared" si="149"/>
        <v>95760</v>
      </c>
      <c r="AS38" s="100">
        <f>AR38/AR32</f>
        <v>1</v>
      </c>
      <c r="AT38" s="71">
        <f>AT32*AS38</f>
        <v>0</v>
      </c>
      <c r="AU38" s="111">
        <f t="shared" si="150"/>
        <v>0</v>
      </c>
      <c r="AV38" s="76">
        <f>AV32</f>
        <v>0</v>
      </c>
      <c r="AW38" s="109">
        <f t="shared" si="151"/>
        <v>0</v>
      </c>
      <c r="AX38" s="71">
        <f t="shared" si="152"/>
        <v>0</v>
      </c>
      <c r="AY38" s="71"/>
      <c r="AZ38" s="108"/>
      <c r="BA38" s="100">
        <f t="shared" si="153"/>
        <v>0</v>
      </c>
      <c r="BB38" s="222">
        <f t="shared" si="157"/>
        <v>127080</v>
      </c>
      <c r="BC38" s="100">
        <f>BB38/BB32</f>
        <v>9.851E-2</v>
      </c>
      <c r="BD38" s="71">
        <f>BD32*BC38</f>
        <v>139.25</v>
      </c>
      <c r="BE38" s="111">
        <f t="shared" si="154"/>
        <v>1.09577E-3</v>
      </c>
      <c r="BF38" s="76">
        <f>BF32</f>
        <v>2938.12</v>
      </c>
      <c r="BG38" s="109">
        <f t="shared" si="158"/>
        <v>3.22</v>
      </c>
      <c r="BH38" s="71">
        <f t="shared" si="159"/>
        <v>409197.6</v>
      </c>
      <c r="BI38" s="71"/>
      <c r="BJ38" s="108"/>
      <c r="BL38" s="309">
        <f t="shared" si="160"/>
        <v>409198</v>
      </c>
    </row>
    <row r="39" spans="1:64" x14ac:dyDescent="0.25">
      <c r="A39" s="5"/>
      <c r="B39" s="12" t="s">
        <v>56</v>
      </c>
      <c r="C39" s="4" t="s">
        <v>59</v>
      </c>
      <c r="D39" s="222">
        <f t="shared" si="135"/>
        <v>100800</v>
      </c>
      <c r="E39" s="100">
        <f>D39/D32</f>
        <v>0.21664</v>
      </c>
      <c r="F39" s="71">
        <f>F32*E39</f>
        <v>121.36</v>
      </c>
      <c r="G39" s="111">
        <f t="shared" si="136"/>
        <v>1.20397E-3</v>
      </c>
      <c r="H39" s="76">
        <f>H32</f>
        <v>3161.59</v>
      </c>
      <c r="I39" s="109">
        <f t="shared" si="137"/>
        <v>3.80646</v>
      </c>
      <c r="J39" s="71">
        <f t="shared" si="138"/>
        <v>383691.17</v>
      </c>
      <c r="K39" s="71"/>
      <c r="L39" s="108"/>
      <c r="M39" s="100">
        <f t="shared" si="0"/>
        <v>1.1821299999999999</v>
      </c>
      <c r="N39" s="222">
        <f t="shared" si="139"/>
        <v>117512</v>
      </c>
      <c r="O39" s="100">
        <f>N39/N32</f>
        <v>0.34250000000000003</v>
      </c>
      <c r="P39" s="71">
        <f>P32*O39</f>
        <v>194.2</v>
      </c>
      <c r="Q39" s="111">
        <f t="shared" si="140"/>
        <v>1.6525999999999999E-3</v>
      </c>
      <c r="R39" s="76">
        <f>R32</f>
        <v>2588.77</v>
      </c>
      <c r="S39" s="109">
        <f t="shared" si="141"/>
        <v>4.2782</v>
      </c>
      <c r="T39" s="71">
        <f t="shared" si="142"/>
        <v>502739.84</v>
      </c>
      <c r="U39" s="71"/>
      <c r="V39" s="108"/>
      <c r="W39" s="100">
        <f t="shared" si="1"/>
        <v>1.32863</v>
      </c>
      <c r="X39" s="222">
        <f t="shared" si="143"/>
        <v>22896</v>
      </c>
      <c r="Y39" s="100">
        <f>X39/X32</f>
        <v>9.6060000000000006E-2</v>
      </c>
      <c r="Z39" s="71">
        <f>Z32*Y39</f>
        <v>27.51</v>
      </c>
      <c r="AA39" s="111">
        <f t="shared" si="144"/>
        <v>1.20152E-3</v>
      </c>
      <c r="AB39" s="76">
        <f>AB32</f>
        <v>3192.66</v>
      </c>
      <c r="AC39" s="109">
        <f t="shared" si="145"/>
        <v>3.8360400000000001</v>
      </c>
      <c r="AD39" s="71">
        <f t="shared" si="146"/>
        <v>87829.97</v>
      </c>
      <c r="AE39" s="71"/>
      <c r="AF39" s="108"/>
      <c r="AG39" s="100">
        <f t="shared" si="2"/>
        <v>1.1913199999999999</v>
      </c>
      <c r="AH39" s="222">
        <f t="shared" si="147"/>
        <v>0</v>
      </c>
      <c r="AI39" s="100">
        <f>AH39/AH32</f>
        <v>0</v>
      </c>
      <c r="AJ39" s="71">
        <f>AJ32*AI39</f>
        <v>0</v>
      </c>
      <c r="AK39" s="111">
        <f t="shared" si="148"/>
        <v>0</v>
      </c>
      <c r="AL39" s="76">
        <f>AL32</f>
        <v>0</v>
      </c>
      <c r="AM39" s="109">
        <f t="shared" si="155"/>
        <v>0</v>
      </c>
      <c r="AN39" s="71">
        <f t="shared" si="156"/>
        <v>0</v>
      </c>
      <c r="AO39" s="71"/>
      <c r="AP39" s="108"/>
      <c r="AQ39" s="100">
        <f t="shared" si="3"/>
        <v>0</v>
      </c>
      <c r="AR39" s="222">
        <f t="shared" si="149"/>
        <v>0</v>
      </c>
      <c r="AS39" s="100">
        <f>AR39/AR32</f>
        <v>0</v>
      </c>
      <c r="AT39" s="71">
        <f>AT32*AS39</f>
        <v>0</v>
      </c>
      <c r="AU39" s="111">
        <f t="shared" si="150"/>
        <v>0</v>
      </c>
      <c r="AV39" s="76">
        <f>AV32</f>
        <v>0</v>
      </c>
      <c r="AW39" s="109">
        <f t="shared" si="151"/>
        <v>0</v>
      </c>
      <c r="AX39" s="71">
        <f t="shared" si="152"/>
        <v>0</v>
      </c>
      <c r="AY39" s="71"/>
      <c r="AZ39" s="108"/>
      <c r="BA39" s="100">
        <f t="shared" si="153"/>
        <v>0</v>
      </c>
      <c r="BB39" s="222">
        <f t="shared" si="157"/>
        <v>241208</v>
      </c>
      <c r="BC39" s="100">
        <f>BB39/BB32</f>
        <v>0.18698000000000001</v>
      </c>
      <c r="BD39" s="71">
        <f>BD32*BC39</f>
        <v>264.31</v>
      </c>
      <c r="BE39" s="111">
        <f t="shared" si="154"/>
        <v>1.09578E-3</v>
      </c>
      <c r="BF39" s="76">
        <f>BF32</f>
        <v>2938.12</v>
      </c>
      <c r="BG39" s="109">
        <f t="shared" si="158"/>
        <v>3.22</v>
      </c>
      <c r="BH39" s="71">
        <f t="shared" si="159"/>
        <v>776689.76</v>
      </c>
      <c r="BI39" s="71"/>
      <c r="BJ39" s="108"/>
      <c r="BL39" s="309">
        <f t="shared" si="160"/>
        <v>776690</v>
      </c>
    </row>
    <row r="40" spans="1:64" x14ac:dyDescent="0.25">
      <c r="A40" s="5"/>
      <c r="B40" s="412" t="s">
        <v>441</v>
      </c>
      <c r="C40" s="4" t="s">
        <v>59</v>
      </c>
      <c r="D40" s="222">
        <f t="shared" si="135"/>
        <v>0</v>
      </c>
      <c r="E40" s="410">
        <f>D40/D32</f>
        <v>0</v>
      </c>
      <c r="F40" s="76">
        <f>F32*E40</f>
        <v>0</v>
      </c>
      <c r="G40" s="411">
        <f t="shared" si="136"/>
        <v>0</v>
      </c>
      <c r="H40" s="76">
        <f>H32</f>
        <v>3161.59</v>
      </c>
      <c r="I40" s="109">
        <f t="shared" ref="I40:I41" si="161">G40*H40</f>
        <v>0</v>
      </c>
      <c r="J40" s="71">
        <f t="shared" ref="J40:J41" si="162">I40*D40</f>
        <v>0</v>
      </c>
      <c r="K40" s="71"/>
      <c r="L40" s="108"/>
      <c r="M40" s="100">
        <f t="shared" ref="M40:M41" si="163">I40/BG40</f>
        <v>0</v>
      </c>
      <c r="N40" s="222">
        <f t="shared" si="139"/>
        <v>10648</v>
      </c>
      <c r="O40" s="410">
        <f>N40/N32</f>
        <v>3.1029999999999999E-2</v>
      </c>
      <c r="P40" s="76">
        <f>P32*O40</f>
        <v>17.59</v>
      </c>
      <c r="Q40" s="411">
        <f t="shared" si="140"/>
        <v>1.6519499999999999E-3</v>
      </c>
      <c r="R40" s="76">
        <f>R32</f>
        <v>2588.77</v>
      </c>
      <c r="S40" s="109">
        <f t="shared" ref="S40:S41" si="164">Q40*R40</f>
        <v>4.2765199999999997</v>
      </c>
      <c r="T40" s="71">
        <f t="shared" ref="T40:T41" si="165">S40*N40</f>
        <v>45536.38</v>
      </c>
      <c r="U40" s="71"/>
      <c r="V40" s="108"/>
      <c r="W40" s="100">
        <f t="shared" ref="W40:W41" si="166">S40/BG40</f>
        <v>1.3281099999999999</v>
      </c>
      <c r="X40" s="222">
        <f t="shared" si="143"/>
        <v>0</v>
      </c>
      <c r="Y40" s="410">
        <f>X40/X32</f>
        <v>0</v>
      </c>
      <c r="Z40" s="76">
        <f>Z32*Y40</f>
        <v>0</v>
      </c>
      <c r="AA40" s="411">
        <f t="shared" si="144"/>
        <v>0</v>
      </c>
      <c r="AB40" s="76">
        <f>AB32</f>
        <v>3192.66</v>
      </c>
      <c r="AC40" s="109">
        <f t="shared" ref="AC40:AC41" si="167">AA40*AB40</f>
        <v>0</v>
      </c>
      <c r="AD40" s="71">
        <f t="shared" ref="AD40:AD41" si="168">AC40*X40</f>
        <v>0</v>
      </c>
      <c r="AE40" s="71"/>
      <c r="AF40" s="108"/>
      <c r="AG40" s="100">
        <f t="shared" ref="AG40:AG41" si="169">AC40/BG40</f>
        <v>0</v>
      </c>
      <c r="AH40" s="222">
        <f t="shared" si="147"/>
        <v>0</v>
      </c>
      <c r="AI40" s="410">
        <f>AH40/AH32</f>
        <v>0</v>
      </c>
      <c r="AJ40" s="76">
        <f>AJ32*AI40</f>
        <v>0</v>
      </c>
      <c r="AK40" s="411">
        <f t="shared" si="148"/>
        <v>0</v>
      </c>
      <c r="AL40" s="76">
        <f>AL32</f>
        <v>0</v>
      </c>
      <c r="AM40" s="109">
        <f t="shared" ref="AM40:AM41" si="170">AK40*AL40</f>
        <v>0</v>
      </c>
      <c r="AN40" s="71">
        <f t="shared" ref="AN40:AN41" si="171">AM40*AH40</f>
        <v>0</v>
      </c>
      <c r="AO40" s="71"/>
      <c r="AP40" s="108"/>
      <c r="AQ40" s="100">
        <f t="shared" ref="AQ40:AQ41" si="172">AM40/BG40</f>
        <v>0</v>
      </c>
      <c r="AR40" s="222">
        <f t="shared" si="149"/>
        <v>0</v>
      </c>
      <c r="AS40" s="410">
        <f>AR40/AR32</f>
        <v>0</v>
      </c>
      <c r="AT40" s="76">
        <f>AT32*AS40</f>
        <v>0</v>
      </c>
      <c r="AU40" s="411">
        <f t="shared" si="150"/>
        <v>0</v>
      </c>
      <c r="AV40" s="76">
        <f>AV32</f>
        <v>0</v>
      </c>
      <c r="AW40" s="109">
        <f t="shared" ref="AW40:AW41" si="173">AU40*AV40</f>
        <v>0</v>
      </c>
      <c r="AX40" s="71">
        <f t="shared" ref="AX40:AX41" si="174">AW40*AR40</f>
        <v>0</v>
      </c>
      <c r="AY40" s="71"/>
      <c r="AZ40" s="108"/>
      <c r="BA40" s="100">
        <f t="shared" ref="BA40:BA41" si="175">AW40/BG40</f>
        <v>0</v>
      </c>
      <c r="BB40" s="222">
        <f t="shared" ref="BB40:BB41" si="176">D40+N40+X40+AH40+AR40</f>
        <v>10648</v>
      </c>
      <c r="BC40" s="410">
        <f>BB40/BB32</f>
        <v>8.2500000000000004E-3</v>
      </c>
      <c r="BD40" s="76">
        <f>BD32*BC40</f>
        <v>11.66</v>
      </c>
      <c r="BE40" s="411">
        <f t="shared" si="154"/>
        <v>1.09504E-3</v>
      </c>
      <c r="BF40" s="76">
        <f>BF32</f>
        <v>2938.12</v>
      </c>
      <c r="BG40" s="861">
        <f t="shared" ref="BG40:BG41" si="177">ROUNDUP(BE40*BF40,2)</f>
        <v>3.22</v>
      </c>
      <c r="BH40" s="71">
        <f t="shared" ref="BH40:BH41" si="178">BG40*BB40</f>
        <v>34286.559999999998</v>
      </c>
      <c r="BI40" s="71"/>
      <c r="BJ40" s="108"/>
      <c r="BL40" s="309">
        <f t="shared" ref="BL40:BL41" si="179">BB40*BG40</f>
        <v>34287</v>
      </c>
    </row>
    <row r="41" spans="1:64" x14ac:dyDescent="0.25">
      <c r="A41" s="5"/>
      <c r="B41" s="412" t="s">
        <v>827</v>
      </c>
      <c r="C41" s="4" t="s">
        <v>59</v>
      </c>
      <c r="D41" s="222">
        <f t="shared" si="135"/>
        <v>3816</v>
      </c>
      <c r="E41" s="410">
        <f>D41/D32</f>
        <v>8.2000000000000007E-3</v>
      </c>
      <c r="F41" s="76">
        <f>F32*E41</f>
        <v>4.59</v>
      </c>
      <c r="G41" s="411">
        <f t="shared" si="136"/>
        <v>1.20283E-3</v>
      </c>
      <c r="H41" s="76">
        <f>H32</f>
        <v>3161.59</v>
      </c>
      <c r="I41" s="109">
        <f t="shared" si="161"/>
        <v>3.8028599999999999</v>
      </c>
      <c r="J41" s="71">
        <f t="shared" si="162"/>
        <v>14511.71</v>
      </c>
      <c r="K41" s="71"/>
      <c r="L41" s="108"/>
      <c r="M41" s="100">
        <f t="shared" si="163"/>
        <v>1.1810099999999999</v>
      </c>
      <c r="N41" s="222">
        <f t="shared" si="139"/>
        <v>0</v>
      </c>
      <c r="O41" s="410">
        <f>N41/N32</f>
        <v>0</v>
      </c>
      <c r="P41" s="76">
        <f>P32*O41</f>
        <v>0</v>
      </c>
      <c r="Q41" s="411">
        <f t="shared" si="140"/>
        <v>0</v>
      </c>
      <c r="R41" s="76">
        <f>R32</f>
        <v>2588.77</v>
      </c>
      <c r="S41" s="109">
        <f t="shared" si="164"/>
        <v>0</v>
      </c>
      <c r="T41" s="71">
        <f t="shared" si="165"/>
        <v>0</v>
      </c>
      <c r="U41" s="71"/>
      <c r="V41" s="108"/>
      <c r="W41" s="100">
        <f t="shared" si="166"/>
        <v>0</v>
      </c>
      <c r="X41" s="222">
        <f t="shared" si="143"/>
        <v>0</v>
      </c>
      <c r="Y41" s="410">
        <f>X41/X32</f>
        <v>0</v>
      </c>
      <c r="Z41" s="76">
        <f>Z32*Y41</f>
        <v>0</v>
      </c>
      <c r="AA41" s="411">
        <f t="shared" si="144"/>
        <v>0</v>
      </c>
      <c r="AB41" s="76">
        <f>AB32</f>
        <v>3192.66</v>
      </c>
      <c r="AC41" s="109">
        <f t="shared" si="167"/>
        <v>0</v>
      </c>
      <c r="AD41" s="71">
        <f t="shared" si="168"/>
        <v>0</v>
      </c>
      <c r="AE41" s="71"/>
      <c r="AF41" s="108"/>
      <c r="AG41" s="100">
        <f t="shared" si="169"/>
        <v>0</v>
      </c>
      <c r="AH41" s="222">
        <f t="shared" si="147"/>
        <v>0</v>
      </c>
      <c r="AI41" s="410">
        <f>AH41/AH32</f>
        <v>0</v>
      </c>
      <c r="AJ41" s="76">
        <f>AJ32*AI41</f>
        <v>0</v>
      </c>
      <c r="AK41" s="411">
        <f t="shared" si="148"/>
        <v>0</v>
      </c>
      <c r="AL41" s="76">
        <f>AL32</f>
        <v>0</v>
      </c>
      <c r="AM41" s="109">
        <f t="shared" si="170"/>
        <v>0</v>
      </c>
      <c r="AN41" s="71">
        <f t="shared" si="171"/>
        <v>0</v>
      </c>
      <c r="AO41" s="71"/>
      <c r="AP41" s="108"/>
      <c r="AQ41" s="100">
        <f t="shared" si="172"/>
        <v>0</v>
      </c>
      <c r="AR41" s="222">
        <f t="shared" si="149"/>
        <v>0</v>
      </c>
      <c r="AS41" s="410">
        <f>AR41/AR32</f>
        <v>0</v>
      </c>
      <c r="AT41" s="76">
        <f>AT32*AS41</f>
        <v>0</v>
      </c>
      <c r="AU41" s="411">
        <f t="shared" si="150"/>
        <v>0</v>
      </c>
      <c r="AV41" s="76">
        <f>AV32</f>
        <v>0</v>
      </c>
      <c r="AW41" s="109">
        <f t="shared" si="173"/>
        <v>0</v>
      </c>
      <c r="AX41" s="71">
        <f t="shared" si="174"/>
        <v>0</v>
      </c>
      <c r="AY41" s="71"/>
      <c r="AZ41" s="108"/>
      <c r="BA41" s="100">
        <f t="shared" si="175"/>
        <v>0</v>
      </c>
      <c r="BB41" s="222">
        <f t="shared" si="176"/>
        <v>3816</v>
      </c>
      <c r="BC41" s="410">
        <f>BB41/BB32</f>
        <v>2.96E-3</v>
      </c>
      <c r="BD41" s="76">
        <f>BD32*BC41</f>
        <v>4.18</v>
      </c>
      <c r="BE41" s="411">
        <f t="shared" si="154"/>
        <v>1.0953899999999999E-3</v>
      </c>
      <c r="BF41" s="76">
        <f>BF32</f>
        <v>2938.12</v>
      </c>
      <c r="BG41" s="861">
        <f t="shared" si="177"/>
        <v>3.22</v>
      </c>
      <c r="BH41" s="71">
        <f t="shared" si="178"/>
        <v>12287.52</v>
      </c>
      <c r="BI41" s="71"/>
      <c r="BJ41" s="108"/>
      <c r="BL41" s="309">
        <f t="shared" si="179"/>
        <v>12288</v>
      </c>
    </row>
    <row r="42" spans="1:64" x14ac:dyDescent="0.25">
      <c r="A42" s="5"/>
      <c r="B42" s="412" t="s">
        <v>828</v>
      </c>
      <c r="C42" s="4" t="s">
        <v>59</v>
      </c>
      <c r="D42" s="222">
        <f t="shared" si="135"/>
        <v>2268</v>
      </c>
      <c r="E42" s="100">
        <f>D42/D32</f>
        <v>4.8700000000000002E-3</v>
      </c>
      <c r="F42" s="71">
        <f>F32*E42</f>
        <v>2.73</v>
      </c>
      <c r="G42" s="111">
        <f t="shared" si="136"/>
        <v>1.2037E-3</v>
      </c>
      <c r="H42" s="76">
        <f>H32</f>
        <v>3161.59</v>
      </c>
      <c r="I42" s="109">
        <f t="shared" ref="I42" si="180">G42*H42</f>
        <v>3.8056100000000002</v>
      </c>
      <c r="J42" s="71">
        <f t="shared" ref="J42" si="181">I42*D42</f>
        <v>8631.1200000000008</v>
      </c>
      <c r="K42" s="71"/>
      <c r="L42" s="108"/>
      <c r="M42" s="100">
        <f t="shared" ref="M42" si="182">I42/BG42</f>
        <v>1.18187</v>
      </c>
      <c r="N42" s="222">
        <f t="shared" si="139"/>
        <v>0</v>
      </c>
      <c r="O42" s="100">
        <f>N42/N32</f>
        <v>0</v>
      </c>
      <c r="P42" s="71">
        <f>P32*O42</f>
        <v>0</v>
      </c>
      <c r="Q42" s="111">
        <f t="shared" si="140"/>
        <v>0</v>
      </c>
      <c r="R42" s="76">
        <f>R32</f>
        <v>2588.77</v>
      </c>
      <c r="S42" s="109">
        <f t="shared" ref="S42" si="183">Q42*R42</f>
        <v>0</v>
      </c>
      <c r="T42" s="71">
        <f t="shared" ref="T42" si="184">S42*N42</f>
        <v>0</v>
      </c>
      <c r="U42" s="71"/>
      <c r="V42" s="108"/>
      <c r="W42" s="100">
        <f t="shared" ref="W42" si="185">S42/BG42</f>
        <v>0</v>
      </c>
      <c r="X42" s="222">
        <f t="shared" si="143"/>
        <v>5976</v>
      </c>
      <c r="Y42" s="100">
        <f>X42/X32</f>
        <v>2.5069999999999999E-2</v>
      </c>
      <c r="Z42" s="71">
        <f>Z32*Y42</f>
        <v>7.18</v>
      </c>
      <c r="AA42" s="111">
        <f t="shared" si="144"/>
        <v>1.2014700000000001E-3</v>
      </c>
      <c r="AB42" s="76">
        <f>AB32</f>
        <v>3192.66</v>
      </c>
      <c r="AC42" s="109">
        <f t="shared" ref="AC42" si="186">AA42*AB42</f>
        <v>3.83589</v>
      </c>
      <c r="AD42" s="71">
        <f t="shared" ref="AD42" si="187">AC42*X42</f>
        <v>22923.279999999999</v>
      </c>
      <c r="AE42" s="71"/>
      <c r="AF42" s="108"/>
      <c r="AG42" s="100">
        <f t="shared" ref="AG42" si="188">AC42/BG42</f>
        <v>1.1912700000000001</v>
      </c>
      <c r="AH42" s="222">
        <f t="shared" si="147"/>
        <v>0</v>
      </c>
      <c r="AI42" s="100">
        <f>AH42/AH32</f>
        <v>0</v>
      </c>
      <c r="AJ42" s="71">
        <f>AJ32*AI42</f>
        <v>0</v>
      </c>
      <c r="AK42" s="111">
        <f t="shared" si="148"/>
        <v>0</v>
      </c>
      <c r="AL42" s="76">
        <f>AL32</f>
        <v>0</v>
      </c>
      <c r="AM42" s="109">
        <f t="shared" ref="AM42" si="189">AK42*AL42</f>
        <v>0</v>
      </c>
      <c r="AN42" s="71">
        <f t="shared" ref="AN42" si="190">AM42*AH42</f>
        <v>0</v>
      </c>
      <c r="AO42" s="71"/>
      <c r="AP42" s="108"/>
      <c r="AQ42" s="100">
        <f t="shared" ref="AQ42" si="191">AM42/BG42</f>
        <v>0</v>
      </c>
      <c r="AR42" s="222">
        <f t="shared" si="149"/>
        <v>0</v>
      </c>
      <c r="AS42" s="100">
        <f>AR42/AR32</f>
        <v>0</v>
      </c>
      <c r="AT42" s="71">
        <f>AT32*AS42</f>
        <v>0</v>
      </c>
      <c r="AU42" s="111">
        <f t="shared" si="150"/>
        <v>0</v>
      </c>
      <c r="AV42" s="76">
        <f>AV32</f>
        <v>0</v>
      </c>
      <c r="AW42" s="109">
        <f t="shared" ref="AW42" si="192">AU42*AV42</f>
        <v>0</v>
      </c>
      <c r="AX42" s="71">
        <f t="shared" ref="AX42" si="193">AW42*AR42</f>
        <v>0</v>
      </c>
      <c r="AY42" s="71"/>
      <c r="AZ42" s="108"/>
      <c r="BA42" s="100">
        <f t="shared" ref="BA42" si="194">AW42/BG42</f>
        <v>0</v>
      </c>
      <c r="BB42" s="222">
        <f t="shared" ref="BB42" si="195">D42+N42+X42+AH42+AR42</f>
        <v>8244</v>
      </c>
      <c r="BC42" s="100">
        <f>BB42/BB32</f>
        <v>6.3899999999999998E-3</v>
      </c>
      <c r="BD42" s="71">
        <f>BD32*BC42</f>
        <v>9.0299999999999994</v>
      </c>
      <c r="BE42" s="111">
        <f t="shared" si="154"/>
        <v>1.09534E-3</v>
      </c>
      <c r="BF42" s="76">
        <f>BF32</f>
        <v>2938.12</v>
      </c>
      <c r="BG42" s="109">
        <f t="shared" ref="BG42" si="196">ROUNDUP(BE42*BF42,2)</f>
        <v>3.22</v>
      </c>
      <c r="BH42" s="71">
        <f t="shared" ref="BH42" si="197">BG42*BB42</f>
        <v>26545.68</v>
      </c>
      <c r="BI42" s="71"/>
      <c r="BJ42" s="108"/>
      <c r="BL42" s="309">
        <f t="shared" ref="BL42" si="198">BB42*BG42</f>
        <v>26546</v>
      </c>
    </row>
    <row r="43" spans="1:64" x14ac:dyDescent="0.25">
      <c r="A43" s="5" t="s">
        <v>70</v>
      </c>
      <c r="B43" s="13" t="s">
        <v>71</v>
      </c>
      <c r="C43" s="4" t="s">
        <v>57</v>
      </c>
      <c r="D43" s="19">
        <f>SUM(D45:D53)</f>
        <v>465288</v>
      </c>
      <c r="E43" s="4"/>
      <c r="F43" s="156">
        <v>1323</v>
      </c>
      <c r="G43" s="111">
        <f t="shared" ref="G43" si="199">IF(D43&gt;0,F43/D43,0)</f>
        <v>2.8433999999999998E-3</v>
      </c>
      <c r="H43" s="71">
        <f>IF(K43&gt;0,K43/F43,0)</f>
        <v>61.16</v>
      </c>
      <c r="I43" s="109">
        <f t="shared" si="137"/>
        <v>0.1739</v>
      </c>
      <c r="J43" s="71">
        <f t="shared" si="138"/>
        <v>80913.58</v>
      </c>
      <c r="K43" s="156">
        <v>80914.679999999993</v>
      </c>
      <c r="L43" s="108">
        <f>K43-J43</f>
        <v>1.1000000000000001</v>
      </c>
      <c r="M43" s="100">
        <f t="shared" si="0"/>
        <v>1.45791</v>
      </c>
      <c r="N43" s="19">
        <f>SUM(N45:N53)</f>
        <v>343104</v>
      </c>
      <c r="O43" s="4"/>
      <c r="P43" s="156">
        <v>525</v>
      </c>
      <c r="Q43" s="111">
        <f t="shared" ref="Q43" si="200">IF(N43&gt;0,P43/N43,0)</f>
        <v>1.5301500000000001E-3</v>
      </c>
      <c r="R43" s="71">
        <f>IF(U43&gt;0,U43/P43,0)</f>
        <v>61.16</v>
      </c>
      <c r="S43" s="109">
        <f t="shared" si="141"/>
        <v>9.3579999999999997E-2</v>
      </c>
      <c r="T43" s="71">
        <f t="shared" si="142"/>
        <v>32107.67</v>
      </c>
      <c r="U43" s="156">
        <v>32109</v>
      </c>
      <c r="V43" s="108">
        <f>U43-T43</f>
        <v>1.33</v>
      </c>
      <c r="W43" s="100">
        <f t="shared" si="1"/>
        <v>0.78454000000000002</v>
      </c>
      <c r="X43" s="19">
        <f>SUM(X45:X53)</f>
        <v>238356</v>
      </c>
      <c r="Y43" s="4"/>
      <c r="Z43" s="156">
        <v>496</v>
      </c>
      <c r="AA43" s="111">
        <f t="shared" ref="AA43" si="201">IF(X43&gt;0,Z43/X43,0)</f>
        <v>2.08092E-3</v>
      </c>
      <c r="AB43" s="71">
        <f>IF(AE43&gt;0,AE43/Z43,0)</f>
        <v>61.16</v>
      </c>
      <c r="AC43" s="109">
        <f t="shared" si="145"/>
        <v>0.12726999999999999</v>
      </c>
      <c r="AD43" s="71">
        <f t="shared" si="146"/>
        <v>30335.57</v>
      </c>
      <c r="AE43" s="156">
        <v>30335.360000000001</v>
      </c>
      <c r="AF43" s="108">
        <f>AE43-AD43</f>
        <v>-0.21</v>
      </c>
      <c r="AG43" s="100">
        <f t="shared" si="2"/>
        <v>1.0669900000000001</v>
      </c>
      <c r="AH43" s="19">
        <f>SUM(AH45:AH53)</f>
        <v>147528</v>
      </c>
      <c r="AI43" s="4"/>
      <c r="AJ43" s="156">
        <v>172</v>
      </c>
      <c r="AK43" s="111">
        <f t="shared" ref="AK43" si="202">IF(AH43&gt;0,AJ43/AH43,0)</f>
        <v>1.16588E-3</v>
      </c>
      <c r="AL43" s="71">
        <f>IF(AO43&gt;0,AO43/AJ43,0)</f>
        <v>61.16</v>
      </c>
      <c r="AM43" s="109">
        <f>AK43*AL43</f>
        <v>7.1309999999999998E-2</v>
      </c>
      <c r="AN43" s="71">
        <f>AM43*AH43</f>
        <v>10520.22</v>
      </c>
      <c r="AO43" s="156">
        <v>10519.52</v>
      </c>
      <c r="AP43" s="108">
        <f>AO43-AN43</f>
        <v>-0.7</v>
      </c>
      <c r="AQ43" s="100">
        <f t="shared" si="3"/>
        <v>0.59784000000000004</v>
      </c>
      <c r="AR43" s="19">
        <f>SUM(AR45:AR53)</f>
        <v>95760</v>
      </c>
      <c r="AS43" s="4"/>
      <c r="AT43" s="156">
        <v>0</v>
      </c>
      <c r="AU43" s="111">
        <f t="shared" ref="AU43" si="203">IF(AR43&gt;0,AT43/AR43,0)</f>
        <v>0</v>
      </c>
      <c r="AV43" s="71">
        <f>IF(AY43&gt;0,AY43/AT43,0)</f>
        <v>0</v>
      </c>
      <c r="AW43" s="109">
        <f t="shared" si="151"/>
        <v>0</v>
      </c>
      <c r="AX43" s="71">
        <f t="shared" si="152"/>
        <v>0</v>
      </c>
      <c r="AY43" s="156">
        <v>0</v>
      </c>
      <c r="AZ43" s="108">
        <f>AY43-AX43</f>
        <v>0</v>
      </c>
      <c r="BA43" s="100">
        <f>AW43/BG43</f>
        <v>0</v>
      </c>
      <c r="BB43" s="19">
        <f>SUM(BB45:BB53)</f>
        <v>1290036</v>
      </c>
      <c r="BC43" s="224"/>
      <c r="BD43" s="181">
        <f>F43+P43+Z43+AJ43+AT43</f>
        <v>2516</v>
      </c>
      <c r="BE43" s="111">
        <f t="shared" ref="BE43" si="204">IF(BB43&gt;0,BD43/BB43,0)</f>
        <v>1.9503299999999999E-3</v>
      </c>
      <c r="BF43" s="71">
        <f>IF(BI43&gt;0,BI43/BD43,0)</f>
        <v>61.16</v>
      </c>
      <c r="BG43" s="109">
        <f>BE43*BF43</f>
        <v>0.11928</v>
      </c>
      <c r="BH43" s="71">
        <f>BG43*BB43</f>
        <v>153875.49</v>
      </c>
      <c r="BI43" s="181">
        <f>K43+U43+AE43+AO43+AY43</f>
        <v>153878.56</v>
      </c>
      <c r="BJ43" s="108">
        <f>BI43-BH43</f>
        <v>3.07</v>
      </c>
      <c r="BL43" s="309">
        <f>SUM(BL44:BL50)</f>
        <v>152079</v>
      </c>
    </row>
    <row r="44" spans="1:64" s="104" customFormat="1" x14ac:dyDescent="0.25">
      <c r="A44" s="101"/>
      <c r="B44" s="102" t="s">
        <v>337</v>
      </c>
      <c r="C44" s="102"/>
      <c r="D44" s="223"/>
      <c r="E44" s="102"/>
      <c r="F44" s="108">
        <f>F43-(SUM(F45:F50))</f>
        <v>17.29</v>
      </c>
      <c r="G44" s="112"/>
      <c r="H44" s="108"/>
      <c r="I44" s="110"/>
      <c r="J44" s="108">
        <f>J43-(SUM(J45:J50))</f>
        <v>1056.74</v>
      </c>
      <c r="K44" s="108"/>
      <c r="L44" s="108"/>
      <c r="M44" s="100"/>
      <c r="N44" s="223"/>
      <c r="O44" s="102"/>
      <c r="P44" s="108">
        <f>P43-(SUM(P45:P50))</f>
        <v>16.3</v>
      </c>
      <c r="Q44" s="112"/>
      <c r="R44" s="108"/>
      <c r="S44" s="110"/>
      <c r="T44" s="108">
        <f>T43-(SUM(T45:T50))</f>
        <v>996.44</v>
      </c>
      <c r="U44" s="108"/>
      <c r="V44" s="108"/>
      <c r="W44" s="100"/>
      <c r="X44" s="223"/>
      <c r="Y44" s="102"/>
      <c r="Z44" s="108">
        <f>Z43-(SUM(Z45:Z50))</f>
        <v>12.42</v>
      </c>
      <c r="AA44" s="112"/>
      <c r="AB44" s="108"/>
      <c r="AC44" s="110"/>
      <c r="AD44" s="108">
        <f>AD43-(SUM(AD45:AD50))</f>
        <v>760.16</v>
      </c>
      <c r="AE44" s="108"/>
      <c r="AF44" s="108"/>
      <c r="AG44" s="100"/>
      <c r="AH44" s="223"/>
      <c r="AI44" s="102"/>
      <c r="AJ44" s="108">
        <f>AJ43-(SUM(AJ45:AJ50))</f>
        <v>0</v>
      </c>
      <c r="AK44" s="112"/>
      <c r="AL44" s="108"/>
      <c r="AM44" s="110"/>
      <c r="AN44" s="108">
        <f>AN43-(SUM(AN45:AN50))</f>
        <v>0</v>
      </c>
      <c r="AO44" s="108"/>
      <c r="AP44" s="108"/>
      <c r="AQ44" s="100"/>
      <c r="AR44" s="223"/>
      <c r="AS44" s="102"/>
      <c r="AT44" s="108">
        <f>AT43-(SUM(AT45:AT50))</f>
        <v>0</v>
      </c>
      <c r="AU44" s="112"/>
      <c r="AV44" s="108"/>
      <c r="AW44" s="110"/>
      <c r="AX44" s="108">
        <f>AX43-(SUM(AX45:AX50))</f>
        <v>0</v>
      </c>
      <c r="AY44" s="108"/>
      <c r="AZ44" s="108"/>
      <c r="BA44" s="102"/>
      <c r="BB44" s="103"/>
      <c r="BC44" s="102"/>
      <c r="BD44" s="108">
        <f>BD43-(SUM(BD45:BD50))</f>
        <v>44.29</v>
      </c>
      <c r="BE44" s="112"/>
      <c r="BF44" s="108"/>
      <c r="BG44" s="110"/>
      <c r="BH44" s="108">
        <f>BH43-(SUM(BH45:BH50))</f>
        <v>1796.13</v>
      </c>
      <c r="BI44" s="108"/>
      <c r="BJ44" s="108"/>
    </row>
    <row r="45" spans="1:64" x14ac:dyDescent="0.25">
      <c r="A45" s="5"/>
      <c r="B45" s="12" t="s">
        <v>52</v>
      </c>
      <c r="C45" s="4" t="s">
        <v>57</v>
      </c>
      <c r="D45" s="222">
        <f t="shared" ref="D45:D53" si="205">D12</f>
        <v>12384</v>
      </c>
      <c r="E45" s="100">
        <f>D45/D43</f>
        <v>2.6620000000000001E-2</v>
      </c>
      <c r="F45" s="71">
        <f>F43*E45</f>
        <v>35.22</v>
      </c>
      <c r="G45" s="111">
        <f t="shared" ref="G45:G53" si="206">IF(D45&gt;0,F45/D45,0)</f>
        <v>2.8439899999999998E-3</v>
      </c>
      <c r="H45" s="76">
        <f>H43</f>
        <v>61.16</v>
      </c>
      <c r="I45" s="109">
        <f t="shared" ref="I45:I54" si="207">G45*H45</f>
        <v>0.17394000000000001</v>
      </c>
      <c r="J45" s="71">
        <f t="shared" ref="J45:J54" si="208">I45*D45</f>
        <v>2154.0700000000002</v>
      </c>
      <c r="K45" s="71"/>
      <c r="L45" s="108"/>
      <c r="M45" s="100">
        <f t="shared" ref="M45:M54" si="209">I45/BG45</f>
        <v>1.4495</v>
      </c>
      <c r="N45" s="222">
        <f t="shared" ref="N45:N53" si="210">N12</f>
        <v>0</v>
      </c>
      <c r="O45" s="100">
        <f>N45/N43</f>
        <v>0</v>
      </c>
      <c r="P45" s="71">
        <f>P43*O45</f>
        <v>0</v>
      </c>
      <c r="Q45" s="111">
        <f t="shared" ref="Q45:Q53" si="211">IF(N45&gt;0,P45/N45,0)</f>
        <v>0</v>
      </c>
      <c r="R45" s="76">
        <f>R43</f>
        <v>61.16</v>
      </c>
      <c r="S45" s="109">
        <f t="shared" ref="S45:S54" si="212">Q45*R45</f>
        <v>0</v>
      </c>
      <c r="T45" s="71">
        <f t="shared" ref="T45:T54" si="213">S45*N45</f>
        <v>0</v>
      </c>
      <c r="U45" s="71"/>
      <c r="V45" s="108"/>
      <c r="W45" s="100">
        <f t="shared" si="1"/>
        <v>0</v>
      </c>
      <c r="X45" s="222">
        <f t="shared" ref="X45:X53" si="214">X12</f>
        <v>113328</v>
      </c>
      <c r="Y45" s="100">
        <f>X45/X43</f>
        <v>0.47545999999999999</v>
      </c>
      <c r="Z45" s="71">
        <f>Z43*Y45</f>
        <v>235.83</v>
      </c>
      <c r="AA45" s="111">
        <f t="shared" ref="AA45:AA53" si="215">IF(X45&gt;0,Z45/X45,0)</f>
        <v>2.0809499999999998E-3</v>
      </c>
      <c r="AB45" s="76">
        <f>AB43</f>
        <v>61.16</v>
      </c>
      <c r="AC45" s="109">
        <f t="shared" ref="AC45:AC54" si="216">AA45*AB45</f>
        <v>0.12726999999999999</v>
      </c>
      <c r="AD45" s="71">
        <f t="shared" ref="AD45:AD54" si="217">AC45*X45</f>
        <v>14423.25</v>
      </c>
      <c r="AE45" s="71"/>
      <c r="AF45" s="108"/>
      <c r="AG45" s="100">
        <f t="shared" si="2"/>
        <v>1.0605800000000001</v>
      </c>
      <c r="AH45" s="222">
        <f t="shared" ref="AH45:AH53" si="218">AH12</f>
        <v>0</v>
      </c>
      <c r="AI45" s="100">
        <f>AH45/AH43</f>
        <v>0</v>
      </c>
      <c r="AJ45" s="71">
        <f>AJ43*AI45</f>
        <v>0</v>
      </c>
      <c r="AK45" s="111">
        <f t="shared" ref="AK45:AK53" si="219">IF(AH45&gt;0,AJ45/AH45,0)</f>
        <v>0</v>
      </c>
      <c r="AL45" s="76">
        <f>AL43</f>
        <v>61.16</v>
      </c>
      <c r="AM45" s="109">
        <f>AK45*AL45</f>
        <v>0</v>
      </c>
      <c r="AN45" s="71">
        <f>AM45*AH45</f>
        <v>0</v>
      </c>
      <c r="AO45" s="71"/>
      <c r="AP45" s="108"/>
      <c r="AQ45" s="100">
        <f t="shared" si="3"/>
        <v>0</v>
      </c>
      <c r="AR45" s="222">
        <f t="shared" ref="AR45:AR53" si="220">AR12</f>
        <v>0</v>
      </c>
      <c r="AS45" s="100">
        <f>AR45/AR43</f>
        <v>0</v>
      </c>
      <c r="AT45" s="71">
        <f>AT43*AS45</f>
        <v>0</v>
      </c>
      <c r="AU45" s="111">
        <f t="shared" ref="AU45:AU53" si="221">IF(AR45&gt;0,AT45/AR45,0)</f>
        <v>0</v>
      </c>
      <c r="AV45" s="76">
        <f>AV43</f>
        <v>0</v>
      </c>
      <c r="AW45" s="109">
        <f t="shared" ref="AW45:AW54" si="222">AU45*AV45</f>
        <v>0</v>
      </c>
      <c r="AX45" s="71">
        <f t="shared" ref="AX45:AX54" si="223">AW45*AR45</f>
        <v>0</v>
      </c>
      <c r="AY45" s="71"/>
      <c r="AZ45" s="108"/>
      <c r="BA45" s="100">
        <f t="shared" ref="BA45:BA50" si="224">AW45/BG45</f>
        <v>0</v>
      </c>
      <c r="BB45" s="222">
        <f>D45+N45+X45+AH45+AR45</f>
        <v>125712</v>
      </c>
      <c r="BC45" s="100">
        <f>BB45/BB43</f>
        <v>9.7449999999999995E-2</v>
      </c>
      <c r="BD45" s="71">
        <f>BD43*BC45</f>
        <v>245.18</v>
      </c>
      <c r="BE45" s="111">
        <f t="shared" ref="BE45:BE53" si="225">IF(BB45&gt;0,BD45/BB45,0)</f>
        <v>1.9503299999999999E-3</v>
      </c>
      <c r="BF45" s="76">
        <f>BF43</f>
        <v>61.16</v>
      </c>
      <c r="BG45" s="109">
        <f>ROUNDUP(BE45*BF45,2)</f>
        <v>0.12</v>
      </c>
      <c r="BH45" s="71">
        <f>BG45*BB45</f>
        <v>15085.44</v>
      </c>
      <c r="BI45" s="71"/>
      <c r="BJ45" s="108"/>
      <c r="BL45" s="309">
        <f>BB45*BG45</f>
        <v>15085</v>
      </c>
    </row>
    <row r="46" spans="1:64" x14ac:dyDescent="0.25">
      <c r="A46" s="5"/>
      <c r="B46" s="12" t="s">
        <v>53</v>
      </c>
      <c r="C46" s="4" t="s">
        <v>57</v>
      </c>
      <c r="D46" s="222">
        <f t="shared" si="205"/>
        <v>19872</v>
      </c>
      <c r="E46" s="100">
        <f>D46/D43</f>
        <v>4.2709999999999998E-2</v>
      </c>
      <c r="F46" s="71">
        <f>F43*E46</f>
        <v>56.51</v>
      </c>
      <c r="G46" s="111">
        <f t="shared" si="206"/>
        <v>2.8436999999999998E-3</v>
      </c>
      <c r="H46" s="76">
        <f>H43</f>
        <v>61.16</v>
      </c>
      <c r="I46" s="109">
        <f t="shared" si="207"/>
        <v>0.17391999999999999</v>
      </c>
      <c r="J46" s="71">
        <f t="shared" si="208"/>
        <v>3456.14</v>
      </c>
      <c r="K46" s="71"/>
      <c r="L46" s="108"/>
      <c r="M46" s="100">
        <f t="shared" si="209"/>
        <v>1.44933</v>
      </c>
      <c r="N46" s="222">
        <f t="shared" si="210"/>
        <v>0</v>
      </c>
      <c r="O46" s="100">
        <f>N46/N43</f>
        <v>0</v>
      </c>
      <c r="P46" s="71">
        <f>P43*O46</f>
        <v>0</v>
      </c>
      <c r="Q46" s="111">
        <f t="shared" si="211"/>
        <v>0</v>
      </c>
      <c r="R46" s="76">
        <f>R43</f>
        <v>61.16</v>
      </c>
      <c r="S46" s="109">
        <f t="shared" si="212"/>
        <v>0</v>
      </c>
      <c r="T46" s="71">
        <f t="shared" si="213"/>
        <v>0</v>
      </c>
      <c r="U46" s="71"/>
      <c r="V46" s="108"/>
      <c r="W46" s="100">
        <f t="shared" si="1"/>
        <v>0</v>
      </c>
      <c r="X46" s="222">
        <f t="shared" si="214"/>
        <v>16776</v>
      </c>
      <c r="Y46" s="100">
        <f>X46/X43</f>
        <v>7.0379999999999998E-2</v>
      </c>
      <c r="Z46" s="71">
        <f>Z43*Y46</f>
        <v>34.909999999999997</v>
      </c>
      <c r="AA46" s="111">
        <f t="shared" si="215"/>
        <v>2.0809499999999998E-3</v>
      </c>
      <c r="AB46" s="76">
        <f>AB43</f>
        <v>61.16</v>
      </c>
      <c r="AC46" s="109">
        <f t="shared" si="216"/>
        <v>0.12726999999999999</v>
      </c>
      <c r="AD46" s="71">
        <f t="shared" si="217"/>
        <v>2135.08</v>
      </c>
      <c r="AE46" s="71"/>
      <c r="AF46" s="108"/>
      <c r="AG46" s="100">
        <f t="shared" si="2"/>
        <v>1.0605800000000001</v>
      </c>
      <c r="AH46" s="222">
        <f t="shared" si="218"/>
        <v>147528</v>
      </c>
      <c r="AI46" s="100">
        <f>AH46/AH43</f>
        <v>1</v>
      </c>
      <c r="AJ46" s="71">
        <f>AJ43*AI46</f>
        <v>172</v>
      </c>
      <c r="AK46" s="111">
        <f t="shared" si="219"/>
        <v>1.16588E-3</v>
      </c>
      <c r="AL46" s="76">
        <f>AL43</f>
        <v>61.16</v>
      </c>
      <c r="AM46" s="109">
        <f t="shared" ref="AM46:AM50" si="226">AK46*AL46</f>
        <v>7.1309999999999998E-2</v>
      </c>
      <c r="AN46" s="71">
        <f t="shared" ref="AN46:AN50" si="227">AM46*AH46</f>
        <v>10520.22</v>
      </c>
      <c r="AO46" s="71"/>
      <c r="AP46" s="108"/>
      <c r="AQ46" s="100">
        <f t="shared" si="3"/>
        <v>0.59424999999999994</v>
      </c>
      <c r="AR46" s="222">
        <f t="shared" si="220"/>
        <v>0</v>
      </c>
      <c r="AS46" s="100">
        <f>AR46/AR43</f>
        <v>0</v>
      </c>
      <c r="AT46" s="71">
        <f>AT43*AS46</f>
        <v>0</v>
      </c>
      <c r="AU46" s="111">
        <f t="shared" si="221"/>
        <v>0</v>
      </c>
      <c r="AV46" s="76">
        <f>AV43</f>
        <v>0</v>
      </c>
      <c r="AW46" s="109">
        <f t="shared" si="222"/>
        <v>0</v>
      </c>
      <c r="AX46" s="71">
        <f t="shared" si="223"/>
        <v>0</v>
      </c>
      <c r="AY46" s="71"/>
      <c r="AZ46" s="108"/>
      <c r="BA46" s="100">
        <f t="shared" si="224"/>
        <v>0</v>
      </c>
      <c r="BB46" s="222">
        <f t="shared" ref="BB46:BB50" si="228">D46+N46+X46+AH46+AR46</f>
        <v>184176</v>
      </c>
      <c r="BC46" s="100">
        <f>BB46/BB43</f>
        <v>0.14277000000000001</v>
      </c>
      <c r="BD46" s="71">
        <f>BD43*BC46</f>
        <v>359.21</v>
      </c>
      <c r="BE46" s="111">
        <f t="shared" si="225"/>
        <v>1.9503599999999999E-3</v>
      </c>
      <c r="BF46" s="76">
        <f>BF43</f>
        <v>61.16</v>
      </c>
      <c r="BG46" s="109">
        <f t="shared" ref="BG46:BG50" si="229">ROUNDUP(BE46*BF46,2)</f>
        <v>0.12</v>
      </c>
      <c r="BH46" s="71">
        <f t="shared" ref="BH46:BH50" si="230">BG46*BB46</f>
        <v>22101.119999999999</v>
      </c>
      <c r="BI46" s="71"/>
      <c r="BJ46" s="108"/>
      <c r="BL46" s="309">
        <f t="shared" ref="BL46:BL50" si="231">BB46*BG46</f>
        <v>22101</v>
      </c>
    </row>
    <row r="47" spans="1:64" x14ac:dyDescent="0.25">
      <c r="A47" s="5"/>
      <c r="B47" s="12" t="s">
        <v>51</v>
      </c>
      <c r="C47" s="4" t="s">
        <v>57</v>
      </c>
      <c r="D47" s="222">
        <f t="shared" si="205"/>
        <v>35352</v>
      </c>
      <c r="E47" s="100">
        <f>D47/D43</f>
        <v>7.5980000000000006E-2</v>
      </c>
      <c r="F47" s="71">
        <f>F43*E47</f>
        <v>100.52</v>
      </c>
      <c r="G47" s="111">
        <f t="shared" si="206"/>
        <v>2.8433999999999998E-3</v>
      </c>
      <c r="H47" s="76">
        <f>H43</f>
        <v>61.16</v>
      </c>
      <c r="I47" s="109">
        <f t="shared" si="207"/>
        <v>0.1739</v>
      </c>
      <c r="J47" s="71">
        <f t="shared" si="208"/>
        <v>6147.71</v>
      </c>
      <c r="K47" s="71"/>
      <c r="L47" s="108"/>
      <c r="M47" s="100">
        <f t="shared" si="209"/>
        <v>1.4491700000000001</v>
      </c>
      <c r="N47" s="222">
        <f t="shared" si="210"/>
        <v>73608</v>
      </c>
      <c r="O47" s="100">
        <f>N47/N43</f>
        <v>0.21454000000000001</v>
      </c>
      <c r="P47" s="71">
        <f>P43*O47</f>
        <v>112.63</v>
      </c>
      <c r="Q47" s="111">
        <f t="shared" si="211"/>
        <v>1.53013E-3</v>
      </c>
      <c r="R47" s="76">
        <f>R43</f>
        <v>61.16</v>
      </c>
      <c r="S47" s="109">
        <f t="shared" si="212"/>
        <v>9.3579999999999997E-2</v>
      </c>
      <c r="T47" s="71">
        <f t="shared" si="213"/>
        <v>6888.24</v>
      </c>
      <c r="U47" s="71"/>
      <c r="V47" s="108"/>
      <c r="W47" s="100">
        <f t="shared" si="1"/>
        <v>0.77983000000000002</v>
      </c>
      <c r="X47" s="222">
        <f t="shared" si="214"/>
        <v>18360</v>
      </c>
      <c r="Y47" s="100">
        <f>X47/X43</f>
        <v>7.7030000000000001E-2</v>
      </c>
      <c r="Z47" s="71">
        <f>Z43*Y47</f>
        <v>38.21</v>
      </c>
      <c r="AA47" s="111">
        <f t="shared" si="215"/>
        <v>2.0811499999999999E-3</v>
      </c>
      <c r="AB47" s="76">
        <f>AB43</f>
        <v>61.16</v>
      </c>
      <c r="AC47" s="109">
        <f t="shared" si="216"/>
        <v>0.12728</v>
      </c>
      <c r="AD47" s="71">
        <f t="shared" si="217"/>
        <v>2336.86</v>
      </c>
      <c r="AE47" s="71"/>
      <c r="AF47" s="108"/>
      <c r="AG47" s="100">
        <f t="shared" si="2"/>
        <v>1.06067</v>
      </c>
      <c r="AH47" s="222">
        <f t="shared" si="218"/>
        <v>0</v>
      </c>
      <c r="AI47" s="100">
        <f>AH47/AH43</f>
        <v>0</v>
      </c>
      <c r="AJ47" s="71">
        <f>AJ43*AI47</f>
        <v>0</v>
      </c>
      <c r="AK47" s="111">
        <f t="shared" si="219"/>
        <v>0</v>
      </c>
      <c r="AL47" s="76">
        <f>AL43</f>
        <v>61.16</v>
      </c>
      <c r="AM47" s="109">
        <f t="shared" si="226"/>
        <v>0</v>
      </c>
      <c r="AN47" s="71">
        <f t="shared" si="227"/>
        <v>0</v>
      </c>
      <c r="AO47" s="71"/>
      <c r="AP47" s="108"/>
      <c r="AQ47" s="100">
        <f t="shared" si="3"/>
        <v>0</v>
      </c>
      <c r="AR47" s="222">
        <f t="shared" si="220"/>
        <v>0</v>
      </c>
      <c r="AS47" s="100">
        <f>AR47/AR43</f>
        <v>0</v>
      </c>
      <c r="AT47" s="71">
        <f>AT43*AS47</f>
        <v>0</v>
      </c>
      <c r="AU47" s="111">
        <f t="shared" si="221"/>
        <v>0</v>
      </c>
      <c r="AV47" s="76">
        <f>AV43</f>
        <v>0</v>
      </c>
      <c r="AW47" s="109">
        <f t="shared" si="222"/>
        <v>0</v>
      </c>
      <c r="AX47" s="71">
        <f t="shared" si="223"/>
        <v>0</v>
      </c>
      <c r="AY47" s="71"/>
      <c r="AZ47" s="108"/>
      <c r="BA47" s="100">
        <f t="shared" si="224"/>
        <v>0</v>
      </c>
      <c r="BB47" s="222">
        <f t="shared" si="228"/>
        <v>127320</v>
      </c>
      <c r="BC47" s="100">
        <f>BB47/BB43</f>
        <v>9.869E-2</v>
      </c>
      <c r="BD47" s="71">
        <f>BD43*BC47</f>
        <v>248.3</v>
      </c>
      <c r="BE47" s="111">
        <f t="shared" si="225"/>
        <v>1.9502E-3</v>
      </c>
      <c r="BF47" s="76">
        <f>BF43</f>
        <v>61.16</v>
      </c>
      <c r="BG47" s="109">
        <f t="shared" si="229"/>
        <v>0.12</v>
      </c>
      <c r="BH47" s="71">
        <f t="shared" si="230"/>
        <v>15278.4</v>
      </c>
      <c r="BI47" s="71"/>
      <c r="BJ47" s="108"/>
      <c r="BL47" s="309">
        <f t="shared" si="231"/>
        <v>15278</v>
      </c>
    </row>
    <row r="48" spans="1:64" x14ac:dyDescent="0.25">
      <c r="A48" s="5"/>
      <c r="B48" s="12" t="s">
        <v>54</v>
      </c>
      <c r="C48" s="4" t="s">
        <v>57</v>
      </c>
      <c r="D48" s="222">
        <f t="shared" si="205"/>
        <v>272292</v>
      </c>
      <c r="E48" s="100">
        <f>D48/D43</f>
        <v>0.58521000000000001</v>
      </c>
      <c r="F48" s="71">
        <f>F43*E48</f>
        <v>774.23</v>
      </c>
      <c r="G48" s="111">
        <f t="shared" si="206"/>
        <v>2.84338E-3</v>
      </c>
      <c r="H48" s="76">
        <f>H43</f>
        <v>61.16</v>
      </c>
      <c r="I48" s="109">
        <f t="shared" si="207"/>
        <v>0.1739</v>
      </c>
      <c r="J48" s="71">
        <f t="shared" si="208"/>
        <v>47351.58</v>
      </c>
      <c r="K48" s="71"/>
      <c r="L48" s="108"/>
      <c r="M48" s="100">
        <f t="shared" si="209"/>
        <v>1.4491700000000001</v>
      </c>
      <c r="N48" s="222">
        <f t="shared" si="210"/>
        <v>128520</v>
      </c>
      <c r="O48" s="100">
        <f>N48/N43</f>
        <v>0.37458000000000002</v>
      </c>
      <c r="P48" s="71">
        <f>P43*O48</f>
        <v>196.65</v>
      </c>
      <c r="Q48" s="111">
        <f t="shared" si="211"/>
        <v>1.5301100000000001E-3</v>
      </c>
      <c r="R48" s="76">
        <f>R43</f>
        <v>61.16</v>
      </c>
      <c r="S48" s="109">
        <f t="shared" si="212"/>
        <v>9.3579999999999997E-2</v>
      </c>
      <c r="T48" s="71">
        <f t="shared" si="213"/>
        <v>12026.9</v>
      </c>
      <c r="U48" s="71"/>
      <c r="V48" s="108"/>
      <c r="W48" s="100">
        <f t="shared" si="1"/>
        <v>0.77983000000000002</v>
      </c>
      <c r="X48" s="222">
        <f t="shared" si="214"/>
        <v>61020</v>
      </c>
      <c r="Y48" s="100">
        <f>X48/X43</f>
        <v>0.25600000000000001</v>
      </c>
      <c r="Z48" s="71">
        <f>Z43*Y48</f>
        <v>126.98</v>
      </c>
      <c r="AA48" s="111">
        <f t="shared" si="215"/>
        <v>2.0809600000000002E-3</v>
      </c>
      <c r="AB48" s="76">
        <f>AB43</f>
        <v>61.16</v>
      </c>
      <c r="AC48" s="109">
        <f t="shared" si="216"/>
        <v>0.12726999999999999</v>
      </c>
      <c r="AD48" s="71">
        <f t="shared" si="217"/>
        <v>7766.02</v>
      </c>
      <c r="AE48" s="71"/>
      <c r="AF48" s="108"/>
      <c r="AG48" s="100">
        <f t="shared" si="2"/>
        <v>1.0605800000000001</v>
      </c>
      <c r="AH48" s="222">
        <f t="shared" si="218"/>
        <v>0</v>
      </c>
      <c r="AI48" s="100">
        <f>AH48/AH43</f>
        <v>0</v>
      </c>
      <c r="AJ48" s="71">
        <f>AJ43*AI48</f>
        <v>0</v>
      </c>
      <c r="AK48" s="111">
        <f t="shared" si="219"/>
        <v>0</v>
      </c>
      <c r="AL48" s="76">
        <f>AL43</f>
        <v>61.16</v>
      </c>
      <c r="AM48" s="109">
        <f t="shared" si="226"/>
        <v>0</v>
      </c>
      <c r="AN48" s="71">
        <f t="shared" si="227"/>
        <v>0</v>
      </c>
      <c r="AO48" s="71"/>
      <c r="AP48" s="108"/>
      <c r="AQ48" s="100">
        <f t="shared" si="3"/>
        <v>0</v>
      </c>
      <c r="AR48" s="222">
        <f t="shared" si="220"/>
        <v>0</v>
      </c>
      <c r="AS48" s="100">
        <f>AR48/AR43</f>
        <v>0</v>
      </c>
      <c r="AT48" s="71">
        <f>AT43*AS48</f>
        <v>0</v>
      </c>
      <c r="AU48" s="111">
        <f t="shared" si="221"/>
        <v>0</v>
      </c>
      <c r="AV48" s="76">
        <f>AV43</f>
        <v>0</v>
      </c>
      <c r="AW48" s="109">
        <f t="shared" si="222"/>
        <v>0</v>
      </c>
      <c r="AX48" s="71">
        <f t="shared" si="223"/>
        <v>0</v>
      </c>
      <c r="AY48" s="71"/>
      <c r="AZ48" s="108"/>
      <c r="BA48" s="100">
        <f t="shared" si="224"/>
        <v>0</v>
      </c>
      <c r="BB48" s="222">
        <f t="shared" si="228"/>
        <v>461832</v>
      </c>
      <c r="BC48" s="100">
        <f>BB48/BB43</f>
        <v>0.35799999999999998</v>
      </c>
      <c r="BD48" s="71">
        <f>BD43*BC48</f>
        <v>900.73</v>
      </c>
      <c r="BE48" s="111">
        <f t="shared" si="225"/>
        <v>1.9503400000000001E-3</v>
      </c>
      <c r="BF48" s="76">
        <f>BF43</f>
        <v>61.16</v>
      </c>
      <c r="BG48" s="109">
        <f t="shared" si="229"/>
        <v>0.12</v>
      </c>
      <c r="BH48" s="71">
        <f t="shared" si="230"/>
        <v>55419.839999999997</v>
      </c>
      <c r="BI48" s="71"/>
      <c r="BJ48" s="108"/>
      <c r="BL48" s="309">
        <f t="shared" si="231"/>
        <v>55420</v>
      </c>
    </row>
    <row r="49" spans="1:64" x14ac:dyDescent="0.25">
      <c r="A49" s="5"/>
      <c r="B49" s="12" t="s">
        <v>55</v>
      </c>
      <c r="C49" s="4" t="s">
        <v>57</v>
      </c>
      <c r="D49" s="222">
        <f t="shared" si="205"/>
        <v>18504</v>
      </c>
      <c r="E49" s="100">
        <f>D49/D43</f>
        <v>3.977E-2</v>
      </c>
      <c r="F49" s="71">
        <f>F43*E49</f>
        <v>52.62</v>
      </c>
      <c r="G49" s="111">
        <f t="shared" si="206"/>
        <v>2.8437100000000002E-3</v>
      </c>
      <c r="H49" s="76">
        <f>H43</f>
        <v>61.16</v>
      </c>
      <c r="I49" s="109">
        <f t="shared" si="207"/>
        <v>0.17391999999999999</v>
      </c>
      <c r="J49" s="71">
        <f t="shared" si="208"/>
        <v>3218.22</v>
      </c>
      <c r="K49" s="71"/>
      <c r="L49" s="108"/>
      <c r="M49" s="100">
        <f t="shared" si="209"/>
        <v>1.44933</v>
      </c>
      <c r="N49" s="222">
        <f t="shared" si="210"/>
        <v>12816</v>
      </c>
      <c r="O49" s="100">
        <f>N49/N43</f>
        <v>3.7350000000000001E-2</v>
      </c>
      <c r="P49" s="71">
        <f>P43*O49</f>
        <v>19.61</v>
      </c>
      <c r="Q49" s="111">
        <f t="shared" si="211"/>
        <v>1.53012E-3</v>
      </c>
      <c r="R49" s="76">
        <f>R43</f>
        <v>61.16</v>
      </c>
      <c r="S49" s="109">
        <f t="shared" si="212"/>
        <v>9.3579999999999997E-2</v>
      </c>
      <c r="T49" s="71">
        <f t="shared" si="213"/>
        <v>1199.32</v>
      </c>
      <c r="U49" s="71"/>
      <c r="V49" s="108"/>
      <c r="W49" s="100">
        <f t="shared" si="1"/>
        <v>0.77983000000000002</v>
      </c>
      <c r="X49" s="222">
        <f t="shared" si="214"/>
        <v>0</v>
      </c>
      <c r="Y49" s="100">
        <f>X49/X43</f>
        <v>0</v>
      </c>
      <c r="Z49" s="71">
        <f>Z43*Y49</f>
        <v>0</v>
      </c>
      <c r="AA49" s="111">
        <f t="shared" si="215"/>
        <v>0</v>
      </c>
      <c r="AB49" s="76">
        <f>AB43</f>
        <v>61.16</v>
      </c>
      <c r="AC49" s="109">
        <f t="shared" si="216"/>
        <v>0</v>
      </c>
      <c r="AD49" s="71">
        <f t="shared" si="217"/>
        <v>0</v>
      </c>
      <c r="AE49" s="71"/>
      <c r="AF49" s="108"/>
      <c r="AG49" s="100">
        <f t="shared" si="2"/>
        <v>0</v>
      </c>
      <c r="AH49" s="222">
        <f t="shared" si="218"/>
        <v>0</v>
      </c>
      <c r="AI49" s="100">
        <f>AH49/AH43</f>
        <v>0</v>
      </c>
      <c r="AJ49" s="71">
        <f>AJ43*AI49</f>
        <v>0</v>
      </c>
      <c r="AK49" s="111">
        <f t="shared" si="219"/>
        <v>0</v>
      </c>
      <c r="AL49" s="76">
        <f>AL43</f>
        <v>61.16</v>
      </c>
      <c r="AM49" s="109">
        <f t="shared" si="226"/>
        <v>0</v>
      </c>
      <c r="AN49" s="71">
        <f t="shared" si="227"/>
        <v>0</v>
      </c>
      <c r="AO49" s="71"/>
      <c r="AP49" s="108"/>
      <c r="AQ49" s="100">
        <f t="shared" si="3"/>
        <v>0</v>
      </c>
      <c r="AR49" s="222">
        <f t="shared" si="220"/>
        <v>95760</v>
      </c>
      <c r="AS49" s="100">
        <f>AR49/AR43</f>
        <v>1</v>
      </c>
      <c r="AT49" s="71">
        <f>AT43*AS49</f>
        <v>0</v>
      </c>
      <c r="AU49" s="111">
        <f t="shared" si="221"/>
        <v>0</v>
      </c>
      <c r="AV49" s="76">
        <f>AV43</f>
        <v>0</v>
      </c>
      <c r="AW49" s="109">
        <f t="shared" si="222"/>
        <v>0</v>
      </c>
      <c r="AX49" s="71">
        <f t="shared" si="223"/>
        <v>0</v>
      </c>
      <c r="AY49" s="71"/>
      <c r="AZ49" s="108"/>
      <c r="BA49" s="100">
        <f t="shared" si="224"/>
        <v>0</v>
      </c>
      <c r="BB49" s="222">
        <f t="shared" si="228"/>
        <v>127080</v>
      </c>
      <c r="BC49" s="100">
        <f>BB49/BB43</f>
        <v>9.851E-2</v>
      </c>
      <c r="BD49" s="71">
        <f>BD43*BC49</f>
        <v>247.85</v>
      </c>
      <c r="BE49" s="111">
        <f t="shared" si="225"/>
        <v>1.95035E-3</v>
      </c>
      <c r="BF49" s="76">
        <f>BF43</f>
        <v>61.16</v>
      </c>
      <c r="BG49" s="109">
        <f t="shared" si="229"/>
        <v>0.12</v>
      </c>
      <c r="BH49" s="71">
        <f t="shared" si="230"/>
        <v>15249.6</v>
      </c>
      <c r="BI49" s="71"/>
      <c r="BJ49" s="108"/>
      <c r="BL49" s="309">
        <f t="shared" si="231"/>
        <v>15250</v>
      </c>
    </row>
    <row r="50" spans="1:64" x14ac:dyDescent="0.25">
      <c r="A50" s="5"/>
      <c r="B50" s="12" t="s">
        <v>56</v>
      </c>
      <c r="C50" s="4" t="s">
        <v>57</v>
      </c>
      <c r="D50" s="222">
        <f t="shared" si="205"/>
        <v>100800</v>
      </c>
      <c r="E50" s="100">
        <f>D50/D43</f>
        <v>0.21664</v>
      </c>
      <c r="F50" s="71">
        <f>F43*E50</f>
        <v>286.61</v>
      </c>
      <c r="G50" s="111">
        <f t="shared" si="206"/>
        <v>2.8433500000000001E-3</v>
      </c>
      <c r="H50" s="76">
        <f>H43</f>
        <v>61.16</v>
      </c>
      <c r="I50" s="109">
        <f t="shared" si="207"/>
        <v>0.1739</v>
      </c>
      <c r="J50" s="71">
        <f t="shared" si="208"/>
        <v>17529.12</v>
      </c>
      <c r="K50" s="71"/>
      <c r="L50" s="108"/>
      <c r="M50" s="100">
        <f t="shared" si="209"/>
        <v>1.4491700000000001</v>
      </c>
      <c r="N50" s="222">
        <f t="shared" si="210"/>
        <v>117512</v>
      </c>
      <c r="O50" s="100">
        <f>N50/N43</f>
        <v>0.34250000000000003</v>
      </c>
      <c r="P50" s="71">
        <f>P43*O50</f>
        <v>179.81</v>
      </c>
      <c r="Q50" s="111">
        <f t="shared" si="211"/>
        <v>1.5301399999999999E-3</v>
      </c>
      <c r="R50" s="76">
        <f>R43</f>
        <v>61.16</v>
      </c>
      <c r="S50" s="109">
        <f t="shared" si="212"/>
        <v>9.3579999999999997E-2</v>
      </c>
      <c r="T50" s="71">
        <f t="shared" si="213"/>
        <v>10996.77</v>
      </c>
      <c r="U50" s="71"/>
      <c r="V50" s="108"/>
      <c r="W50" s="100">
        <f t="shared" si="1"/>
        <v>0.77983000000000002</v>
      </c>
      <c r="X50" s="222">
        <f t="shared" si="214"/>
        <v>22896</v>
      </c>
      <c r="Y50" s="100">
        <f>X50/X43</f>
        <v>9.6060000000000006E-2</v>
      </c>
      <c r="Z50" s="71">
        <f>Z43*Y50</f>
        <v>47.65</v>
      </c>
      <c r="AA50" s="111">
        <f t="shared" si="215"/>
        <v>2.0811499999999999E-3</v>
      </c>
      <c r="AB50" s="76">
        <f>AB43</f>
        <v>61.16</v>
      </c>
      <c r="AC50" s="109">
        <f t="shared" si="216"/>
        <v>0.12728</v>
      </c>
      <c r="AD50" s="71">
        <f t="shared" si="217"/>
        <v>2914.2</v>
      </c>
      <c r="AE50" s="71"/>
      <c r="AF50" s="108"/>
      <c r="AG50" s="100">
        <f t="shared" si="2"/>
        <v>1.06067</v>
      </c>
      <c r="AH50" s="222">
        <f t="shared" si="218"/>
        <v>0</v>
      </c>
      <c r="AI50" s="100">
        <f>AH50/AH43</f>
        <v>0</v>
      </c>
      <c r="AJ50" s="71">
        <f>AJ43*AI50</f>
        <v>0</v>
      </c>
      <c r="AK50" s="111">
        <f t="shared" si="219"/>
        <v>0</v>
      </c>
      <c r="AL50" s="76">
        <f>AL43</f>
        <v>61.16</v>
      </c>
      <c r="AM50" s="109">
        <f t="shared" si="226"/>
        <v>0</v>
      </c>
      <c r="AN50" s="71">
        <f t="shared" si="227"/>
        <v>0</v>
      </c>
      <c r="AO50" s="71"/>
      <c r="AP50" s="108"/>
      <c r="AQ50" s="100">
        <f t="shared" si="3"/>
        <v>0</v>
      </c>
      <c r="AR50" s="222">
        <f t="shared" si="220"/>
        <v>0</v>
      </c>
      <c r="AS50" s="100">
        <f>AR50/AR43</f>
        <v>0</v>
      </c>
      <c r="AT50" s="71">
        <f>AT43*AS50</f>
        <v>0</v>
      </c>
      <c r="AU50" s="111">
        <f t="shared" si="221"/>
        <v>0</v>
      </c>
      <c r="AV50" s="76">
        <f>AV43</f>
        <v>0</v>
      </c>
      <c r="AW50" s="109">
        <f t="shared" si="222"/>
        <v>0</v>
      </c>
      <c r="AX50" s="71">
        <f t="shared" si="223"/>
        <v>0</v>
      </c>
      <c r="AY50" s="71"/>
      <c r="AZ50" s="108"/>
      <c r="BA50" s="100">
        <f t="shared" si="224"/>
        <v>0</v>
      </c>
      <c r="BB50" s="222">
        <f t="shared" si="228"/>
        <v>241208</v>
      </c>
      <c r="BC50" s="100">
        <f>BB50/BB43</f>
        <v>0.18698000000000001</v>
      </c>
      <c r="BD50" s="71">
        <f>BD43*BC50</f>
        <v>470.44</v>
      </c>
      <c r="BE50" s="111">
        <f t="shared" si="225"/>
        <v>1.95035E-3</v>
      </c>
      <c r="BF50" s="76">
        <f>BF43</f>
        <v>61.16</v>
      </c>
      <c r="BG50" s="109">
        <f t="shared" si="229"/>
        <v>0.12</v>
      </c>
      <c r="BH50" s="71">
        <f t="shared" si="230"/>
        <v>28944.959999999999</v>
      </c>
      <c r="BI50" s="71"/>
      <c r="BJ50" s="108"/>
      <c r="BL50" s="309">
        <f t="shared" si="231"/>
        <v>28945</v>
      </c>
    </row>
    <row r="51" spans="1:64" x14ac:dyDescent="0.25">
      <c r="A51" s="5"/>
      <c r="B51" s="412" t="s">
        <v>441</v>
      </c>
      <c r="C51" s="4" t="s">
        <v>57</v>
      </c>
      <c r="D51" s="222">
        <f t="shared" si="205"/>
        <v>0</v>
      </c>
      <c r="E51" s="410">
        <f>D51/D43</f>
        <v>0</v>
      </c>
      <c r="F51" s="76">
        <f>F43*E51</f>
        <v>0</v>
      </c>
      <c r="G51" s="411">
        <f t="shared" si="206"/>
        <v>0</v>
      </c>
      <c r="H51" s="76">
        <f>H43</f>
        <v>61.16</v>
      </c>
      <c r="I51" s="109">
        <f t="shared" ref="I51:I52" si="232">G51*H51</f>
        <v>0</v>
      </c>
      <c r="J51" s="71">
        <f t="shared" ref="J51:J52" si="233">I51*D51</f>
        <v>0</v>
      </c>
      <c r="K51" s="71"/>
      <c r="L51" s="108"/>
      <c r="M51" s="100">
        <f t="shared" ref="M51:M52" si="234">I51/BG51</f>
        <v>0</v>
      </c>
      <c r="N51" s="222">
        <f t="shared" si="210"/>
        <v>10648</v>
      </c>
      <c r="O51" s="410">
        <f>N51/N43</f>
        <v>3.1029999999999999E-2</v>
      </c>
      <c r="P51" s="76">
        <f>P43*O51</f>
        <v>16.29</v>
      </c>
      <c r="Q51" s="411">
        <f t="shared" si="211"/>
        <v>1.5298600000000001E-3</v>
      </c>
      <c r="R51" s="76">
        <f>R43</f>
        <v>61.16</v>
      </c>
      <c r="S51" s="109">
        <f t="shared" ref="S51:S52" si="235">Q51*R51</f>
        <v>9.357E-2</v>
      </c>
      <c r="T51" s="71">
        <f t="shared" ref="T51:T52" si="236">S51*N51</f>
        <v>996.33</v>
      </c>
      <c r="U51" s="71"/>
      <c r="V51" s="108"/>
      <c r="W51" s="100">
        <f t="shared" ref="W51:W52" si="237">S51/BG51</f>
        <v>0.77975000000000005</v>
      </c>
      <c r="X51" s="222">
        <f t="shared" si="214"/>
        <v>0</v>
      </c>
      <c r="Y51" s="410">
        <f>X51/X43</f>
        <v>0</v>
      </c>
      <c r="Z51" s="76">
        <f>Z43*Y51</f>
        <v>0</v>
      </c>
      <c r="AA51" s="411">
        <f t="shared" si="215"/>
        <v>0</v>
      </c>
      <c r="AB51" s="76">
        <f>AB43</f>
        <v>61.16</v>
      </c>
      <c r="AC51" s="109">
        <f t="shared" ref="AC51:AC52" si="238">AA51*AB51</f>
        <v>0</v>
      </c>
      <c r="AD51" s="71">
        <f t="shared" ref="AD51:AD52" si="239">AC51*X51</f>
        <v>0</v>
      </c>
      <c r="AE51" s="71"/>
      <c r="AF51" s="108"/>
      <c r="AG51" s="100">
        <f t="shared" ref="AG51:AG52" si="240">AC51/BG51</f>
        <v>0</v>
      </c>
      <c r="AH51" s="222">
        <f t="shared" si="218"/>
        <v>0</v>
      </c>
      <c r="AI51" s="410">
        <f>AH51/AH43</f>
        <v>0</v>
      </c>
      <c r="AJ51" s="76">
        <f>AJ43*AI51</f>
        <v>0</v>
      </c>
      <c r="AK51" s="411">
        <f t="shared" si="219"/>
        <v>0</v>
      </c>
      <c r="AL51" s="76">
        <f>AL43</f>
        <v>61.16</v>
      </c>
      <c r="AM51" s="109">
        <f t="shared" ref="AM51:AM52" si="241">AK51*AL51</f>
        <v>0</v>
      </c>
      <c r="AN51" s="71">
        <f t="shared" ref="AN51:AN52" si="242">AM51*AH51</f>
        <v>0</v>
      </c>
      <c r="AO51" s="71"/>
      <c r="AP51" s="108"/>
      <c r="AQ51" s="100">
        <f t="shared" ref="AQ51:AQ52" si="243">AM51/BG51</f>
        <v>0</v>
      </c>
      <c r="AR51" s="222">
        <f t="shared" si="220"/>
        <v>0</v>
      </c>
      <c r="AS51" s="410">
        <f>AR51/AR43</f>
        <v>0</v>
      </c>
      <c r="AT51" s="76">
        <f>AT43*AS51</f>
        <v>0</v>
      </c>
      <c r="AU51" s="411">
        <f t="shared" si="221"/>
        <v>0</v>
      </c>
      <c r="AV51" s="76">
        <f>AV43</f>
        <v>0</v>
      </c>
      <c r="AW51" s="109">
        <f t="shared" ref="AW51:AW52" si="244">AU51*AV51</f>
        <v>0</v>
      </c>
      <c r="AX51" s="71">
        <f t="shared" ref="AX51:AX52" si="245">AW51*AR51</f>
        <v>0</v>
      </c>
      <c r="AY51" s="71"/>
      <c r="AZ51" s="108"/>
      <c r="BA51" s="100">
        <f t="shared" ref="BA51:BA52" si="246">AW51/BG51</f>
        <v>0</v>
      </c>
      <c r="BB51" s="222">
        <f t="shared" ref="BB51:BB52" si="247">D51+N51+X51+AH51+AR51</f>
        <v>10648</v>
      </c>
      <c r="BC51" s="410">
        <f>BB51/BB43</f>
        <v>8.2500000000000004E-3</v>
      </c>
      <c r="BD51" s="76">
        <f>BD43*BC51</f>
        <v>20.76</v>
      </c>
      <c r="BE51" s="411">
        <f t="shared" si="225"/>
        <v>1.94966E-3</v>
      </c>
      <c r="BF51" s="76">
        <f>BF43</f>
        <v>61.16</v>
      </c>
      <c r="BG51" s="109">
        <f t="shared" ref="BG51:BG52" si="248">ROUNDUP(BE51*BF51,2)</f>
        <v>0.12</v>
      </c>
      <c r="BH51" s="71">
        <f t="shared" ref="BH51:BH52" si="249">BG51*BB51</f>
        <v>1277.76</v>
      </c>
      <c r="BI51" s="71"/>
      <c r="BJ51" s="108"/>
      <c r="BL51" s="309">
        <f t="shared" ref="BL51:BL52" si="250">BB51*BG51</f>
        <v>1278</v>
      </c>
    </row>
    <row r="52" spans="1:64" x14ac:dyDescent="0.25">
      <c r="A52" s="5"/>
      <c r="B52" s="412" t="s">
        <v>827</v>
      </c>
      <c r="C52" s="4" t="s">
        <v>57</v>
      </c>
      <c r="D52" s="222">
        <f t="shared" si="205"/>
        <v>3816</v>
      </c>
      <c r="E52" s="410">
        <f>D52/D43</f>
        <v>8.2000000000000007E-3</v>
      </c>
      <c r="F52" s="76">
        <f>F43*E52</f>
        <v>10.85</v>
      </c>
      <c r="G52" s="411">
        <f t="shared" si="206"/>
        <v>2.8432900000000001E-3</v>
      </c>
      <c r="H52" s="76">
        <f>H43</f>
        <v>61.16</v>
      </c>
      <c r="I52" s="109">
        <f t="shared" si="232"/>
        <v>0.1739</v>
      </c>
      <c r="J52" s="71">
        <f t="shared" si="233"/>
        <v>663.6</v>
      </c>
      <c r="K52" s="71"/>
      <c r="L52" s="108"/>
      <c r="M52" s="100">
        <f t="shared" si="234"/>
        <v>1.4491700000000001</v>
      </c>
      <c r="N52" s="222">
        <f t="shared" si="210"/>
        <v>0</v>
      </c>
      <c r="O52" s="410">
        <f>N52/N43</f>
        <v>0</v>
      </c>
      <c r="P52" s="76">
        <f>P43*O52</f>
        <v>0</v>
      </c>
      <c r="Q52" s="411">
        <f t="shared" si="211"/>
        <v>0</v>
      </c>
      <c r="R52" s="76">
        <f>R43</f>
        <v>61.16</v>
      </c>
      <c r="S52" s="109">
        <f t="shared" si="235"/>
        <v>0</v>
      </c>
      <c r="T52" s="71">
        <f t="shared" si="236"/>
        <v>0</v>
      </c>
      <c r="U52" s="71"/>
      <c r="V52" s="108"/>
      <c r="W52" s="100">
        <f t="shared" si="237"/>
        <v>0</v>
      </c>
      <c r="X52" s="222">
        <f t="shared" si="214"/>
        <v>0</v>
      </c>
      <c r="Y52" s="410">
        <f>X52/X43</f>
        <v>0</v>
      </c>
      <c r="Z52" s="76">
        <f>Z43*Y52</f>
        <v>0</v>
      </c>
      <c r="AA52" s="411">
        <f t="shared" si="215"/>
        <v>0</v>
      </c>
      <c r="AB52" s="76">
        <f>AB43</f>
        <v>61.16</v>
      </c>
      <c r="AC52" s="109">
        <f t="shared" si="238"/>
        <v>0</v>
      </c>
      <c r="AD52" s="71">
        <f t="shared" si="239"/>
        <v>0</v>
      </c>
      <c r="AE52" s="71"/>
      <c r="AF52" s="108"/>
      <c r="AG52" s="100">
        <f t="shared" si="240"/>
        <v>0</v>
      </c>
      <c r="AH52" s="222">
        <f t="shared" si="218"/>
        <v>0</v>
      </c>
      <c r="AI52" s="410">
        <f>AH52/AH43</f>
        <v>0</v>
      </c>
      <c r="AJ52" s="76">
        <f>AJ43*AI52</f>
        <v>0</v>
      </c>
      <c r="AK52" s="411">
        <f t="shared" si="219"/>
        <v>0</v>
      </c>
      <c r="AL52" s="76">
        <f>AL43</f>
        <v>61.16</v>
      </c>
      <c r="AM52" s="109">
        <f t="shared" si="241"/>
        <v>0</v>
      </c>
      <c r="AN52" s="71">
        <f t="shared" si="242"/>
        <v>0</v>
      </c>
      <c r="AO52" s="71"/>
      <c r="AP52" s="108"/>
      <c r="AQ52" s="100">
        <f t="shared" si="243"/>
        <v>0</v>
      </c>
      <c r="AR52" s="222">
        <f t="shared" si="220"/>
        <v>0</v>
      </c>
      <c r="AS52" s="410">
        <f>AR52/AR43</f>
        <v>0</v>
      </c>
      <c r="AT52" s="76">
        <f>AT43*AS52</f>
        <v>0</v>
      </c>
      <c r="AU52" s="411">
        <f t="shared" si="221"/>
        <v>0</v>
      </c>
      <c r="AV52" s="76">
        <f>AV43</f>
        <v>0</v>
      </c>
      <c r="AW52" s="109">
        <f t="shared" si="244"/>
        <v>0</v>
      </c>
      <c r="AX52" s="71">
        <f t="shared" si="245"/>
        <v>0</v>
      </c>
      <c r="AY52" s="71"/>
      <c r="AZ52" s="108"/>
      <c r="BA52" s="100">
        <f t="shared" si="246"/>
        <v>0</v>
      </c>
      <c r="BB52" s="222">
        <f t="shared" si="247"/>
        <v>3816</v>
      </c>
      <c r="BC52" s="410">
        <f>BB52/BB43</f>
        <v>2.96E-3</v>
      </c>
      <c r="BD52" s="76">
        <f>BD43*BC52</f>
        <v>7.45</v>
      </c>
      <c r="BE52" s="411">
        <f t="shared" si="225"/>
        <v>1.9523100000000001E-3</v>
      </c>
      <c r="BF52" s="76">
        <f>BF43</f>
        <v>61.16</v>
      </c>
      <c r="BG52" s="109">
        <f t="shared" si="248"/>
        <v>0.12</v>
      </c>
      <c r="BH52" s="71">
        <f t="shared" si="249"/>
        <v>457.92</v>
      </c>
      <c r="BI52" s="71"/>
      <c r="BJ52" s="108"/>
      <c r="BL52" s="309">
        <f t="shared" si="250"/>
        <v>458</v>
      </c>
    </row>
    <row r="53" spans="1:64" x14ac:dyDescent="0.25">
      <c r="A53" s="5"/>
      <c r="B53" s="412" t="s">
        <v>828</v>
      </c>
      <c r="C53" s="4" t="s">
        <v>57</v>
      </c>
      <c r="D53" s="222">
        <f t="shared" si="205"/>
        <v>2268</v>
      </c>
      <c r="E53" s="100">
        <f>D53/D43</f>
        <v>4.8700000000000002E-3</v>
      </c>
      <c r="F53" s="71">
        <f>F43*E53</f>
        <v>6.44</v>
      </c>
      <c r="G53" s="111">
        <f t="shared" si="206"/>
        <v>2.83951E-3</v>
      </c>
      <c r="H53" s="76">
        <f>H43</f>
        <v>61.16</v>
      </c>
      <c r="I53" s="109">
        <f t="shared" ref="I53" si="251">G53*H53</f>
        <v>0.17366000000000001</v>
      </c>
      <c r="J53" s="71">
        <f t="shared" ref="J53" si="252">I53*D53</f>
        <v>393.86</v>
      </c>
      <c r="K53" s="71"/>
      <c r="L53" s="108"/>
      <c r="M53" s="100">
        <f t="shared" ref="M53" si="253">I53/BG53</f>
        <v>1.4471700000000001</v>
      </c>
      <c r="N53" s="222">
        <f t="shared" si="210"/>
        <v>0</v>
      </c>
      <c r="O53" s="100">
        <f>N53/N43</f>
        <v>0</v>
      </c>
      <c r="P53" s="71">
        <f>P43*O53</f>
        <v>0</v>
      </c>
      <c r="Q53" s="111">
        <f t="shared" si="211"/>
        <v>0</v>
      </c>
      <c r="R53" s="76">
        <f>R43</f>
        <v>61.16</v>
      </c>
      <c r="S53" s="109">
        <f t="shared" ref="S53" si="254">Q53*R53</f>
        <v>0</v>
      </c>
      <c r="T53" s="71">
        <f t="shared" ref="T53" si="255">S53*N53</f>
        <v>0</v>
      </c>
      <c r="U53" s="71"/>
      <c r="V53" s="108"/>
      <c r="W53" s="100">
        <f t="shared" ref="W53" si="256">S53/BG53</f>
        <v>0</v>
      </c>
      <c r="X53" s="222">
        <f t="shared" si="214"/>
        <v>5976</v>
      </c>
      <c r="Y53" s="100">
        <f>X53/X43</f>
        <v>2.5069999999999999E-2</v>
      </c>
      <c r="Z53" s="71">
        <f>Z43*Y53</f>
        <v>12.43</v>
      </c>
      <c r="AA53" s="111">
        <f t="shared" si="215"/>
        <v>2.0799899999999999E-3</v>
      </c>
      <c r="AB53" s="76">
        <f>AB43</f>
        <v>61.16</v>
      </c>
      <c r="AC53" s="109">
        <f t="shared" ref="AC53" si="257">AA53*AB53</f>
        <v>0.12720999999999999</v>
      </c>
      <c r="AD53" s="71">
        <f t="shared" ref="AD53" si="258">AC53*X53</f>
        <v>760.21</v>
      </c>
      <c r="AE53" s="71"/>
      <c r="AF53" s="108"/>
      <c r="AG53" s="100">
        <f t="shared" ref="AG53" si="259">AC53/BG53</f>
        <v>1.0600799999999999</v>
      </c>
      <c r="AH53" s="222">
        <f t="shared" si="218"/>
        <v>0</v>
      </c>
      <c r="AI53" s="100">
        <f>AH53/AH43</f>
        <v>0</v>
      </c>
      <c r="AJ53" s="71">
        <f>AJ43*AI53</f>
        <v>0</v>
      </c>
      <c r="AK53" s="111">
        <f t="shared" si="219"/>
        <v>0</v>
      </c>
      <c r="AL53" s="76">
        <f>AL43</f>
        <v>61.16</v>
      </c>
      <c r="AM53" s="109">
        <f t="shared" ref="AM53" si="260">AK53*AL53</f>
        <v>0</v>
      </c>
      <c r="AN53" s="71">
        <f t="shared" ref="AN53" si="261">AM53*AH53</f>
        <v>0</v>
      </c>
      <c r="AO53" s="71"/>
      <c r="AP53" s="108"/>
      <c r="AQ53" s="100">
        <f t="shared" ref="AQ53" si="262">AM53/BG53</f>
        <v>0</v>
      </c>
      <c r="AR53" s="222">
        <f t="shared" si="220"/>
        <v>0</v>
      </c>
      <c r="AS53" s="100">
        <f>AR53/AR43</f>
        <v>0</v>
      </c>
      <c r="AT53" s="71">
        <f>AT43*AS53</f>
        <v>0</v>
      </c>
      <c r="AU53" s="111">
        <f t="shared" si="221"/>
        <v>0</v>
      </c>
      <c r="AV53" s="76">
        <f>AV43</f>
        <v>0</v>
      </c>
      <c r="AW53" s="109">
        <f t="shared" ref="AW53" si="263">AU53*AV53</f>
        <v>0</v>
      </c>
      <c r="AX53" s="71">
        <f t="shared" ref="AX53" si="264">AW53*AR53</f>
        <v>0</v>
      </c>
      <c r="AY53" s="71"/>
      <c r="AZ53" s="108"/>
      <c r="BA53" s="100">
        <f t="shared" ref="BA53" si="265">AW53/BG53</f>
        <v>0</v>
      </c>
      <c r="BB53" s="222">
        <f t="shared" ref="BB53" si="266">D53+N53+X53+AH53+AR53</f>
        <v>8244</v>
      </c>
      <c r="BC53" s="100">
        <f>BB53/BB43</f>
        <v>6.3899999999999998E-3</v>
      </c>
      <c r="BD53" s="71">
        <f>BD43*BC53</f>
        <v>16.079999999999998</v>
      </c>
      <c r="BE53" s="111">
        <f t="shared" si="225"/>
        <v>1.9505099999999999E-3</v>
      </c>
      <c r="BF53" s="76">
        <f>BF43</f>
        <v>61.16</v>
      </c>
      <c r="BG53" s="109">
        <f t="shared" ref="BG53" si="267">ROUNDUP(BE53*BF53,2)</f>
        <v>0.12</v>
      </c>
      <c r="BH53" s="71">
        <f t="shared" ref="BH53" si="268">BG53*BB53</f>
        <v>989.28</v>
      </c>
      <c r="BI53" s="71"/>
      <c r="BJ53" s="108"/>
      <c r="BL53" s="309">
        <f t="shared" ref="BL53" si="269">BB53*BG53</f>
        <v>989</v>
      </c>
    </row>
    <row r="54" spans="1:64" x14ac:dyDescent="0.25">
      <c r="A54" s="5" t="s">
        <v>72</v>
      </c>
      <c r="B54" s="13" t="s">
        <v>73</v>
      </c>
      <c r="C54" s="4" t="s">
        <v>57</v>
      </c>
      <c r="D54" s="19">
        <f>SUM(D56:D64)</f>
        <v>465288</v>
      </c>
      <c r="E54" s="4"/>
      <c r="F54" s="156">
        <v>1323</v>
      </c>
      <c r="G54" s="111">
        <f t="shared" ref="G54" si="270">IF(D54&gt;0,F54/D54,0)</f>
        <v>2.8433999999999998E-3</v>
      </c>
      <c r="H54" s="71">
        <f>IF(K54&gt;0,K54/F54,0)</f>
        <v>30.25</v>
      </c>
      <c r="I54" s="109">
        <f t="shared" si="207"/>
        <v>8.6010000000000003E-2</v>
      </c>
      <c r="J54" s="71">
        <f t="shared" si="208"/>
        <v>40019.42</v>
      </c>
      <c r="K54" s="156">
        <f>120937.31-K43</f>
        <v>40022.629999999997</v>
      </c>
      <c r="L54" s="108">
        <f>K54-J54</f>
        <v>3.21</v>
      </c>
      <c r="M54" s="100">
        <f t="shared" si="209"/>
        <v>1.30318</v>
      </c>
      <c r="N54" s="19">
        <f>SUM(N56:N64)</f>
        <v>343104</v>
      </c>
      <c r="O54" s="4"/>
      <c r="P54" s="156">
        <v>525</v>
      </c>
      <c r="Q54" s="111">
        <f t="shared" ref="Q54" si="271">IF(N54&gt;0,P54/N54,0)</f>
        <v>1.5301500000000001E-3</v>
      </c>
      <c r="R54" s="71">
        <f>IF(U54&gt;0,U54/P54,0)</f>
        <v>37.81</v>
      </c>
      <c r="S54" s="109">
        <f t="shared" si="212"/>
        <v>5.7849999999999999E-2</v>
      </c>
      <c r="T54" s="71">
        <f t="shared" si="213"/>
        <v>19848.57</v>
      </c>
      <c r="U54" s="156">
        <f>51959.25-U43</f>
        <v>19850.25</v>
      </c>
      <c r="V54" s="108">
        <f>U54-T54</f>
        <v>1.68</v>
      </c>
      <c r="W54" s="100">
        <f t="shared" si="1"/>
        <v>0.87651999999999997</v>
      </c>
      <c r="X54" s="19">
        <f>SUM(X56:X64)</f>
        <v>238356</v>
      </c>
      <c r="Y54" s="4"/>
      <c r="Z54" s="156">
        <v>496</v>
      </c>
      <c r="AA54" s="111">
        <f t="shared" ref="AA54" si="272">IF(X54&gt;0,Z54/X54,0)</f>
        <v>2.08092E-3</v>
      </c>
      <c r="AB54" s="71">
        <f>IF(AE54&gt;0,AE54/Z54,0)</f>
        <v>37.81</v>
      </c>
      <c r="AC54" s="109">
        <f t="shared" si="216"/>
        <v>7.868E-2</v>
      </c>
      <c r="AD54" s="71">
        <f t="shared" si="217"/>
        <v>18753.849999999999</v>
      </c>
      <c r="AE54" s="156">
        <f>49089.12-AE43</f>
        <v>18753.759999999998</v>
      </c>
      <c r="AF54" s="108">
        <f>AE54-AD54</f>
        <v>-0.09</v>
      </c>
      <c r="AG54" s="100">
        <f t="shared" si="2"/>
        <v>1.1921200000000001</v>
      </c>
      <c r="AH54" s="19">
        <f>SUM(AH56:AH64)</f>
        <v>147528</v>
      </c>
      <c r="AI54" s="4"/>
      <c r="AJ54" s="156">
        <v>172</v>
      </c>
      <c r="AK54" s="111">
        <f t="shared" ref="AK54" si="273">IF(AH54&gt;0,AJ54/AH54,0)</f>
        <v>1.16588E-3</v>
      </c>
      <c r="AL54" s="71">
        <f>IF(AO54&gt;0,AO54/AJ54,0)</f>
        <v>37.81</v>
      </c>
      <c r="AM54" s="109">
        <f>AK54*AL54</f>
        <v>4.4080000000000001E-2</v>
      </c>
      <c r="AN54" s="71">
        <f>AM54*AH54</f>
        <v>6503.03</v>
      </c>
      <c r="AO54" s="156">
        <f>17022.84-AO43</f>
        <v>6503.32</v>
      </c>
      <c r="AP54" s="108">
        <f>AO54-AN54</f>
        <v>0.28999999999999998</v>
      </c>
      <c r="AQ54" s="100">
        <f t="shared" si="3"/>
        <v>0.66788000000000003</v>
      </c>
      <c r="AR54" s="19">
        <f>SUM(AR56:AR64)</f>
        <v>95760</v>
      </c>
      <c r="AS54" s="4"/>
      <c r="AT54" s="156">
        <v>0</v>
      </c>
      <c r="AU54" s="111">
        <f t="shared" ref="AU54" si="274">IF(AR54&gt;0,AT54/AR54,0)</f>
        <v>0</v>
      </c>
      <c r="AV54" s="71">
        <f>IF(AY54&gt;0,AY54/AT54,0)</f>
        <v>0</v>
      </c>
      <c r="AW54" s="109">
        <f t="shared" si="222"/>
        <v>0</v>
      </c>
      <c r="AX54" s="71">
        <f t="shared" si="223"/>
        <v>0</v>
      </c>
      <c r="AY54" s="156">
        <v>0</v>
      </c>
      <c r="AZ54" s="108">
        <f>AY54-AX54</f>
        <v>0</v>
      </c>
      <c r="BA54" s="100">
        <f>AW54/BG54</f>
        <v>0</v>
      </c>
      <c r="BB54" s="19">
        <f>SUM(BB56:BB64)</f>
        <v>1290036</v>
      </c>
      <c r="BC54" s="224"/>
      <c r="BD54" s="181">
        <f>F54+P54+Z54+AJ54+AT54</f>
        <v>2516</v>
      </c>
      <c r="BE54" s="111">
        <f t="shared" ref="BE54" si="275">IF(BB54&gt;0,BD54/BB54,0)</f>
        <v>1.9503299999999999E-3</v>
      </c>
      <c r="BF54" s="71">
        <f>IF(BI54&gt;0,BI54/BD54,0)</f>
        <v>33.840000000000003</v>
      </c>
      <c r="BG54" s="109">
        <f>BE54*BF54</f>
        <v>6.6000000000000003E-2</v>
      </c>
      <c r="BH54" s="71">
        <f>BG54*BB54</f>
        <v>85142.38</v>
      </c>
      <c r="BI54" s="181">
        <f>K54+U54+AE54+AO54+AY54</f>
        <v>85129.96</v>
      </c>
      <c r="BJ54" s="108">
        <f>BI54-BH54</f>
        <v>-12.42</v>
      </c>
      <c r="BL54" s="309">
        <f>SUM(BL55:BL61)</f>
        <v>88713</v>
      </c>
    </row>
    <row r="55" spans="1:64" s="104" customFormat="1" x14ac:dyDescent="0.25">
      <c r="A55" s="101"/>
      <c r="B55" s="102" t="s">
        <v>337</v>
      </c>
      <c r="C55" s="102"/>
      <c r="D55" s="223"/>
      <c r="E55" s="102"/>
      <c r="F55" s="108">
        <f>F54-(SUM(F56:F61))</f>
        <v>17.29</v>
      </c>
      <c r="G55" s="112"/>
      <c r="H55" s="108"/>
      <c r="I55" s="110"/>
      <c r="J55" s="108">
        <f>J54-(SUM(J56:J61))</f>
        <v>522.65</v>
      </c>
      <c r="K55" s="108"/>
      <c r="L55" s="108"/>
      <c r="M55" s="102"/>
      <c r="N55" s="223"/>
      <c r="O55" s="102"/>
      <c r="P55" s="108">
        <f>P54-(SUM(P56:P61))</f>
        <v>16.3</v>
      </c>
      <c r="Q55" s="112"/>
      <c r="R55" s="108"/>
      <c r="S55" s="110"/>
      <c r="T55" s="108">
        <f>T54-(SUM(T56:T61))</f>
        <v>615.99</v>
      </c>
      <c r="U55" s="108"/>
      <c r="V55" s="108"/>
      <c r="W55" s="100"/>
      <c r="X55" s="223"/>
      <c r="Y55" s="102"/>
      <c r="Z55" s="108">
        <f>Z54-(SUM(Z56:Z61))</f>
        <v>12.42</v>
      </c>
      <c r="AA55" s="112"/>
      <c r="AB55" s="108"/>
      <c r="AC55" s="110"/>
      <c r="AD55" s="108">
        <f>AD54-(SUM(AD56:AD61))</f>
        <v>469.77</v>
      </c>
      <c r="AE55" s="108"/>
      <c r="AF55" s="108"/>
      <c r="AG55" s="100"/>
      <c r="AH55" s="223"/>
      <c r="AI55" s="102"/>
      <c r="AJ55" s="108">
        <f>AJ54-(SUM(AJ56:AJ61))</f>
        <v>0</v>
      </c>
      <c r="AK55" s="112"/>
      <c r="AL55" s="108"/>
      <c r="AM55" s="110"/>
      <c r="AN55" s="108">
        <f>AN54-(SUM(AN56:AN61))</f>
        <v>0</v>
      </c>
      <c r="AO55" s="108"/>
      <c r="AP55" s="108"/>
      <c r="AQ55" s="100"/>
      <c r="AR55" s="223"/>
      <c r="AS55" s="102"/>
      <c r="AT55" s="108">
        <f>AT54-(SUM(AT56:AT61))</f>
        <v>0</v>
      </c>
      <c r="AU55" s="112"/>
      <c r="AV55" s="108"/>
      <c r="AW55" s="110"/>
      <c r="AX55" s="108">
        <f>AX54-(SUM(AX56:AX61))</f>
        <v>0</v>
      </c>
      <c r="AY55" s="108"/>
      <c r="AZ55" s="108"/>
      <c r="BA55" s="102"/>
      <c r="BB55" s="103"/>
      <c r="BC55" s="102"/>
      <c r="BD55" s="108">
        <f>BD54-(SUM(BD56:BD61))</f>
        <v>44.29</v>
      </c>
      <c r="BE55" s="112"/>
      <c r="BF55" s="108"/>
      <c r="BG55" s="110"/>
      <c r="BH55" s="108">
        <f>BH54-(SUM(BH56:BH61))</f>
        <v>-3570.58</v>
      </c>
      <c r="BI55" s="108"/>
      <c r="BJ55" s="108"/>
    </row>
    <row r="56" spans="1:64" x14ac:dyDescent="0.25">
      <c r="A56" s="5"/>
      <c r="B56" s="12" t="s">
        <v>52</v>
      </c>
      <c r="C56" s="4" t="s">
        <v>57</v>
      </c>
      <c r="D56" s="222">
        <f t="shared" ref="D56:D64" si="276">D12</f>
        <v>12384</v>
      </c>
      <c r="E56" s="100">
        <f>D56/D54</f>
        <v>2.6620000000000001E-2</v>
      </c>
      <c r="F56" s="71">
        <f>F54*E56</f>
        <v>35.22</v>
      </c>
      <c r="G56" s="111">
        <f t="shared" ref="G56:G64" si="277">IF(D56&gt;0,F56/D56,0)</f>
        <v>2.8439899999999998E-3</v>
      </c>
      <c r="H56" s="76">
        <f>H54</f>
        <v>30.25</v>
      </c>
      <c r="I56" s="109">
        <f t="shared" ref="I56:I61" si="278">G56*H56</f>
        <v>8.6029999999999995E-2</v>
      </c>
      <c r="J56" s="71">
        <f t="shared" ref="J56:J65" si="279">I56*D56</f>
        <v>1065.4000000000001</v>
      </c>
      <c r="K56" s="71"/>
      <c r="L56" s="108"/>
      <c r="M56" s="100">
        <f t="shared" ref="M56:M65" si="280">I56/BG56</f>
        <v>1.2290000000000001</v>
      </c>
      <c r="N56" s="222">
        <f t="shared" ref="N56:N64" si="281">N12</f>
        <v>0</v>
      </c>
      <c r="O56" s="100">
        <f>N56/N54</f>
        <v>0</v>
      </c>
      <c r="P56" s="71">
        <f>P54*O56</f>
        <v>0</v>
      </c>
      <c r="Q56" s="111">
        <f t="shared" ref="Q56:Q64" si="282">IF(N56&gt;0,P56/N56,0)</f>
        <v>0</v>
      </c>
      <c r="R56" s="76">
        <f>R54</f>
        <v>37.81</v>
      </c>
      <c r="S56" s="109">
        <f t="shared" ref="S56:S61" si="283">Q56*R56</f>
        <v>0</v>
      </c>
      <c r="T56" s="71">
        <f t="shared" ref="T56:T65" si="284">S56*N56</f>
        <v>0</v>
      </c>
      <c r="U56" s="71"/>
      <c r="V56" s="108"/>
      <c r="W56" s="100">
        <f t="shared" si="1"/>
        <v>0</v>
      </c>
      <c r="X56" s="222">
        <f t="shared" ref="X56:X64" si="285">X12</f>
        <v>113328</v>
      </c>
      <c r="Y56" s="100">
        <f>X56/X54</f>
        <v>0.47545999999999999</v>
      </c>
      <c r="Z56" s="71">
        <f>Z54*Y56</f>
        <v>235.83</v>
      </c>
      <c r="AA56" s="111">
        <f t="shared" ref="AA56:AA64" si="286">IF(X56&gt;0,Z56/X56,0)</f>
        <v>2.0809499999999998E-3</v>
      </c>
      <c r="AB56" s="76">
        <f>AB54</f>
        <v>37.81</v>
      </c>
      <c r="AC56" s="109">
        <f t="shared" ref="AC56:AC61" si="287">AA56*AB56</f>
        <v>7.868E-2</v>
      </c>
      <c r="AD56" s="71">
        <f t="shared" ref="AD56:AD65" si="288">AC56*X56</f>
        <v>8916.65</v>
      </c>
      <c r="AE56" s="71"/>
      <c r="AF56" s="108"/>
      <c r="AG56" s="100">
        <f t="shared" si="2"/>
        <v>1.1240000000000001</v>
      </c>
      <c r="AH56" s="222">
        <f t="shared" ref="AH56:AH64" si="289">AH12</f>
        <v>0</v>
      </c>
      <c r="AI56" s="100">
        <f>AH56/AH54</f>
        <v>0</v>
      </c>
      <c r="AJ56" s="71">
        <f>AJ54*AI56</f>
        <v>0</v>
      </c>
      <c r="AK56" s="111">
        <f t="shared" ref="AK56:AK64" si="290">IF(AH56&gt;0,AJ56/AH56,0)</f>
        <v>0</v>
      </c>
      <c r="AL56" s="76">
        <f>AL54</f>
        <v>37.81</v>
      </c>
      <c r="AM56" s="109">
        <f>AK56*AL56</f>
        <v>0</v>
      </c>
      <c r="AN56" s="71">
        <f>AM56*AH56</f>
        <v>0</v>
      </c>
      <c r="AO56" s="71"/>
      <c r="AP56" s="108"/>
      <c r="AQ56" s="100">
        <f t="shared" si="3"/>
        <v>0</v>
      </c>
      <c r="AR56" s="222">
        <f t="shared" ref="AR56:AR64" si="291">AR12</f>
        <v>0</v>
      </c>
      <c r="AS56" s="100">
        <f>AR56/AR54</f>
        <v>0</v>
      </c>
      <c r="AT56" s="71">
        <f>AT54*AS56</f>
        <v>0</v>
      </c>
      <c r="AU56" s="111">
        <f t="shared" ref="AU56:AU64" si="292">IF(AR56&gt;0,AT56/AR56,0)</f>
        <v>0</v>
      </c>
      <c r="AV56" s="76">
        <f>AV54</f>
        <v>0</v>
      </c>
      <c r="AW56" s="109">
        <f t="shared" ref="AW56:AW61" si="293">AU56*AV56</f>
        <v>0</v>
      </c>
      <c r="AX56" s="71">
        <f t="shared" ref="AX56:AX65" si="294">AW56*AR56</f>
        <v>0</v>
      </c>
      <c r="AY56" s="71"/>
      <c r="AZ56" s="108"/>
      <c r="BA56" s="100">
        <f t="shared" ref="BA56:BA61" si="295">AW56/BG56</f>
        <v>0</v>
      </c>
      <c r="BB56" s="222">
        <f>D56+N56+X56+AH56+AR56</f>
        <v>125712</v>
      </c>
      <c r="BC56" s="100">
        <f>BB56/BB54</f>
        <v>9.7449999999999995E-2</v>
      </c>
      <c r="BD56" s="71">
        <f>BD54*BC56</f>
        <v>245.18</v>
      </c>
      <c r="BE56" s="111">
        <f t="shared" ref="BE56:BE64" si="296">IF(BB56&gt;0,BD56/BB56,0)</f>
        <v>1.9503299999999999E-3</v>
      </c>
      <c r="BF56" s="76">
        <f>BF54</f>
        <v>33.840000000000003</v>
      </c>
      <c r="BG56" s="109">
        <f>ROUNDUP(BE56*BF56,2)</f>
        <v>7.0000000000000007E-2</v>
      </c>
      <c r="BH56" s="71">
        <f>BG56*BB56</f>
        <v>8799.84</v>
      </c>
      <c r="BI56" s="71"/>
      <c r="BJ56" s="108"/>
      <c r="BL56" s="309">
        <f>BB56*BG56</f>
        <v>8800</v>
      </c>
    </row>
    <row r="57" spans="1:64" x14ac:dyDescent="0.25">
      <c r="A57" s="5"/>
      <c r="B57" s="12" t="s">
        <v>53</v>
      </c>
      <c r="C57" s="4" t="s">
        <v>57</v>
      </c>
      <c r="D57" s="222">
        <f t="shared" si="276"/>
        <v>19872</v>
      </c>
      <c r="E57" s="100">
        <f>D57/D54</f>
        <v>4.2709999999999998E-2</v>
      </c>
      <c r="F57" s="71">
        <f>F54*E57</f>
        <v>56.51</v>
      </c>
      <c r="G57" s="111">
        <f t="shared" si="277"/>
        <v>2.8436999999999998E-3</v>
      </c>
      <c r="H57" s="76">
        <f>H54</f>
        <v>30.25</v>
      </c>
      <c r="I57" s="109">
        <f t="shared" si="278"/>
        <v>8.6019999999999999E-2</v>
      </c>
      <c r="J57" s="71">
        <f t="shared" si="279"/>
        <v>1709.39</v>
      </c>
      <c r="K57" s="71"/>
      <c r="L57" s="108"/>
      <c r="M57" s="100">
        <f t="shared" si="280"/>
        <v>1.2288600000000001</v>
      </c>
      <c r="N57" s="222">
        <f t="shared" si="281"/>
        <v>0</v>
      </c>
      <c r="O57" s="100">
        <f>N57/N54</f>
        <v>0</v>
      </c>
      <c r="P57" s="71">
        <f>P54*O57</f>
        <v>0</v>
      </c>
      <c r="Q57" s="111">
        <f t="shared" si="282"/>
        <v>0</v>
      </c>
      <c r="R57" s="76">
        <f>R54</f>
        <v>37.81</v>
      </c>
      <c r="S57" s="109">
        <f t="shared" si="283"/>
        <v>0</v>
      </c>
      <c r="T57" s="71">
        <f t="shared" si="284"/>
        <v>0</v>
      </c>
      <c r="U57" s="71"/>
      <c r="V57" s="108"/>
      <c r="W57" s="100">
        <f t="shared" si="1"/>
        <v>0</v>
      </c>
      <c r="X57" s="222">
        <f t="shared" si="285"/>
        <v>16776</v>
      </c>
      <c r="Y57" s="100">
        <f>X57/X54</f>
        <v>7.0379999999999998E-2</v>
      </c>
      <c r="Z57" s="71">
        <f>Z54*Y57</f>
        <v>34.909999999999997</v>
      </c>
      <c r="AA57" s="111">
        <f t="shared" si="286"/>
        <v>2.0809499999999998E-3</v>
      </c>
      <c r="AB57" s="76">
        <f>AB54</f>
        <v>37.81</v>
      </c>
      <c r="AC57" s="109">
        <f t="shared" si="287"/>
        <v>7.868E-2</v>
      </c>
      <c r="AD57" s="71">
        <f t="shared" si="288"/>
        <v>1319.94</v>
      </c>
      <c r="AE57" s="71"/>
      <c r="AF57" s="108"/>
      <c r="AG57" s="100">
        <f t="shared" si="2"/>
        <v>1.1240000000000001</v>
      </c>
      <c r="AH57" s="222">
        <f t="shared" si="289"/>
        <v>147528</v>
      </c>
      <c r="AI57" s="100">
        <f>AH57/AH54</f>
        <v>1</v>
      </c>
      <c r="AJ57" s="71">
        <f>AJ54*AI57</f>
        <v>172</v>
      </c>
      <c r="AK57" s="111">
        <f t="shared" si="290"/>
        <v>1.16588E-3</v>
      </c>
      <c r="AL57" s="76">
        <f>AL54</f>
        <v>37.81</v>
      </c>
      <c r="AM57" s="109">
        <f t="shared" ref="AM57:AM61" si="297">AK57*AL57</f>
        <v>4.4080000000000001E-2</v>
      </c>
      <c r="AN57" s="71">
        <f t="shared" ref="AN57:AN65" si="298">AM57*AH57</f>
        <v>6503.03</v>
      </c>
      <c r="AO57" s="71"/>
      <c r="AP57" s="108"/>
      <c r="AQ57" s="100">
        <f t="shared" si="3"/>
        <v>0.62970999999999999</v>
      </c>
      <c r="AR57" s="222">
        <f t="shared" si="291"/>
        <v>0</v>
      </c>
      <c r="AS57" s="100">
        <f>AR57/AR54</f>
        <v>0</v>
      </c>
      <c r="AT57" s="71">
        <f>AT54*AS57</f>
        <v>0</v>
      </c>
      <c r="AU57" s="111">
        <f t="shared" si="292"/>
        <v>0</v>
      </c>
      <c r="AV57" s="76">
        <f>AV54</f>
        <v>0</v>
      </c>
      <c r="AW57" s="109">
        <f t="shared" si="293"/>
        <v>0</v>
      </c>
      <c r="AX57" s="71">
        <f t="shared" si="294"/>
        <v>0</v>
      </c>
      <c r="AY57" s="71"/>
      <c r="AZ57" s="108"/>
      <c r="BA57" s="100">
        <f t="shared" si="295"/>
        <v>0</v>
      </c>
      <c r="BB57" s="222">
        <f t="shared" ref="BB57:BB61" si="299">D57+N57+X57+AH57+AR57</f>
        <v>184176</v>
      </c>
      <c r="BC57" s="100">
        <f>BB57/BB54</f>
        <v>0.14277000000000001</v>
      </c>
      <c r="BD57" s="71">
        <f>BD54*BC57</f>
        <v>359.21</v>
      </c>
      <c r="BE57" s="111">
        <f t="shared" si="296"/>
        <v>1.9503599999999999E-3</v>
      </c>
      <c r="BF57" s="76">
        <f>BF54</f>
        <v>33.840000000000003</v>
      </c>
      <c r="BG57" s="109">
        <f t="shared" ref="BG57:BG61" si="300">ROUNDUP(BE57*BF57,2)</f>
        <v>7.0000000000000007E-2</v>
      </c>
      <c r="BH57" s="71">
        <f t="shared" ref="BH57:BH65" si="301">BG57*BB57</f>
        <v>12892.32</v>
      </c>
      <c r="BI57" s="71"/>
      <c r="BJ57" s="108"/>
      <c r="BL57" s="309">
        <f t="shared" ref="BL57:BL61" si="302">BB57*BG57</f>
        <v>12892</v>
      </c>
    </row>
    <row r="58" spans="1:64" x14ac:dyDescent="0.25">
      <c r="A58" s="5"/>
      <c r="B58" s="12" t="s">
        <v>51</v>
      </c>
      <c r="C58" s="4" t="s">
        <v>57</v>
      </c>
      <c r="D58" s="222">
        <f t="shared" si="276"/>
        <v>35352</v>
      </c>
      <c r="E58" s="100">
        <f>D58/D54</f>
        <v>7.5980000000000006E-2</v>
      </c>
      <c r="F58" s="71">
        <f>F54*E58</f>
        <v>100.52</v>
      </c>
      <c r="G58" s="111">
        <f t="shared" si="277"/>
        <v>2.8433999999999998E-3</v>
      </c>
      <c r="H58" s="76">
        <f>H54</f>
        <v>30.25</v>
      </c>
      <c r="I58" s="109">
        <f t="shared" si="278"/>
        <v>8.6010000000000003E-2</v>
      </c>
      <c r="J58" s="71">
        <f t="shared" si="279"/>
        <v>3040.63</v>
      </c>
      <c r="K58" s="71"/>
      <c r="L58" s="108"/>
      <c r="M58" s="100">
        <f t="shared" si="280"/>
        <v>1.22871</v>
      </c>
      <c r="N58" s="222">
        <f t="shared" si="281"/>
        <v>73608</v>
      </c>
      <c r="O58" s="100">
        <f>N58/N54</f>
        <v>0.21454000000000001</v>
      </c>
      <c r="P58" s="71">
        <f>P54*O58</f>
        <v>112.63</v>
      </c>
      <c r="Q58" s="111">
        <f t="shared" si="282"/>
        <v>1.53013E-3</v>
      </c>
      <c r="R58" s="76">
        <f>R54</f>
        <v>37.81</v>
      </c>
      <c r="S58" s="109">
        <f t="shared" si="283"/>
        <v>5.7849999999999999E-2</v>
      </c>
      <c r="T58" s="71">
        <f t="shared" si="284"/>
        <v>4258.22</v>
      </c>
      <c r="U58" s="71"/>
      <c r="V58" s="108"/>
      <c r="W58" s="100">
        <f t="shared" si="1"/>
        <v>0.82643</v>
      </c>
      <c r="X58" s="222">
        <f t="shared" si="285"/>
        <v>18360</v>
      </c>
      <c r="Y58" s="100">
        <f>X58/X54</f>
        <v>7.7030000000000001E-2</v>
      </c>
      <c r="Z58" s="71">
        <f>Z54*Y58</f>
        <v>38.21</v>
      </c>
      <c r="AA58" s="111">
        <f t="shared" si="286"/>
        <v>2.0811499999999999E-3</v>
      </c>
      <c r="AB58" s="76">
        <f>AB54</f>
        <v>37.81</v>
      </c>
      <c r="AC58" s="109">
        <f t="shared" si="287"/>
        <v>7.8689999999999996E-2</v>
      </c>
      <c r="AD58" s="71">
        <f t="shared" si="288"/>
        <v>1444.75</v>
      </c>
      <c r="AE58" s="71"/>
      <c r="AF58" s="108"/>
      <c r="AG58" s="100">
        <f t="shared" si="2"/>
        <v>1.1241399999999999</v>
      </c>
      <c r="AH58" s="222">
        <f t="shared" si="289"/>
        <v>0</v>
      </c>
      <c r="AI58" s="100">
        <f>AH58/AH54</f>
        <v>0</v>
      </c>
      <c r="AJ58" s="71">
        <f>AJ54*AI58</f>
        <v>0</v>
      </c>
      <c r="AK58" s="111">
        <f t="shared" si="290"/>
        <v>0</v>
      </c>
      <c r="AL58" s="76">
        <f>AL54</f>
        <v>37.81</v>
      </c>
      <c r="AM58" s="109">
        <f t="shared" si="297"/>
        <v>0</v>
      </c>
      <c r="AN58" s="71">
        <f t="shared" si="298"/>
        <v>0</v>
      </c>
      <c r="AO58" s="71"/>
      <c r="AP58" s="108"/>
      <c r="AQ58" s="100">
        <f t="shared" si="3"/>
        <v>0</v>
      </c>
      <c r="AR58" s="222">
        <f t="shared" si="291"/>
        <v>0</v>
      </c>
      <c r="AS58" s="100">
        <f>AR58/AR54</f>
        <v>0</v>
      </c>
      <c r="AT58" s="71">
        <f>AT54*AS58</f>
        <v>0</v>
      </c>
      <c r="AU58" s="111">
        <f t="shared" si="292"/>
        <v>0</v>
      </c>
      <c r="AV58" s="76">
        <f>AV54</f>
        <v>0</v>
      </c>
      <c r="AW58" s="109">
        <f t="shared" si="293"/>
        <v>0</v>
      </c>
      <c r="AX58" s="71">
        <f t="shared" si="294"/>
        <v>0</v>
      </c>
      <c r="AY58" s="71"/>
      <c r="AZ58" s="108"/>
      <c r="BA58" s="100">
        <f t="shared" si="295"/>
        <v>0</v>
      </c>
      <c r="BB58" s="222">
        <f t="shared" si="299"/>
        <v>127320</v>
      </c>
      <c r="BC58" s="100">
        <f>BB58/BB54</f>
        <v>9.869E-2</v>
      </c>
      <c r="BD58" s="71">
        <f>BD54*BC58</f>
        <v>248.3</v>
      </c>
      <c r="BE58" s="111">
        <f t="shared" si="296"/>
        <v>1.9502E-3</v>
      </c>
      <c r="BF58" s="76">
        <f>BF54</f>
        <v>33.840000000000003</v>
      </c>
      <c r="BG58" s="109">
        <f t="shared" si="300"/>
        <v>7.0000000000000007E-2</v>
      </c>
      <c r="BH58" s="71">
        <f t="shared" si="301"/>
        <v>8912.4</v>
      </c>
      <c r="BI58" s="71"/>
      <c r="BJ58" s="108"/>
      <c r="BL58" s="309">
        <f t="shared" si="302"/>
        <v>8912</v>
      </c>
    </row>
    <row r="59" spans="1:64" x14ac:dyDescent="0.25">
      <c r="A59" s="5"/>
      <c r="B59" s="12" t="s">
        <v>54</v>
      </c>
      <c r="C59" s="4" t="s">
        <v>57</v>
      </c>
      <c r="D59" s="222">
        <f t="shared" si="276"/>
        <v>272292</v>
      </c>
      <c r="E59" s="100">
        <f>D59/D54</f>
        <v>0.58521000000000001</v>
      </c>
      <c r="F59" s="71">
        <f>F54*E59</f>
        <v>774.23</v>
      </c>
      <c r="G59" s="111">
        <f t="shared" si="277"/>
        <v>2.84338E-3</v>
      </c>
      <c r="H59" s="76">
        <f>H54</f>
        <v>30.25</v>
      </c>
      <c r="I59" s="109">
        <f t="shared" si="278"/>
        <v>8.6010000000000003E-2</v>
      </c>
      <c r="J59" s="71">
        <f t="shared" si="279"/>
        <v>23419.83</v>
      </c>
      <c r="K59" s="71"/>
      <c r="L59" s="108"/>
      <c r="M59" s="100">
        <f t="shared" si="280"/>
        <v>1.22871</v>
      </c>
      <c r="N59" s="222">
        <f t="shared" si="281"/>
        <v>128520</v>
      </c>
      <c r="O59" s="100">
        <f>N59/N54</f>
        <v>0.37458000000000002</v>
      </c>
      <c r="P59" s="71">
        <f>P54*O59</f>
        <v>196.65</v>
      </c>
      <c r="Q59" s="111">
        <f t="shared" si="282"/>
        <v>1.5301100000000001E-3</v>
      </c>
      <c r="R59" s="76">
        <f>R54</f>
        <v>37.81</v>
      </c>
      <c r="S59" s="109">
        <f t="shared" si="283"/>
        <v>5.7849999999999999E-2</v>
      </c>
      <c r="T59" s="71">
        <f t="shared" si="284"/>
        <v>7434.88</v>
      </c>
      <c r="U59" s="71"/>
      <c r="V59" s="108"/>
      <c r="W59" s="100">
        <f t="shared" si="1"/>
        <v>0.82643</v>
      </c>
      <c r="X59" s="222">
        <f t="shared" si="285"/>
        <v>61020</v>
      </c>
      <c r="Y59" s="100">
        <f>X59/X54</f>
        <v>0.25600000000000001</v>
      </c>
      <c r="Z59" s="71">
        <f>Z54*Y59</f>
        <v>126.98</v>
      </c>
      <c r="AA59" s="111">
        <f t="shared" si="286"/>
        <v>2.0809600000000002E-3</v>
      </c>
      <c r="AB59" s="76">
        <f>AB54</f>
        <v>37.81</v>
      </c>
      <c r="AC59" s="109">
        <f t="shared" si="287"/>
        <v>7.868E-2</v>
      </c>
      <c r="AD59" s="71">
        <f t="shared" si="288"/>
        <v>4801.05</v>
      </c>
      <c r="AE59" s="71"/>
      <c r="AF59" s="108"/>
      <c r="AG59" s="100">
        <f t="shared" si="2"/>
        <v>1.1240000000000001</v>
      </c>
      <c r="AH59" s="222">
        <f t="shared" si="289"/>
        <v>0</v>
      </c>
      <c r="AI59" s="100">
        <f>AH59/AH54</f>
        <v>0</v>
      </c>
      <c r="AJ59" s="71">
        <f>AJ54*AI59</f>
        <v>0</v>
      </c>
      <c r="AK59" s="111">
        <f t="shared" si="290"/>
        <v>0</v>
      </c>
      <c r="AL59" s="76">
        <f>AL54</f>
        <v>37.81</v>
      </c>
      <c r="AM59" s="109">
        <f t="shared" si="297"/>
        <v>0</v>
      </c>
      <c r="AN59" s="71">
        <f t="shared" si="298"/>
        <v>0</v>
      </c>
      <c r="AO59" s="71"/>
      <c r="AP59" s="108"/>
      <c r="AQ59" s="100">
        <f t="shared" si="3"/>
        <v>0</v>
      </c>
      <c r="AR59" s="222">
        <f t="shared" si="291"/>
        <v>0</v>
      </c>
      <c r="AS59" s="100">
        <f>AR59/AR54</f>
        <v>0</v>
      </c>
      <c r="AT59" s="71">
        <f>AT54*AS59</f>
        <v>0</v>
      </c>
      <c r="AU59" s="111">
        <f t="shared" si="292"/>
        <v>0</v>
      </c>
      <c r="AV59" s="76">
        <f>AV54</f>
        <v>0</v>
      </c>
      <c r="AW59" s="109">
        <f t="shared" si="293"/>
        <v>0</v>
      </c>
      <c r="AX59" s="71">
        <f t="shared" si="294"/>
        <v>0</v>
      </c>
      <c r="AY59" s="71"/>
      <c r="AZ59" s="108"/>
      <c r="BA59" s="100">
        <f t="shared" si="295"/>
        <v>0</v>
      </c>
      <c r="BB59" s="222">
        <f t="shared" si="299"/>
        <v>461832</v>
      </c>
      <c r="BC59" s="100">
        <f>BB59/BB54</f>
        <v>0.35799999999999998</v>
      </c>
      <c r="BD59" s="71">
        <f>BD54*BC59</f>
        <v>900.73</v>
      </c>
      <c r="BE59" s="111">
        <f t="shared" si="296"/>
        <v>1.9503400000000001E-3</v>
      </c>
      <c r="BF59" s="76">
        <f>BF54</f>
        <v>33.840000000000003</v>
      </c>
      <c r="BG59" s="109">
        <f t="shared" si="300"/>
        <v>7.0000000000000007E-2</v>
      </c>
      <c r="BH59" s="71">
        <f t="shared" si="301"/>
        <v>32328.240000000002</v>
      </c>
      <c r="BI59" s="71"/>
      <c r="BJ59" s="108"/>
      <c r="BL59" s="309">
        <f t="shared" si="302"/>
        <v>32328</v>
      </c>
    </row>
    <row r="60" spans="1:64" x14ac:dyDescent="0.25">
      <c r="A60" s="5"/>
      <c r="B60" s="12" t="s">
        <v>55</v>
      </c>
      <c r="C60" s="4" t="s">
        <v>57</v>
      </c>
      <c r="D60" s="222">
        <f t="shared" si="276"/>
        <v>18504</v>
      </c>
      <c r="E60" s="100">
        <f>D60/D54</f>
        <v>3.977E-2</v>
      </c>
      <c r="F60" s="71">
        <f>F54*E60</f>
        <v>52.62</v>
      </c>
      <c r="G60" s="111">
        <f t="shared" si="277"/>
        <v>2.8437100000000002E-3</v>
      </c>
      <c r="H60" s="76">
        <f>H54</f>
        <v>30.25</v>
      </c>
      <c r="I60" s="109">
        <f t="shared" si="278"/>
        <v>8.6019999999999999E-2</v>
      </c>
      <c r="J60" s="71">
        <f t="shared" si="279"/>
        <v>1591.71</v>
      </c>
      <c r="K60" s="71"/>
      <c r="L60" s="108"/>
      <c r="M60" s="100">
        <f t="shared" si="280"/>
        <v>1.2288600000000001</v>
      </c>
      <c r="N60" s="222">
        <f t="shared" si="281"/>
        <v>12816</v>
      </c>
      <c r="O60" s="100">
        <f>N60/N54</f>
        <v>3.7350000000000001E-2</v>
      </c>
      <c r="P60" s="71">
        <f>P54*O60</f>
        <v>19.61</v>
      </c>
      <c r="Q60" s="111">
        <f t="shared" si="282"/>
        <v>1.53012E-3</v>
      </c>
      <c r="R60" s="76">
        <f>R54</f>
        <v>37.81</v>
      </c>
      <c r="S60" s="109">
        <f t="shared" si="283"/>
        <v>5.7849999999999999E-2</v>
      </c>
      <c r="T60" s="71">
        <f t="shared" si="284"/>
        <v>741.41</v>
      </c>
      <c r="U60" s="71"/>
      <c r="V60" s="108"/>
      <c r="W60" s="100">
        <f t="shared" si="1"/>
        <v>0.82643</v>
      </c>
      <c r="X60" s="222">
        <f t="shared" si="285"/>
        <v>0</v>
      </c>
      <c r="Y60" s="100">
        <f>X60/X54</f>
        <v>0</v>
      </c>
      <c r="Z60" s="71">
        <f>Z54*Y60</f>
        <v>0</v>
      </c>
      <c r="AA60" s="111">
        <f t="shared" si="286"/>
        <v>0</v>
      </c>
      <c r="AB60" s="76">
        <f>AB54</f>
        <v>37.81</v>
      </c>
      <c r="AC60" s="109">
        <f t="shared" si="287"/>
        <v>0</v>
      </c>
      <c r="AD60" s="71">
        <f t="shared" si="288"/>
        <v>0</v>
      </c>
      <c r="AE60" s="71"/>
      <c r="AF60" s="108"/>
      <c r="AG60" s="100">
        <f t="shared" si="2"/>
        <v>0</v>
      </c>
      <c r="AH60" s="222">
        <f t="shared" si="289"/>
        <v>0</v>
      </c>
      <c r="AI60" s="100">
        <f>AH60/AH54</f>
        <v>0</v>
      </c>
      <c r="AJ60" s="71">
        <f>AJ54*AI60</f>
        <v>0</v>
      </c>
      <c r="AK60" s="111">
        <f t="shared" si="290"/>
        <v>0</v>
      </c>
      <c r="AL60" s="76">
        <f>AL54</f>
        <v>37.81</v>
      </c>
      <c r="AM60" s="109">
        <f t="shared" si="297"/>
        <v>0</v>
      </c>
      <c r="AN60" s="71">
        <f t="shared" si="298"/>
        <v>0</v>
      </c>
      <c r="AO60" s="71"/>
      <c r="AP60" s="108"/>
      <c r="AQ60" s="100">
        <f t="shared" si="3"/>
        <v>0</v>
      </c>
      <c r="AR60" s="222">
        <f t="shared" si="291"/>
        <v>95760</v>
      </c>
      <c r="AS60" s="100">
        <f>AR60/AR54</f>
        <v>1</v>
      </c>
      <c r="AT60" s="71">
        <f>AT54*AS60</f>
        <v>0</v>
      </c>
      <c r="AU60" s="111">
        <f t="shared" si="292"/>
        <v>0</v>
      </c>
      <c r="AV60" s="76">
        <f>AV54</f>
        <v>0</v>
      </c>
      <c r="AW60" s="109">
        <f t="shared" si="293"/>
        <v>0</v>
      </c>
      <c r="AX60" s="71">
        <f t="shared" si="294"/>
        <v>0</v>
      </c>
      <c r="AY60" s="71"/>
      <c r="AZ60" s="108"/>
      <c r="BA60" s="100">
        <f t="shared" si="295"/>
        <v>0</v>
      </c>
      <c r="BB60" s="222">
        <f t="shared" si="299"/>
        <v>127080</v>
      </c>
      <c r="BC60" s="100">
        <f>BB60/BB54</f>
        <v>9.851E-2</v>
      </c>
      <c r="BD60" s="71">
        <f>BD54*BC60</f>
        <v>247.85</v>
      </c>
      <c r="BE60" s="111">
        <f t="shared" si="296"/>
        <v>1.95035E-3</v>
      </c>
      <c r="BF60" s="76">
        <f>BF54</f>
        <v>33.840000000000003</v>
      </c>
      <c r="BG60" s="109">
        <f t="shared" si="300"/>
        <v>7.0000000000000007E-2</v>
      </c>
      <c r="BH60" s="71">
        <f t="shared" si="301"/>
        <v>8895.6</v>
      </c>
      <c r="BI60" s="71"/>
      <c r="BJ60" s="108"/>
      <c r="BL60" s="309">
        <f t="shared" si="302"/>
        <v>8896</v>
      </c>
    </row>
    <row r="61" spans="1:64" x14ac:dyDescent="0.25">
      <c r="A61" s="5"/>
      <c r="B61" s="12" t="s">
        <v>56</v>
      </c>
      <c r="C61" s="4" t="s">
        <v>57</v>
      </c>
      <c r="D61" s="222">
        <f t="shared" si="276"/>
        <v>100800</v>
      </c>
      <c r="E61" s="100">
        <f>D61/D54</f>
        <v>0.21664</v>
      </c>
      <c r="F61" s="71">
        <f>F54*E61</f>
        <v>286.61</v>
      </c>
      <c r="G61" s="111">
        <f t="shared" si="277"/>
        <v>2.8433500000000001E-3</v>
      </c>
      <c r="H61" s="76">
        <f>H54</f>
        <v>30.25</v>
      </c>
      <c r="I61" s="109">
        <f t="shared" si="278"/>
        <v>8.6010000000000003E-2</v>
      </c>
      <c r="J61" s="71">
        <f t="shared" si="279"/>
        <v>8669.81</v>
      </c>
      <c r="K61" s="71"/>
      <c r="L61" s="108"/>
      <c r="M61" s="100">
        <f t="shared" si="280"/>
        <v>1.22871</v>
      </c>
      <c r="N61" s="222">
        <f t="shared" si="281"/>
        <v>117512</v>
      </c>
      <c r="O61" s="100">
        <f>N61/N54</f>
        <v>0.34250000000000003</v>
      </c>
      <c r="P61" s="71">
        <f>P54*O61</f>
        <v>179.81</v>
      </c>
      <c r="Q61" s="111">
        <f t="shared" si="282"/>
        <v>1.5301399999999999E-3</v>
      </c>
      <c r="R61" s="76">
        <f>R54</f>
        <v>37.81</v>
      </c>
      <c r="S61" s="109">
        <f t="shared" si="283"/>
        <v>5.7849999999999999E-2</v>
      </c>
      <c r="T61" s="71">
        <f t="shared" si="284"/>
        <v>6798.07</v>
      </c>
      <c r="U61" s="71"/>
      <c r="V61" s="108"/>
      <c r="W61" s="100">
        <f t="shared" si="1"/>
        <v>0.82643</v>
      </c>
      <c r="X61" s="222">
        <f t="shared" si="285"/>
        <v>22896</v>
      </c>
      <c r="Y61" s="100">
        <f>X61/X54</f>
        <v>9.6060000000000006E-2</v>
      </c>
      <c r="Z61" s="71">
        <f>Z54*Y61</f>
        <v>47.65</v>
      </c>
      <c r="AA61" s="111">
        <f t="shared" si="286"/>
        <v>2.0811499999999999E-3</v>
      </c>
      <c r="AB61" s="76">
        <f>AB54</f>
        <v>37.81</v>
      </c>
      <c r="AC61" s="109">
        <f t="shared" si="287"/>
        <v>7.8689999999999996E-2</v>
      </c>
      <c r="AD61" s="71">
        <f t="shared" si="288"/>
        <v>1801.69</v>
      </c>
      <c r="AE61" s="71"/>
      <c r="AF61" s="108"/>
      <c r="AG61" s="100">
        <f t="shared" si="2"/>
        <v>1.1241399999999999</v>
      </c>
      <c r="AH61" s="222">
        <f t="shared" si="289"/>
        <v>0</v>
      </c>
      <c r="AI61" s="100">
        <f>AH61/AH54</f>
        <v>0</v>
      </c>
      <c r="AJ61" s="71">
        <f>AJ54*AI61</f>
        <v>0</v>
      </c>
      <c r="AK61" s="111">
        <f t="shared" si="290"/>
        <v>0</v>
      </c>
      <c r="AL61" s="76">
        <f>AL54</f>
        <v>37.81</v>
      </c>
      <c r="AM61" s="109">
        <f t="shared" si="297"/>
        <v>0</v>
      </c>
      <c r="AN61" s="71">
        <f t="shared" si="298"/>
        <v>0</v>
      </c>
      <c r="AO61" s="71"/>
      <c r="AP61" s="108"/>
      <c r="AQ61" s="100">
        <f t="shared" si="3"/>
        <v>0</v>
      </c>
      <c r="AR61" s="222">
        <f t="shared" si="291"/>
        <v>0</v>
      </c>
      <c r="AS61" s="100">
        <f>AR61/AR54</f>
        <v>0</v>
      </c>
      <c r="AT61" s="71">
        <f>AT54*AS61</f>
        <v>0</v>
      </c>
      <c r="AU61" s="111">
        <f t="shared" si="292"/>
        <v>0</v>
      </c>
      <c r="AV61" s="76">
        <f>AV54</f>
        <v>0</v>
      </c>
      <c r="AW61" s="109">
        <f t="shared" si="293"/>
        <v>0</v>
      </c>
      <c r="AX61" s="71">
        <f t="shared" si="294"/>
        <v>0</v>
      </c>
      <c r="AY61" s="71"/>
      <c r="AZ61" s="108"/>
      <c r="BA61" s="100">
        <f t="shared" si="295"/>
        <v>0</v>
      </c>
      <c r="BB61" s="222">
        <f t="shared" si="299"/>
        <v>241208</v>
      </c>
      <c r="BC61" s="100">
        <f>BB61/BB54</f>
        <v>0.18698000000000001</v>
      </c>
      <c r="BD61" s="71">
        <f>BD54*BC61</f>
        <v>470.44</v>
      </c>
      <c r="BE61" s="111">
        <f t="shared" si="296"/>
        <v>1.95035E-3</v>
      </c>
      <c r="BF61" s="76">
        <f>BF54</f>
        <v>33.840000000000003</v>
      </c>
      <c r="BG61" s="109">
        <f t="shared" si="300"/>
        <v>7.0000000000000007E-2</v>
      </c>
      <c r="BH61" s="71">
        <f t="shared" si="301"/>
        <v>16884.560000000001</v>
      </c>
      <c r="BI61" s="71"/>
      <c r="BJ61" s="108"/>
      <c r="BL61" s="309">
        <f t="shared" si="302"/>
        <v>16885</v>
      </c>
    </row>
    <row r="62" spans="1:64" x14ac:dyDescent="0.25">
      <c r="A62" s="5"/>
      <c r="B62" s="412" t="s">
        <v>441</v>
      </c>
      <c r="C62" s="4" t="s">
        <v>57</v>
      </c>
      <c r="D62" s="222">
        <f t="shared" si="276"/>
        <v>0</v>
      </c>
      <c r="E62" s="410">
        <f>D62/D54</f>
        <v>0</v>
      </c>
      <c r="F62" s="76">
        <f>F54*E62</f>
        <v>0</v>
      </c>
      <c r="G62" s="411">
        <f t="shared" si="277"/>
        <v>0</v>
      </c>
      <c r="H62" s="76">
        <f>H54</f>
        <v>30.25</v>
      </c>
      <c r="I62" s="109">
        <f t="shared" ref="I62:I63" si="303">G62*H62</f>
        <v>0</v>
      </c>
      <c r="J62" s="71">
        <f t="shared" ref="J62:J63" si="304">I62*D62</f>
        <v>0</v>
      </c>
      <c r="K62" s="71"/>
      <c r="L62" s="108"/>
      <c r="M62" s="100">
        <f t="shared" ref="M62:M63" si="305">I62/BG62</f>
        <v>0</v>
      </c>
      <c r="N62" s="222">
        <f t="shared" si="281"/>
        <v>10648</v>
      </c>
      <c r="O62" s="410">
        <f>N62/N54</f>
        <v>3.1029999999999999E-2</v>
      </c>
      <c r="P62" s="76">
        <f>P54*O62</f>
        <v>16.29</v>
      </c>
      <c r="Q62" s="411">
        <f t="shared" si="282"/>
        <v>1.5298600000000001E-3</v>
      </c>
      <c r="R62" s="76">
        <f>R54</f>
        <v>37.81</v>
      </c>
      <c r="S62" s="109">
        <f t="shared" ref="S62:S63" si="306">Q62*R62</f>
        <v>5.7840000000000003E-2</v>
      </c>
      <c r="T62" s="71">
        <f t="shared" ref="T62:T63" si="307">S62*N62</f>
        <v>615.88</v>
      </c>
      <c r="U62" s="71"/>
      <c r="V62" s="108"/>
      <c r="W62" s="100">
        <f t="shared" ref="W62:W63" si="308">S62/BG62</f>
        <v>0.82628999999999997</v>
      </c>
      <c r="X62" s="222">
        <f t="shared" si="285"/>
        <v>0</v>
      </c>
      <c r="Y62" s="410">
        <f>X62/X54</f>
        <v>0</v>
      </c>
      <c r="Z62" s="76">
        <f>Z54*Y62</f>
        <v>0</v>
      </c>
      <c r="AA62" s="411">
        <f t="shared" si="286"/>
        <v>0</v>
      </c>
      <c r="AB62" s="76">
        <f>AB54</f>
        <v>37.81</v>
      </c>
      <c r="AC62" s="109">
        <f t="shared" ref="AC62:AC63" si="309">AA62*AB62</f>
        <v>0</v>
      </c>
      <c r="AD62" s="71">
        <f t="shared" ref="AD62:AD63" si="310">AC62*X62</f>
        <v>0</v>
      </c>
      <c r="AE62" s="71"/>
      <c r="AF62" s="108"/>
      <c r="AG62" s="100">
        <f t="shared" ref="AG62:AG63" si="311">AC62/BG62</f>
        <v>0</v>
      </c>
      <c r="AH62" s="222">
        <f t="shared" si="289"/>
        <v>0</v>
      </c>
      <c r="AI62" s="410">
        <f>AH62/AH54</f>
        <v>0</v>
      </c>
      <c r="AJ62" s="76">
        <f>AJ54*AI62</f>
        <v>0</v>
      </c>
      <c r="AK62" s="411">
        <f t="shared" si="290"/>
        <v>0</v>
      </c>
      <c r="AL62" s="76">
        <f>AL54</f>
        <v>37.81</v>
      </c>
      <c r="AM62" s="109">
        <f t="shared" ref="AM62:AM63" si="312">AK62*AL62</f>
        <v>0</v>
      </c>
      <c r="AN62" s="71">
        <f t="shared" ref="AN62:AN63" si="313">AM62*AH62</f>
        <v>0</v>
      </c>
      <c r="AO62" s="71"/>
      <c r="AP62" s="108"/>
      <c r="AQ62" s="100">
        <f t="shared" ref="AQ62:AQ63" si="314">AM62/BG62</f>
        <v>0</v>
      </c>
      <c r="AR62" s="222">
        <f t="shared" si="291"/>
        <v>0</v>
      </c>
      <c r="AS62" s="410">
        <f>AR62/AR54</f>
        <v>0</v>
      </c>
      <c r="AT62" s="76">
        <f>AT54*AS62</f>
        <v>0</v>
      </c>
      <c r="AU62" s="411">
        <f t="shared" si="292"/>
        <v>0</v>
      </c>
      <c r="AV62" s="76">
        <f>AV54</f>
        <v>0</v>
      </c>
      <c r="AW62" s="109">
        <f t="shared" ref="AW62:AW63" si="315">AU62*AV62</f>
        <v>0</v>
      </c>
      <c r="AX62" s="71">
        <f t="shared" ref="AX62:AX63" si="316">AW62*AR62</f>
        <v>0</v>
      </c>
      <c r="AY62" s="71"/>
      <c r="AZ62" s="108"/>
      <c r="BA62" s="100">
        <f t="shared" ref="BA62:BA63" si="317">AW62/BG62</f>
        <v>0</v>
      </c>
      <c r="BB62" s="222">
        <f t="shared" ref="BB62:BB63" si="318">D62+N62+X62+AH62+AR62</f>
        <v>10648</v>
      </c>
      <c r="BC62" s="410">
        <f>BB62/BB54</f>
        <v>8.2500000000000004E-3</v>
      </c>
      <c r="BD62" s="76">
        <f>BD54*BC62</f>
        <v>20.76</v>
      </c>
      <c r="BE62" s="411">
        <f t="shared" si="296"/>
        <v>1.94966E-3</v>
      </c>
      <c r="BF62" s="76">
        <f>BF54</f>
        <v>33.840000000000003</v>
      </c>
      <c r="BG62" s="109">
        <f t="shared" ref="BG62:BG63" si="319">ROUNDUP(BE62*BF62,2)</f>
        <v>7.0000000000000007E-2</v>
      </c>
      <c r="BH62" s="71">
        <f t="shared" ref="BH62:BH63" si="320">BG62*BB62</f>
        <v>745.36</v>
      </c>
      <c r="BI62" s="71"/>
      <c r="BJ62" s="108"/>
      <c r="BL62" s="309">
        <f t="shared" ref="BL62:BL63" si="321">BB62*BG62</f>
        <v>745</v>
      </c>
    </row>
    <row r="63" spans="1:64" x14ac:dyDescent="0.25">
      <c r="A63" s="5"/>
      <c r="B63" s="412" t="s">
        <v>827</v>
      </c>
      <c r="C63" s="4" t="s">
        <v>57</v>
      </c>
      <c r="D63" s="222">
        <f t="shared" si="276"/>
        <v>3816</v>
      </c>
      <c r="E63" s="410">
        <f>D63/D54</f>
        <v>8.2000000000000007E-3</v>
      </c>
      <c r="F63" s="76">
        <f>F54*E63</f>
        <v>10.85</v>
      </c>
      <c r="G63" s="411">
        <f t="shared" si="277"/>
        <v>2.8432900000000001E-3</v>
      </c>
      <c r="H63" s="76">
        <f>H54</f>
        <v>30.25</v>
      </c>
      <c r="I63" s="109">
        <f t="shared" si="303"/>
        <v>8.6010000000000003E-2</v>
      </c>
      <c r="J63" s="71">
        <f t="shared" si="304"/>
        <v>328.21</v>
      </c>
      <c r="K63" s="71"/>
      <c r="L63" s="108"/>
      <c r="M63" s="100">
        <f t="shared" si="305"/>
        <v>1.22871</v>
      </c>
      <c r="N63" s="222">
        <f t="shared" si="281"/>
        <v>0</v>
      </c>
      <c r="O63" s="410">
        <f>N63/N54</f>
        <v>0</v>
      </c>
      <c r="P63" s="76">
        <f>P54*O63</f>
        <v>0</v>
      </c>
      <c r="Q63" s="411">
        <f t="shared" si="282"/>
        <v>0</v>
      </c>
      <c r="R63" s="76">
        <f>R54</f>
        <v>37.81</v>
      </c>
      <c r="S63" s="109">
        <f t="shared" si="306"/>
        <v>0</v>
      </c>
      <c r="T63" s="71">
        <f t="shared" si="307"/>
        <v>0</v>
      </c>
      <c r="U63" s="71"/>
      <c r="V63" s="108"/>
      <c r="W63" s="100">
        <f t="shared" si="308"/>
        <v>0</v>
      </c>
      <c r="X63" s="222">
        <f t="shared" si="285"/>
        <v>0</v>
      </c>
      <c r="Y63" s="410">
        <f>X63/X54</f>
        <v>0</v>
      </c>
      <c r="Z63" s="76">
        <f>Z54*Y63</f>
        <v>0</v>
      </c>
      <c r="AA63" s="411">
        <f t="shared" si="286"/>
        <v>0</v>
      </c>
      <c r="AB63" s="76">
        <f>AB54</f>
        <v>37.81</v>
      </c>
      <c r="AC63" s="109">
        <f t="shared" si="309"/>
        <v>0</v>
      </c>
      <c r="AD63" s="71">
        <f t="shared" si="310"/>
        <v>0</v>
      </c>
      <c r="AE63" s="71"/>
      <c r="AF63" s="108"/>
      <c r="AG63" s="100">
        <f t="shared" si="311"/>
        <v>0</v>
      </c>
      <c r="AH63" s="222">
        <f t="shared" si="289"/>
        <v>0</v>
      </c>
      <c r="AI63" s="410">
        <f>AH63/AH54</f>
        <v>0</v>
      </c>
      <c r="AJ63" s="76">
        <f>AJ54*AI63</f>
        <v>0</v>
      </c>
      <c r="AK63" s="411">
        <f t="shared" si="290"/>
        <v>0</v>
      </c>
      <c r="AL63" s="76">
        <f>AL54</f>
        <v>37.81</v>
      </c>
      <c r="AM63" s="109">
        <f t="shared" si="312"/>
        <v>0</v>
      </c>
      <c r="AN63" s="71">
        <f t="shared" si="313"/>
        <v>0</v>
      </c>
      <c r="AO63" s="71"/>
      <c r="AP63" s="108"/>
      <c r="AQ63" s="100">
        <f t="shared" si="314"/>
        <v>0</v>
      </c>
      <c r="AR63" s="222">
        <f t="shared" si="291"/>
        <v>0</v>
      </c>
      <c r="AS63" s="410">
        <f>AR63/AR54</f>
        <v>0</v>
      </c>
      <c r="AT63" s="76">
        <f>AT54*AS63</f>
        <v>0</v>
      </c>
      <c r="AU63" s="411">
        <f t="shared" si="292"/>
        <v>0</v>
      </c>
      <c r="AV63" s="76">
        <f>AV54</f>
        <v>0</v>
      </c>
      <c r="AW63" s="109">
        <f t="shared" si="315"/>
        <v>0</v>
      </c>
      <c r="AX63" s="71">
        <f t="shared" si="316"/>
        <v>0</v>
      </c>
      <c r="AY63" s="71"/>
      <c r="AZ63" s="108"/>
      <c r="BA63" s="100">
        <f t="shared" si="317"/>
        <v>0</v>
      </c>
      <c r="BB63" s="222">
        <f t="shared" si="318"/>
        <v>3816</v>
      </c>
      <c r="BC63" s="410">
        <f>BB63/BB54</f>
        <v>2.96E-3</v>
      </c>
      <c r="BD63" s="76">
        <f>BD54*BC63</f>
        <v>7.45</v>
      </c>
      <c r="BE63" s="411">
        <f t="shared" si="296"/>
        <v>1.9523100000000001E-3</v>
      </c>
      <c r="BF63" s="76">
        <f>BF54</f>
        <v>33.840000000000003</v>
      </c>
      <c r="BG63" s="109">
        <f t="shared" si="319"/>
        <v>7.0000000000000007E-2</v>
      </c>
      <c r="BH63" s="71">
        <f t="shared" si="320"/>
        <v>267.12</v>
      </c>
      <c r="BI63" s="71"/>
      <c r="BJ63" s="108"/>
      <c r="BL63" s="309">
        <f t="shared" si="321"/>
        <v>267</v>
      </c>
    </row>
    <row r="64" spans="1:64" x14ac:dyDescent="0.25">
      <c r="A64" s="5"/>
      <c r="B64" s="412" t="s">
        <v>828</v>
      </c>
      <c r="C64" s="4" t="s">
        <v>57</v>
      </c>
      <c r="D64" s="222">
        <f t="shared" si="276"/>
        <v>2268</v>
      </c>
      <c r="E64" s="100">
        <f>D64/D54</f>
        <v>4.8700000000000002E-3</v>
      </c>
      <c r="F64" s="71">
        <f>F54*E64</f>
        <v>6.44</v>
      </c>
      <c r="G64" s="111">
        <f t="shared" si="277"/>
        <v>2.83951E-3</v>
      </c>
      <c r="H64" s="76">
        <f>H54</f>
        <v>30.25</v>
      </c>
      <c r="I64" s="109">
        <f t="shared" ref="I64" si="322">G64*H64</f>
        <v>8.5900000000000004E-2</v>
      </c>
      <c r="J64" s="71">
        <f t="shared" ref="J64" si="323">I64*D64</f>
        <v>194.82</v>
      </c>
      <c r="K64" s="71"/>
      <c r="L64" s="108"/>
      <c r="M64" s="100">
        <f t="shared" ref="M64" si="324">I64/BG64</f>
        <v>1.2271399999999999</v>
      </c>
      <c r="N64" s="222">
        <f t="shared" si="281"/>
        <v>0</v>
      </c>
      <c r="O64" s="100">
        <f>N64/N54</f>
        <v>0</v>
      </c>
      <c r="P64" s="71">
        <f>P54*O64</f>
        <v>0</v>
      </c>
      <c r="Q64" s="111">
        <f t="shared" si="282"/>
        <v>0</v>
      </c>
      <c r="R64" s="76">
        <f>R54</f>
        <v>37.81</v>
      </c>
      <c r="S64" s="109">
        <f t="shared" ref="S64" si="325">Q64*R64</f>
        <v>0</v>
      </c>
      <c r="T64" s="71">
        <f t="shared" ref="T64" si="326">S64*N64</f>
        <v>0</v>
      </c>
      <c r="U64" s="71"/>
      <c r="V64" s="108"/>
      <c r="W64" s="100">
        <f t="shared" ref="W64" si="327">S64/BG64</f>
        <v>0</v>
      </c>
      <c r="X64" s="222">
        <f t="shared" si="285"/>
        <v>5976</v>
      </c>
      <c r="Y64" s="100">
        <f>X64/X54</f>
        <v>2.5069999999999999E-2</v>
      </c>
      <c r="Z64" s="71">
        <f>Z54*Y64</f>
        <v>12.43</v>
      </c>
      <c r="AA64" s="111">
        <f t="shared" si="286"/>
        <v>2.0799899999999999E-3</v>
      </c>
      <c r="AB64" s="76">
        <f>AB54</f>
        <v>37.81</v>
      </c>
      <c r="AC64" s="109">
        <f t="shared" ref="AC64" si="328">AA64*AB64</f>
        <v>7.8640000000000002E-2</v>
      </c>
      <c r="AD64" s="71">
        <f t="shared" ref="AD64" si="329">AC64*X64</f>
        <v>469.95</v>
      </c>
      <c r="AE64" s="71"/>
      <c r="AF64" s="108"/>
      <c r="AG64" s="100">
        <f t="shared" ref="AG64" si="330">AC64/BG64</f>
        <v>1.1234299999999999</v>
      </c>
      <c r="AH64" s="222">
        <f t="shared" si="289"/>
        <v>0</v>
      </c>
      <c r="AI64" s="100">
        <f>AH64/AH54</f>
        <v>0</v>
      </c>
      <c r="AJ64" s="71">
        <f>AJ54*AI64</f>
        <v>0</v>
      </c>
      <c r="AK64" s="111">
        <f t="shared" si="290"/>
        <v>0</v>
      </c>
      <c r="AL64" s="76">
        <f>AL54</f>
        <v>37.81</v>
      </c>
      <c r="AM64" s="109">
        <f t="shared" ref="AM64" si="331">AK64*AL64</f>
        <v>0</v>
      </c>
      <c r="AN64" s="71">
        <f t="shared" ref="AN64" si="332">AM64*AH64</f>
        <v>0</v>
      </c>
      <c r="AO64" s="71"/>
      <c r="AP64" s="108"/>
      <c r="AQ64" s="100">
        <f t="shared" ref="AQ64" si="333">AM64/BG64</f>
        <v>0</v>
      </c>
      <c r="AR64" s="222">
        <f t="shared" si="291"/>
        <v>0</v>
      </c>
      <c r="AS64" s="100">
        <f>AR64/AR54</f>
        <v>0</v>
      </c>
      <c r="AT64" s="71">
        <f>AT54*AS64</f>
        <v>0</v>
      </c>
      <c r="AU64" s="111">
        <f t="shared" si="292"/>
        <v>0</v>
      </c>
      <c r="AV64" s="76">
        <f>AV54</f>
        <v>0</v>
      </c>
      <c r="AW64" s="109">
        <f t="shared" ref="AW64" si="334">AU64*AV64</f>
        <v>0</v>
      </c>
      <c r="AX64" s="71">
        <f t="shared" ref="AX64" si="335">AW64*AR64</f>
        <v>0</v>
      </c>
      <c r="AY64" s="71"/>
      <c r="AZ64" s="108"/>
      <c r="BA64" s="100">
        <f t="shared" ref="BA64" si="336">AW64/BG64</f>
        <v>0</v>
      </c>
      <c r="BB64" s="222">
        <f t="shared" ref="BB64" si="337">D64+N64+X64+AH64+AR64</f>
        <v>8244</v>
      </c>
      <c r="BC64" s="100">
        <f>BB64/BB54</f>
        <v>6.3899999999999998E-3</v>
      </c>
      <c r="BD64" s="71">
        <f>BD54*BC64</f>
        <v>16.079999999999998</v>
      </c>
      <c r="BE64" s="111">
        <f t="shared" si="296"/>
        <v>1.9505099999999999E-3</v>
      </c>
      <c r="BF64" s="76">
        <f>BF54</f>
        <v>33.840000000000003</v>
      </c>
      <c r="BG64" s="109">
        <f t="shared" ref="BG64" si="338">ROUNDUP(BE64*BF64,2)</f>
        <v>7.0000000000000007E-2</v>
      </c>
      <c r="BH64" s="71">
        <f t="shared" ref="BH64" si="339">BG64*BB64</f>
        <v>577.08000000000004</v>
      </c>
      <c r="BI64" s="71"/>
      <c r="BJ64" s="108"/>
      <c r="BL64" s="309">
        <f t="shared" ref="BL64" si="340">BB64*BG64</f>
        <v>577</v>
      </c>
    </row>
    <row r="65" spans="1:64" x14ac:dyDescent="0.25">
      <c r="A65" s="5" t="s">
        <v>506</v>
      </c>
      <c r="B65" s="13" t="s">
        <v>377</v>
      </c>
      <c r="C65" s="4" t="s">
        <v>57</v>
      </c>
      <c r="D65" s="19">
        <f>SUM(D67:D75)</f>
        <v>465288</v>
      </c>
      <c r="E65" s="4"/>
      <c r="F65" s="74"/>
      <c r="G65" s="111"/>
      <c r="H65" s="71"/>
      <c r="I65" s="109">
        <f>I10+I21+I32+I43+I54</f>
        <v>5.36599</v>
      </c>
      <c r="J65" s="71">
        <f t="shared" si="279"/>
        <v>2496730.7599999998</v>
      </c>
      <c r="K65" s="181">
        <f>K10+K21+K32+K43+K54</f>
        <v>2496658.31</v>
      </c>
      <c r="L65" s="108">
        <f>K65-J65</f>
        <v>-72.45</v>
      </c>
      <c r="M65" s="100">
        <f t="shared" si="280"/>
        <v>1.0366599999999999</v>
      </c>
      <c r="N65" s="19">
        <f>SUM(N67:N75)</f>
        <v>343104</v>
      </c>
      <c r="O65" s="4"/>
      <c r="P65" s="74"/>
      <c r="Q65" s="111"/>
      <c r="R65" s="71"/>
      <c r="S65" s="109">
        <f>S10+S21+S32+S43+S54</f>
        <v>6.5926900000000002</v>
      </c>
      <c r="T65" s="71">
        <f t="shared" si="284"/>
        <v>2261978.31</v>
      </c>
      <c r="U65" s="181">
        <f>U10+U21+U32+U43+U54</f>
        <v>2261981.75</v>
      </c>
      <c r="V65" s="108">
        <f>U65-T65</f>
        <v>3.44</v>
      </c>
      <c r="W65" s="100">
        <f t="shared" si="1"/>
        <v>1.2736400000000001</v>
      </c>
      <c r="X65" s="19">
        <f>SUM(X67:X75)</f>
        <v>238356</v>
      </c>
      <c r="Y65" s="4"/>
      <c r="Z65" s="74"/>
      <c r="AA65" s="111"/>
      <c r="AB65" s="71"/>
      <c r="AC65" s="109">
        <f>AC10+AC21+AC32+AC43+AC54</f>
        <v>7.5526799999999996</v>
      </c>
      <c r="AD65" s="71">
        <f t="shared" si="288"/>
        <v>1800226.59</v>
      </c>
      <c r="AE65" s="181">
        <f>AE10+AE21+AE32+AE43+AE54</f>
        <v>1800229.73</v>
      </c>
      <c r="AF65" s="108">
        <f>AE65-AD65</f>
        <v>3.14</v>
      </c>
      <c r="AG65" s="100">
        <f t="shared" si="2"/>
        <v>1.4591099999999999</v>
      </c>
      <c r="AH65" s="19">
        <f>SUM(AH67:AH75)</f>
        <v>147528</v>
      </c>
      <c r="AI65" s="4"/>
      <c r="AJ65" s="74"/>
      <c r="AK65" s="111"/>
      <c r="AL65" s="71"/>
      <c r="AM65" s="109">
        <f>AM10+AM21+AM32+AM43+AM54</f>
        <v>0.79971000000000003</v>
      </c>
      <c r="AN65" s="71">
        <f t="shared" si="298"/>
        <v>117979.62</v>
      </c>
      <c r="AO65" s="181">
        <f>AO10+AO21+AO32+AO43+AO54</f>
        <v>117978.54</v>
      </c>
      <c r="AP65" s="108">
        <f>AO65-AN65</f>
        <v>-1.08</v>
      </c>
      <c r="AQ65" s="100">
        <f t="shared" si="3"/>
        <v>0.1545</v>
      </c>
      <c r="AR65" s="19">
        <f>SUM(AR67:AR75)</f>
        <v>95760</v>
      </c>
      <c r="AS65" s="4"/>
      <c r="AT65" s="74"/>
      <c r="AU65" s="111"/>
      <c r="AV65" s="71"/>
      <c r="AW65" s="109">
        <f>AW10+AW21+AW32+AW43+AW54</f>
        <v>0</v>
      </c>
      <c r="AX65" s="71">
        <f t="shared" si="294"/>
        <v>0</v>
      </c>
      <c r="AY65" s="181">
        <f>AY10+AY21+AY32+AY43+AY54</f>
        <v>0</v>
      </c>
      <c r="AZ65" s="108">
        <f>AY65-AX65</f>
        <v>0</v>
      </c>
      <c r="BA65" s="100">
        <f>AW65/BG65</f>
        <v>0</v>
      </c>
      <c r="BB65" s="19">
        <f>SUM(BB67:BB75)</f>
        <v>1290036</v>
      </c>
      <c r="BC65" s="224"/>
      <c r="BD65" s="76"/>
      <c r="BE65" s="111"/>
      <c r="BF65" s="71"/>
      <c r="BG65" s="109">
        <f>BG10+BG21+BG32+BG43+BG54</f>
        <v>5.17624</v>
      </c>
      <c r="BH65" s="71">
        <f t="shared" si="301"/>
        <v>6677535.9400000004</v>
      </c>
      <c r="BI65" s="181">
        <f>BI10+BI21+BI32+BI43+BI54</f>
        <v>6676848.3300000001</v>
      </c>
      <c r="BJ65" s="108">
        <f>BI65-BH65</f>
        <v>-687.61</v>
      </c>
      <c r="BL65" s="309"/>
    </row>
    <row r="66" spans="1:64" s="104" customFormat="1" x14ac:dyDescent="0.25">
      <c r="A66" s="101"/>
      <c r="B66" s="102" t="s">
        <v>337</v>
      </c>
      <c r="C66" s="102"/>
      <c r="D66" s="223"/>
      <c r="E66" s="102"/>
      <c r="F66" s="108"/>
      <c r="G66" s="112"/>
      <c r="H66" s="108"/>
      <c r="I66" s="108"/>
      <c r="J66" s="108">
        <f>J65-(SUM(J67:J72))</f>
        <v>32664.41</v>
      </c>
      <c r="K66" s="108"/>
      <c r="L66" s="108"/>
      <c r="M66" s="102"/>
      <c r="N66" s="223"/>
      <c r="O66" s="102"/>
      <c r="P66" s="108"/>
      <c r="Q66" s="112"/>
      <c r="R66" s="108"/>
      <c r="S66" s="108"/>
      <c r="T66" s="108">
        <f>T65-(SUM(T67:T72))</f>
        <v>70178.83</v>
      </c>
      <c r="U66" s="108"/>
      <c r="V66" s="108"/>
      <c r="W66" s="100"/>
      <c r="X66" s="223"/>
      <c r="Y66" s="102"/>
      <c r="Z66" s="108"/>
      <c r="AA66" s="112"/>
      <c r="AB66" s="108"/>
      <c r="AC66" s="108"/>
      <c r="AD66" s="108">
        <f>AD65-(SUM(AD67:AD72))</f>
        <v>45127.24</v>
      </c>
      <c r="AE66" s="108"/>
      <c r="AF66" s="108"/>
      <c r="AG66" s="100"/>
      <c r="AH66" s="223"/>
      <c r="AI66" s="102"/>
      <c r="AJ66" s="108"/>
      <c r="AK66" s="112"/>
      <c r="AL66" s="108"/>
      <c r="AM66" s="108"/>
      <c r="AN66" s="108">
        <f>AN65-(SUM(AN67:AN72))</f>
        <v>0.01</v>
      </c>
      <c r="AO66" s="108"/>
      <c r="AP66" s="108"/>
      <c r="AQ66" s="100"/>
      <c r="AR66" s="223"/>
      <c r="AS66" s="102"/>
      <c r="AT66" s="108"/>
      <c r="AU66" s="112"/>
      <c r="AV66" s="108"/>
      <c r="AW66" s="108"/>
      <c r="AX66" s="108">
        <f>AX65-(SUM(AX67:AX72))</f>
        <v>0</v>
      </c>
      <c r="AY66" s="108"/>
      <c r="AZ66" s="108"/>
      <c r="BA66" s="102"/>
      <c r="BB66" s="103"/>
      <c r="BC66" s="102"/>
      <c r="BD66" s="108"/>
      <c r="BE66" s="112"/>
      <c r="BF66" s="108"/>
      <c r="BG66" s="108"/>
      <c r="BH66" s="108">
        <f>BH65-(SUM(BH67:BH72))</f>
        <v>104743.31</v>
      </c>
      <c r="BI66" s="108"/>
      <c r="BJ66" s="108"/>
    </row>
    <row r="67" spans="1:64" x14ac:dyDescent="0.25">
      <c r="A67" s="5"/>
      <c r="B67" s="12" t="s">
        <v>52</v>
      </c>
      <c r="C67" s="4"/>
      <c r="D67" s="222">
        <f t="shared" ref="D67:D75" si="341">D12</f>
        <v>12384</v>
      </c>
      <c r="E67" s="100"/>
      <c r="F67" s="71"/>
      <c r="G67" s="111"/>
      <c r="H67" s="76"/>
      <c r="I67" s="109">
        <f t="shared" ref="I67:J75" si="342">I12+I23+I34+I45+I56</f>
        <v>5.3662000000000001</v>
      </c>
      <c r="J67" s="71">
        <f t="shared" si="342"/>
        <v>66455.02</v>
      </c>
      <c r="K67" s="71"/>
      <c r="L67" s="108"/>
      <c r="M67" s="100">
        <f>I67/BG67</f>
        <v>1.03468</v>
      </c>
      <c r="N67" s="222">
        <f t="shared" ref="N67:N75" si="343">N12</f>
        <v>0</v>
      </c>
      <c r="O67" s="100"/>
      <c r="P67" s="71"/>
      <c r="Q67" s="111"/>
      <c r="R67" s="76"/>
      <c r="S67" s="109">
        <f t="shared" ref="S67:T75" si="344">S12+S23+S34+S45+S56</f>
        <v>0</v>
      </c>
      <c r="T67" s="71">
        <f t="shared" si="344"/>
        <v>0</v>
      </c>
      <c r="U67" s="71"/>
      <c r="V67" s="108"/>
      <c r="W67" s="100">
        <f>S67/BG67</f>
        <v>0</v>
      </c>
      <c r="X67" s="222">
        <f t="shared" ref="X67:X75" si="345">X12</f>
        <v>113328</v>
      </c>
      <c r="Y67" s="100"/>
      <c r="Z67" s="71"/>
      <c r="AA67" s="111"/>
      <c r="AB67" s="76"/>
      <c r="AC67" s="109">
        <f t="shared" ref="AC67:AD75" si="346">AC12+AC23+AC34+AC45+AC56</f>
        <v>7.5526999999999997</v>
      </c>
      <c r="AD67" s="71">
        <f t="shared" si="346"/>
        <v>855932.38</v>
      </c>
      <c r="AE67" s="71"/>
      <c r="AF67" s="108"/>
      <c r="AG67" s="100">
        <f>AC67/BG67</f>
        <v>1.45627</v>
      </c>
      <c r="AH67" s="222">
        <f t="shared" ref="AH67:AH75" si="347">AH12</f>
        <v>0</v>
      </c>
      <c r="AI67" s="100"/>
      <c r="AJ67" s="71"/>
      <c r="AK67" s="111"/>
      <c r="AL67" s="76"/>
      <c r="AM67" s="109">
        <f t="shared" ref="AM67:AN75" si="348">AM12+AM23+AM34+AM45+AM56</f>
        <v>0</v>
      </c>
      <c r="AN67" s="71">
        <f t="shared" si="348"/>
        <v>0</v>
      </c>
      <c r="AO67" s="71"/>
      <c r="AP67" s="108"/>
      <c r="AQ67" s="100">
        <f>AM67/BG67</f>
        <v>0</v>
      </c>
      <c r="AR67" s="222">
        <f t="shared" ref="AR67:AR75" si="349">AR12</f>
        <v>0</v>
      </c>
      <c r="AS67" s="100"/>
      <c r="AT67" s="71"/>
      <c r="AU67" s="111"/>
      <c r="AV67" s="76"/>
      <c r="AW67" s="109">
        <f t="shared" ref="AW67:AX75" si="350">AW12+AW23+AW34+AW45+AW56</f>
        <v>0</v>
      </c>
      <c r="AX67" s="71">
        <f t="shared" si="350"/>
        <v>0</v>
      </c>
      <c r="AY67" s="71"/>
      <c r="AZ67" s="108"/>
      <c r="BA67" s="100">
        <f>AW67/$BG67</f>
        <v>0</v>
      </c>
      <c r="BB67" s="222">
        <f>D67+N67+X67+AH67+AR67</f>
        <v>125712</v>
      </c>
      <c r="BC67" s="100"/>
      <c r="BD67" s="71"/>
      <c r="BE67" s="111"/>
      <c r="BF67" s="76"/>
      <c r="BG67" s="109">
        <f t="shared" ref="BG67:BH75" si="351">BG12+BG23+BG34+BG45+BG56</f>
        <v>5.1863400000000004</v>
      </c>
      <c r="BH67" s="71">
        <f t="shared" si="351"/>
        <v>651985.17000000004</v>
      </c>
      <c r="BI67" s="71"/>
      <c r="BJ67" s="108"/>
    </row>
    <row r="68" spans="1:64" x14ac:dyDescent="0.25">
      <c r="A68" s="5"/>
      <c r="B68" s="12" t="s">
        <v>53</v>
      </c>
      <c r="C68" s="4"/>
      <c r="D68" s="222">
        <f t="shared" si="341"/>
        <v>19872</v>
      </c>
      <c r="E68" s="100"/>
      <c r="F68" s="71"/>
      <c r="G68" s="111"/>
      <c r="H68" s="76"/>
      <c r="I68" s="109">
        <f t="shared" si="342"/>
        <v>5.3667499999999997</v>
      </c>
      <c r="J68" s="71">
        <f t="shared" si="342"/>
        <v>106648.06</v>
      </c>
      <c r="K68" s="71"/>
      <c r="L68" s="108"/>
      <c r="M68" s="100">
        <f t="shared" ref="M68:M72" si="352">I68/BG68</f>
        <v>1.0347900000000001</v>
      </c>
      <c r="N68" s="222">
        <f t="shared" si="343"/>
        <v>0</v>
      </c>
      <c r="O68" s="100"/>
      <c r="P68" s="71"/>
      <c r="Q68" s="111"/>
      <c r="R68" s="76"/>
      <c r="S68" s="109">
        <f t="shared" si="344"/>
        <v>0</v>
      </c>
      <c r="T68" s="71">
        <f t="shared" si="344"/>
        <v>0</v>
      </c>
      <c r="U68" s="71"/>
      <c r="V68" s="108"/>
      <c r="W68" s="100">
        <f t="shared" ref="W68:W72" si="353">S68/BG68</f>
        <v>0</v>
      </c>
      <c r="X68" s="222">
        <f t="shared" si="345"/>
        <v>16776</v>
      </c>
      <c r="Y68" s="100"/>
      <c r="Z68" s="71"/>
      <c r="AA68" s="111"/>
      <c r="AB68" s="76"/>
      <c r="AC68" s="109">
        <f t="shared" si="346"/>
        <v>7.5530799999999996</v>
      </c>
      <c r="AD68" s="71">
        <f t="shared" si="346"/>
        <v>126710.47</v>
      </c>
      <c r="AE68" s="71"/>
      <c r="AF68" s="108"/>
      <c r="AG68" s="100">
        <f t="shared" ref="AG68:AG72" si="354">AC68/BG68</f>
        <v>1.45634</v>
      </c>
      <c r="AH68" s="222">
        <f t="shared" si="347"/>
        <v>147528</v>
      </c>
      <c r="AI68" s="100"/>
      <c r="AJ68" s="71"/>
      <c r="AK68" s="111"/>
      <c r="AL68" s="76"/>
      <c r="AM68" s="109">
        <f t="shared" si="348"/>
        <v>0.79971000000000003</v>
      </c>
      <c r="AN68" s="71">
        <f t="shared" si="348"/>
        <v>117979.61</v>
      </c>
      <c r="AO68" s="71"/>
      <c r="AP68" s="108"/>
      <c r="AQ68" s="100">
        <f t="shared" ref="AQ68:AQ72" si="355">AM68/BG68</f>
        <v>0.1542</v>
      </c>
      <c r="AR68" s="222">
        <f t="shared" si="349"/>
        <v>0</v>
      </c>
      <c r="AS68" s="100"/>
      <c r="AT68" s="71"/>
      <c r="AU68" s="111"/>
      <c r="AV68" s="76"/>
      <c r="AW68" s="109">
        <f t="shared" si="350"/>
        <v>0</v>
      </c>
      <c r="AX68" s="71">
        <f t="shared" si="350"/>
        <v>0</v>
      </c>
      <c r="AY68" s="71"/>
      <c r="AZ68" s="108"/>
      <c r="BA68" s="100">
        <f t="shared" ref="BA68:BA72" si="356">AW68/BG68</f>
        <v>0</v>
      </c>
      <c r="BB68" s="222">
        <f t="shared" ref="BB68:BB72" si="357">D68+N68+X68+AH68+AR68</f>
        <v>184176</v>
      </c>
      <c r="BC68" s="100"/>
      <c r="BD68" s="71"/>
      <c r="BE68" s="111"/>
      <c r="BF68" s="76"/>
      <c r="BG68" s="109">
        <f t="shared" si="351"/>
        <v>5.1863400000000004</v>
      </c>
      <c r="BH68" s="71">
        <f t="shared" si="351"/>
        <v>955199.36</v>
      </c>
      <c r="BI68" s="71"/>
      <c r="BJ68" s="108"/>
    </row>
    <row r="69" spans="1:64" x14ac:dyDescent="0.25">
      <c r="A69" s="5"/>
      <c r="B69" s="12" t="s">
        <v>51</v>
      </c>
      <c r="C69" s="4"/>
      <c r="D69" s="222">
        <f t="shared" si="341"/>
        <v>35352</v>
      </c>
      <c r="E69" s="100"/>
      <c r="F69" s="71"/>
      <c r="G69" s="111"/>
      <c r="H69" s="76"/>
      <c r="I69" s="109">
        <f t="shared" si="342"/>
        <v>5.3657000000000004</v>
      </c>
      <c r="J69" s="71">
        <f t="shared" si="342"/>
        <v>189688.23</v>
      </c>
      <c r="K69" s="71"/>
      <c r="L69" s="108"/>
      <c r="M69" s="100">
        <f t="shared" si="352"/>
        <v>1.0345899999999999</v>
      </c>
      <c r="N69" s="222">
        <f t="shared" si="343"/>
        <v>73608</v>
      </c>
      <c r="O69" s="100"/>
      <c r="P69" s="71"/>
      <c r="Q69" s="111"/>
      <c r="R69" s="76"/>
      <c r="S69" s="109">
        <f t="shared" si="344"/>
        <v>6.5926900000000002</v>
      </c>
      <c r="T69" s="71">
        <f t="shared" si="344"/>
        <v>485274.72</v>
      </c>
      <c r="U69" s="71"/>
      <c r="V69" s="108"/>
      <c r="W69" s="100">
        <f t="shared" si="353"/>
        <v>1.2711699999999999</v>
      </c>
      <c r="X69" s="222">
        <f t="shared" si="345"/>
        <v>18360</v>
      </c>
      <c r="Y69" s="100"/>
      <c r="Z69" s="71"/>
      <c r="AA69" s="111"/>
      <c r="AB69" s="76"/>
      <c r="AC69" s="109">
        <f t="shared" si="346"/>
        <v>7.5527199999999999</v>
      </c>
      <c r="AD69" s="71">
        <f t="shared" si="346"/>
        <v>138667.94</v>
      </c>
      <c r="AE69" s="71"/>
      <c r="AF69" s="108"/>
      <c r="AG69" s="100">
        <f t="shared" si="354"/>
        <v>1.45627</v>
      </c>
      <c r="AH69" s="222">
        <f t="shared" si="347"/>
        <v>0</v>
      </c>
      <c r="AI69" s="100"/>
      <c r="AJ69" s="71"/>
      <c r="AK69" s="111"/>
      <c r="AL69" s="76"/>
      <c r="AM69" s="109">
        <f t="shared" si="348"/>
        <v>0</v>
      </c>
      <c r="AN69" s="71">
        <f t="shared" si="348"/>
        <v>0</v>
      </c>
      <c r="AO69" s="71"/>
      <c r="AP69" s="108"/>
      <c r="AQ69" s="100">
        <f t="shared" si="355"/>
        <v>0</v>
      </c>
      <c r="AR69" s="222">
        <f t="shared" si="349"/>
        <v>0</v>
      </c>
      <c r="AS69" s="100"/>
      <c r="AT69" s="71"/>
      <c r="AU69" s="111"/>
      <c r="AV69" s="76"/>
      <c r="AW69" s="109">
        <f t="shared" si="350"/>
        <v>0</v>
      </c>
      <c r="AX69" s="71">
        <f t="shared" si="350"/>
        <v>0</v>
      </c>
      <c r="AY69" s="71"/>
      <c r="AZ69" s="108"/>
      <c r="BA69" s="100">
        <f t="shared" si="356"/>
        <v>0</v>
      </c>
      <c r="BB69" s="222">
        <f t="shared" si="357"/>
        <v>127320</v>
      </c>
      <c r="BC69" s="100"/>
      <c r="BD69" s="71"/>
      <c r="BE69" s="111"/>
      <c r="BF69" s="76"/>
      <c r="BG69" s="109">
        <f t="shared" si="351"/>
        <v>5.1863299999999999</v>
      </c>
      <c r="BH69" s="71">
        <f t="shared" si="351"/>
        <v>660323.54</v>
      </c>
      <c r="BI69" s="71"/>
      <c r="BJ69" s="108"/>
    </row>
    <row r="70" spans="1:64" x14ac:dyDescent="0.25">
      <c r="A70" s="5"/>
      <c r="B70" s="12" t="s">
        <v>54</v>
      </c>
      <c r="C70" s="4"/>
      <c r="D70" s="222">
        <f t="shared" si="341"/>
        <v>272292</v>
      </c>
      <c r="E70" s="100"/>
      <c r="F70" s="71"/>
      <c r="G70" s="111"/>
      <c r="H70" s="76"/>
      <c r="I70" s="109">
        <f t="shared" si="342"/>
        <v>5.3658999999999999</v>
      </c>
      <c r="J70" s="71">
        <f t="shared" si="342"/>
        <v>1461091.64</v>
      </c>
      <c r="K70" s="71"/>
      <c r="L70" s="108"/>
      <c r="M70" s="100">
        <f t="shared" si="352"/>
        <v>1.0346200000000001</v>
      </c>
      <c r="N70" s="222">
        <f t="shared" si="343"/>
        <v>128520</v>
      </c>
      <c r="O70" s="100"/>
      <c r="P70" s="71"/>
      <c r="Q70" s="111"/>
      <c r="R70" s="76"/>
      <c r="S70" s="109">
        <f t="shared" si="344"/>
        <v>6.59274</v>
      </c>
      <c r="T70" s="71">
        <f t="shared" si="344"/>
        <v>847298.94</v>
      </c>
      <c r="U70" s="71"/>
      <c r="V70" s="108"/>
      <c r="W70" s="100">
        <f t="shared" si="353"/>
        <v>1.2711699999999999</v>
      </c>
      <c r="X70" s="222">
        <f t="shared" si="345"/>
        <v>61020</v>
      </c>
      <c r="Y70" s="100"/>
      <c r="Z70" s="71"/>
      <c r="AA70" s="111"/>
      <c r="AB70" s="76"/>
      <c r="AC70" s="109">
        <f t="shared" si="346"/>
        <v>7.5526600000000004</v>
      </c>
      <c r="AD70" s="71">
        <f t="shared" si="346"/>
        <v>460863.31</v>
      </c>
      <c r="AE70" s="71"/>
      <c r="AF70" s="108"/>
      <c r="AG70" s="100">
        <f t="shared" si="354"/>
        <v>1.4562600000000001</v>
      </c>
      <c r="AH70" s="222">
        <f t="shared" si="347"/>
        <v>0</v>
      </c>
      <c r="AI70" s="100"/>
      <c r="AJ70" s="71"/>
      <c r="AK70" s="111"/>
      <c r="AL70" s="76"/>
      <c r="AM70" s="109">
        <f t="shared" si="348"/>
        <v>0</v>
      </c>
      <c r="AN70" s="71">
        <f t="shared" si="348"/>
        <v>0</v>
      </c>
      <c r="AO70" s="71"/>
      <c r="AP70" s="108"/>
      <c r="AQ70" s="100">
        <f t="shared" si="355"/>
        <v>0</v>
      </c>
      <c r="AR70" s="222">
        <f t="shared" si="349"/>
        <v>0</v>
      </c>
      <c r="AS70" s="100"/>
      <c r="AT70" s="71"/>
      <c r="AU70" s="111"/>
      <c r="AV70" s="76"/>
      <c r="AW70" s="109">
        <f t="shared" si="350"/>
        <v>0</v>
      </c>
      <c r="AX70" s="71">
        <f t="shared" si="350"/>
        <v>0</v>
      </c>
      <c r="AY70" s="71"/>
      <c r="AZ70" s="108"/>
      <c r="BA70" s="100">
        <f t="shared" si="356"/>
        <v>0</v>
      </c>
      <c r="BB70" s="222">
        <f t="shared" si="357"/>
        <v>461832</v>
      </c>
      <c r="BC70" s="100"/>
      <c r="BD70" s="71"/>
      <c r="BE70" s="111"/>
      <c r="BF70" s="76"/>
      <c r="BG70" s="109">
        <f t="shared" si="351"/>
        <v>5.1863400000000004</v>
      </c>
      <c r="BH70" s="71">
        <f t="shared" si="351"/>
        <v>2395217.77</v>
      </c>
      <c r="BI70" s="71"/>
      <c r="BJ70" s="108"/>
    </row>
    <row r="71" spans="1:64" x14ac:dyDescent="0.25">
      <c r="A71" s="5"/>
      <c r="B71" s="12" t="s">
        <v>55</v>
      </c>
      <c r="C71" s="4"/>
      <c r="D71" s="222">
        <f t="shared" si="341"/>
        <v>18504</v>
      </c>
      <c r="E71" s="100"/>
      <c r="F71" s="71"/>
      <c r="G71" s="111"/>
      <c r="H71" s="76"/>
      <c r="I71" s="109">
        <f t="shared" si="342"/>
        <v>5.3662799999999997</v>
      </c>
      <c r="J71" s="71">
        <f t="shared" si="342"/>
        <v>99297.65</v>
      </c>
      <c r="K71" s="71"/>
      <c r="L71" s="108"/>
      <c r="M71" s="100">
        <f t="shared" si="352"/>
        <v>1.0346900000000001</v>
      </c>
      <c r="N71" s="222">
        <f t="shared" si="343"/>
        <v>12816</v>
      </c>
      <c r="O71" s="100"/>
      <c r="P71" s="71"/>
      <c r="Q71" s="111"/>
      <c r="R71" s="76"/>
      <c r="S71" s="109">
        <f t="shared" si="344"/>
        <v>6.5926600000000004</v>
      </c>
      <c r="T71" s="71">
        <f t="shared" si="344"/>
        <v>84491.53</v>
      </c>
      <c r="U71" s="71"/>
      <c r="V71" s="108"/>
      <c r="W71" s="100">
        <f t="shared" si="353"/>
        <v>1.2711600000000001</v>
      </c>
      <c r="X71" s="222">
        <f t="shared" si="345"/>
        <v>0</v>
      </c>
      <c r="Y71" s="100"/>
      <c r="Z71" s="71"/>
      <c r="AA71" s="111"/>
      <c r="AB71" s="76"/>
      <c r="AC71" s="109">
        <f t="shared" si="346"/>
        <v>0</v>
      </c>
      <c r="AD71" s="71">
        <f t="shared" si="346"/>
        <v>0</v>
      </c>
      <c r="AE71" s="71"/>
      <c r="AF71" s="108"/>
      <c r="AG71" s="100">
        <f t="shared" si="354"/>
        <v>0</v>
      </c>
      <c r="AH71" s="222">
        <f t="shared" si="347"/>
        <v>0</v>
      </c>
      <c r="AI71" s="100"/>
      <c r="AJ71" s="71"/>
      <c r="AK71" s="111"/>
      <c r="AL71" s="76"/>
      <c r="AM71" s="109">
        <f t="shared" si="348"/>
        <v>0</v>
      </c>
      <c r="AN71" s="71">
        <f t="shared" si="348"/>
        <v>0</v>
      </c>
      <c r="AO71" s="71"/>
      <c r="AP71" s="108"/>
      <c r="AQ71" s="100">
        <f t="shared" si="355"/>
        <v>0</v>
      </c>
      <c r="AR71" s="222">
        <f t="shared" si="349"/>
        <v>95760</v>
      </c>
      <c r="AS71" s="100"/>
      <c r="AT71" s="71"/>
      <c r="AU71" s="111"/>
      <c r="AV71" s="76"/>
      <c r="AW71" s="109">
        <f t="shared" si="350"/>
        <v>0</v>
      </c>
      <c r="AX71" s="71">
        <f t="shared" si="350"/>
        <v>0</v>
      </c>
      <c r="AY71" s="71"/>
      <c r="AZ71" s="108"/>
      <c r="BA71" s="100">
        <f t="shared" si="356"/>
        <v>0</v>
      </c>
      <c r="BB71" s="222">
        <f t="shared" si="357"/>
        <v>127080</v>
      </c>
      <c r="BC71" s="100"/>
      <c r="BD71" s="71"/>
      <c r="BE71" s="111"/>
      <c r="BF71" s="76"/>
      <c r="BG71" s="109">
        <f t="shared" si="351"/>
        <v>5.1863400000000004</v>
      </c>
      <c r="BH71" s="71">
        <f t="shared" si="351"/>
        <v>659080.09</v>
      </c>
      <c r="BI71" s="71"/>
      <c r="BJ71" s="108"/>
    </row>
    <row r="72" spans="1:64" x14ac:dyDescent="0.25">
      <c r="A72" s="5"/>
      <c r="B72" s="12" t="s">
        <v>56</v>
      </c>
      <c r="C72" s="4"/>
      <c r="D72" s="222">
        <f t="shared" si="341"/>
        <v>100800</v>
      </c>
      <c r="E72" s="100"/>
      <c r="F72" s="71"/>
      <c r="G72" s="111"/>
      <c r="H72" s="76"/>
      <c r="I72" s="109">
        <f t="shared" si="342"/>
        <v>5.3659299999999996</v>
      </c>
      <c r="J72" s="71">
        <f t="shared" si="342"/>
        <v>540885.75</v>
      </c>
      <c r="K72" s="71"/>
      <c r="L72" s="108"/>
      <c r="M72" s="100">
        <f t="shared" si="352"/>
        <v>1.0346299999999999</v>
      </c>
      <c r="N72" s="222">
        <f t="shared" si="343"/>
        <v>117512</v>
      </c>
      <c r="O72" s="100"/>
      <c r="P72" s="71"/>
      <c r="Q72" s="111"/>
      <c r="R72" s="76"/>
      <c r="S72" s="109">
        <f t="shared" si="344"/>
        <v>6.5928100000000001</v>
      </c>
      <c r="T72" s="71">
        <f t="shared" si="344"/>
        <v>774734.29</v>
      </c>
      <c r="U72" s="71"/>
      <c r="V72" s="108"/>
      <c r="W72" s="100">
        <f t="shared" si="353"/>
        <v>1.27119</v>
      </c>
      <c r="X72" s="222">
        <f t="shared" si="345"/>
        <v>22896</v>
      </c>
      <c r="Y72" s="100"/>
      <c r="Z72" s="71"/>
      <c r="AA72" s="111"/>
      <c r="AB72" s="76"/>
      <c r="AC72" s="109">
        <f t="shared" si="346"/>
        <v>7.5526400000000002</v>
      </c>
      <c r="AD72" s="71">
        <f t="shared" si="346"/>
        <v>172925.25</v>
      </c>
      <c r="AE72" s="71"/>
      <c r="AF72" s="108"/>
      <c r="AG72" s="100">
        <f t="shared" si="354"/>
        <v>1.4562600000000001</v>
      </c>
      <c r="AH72" s="222">
        <f t="shared" si="347"/>
        <v>0</v>
      </c>
      <c r="AI72" s="100"/>
      <c r="AJ72" s="71"/>
      <c r="AK72" s="111"/>
      <c r="AL72" s="76"/>
      <c r="AM72" s="109">
        <f t="shared" si="348"/>
        <v>0</v>
      </c>
      <c r="AN72" s="71">
        <f t="shared" si="348"/>
        <v>0</v>
      </c>
      <c r="AO72" s="71"/>
      <c r="AP72" s="108"/>
      <c r="AQ72" s="100">
        <f t="shared" si="355"/>
        <v>0</v>
      </c>
      <c r="AR72" s="222">
        <f t="shared" si="349"/>
        <v>0</v>
      </c>
      <c r="AS72" s="100"/>
      <c r="AT72" s="71"/>
      <c r="AU72" s="111"/>
      <c r="AV72" s="76"/>
      <c r="AW72" s="109">
        <f t="shared" si="350"/>
        <v>0</v>
      </c>
      <c r="AX72" s="71">
        <f t="shared" si="350"/>
        <v>0</v>
      </c>
      <c r="AY72" s="71"/>
      <c r="AZ72" s="108"/>
      <c r="BA72" s="100">
        <f t="shared" si="356"/>
        <v>0</v>
      </c>
      <c r="BB72" s="222">
        <f t="shared" si="357"/>
        <v>241208</v>
      </c>
      <c r="BC72" s="100"/>
      <c r="BD72" s="71"/>
      <c r="BE72" s="111"/>
      <c r="BF72" s="76"/>
      <c r="BG72" s="109">
        <f t="shared" si="351"/>
        <v>5.1863400000000004</v>
      </c>
      <c r="BH72" s="71">
        <f t="shared" si="351"/>
        <v>1250986.7</v>
      </c>
      <c r="BI72" s="71"/>
      <c r="BJ72" s="108"/>
    </row>
    <row r="73" spans="1:64" x14ac:dyDescent="0.25">
      <c r="A73" s="5"/>
      <c r="B73" s="412" t="s">
        <v>441</v>
      </c>
      <c r="C73" s="4"/>
      <c r="D73" s="222">
        <f t="shared" si="341"/>
        <v>0</v>
      </c>
      <c r="E73" s="100"/>
      <c r="F73" s="71"/>
      <c r="G73" s="111"/>
      <c r="H73" s="76"/>
      <c r="I73" s="109">
        <f t="shared" si="342"/>
        <v>0</v>
      </c>
      <c r="J73" s="71">
        <f t="shared" si="342"/>
        <v>0</v>
      </c>
      <c r="K73" s="71"/>
      <c r="L73" s="108"/>
      <c r="M73" s="100">
        <f t="shared" ref="M73:M74" si="358">I73/BG73</f>
        <v>0</v>
      </c>
      <c r="N73" s="222">
        <f t="shared" si="343"/>
        <v>10648</v>
      </c>
      <c r="O73" s="100"/>
      <c r="P73" s="71"/>
      <c r="Q73" s="111"/>
      <c r="R73" s="76"/>
      <c r="S73" s="109">
        <f t="shared" si="344"/>
        <v>6.5907900000000001</v>
      </c>
      <c r="T73" s="71">
        <f t="shared" si="344"/>
        <v>70178.720000000001</v>
      </c>
      <c r="U73" s="71"/>
      <c r="V73" s="108"/>
      <c r="W73" s="100">
        <f t="shared" ref="W73:W74" si="359">S73/BG73</f>
        <v>1.2708299999999999</v>
      </c>
      <c r="X73" s="222">
        <f t="shared" si="345"/>
        <v>0</v>
      </c>
      <c r="Y73" s="100"/>
      <c r="Z73" s="71"/>
      <c r="AA73" s="111"/>
      <c r="AB73" s="76"/>
      <c r="AC73" s="109">
        <f t="shared" si="346"/>
        <v>0</v>
      </c>
      <c r="AD73" s="71">
        <f t="shared" si="346"/>
        <v>0</v>
      </c>
      <c r="AE73" s="71"/>
      <c r="AF73" s="108"/>
      <c r="AG73" s="100">
        <f t="shared" ref="AG73:AG74" si="360">AC73/BG73</f>
        <v>0</v>
      </c>
      <c r="AH73" s="222">
        <f t="shared" si="347"/>
        <v>0</v>
      </c>
      <c r="AI73" s="100"/>
      <c r="AJ73" s="71"/>
      <c r="AK73" s="111"/>
      <c r="AL73" s="76"/>
      <c r="AM73" s="109">
        <f t="shared" si="348"/>
        <v>0</v>
      </c>
      <c r="AN73" s="71">
        <f t="shared" si="348"/>
        <v>0</v>
      </c>
      <c r="AO73" s="71"/>
      <c r="AP73" s="108"/>
      <c r="AQ73" s="100">
        <f t="shared" ref="AQ73:AQ74" si="361">AM73/BG73</f>
        <v>0</v>
      </c>
      <c r="AR73" s="222">
        <f t="shared" si="349"/>
        <v>0</v>
      </c>
      <c r="AS73" s="100"/>
      <c r="AT73" s="71"/>
      <c r="AU73" s="111"/>
      <c r="AV73" s="76"/>
      <c r="AW73" s="109">
        <f t="shared" si="350"/>
        <v>0</v>
      </c>
      <c r="AX73" s="71">
        <f t="shared" si="350"/>
        <v>0</v>
      </c>
      <c r="AY73" s="71"/>
      <c r="AZ73" s="108"/>
      <c r="BA73" s="100">
        <f t="shared" ref="BA73:BA74" si="362">AW73/BG73</f>
        <v>0</v>
      </c>
      <c r="BB73" s="222">
        <f t="shared" ref="BB73:BB74" si="363">D73+N73+X73+AH73+AR73</f>
        <v>10648</v>
      </c>
      <c r="BC73" s="100"/>
      <c r="BD73" s="71"/>
      <c r="BE73" s="111"/>
      <c r="BF73" s="76"/>
      <c r="BG73" s="109">
        <f t="shared" si="351"/>
        <v>5.1862000000000004</v>
      </c>
      <c r="BH73" s="71">
        <f t="shared" si="351"/>
        <v>55222.66</v>
      </c>
      <c r="BI73" s="71"/>
      <c r="BJ73" s="108"/>
    </row>
    <row r="74" spans="1:64" x14ac:dyDescent="0.25">
      <c r="A74" s="5"/>
      <c r="B74" s="412" t="s">
        <v>827</v>
      </c>
      <c r="C74" s="4"/>
      <c r="D74" s="222">
        <f t="shared" si="341"/>
        <v>3816</v>
      </c>
      <c r="E74" s="100"/>
      <c r="F74" s="71"/>
      <c r="G74" s="111"/>
      <c r="H74" s="76"/>
      <c r="I74" s="109">
        <f t="shared" si="342"/>
        <v>5.36212</v>
      </c>
      <c r="J74" s="71">
        <f t="shared" si="342"/>
        <v>20461.84</v>
      </c>
      <c r="K74" s="71"/>
      <c r="L74" s="108"/>
      <c r="M74" s="100">
        <f t="shared" si="358"/>
        <v>1.03386</v>
      </c>
      <c r="N74" s="222">
        <f t="shared" si="343"/>
        <v>0</v>
      </c>
      <c r="O74" s="100"/>
      <c r="P74" s="71"/>
      <c r="Q74" s="111"/>
      <c r="R74" s="76"/>
      <c r="S74" s="109">
        <f t="shared" si="344"/>
        <v>0</v>
      </c>
      <c r="T74" s="71">
        <f t="shared" si="344"/>
        <v>0</v>
      </c>
      <c r="U74" s="71"/>
      <c r="V74" s="108"/>
      <c r="W74" s="100">
        <f t="shared" si="359"/>
        <v>0</v>
      </c>
      <c r="X74" s="222">
        <f t="shared" si="345"/>
        <v>0</v>
      </c>
      <c r="Y74" s="100"/>
      <c r="Z74" s="71"/>
      <c r="AA74" s="111"/>
      <c r="AB74" s="76"/>
      <c r="AC74" s="109">
        <f t="shared" si="346"/>
        <v>0</v>
      </c>
      <c r="AD74" s="71">
        <f t="shared" si="346"/>
        <v>0</v>
      </c>
      <c r="AE74" s="71"/>
      <c r="AF74" s="108"/>
      <c r="AG74" s="100">
        <f t="shared" si="360"/>
        <v>0</v>
      </c>
      <c r="AH74" s="222">
        <f t="shared" si="347"/>
        <v>0</v>
      </c>
      <c r="AI74" s="100"/>
      <c r="AJ74" s="71"/>
      <c r="AK74" s="111"/>
      <c r="AL74" s="76"/>
      <c r="AM74" s="109">
        <f t="shared" si="348"/>
        <v>0</v>
      </c>
      <c r="AN74" s="71">
        <f t="shared" si="348"/>
        <v>0</v>
      </c>
      <c r="AO74" s="71"/>
      <c r="AP74" s="108"/>
      <c r="AQ74" s="100">
        <f t="shared" si="361"/>
        <v>0</v>
      </c>
      <c r="AR74" s="222">
        <f t="shared" si="349"/>
        <v>0</v>
      </c>
      <c r="AS74" s="100"/>
      <c r="AT74" s="71"/>
      <c r="AU74" s="111"/>
      <c r="AV74" s="76"/>
      <c r="AW74" s="109">
        <f t="shared" si="350"/>
        <v>0</v>
      </c>
      <c r="AX74" s="71">
        <f t="shared" si="350"/>
        <v>0</v>
      </c>
      <c r="AY74" s="71"/>
      <c r="AZ74" s="108"/>
      <c r="BA74" s="100">
        <f t="shared" si="362"/>
        <v>0</v>
      </c>
      <c r="BB74" s="222">
        <f t="shared" si="363"/>
        <v>3816</v>
      </c>
      <c r="BC74" s="100"/>
      <c r="BD74" s="71"/>
      <c r="BE74" s="111"/>
      <c r="BF74" s="76"/>
      <c r="BG74" s="109">
        <f t="shared" si="351"/>
        <v>5.1865300000000003</v>
      </c>
      <c r="BH74" s="71">
        <f t="shared" si="351"/>
        <v>19791.8</v>
      </c>
      <c r="BI74" s="71"/>
      <c r="BJ74" s="108"/>
    </row>
    <row r="75" spans="1:64" x14ac:dyDescent="0.25">
      <c r="A75" s="5"/>
      <c r="B75" s="412" t="s">
        <v>828</v>
      </c>
      <c r="C75" s="4"/>
      <c r="D75" s="222">
        <f t="shared" si="341"/>
        <v>2268</v>
      </c>
      <c r="E75" s="100"/>
      <c r="F75" s="71"/>
      <c r="G75" s="111"/>
      <c r="H75" s="76"/>
      <c r="I75" s="109">
        <f t="shared" si="342"/>
        <v>5.3635599999999997</v>
      </c>
      <c r="J75" s="71">
        <f t="shared" si="342"/>
        <v>12164.55</v>
      </c>
      <c r="K75" s="71"/>
      <c r="L75" s="108"/>
      <c r="M75" s="100">
        <f t="shared" ref="M75" si="364">I75/BG75</f>
        <v>1.03417</v>
      </c>
      <c r="N75" s="222">
        <f t="shared" si="343"/>
        <v>0</v>
      </c>
      <c r="O75" s="100"/>
      <c r="P75" s="71"/>
      <c r="Q75" s="111"/>
      <c r="R75" s="76"/>
      <c r="S75" s="109">
        <f t="shared" si="344"/>
        <v>0</v>
      </c>
      <c r="T75" s="71">
        <f t="shared" si="344"/>
        <v>0</v>
      </c>
      <c r="U75" s="71"/>
      <c r="V75" s="108"/>
      <c r="W75" s="100">
        <f t="shared" ref="W75" si="365">S75/BG75</f>
        <v>0</v>
      </c>
      <c r="X75" s="222">
        <f t="shared" si="345"/>
        <v>5976</v>
      </c>
      <c r="Y75" s="100"/>
      <c r="Z75" s="71"/>
      <c r="AA75" s="111"/>
      <c r="AB75" s="76"/>
      <c r="AC75" s="109">
        <f t="shared" si="346"/>
        <v>7.55206</v>
      </c>
      <c r="AD75" s="71">
        <f t="shared" si="346"/>
        <v>45131.11</v>
      </c>
      <c r="AE75" s="71"/>
      <c r="AF75" s="108"/>
      <c r="AG75" s="100">
        <f t="shared" ref="AG75" si="366">AC75/BG75</f>
        <v>1.4561500000000001</v>
      </c>
      <c r="AH75" s="222">
        <f t="shared" si="347"/>
        <v>0</v>
      </c>
      <c r="AI75" s="100"/>
      <c r="AJ75" s="71"/>
      <c r="AK75" s="111"/>
      <c r="AL75" s="76"/>
      <c r="AM75" s="109">
        <f t="shared" si="348"/>
        <v>0</v>
      </c>
      <c r="AN75" s="71">
        <f t="shared" si="348"/>
        <v>0</v>
      </c>
      <c r="AO75" s="71"/>
      <c r="AP75" s="108"/>
      <c r="AQ75" s="100">
        <f t="shared" ref="AQ75" si="367">AM75/BG75</f>
        <v>0</v>
      </c>
      <c r="AR75" s="222">
        <f t="shared" si="349"/>
        <v>0</v>
      </c>
      <c r="AS75" s="100"/>
      <c r="AT75" s="71"/>
      <c r="AU75" s="111"/>
      <c r="AV75" s="76"/>
      <c r="AW75" s="109">
        <f t="shared" si="350"/>
        <v>0</v>
      </c>
      <c r="AX75" s="71">
        <f t="shared" si="350"/>
        <v>0</v>
      </c>
      <c r="AY75" s="71"/>
      <c r="AZ75" s="108"/>
      <c r="BA75" s="100">
        <f t="shared" ref="BA75" si="368">AW75/BG75</f>
        <v>0</v>
      </c>
      <c r="BB75" s="222">
        <f t="shared" ref="BB75" si="369">D75+N75+X75+AH75+AR75</f>
        <v>8244</v>
      </c>
      <c r="BC75" s="100"/>
      <c r="BD75" s="71"/>
      <c r="BE75" s="111"/>
      <c r="BF75" s="76"/>
      <c r="BG75" s="109">
        <f t="shared" si="351"/>
        <v>5.1863200000000003</v>
      </c>
      <c r="BH75" s="71">
        <f t="shared" si="351"/>
        <v>42756.02</v>
      </c>
      <c r="BI75" s="71"/>
      <c r="BJ75" s="108"/>
    </row>
    <row r="77" spans="1:64" x14ac:dyDescent="0.25">
      <c r="A77" s="5" t="s">
        <v>376</v>
      </c>
      <c r="B77" s="120" t="s">
        <v>503</v>
      </c>
      <c r="C77" s="4" t="s">
        <v>57</v>
      </c>
      <c r="D77" s="19">
        <f>SUM(D79:D87)</f>
        <v>465288</v>
      </c>
      <c r="E77" s="4"/>
      <c r="F77" s="156">
        <f>9.21*12</f>
        <v>110.52</v>
      </c>
      <c r="G77" s="111">
        <f>IF(D77&gt;0,F77/D77,0)</f>
        <v>2.3753000000000001E-4</v>
      </c>
      <c r="H77" s="71">
        <f>IF(K77&gt;0,K77/F77,0)</f>
        <v>854.75</v>
      </c>
      <c r="I77" s="109">
        <f>G77*H77</f>
        <v>0.20302999999999999</v>
      </c>
      <c r="J77" s="71">
        <f>I77*D77</f>
        <v>94467.42</v>
      </c>
      <c r="K77" s="156">
        <v>94466.97</v>
      </c>
      <c r="L77" s="108">
        <f>K77-J77</f>
        <v>-0.45</v>
      </c>
      <c r="M77" s="100">
        <f>I77/BG77</f>
        <v>0.47376000000000001</v>
      </c>
      <c r="N77" s="19">
        <f>SUM(N79:N87)</f>
        <v>343104</v>
      </c>
      <c r="O77" s="4"/>
      <c r="P77" s="156">
        <f>31.38*12</f>
        <v>376.56</v>
      </c>
      <c r="Q77" s="111">
        <f>IF(N77&gt;0,P77/N77,0)</f>
        <v>1.0975099999999999E-3</v>
      </c>
      <c r="R77" s="71">
        <f>IF(U77&gt;0,U77/P77,0)</f>
        <v>854.75</v>
      </c>
      <c r="S77" s="109">
        <f>Q77*R77</f>
        <v>0.93810000000000004</v>
      </c>
      <c r="T77" s="71">
        <f>S77*N77</f>
        <v>321865.86</v>
      </c>
      <c r="U77" s="156">
        <v>321864.65999999997</v>
      </c>
      <c r="V77" s="108">
        <f>U77-T77</f>
        <v>-1.2</v>
      </c>
      <c r="W77" s="100">
        <f>S77/BG77</f>
        <v>2.1890100000000001</v>
      </c>
      <c r="X77" s="19">
        <f>SUM(X79:X87)</f>
        <v>238356</v>
      </c>
      <c r="Y77" s="4"/>
      <c r="Z77" s="156">
        <f>12.14*12</f>
        <v>145.68</v>
      </c>
      <c r="AA77" s="111">
        <f>IF(X77&gt;0,Z77/X77,0)</f>
        <v>6.1118999999999995E-4</v>
      </c>
      <c r="AB77" s="71">
        <f>IF(AE77&gt;0,AE77/Z77,0)</f>
        <v>854.75</v>
      </c>
      <c r="AC77" s="109">
        <f>AA77*AB77</f>
        <v>0.52241000000000004</v>
      </c>
      <c r="AD77" s="71">
        <f>AC77*X77</f>
        <v>124519.56</v>
      </c>
      <c r="AE77" s="156">
        <v>124519.98</v>
      </c>
      <c r="AF77" s="108">
        <f>AE77-AD77</f>
        <v>0.42</v>
      </c>
      <c r="AG77" s="100">
        <f>AC77/BG77</f>
        <v>1.21902</v>
      </c>
      <c r="AH77" s="19">
        <f>SUM(AH79:AH87)</f>
        <v>147528</v>
      </c>
      <c r="AI77" s="4"/>
      <c r="AJ77" s="156">
        <f>1.17*12</f>
        <v>14.04</v>
      </c>
      <c r="AK77" s="111">
        <f>IF(AH77&gt;0,AJ77/AH77,0)</f>
        <v>9.5169999999999999E-5</v>
      </c>
      <c r="AL77" s="71">
        <f>IF(AO77&gt;0,AO77/AJ77,0)</f>
        <v>854.75</v>
      </c>
      <c r="AM77" s="109">
        <f>AK77*AL77</f>
        <v>8.1350000000000006E-2</v>
      </c>
      <c r="AN77" s="71">
        <f>AM77*AH77</f>
        <v>12001.4</v>
      </c>
      <c r="AO77" s="156">
        <v>12000.69</v>
      </c>
      <c r="AP77" s="108">
        <f>AO77-AN77</f>
        <v>-0.71</v>
      </c>
      <c r="AQ77" s="100">
        <f>AM77/BG77</f>
        <v>0.18983</v>
      </c>
      <c r="AR77" s="19">
        <f>SUM(AR79:AR87)</f>
        <v>95760</v>
      </c>
      <c r="AS77" s="4"/>
      <c r="AT77" s="156">
        <v>0</v>
      </c>
      <c r="AU77" s="111">
        <f>IF(AR77&gt;0,AT77/AR77,0)</f>
        <v>0</v>
      </c>
      <c r="AV77" s="71">
        <f>IF(AY77&gt;0,AY77/AT77,0)</f>
        <v>0</v>
      </c>
      <c r="AW77" s="109">
        <f>AU77*AV77</f>
        <v>0</v>
      </c>
      <c r="AX77" s="71">
        <f>AW77*AR77</f>
        <v>0</v>
      </c>
      <c r="AY77" s="156">
        <v>0</v>
      </c>
      <c r="AZ77" s="108">
        <f>AY77-AX77</f>
        <v>0</v>
      </c>
      <c r="BA77" s="100">
        <f>AW77/BG77</f>
        <v>0</v>
      </c>
      <c r="BB77" s="19">
        <f>SUM(BB79:BB87)</f>
        <v>1290036</v>
      </c>
      <c r="BC77" s="224"/>
      <c r="BD77" s="181">
        <f>F77+P77+Z77+AJ77+AT77</f>
        <v>646.79999999999995</v>
      </c>
      <c r="BE77" s="111">
        <f>IF(BB77&gt;0,BD77/BB77,0)</f>
        <v>5.0137999999999995E-4</v>
      </c>
      <c r="BF77" s="71">
        <f>IF(BI77&gt;0,BI77/BD77,0)</f>
        <v>854.75</v>
      </c>
      <c r="BG77" s="109">
        <f>BE77*BF77</f>
        <v>0.42854999999999999</v>
      </c>
      <c r="BH77" s="71">
        <f>BG77*BB77</f>
        <v>552844.93000000005</v>
      </c>
      <c r="BI77" s="181">
        <f>K77+U77+AE77+AO77+AY77</f>
        <v>552852.30000000005</v>
      </c>
      <c r="BJ77" s="108">
        <f>BI77-BH77</f>
        <v>7.37</v>
      </c>
      <c r="BL77" s="309">
        <f>SUM(BL78:BL84)</f>
        <v>544951</v>
      </c>
    </row>
    <row r="78" spans="1:64" s="104" customFormat="1" x14ac:dyDescent="0.25">
      <c r="A78" s="101"/>
      <c r="B78" s="102" t="s">
        <v>337</v>
      </c>
      <c r="C78" s="102"/>
      <c r="D78" s="223"/>
      <c r="E78" s="102"/>
      <c r="F78" s="108">
        <f>F77-(SUM(F79:F84))</f>
        <v>1.44</v>
      </c>
      <c r="G78" s="112"/>
      <c r="H78" s="108"/>
      <c r="I78" s="110"/>
      <c r="J78" s="108">
        <f>J77-(SUM(J79:J84))</f>
        <v>1230.55</v>
      </c>
      <c r="K78" s="108"/>
      <c r="L78" s="108"/>
      <c r="M78" s="102"/>
      <c r="N78" s="223"/>
      <c r="O78" s="102"/>
      <c r="P78" s="108">
        <f>P77-(SUM(P79:P84))</f>
        <v>11.69</v>
      </c>
      <c r="Q78" s="112"/>
      <c r="R78" s="108"/>
      <c r="S78" s="110"/>
      <c r="T78" s="108">
        <f>T77-(SUM(T79:T84))</f>
        <v>9993.82</v>
      </c>
      <c r="U78" s="108"/>
      <c r="V78" s="108"/>
      <c r="W78" s="100"/>
      <c r="X78" s="223"/>
      <c r="Y78" s="102"/>
      <c r="Z78" s="108">
        <f>Z77-(SUM(Z79:Z84))</f>
        <v>3.66</v>
      </c>
      <c r="AA78" s="112"/>
      <c r="AB78" s="108"/>
      <c r="AC78" s="110"/>
      <c r="AD78" s="108">
        <f>AD77-(SUM(AD79:AD84))</f>
        <v>3128.21</v>
      </c>
      <c r="AE78" s="108"/>
      <c r="AF78" s="108"/>
      <c r="AG78" s="100"/>
      <c r="AH78" s="223"/>
      <c r="AI78" s="102"/>
      <c r="AJ78" s="108">
        <f>AJ77-(SUM(AJ79:AJ84))</f>
        <v>0</v>
      </c>
      <c r="AK78" s="112"/>
      <c r="AL78" s="108"/>
      <c r="AM78" s="110"/>
      <c r="AN78" s="108">
        <f>AN77-(SUM(AN79:AN84))</f>
        <v>0</v>
      </c>
      <c r="AO78" s="108"/>
      <c r="AP78" s="108"/>
      <c r="AQ78" s="100"/>
      <c r="AR78" s="223"/>
      <c r="AS78" s="102"/>
      <c r="AT78" s="108">
        <f>AT77-(SUM(AT79:AT84))</f>
        <v>0</v>
      </c>
      <c r="AU78" s="112"/>
      <c r="AV78" s="108"/>
      <c r="AW78" s="110"/>
      <c r="AX78" s="108">
        <f>AX77-(SUM(AX79:AX84))</f>
        <v>0</v>
      </c>
      <c r="AY78" s="108"/>
      <c r="AZ78" s="108"/>
      <c r="BA78" s="102"/>
      <c r="BB78" s="103"/>
      <c r="BC78" s="102"/>
      <c r="BD78" s="108">
        <f>BD77-(SUM(BD79:BD84))</f>
        <v>11.39</v>
      </c>
      <c r="BE78" s="112"/>
      <c r="BF78" s="108"/>
      <c r="BG78" s="110"/>
      <c r="BH78" s="108">
        <f>BH77-(SUM(BH79:BH84))</f>
        <v>7893.89</v>
      </c>
      <c r="BI78" s="108"/>
      <c r="BJ78" s="108"/>
    </row>
    <row r="79" spans="1:64" x14ac:dyDescent="0.25">
      <c r="A79" s="5"/>
      <c r="B79" s="12" t="s">
        <v>52</v>
      </c>
      <c r="C79" s="4" t="s">
        <v>57</v>
      </c>
      <c r="D79" s="222">
        <f t="shared" ref="D79:D87" si="370">D12</f>
        <v>12384</v>
      </c>
      <c r="E79" s="100">
        <f>D79/D77</f>
        <v>2.6620000000000001E-2</v>
      </c>
      <c r="F79" s="71">
        <f>F77*E79</f>
        <v>2.94</v>
      </c>
      <c r="G79" s="111">
        <f t="shared" ref="G79:G87" si="371">IF(D79&gt;0,F79/D79,0)</f>
        <v>2.374E-4</v>
      </c>
      <c r="H79" s="76">
        <f>H77</f>
        <v>854.75</v>
      </c>
      <c r="I79" s="109">
        <f t="shared" ref="I79:I84" si="372">G79*H79</f>
        <v>0.20291999999999999</v>
      </c>
      <c r="J79" s="71">
        <f t="shared" ref="J79:J88" si="373">I79*D79</f>
        <v>2512.96</v>
      </c>
      <c r="K79" s="71"/>
      <c r="L79" s="108"/>
      <c r="M79" s="100">
        <f t="shared" ref="M79:M88" si="374">I79/BG79</f>
        <v>0.47191</v>
      </c>
      <c r="N79" s="222">
        <f t="shared" ref="N79:N87" si="375">N12</f>
        <v>0</v>
      </c>
      <c r="O79" s="100">
        <f>N79/N77</f>
        <v>0</v>
      </c>
      <c r="P79" s="71">
        <f>P77*O79</f>
        <v>0</v>
      </c>
      <c r="Q79" s="111">
        <f t="shared" ref="Q79:Q87" si="376">IF(N79&gt;0,P79/N79,0)</f>
        <v>0</v>
      </c>
      <c r="R79" s="76">
        <f>R77</f>
        <v>854.75</v>
      </c>
      <c r="S79" s="109">
        <f t="shared" ref="S79:S84" si="377">Q79*R79</f>
        <v>0</v>
      </c>
      <c r="T79" s="71">
        <f t="shared" ref="T79:T88" si="378">S79*N79</f>
        <v>0</v>
      </c>
      <c r="U79" s="71"/>
      <c r="V79" s="108"/>
      <c r="W79" s="100">
        <f t="shared" ref="W79:W88" si="379">S79/BG79</f>
        <v>0</v>
      </c>
      <c r="X79" s="222">
        <f t="shared" ref="X79:X87" si="380">X12</f>
        <v>113328</v>
      </c>
      <c r="Y79" s="100">
        <f>X79/X77</f>
        <v>0.47545999999999999</v>
      </c>
      <c r="Z79" s="71">
        <f>Z77*Y79</f>
        <v>69.27</v>
      </c>
      <c r="AA79" s="111">
        <f t="shared" ref="AA79:AA87" si="381">IF(X79&gt;0,Z79/X79,0)</f>
        <v>6.1123000000000004E-4</v>
      </c>
      <c r="AB79" s="76">
        <f>AB77</f>
        <v>854.75</v>
      </c>
      <c r="AC79" s="109">
        <f t="shared" ref="AC79:AC84" si="382">AA79*AB79</f>
        <v>0.52244999999999997</v>
      </c>
      <c r="AD79" s="71">
        <f t="shared" ref="AD79:AD88" si="383">AC79*X79</f>
        <v>59208.21</v>
      </c>
      <c r="AE79" s="71"/>
      <c r="AF79" s="108"/>
      <c r="AG79" s="100">
        <f t="shared" ref="AG79:AG88" si="384">AC79/BG79</f>
        <v>1.2150000000000001</v>
      </c>
      <c r="AH79" s="222">
        <f t="shared" ref="AH79:AH87" si="385">AH12</f>
        <v>0</v>
      </c>
      <c r="AI79" s="100">
        <f>AH79/AH77</f>
        <v>0</v>
      </c>
      <c r="AJ79" s="71">
        <f>AJ77*AI79</f>
        <v>0</v>
      </c>
      <c r="AK79" s="111">
        <f t="shared" ref="AK79:AK87" si="386">IF(AH79&gt;0,AJ79/AH79,0)</f>
        <v>0</v>
      </c>
      <c r="AL79" s="76">
        <f>AL77</f>
        <v>854.75</v>
      </c>
      <c r="AM79" s="109">
        <f>AK79*AL79</f>
        <v>0</v>
      </c>
      <c r="AN79" s="71">
        <f>AM79*AH79</f>
        <v>0</v>
      </c>
      <c r="AO79" s="71"/>
      <c r="AP79" s="108"/>
      <c r="AQ79" s="100">
        <f t="shared" ref="AQ79:AQ88" si="387">AM79/BG79</f>
        <v>0</v>
      </c>
      <c r="AR79" s="222">
        <f t="shared" ref="AR79:AR87" si="388">AR12</f>
        <v>0</v>
      </c>
      <c r="AS79" s="100">
        <f>AR79/AR77</f>
        <v>0</v>
      </c>
      <c r="AT79" s="71">
        <f>AT77*AS79</f>
        <v>0</v>
      </c>
      <c r="AU79" s="111">
        <f t="shared" ref="AU79:AU87" si="389">IF(AR79&gt;0,AT79/AR79,0)</f>
        <v>0</v>
      </c>
      <c r="AV79" s="76">
        <f>AV77</f>
        <v>0</v>
      </c>
      <c r="AW79" s="109">
        <f t="shared" ref="AW79:AW84" si="390">AU79*AV79</f>
        <v>0</v>
      </c>
      <c r="AX79" s="71">
        <f t="shared" ref="AX79:AX88" si="391">AW79*AR79</f>
        <v>0</v>
      </c>
      <c r="AY79" s="71"/>
      <c r="AZ79" s="108"/>
      <c r="BA79" s="100">
        <f t="shared" ref="BA79:BA84" si="392">AW79/BG79</f>
        <v>0</v>
      </c>
      <c r="BB79" s="222">
        <f>D79+N79+X79+AH79+AR79</f>
        <v>125712</v>
      </c>
      <c r="BC79" s="100">
        <f>BB79/BB77</f>
        <v>9.7449999999999995E-2</v>
      </c>
      <c r="BD79" s="71">
        <f>BD77*BC79</f>
        <v>63.03</v>
      </c>
      <c r="BE79" s="111">
        <f t="shared" ref="BE79:BE87" si="393">IF(BB79&gt;0,BD79/BB79,0)</f>
        <v>5.0137999999999995E-4</v>
      </c>
      <c r="BF79" s="76">
        <f>BF77</f>
        <v>854.75</v>
      </c>
      <c r="BG79" s="109">
        <f>ROUNDUP(BE79*BF79,2)</f>
        <v>0.43</v>
      </c>
      <c r="BH79" s="71">
        <f>BG79*BB79</f>
        <v>54056.160000000003</v>
      </c>
      <c r="BI79" s="71"/>
      <c r="BJ79" s="108"/>
      <c r="BL79" s="309">
        <f>BB79*BG79</f>
        <v>54056</v>
      </c>
    </row>
    <row r="80" spans="1:64" x14ac:dyDescent="0.25">
      <c r="A80" s="5"/>
      <c r="B80" s="12" t="s">
        <v>53</v>
      </c>
      <c r="C80" s="4" t="s">
        <v>57</v>
      </c>
      <c r="D80" s="222">
        <f t="shared" si="370"/>
        <v>19872</v>
      </c>
      <c r="E80" s="100">
        <f>D80/D77</f>
        <v>4.2709999999999998E-2</v>
      </c>
      <c r="F80" s="71">
        <f>F77*E80</f>
        <v>4.72</v>
      </c>
      <c r="G80" s="111">
        <f t="shared" si="371"/>
        <v>2.3751999999999999E-4</v>
      </c>
      <c r="H80" s="76">
        <f>H77</f>
        <v>854.75</v>
      </c>
      <c r="I80" s="109">
        <f t="shared" si="372"/>
        <v>0.20302000000000001</v>
      </c>
      <c r="J80" s="71">
        <f t="shared" si="373"/>
        <v>4034.41</v>
      </c>
      <c r="K80" s="71"/>
      <c r="L80" s="108"/>
      <c r="M80" s="100">
        <f t="shared" si="374"/>
        <v>0.47214</v>
      </c>
      <c r="N80" s="222">
        <f t="shared" si="375"/>
        <v>0</v>
      </c>
      <c r="O80" s="100">
        <f>N80/N77</f>
        <v>0</v>
      </c>
      <c r="P80" s="71">
        <f>P77*O80</f>
        <v>0</v>
      </c>
      <c r="Q80" s="111">
        <f t="shared" si="376"/>
        <v>0</v>
      </c>
      <c r="R80" s="76">
        <f>R77</f>
        <v>854.75</v>
      </c>
      <c r="S80" s="109">
        <f t="shared" si="377"/>
        <v>0</v>
      </c>
      <c r="T80" s="71">
        <f t="shared" si="378"/>
        <v>0</v>
      </c>
      <c r="U80" s="71"/>
      <c r="V80" s="108"/>
      <c r="W80" s="100">
        <f t="shared" si="379"/>
        <v>0</v>
      </c>
      <c r="X80" s="222">
        <f t="shared" si="380"/>
        <v>16776</v>
      </c>
      <c r="Y80" s="100">
        <f>X80/X77</f>
        <v>7.0379999999999998E-2</v>
      </c>
      <c r="Z80" s="71">
        <f>Z77*Y80</f>
        <v>10.25</v>
      </c>
      <c r="AA80" s="111">
        <f t="shared" si="381"/>
        <v>6.1098999999999995E-4</v>
      </c>
      <c r="AB80" s="76">
        <f>AB77</f>
        <v>854.75</v>
      </c>
      <c r="AC80" s="109">
        <f t="shared" si="382"/>
        <v>0.52224000000000004</v>
      </c>
      <c r="AD80" s="71">
        <f t="shared" si="383"/>
        <v>8761.1</v>
      </c>
      <c r="AE80" s="71"/>
      <c r="AF80" s="108"/>
      <c r="AG80" s="100">
        <f t="shared" si="384"/>
        <v>1.21451</v>
      </c>
      <c r="AH80" s="222">
        <f t="shared" si="385"/>
        <v>147528</v>
      </c>
      <c r="AI80" s="100">
        <f>AH80/AH77</f>
        <v>1</v>
      </c>
      <c r="AJ80" s="71">
        <f>AJ77*AI80</f>
        <v>14.04</v>
      </c>
      <c r="AK80" s="111">
        <f t="shared" si="386"/>
        <v>9.5169999999999999E-5</v>
      </c>
      <c r="AL80" s="76">
        <f>AL77</f>
        <v>854.75</v>
      </c>
      <c r="AM80" s="109">
        <f t="shared" ref="AM80:AM84" si="394">AK80*AL80</f>
        <v>8.1350000000000006E-2</v>
      </c>
      <c r="AN80" s="71">
        <f t="shared" ref="AN80:AN88" si="395">AM80*AH80</f>
        <v>12001.4</v>
      </c>
      <c r="AO80" s="71"/>
      <c r="AP80" s="108"/>
      <c r="AQ80" s="100">
        <f t="shared" si="387"/>
        <v>0.18919</v>
      </c>
      <c r="AR80" s="222">
        <f t="shared" si="388"/>
        <v>0</v>
      </c>
      <c r="AS80" s="100">
        <f>AR80/AR77</f>
        <v>0</v>
      </c>
      <c r="AT80" s="71">
        <f>AT77*AS80</f>
        <v>0</v>
      </c>
      <c r="AU80" s="111">
        <f t="shared" si="389"/>
        <v>0</v>
      </c>
      <c r="AV80" s="76">
        <f>AV77</f>
        <v>0</v>
      </c>
      <c r="AW80" s="109">
        <f t="shared" si="390"/>
        <v>0</v>
      </c>
      <c r="AX80" s="71">
        <f t="shared" si="391"/>
        <v>0</v>
      </c>
      <c r="AY80" s="71"/>
      <c r="AZ80" s="108"/>
      <c r="BA80" s="100">
        <f t="shared" si="392"/>
        <v>0</v>
      </c>
      <c r="BB80" s="222">
        <f t="shared" ref="BB80:BB84" si="396">D80+N80+X80+AH80+AR80</f>
        <v>184176</v>
      </c>
      <c r="BC80" s="100">
        <f>BB80/BB77</f>
        <v>0.14277000000000001</v>
      </c>
      <c r="BD80" s="71">
        <f>BD77*BC80</f>
        <v>92.34</v>
      </c>
      <c r="BE80" s="111">
        <f t="shared" si="393"/>
        <v>5.0137000000000001E-4</v>
      </c>
      <c r="BF80" s="76">
        <f>BF77</f>
        <v>854.75</v>
      </c>
      <c r="BG80" s="109">
        <f t="shared" ref="BG80:BG84" si="397">ROUNDUP(BE80*BF80,2)</f>
        <v>0.43</v>
      </c>
      <c r="BH80" s="71">
        <f t="shared" ref="BH80:BH88" si="398">BG80*BB80</f>
        <v>79195.679999999993</v>
      </c>
      <c r="BI80" s="71"/>
      <c r="BJ80" s="108"/>
      <c r="BL80" s="309">
        <f t="shared" ref="BL80:BL84" si="399">BB80*BG80</f>
        <v>79196</v>
      </c>
    </row>
    <row r="81" spans="1:64" x14ac:dyDescent="0.25">
      <c r="A81" s="5"/>
      <c r="B81" s="12" t="s">
        <v>51</v>
      </c>
      <c r="C81" s="4" t="s">
        <v>57</v>
      </c>
      <c r="D81" s="222">
        <f t="shared" si="370"/>
        <v>35352</v>
      </c>
      <c r="E81" s="100">
        <f>D81/D77</f>
        <v>7.5980000000000006E-2</v>
      </c>
      <c r="F81" s="71">
        <f>F77*E81</f>
        <v>8.4</v>
      </c>
      <c r="G81" s="111">
        <f t="shared" si="371"/>
        <v>2.3761E-4</v>
      </c>
      <c r="H81" s="76">
        <f>H77</f>
        <v>854.75</v>
      </c>
      <c r="I81" s="109">
        <f t="shared" si="372"/>
        <v>0.2031</v>
      </c>
      <c r="J81" s="71">
        <f t="shared" si="373"/>
        <v>7179.99</v>
      </c>
      <c r="K81" s="71"/>
      <c r="L81" s="108"/>
      <c r="M81" s="100">
        <f t="shared" si="374"/>
        <v>0.47233000000000003</v>
      </c>
      <c r="N81" s="222">
        <f t="shared" si="375"/>
        <v>73608</v>
      </c>
      <c r="O81" s="100">
        <f>N81/N77</f>
        <v>0.21454000000000001</v>
      </c>
      <c r="P81" s="71">
        <f>P77*O81</f>
        <v>80.790000000000006</v>
      </c>
      <c r="Q81" s="111">
        <f t="shared" si="376"/>
        <v>1.09757E-3</v>
      </c>
      <c r="R81" s="76">
        <f>R77</f>
        <v>854.75</v>
      </c>
      <c r="S81" s="109">
        <f t="shared" si="377"/>
        <v>0.93815000000000004</v>
      </c>
      <c r="T81" s="71">
        <f t="shared" si="378"/>
        <v>69055.350000000006</v>
      </c>
      <c r="U81" s="71"/>
      <c r="V81" s="108"/>
      <c r="W81" s="100">
        <f t="shared" si="379"/>
        <v>2.18174</v>
      </c>
      <c r="X81" s="222">
        <f t="shared" si="380"/>
        <v>18360</v>
      </c>
      <c r="Y81" s="100">
        <f>X81/X77</f>
        <v>7.7030000000000001E-2</v>
      </c>
      <c r="Z81" s="71">
        <f>Z77*Y81</f>
        <v>11.22</v>
      </c>
      <c r="AA81" s="111">
        <f t="shared" si="381"/>
        <v>6.1111E-4</v>
      </c>
      <c r="AB81" s="76">
        <f>AB77</f>
        <v>854.75</v>
      </c>
      <c r="AC81" s="109">
        <f t="shared" si="382"/>
        <v>0.52234999999999998</v>
      </c>
      <c r="AD81" s="71">
        <f t="shared" si="383"/>
        <v>9590.35</v>
      </c>
      <c r="AE81" s="71"/>
      <c r="AF81" s="108"/>
      <c r="AG81" s="100">
        <f t="shared" si="384"/>
        <v>1.2147699999999999</v>
      </c>
      <c r="AH81" s="222">
        <f t="shared" si="385"/>
        <v>0</v>
      </c>
      <c r="AI81" s="100">
        <f>AH81/AH77</f>
        <v>0</v>
      </c>
      <c r="AJ81" s="71">
        <f>AJ77*AI81</f>
        <v>0</v>
      </c>
      <c r="AK81" s="111">
        <f t="shared" si="386"/>
        <v>0</v>
      </c>
      <c r="AL81" s="76">
        <f>AL77</f>
        <v>854.75</v>
      </c>
      <c r="AM81" s="109">
        <f t="shared" si="394"/>
        <v>0</v>
      </c>
      <c r="AN81" s="71">
        <f t="shared" si="395"/>
        <v>0</v>
      </c>
      <c r="AO81" s="71"/>
      <c r="AP81" s="108"/>
      <c r="AQ81" s="100">
        <f t="shared" si="387"/>
        <v>0</v>
      </c>
      <c r="AR81" s="222">
        <f t="shared" si="388"/>
        <v>0</v>
      </c>
      <c r="AS81" s="100">
        <f>AR81/AR77</f>
        <v>0</v>
      </c>
      <c r="AT81" s="71">
        <f>AT77*AS81</f>
        <v>0</v>
      </c>
      <c r="AU81" s="111">
        <f t="shared" si="389"/>
        <v>0</v>
      </c>
      <c r="AV81" s="76">
        <f>AV77</f>
        <v>0</v>
      </c>
      <c r="AW81" s="109">
        <f t="shared" si="390"/>
        <v>0</v>
      </c>
      <c r="AX81" s="71">
        <f t="shared" si="391"/>
        <v>0</v>
      </c>
      <c r="AY81" s="71"/>
      <c r="AZ81" s="108"/>
      <c r="BA81" s="100">
        <f t="shared" si="392"/>
        <v>0</v>
      </c>
      <c r="BB81" s="222">
        <f t="shared" si="396"/>
        <v>127320</v>
      </c>
      <c r="BC81" s="100">
        <f>BB81/BB77</f>
        <v>9.869E-2</v>
      </c>
      <c r="BD81" s="71">
        <f>BD77*BC81</f>
        <v>63.83</v>
      </c>
      <c r="BE81" s="111">
        <f t="shared" si="393"/>
        <v>5.0133999999999997E-4</v>
      </c>
      <c r="BF81" s="76">
        <f>BF77</f>
        <v>854.75</v>
      </c>
      <c r="BG81" s="109">
        <f t="shared" si="397"/>
        <v>0.43</v>
      </c>
      <c r="BH81" s="71">
        <f t="shared" si="398"/>
        <v>54747.6</v>
      </c>
      <c r="BI81" s="71"/>
      <c r="BJ81" s="108"/>
      <c r="BL81" s="309">
        <f t="shared" si="399"/>
        <v>54748</v>
      </c>
    </row>
    <row r="82" spans="1:64" x14ac:dyDescent="0.25">
      <c r="A82" s="5"/>
      <c r="B82" s="12" t="s">
        <v>54</v>
      </c>
      <c r="C82" s="4" t="s">
        <v>57</v>
      </c>
      <c r="D82" s="222">
        <f t="shared" si="370"/>
        <v>272292</v>
      </c>
      <c r="E82" s="100">
        <f>D82/D77</f>
        <v>0.58521000000000001</v>
      </c>
      <c r="F82" s="71">
        <f>F77*E82</f>
        <v>64.680000000000007</v>
      </c>
      <c r="G82" s="111">
        <f t="shared" si="371"/>
        <v>2.3754000000000001E-4</v>
      </c>
      <c r="H82" s="76">
        <f>H77</f>
        <v>854.75</v>
      </c>
      <c r="I82" s="109">
        <f t="shared" si="372"/>
        <v>0.20304</v>
      </c>
      <c r="J82" s="71">
        <f t="shared" si="373"/>
        <v>55286.17</v>
      </c>
      <c r="K82" s="71"/>
      <c r="L82" s="108"/>
      <c r="M82" s="100">
        <f t="shared" si="374"/>
        <v>0.47219</v>
      </c>
      <c r="N82" s="222">
        <f t="shared" si="375"/>
        <v>128520</v>
      </c>
      <c r="O82" s="100">
        <f>N82/N77</f>
        <v>0.37458000000000002</v>
      </c>
      <c r="P82" s="71">
        <f>P77*O82</f>
        <v>141.05000000000001</v>
      </c>
      <c r="Q82" s="111">
        <f t="shared" si="376"/>
        <v>1.09749E-3</v>
      </c>
      <c r="R82" s="76">
        <f>R77</f>
        <v>854.75</v>
      </c>
      <c r="S82" s="109">
        <f t="shared" si="377"/>
        <v>0.93808000000000002</v>
      </c>
      <c r="T82" s="71">
        <f t="shared" si="378"/>
        <v>120562.04</v>
      </c>
      <c r="U82" s="71"/>
      <c r="V82" s="108"/>
      <c r="W82" s="100">
        <f t="shared" si="379"/>
        <v>2.1815799999999999</v>
      </c>
      <c r="X82" s="222">
        <f t="shared" si="380"/>
        <v>61020</v>
      </c>
      <c r="Y82" s="100">
        <f>X82/X77</f>
        <v>0.25600000000000001</v>
      </c>
      <c r="Z82" s="71">
        <f>Z77*Y82</f>
        <v>37.29</v>
      </c>
      <c r="AA82" s="111">
        <f t="shared" si="381"/>
        <v>6.1111E-4</v>
      </c>
      <c r="AB82" s="76">
        <f>AB77</f>
        <v>854.75</v>
      </c>
      <c r="AC82" s="109">
        <f t="shared" si="382"/>
        <v>0.52234999999999998</v>
      </c>
      <c r="AD82" s="71">
        <f t="shared" si="383"/>
        <v>31873.8</v>
      </c>
      <c r="AE82" s="71"/>
      <c r="AF82" s="108"/>
      <c r="AG82" s="100">
        <f t="shared" si="384"/>
        <v>1.2147699999999999</v>
      </c>
      <c r="AH82" s="222">
        <f t="shared" si="385"/>
        <v>0</v>
      </c>
      <c r="AI82" s="100">
        <f>AH82/AH77</f>
        <v>0</v>
      </c>
      <c r="AJ82" s="71">
        <f>AJ77*AI82</f>
        <v>0</v>
      </c>
      <c r="AK82" s="111">
        <f t="shared" si="386"/>
        <v>0</v>
      </c>
      <c r="AL82" s="76">
        <f>AL77</f>
        <v>854.75</v>
      </c>
      <c r="AM82" s="109">
        <f t="shared" si="394"/>
        <v>0</v>
      </c>
      <c r="AN82" s="71">
        <f t="shared" si="395"/>
        <v>0</v>
      </c>
      <c r="AO82" s="71"/>
      <c r="AP82" s="108"/>
      <c r="AQ82" s="100">
        <f t="shared" si="387"/>
        <v>0</v>
      </c>
      <c r="AR82" s="222">
        <f t="shared" si="388"/>
        <v>0</v>
      </c>
      <c r="AS82" s="100">
        <f>AR82/AR77</f>
        <v>0</v>
      </c>
      <c r="AT82" s="71">
        <f>AT77*AS82</f>
        <v>0</v>
      </c>
      <c r="AU82" s="111">
        <f t="shared" si="389"/>
        <v>0</v>
      </c>
      <c r="AV82" s="76">
        <f>AV77</f>
        <v>0</v>
      </c>
      <c r="AW82" s="109">
        <f t="shared" si="390"/>
        <v>0</v>
      </c>
      <c r="AX82" s="71">
        <f t="shared" si="391"/>
        <v>0</v>
      </c>
      <c r="AY82" s="71"/>
      <c r="AZ82" s="108"/>
      <c r="BA82" s="100">
        <f t="shared" si="392"/>
        <v>0</v>
      </c>
      <c r="BB82" s="222">
        <f t="shared" si="396"/>
        <v>461832</v>
      </c>
      <c r="BC82" s="100">
        <f>BB82/BB77</f>
        <v>0.35799999999999998</v>
      </c>
      <c r="BD82" s="71">
        <f>BD77*BC82</f>
        <v>231.55</v>
      </c>
      <c r="BE82" s="111">
        <f t="shared" si="393"/>
        <v>5.0137000000000001E-4</v>
      </c>
      <c r="BF82" s="76">
        <f>BF77</f>
        <v>854.75</v>
      </c>
      <c r="BG82" s="109">
        <f t="shared" si="397"/>
        <v>0.43</v>
      </c>
      <c r="BH82" s="71">
        <f t="shared" si="398"/>
        <v>198587.76</v>
      </c>
      <c r="BI82" s="71"/>
      <c r="BJ82" s="108"/>
      <c r="BL82" s="309">
        <f t="shared" si="399"/>
        <v>198588</v>
      </c>
    </row>
    <row r="83" spans="1:64" x14ac:dyDescent="0.25">
      <c r="A83" s="5"/>
      <c r="B83" s="12" t="s">
        <v>55</v>
      </c>
      <c r="C83" s="4" t="s">
        <v>57</v>
      </c>
      <c r="D83" s="222">
        <f t="shared" si="370"/>
        <v>18504</v>
      </c>
      <c r="E83" s="100">
        <f>D83/D77</f>
        <v>3.977E-2</v>
      </c>
      <c r="F83" s="71">
        <f>F77*E83</f>
        <v>4.4000000000000004</v>
      </c>
      <c r="G83" s="111">
        <f t="shared" si="371"/>
        <v>2.3779000000000001E-4</v>
      </c>
      <c r="H83" s="76">
        <f>H77</f>
        <v>854.75</v>
      </c>
      <c r="I83" s="109">
        <f t="shared" si="372"/>
        <v>0.20324999999999999</v>
      </c>
      <c r="J83" s="71">
        <f t="shared" si="373"/>
        <v>3760.94</v>
      </c>
      <c r="K83" s="71"/>
      <c r="L83" s="108"/>
      <c r="M83" s="100">
        <f t="shared" si="374"/>
        <v>0.47266999999999998</v>
      </c>
      <c r="N83" s="222">
        <f t="shared" si="375"/>
        <v>12816</v>
      </c>
      <c r="O83" s="100">
        <f>N83/N77</f>
        <v>3.7350000000000001E-2</v>
      </c>
      <c r="P83" s="71">
        <f>P77*O83</f>
        <v>14.06</v>
      </c>
      <c r="Q83" s="111">
        <f t="shared" si="376"/>
        <v>1.0970699999999999E-3</v>
      </c>
      <c r="R83" s="76">
        <f>R77</f>
        <v>854.75</v>
      </c>
      <c r="S83" s="109">
        <f t="shared" si="377"/>
        <v>0.93772</v>
      </c>
      <c r="T83" s="71">
        <f t="shared" si="378"/>
        <v>12017.82</v>
      </c>
      <c r="U83" s="71"/>
      <c r="V83" s="108"/>
      <c r="W83" s="100">
        <f t="shared" si="379"/>
        <v>2.1807400000000001</v>
      </c>
      <c r="X83" s="222">
        <f t="shared" si="380"/>
        <v>0</v>
      </c>
      <c r="Y83" s="100">
        <f>X83/X77</f>
        <v>0</v>
      </c>
      <c r="Z83" s="71">
        <f>Z77*Y83</f>
        <v>0</v>
      </c>
      <c r="AA83" s="111">
        <f t="shared" si="381"/>
        <v>0</v>
      </c>
      <c r="AB83" s="76">
        <f>AB77</f>
        <v>854.75</v>
      </c>
      <c r="AC83" s="109">
        <f t="shared" si="382"/>
        <v>0</v>
      </c>
      <c r="AD83" s="71">
        <f t="shared" si="383"/>
        <v>0</v>
      </c>
      <c r="AE83" s="71"/>
      <c r="AF83" s="108"/>
      <c r="AG83" s="100">
        <f t="shared" si="384"/>
        <v>0</v>
      </c>
      <c r="AH83" s="222">
        <f t="shared" si="385"/>
        <v>0</v>
      </c>
      <c r="AI83" s="100">
        <f>AH83/AH77</f>
        <v>0</v>
      </c>
      <c r="AJ83" s="71">
        <f>AJ77*AI83</f>
        <v>0</v>
      </c>
      <c r="AK83" s="111">
        <f t="shared" si="386"/>
        <v>0</v>
      </c>
      <c r="AL83" s="76">
        <f>AL77</f>
        <v>854.75</v>
      </c>
      <c r="AM83" s="109">
        <f t="shared" si="394"/>
        <v>0</v>
      </c>
      <c r="AN83" s="71">
        <f t="shared" si="395"/>
        <v>0</v>
      </c>
      <c r="AO83" s="71"/>
      <c r="AP83" s="108"/>
      <c r="AQ83" s="100">
        <f t="shared" si="387"/>
        <v>0</v>
      </c>
      <c r="AR83" s="222">
        <f t="shared" si="388"/>
        <v>95760</v>
      </c>
      <c r="AS83" s="100">
        <f>AR83/AR77</f>
        <v>1</v>
      </c>
      <c r="AT83" s="71">
        <f>AT77*AS83</f>
        <v>0</v>
      </c>
      <c r="AU83" s="111">
        <f t="shared" si="389"/>
        <v>0</v>
      </c>
      <c r="AV83" s="76">
        <f>AV77</f>
        <v>0</v>
      </c>
      <c r="AW83" s="109">
        <f t="shared" si="390"/>
        <v>0</v>
      </c>
      <c r="AX83" s="71">
        <f t="shared" si="391"/>
        <v>0</v>
      </c>
      <c r="AY83" s="71"/>
      <c r="AZ83" s="108"/>
      <c r="BA83" s="100">
        <f t="shared" si="392"/>
        <v>0</v>
      </c>
      <c r="BB83" s="222">
        <f t="shared" si="396"/>
        <v>127080</v>
      </c>
      <c r="BC83" s="100">
        <f>BB83/BB77</f>
        <v>9.851E-2</v>
      </c>
      <c r="BD83" s="71">
        <f>BD77*BC83</f>
        <v>63.72</v>
      </c>
      <c r="BE83" s="111">
        <f t="shared" si="393"/>
        <v>5.0142000000000003E-4</v>
      </c>
      <c r="BF83" s="76">
        <f>BF77</f>
        <v>854.75</v>
      </c>
      <c r="BG83" s="109">
        <f t="shared" si="397"/>
        <v>0.43</v>
      </c>
      <c r="BH83" s="71">
        <f t="shared" si="398"/>
        <v>54644.4</v>
      </c>
      <c r="BI83" s="71"/>
      <c r="BJ83" s="108"/>
      <c r="BL83" s="309">
        <f t="shared" si="399"/>
        <v>54644</v>
      </c>
    </row>
    <row r="84" spans="1:64" x14ac:dyDescent="0.25">
      <c r="A84" s="5"/>
      <c r="B84" s="12" t="s">
        <v>56</v>
      </c>
      <c r="C84" s="4" t="s">
        <v>57</v>
      </c>
      <c r="D84" s="222">
        <f t="shared" si="370"/>
        <v>100800</v>
      </c>
      <c r="E84" s="100">
        <f>D84/D77</f>
        <v>0.21664</v>
      </c>
      <c r="F84" s="71">
        <f>F77*E84</f>
        <v>23.94</v>
      </c>
      <c r="G84" s="111">
        <f t="shared" si="371"/>
        <v>2.375E-4</v>
      </c>
      <c r="H84" s="76">
        <f>H77</f>
        <v>854.75</v>
      </c>
      <c r="I84" s="109">
        <f t="shared" si="372"/>
        <v>0.20300000000000001</v>
      </c>
      <c r="J84" s="71">
        <f t="shared" si="373"/>
        <v>20462.400000000001</v>
      </c>
      <c r="K84" s="71"/>
      <c r="L84" s="108"/>
      <c r="M84" s="100">
        <f t="shared" si="374"/>
        <v>0.47209000000000001</v>
      </c>
      <c r="N84" s="222">
        <f t="shared" si="375"/>
        <v>117512</v>
      </c>
      <c r="O84" s="100">
        <f>N84/N77</f>
        <v>0.34250000000000003</v>
      </c>
      <c r="P84" s="71">
        <f>P77*O84</f>
        <v>128.97</v>
      </c>
      <c r="Q84" s="111">
        <f t="shared" si="376"/>
        <v>1.0975E-3</v>
      </c>
      <c r="R84" s="76">
        <f>R77</f>
        <v>854.75</v>
      </c>
      <c r="S84" s="109">
        <f t="shared" si="377"/>
        <v>0.93808999999999998</v>
      </c>
      <c r="T84" s="71">
        <f t="shared" si="378"/>
        <v>110236.83</v>
      </c>
      <c r="U84" s="71"/>
      <c r="V84" s="108"/>
      <c r="W84" s="100">
        <f t="shared" si="379"/>
        <v>2.1816</v>
      </c>
      <c r="X84" s="222">
        <f t="shared" si="380"/>
        <v>22896</v>
      </c>
      <c r="Y84" s="100">
        <f>X84/X77</f>
        <v>9.6060000000000006E-2</v>
      </c>
      <c r="Z84" s="71">
        <f>Z77*Y84</f>
        <v>13.99</v>
      </c>
      <c r="AA84" s="111">
        <f t="shared" si="381"/>
        <v>6.1101999999999999E-4</v>
      </c>
      <c r="AB84" s="76">
        <f>AB77</f>
        <v>854.75</v>
      </c>
      <c r="AC84" s="109">
        <f t="shared" si="382"/>
        <v>0.52227000000000001</v>
      </c>
      <c r="AD84" s="71">
        <f t="shared" si="383"/>
        <v>11957.89</v>
      </c>
      <c r="AE84" s="71"/>
      <c r="AF84" s="108"/>
      <c r="AG84" s="100">
        <f t="shared" si="384"/>
        <v>1.21458</v>
      </c>
      <c r="AH84" s="222">
        <f t="shared" si="385"/>
        <v>0</v>
      </c>
      <c r="AI84" s="100">
        <f>AH84/AH77</f>
        <v>0</v>
      </c>
      <c r="AJ84" s="71">
        <f>AJ77*AI84</f>
        <v>0</v>
      </c>
      <c r="AK84" s="111">
        <f t="shared" si="386"/>
        <v>0</v>
      </c>
      <c r="AL84" s="76">
        <f>AL77</f>
        <v>854.75</v>
      </c>
      <c r="AM84" s="109">
        <f t="shared" si="394"/>
        <v>0</v>
      </c>
      <c r="AN84" s="71">
        <f t="shared" si="395"/>
        <v>0</v>
      </c>
      <c r="AO84" s="71"/>
      <c r="AP84" s="108"/>
      <c r="AQ84" s="100">
        <f t="shared" si="387"/>
        <v>0</v>
      </c>
      <c r="AR84" s="222">
        <f t="shared" si="388"/>
        <v>0</v>
      </c>
      <c r="AS84" s="100">
        <f>AR84/AR77</f>
        <v>0</v>
      </c>
      <c r="AT84" s="71">
        <f>AT77*AS84</f>
        <v>0</v>
      </c>
      <c r="AU84" s="111">
        <f t="shared" si="389"/>
        <v>0</v>
      </c>
      <c r="AV84" s="76">
        <f>AV77</f>
        <v>0</v>
      </c>
      <c r="AW84" s="109">
        <f t="shared" si="390"/>
        <v>0</v>
      </c>
      <c r="AX84" s="71">
        <f t="shared" si="391"/>
        <v>0</v>
      </c>
      <c r="AY84" s="71"/>
      <c r="AZ84" s="108"/>
      <c r="BA84" s="100">
        <f t="shared" si="392"/>
        <v>0</v>
      </c>
      <c r="BB84" s="222">
        <f t="shared" si="396"/>
        <v>241208</v>
      </c>
      <c r="BC84" s="100">
        <f>BB84/BB77</f>
        <v>0.18698000000000001</v>
      </c>
      <c r="BD84" s="71">
        <f>BD77*BC84</f>
        <v>120.94</v>
      </c>
      <c r="BE84" s="111">
        <f t="shared" si="393"/>
        <v>5.0139E-4</v>
      </c>
      <c r="BF84" s="76">
        <f>BF77</f>
        <v>854.75</v>
      </c>
      <c r="BG84" s="109">
        <f t="shared" si="397"/>
        <v>0.43</v>
      </c>
      <c r="BH84" s="71">
        <f t="shared" si="398"/>
        <v>103719.44</v>
      </c>
      <c r="BI84" s="71"/>
      <c r="BJ84" s="108"/>
      <c r="BL84" s="309">
        <f t="shared" si="399"/>
        <v>103719</v>
      </c>
    </row>
    <row r="85" spans="1:64" x14ac:dyDescent="0.25">
      <c r="A85" s="5"/>
      <c r="B85" s="412" t="s">
        <v>441</v>
      </c>
      <c r="C85" s="4" t="s">
        <v>57</v>
      </c>
      <c r="D85" s="222">
        <f t="shared" si="370"/>
        <v>0</v>
      </c>
      <c r="E85" s="410">
        <f>D85/D77</f>
        <v>0</v>
      </c>
      <c r="F85" s="76">
        <f>F77*E85</f>
        <v>0</v>
      </c>
      <c r="G85" s="411">
        <f t="shared" si="371"/>
        <v>0</v>
      </c>
      <c r="H85" s="76">
        <f>H77</f>
        <v>854.75</v>
      </c>
      <c r="I85" s="109">
        <f t="shared" ref="I85:I86" si="400">G85*H85</f>
        <v>0</v>
      </c>
      <c r="J85" s="71">
        <f t="shared" ref="J85:J86" si="401">I85*D85</f>
        <v>0</v>
      </c>
      <c r="K85" s="71"/>
      <c r="L85" s="108"/>
      <c r="M85" s="100">
        <f t="shared" ref="M85:M86" si="402">I85/BG85</f>
        <v>0</v>
      </c>
      <c r="N85" s="222">
        <f t="shared" si="375"/>
        <v>10648</v>
      </c>
      <c r="O85" s="410">
        <f>N85/N77</f>
        <v>3.1029999999999999E-2</v>
      </c>
      <c r="P85" s="76">
        <f>P77*O85</f>
        <v>11.68</v>
      </c>
      <c r="Q85" s="411">
        <f t="shared" si="376"/>
        <v>1.0969199999999999E-3</v>
      </c>
      <c r="R85" s="76">
        <f>R77</f>
        <v>854.75</v>
      </c>
      <c r="S85" s="109">
        <f t="shared" ref="S85:S86" si="403">Q85*R85</f>
        <v>0.93759000000000003</v>
      </c>
      <c r="T85" s="71">
        <f t="shared" ref="T85:T86" si="404">S85*N85</f>
        <v>9983.4599999999991</v>
      </c>
      <c r="U85" s="71"/>
      <c r="V85" s="108"/>
      <c r="W85" s="100">
        <f t="shared" ref="W85:W86" si="405">S85/BG85</f>
        <v>2.1804399999999999</v>
      </c>
      <c r="X85" s="222">
        <f t="shared" si="380"/>
        <v>0</v>
      </c>
      <c r="Y85" s="410">
        <f>X85/X77</f>
        <v>0</v>
      </c>
      <c r="Z85" s="76">
        <f>Z77*Y85</f>
        <v>0</v>
      </c>
      <c r="AA85" s="411">
        <f t="shared" si="381"/>
        <v>0</v>
      </c>
      <c r="AB85" s="76">
        <f>AB77</f>
        <v>854.75</v>
      </c>
      <c r="AC85" s="109">
        <f t="shared" ref="AC85:AC86" si="406">AA85*AB85</f>
        <v>0</v>
      </c>
      <c r="AD85" s="71">
        <f t="shared" ref="AD85:AD86" si="407">AC85*X85</f>
        <v>0</v>
      </c>
      <c r="AE85" s="71"/>
      <c r="AF85" s="108"/>
      <c r="AG85" s="100">
        <f t="shared" ref="AG85:AG86" si="408">AC85/BG85</f>
        <v>0</v>
      </c>
      <c r="AH85" s="222">
        <f t="shared" si="385"/>
        <v>0</v>
      </c>
      <c r="AI85" s="410">
        <f>AH85/AH77</f>
        <v>0</v>
      </c>
      <c r="AJ85" s="76">
        <f>AJ77*AI85</f>
        <v>0</v>
      </c>
      <c r="AK85" s="411">
        <f t="shared" si="386"/>
        <v>0</v>
      </c>
      <c r="AL85" s="76">
        <f>AL77</f>
        <v>854.75</v>
      </c>
      <c r="AM85" s="109">
        <f t="shared" ref="AM85:AM86" si="409">AK85*AL85</f>
        <v>0</v>
      </c>
      <c r="AN85" s="71">
        <f t="shared" ref="AN85:AN86" si="410">AM85*AH85</f>
        <v>0</v>
      </c>
      <c r="AO85" s="71"/>
      <c r="AP85" s="108"/>
      <c r="AQ85" s="100">
        <f t="shared" ref="AQ85:AQ86" si="411">AM85/BG85</f>
        <v>0</v>
      </c>
      <c r="AR85" s="222">
        <f t="shared" si="388"/>
        <v>0</v>
      </c>
      <c r="AS85" s="410">
        <f>AR85/AR77</f>
        <v>0</v>
      </c>
      <c r="AT85" s="76">
        <f>AT77*AS85</f>
        <v>0</v>
      </c>
      <c r="AU85" s="411">
        <f t="shared" si="389"/>
        <v>0</v>
      </c>
      <c r="AV85" s="76">
        <f>AV77</f>
        <v>0</v>
      </c>
      <c r="AW85" s="861">
        <f t="shared" ref="AW85:AW86" si="412">AU85*AV85</f>
        <v>0</v>
      </c>
      <c r="AX85" s="71">
        <f t="shared" ref="AX85:AX86" si="413">AW85*AR85</f>
        <v>0</v>
      </c>
      <c r="AY85" s="71"/>
      <c r="AZ85" s="108"/>
      <c r="BA85" s="100">
        <f t="shared" ref="BA85:BA86" si="414">AW85/BG85</f>
        <v>0</v>
      </c>
      <c r="BB85" s="222">
        <f t="shared" ref="BB85:BB86" si="415">D85+N85+X85+AH85+AR85</f>
        <v>10648</v>
      </c>
      <c r="BC85" s="410">
        <f>BB85/BB77</f>
        <v>8.2500000000000004E-3</v>
      </c>
      <c r="BD85" s="76">
        <f>BD77*BC85</f>
        <v>5.34</v>
      </c>
      <c r="BE85" s="411">
        <f t="shared" si="393"/>
        <v>5.0149999999999999E-4</v>
      </c>
      <c r="BF85" s="76">
        <f>BF77</f>
        <v>854.75</v>
      </c>
      <c r="BG85" s="109">
        <f t="shared" ref="BG85:BG86" si="416">ROUNDUP(BE85*BF85,2)</f>
        <v>0.43</v>
      </c>
      <c r="BH85" s="71">
        <f t="shared" ref="BH85:BH86" si="417">BG85*BB85</f>
        <v>4578.6400000000003</v>
      </c>
      <c r="BI85" s="71"/>
      <c r="BJ85" s="108"/>
      <c r="BL85" s="309">
        <f t="shared" ref="BL85:BL86" si="418">BB85*BG85</f>
        <v>4579</v>
      </c>
    </row>
    <row r="86" spans="1:64" x14ac:dyDescent="0.25">
      <c r="A86" s="5"/>
      <c r="B86" s="412" t="s">
        <v>827</v>
      </c>
      <c r="C86" s="4" t="s">
        <v>57</v>
      </c>
      <c r="D86" s="222">
        <f t="shared" si="370"/>
        <v>3816</v>
      </c>
      <c r="E86" s="410">
        <f>D86/D77</f>
        <v>8.2000000000000007E-3</v>
      </c>
      <c r="F86" s="76">
        <f>F77*E86</f>
        <v>0.91</v>
      </c>
      <c r="G86" s="411">
        <f t="shared" si="371"/>
        <v>2.3847000000000001E-4</v>
      </c>
      <c r="H86" s="76">
        <f>H77</f>
        <v>854.75</v>
      </c>
      <c r="I86" s="109">
        <f t="shared" si="400"/>
        <v>0.20383000000000001</v>
      </c>
      <c r="J86" s="71">
        <f t="shared" si="401"/>
        <v>777.82</v>
      </c>
      <c r="K86" s="71"/>
      <c r="L86" s="108"/>
      <c r="M86" s="100">
        <f t="shared" si="402"/>
        <v>0.47402</v>
      </c>
      <c r="N86" s="222">
        <f t="shared" si="375"/>
        <v>0</v>
      </c>
      <c r="O86" s="410">
        <f>N86/N77</f>
        <v>0</v>
      </c>
      <c r="P86" s="76">
        <f>P77*O86</f>
        <v>0</v>
      </c>
      <c r="Q86" s="411">
        <f t="shared" si="376"/>
        <v>0</v>
      </c>
      <c r="R86" s="76">
        <f>R77</f>
        <v>854.75</v>
      </c>
      <c r="S86" s="109">
        <f t="shared" si="403"/>
        <v>0</v>
      </c>
      <c r="T86" s="71">
        <f t="shared" si="404"/>
        <v>0</v>
      </c>
      <c r="U86" s="71"/>
      <c r="V86" s="108"/>
      <c r="W86" s="100">
        <f t="shared" si="405"/>
        <v>0</v>
      </c>
      <c r="X86" s="222">
        <f t="shared" si="380"/>
        <v>0</v>
      </c>
      <c r="Y86" s="410">
        <f>X86/X77</f>
        <v>0</v>
      </c>
      <c r="Z86" s="76">
        <f>Z77*Y86</f>
        <v>0</v>
      </c>
      <c r="AA86" s="411">
        <f t="shared" si="381"/>
        <v>0</v>
      </c>
      <c r="AB86" s="76">
        <f>AB77</f>
        <v>854.75</v>
      </c>
      <c r="AC86" s="109">
        <f t="shared" si="406"/>
        <v>0</v>
      </c>
      <c r="AD86" s="71">
        <f t="shared" si="407"/>
        <v>0</v>
      </c>
      <c r="AE86" s="71"/>
      <c r="AF86" s="108"/>
      <c r="AG86" s="100">
        <f t="shared" si="408"/>
        <v>0</v>
      </c>
      <c r="AH86" s="222">
        <f t="shared" si="385"/>
        <v>0</v>
      </c>
      <c r="AI86" s="410">
        <f>AH86/AH77</f>
        <v>0</v>
      </c>
      <c r="AJ86" s="76">
        <f>AJ77*AI86</f>
        <v>0</v>
      </c>
      <c r="AK86" s="411">
        <f t="shared" si="386"/>
        <v>0</v>
      </c>
      <c r="AL86" s="76">
        <f>AL77</f>
        <v>854.75</v>
      </c>
      <c r="AM86" s="109">
        <f t="shared" si="409"/>
        <v>0</v>
      </c>
      <c r="AN86" s="71">
        <f t="shared" si="410"/>
        <v>0</v>
      </c>
      <c r="AO86" s="71"/>
      <c r="AP86" s="108"/>
      <c r="AQ86" s="100">
        <f t="shared" si="411"/>
        <v>0</v>
      </c>
      <c r="AR86" s="222">
        <f t="shared" si="388"/>
        <v>0</v>
      </c>
      <c r="AS86" s="410">
        <f>AR86/AR77</f>
        <v>0</v>
      </c>
      <c r="AT86" s="76">
        <f>AT77*AS86</f>
        <v>0</v>
      </c>
      <c r="AU86" s="411">
        <f t="shared" si="389"/>
        <v>0</v>
      </c>
      <c r="AV86" s="76">
        <f>AV77</f>
        <v>0</v>
      </c>
      <c r="AW86" s="861">
        <f t="shared" si="412"/>
        <v>0</v>
      </c>
      <c r="AX86" s="71">
        <f t="shared" si="413"/>
        <v>0</v>
      </c>
      <c r="AY86" s="71"/>
      <c r="AZ86" s="108"/>
      <c r="BA86" s="100">
        <f t="shared" si="414"/>
        <v>0</v>
      </c>
      <c r="BB86" s="222">
        <f t="shared" si="415"/>
        <v>3816</v>
      </c>
      <c r="BC86" s="410">
        <f>BB86/BB77</f>
        <v>2.96E-3</v>
      </c>
      <c r="BD86" s="76">
        <f>BD77*BC86</f>
        <v>1.91</v>
      </c>
      <c r="BE86" s="411">
        <f t="shared" si="393"/>
        <v>5.0051999999999996E-4</v>
      </c>
      <c r="BF86" s="76">
        <f>BF77</f>
        <v>854.75</v>
      </c>
      <c r="BG86" s="109">
        <f t="shared" si="416"/>
        <v>0.43</v>
      </c>
      <c r="BH86" s="71">
        <f t="shared" si="417"/>
        <v>1640.88</v>
      </c>
      <c r="BI86" s="71"/>
      <c r="BJ86" s="108"/>
      <c r="BL86" s="309">
        <f t="shared" si="418"/>
        <v>1641</v>
      </c>
    </row>
    <row r="87" spans="1:64" x14ac:dyDescent="0.25">
      <c r="A87" s="5"/>
      <c r="B87" s="412" t="s">
        <v>828</v>
      </c>
      <c r="C87" s="4" t="s">
        <v>57</v>
      </c>
      <c r="D87" s="222">
        <f t="shared" si="370"/>
        <v>2268</v>
      </c>
      <c r="E87" s="100">
        <f>D87/D77</f>
        <v>4.8700000000000002E-3</v>
      </c>
      <c r="F87" s="71">
        <f>F77*E87</f>
        <v>0.54</v>
      </c>
      <c r="G87" s="111">
        <f t="shared" si="371"/>
        <v>2.3809999999999999E-4</v>
      </c>
      <c r="H87" s="76">
        <f>H77</f>
        <v>854.75</v>
      </c>
      <c r="I87" s="109">
        <f t="shared" ref="I87" si="419">G87*H87</f>
        <v>0.20352000000000001</v>
      </c>
      <c r="J87" s="71">
        <f t="shared" ref="J87" si="420">I87*D87</f>
        <v>461.58</v>
      </c>
      <c r="K87" s="71"/>
      <c r="L87" s="108"/>
      <c r="M87" s="100">
        <f t="shared" ref="M87" si="421">I87/BG87</f>
        <v>0.4733</v>
      </c>
      <c r="N87" s="222">
        <f t="shared" si="375"/>
        <v>0</v>
      </c>
      <c r="O87" s="100">
        <f>N87/N77</f>
        <v>0</v>
      </c>
      <c r="P87" s="71">
        <f>P77*O87</f>
        <v>0</v>
      </c>
      <c r="Q87" s="111">
        <f t="shared" si="376"/>
        <v>0</v>
      </c>
      <c r="R87" s="76">
        <f>R77</f>
        <v>854.75</v>
      </c>
      <c r="S87" s="109">
        <f t="shared" ref="S87" si="422">Q87*R87</f>
        <v>0</v>
      </c>
      <c r="T87" s="71">
        <f t="shared" ref="T87" si="423">S87*N87</f>
        <v>0</v>
      </c>
      <c r="U87" s="71"/>
      <c r="V87" s="108"/>
      <c r="W87" s="100">
        <f t="shared" ref="W87" si="424">S87/BG87</f>
        <v>0</v>
      </c>
      <c r="X87" s="222">
        <f t="shared" si="380"/>
        <v>5976</v>
      </c>
      <c r="Y87" s="100">
        <f>X87/X77</f>
        <v>2.5069999999999999E-2</v>
      </c>
      <c r="Z87" s="71">
        <f>Z77*Y87</f>
        <v>3.65</v>
      </c>
      <c r="AA87" s="111">
        <f t="shared" si="381"/>
        <v>6.1078E-4</v>
      </c>
      <c r="AB87" s="76">
        <f>AB77</f>
        <v>854.75</v>
      </c>
      <c r="AC87" s="109">
        <f t="shared" ref="AC87" si="425">AA87*AB87</f>
        <v>0.52205999999999997</v>
      </c>
      <c r="AD87" s="71">
        <f t="shared" ref="AD87" si="426">AC87*X87</f>
        <v>3119.83</v>
      </c>
      <c r="AE87" s="71"/>
      <c r="AF87" s="108"/>
      <c r="AG87" s="100">
        <f t="shared" ref="AG87" si="427">AC87/BG87</f>
        <v>1.2140899999999999</v>
      </c>
      <c r="AH87" s="222">
        <f t="shared" si="385"/>
        <v>0</v>
      </c>
      <c r="AI87" s="100">
        <f>AH87/AH77</f>
        <v>0</v>
      </c>
      <c r="AJ87" s="71">
        <f>AJ77*AI87</f>
        <v>0</v>
      </c>
      <c r="AK87" s="111">
        <f t="shared" si="386"/>
        <v>0</v>
      </c>
      <c r="AL87" s="76">
        <f>AL77</f>
        <v>854.75</v>
      </c>
      <c r="AM87" s="109">
        <f t="shared" ref="AM87" si="428">AK87*AL87</f>
        <v>0</v>
      </c>
      <c r="AN87" s="71">
        <f t="shared" ref="AN87" si="429">AM87*AH87</f>
        <v>0</v>
      </c>
      <c r="AO87" s="71"/>
      <c r="AP87" s="108"/>
      <c r="AQ87" s="100">
        <f t="shared" ref="AQ87" si="430">AM87/BG87</f>
        <v>0</v>
      </c>
      <c r="AR87" s="222">
        <f t="shared" si="388"/>
        <v>0</v>
      </c>
      <c r="AS87" s="100">
        <f>AR87/AR77</f>
        <v>0</v>
      </c>
      <c r="AT87" s="71">
        <f>AT77*AS87</f>
        <v>0</v>
      </c>
      <c r="AU87" s="111">
        <f t="shared" si="389"/>
        <v>0</v>
      </c>
      <c r="AV87" s="76">
        <f>AV77</f>
        <v>0</v>
      </c>
      <c r="AW87" s="109">
        <f t="shared" ref="AW87" si="431">AU87*AV87</f>
        <v>0</v>
      </c>
      <c r="AX87" s="71">
        <f t="shared" ref="AX87" si="432">AW87*AR87</f>
        <v>0</v>
      </c>
      <c r="AY87" s="71"/>
      <c r="AZ87" s="108"/>
      <c r="BA87" s="100">
        <f t="shared" ref="BA87" si="433">AW87/BG87</f>
        <v>0</v>
      </c>
      <c r="BB87" s="222">
        <f t="shared" ref="BB87" si="434">D87+N87+X87+AH87+AR87</f>
        <v>8244</v>
      </c>
      <c r="BC87" s="100">
        <f>BB87/BB77</f>
        <v>6.3899999999999998E-3</v>
      </c>
      <c r="BD87" s="71">
        <f>BD77*BC87</f>
        <v>4.13</v>
      </c>
      <c r="BE87" s="111">
        <f t="shared" si="393"/>
        <v>5.0097E-4</v>
      </c>
      <c r="BF87" s="76">
        <f>BF77</f>
        <v>854.75</v>
      </c>
      <c r="BG87" s="109">
        <f t="shared" ref="BG87" si="435">ROUNDUP(BE87*BF87,2)</f>
        <v>0.43</v>
      </c>
      <c r="BH87" s="71">
        <f t="shared" ref="BH87" si="436">BG87*BB87</f>
        <v>3544.92</v>
      </c>
      <c r="BI87" s="71"/>
      <c r="BJ87" s="108"/>
      <c r="BL87" s="309">
        <f t="shared" ref="BL87" si="437">BB87*BG87</f>
        <v>3545</v>
      </c>
    </row>
    <row r="88" spans="1:64" x14ac:dyDescent="0.25">
      <c r="A88" s="5" t="s">
        <v>506</v>
      </c>
      <c r="B88" s="13" t="s">
        <v>377</v>
      </c>
      <c r="C88" s="4" t="s">
        <v>57</v>
      </c>
      <c r="D88" s="19">
        <f>SUM(D90:D98)</f>
        <v>465288</v>
      </c>
      <c r="E88" s="4"/>
      <c r="F88" s="74"/>
      <c r="G88" s="111"/>
      <c r="H88" s="71"/>
      <c r="I88" s="109">
        <f>I65+I77</f>
        <v>5.5690200000000001</v>
      </c>
      <c r="J88" s="71">
        <f t="shared" si="373"/>
        <v>2591198.1800000002</v>
      </c>
      <c r="K88" s="181">
        <f>K65+K77</f>
        <v>2591125.2799999998</v>
      </c>
      <c r="L88" s="108">
        <f>K88-J88</f>
        <v>-72.900000000000006</v>
      </c>
      <c r="M88" s="100">
        <f t="shared" si="374"/>
        <v>0.99361999999999995</v>
      </c>
      <c r="N88" s="19">
        <f>SUM(N90:N98)</f>
        <v>343104</v>
      </c>
      <c r="O88" s="4"/>
      <c r="P88" s="74"/>
      <c r="Q88" s="111"/>
      <c r="R88" s="71"/>
      <c r="S88" s="109">
        <f>S65+S77</f>
        <v>7.5307899999999997</v>
      </c>
      <c r="T88" s="71">
        <f t="shared" si="378"/>
        <v>2583844.17</v>
      </c>
      <c r="U88" s="181">
        <f>U65+U77</f>
        <v>2583846.41</v>
      </c>
      <c r="V88" s="108">
        <f>U88-T88</f>
        <v>2.2400000000000002</v>
      </c>
      <c r="W88" s="100">
        <f t="shared" si="379"/>
        <v>1.3436300000000001</v>
      </c>
      <c r="X88" s="19">
        <f>SUM(X90:X98)</f>
        <v>238356</v>
      </c>
      <c r="Y88" s="4"/>
      <c r="Z88" s="74"/>
      <c r="AA88" s="111"/>
      <c r="AB88" s="71"/>
      <c r="AC88" s="109">
        <f>AC65+AC77</f>
        <v>8.0750899999999994</v>
      </c>
      <c r="AD88" s="71">
        <f t="shared" si="383"/>
        <v>1924746.15</v>
      </c>
      <c r="AE88" s="181">
        <f>AE65+AE77</f>
        <v>1924749.71</v>
      </c>
      <c r="AF88" s="108">
        <f>AE88-AD88</f>
        <v>3.56</v>
      </c>
      <c r="AG88" s="100">
        <f t="shared" si="384"/>
        <v>1.44075</v>
      </c>
      <c r="AH88" s="19">
        <f>SUM(AH90:AH98)</f>
        <v>147528</v>
      </c>
      <c r="AI88" s="4"/>
      <c r="AJ88" s="74"/>
      <c r="AK88" s="111"/>
      <c r="AL88" s="71"/>
      <c r="AM88" s="109">
        <f>AM65+AM77</f>
        <v>0.88105999999999995</v>
      </c>
      <c r="AN88" s="71">
        <f t="shared" si="395"/>
        <v>129981.02</v>
      </c>
      <c r="AO88" s="181">
        <f>AO65+AO77</f>
        <v>129979.23</v>
      </c>
      <c r="AP88" s="108">
        <f>AO88-AN88</f>
        <v>-1.79</v>
      </c>
      <c r="AQ88" s="100">
        <f t="shared" si="387"/>
        <v>0.15720000000000001</v>
      </c>
      <c r="AR88" s="19">
        <f>SUM(AR90:AR98)</f>
        <v>95760</v>
      </c>
      <c r="AS88" s="4"/>
      <c r="AT88" s="74"/>
      <c r="AU88" s="111"/>
      <c r="AV88" s="71"/>
      <c r="AW88" s="109">
        <f>AW65+AW77</f>
        <v>0</v>
      </c>
      <c r="AX88" s="71">
        <f t="shared" si="391"/>
        <v>0</v>
      </c>
      <c r="AY88" s="181">
        <f>AY65+AY77</f>
        <v>0</v>
      </c>
      <c r="AZ88" s="108">
        <f>AY88-AX88</f>
        <v>0</v>
      </c>
      <c r="BA88" s="100">
        <f>AW88/BG88</f>
        <v>0</v>
      </c>
      <c r="BB88" s="19">
        <f>SUM(BB90:BB98)</f>
        <v>1290036</v>
      </c>
      <c r="BC88" s="224"/>
      <c r="BD88" s="76"/>
      <c r="BE88" s="111"/>
      <c r="BF88" s="71"/>
      <c r="BG88" s="109">
        <f>BG65+BG77</f>
        <v>5.6047900000000004</v>
      </c>
      <c r="BH88" s="71">
        <f t="shared" si="398"/>
        <v>7230380.8700000001</v>
      </c>
      <c r="BI88" s="181">
        <f>BI65+BI77</f>
        <v>7229700.6299999999</v>
      </c>
      <c r="BJ88" s="108">
        <f>BI88-BH88</f>
        <v>-680.24</v>
      </c>
      <c r="BL88" s="309"/>
    </row>
    <row r="89" spans="1:64" s="104" customFormat="1" x14ac:dyDescent="0.25">
      <c r="A89" s="101"/>
      <c r="B89" s="102" t="s">
        <v>337</v>
      </c>
      <c r="C89" s="102"/>
      <c r="D89" s="223"/>
      <c r="E89" s="102"/>
      <c r="F89" s="108"/>
      <c r="G89" s="112"/>
      <c r="H89" s="108"/>
      <c r="I89" s="108"/>
      <c r="J89" s="108">
        <f>J88-(SUM(J90:J95))</f>
        <v>33894.959999999999</v>
      </c>
      <c r="K89" s="108"/>
      <c r="L89" s="108"/>
      <c r="M89" s="102"/>
      <c r="N89" s="223"/>
      <c r="O89" s="102"/>
      <c r="P89" s="108"/>
      <c r="Q89" s="112"/>
      <c r="R89" s="108"/>
      <c r="S89" s="108"/>
      <c r="T89" s="108">
        <f>T88-(SUM(T90:T95))</f>
        <v>80172.649999999994</v>
      </c>
      <c r="U89" s="108"/>
      <c r="V89" s="108"/>
      <c r="W89" s="100"/>
      <c r="X89" s="223"/>
      <c r="Y89" s="102"/>
      <c r="Z89" s="108"/>
      <c r="AA89" s="112"/>
      <c r="AB89" s="108"/>
      <c r="AC89" s="108"/>
      <c r="AD89" s="108">
        <f>AD88-(SUM(AD90:AD95))</f>
        <v>48255.45</v>
      </c>
      <c r="AE89" s="108"/>
      <c r="AF89" s="108"/>
      <c r="AG89" s="100"/>
      <c r="AH89" s="223"/>
      <c r="AI89" s="102"/>
      <c r="AJ89" s="108"/>
      <c r="AK89" s="112"/>
      <c r="AL89" s="108"/>
      <c r="AM89" s="108"/>
      <c r="AN89" s="108">
        <f>AN88-(SUM(AN90:AN95))</f>
        <v>0.01</v>
      </c>
      <c r="AO89" s="108"/>
      <c r="AP89" s="108"/>
      <c r="AQ89" s="100"/>
      <c r="AR89" s="223"/>
      <c r="AS89" s="102"/>
      <c r="AT89" s="108"/>
      <c r="AU89" s="112"/>
      <c r="AV89" s="108"/>
      <c r="AW89" s="108"/>
      <c r="AX89" s="108">
        <f>AX88-(SUM(AX90:AX95))</f>
        <v>0</v>
      </c>
      <c r="AY89" s="108"/>
      <c r="AZ89" s="108"/>
      <c r="BA89" s="102"/>
      <c r="BB89" s="103"/>
      <c r="BC89" s="102"/>
      <c r="BD89" s="108"/>
      <c r="BE89" s="112"/>
      <c r="BF89" s="108"/>
      <c r="BG89" s="108"/>
      <c r="BH89" s="108">
        <f>BH88-(SUM(BH90:BH95))</f>
        <v>112637.2</v>
      </c>
      <c r="BI89" s="108"/>
      <c r="BJ89" s="108"/>
    </row>
    <row r="90" spans="1:64" x14ac:dyDescent="0.25">
      <c r="A90" s="5"/>
      <c r="B90" s="12" t="s">
        <v>52</v>
      </c>
      <c r="C90" s="4"/>
      <c r="D90" s="222">
        <f t="shared" ref="D90:D98" si="438">D12</f>
        <v>12384</v>
      </c>
      <c r="E90" s="100"/>
      <c r="F90" s="71"/>
      <c r="G90" s="111"/>
      <c r="H90" s="76"/>
      <c r="I90" s="109">
        <f t="shared" ref="I90:J98" si="439">I67+I79</f>
        <v>5.5691199999999998</v>
      </c>
      <c r="J90" s="71">
        <f t="shared" si="439"/>
        <v>68967.98</v>
      </c>
      <c r="K90" s="71"/>
      <c r="L90" s="108"/>
      <c r="M90" s="100">
        <f>I90/BG90</f>
        <v>0.99158999999999997</v>
      </c>
      <c r="N90" s="222">
        <f t="shared" ref="N90:N98" si="440">N12</f>
        <v>0</v>
      </c>
      <c r="O90" s="100"/>
      <c r="P90" s="71"/>
      <c r="Q90" s="111"/>
      <c r="R90" s="76"/>
      <c r="S90" s="109">
        <f t="shared" ref="S90:T98" si="441">S67+S79</f>
        <v>0</v>
      </c>
      <c r="T90" s="71">
        <f t="shared" si="441"/>
        <v>0</v>
      </c>
      <c r="U90" s="71"/>
      <c r="V90" s="108"/>
      <c r="W90" s="100">
        <f>S90/BG90</f>
        <v>0</v>
      </c>
      <c r="X90" s="222">
        <f t="shared" ref="X90:X98" si="442">X12</f>
        <v>113328</v>
      </c>
      <c r="Y90" s="100"/>
      <c r="Z90" s="71"/>
      <c r="AA90" s="111"/>
      <c r="AB90" s="76"/>
      <c r="AC90" s="109">
        <f t="shared" ref="AC90:AD98" si="443">AC67+AC79</f>
        <v>8.0751500000000007</v>
      </c>
      <c r="AD90" s="71">
        <f t="shared" si="443"/>
        <v>915140.59</v>
      </c>
      <c r="AE90" s="71"/>
      <c r="AF90" s="108"/>
      <c r="AG90" s="100">
        <f>AC90/BG90</f>
        <v>1.4378</v>
      </c>
      <c r="AH90" s="222">
        <f t="shared" ref="AH90:AH98" si="444">AH12</f>
        <v>0</v>
      </c>
      <c r="AI90" s="100"/>
      <c r="AJ90" s="71"/>
      <c r="AK90" s="111"/>
      <c r="AL90" s="76"/>
      <c r="AM90" s="109">
        <f t="shared" ref="AM90:AN98" si="445">AM67+AM79</f>
        <v>0</v>
      </c>
      <c r="AN90" s="71">
        <f t="shared" si="445"/>
        <v>0</v>
      </c>
      <c r="AO90" s="71"/>
      <c r="AP90" s="108"/>
      <c r="AQ90" s="100">
        <f>AM90/BG90</f>
        <v>0</v>
      </c>
      <c r="AR90" s="222">
        <f t="shared" ref="AR90:AR98" si="446">AR12</f>
        <v>0</v>
      </c>
      <c r="AS90" s="100"/>
      <c r="AT90" s="71"/>
      <c r="AU90" s="111"/>
      <c r="AV90" s="76"/>
      <c r="AW90" s="109">
        <f t="shared" ref="AW90:AX98" si="447">AW67+AW79</f>
        <v>0</v>
      </c>
      <c r="AX90" s="71">
        <f t="shared" si="447"/>
        <v>0</v>
      </c>
      <c r="AY90" s="71"/>
      <c r="AZ90" s="108"/>
      <c r="BA90" s="100">
        <f>AW90/$BG90</f>
        <v>0</v>
      </c>
      <c r="BB90" s="222">
        <f>D90+N90+X90+AH90+AR90</f>
        <v>125712</v>
      </c>
      <c r="BC90" s="100"/>
      <c r="BD90" s="71"/>
      <c r="BE90" s="111"/>
      <c r="BF90" s="76"/>
      <c r="BG90" s="109">
        <f t="shared" ref="BG90:BH98" si="448">BG67+BG79</f>
        <v>5.6163400000000001</v>
      </c>
      <c r="BH90" s="71">
        <f t="shared" si="448"/>
        <v>706041.33</v>
      </c>
      <c r="BI90" s="71"/>
      <c r="BJ90" s="108"/>
    </row>
    <row r="91" spans="1:64" x14ac:dyDescent="0.25">
      <c r="A91" s="5"/>
      <c r="B91" s="12" t="s">
        <v>53</v>
      </c>
      <c r="C91" s="4"/>
      <c r="D91" s="222">
        <f t="shared" si="438"/>
        <v>19872</v>
      </c>
      <c r="E91" s="100"/>
      <c r="F91" s="71"/>
      <c r="G91" s="111"/>
      <c r="H91" s="76"/>
      <c r="I91" s="109">
        <f t="shared" si="439"/>
        <v>5.5697700000000001</v>
      </c>
      <c r="J91" s="71">
        <f t="shared" si="439"/>
        <v>110682.47</v>
      </c>
      <c r="K91" s="71"/>
      <c r="L91" s="108"/>
      <c r="M91" s="100">
        <f t="shared" ref="M91:M95" si="449">I91/BG91</f>
        <v>0.99170999999999998</v>
      </c>
      <c r="N91" s="222">
        <f t="shared" si="440"/>
        <v>0</v>
      </c>
      <c r="O91" s="100"/>
      <c r="P91" s="71"/>
      <c r="Q91" s="111"/>
      <c r="R91" s="76"/>
      <c r="S91" s="109">
        <f t="shared" si="441"/>
        <v>0</v>
      </c>
      <c r="T91" s="71">
        <f t="shared" si="441"/>
        <v>0</v>
      </c>
      <c r="U91" s="71"/>
      <c r="V91" s="108"/>
      <c r="W91" s="100">
        <f t="shared" ref="W91:W95" si="450">S91/BG91</f>
        <v>0</v>
      </c>
      <c r="X91" s="222">
        <f t="shared" si="442"/>
        <v>16776</v>
      </c>
      <c r="Y91" s="100"/>
      <c r="Z91" s="71"/>
      <c r="AA91" s="111"/>
      <c r="AB91" s="76"/>
      <c r="AC91" s="109">
        <f t="shared" si="443"/>
        <v>8.0753199999999996</v>
      </c>
      <c r="AD91" s="71">
        <f t="shared" si="443"/>
        <v>135471.57</v>
      </c>
      <c r="AE91" s="71"/>
      <c r="AF91" s="108"/>
      <c r="AG91" s="100">
        <f t="shared" ref="AG91:AG95" si="451">AC91/BG91</f>
        <v>1.4378299999999999</v>
      </c>
      <c r="AH91" s="222">
        <f t="shared" si="444"/>
        <v>147528</v>
      </c>
      <c r="AI91" s="100"/>
      <c r="AJ91" s="71"/>
      <c r="AK91" s="111"/>
      <c r="AL91" s="76"/>
      <c r="AM91" s="109">
        <f t="shared" si="445"/>
        <v>0.88105999999999995</v>
      </c>
      <c r="AN91" s="71">
        <f t="shared" si="445"/>
        <v>129981.01</v>
      </c>
      <c r="AO91" s="71"/>
      <c r="AP91" s="108"/>
      <c r="AQ91" s="100">
        <f t="shared" ref="AQ91:AQ95" si="452">AM91/BG91</f>
        <v>0.15687000000000001</v>
      </c>
      <c r="AR91" s="222">
        <f t="shared" si="446"/>
        <v>0</v>
      </c>
      <c r="AS91" s="100"/>
      <c r="AT91" s="71"/>
      <c r="AU91" s="111"/>
      <c r="AV91" s="76"/>
      <c r="AW91" s="109">
        <f t="shared" si="447"/>
        <v>0</v>
      </c>
      <c r="AX91" s="71">
        <f t="shared" si="447"/>
        <v>0</v>
      </c>
      <c r="AY91" s="71"/>
      <c r="AZ91" s="108"/>
      <c r="BA91" s="100">
        <f t="shared" ref="BA91:BA95" si="453">AW91/BG91</f>
        <v>0</v>
      </c>
      <c r="BB91" s="222">
        <f t="shared" ref="BB91:BB95" si="454">D91+N91+X91+AH91+AR91</f>
        <v>184176</v>
      </c>
      <c r="BC91" s="100"/>
      <c r="BD91" s="71"/>
      <c r="BE91" s="111"/>
      <c r="BF91" s="76"/>
      <c r="BG91" s="109">
        <f t="shared" si="448"/>
        <v>5.6163400000000001</v>
      </c>
      <c r="BH91" s="71">
        <f t="shared" si="448"/>
        <v>1034395.04</v>
      </c>
      <c r="BI91" s="71"/>
      <c r="BJ91" s="108"/>
    </row>
    <row r="92" spans="1:64" x14ac:dyDescent="0.25">
      <c r="A92" s="5"/>
      <c r="B92" s="12" t="s">
        <v>51</v>
      </c>
      <c r="C92" s="4"/>
      <c r="D92" s="222">
        <f t="shared" si="438"/>
        <v>35352</v>
      </c>
      <c r="E92" s="100"/>
      <c r="F92" s="71"/>
      <c r="G92" s="111"/>
      <c r="H92" s="76"/>
      <c r="I92" s="109">
        <f t="shared" si="439"/>
        <v>5.5688000000000004</v>
      </c>
      <c r="J92" s="71">
        <f t="shared" si="439"/>
        <v>196868.22</v>
      </c>
      <c r="K92" s="71"/>
      <c r="L92" s="108"/>
      <c r="M92" s="100">
        <f t="shared" si="449"/>
        <v>0.99153999999999998</v>
      </c>
      <c r="N92" s="222">
        <f t="shared" si="440"/>
        <v>73608</v>
      </c>
      <c r="O92" s="100"/>
      <c r="P92" s="71"/>
      <c r="Q92" s="111"/>
      <c r="R92" s="76"/>
      <c r="S92" s="109">
        <f t="shared" si="441"/>
        <v>7.5308400000000004</v>
      </c>
      <c r="T92" s="71">
        <f t="shared" si="441"/>
        <v>554330.06999999995</v>
      </c>
      <c r="U92" s="71"/>
      <c r="V92" s="108"/>
      <c r="W92" s="100">
        <f t="shared" si="450"/>
        <v>1.3408800000000001</v>
      </c>
      <c r="X92" s="222">
        <f t="shared" si="442"/>
        <v>18360</v>
      </c>
      <c r="Y92" s="100"/>
      <c r="Z92" s="71"/>
      <c r="AA92" s="111"/>
      <c r="AB92" s="76"/>
      <c r="AC92" s="109">
        <f t="shared" si="443"/>
        <v>8.0750700000000002</v>
      </c>
      <c r="AD92" s="71">
        <f t="shared" si="443"/>
        <v>148258.29</v>
      </c>
      <c r="AE92" s="71"/>
      <c r="AF92" s="108"/>
      <c r="AG92" s="100">
        <f t="shared" si="451"/>
        <v>1.4377800000000001</v>
      </c>
      <c r="AH92" s="222">
        <f t="shared" si="444"/>
        <v>0</v>
      </c>
      <c r="AI92" s="100"/>
      <c r="AJ92" s="71"/>
      <c r="AK92" s="111"/>
      <c r="AL92" s="76"/>
      <c r="AM92" s="109">
        <f t="shared" si="445"/>
        <v>0</v>
      </c>
      <c r="AN92" s="71">
        <f t="shared" si="445"/>
        <v>0</v>
      </c>
      <c r="AO92" s="71"/>
      <c r="AP92" s="108"/>
      <c r="AQ92" s="100">
        <f t="shared" si="452"/>
        <v>0</v>
      </c>
      <c r="AR92" s="222">
        <f t="shared" si="446"/>
        <v>0</v>
      </c>
      <c r="AS92" s="100"/>
      <c r="AT92" s="71"/>
      <c r="AU92" s="111"/>
      <c r="AV92" s="76"/>
      <c r="AW92" s="109">
        <f t="shared" si="447"/>
        <v>0</v>
      </c>
      <c r="AX92" s="71">
        <f t="shared" si="447"/>
        <v>0</v>
      </c>
      <c r="AY92" s="71"/>
      <c r="AZ92" s="108"/>
      <c r="BA92" s="100">
        <f t="shared" si="453"/>
        <v>0</v>
      </c>
      <c r="BB92" s="222">
        <f t="shared" si="454"/>
        <v>127320</v>
      </c>
      <c r="BC92" s="100"/>
      <c r="BD92" s="71"/>
      <c r="BE92" s="111"/>
      <c r="BF92" s="76"/>
      <c r="BG92" s="109">
        <f t="shared" si="448"/>
        <v>5.6163299999999996</v>
      </c>
      <c r="BH92" s="71">
        <f t="shared" si="448"/>
        <v>715071.14</v>
      </c>
      <c r="BI92" s="71"/>
      <c r="BJ92" s="108"/>
    </row>
    <row r="93" spans="1:64" x14ac:dyDescent="0.25">
      <c r="A93" s="5"/>
      <c r="B93" s="12" t="s">
        <v>54</v>
      </c>
      <c r="C93" s="4"/>
      <c r="D93" s="222">
        <f t="shared" si="438"/>
        <v>272292</v>
      </c>
      <c r="E93" s="100"/>
      <c r="F93" s="71"/>
      <c r="G93" s="111"/>
      <c r="H93" s="76"/>
      <c r="I93" s="109">
        <f t="shared" si="439"/>
        <v>5.5689399999999996</v>
      </c>
      <c r="J93" s="71">
        <f t="shared" si="439"/>
        <v>1516377.81</v>
      </c>
      <c r="K93" s="71"/>
      <c r="L93" s="108"/>
      <c r="M93" s="100">
        <f t="shared" si="449"/>
        <v>0.99156</v>
      </c>
      <c r="N93" s="222">
        <f t="shared" si="440"/>
        <v>128520</v>
      </c>
      <c r="O93" s="100"/>
      <c r="P93" s="71"/>
      <c r="Q93" s="111"/>
      <c r="R93" s="76"/>
      <c r="S93" s="109">
        <f t="shared" si="441"/>
        <v>7.5308200000000003</v>
      </c>
      <c r="T93" s="71">
        <f t="shared" si="441"/>
        <v>967860.98</v>
      </c>
      <c r="U93" s="71"/>
      <c r="V93" s="108"/>
      <c r="W93" s="100">
        <f t="shared" si="450"/>
        <v>1.3408800000000001</v>
      </c>
      <c r="X93" s="222">
        <f t="shared" si="442"/>
        <v>61020</v>
      </c>
      <c r="Y93" s="100"/>
      <c r="Z93" s="71"/>
      <c r="AA93" s="111"/>
      <c r="AB93" s="76"/>
      <c r="AC93" s="109">
        <f t="shared" si="443"/>
        <v>8.0750100000000007</v>
      </c>
      <c r="AD93" s="71">
        <f t="shared" si="443"/>
        <v>492737.11</v>
      </c>
      <c r="AE93" s="71"/>
      <c r="AF93" s="108"/>
      <c r="AG93" s="100">
        <f t="shared" si="451"/>
        <v>1.43777</v>
      </c>
      <c r="AH93" s="222">
        <f t="shared" si="444"/>
        <v>0</v>
      </c>
      <c r="AI93" s="100"/>
      <c r="AJ93" s="71"/>
      <c r="AK93" s="111"/>
      <c r="AL93" s="76"/>
      <c r="AM93" s="109">
        <f t="shared" si="445"/>
        <v>0</v>
      </c>
      <c r="AN93" s="71">
        <f t="shared" si="445"/>
        <v>0</v>
      </c>
      <c r="AO93" s="71"/>
      <c r="AP93" s="108"/>
      <c r="AQ93" s="100">
        <f t="shared" si="452"/>
        <v>0</v>
      </c>
      <c r="AR93" s="222">
        <f t="shared" si="446"/>
        <v>0</v>
      </c>
      <c r="AS93" s="100"/>
      <c r="AT93" s="71"/>
      <c r="AU93" s="111"/>
      <c r="AV93" s="76"/>
      <c r="AW93" s="109">
        <f t="shared" si="447"/>
        <v>0</v>
      </c>
      <c r="AX93" s="71">
        <f t="shared" si="447"/>
        <v>0</v>
      </c>
      <c r="AY93" s="71"/>
      <c r="AZ93" s="108"/>
      <c r="BA93" s="100">
        <f t="shared" si="453"/>
        <v>0</v>
      </c>
      <c r="BB93" s="222">
        <f t="shared" si="454"/>
        <v>461832</v>
      </c>
      <c r="BC93" s="100"/>
      <c r="BD93" s="71"/>
      <c r="BE93" s="111"/>
      <c r="BF93" s="76"/>
      <c r="BG93" s="109">
        <f t="shared" si="448"/>
        <v>5.6163400000000001</v>
      </c>
      <c r="BH93" s="71">
        <f t="shared" si="448"/>
        <v>2593805.5299999998</v>
      </c>
      <c r="BI93" s="71"/>
      <c r="BJ93" s="108"/>
    </row>
    <row r="94" spans="1:64" x14ac:dyDescent="0.25">
      <c r="A94" s="5"/>
      <c r="B94" s="12" t="s">
        <v>55</v>
      </c>
      <c r="C94" s="4"/>
      <c r="D94" s="222">
        <f t="shared" si="438"/>
        <v>18504</v>
      </c>
      <c r="E94" s="100"/>
      <c r="F94" s="71"/>
      <c r="G94" s="111"/>
      <c r="H94" s="76"/>
      <c r="I94" s="109">
        <f t="shared" si="439"/>
        <v>5.5695300000000003</v>
      </c>
      <c r="J94" s="71">
        <f t="shared" si="439"/>
        <v>103058.59</v>
      </c>
      <c r="K94" s="71"/>
      <c r="L94" s="108"/>
      <c r="M94" s="100">
        <f t="shared" si="449"/>
        <v>0.99167000000000005</v>
      </c>
      <c r="N94" s="222">
        <f t="shared" si="440"/>
        <v>12816</v>
      </c>
      <c r="O94" s="100"/>
      <c r="P94" s="71"/>
      <c r="Q94" s="111"/>
      <c r="R94" s="76"/>
      <c r="S94" s="109">
        <f t="shared" si="441"/>
        <v>7.5303800000000001</v>
      </c>
      <c r="T94" s="71">
        <f t="shared" si="441"/>
        <v>96509.35</v>
      </c>
      <c r="U94" s="71"/>
      <c r="V94" s="108"/>
      <c r="W94" s="100">
        <f t="shared" si="450"/>
        <v>1.3408</v>
      </c>
      <c r="X94" s="222">
        <f t="shared" si="442"/>
        <v>0</v>
      </c>
      <c r="Y94" s="100"/>
      <c r="Z94" s="71"/>
      <c r="AA94" s="111"/>
      <c r="AB94" s="76"/>
      <c r="AC94" s="109">
        <f t="shared" si="443"/>
        <v>0</v>
      </c>
      <c r="AD94" s="71">
        <f t="shared" si="443"/>
        <v>0</v>
      </c>
      <c r="AE94" s="71"/>
      <c r="AF94" s="108"/>
      <c r="AG94" s="100">
        <f t="shared" si="451"/>
        <v>0</v>
      </c>
      <c r="AH94" s="222">
        <f t="shared" si="444"/>
        <v>0</v>
      </c>
      <c r="AI94" s="100"/>
      <c r="AJ94" s="71"/>
      <c r="AK94" s="111"/>
      <c r="AL94" s="76"/>
      <c r="AM94" s="109">
        <f t="shared" si="445"/>
        <v>0</v>
      </c>
      <c r="AN94" s="71">
        <f t="shared" si="445"/>
        <v>0</v>
      </c>
      <c r="AO94" s="71"/>
      <c r="AP94" s="108"/>
      <c r="AQ94" s="100">
        <f t="shared" si="452"/>
        <v>0</v>
      </c>
      <c r="AR94" s="222">
        <f t="shared" si="446"/>
        <v>95760</v>
      </c>
      <c r="AS94" s="100"/>
      <c r="AT94" s="71"/>
      <c r="AU94" s="111"/>
      <c r="AV94" s="76"/>
      <c r="AW94" s="109">
        <f t="shared" si="447"/>
        <v>0</v>
      </c>
      <c r="AX94" s="71">
        <f t="shared" si="447"/>
        <v>0</v>
      </c>
      <c r="AY94" s="71"/>
      <c r="AZ94" s="108"/>
      <c r="BA94" s="100">
        <f t="shared" si="453"/>
        <v>0</v>
      </c>
      <c r="BB94" s="222">
        <f t="shared" si="454"/>
        <v>127080</v>
      </c>
      <c r="BC94" s="100"/>
      <c r="BD94" s="71"/>
      <c r="BE94" s="111"/>
      <c r="BF94" s="76"/>
      <c r="BG94" s="109">
        <f t="shared" si="448"/>
        <v>5.6163400000000001</v>
      </c>
      <c r="BH94" s="71">
        <f t="shared" si="448"/>
        <v>713724.49</v>
      </c>
      <c r="BI94" s="71"/>
      <c r="BJ94" s="108"/>
    </row>
    <row r="95" spans="1:64" x14ac:dyDescent="0.25">
      <c r="A95" s="5"/>
      <c r="B95" s="12" t="s">
        <v>56</v>
      </c>
      <c r="C95" s="4"/>
      <c r="D95" s="222">
        <f t="shared" si="438"/>
        <v>100800</v>
      </c>
      <c r="E95" s="100"/>
      <c r="F95" s="71"/>
      <c r="G95" s="111"/>
      <c r="H95" s="76"/>
      <c r="I95" s="109">
        <f t="shared" si="439"/>
        <v>5.5689299999999999</v>
      </c>
      <c r="J95" s="71">
        <f t="shared" si="439"/>
        <v>561348.15</v>
      </c>
      <c r="K95" s="71"/>
      <c r="L95" s="108"/>
      <c r="M95" s="100">
        <f t="shared" si="449"/>
        <v>0.99156</v>
      </c>
      <c r="N95" s="222">
        <f t="shared" si="440"/>
        <v>117512</v>
      </c>
      <c r="O95" s="100"/>
      <c r="P95" s="71"/>
      <c r="Q95" s="111"/>
      <c r="R95" s="76"/>
      <c r="S95" s="109">
        <f t="shared" si="441"/>
        <v>7.5308999999999999</v>
      </c>
      <c r="T95" s="71">
        <f t="shared" si="441"/>
        <v>884971.12</v>
      </c>
      <c r="U95" s="71"/>
      <c r="V95" s="108"/>
      <c r="W95" s="100">
        <f t="shared" si="450"/>
        <v>1.3408899999999999</v>
      </c>
      <c r="X95" s="222">
        <f t="shared" si="442"/>
        <v>22896</v>
      </c>
      <c r="Y95" s="100"/>
      <c r="Z95" s="71"/>
      <c r="AA95" s="111"/>
      <c r="AB95" s="76"/>
      <c r="AC95" s="109">
        <f t="shared" si="443"/>
        <v>8.0749099999999991</v>
      </c>
      <c r="AD95" s="71">
        <f t="shared" si="443"/>
        <v>184883.14</v>
      </c>
      <c r="AE95" s="71"/>
      <c r="AF95" s="108"/>
      <c r="AG95" s="100">
        <f t="shared" si="451"/>
        <v>1.4377500000000001</v>
      </c>
      <c r="AH95" s="222">
        <f t="shared" si="444"/>
        <v>0</v>
      </c>
      <c r="AI95" s="100"/>
      <c r="AJ95" s="71"/>
      <c r="AK95" s="111"/>
      <c r="AL95" s="76"/>
      <c r="AM95" s="109">
        <f t="shared" si="445"/>
        <v>0</v>
      </c>
      <c r="AN95" s="71">
        <f t="shared" si="445"/>
        <v>0</v>
      </c>
      <c r="AO95" s="71"/>
      <c r="AP95" s="108"/>
      <c r="AQ95" s="100">
        <f t="shared" si="452"/>
        <v>0</v>
      </c>
      <c r="AR95" s="222">
        <f t="shared" si="446"/>
        <v>0</v>
      </c>
      <c r="AS95" s="100"/>
      <c r="AT95" s="71"/>
      <c r="AU95" s="111"/>
      <c r="AV95" s="76"/>
      <c r="AW95" s="109">
        <f t="shared" si="447"/>
        <v>0</v>
      </c>
      <c r="AX95" s="71">
        <f t="shared" si="447"/>
        <v>0</v>
      </c>
      <c r="AY95" s="71"/>
      <c r="AZ95" s="108"/>
      <c r="BA95" s="100">
        <f t="shared" si="453"/>
        <v>0</v>
      </c>
      <c r="BB95" s="222">
        <f t="shared" si="454"/>
        <v>241208</v>
      </c>
      <c r="BC95" s="100"/>
      <c r="BD95" s="71"/>
      <c r="BE95" s="111"/>
      <c r="BF95" s="76"/>
      <c r="BG95" s="109">
        <f t="shared" si="448"/>
        <v>5.6163400000000001</v>
      </c>
      <c r="BH95" s="71">
        <f t="shared" si="448"/>
        <v>1354706.14</v>
      </c>
      <c r="BI95" s="71"/>
      <c r="BJ95" s="108"/>
    </row>
    <row r="96" spans="1:64" x14ac:dyDescent="0.25">
      <c r="A96" s="5"/>
      <c r="B96" s="412" t="s">
        <v>441</v>
      </c>
      <c r="C96" s="4"/>
      <c r="D96" s="222">
        <f t="shared" si="438"/>
        <v>0</v>
      </c>
      <c r="E96" s="100"/>
      <c r="F96" s="71"/>
      <c r="G96" s="111"/>
      <c r="H96" s="76"/>
      <c r="I96" s="109">
        <f t="shared" si="439"/>
        <v>0</v>
      </c>
      <c r="J96" s="71">
        <f t="shared" si="439"/>
        <v>0</v>
      </c>
      <c r="K96" s="71"/>
      <c r="L96" s="108"/>
      <c r="M96" s="100">
        <f t="shared" ref="M96:M97" si="455">I96/BG96</f>
        <v>0</v>
      </c>
      <c r="N96" s="222">
        <f t="shared" si="440"/>
        <v>10648</v>
      </c>
      <c r="O96" s="100"/>
      <c r="P96" s="71"/>
      <c r="Q96" s="111"/>
      <c r="R96" s="76"/>
      <c r="S96" s="109">
        <f t="shared" si="441"/>
        <v>7.5283800000000003</v>
      </c>
      <c r="T96" s="71">
        <f t="shared" si="441"/>
        <v>80162.179999999993</v>
      </c>
      <c r="U96" s="71"/>
      <c r="V96" s="108"/>
      <c r="W96" s="100">
        <f t="shared" ref="W96:W97" si="456">S96/BG96</f>
        <v>1.3404799999999999</v>
      </c>
      <c r="X96" s="222">
        <f t="shared" si="442"/>
        <v>0</v>
      </c>
      <c r="Y96" s="100"/>
      <c r="Z96" s="71"/>
      <c r="AA96" s="111"/>
      <c r="AB96" s="76"/>
      <c r="AC96" s="109">
        <f t="shared" si="443"/>
        <v>0</v>
      </c>
      <c r="AD96" s="71">
        <f t="shared" si="443"/>
        <v>0</v>
      </c>
      <c r="AE96" s="71"/>
      <c r="AF96" s="108"/>
      <c r="AG96" s="100">
        <f t="shared" ref="AG96:AG97" si="457">AC96/BG96</f>
        <v>0</v>
      </c>
      <c r="AH96" s="222">
        <f t="shared" si="444"/>
        <v>0</v>
      </c>
      <c r="AI96" s="100"/>
      <c r="AJ96" s="71"/>
      <c r="AK96" s="111"/>
      <c r="AL96" s="76"/>
      <c r="AM96" s="109">
        <f t="shared" si="445"/>
        <v>0</v>
      </c>
      <c r="AN96" s="71">
        <f t="shared" si="445"/>
        <v>0</v>
      </c>
      <c r="AO96" s="71"/>
      <c r="AP96" s="108"/>
      <c r="AQ96" s="100">
        <f t="shared" ref="AQ96:AQ97" si="458">AM96/BG96</f>
        <v>0</v>
      </c>
      <c r="AR96" s="222">
        <f t="shared" si="446"/>
        <v>0</v>
      </c>
      <c r="AS96" s="100"/>
      <c r="AT96" s="71"/>
      <c r="AU96" s="111"/>
      <c r="AV96" s="76"/>
      <c r="AW96" s="109">
        <f t="shared" si="447"/>
        <v>0</v>
      </c>
      <c r="AX96" s="71">
        <f t="shared" si="447"/>
        <v>0</v>
      </c>
      <c r="AY96" s="71"/>
      <c r="AZ96" s="108"/>
      <c r="BA96" s="100">
        <f t="shared" ref="BA96:BA97" si="459">AW96/BG96</f>
        <v>0</v>
      </c>
      <c r="BB96" s="222">
        <f t="shared" ref="BB96:BB97" si="460">D96+N96+X96+AH96+AR96</f>
        <v>10648</v>
      </c>
      <c r="BC96" s="100"/>
      <c r="BD96" s="71"/>
      <c r="BE96" s="111"/>
      <c r="BF96" s="76"/>
      <c r="BG96" s="109">
        <f t="shared" si="448"/>
        <v>5.6162000000000001</v>
      </c>
      <c r="BH96" s="71">
        <f t="shared" si="448"/>
        <v>59801.3</v>
      </c>
      <c r="BI96" s="71"/>
      <c r="BJ96" s="108"/>
    </row>
    <row r="97" spans="1:62" x14ac:dyDescent="0.25">
      <c r="A97" s="5"/>
      <c r="B97" s="412" t="s">
        <v>827</v>
      </c>
      <c r="C97" s="4"/>
      <c r="D97" s="222">
        <f t="shared" si="438"/>
        <v>3816</v>
      </c>
      <c r="E97" s="100"/>
      <c r="F97" s="71"/>
      <c r="G97" s="111"/>
      <c r="H97" s="76"/>
      <c r="I97" s="109">
        <f t="shared" si="439"/>
        <v>5.56595</v>
      </c>
      <c r="J97" s="71">
        <f t="shared" si="439"/>
        <v>21239.66</v>
      </c>
      <c r="K97" s="71"/>
      <c r="L97" s="108"/>
      <c r="M97" s="100">
        <f t="shared" si="455"/>
        <v>0.99099000000000004</v>
      </c>
      <c r="N97" s="222">
        <f t="shared" si="440"/>
        <v>0</v>
      </c>
      <c r="O97" s="100"/>
      <c r="P97" s="71"/>
      <c r="Q97" s="111"/>
      <c r="R97" s="76"/>
      <c r="S97" s="109">
        <f t="shared" si="441"/>
        <v>0</v>
      </c>
      <c r="T97" s="71">
        <f t="shared" si="441"/>
        <v>0</v>
      </c>
      <c r="U97" s="71"/>
      <c r="V97" s="108"/>
      <c r="W97" s="100">
        <f t="shared" si="456"/>
        <v>0</v>
      </c>
      <c r="X97" s="222">
        <f t="shared" si="442"/>
        <v>0</v>
      </c>
      <c r="Y97" s="100"/>
      <c r="Z97" s="71"/>
      <c r="AA97" s="111"/>
      <c r="AB97" s="76"/>
      <c r="AC97" s="109">
        <f t="shared" si="443"/>
        <v>0</v>
      </c>
      <c r="AD97" s="71">
        <f t="shared" si="443"/>
        <v>0</v>
      </c>
      <c r="AE97" s="71"/>
      <c r="AF97" s="108"/>
      <c r="AG97" s="100">
        <f t="shared" si="457"/>
        <v>0</v>
      </c>
      <c r="AH97" s="222">
        <f t="shared" si="444"/>
        <v>0</v>
      </c>
      <c r="AI97" s="100"/>
      <c r="AJ97" s="71"/>
      <c r="AK97" s="111"/>
      <c r="AL97" s="76"/>
      <c r="AM97" s="109">
        <f t="shared" si="445"/>
        <v>0</v>
      </c>
      <c r="AN97" s="71">
        <f t="shared" si="445"/>
        <v>0</v>
      </c>
      <c r="AO97" s="71"/>
      <c r="AP97" s="108"/>
      <c r="AQ97" s="100">
        <f t="shared" si="458"/>
        <v>0</v>
      </c>
      <c r="AR97" s="222">
        <f t="shared" si="446"/>
        <v>0</v>
      </c>
      <c r="AS97" s="100"/>
      <c r="AT97" s="71"/>
      <c r="AU97" s="111"/>
      <c r="AV97" s="76"/>
      <c r="AW97" s="109">
        <f t="shared" si="447"/>
        <v>0</v>
      </c>
      <c r="AX97" s="71">
        <f t="shared" si="447"/>
        <v>0</v>
      </c>
      <c r="AY97" s="71"/>
      <c r="AZ97" s="108"/>
      <c r="BA97" s="100">
        <f t="shared" si="459"/>
        <v>0</v>
      </c>
      <c r="BB97" s="222">
        <f t="shared" si="460"/>
        <v>3816</v>
      </c>
      <c r="BC97" s="100"/>
      <c r="BD97" s="71"/>
      <c r="BE97" s="111"/>
      <c r="BF97" s="76"/>
      <c r="BG97" s="109">
        <f t="shared" si="448"/>
        <v>5.61653</v>
      </c>
      <c r="BH97" s="71">
        <f t="shared" si="448"/>
        <v>21432.68</v>
      </c>
      <c r="BI97" s="71"/>
      <c r="BJ97" s="108"/>
    </row>
    <row r="98" spans="1:62" x14ac:dyDescent="0.25">
      <c r="A98" s="5"/>
      <c r="B98" s="412" t="s">
        <v>828</v>
      </c>
      <c r="C98" s="4"/>
      <c r="D98" s="222">
        <f t="shared" si="438"/>
        <v>2268</v>
      </c>
      <c r="E98" s="100"/>
      <c r="F98" s="71"/>
      <c r="G98" s="111"/>
      <c r="H98" s="76"/>
      <c r="I98" s="109">
        <f t="shared" si="439"/>
        <v>5.5670799999999998</v>
      </c>
      <c r="J98" s="71">
        <f t="shared" si="439"/>
        <v>12626.13</v>
      </c>
      <c r="K98" s="71"/>
      <c r="L98" s="108"/>
      <c r="M98" s="100">
        <f t="shared" ref="M98" si="461">I98/BG98</f>
        <v>0.99123000000000006</v>
      </c>
      <c r="N98" s="222">
        <f t="shared" si="440"/>
        <v>0</v>
      </c>
      <c r="O98" s="100"/>
      <c r="P98" s="71"/>
      <c r="Q98" s="111"/>
      <c r="R98" s="76"/>
      <c r="S98" s="109">
        <f t="shared" si="441"/>
        <v>0</v>
      </c>
      <c r="T98" s="71">
        <f t="shared" si="441"/>
        <v>0</v>
      </c>
      <c r="U98" s="71"/>
      <c r="V98" s="108"/>
      <c r="W98" s="100">
        <f t="shared" ref="W98" si="462">S98/BG98</f>
        <v>0</v>
      </c>
      <c r="X98" s="222">
        <f t="shared" si="442"/>
        <v>5976</v>
      </c>
      <c r="Y98" s="100"/>
      <c r="Z98" s="71"/>
      <c r="AA98" s="111"/>
      <c r="AB98" s="76"/>
      <c r="AC98" s="109">
        <f t="shared" si="443"/>
        <v>8.0741200000000006</v>
      </c>
      <c r="AD98" s="71">
        <f t="shared" si="443"/>
        <v>48250.94</v>
      </c>
      <c r="AE98" s="71"/>
      <c r="AF98" s="108"/>
      <c r="AG98" s="100">
        <f t="shared" ref="AG98" si="463">AC98/BG98</f>
        <v>1.4376199999999999</v>
      </c>
      <c r="AH98" s="222">
        <f t="shared" si="444"/>
        <v>0</v>
      </c>
      <c r="AI98" s="100"/>
      <c r="AJ98" s="71"/>
      <c r="AK98" s="111"/>
      <c r="AL98" s="76"/>
      <c r="AM98" s="109">
        <f t="shared" si="445"/>
        <v>0</v>
      </c>
      <c r="AN98" s="71">
        <f t="shared" si="445"/>
        <v>0</v>
      </c>
      <c r="AO98" s="71"/>
      <c r="AP98" s="108"/>
      <c r="AQ98" s="100">
        <f t="shared" ref="AQ98" si="464">AM98/BG98</f>
        <v>0</v>
      </c>
      <c r="AR98" s="222">
        <f t="shared" si="446"/>
        <v>0</v>
      </c>
      <c r="AS98" s="100"/>
      <c r="AT98" s="71"/>
      <c r="AU98" s="111"/>
      <c r="AV98" s="76"/>
      <c r="AW98" s="109">
        <f t="shared" si="447"/>
        <v>0</v>
      </c>
      <c r="AX98" s="71">
        <f t="shared" si="447"/>
        <v>0</v>
      </c>
      <c r="AY98" s="71"/>
      <c r="AZ98" s="108"/>
      <c r="BA98" s="100">
        <f t="shared" ref="BA98" si="465">AW98/BG98</f>
        <v>0</v>
      </c>
      <c r="BB98" s="222">
        <f t="shared" ref="BB98" si="466">D98+N98+X98+AH98+AR98</f>
        <v>8244</v>
      </c>
      <c r="BC98" s="100"/>
      <c r="BD98" s="71"/>
      <c r="BE98" s="111"/>
      <c r="BF98" s="76"/>
      <c r="BG98" s="109">
        <f t="shared" si="448"/>
        <v>5.61632</v>
      </c>
      <c r="BH98" s="71">
        <f t="shared" si="448"/>
        <v>46300.94</v>
      </c>
      <c r="BI98" s="71"/>
      <c r="BJ98" s="108"/>
    </row>
    <row r="100" spans="1:62" x14ac:dyDescent="0.25">
      <c r="B100" s="239"/>
      <c r="BB100" s="1" t="s">
        <v>489</v>
      </c>
      <c r="BH100" s="237"/>
      <c r="BI100" s="1" t="s">
        <v>274</v>
      </c>
      <c r="BJ100" s="237"/>
    </row>
  </sheetData>
  <mergeCells count="11">
    <mergeCell ref="X6:AG6"/>
    <mergeCell ref="AH6:AQ6"/>
    <mergeCell ref="AR6:BA6"/>
    <mergeCell ref="BB6:BJ6"/>
    <mergeCell ref="A2:C2"/>
    <mergeCell ref="A3:C3"/>
    <mergeCell ref="A4:C4"/>
    <mergeCell ref="A5:C5"/>
    <mergeCell ref="D6:M6"/>
    <mergeCell ref="N6:W6"/>
    <mergeCell ref="BB5:BJ5"/>
  </mergeCells>
  <pageMargins left="0.70866141732283472" right="0.70866141732283472" top="0.74803149606299213" bottom="0.74803149606299213" header="0.31496062992125984" footer="0.31496062992125984"/>
  <pageSetup paperSize="9" scale="32" fitToWidth="0" orientation="landscape" verticalDpi="0" r:id="rId1"/>
  <colBreaks count="2" manualBreakCount="2">
    <brk id="23" max="83" man="1"/>
    <brk id="43" max="8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431</vt:i4>
      </vt:variant>
    </vt:vector>
  </HeadingPairs>
  <TitlesOfParts>
    <vt:vector size="449" baseType="lpstr">
      <vt:lpstr>прил № 1 (01.01.24)</vt:lpstr>
      <vt:lpstr>1.1. фот ПП,АУП,ОП (2024)</vt:lpstr>
      <vt:lpstr>1.1. фот ПП,АУП,ОП (2025)</vt:lpstr>
      <vt:lpstr>1.1. фот ПП,АУП,ОП (2026)</vt:lpstr>
      <vt:lpstr>211,213 допы 2024 (контр сумма)</vt:lpstr>
      <vt:lpstr>211,213 допы 2024 (без овз)</vt:lpstr>
      <vt:lpstr>211,213 допы 2024 (с овз)</vt:lpstr>
      <vt:lpstr>ст-ть ночных и празд</vt:lpstr>
      <vt:lpstr>1.2.комм услуги (01.01.24)</vt:lpstr>
      <vt:lpstr>223</vt:lpstr>
      <vt:lpstr>1.3.расчет прочих</vt:lpstr>
      <vt:lpstr>1.4. часы и места для МЗ и СЗ</vt:lpstr>
      <vt:lpstr>1.5.свод 291</vt:lpstr>
      <vt:lpstr>291 имущ 2024</vt:lpstr>
      <vt:lpstr>291 земля 2024</vt:lpstr>
      <vt:lpstr>291 трансп</vt:lpstr>
      <vt:lpstr>коэфф платной деят-ти 2024</vt:lpstr>
      <vt:lpstr>целевые</vt:lpstr>
      <vt:lpstr>'211,213 допы 2024 (без овз)'!T_3862822080</vt:lpstr>
      <vt:lpstr>'211,213 допы 2024 (контр сумма)'!T_3862822080</vt:lpstr>
      <vt:lpstr>'211,213 допы 2024 (с овз)'!T_3862822080</vt:lpstr>
      <vt:lpstr>'211,213 допы 2024 (без овз)'!TR_3862822080_204207469</vt:lpstr>
      <vt:lpstr>'211,213 допы 2024 (контр сумма)'!TR_3862822080_204207469</vt:lpstr>
      <vt:lpstr>'211,213 допы 2024 (с овз)'!TR_3862822080_204207469</vt:lpstr>
      <vt:lpstr>'211,213 допы 2024 (без овз)'!TR_3862822080_204207470</vt:lpstr>
      <vt:lpstr>'211,213 допы 2024 (контр сумма)'!TR_3862822080_204207470</vt:lpstr>
      <vt:lpstr>'211,213 допы 2024 (с овз)'!TR_3862822080_204207470</vt:lpstr>
      <vt:lpstr>'211,213 допы 2024 (без овз)'!TR_3862822080_204207471</vt:lpstr>
      <vt:lpstr>'211,213 допы 2024 (контр сумма)'!TR_3862822080_204207471</vt:lpstr>
      <vt:lpstr>'211,213 допы 2024 (с овз)'!TR_3862822080_204207471</vt:lpstr>
      <vt:lpstr>'211,213 допы 2024 (без овз)'!TR_3862822080_204207472</vt:lpstr>
      <vt:lpstr>'211,213 допы 2024 (контр сумма)'!TR_3862822080_204207472</vt:lpstr>
      <vt:lpstr>'211,213 допы 2024 (с овз)'!TR_3862822080_204207472</vt:lpstr>
      <vt:lpstr>'211,213 допы 2024 (без овз)'!TR_3862822080_204207473</vt:lpstr>
      <vt:lpstr>'211,213 допы 2024 (контр сумма)'!TR_3862822080_204207473</vt:lpstr>
      <vt:lpstr>'211,213 допы 2024 (с овз)'!TR_3862822080_204207473</vt:lpstr>
      <vt:lpstr>'211,213 допы 2024 (без овз)'!TR_3862822080_204207474</vt:lpstr>
      <vt:lpstr>'211,213 допы 2024 (контр сумма)'!TR_3862822080_204207474</vt:lpstr>
      <vt:lpstr>'211,213 допы 2024 (с овз)'!TR_3862822080_204207474</vt:lpstr>
      <vt:lpstr>'211,213 допы 2024 (без овз)'!TR_3862822080_204207475</vt:lpstr>
      <vt:lpstr>'211,213 допы 2024 (контр сумма)'!TR_3862822080_204207475</vt:lpstr>
      <vt:lpstr>'211,213 допы 2024 (с овз)'!TR_3862822080_204207475</vt:lpstr>
      <vt:lpstr>'211,213 допы 2024 (без овз)'!TR_3862822080_204207476</vt:lpstr>
      <vt:lpstr>'211,213 допы 2024 (контр сумма)'!TR_3862822080_204207476</vt:lpstr>
      <vt:lpstr>'211,213 допы 2024 (с овз)'!TR_3862822080_204207476</vt:lpstr>
      <vt:lpstr>'211,213 допы 2024 (без овз)'!TR_3862822080_204207477</vt:lpstr>
      <vt:lpstr>'211,213 допы 2024 (контр сумма)'!TR_3862822080_204207477</vt:lpstr>
      <vt:lpstr>'211,213 допы 2024 (с овз)'!TR_3862822080_204207477</vt:lpstr>
      <vt:lpstr>'211,213 допы 2024 (без овз)'!TR_3862822080_204207478</vt:lpstr>
      <vt:lpstr>'211,213 допы 2024 (контр сумма)'!TR_3862822080_204207478</vt:lpstr>
      <vt:lpstr>'211,213 допы 2024 (с овз)'!TR_3862822080_204207478</vt:lpstr>
      <vt:lpstr>'211,213 допы 2024 (без овз)'!TR_3862822080_204207479</vt:lpstr>
      <vt:lpstr>'211,213 допы 2024 (контр сумма)'!TR_3862822080_204207479</vt:lpstr>
      <vt:lpstr>'211,213 допы 2024 (с овз)'!TR_3862822080_204207479</vt:lpstr>
      <vt:lpstr>'211,213 допы 2024 (без овз)'!TR_3862822080_204207480</vt:lpstr>
      <vt:lpstr>'211,213 допы 2024 (контр сумма)'!TR_3862822080_204207480</vt:lpstr>
      <vt:lpstr>'211,213 допы 2024 (с овз)'!TR_3862822080_204207480</vt:lpstr>
      <vt:lpstr>'211,213 допы 2024 (без овз)'!TR_3862822080_204207481</vt:lpstr>
      <vt:lpstr>'211,213 допы 2024 (контр сумма)'!TR_3862822080_204207481</vt:lpstr>
      <vt:lpstr>'211,213 допы 2024 (с овз)'!TR_3862822080_204207481</vt:lpstr>
      <vt:lpstr>'211,213 допы 2024 (без овз)'!TR_3862822080_204207482</vt:lpstr>
      <vt:lpstr>'211,213 допы 2024 (контр сумма)'!TR_3862822080_204207482</vt:lpstr>
      <vt:lpstr>'211,213 допы 2024 (с овз)'!TR_3862822080_204207482</vt:lpstr>
      <vt:lpstr>'211,213 допы 2024 (без овз)'!TR_3862822080_204207483</vt:lpstr>
      <vt:lpstr>'211,213 допы 2024 (контр сумма)'!TR_3862822080_204207483</vt:lpstr>
      <vt:lpstr>'211,213 допы 2024 (с овз)'!TR_3862822080_204207483</vt:lpstr>
      <vt:lpstr>'211,213 допы 2024 (без овз)'!TR_3862822080_204207484</vt:lpstr>
      <vt:lpstr>'211,213 допы 2024 (контр сумма)'!TR_3862822080_204207484</vt:lpstr>
      <vt:lpstr>'211,213 допы 2024 (с овз)'!TR_3862822080_204207484</vt:lpstr>
      <vt:lpstr>'211,213 допы 2024 (без овз)'!TR_3862822080_204207485</vt:lpstr>
      <vt:lpstr>'211,213 допы 2024 (контр сумма)'!TR_3862822080_204207485</vt:lpstr>
      <vt:lpstr>'211,213 допы 2024 (с овз)'!TR_3862822080_204207485</vt:lpstr>
      <vt:lpstr>'211,213 допы 2024 (без овз)'!TR_3862822080_204207486</vt:lpstr>
      <vt:lpstr>'211,213 допы 2024 (контр сумма)'!TR_3862822080_204207486</vt:lpstr>
      <vt:lpstr>'211,213 допы 2024 (с овз)'!TR_3862822080_204207486</vt:lpstr>
      <vt:lpstr>'211,213 допы 2024 (без овз)'!TR_3862822080_204207487</vt:lpstr>
      <vt:lpstr>'211,213 допы 2024 (контр сумма)'!TR_3862822080_204207487</vt:lpstr>
      <vt:lpstr>'211,213 допы 2024 (с овз)'!TR_3862822080_204207487</vt:lpstr>
      <vt:lpstr>'211,213 допы 2024 (без овз)'!TR_3862822080_204207488</vt:lpstr>
      <vt:lpstr>'211,213 допы 2024 (контр сумма)'!TR_3862822080_204207488</vt:lpstr>
      <vt:lpstr>'211,213 допы 2024 (с овз)'!TR_3862822080_204207488</vt:lpstr>
      <vt:lpstr>'211,213 допы 2024 (без овз)'!TR_3862822080_204207489</vt:lpstr>
      <vt:lpstr>'211,213 допы 2024 (контр сумма)'!TR_3862822080_204207489</vt:lpstr>
      <vt:lpstr>'211,213 допы 2024 (с овз)'!TR_3862822080_204207489</vt:lpstr>
      <vt:lpstr>'211,213 допы 2024 (без овз)'!TR_3862822080_204207490</vt:lpstr>
      <vt:lpstr>'211,213 допы 2024 (контр сумма)'!TR_3862822080_204207490</vt:lpstr>
      <vt:lpstr>'211,213 допы 2024 (с овз)'!TR_3862822080_204207490</vt:lpstr>
      <vt:lpstr>'211,213 допы 2024 (без овз)'!TR_3862822080_204207491</vt:lpstr>
      <vt:lpstr>'211,213 допы 2024 (контр сумма)'!TR_3862822080_204207491</vt:lpstr>
      <vt:lpstr>'211,213 допы 2024 (с овз)'!TR_3862822080_204207491</vt:lpstr>
      <vt:lpstr>'211,213 допы 2024 (без овз)'!TR_3862822080_204207492</vt:lpstr>
      <vt:lpstr>'211,213 допы 2024 (контр сумма)'!TR_3862822080_204207492</vt:lpstr>
      <vt:lpstr>'211,213 допы 2024 (с овз)'!TR_3862822080_204207492</vt:lpstr>
      <vt:lpstr>'211,213 допы 2024 (без овз)'!TR_3862822080_204207493</vt:lpstr>
      <vt:lpstr>'211,213 допы 2024 (контр сумма)'!TR_3862822080_204207493</vt:lpstr>
      <vt:lpstr>'211,213 допы 2024 (с овз)'!TR_3862822080_204207493</vt:lpstr>
      <vt:lpstr>'211,213 допы 2024 (без овз)'!TR_3862822080_204207494</vt:lpstr>
      <vt:lpstr>'211,213 допы 2024 (контр сумма)'!TR_3862822080_204207494</vt:lpstr>
      <vt:lpstr>'211,213 допы 2024 (с овз)'!TR_3862822080_204207494</vt:lpstr>
      <vt:lpstr>'211,213 допы 2024 (без овз)'!TR_3862822080_204207495</vt:lpstr>
      <vt:lpstr>'211,213 допы 2024 (контр сумма)'!TR_3862822080_204207495</vt:lpstr>
      <vt:lpstr>'211,213 допы 2024 (с овз)'!TR_3862822080_204207495</vt:lpstr>
      <vt:lpstr>'211,213 допы 2024 (без овз)'!TR_3862822080_204207496</vt:lpstr>
      <vt:lpstr>'211,213 допы 2024 (контр сумма)'!TR_3862822080_204207496</vt:lpstr>
      <vt:lpstr>'211,213 допы 2024 (с овз)'!TR_3862822080_204207496</vt:lpstr>
      <vt:lpstr>'211,213 допы 2024 (без овз)'!TR_3862822080_204207497</vt:lpstr>
      <vt:lpstr>'211,213 допы 2024 (контр сумма)'!TR_3862822080_204207497</vt:lpstr>
      <vt:lpstr>'211,213 допы 2024 (с овз)'!TR_3862822080_204207497</vt:lpstr>
      <vt:lpstr>'211,213 допы 2024 (без овз)'!TR_3862822080_204207498</vt:lpstr>
      <vt:lpstr>'211,213 допы 2024 (контр сумма)'!TR_3862822080_204207498</vt:lpstr>
      <vt:lpstr>'211,213 допы 2024 (с овз)'!TR_3862822080_204207498</vt:lpstr>
      <vt:lpstr>'211,213 допы 2024 (без овз)'!TR_3862822080_204207499</vt:lpstr>
      <vt:lpstr>'211,213 допы 2024 (контр сумма)'!TR_3862822080_204207499</vt:lpstr>
      <vt:lpstr>'211,213 допы 2024 (с овз)'!TR_3862822080_204207499</vt:lpstr>
      <vt:lpstr>'211,213 допы 2024 (без овз)'!TR_3862822080_204207500</vt:lpstr>
      <vt:lpstr>'211,213 допы 2024 (контр сумма)'!TR_3862822080_204207500</vt:lpstr>
      <vt:lpstr>'211,213 допы 2024 (с овз)'!TR_3862822080_204207500</vt:lpstr>
      <vt:lpstr>'211,213 допы 2024 (без овз)'!TR_3862822080_204207501</vt:lpstr>
      <vt:lpstr>'211,213 допы 2024 (контр сумма)'!TR_3862822080_204207501</vt:lpstr>
      <vt:lpstr>'211,213 допы 2024 (с овз)'!TR_3862822080_204207501</vt:lpstr>
      <vt:lpstr>'211,213 допы 2024 (без овз)'!TR_3862822080_204207502</vt:lpstr>
      <vt:lpstr>'211,213 допы 2024 (контр сумма)'!TR_3862822080_204207502</vt:lpstr>
      <vt:lpstr>'211,213 допы 2024 (с овз)'!TR_3862822080_204207502</vt:lpstr>
      <vt:lpstr>'211,213 допы 2024 (без овз)'!TR_3862822080_204207503</vt:lpstr>
      <vt:lpstr>'211,213 допы 2024 (контр сумма)'!TR_3862822080_204207503</vt:lpstr>
      <vt:lpstr>'211,213 допы 2024 (с овз)'!TR_3862822080_204207503</vt:lpstr>
      <vt:lpstr>'211,213 допы 2024 (без овз)'!TR_3862822080_204207504</vt:lpstr>
      <vt:lpstr>'211,213 допы 2024 (контр сумма)'!TR_3862822080_204207504</vt:lpstr>
      <vt:lpstr>'211,213 допы 2024 (с овз)'!TR_3862822080_204207504</vt:lpstr>
      <vt:lpstr>'211,213 допы 2024 (без овз)'!TR_3862822080_204207506</vt:lpstr>
      <vt:lpstr>'211,213 допы 2024 (контр сумма)'!TR_3862822080_204207506</vt:lpstr>
      <vt:lpstr>'211,213 допы 2024 (с овз)'!TR_3862822080_204207506</vt:lpstr>
      <vt:lpstr>'211,213 допы 2024 (без овз)'!TR_3862822080_204207507</vt:lpstr>
      <vt:lpstr>'211,213 допы 2024 (контр сумма)'!TR_3862822080_204207507</vt:lpstr>
      <vt:lpstr>'211,213 допы 2024 (с овз)'!TR_3862822080_204207507</vt:lpstr>
      <vt:lpstr>'211,213 допы 2024 (без овз)'!TR_3862822080_204207508</vt:lpstr>
      <vt:lpstr>'211,213 допы 2024 (контр сумма)'!TR_3862822080_204207508</vt:lpstr>
      <vt:lpstr>'211,213 допы 2024 (с овз)'!TR_3862822080_204207508</vt:lpstr>
      <vt:lpstr>'211,213 допы 2024 (без овз)'!TR_3862822080_204207509</vt:lpstr>
      <vt:lpstr>'211,213 допы 2024 (контр сумма)'!TR_3862822080_204207509</vt:lpstr>
      <vt:lpstr>'211,213 допы 2024 (с овз)'!TR_3862822080_204207509</vt:lpstr>
      <vt:lpstr>'211,213 допы 2024 (без овз)'!TR_3862822080_204207510</vt:lpstr>
      <vt:lpstr>'211,213 допы 2024 (контр сумма)'!TR_3862822080_204207510</vt:lpstr>
      <vt:lpstr>'211,213 допы 2024 (с овз)'!TR_3862822080_204207510</vt:lpstr>
      <vt:lpstr>'211,213 допы 2024 (без овз)'!TR_3862822080_204207511</vt:lpstr>
      <vt:lpstr>'211,213 допы 2024 (контр сумма)'!TR_3862822080_204207511</vt:lpstr>
      <vt:lpstr>'211,213 допы 2024 (с овз)'!TR_3862822080_204207511</vt:lpstr>
      <vt:lpstr>'211,213 допы 2024 (без овз)'!TR_3862822080_204207512</vt:lpstr>
      <vt:lpstr>'211,213 допы 2024 (контр сумма)'!TR_3862822080_204207512</vt:lpstr>
      <vt:lpstr>'211,213 допы 2024 (с овз)'!TR_3862822080_204207512</vt:lpstr>
      <vt:lpstr>'211,213 допы 2024 (без овз)'!TR_3862822080_204207513</vt:lpstr>
      <vt:lpstr>'211,213 допы 2024 (контр сумма)'!TR_3862822080_204207513</vt:lpstr>
      <vt:lpstr>'211,213 допы 2024 (с овз)'!TR_3862822080_204207513</vt:lpstr>
      <vt:lpstr>'211,213 допы 2024 (без овз)'!TR_3862822080_204207514</vt:lpstr>
      <vt:lpstr>'211,213 допы 2024 (контр сумма)'!TR_3862822080_204207514</vt:lpstr>
      <vt:lpstr>'211,213 допы 2024 (с овз)'!TR_3862822080_204207514</vt:lpstr>
      <vt:lpstr>'211,213 допы 2024 (без овз)'!TR_3862822080_204207515</vt:lpstr>
      <vt:lpstr>'211,213 допы 2024 (контр сумма)'!TR_3862822080_204207515</vt:lpstr>
      <vt:lpstr>'211,213 допы 2024 (с овз)'!TR_3862822080_204207515</vt:lpstr>
      <vt:lpstr>'211,213 допы 2024 (без овз)'!TR_3862822080_204207516</vt:lpstr>
      <vt:lpstr>'211,213 допы 2024 (контр сумма)'!TR_3862822080_204207516</vt:lpstr>
      <vt:lpstr>'211,213 допы 2024 (с овз)'!TR_3862822080_204207516</vt:lpstr>
      <vt:lpstr>'211,213 допы 2024 (без овз)'!TR_3862822080_204207517</vt:lpstr>
      <vt:lpstr>'211,213 допы 2024 (контр сумма)'!TR_3862822080_204207517</vt:lpstr>
      <vt:lpstr>'211,213 допы 2024 (с овз)'!TR_3862822080_204207517</vt:lpstr>
      <vt:lpstr>'211,213 допы 2024 (без овз)'!TR_3862822080_204207519</vt:lpstr>
      <vt:lpstr>'211,213 допы 2024 (контр сумма)'!TR_3862822080_204207519</vt:lpstr>
      <vt:lpstr>'211,213 допы 2024 (с овз)'!TR_3862822080_204207519</vt:lpstr>
      <vt:lpstr>'211,213 допы 2024 (без овз)'!TR_3862822080_204207520</vt:lpstr>
      <vt:lpstr>'211,213 допы 2024 (контр сумма)'!TR_3862822080_204207520</vt:lpstr>
      <vt:lpstr>'211,213 допы 2024 (с овз)'!TR_3862822080_204207520</vt:lpstr>
      <vt:lpstr>'211,213 допы 2024 (без овз)'!TR_3862822080_204207521</vt:lpstr>
      <vt:lpstr>'211,213 допы 2024 (контр сумма)'!TR_3862822080_204207521</vt:lpstr>
      <vt:lpstr>'211,213 допы 2024 (с овз)'!TR_3862822080_204207521</vt:lpstr>
      <vt:lpstr>'211,213 допы 2024 (без овз)'!TR_3862822080_204207522</vt:lpstr>
      <vt:lpstr>'211,213 допы 2024 (контр сумма)'!TR_3862822080_204207522</vt:lpstr>
      <vt:lpstr>'211,213 допы 2024 (с овз)'!TR_3862822080_204207522</vt:lpstr>
      <vt:lpstr>'211,213 допы 2024 (без овз)'!TR_3862822080_204207523</vt:lpstr>
      <vt:lpstr>'211,213 допы 2024 (контр сумма)'!TR_3862822080_204207523</vt:lpstr>
      <vt:lpstr>'211,213 допы 2024 (с овз)'!TR_3862822080_204207523</vt:lpstr>
      <vt:lpstr>'211,213 допы 2024 (без овз)'!TR_3862822080_204207524</vt:lpstr>
      <vt:lpstr>'211,213 допы 2024 (контр сумма)'!TR_3862822080_204207524</vt:lpstr>
      <vt:lpstr>'211,213 допы 2024 (с овз)'!TR_3862822080_204207524</vt:lpstr>
      <vt:lpstr>'211,213 допы 2024 (без овз)'!TR_3862822080_204207525</vt:lpstr>
      <vt:lpstr>'211,213 допы 2024 (контр сумма)'!TR_3862822080_204207525</vt:lpstr>
      <vt:lpstr>'211,213 допы 2024 (с овз)'!TR_3862822080_204207525</vt:lpstr>
      <vt:lpstr>'211,213 допы 2024 (без овз)'!TR_3862822080_204207526</vt:lpstr>
      <vt:lpstr>'211,213 допы 2024 (контр сумма)'!TR_3862822080_204207526</vt:lpstr>
      <vt:lpstr>'211,213 допы 2024 (с овз)'!TR_3862822080_204207526</vt:lpstr>
      <vt:lpstr>'211,213 допы 2024 (без овз)'!TR_3862822080_204207527</vt:lpstr>
      <vt:lpstr>'211,213 допы 2024 (контр сумма)'!TR_3862822080_204207527</vt:lpstr>
      <vt:lpstr>'211,213 допы 2024 (с овз)'!TR_3862822080_204207527</vt:lpstr>
      <vt:lpstr>'211,213 допы 2024 (без овз)'!TR_3862822080_204207528</vt:lpstr>
      <vt:lpstr>'211,213 допы 2024 (контр сумма)'!TR_3862822080_204207528</vt:lpstr>
      <vt:lpstr>'211,213 допы 2024 (с овз)'!TR_3862822080_204207528</vt:lpstr>
      <vt:lpstr>'211,213 допы 2024 (без овз)'!TR_3862822080_204207529</vt:lpstr>
      <vt:lpstr>'211,213 допы 2024 (контр сумма)'!TR_3862822080_204207529</vt:lpstr>
      <vt:lpstr>'211,213 допы 2024 (с овз)'!TR_3862822080_204207529</vt:lpstr>
      <vt:lpstr>'211,213 допы 2024 (без овз)'!TR_3862822080_204207530</vt:lpstr>
      <vt:lpstr>'211,213 допы 2024 (контр сумма)'!TR_3862822080_204207530</vt:lpstr>
      <vt:lpstr>'211,213 допы 2024 (с овз)'!TR_3862822080_204207530</vt:lpstr>
      <vt:lpstr>'211,213 допы 2024 (без овз)'!TR_3862822080_204207531</vt:lpstr>
      <vt:lpstr>'211,213 допы 2024 (контр сумма)'!TR_3862822080_204207531</vt:lpstr>
      <vt:lpstr>'211,213 допы 2024 (с овз)'!TR_3862822080_204207531</vt:lpstr>
      <vt:lpstr>'211,213 допы 2024 (без овз)'!TR_3862822080_204207532</vt:lpstr>
      <vt:lpstr>'211,213 допы 2024 (контр сумма)'!TR_3862822080_204207532</vt:lpstr>
      <vt:lpstr>'211,213 допы 2024 (с овз)'!TR_3862822080_204207532</vt:lpstr>
      <vt:lpstr>'211,213 допы 2024 (без овз)'!TR_3862822080_204207533</vt:lpstr>
      <vt:lpstr>'211,213 допы 2024 (контр сумма)'!TR_3862822080_204207533</vt:lpstr>
      <vt:lpstr>'211,213 допы 2024 (с овз)'!TR_3862822080_204207533</vt:lpstr>
      <vt:lpstr>'211,213 допы 2024 (без овз)'!TR_3862822080_204207534</vt:lpstr>
      <vt:lpstr>'211,213 допы 2024 (контр сумма)'!TR_3862822080_204207534</vt:lpstr>
      <vt:lpstr>'211,213 допы 2024 (с овз)'!TR_3862822080_204207534</vt:lpstr>
      <vt:lpstr>'211,213 допы 2024 (без овз)'!TR_3862822080_204207535</vt:lpstr>
      <vt:lpstr>'211,213 допы 2024 (контр сумма)'!TR_3862822080_204207535</vt:lpstr>
      <vt:lpstr>'211,213 допы 2024 (с овз)'!TR_3862822080_204207535</vt:lpstr>
      <vt:lpstr>'211,213 допы 2024 (без овз)'!TR_3862822080_204207536</vt:lpstr>
      <vt:lpstr>'211,213 допы 2024 (контр сумма)'!TR_3862822080_204207536</vt:lpstr>
      <vt:lpstr>'211,213 допы 2024 (с овз)'!TR_3862822080_204207536</vt:lpstr>
      <vt:lpstr>'211,213 допы 2024 (без овз)'!TR_3862822080_204207537</vt:lpstr>
      <vt:lpstr>'211,213 допы 2024 (контр сумма)'!TR_3862822080_204207537</vt:lpstr>
      <vt:lpstr>'211,213 допы 2024 (с овз)'!TR_3862822080_204207537</vt:lpstr>
      <vt:lpstr>'211,213 допы 2024 (без овз)'!TR_3862822080_204207538</vt:lpstr>
      <vt:lpstr>'211,213 допы 2024 (контр сумма)'!TR_3862822080_204207538</vt:lpstr>
      <vt:lpstr>'211,213 допы 2024 (с овз)'!TR_3862822080_204207538</vt:lpstr>
      <vt:lpstr>'211,213 допы 2024 (без овз)'!TR_3862822080_204207539</vt:lpstr>
      <vt:lpstr>'211,213 допы 2024 (контр сумма)'!TR_3862822080_204207539</vt:lpstr>
      <vt:lpstr>'211,213 допы 2024 (с овз)'!TR_3862822080_204207539</vt:lpstr>
      <vt:lpstr>'211,213 допы 2024 (без овз)'!TR_3862822080_204207540</vt:lpstr>
      <vt:lpstr>'211,213 допы 2024 (контр сумма)'!TR_3862822080_204207540</vt:lpstr>
      <vt:lpstr>'211,213 допы 2024 (с овз)'!TR_3862822080_204207540</vt:lpstr>
      <vt:lpstr>'211,213 допы 2024 (без овз)'!TR_3862822080_204207541</vt:lpstr>
      <vt:lpstr>'211,213 допы 2024 (контр сумма)'!TR_3862822080_204207541</vt:lpstr>
      <vt:lpstr>'211,213 допы 2024 (с овз)'!TR_3862822080_204207541</vt:lpstr>
      <vt:lpstr>'211,213 допы 2024 (без овз)'!TR_3862822080_204207542</vt:lpstr>
      <vt:lpstr>'211,213 допы 2024 (контр сумма)'!TR_3862822080_204207542</vt:lpstr>
      <vt:lpstr>'211,213 допы 2024 (с овз)'!TR_3862822080_204207542</vt:lpstr>
      <vt:lpstr>'211,213 допы 2024 (без овз)'!TR_3862822080_204207543</vt:lpstr>
      <vt:lpstr>'211,213 допы 2024 (контр сумма)'!TR_3862822080_204207543</vt:lpstr>
      <vt:lpstr>'211,213 допы 2024 (с овз)'!TR_3862822080_204207543</vt:lpstr>
      <vt:lpstr>'211,213 допы 2024 (без овз)'!TR_3862822080_204207544</vt:lpstr>
      <vt:lpstr>'211,213 допы 2024 (контр сумма)'!TR_3862822080_204207544</vt:lpstr>
      <vt:lpstr>'211,213 допы 2024 (с овз)'!TR_3862822080_204207544</vt:lpstr>
      <vt:lpstr>'211,213 допы 2024 (без овз)'!TR_3862822080_204207545</vt:lpstr>
      <vt:lpstr>'211,213 допы 2024 (контр сумма)'!TR_3862822080_204207545</vt:lpstr>
      <vt:lpstr>'211,213 допы 2024 (с овз)'!TR_3862822080_204207545</vt:lpstr>
      <vt:lpstr>'211,213 допы 2024 (без овз)'!TR_3862822080_204207546</vt:lpstr>
      <vt:lpstr>'211,213 допы 2024 (контр сумма)'!TR_3862822080_204207546</vt:lpstr>
      <vt:lpstr>'211,213 допы 2024 (с овз)'!TR_3862822080_204207546</vt:lpstr>
      <vt:lpstr>'211,213 допы 2024 (без овз)'!TR_3862822080_204207547</vt:lpstr>
      <vt:lpstr>'211,213 допы 2024 (контр сумма)'!TR_3862822080_204207547</vt:lpstr>
      <vt:lpstr>'211,213 допы 2024 (с овз)'!TR_3862822080_204207547</vt:lpstr>
      <vt:lpstr>'211,213 допы 2024 (без овз)'!TR_3862822080_204207548</vt:lpstr>
      <vt:lpstr>'211,213 допы 2024 (контр сумма)'!TR_3862822080_204207548</vt:lpstr>
      <vt:lpstr>'211,213 допы 2024 (с овз)'!TR_3862822080_204207548</vt:lpstr>
      <vt:lpstr>'211,213 допы 2024 (без овз)'!TR_3862822080_204207549</vt:lpstr>
      <vt:lpstr>'211,213 допы 2024 (контр сумма)'!TR_3862822080_204207549</vt:lpstr>
      <vt:lpstr>'211,213 допы 2024 (с овз)'!TR_3862822080_204207549</vt:lpstr>
      <vt:lpstr>'211,213 допы 2024 (без овз)'!TR_3862822080_204207550</vt:lpstr>
      <vt:lpstr>'211,213 допы 2024 (контр сумма)'!TR_3862822080_204207550</vt:lpstr>
      <vt:lpstr>'211,213 допы 2024 (с овз)'!TR_3862822080_204207550</vt:lpstr>
      <vt:lpstr>'211,213 допы 2024 (без овз)'!TR_3862822080_204207551</vt:lpstr>
      <vt:lpstr>'211,213 допы 2024 (контр сумма)'!TR_3862822080_204207551</vt:lpstr>
      <vt:lpstr>'211,213 допы 2024 (с овз)'!TR_3862822080_204207551</vt:lpstr>
      <vt:lpstr>'211,213 допы 2024 (без овз)'!TR_3862822080_204207552</vt:lpstr>
      <vt:lpstr>'211,213 допы 2024 (контр сумма)'!TR_3862822080_204207552</vt:lpstr>
      <vt:lpstr>'211,213 допы 2024 (с овз)'!TR_3862822080_204207552</vt:lpstr>
      <vt:lpstr>'211,213 допы 2024 (без овз)'!TR_3862822080_204207553</vt:lpstr>
      <vt:lpstr>'211,213 допы 2024 (контр сумма)'!TR_3862822080_204207553</vt:lpstr>
      <vt:lpstr>'211,213 допы 2024 (с овз)'!TR_3862822080_204207553</vt:lpstr>
      <vt:lpstr>'211,213 допы 2024 (без овз)'!TR_3862822080_204207554</vt:lpstr>
      <vt:lpstr>'211,213 допы 2024 (контр сумма)'!TR_3862822080_204207554</vt:lpstr>
      <vt:lpstr>'211,213 допы 2024 (с овз)'!TR_3862822080_204207554</vt:lpstr>
      <vt:lpstr>'211,213 допы 2024 (без овз)'!TR_3862822080_204207556</vt:lpstr>
      <vt:lpstr>'211,213 допы 2024 (контр сумма)'!TR_3862822080_204207556</vt:lpstr>
      <vt:lpstr>'211,213 допы 2024 (с овз)'!TR_3862822080_204207556</vt:lpstr>
      <vt:lpstr>'211,213 допы 2024 (без овз)'!TR_3862822080_204207557</vt:lpstr>
      <vt:lpstr>'211,213 допы 2024 (контр сумма)'!TR_3862822080_204207557</vt:lpstr>
      <vt:lpstr>'211,213 допы 2024 (с овз)'!TR_3862822080_204207557</vt:lpstr>
      <vt:lpstr>'211,213 допы 2024 (без овз)'!TR_3862822080_204207558</vt:lpstr>
      <vt:lpstr>'211,213 допы 2024 (контр сумма)'!TR_3862822080_204207558</vt:lpstr>
      <vt:lpstr>'211,213 допы 2024 (с овз)'!TR_3862822080_204207558</vt:lpstr>
      <vt:lpstr>'211,213 допы 2024 (без овз)'!TR_3862822080_204207559</vt:lpstr>
      <vt:lpstr>'211,213 допы 2024 (контр сумма)'!TR_3862822080_204207559</vt:lpstr>
      <vt:lpstr>'211,213 допы 2024 (с овз)'!TR_3862822080_204207559</vt:lpstr>
      <vt:lpstr>'211,213 допы 2024 (без овз)'!TR_3862822080_204207560</vt:lpstr>
      <vt:lpstr>'211,213 допы 2024 (контр сумма)'!TR_3862822080_204207560</vt:lpstr>
      <vt:lpstr>'211,213 допы 2024 (с овз)'!TR_3862822080_204207560</vt:lpstr>
      <vt:lpstr>'211,213 допы 2024 (без овз)'!TR_3862822080_204207561</vt:lpstr>
      <vt:lpstr>'211,213 допы 2024 (контр сумма)'!TR_3862822080_204207561</vt:lpstr>
      <vt:lpstr>'211,213 допы 2024 (с овз)'!TR_3862822080_204207561</vt:lpstr>
      <vt:lpstr>'211,213 допы 2024 (без овз)'!TR_3862822080_204207562</vt:lpstr>
      <vt:lpstr>'211,213 допы 2024 (контр сумма)'!TR_3862822080_204207562</vt:lpstr>
      <vt:lpstr>'211,213 допы 2024 (с овз)'!TR_3862822080_204207562</vt:lpstr>
      <vt:lpstr>'211,213 допы 2024 (без овз)'!TR_3862822080_204207563</vt:lpstr>
      <vt:lpstr>'211,213 допы 2024 (контр сумма)'!TR_3862822080_204207563</vt:lpstr>
      <vt:lpstr>'211,213 допы 2024 (с овз)'!TR_3862822080_204207563</vt:lpstr>
      <vt:lpstr>'211,213 допы 2024 (без овз)'!TR_3862822080_204207564</vt:lpstr>
      <vt:lpstr>'211,213 допы 2024 (контр сумма)'!TR_3862822080_204207564</vt:lpstr>
      <vt:lpstr>'211,213 допы 2024 (с овз)'!TR_3862822080_204207564</vt:lpstr>
      <vt:lpstr>'211,213 допы 2024 (без овз)'!TR_3862822080_204207565</vt:lpstr>
      <vt:lpstr>'211,213 допы 2024 (контр сумма)'!TR_3862822080_204207565</vt:lpstr>
      <vt:lpstr>'211,213 допы 2024 (с овз)'!TR_3862822080_204207565</vt:lpstr>
      <vt:lpstr>'211,213 допы 2024 (без овз)'!TR_3862822080_204207566</vt:lpstr>
      <vt:lpstr>'211,213 допы 2024 (контр сумма)'!TR_3862822080_204207566</vt:lpstr>
      <vt:lpstr>'211,213 допы 2024 (с овз)'!TR_3862822080_204207566</vt:lpstr>
      <vt:lpstr>'211,213 допы 2024 (без овз)'!TR_3862822080_204207567</vt:lpstr>
      <vt:lpstr>'211,213 допы 2024 (контр сумма)'!TR_3862822080_204207567</vt:lpstr>
      <vt:lpstr>'211,213 допы 2024 (с овз)'!TR_3862822080_204207567</vt:lpstr>
      <vt:lpstr>'211,213 допы 2024 (без овз)'!TR_3862822080_204207568</vt:lpstr>
      <vt:lpstr>'211,213 допы 2024 (контр сумма)'!TR_3862822080_204207568</vt:lpstr>
      <vt:lpstr>'211,213 допы 2024 (с овз)'!TR_3862822080_204207568</vt:lpstr>
      <vt:lpstr>'211,213 допы 2024 (без овз)'!TR_3862822080_204207569</vt:lpstr>
      <vt:lpstr>'211,213 допы 2024 (контр сумма)'!TR_3862822080_204207569</vt:lpstr>
      <vt:lpstr>'211,213 допы 2024 (с овз)'!TR_3862822080_204207569</vt:lpstr>
      <vt:lpstr>'211,213 допы 2024 (без овз)'!TR_3862822080_204207570</vt:lpstr>
      <vt:lpstr>'211,213 допы 2024 (контр сумма)'!TR_3862822080_204207570</vt:lpstr>
      <vt:lpstr>'211,213 допы 2024 (с овз)'!TR_3862822080_204207570</vt:lpstr>
      <vt:lpstr>'211,213 допы 2024 (без овз)'!TR_3862822080_204207571</vt:lpstr>
      <vt:lpstr>'211,213 допы 2024 (контр сумма)'!TR_3862822080_204207571</vt:lpstr>
      <vt:lpstr>'211,213 допы 2024 (с овз)'!TR_3862822080_204207571</vt:lpstr>
      <vt:lpstr>'211,213 допы 2024 (без овз)'!TR_3862822080_204207572</vt:lpstr>
      <vt:lpstr>'211,213 допы 2024 (контр сумма)'!TR_3862822080_204207572</vt:lpstr>
      <vt:lpstr>'211,213 допы 2024 (с овз)'!TR_3862822080_204207572</vt:lpstr>
      <vt:lpstr>'211,213 допы 2024 (без овз)'!TR_3862822080_204207573</vt:lpstr>
      <vt:lpstr>'211,213 допы 2024 (контр сумма)'!TR_3862822080_204207573</vt:lpstr>
      <vt:lpstr>'211,213 допы 2024 (с овз)'!TR_3862822080_204207573</vt:lpstr>
      <vt:lpstr>'211,213 допы 2024 (без овз)'!TR_3862822080_204207574</vt:lpstr>
      <vt:lpstr>'211,213 допы 2024 (контр сумма)'!TR_3862822080_204207574</vt:lpstr>
      <vt:lpstr>'211,213 допы 2024 (с овз)'!TR_3862822080_204207574</vt:lpstr>
      <vt:lpstr>'211,213 допы 2024 (без овз)'!TR_3862822080_204207575</vt:lpstr>
      <vt:lpstr>'211,213 допы 2024 (контр сумма)'!TR_3862822080_204207575</vt:lpstr>
      <vt:lpstr>'211,213 допы 2024 (с овз)'!TR_3862822080_204207575</vt:lpstr>
      <vt:lpstr>'211,213 допы 2024 (без овз)'!TR_3862822080_204207576</vt:lpstr>
      <vt:lpstr>'211,213 допы 2024 (контр сумма)'!TR_3862822080_204207576</vt:lpstr>
      <vt:lpstr>'211,213 допы 2024 (с овз)'!TR_3862822080_204207576</vt:lpstr>
      <vt:lpstr>'211,213 допы 2024 (без овз)'!TR_3862822080_204207577</vt:lpstr>
      <vt:lpstr>'211,213 допы 2024 (контр сумма)'!TR_3862822080_204207577</vt:lpstr>
      <vt:lpstr>'211,213 допы 2024 (с овз)'!TR_3862822080_204207577</vt:lpstr>
      <vt:lpstr>'211,213 допы 2024 (без овз)'!TR_3862822080_204207578</vt:lpstr>
      <vt:lpstr>'211,213 допы 2024 (контр сумма)'!TR_3862822080_204207578</vt:lpstr>
      <vt:lpstr>'211,213 допы 2024 (с овз)'!TR_3862822080_204207578</vt:lpstr>
      <vt:lpstr>'211,213 допы 2024 (без овз)'!TR_3862822080_204207579</vt:lpstr>
      <vt:lpstr>'211,213 допы 2024 (контр сумма)'!TR_3862822080_204207579</vt:lpstr>
      <vt:lpstr>'211,213 допы 2024 (с овз)'!TR_3862822080_204207579</vt:lpstr>
      <vt:lpstr>'211,213 допы 2024 (без овз)'!TR_3862822080_204207580</vt:lpstr>
      <vt:lpstr>'211,213 допы 2024 (контр сумма)'!TR_3862822080_204207580</vt:lpstr>
      <vt:lpstr>'211,213 допы 2024 (с овз)'!TR_3862822080_204207580</vt:lpstr>
      <vt:lpstr>'211,213 допы 2024 (без овз)'!TR_3862822080_204207581</vt:lpstr>
      <vt:lpstr>'211,213 допы 2024 (контр сумма)'!TR_3862822080_204207581</vt:lpstr>
      <vt:lpstr>'211,213 допы 2024 (с овз)'!TR_3862822080_204207581</vt:lpstr>
      <vt:lpstr>'211,213 допы 2024 (без овз)'!TR_3862822080_204207582</vt:lpstr>
      <vt:lpstr>'211,213 допы 2024 (контр сумма)'!TR_3862822080_204207582</vt:lpstr>
      <vt:lpstr>'211,213 допы 2024 (с овз)'!TR_3862822080_204207582</vt:lpstr>
      <vt:lpstr>'211,213 допы 2024 (без овз)'!TR_3862822080_204207583</vt:lpstr>
      <vt:lpstr>'211,213 допы 2024 (контр сумма)'!TR_3862822080_204207583</vt:lpstr>
      <vt:lpstr>'211,213 допы 2024 (с овз)'!TR_3862822080_204207583</vt:lpstr>
      <vt:lpstr>'211,213 допы 2024 (без овз)'!TR_3862822080_204207584</vt:lpstr>
      <vt:lpstr>'211,213 допы 2024 (контр сумма)'!TR_3862822080_204207584</vt:lpstr>
      <vt:lpstr>'211,213 допы 2024 (с овз)'!TR_3862822080_204207584</vt:lpstr>
      <vt:lpstr>'211,213 допы 2024 (без овз)'!TR_3862822080_204207585</vt:lpstr>
      <vt:lpstr>'211,213 допы 2024 (контр сумма)'!TR_3862822080_204207585</vt:lpstr>
      <vt:lpstr>'211,213 допы 2024 (с овз)'!TR_3862822080_204207585</vt:lpstr>
      <vt:lpstr>'211,213 допы 2024 (без овз)'!TR_3862822080_204207586</vt:lpstr>
      <vt:lpstr>'211,213 допы 2024 (контр сумма)'!TR_3862822080_204207586</vt:lpstr>
      <vt:lpstr>'211,213 допы 2024 (с овз)'!TR_3862822080_204207586</vt:lpstr>
      <vt:lpstr>'211,213 допы 2024 (без овз)'!TR_3862822080_204207588</vt:lpstr>
      <vt:lpstr>'211,213 допы 2024 (контр сумма)'!TR_3862822080_204207588</vt:lpstr>
      <vt:lpstr>'211,213 допы 2024 (с овз)'!TR_3862822080_204207588</vt:lpstr>
      <vt:lpstr>'211,213 допы 2024 (без овз)'!TR_3862822080_204207589</vt:lpstr>
      <vt:lpstr>'211,213 допы 2024 (контр сумма)'!TR_3862822080_204207589</vt:lpstr>
      <vt:lpstr>'211,213 допы 2024 (с овз)'!TR_3862822080_204207589</vt:lpstr>
      <vt:lpstr>'211,213 допы 2024 (без овз)'!TR_3862822080_204207590</vt:lpstr>
      <vt:lpstr>'211,213 допы 2024 (контр сумма)'!TR_3862822080_204207590</vt:lpstr>
      <vt:lpstr>'211,213 допы 2024 (с овз)'!TR_3862822080_204207590</vt:lpstr>
      <vt:lpstr>'211,213 допы 2024 (без овз)'!TR_3862822080_204207591</vt:lpstr>
      <vt:lpstr>'211,213 допы 2024 (контр сумма)'!TR_3862822080_204207591</vt:lpstr>
      <vt:lpstr>'211,213 допы 2024 (с овз)'!TR_3862822080_204207591</vt:lpstr>
      <vt:lpstr>'211,213 допы 2024 (без овз)'!TR_3862822080_204207592</vt:lpstr>
      <vt:lpstr>'211,213 допы 2024 (контр сумма)'!TR_3862822080_204207592</vt:lpstr>
      <vt:lpstr>'211,213 допы 2024 (с овз)'!TR_3862822080_204207592</vt:lpstr>
      <vt:lpstr>'211,213 допы 2024 (без овз)'!TR_3862822080_204207593</vt:lpstr>
      <vt:lpstr>'211,213 допы 2024 (контр сумма)'!TR_3862822080_204207593</vt:lpstr>
      <vt:lpstr>'211,213 допы 2024 (с овз)'!TR_3862822080_204207593</vt:lpstr>
      <vt:lpstr>'211,213 допы 2024 (без овз)'!TR_3862822080_204207594</vt:lpstr>
      <vt:lpstr>'211,213 допы 2024 (контр сумма)'!TR_3862822080_204207594</vt:lpstr>
      <vt:lpstr>'211,213 допы 2024 (с овз)'!TR_3862822080_204207594</vt:lpstr>
      <vt:lpstr>'211,213 допы 2024 (без овз)'!TR_3862822080_204207595</vt:lpstr>
      <vt:lpstr>'211,213 допы 2024 (контр сумма)'!TR_3862822080_204207595</vt:lpstr>
      <vt:lpstr>'211,213 допы 2024 (с овз)'!TR_3862822080_204207595</vt:lpstr>
      <vt:lpstr>'211,213 допы 2024 (без овз)'!TR_3862822080_204207596</vt:lpstr>
      <vt:lpstr>'211,213 допы 2024 (контр сумма)'!TR_3862822080_204207596</vt:lpstr>
      <vt:lpstr>'211,213 допы 2024 (с овз)'!TR_3862822080_204207596</vt:lpstr>
      <vt:lpstr>'211,213 допы 2024 (без овз)'!TR_3862822080_204207597</vt:lpstr>
      <vt:lpstr>'211,213 допы 2024 (контр сумма)'!TR_3862822080_204207597</vt:lpstr>
      <vt:lpstr>'211,213 допы 2024 (с овз)'!TR_3862822080_204207597</vt:lpstr>
      <vt:lpstr>'211,213 допы 2024 (без овз)'!TR_3862822080_204207598</vt:lpstr>
      <vt:lpstr>'211,213 допы 2024 (контр сумма)'!TR_3862822080_204207598</vt:lpstr>
      <vt:lpstr>'211,213 допы 2024 (с овз)'!TR_3862822080_204207598</vt:lpstr>
      <vt:lpstr>'211,213 допы 2024 (без овз)'!TR_3862822080_204207599</vt:lpstr>
      <vt:lpstr>'211,213 допы 2024 (контр сумма)'!TR_3862822080_204207599</vt:lpstr>
      <vt:lpstr>'211,213 допы 2024 (с овз)'!TR_3862822080_204207599</vt:lpstr>
      <vt:lpstr>'211,213 допы 2024 (без овз)'!TR_3862822080_204207600</vt:lpstr>
      <vt:lpstr>'211,213 допы 2024 (контр сумма)'!TR_3862822080_204207600</vt:lpstr>
      <vt:lpstr>'211,213 допы 2024 (с овз)'!TR_3862822080_204207600</vt:lpstr>
      <vt:lpstr>'211,213 допы 2024 (без овз)'!TR_3862822080_204207601</vt:lpstr>
      <vt:lpstr>'211,213 допы 2024 (контр сумма)'!TR_3862822080_204207601</vt:lpstr>
      <vt:lpstr>'211,213 допы 2024 (с овз)'!TR_3862822080_204207601</vt:lpstr>
      <vt:lpstr>'211,213 допы 2024 (без овз)'!TR_3862822080_204207602</vt:lpstr>
      <vt:lpstr>'211,213 допы 2024 (контр сумма)'!TR_3862822080_204207602</vt:lpstr>
      <vt:lpstr>'211,213 допы 2024 (с овз)'!TR_3862822080_204207602</vt:lpstr>
      <vt:lpstr>'211,213 допы 2024 (без овз)'!TR_3862822080_204207603</vt:lpstr>
      <vt:lpstr>'211,213 допы 2024 (контр сумма)'!TR_3862822080_204207603</vt:lpstr>
      <vt:lpstr>'211,213 допы 2024 (с овз)'!TR_3862822080_204207603</vt:lpstr>
      <vt:lpstr>'211,213 допы 2024 (без овз)'!TR_3862822080_204207604</vt:lpstr>
      <vt:lpstr>'211,213 допы 2024 (контр сумма)'!TR_3862822080_204207604</vt:lpstr>
      <vt:lpstr>'211,213 допы 2024 (с овз)'!TR_3862822080_204207604</vt:lpstr>
      <vt:lpstr>'211,213 допы 2024 (без овз)'!TT_3862822080_204207505_3878101922</vt:lpstr>
      <vt:lpstr>'211,213 допы 2024 (контр сумма)'!TT_3862822080_204207505_3878101922</vt:lpstr>
      <vt:lpstr>'211,213 допы 2024 (с овз)'!TT_3862822080_204207505_3878101922</vt:lpstr>
      <vt:lpstr>'211,213 допы 2024 (без овз)'!TT_3862822080_204207518_3878101922</vt:lpstr>
      <vt:lpstr>'211,213 допы 2024 (контр сумма)'!TT_3862822080_204207518_3878101922</vt:lpstr>
      <vt:lpstr>'211,213 допы 2024 (с овз)'!TT_3862822080_204207518_3878101922</vt:lpstr>
      <vt:lpstr>'211,213 допы 2024 (без овз)'!TT_3862822080_204207555_3878101922</vt:lpstr>
      <vt:lpstr>'211,213 допы 2024 (контр сумма)'!TT_3862822080_204207555_3878101922</vt:lpstr>
      <vt:lpstr>'211,213 допы 2024 (с овз)'!TT_3862822080_204207555_3878101922</vt:lpstr>
      <vt:lpstr>'211,213 допы 2024 (без овз)'!TT_3862822080_204207587_3878101922</vt:lpstr>
      <vt:lpstr>'211,213 допы 2024 (контр сумма)'!TT_3862822080_204207587_3878101922</vt:lpstr>
      <vt:lpstr>'211,213 допы 2024 (с овз)'!TT_3862822080_204207587_3878101922</vt:lpstr>
      <vt:lpstr>'211,213 допы 2024 (без овз)'!TT_3862822080_204207605_3878101922</vt:lpstr>
      <vt:lpstr>'211,213 допы 2024 (контр сумма)'!TT_3862822080_204207605_3878101922</vt:lpstr>
      <vt:lpstr>'211,213 допы 2024 (с овз)'!TT_3862822080_204207605_3878101922</vt:lpstr>
      <vt:lpstr>'1.1. фот ПП,АУП,ОП (2024)'!Заголовки_для_печати</vt:lpstr>
      <vt:lpstr>'1.1. фот ПП,АУП,ОП (2025)'!Заголовки_для_печати</vt:lpstr>
      <vt:lpstr>'1.1. фот ПП,АУП,ОП (2026)'!Заголовки_для_печати</vt:lpstr>
      <vt:lpstr>'1.2.комм услуги (01.01.24)'!Заголовки_для_печати</vt:lpstr>
      <vt:lpstr>'291 земля 2024'!Заголовки_для_печати</vt:lpstr>
      <vt:lpstr>'291 имущ 2024'!Заголовки_для_печати</vt:lpstr>
      <vt:lpstr>'1.1. фот ПП,АУП,ОП (2024)'!Область_печати</vt:lpstr>
      <vt:lpstr>'1.1. фот ПП,АУП,ОП (2025)'!Область_печати</vt:lpstr>
      <vt:lpstr>'1.1. фот ПП,АУП,ОП (2026)'!Область_печати</vt:lpstr>
      <vt:lpstr>'1.2.комм услуги (01.01.24)'!Область_печати</vt:lpstr>
      <vt:lpstr>'1.3.расчет прочих'!Область_печати</vt:lpstr>
      <vt:lpstr>'291 земля 2024'!Область_печати</vt:lpstr>
      <vt:lpstr>'291 имущ 2024'!Область_печати</vt:lpstr>
      <vt:lpstr>'291 трансп'!Область_печати</vt:lpstr>
      <vt:lpstr>'коэфф платной деят-ти 2024'!Область_печати</vt:lpstr>
      <vt:lpstr>'прил № 1 (01.01.24)'!Область_печати</vt:lpstr>
      <vt:lpstr>целевые!Область_печати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2024-05-13T14:35:42Z</dcterms:modified>
</cp:coreProperties>
</file>